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231"/>
  <workbookPr showInkAnnotation="0" codeName="ThisWorkbook" hidePivotFieldList="1"/>
  <mc:AlternateContent xmlns:mc="http://schemas.openxmlformats.org/markup-compatibility/2006">
    <mc:Choice Requires="x15">
      <x15ac:absPath xmlns:x15ac="http://schemas.microsoft.com/office/spreadsheetml/2010/11/ac" url="C:\Users\pined\Documents\HUMBERTO ACUÑA\LEY DE PRESUPUESTO DEL AÑO 2021\Formatos y Directivas de las entidades\Entidades\Defensa\"/>
    </mc:Choice>
  </mc:AlternateContent>
  <xr:revisionPtr revIDLastSave="0" documentId="8_{2FE7C031-E8C6-43A0-B220-E0C195B178F8}" xr6:coauthVersionLast="45" xr6:coauthVersionMax="45" xr10:uidLastSave="{00000000-0000-0000-0000-000000000000}"/>
  <bookViews>
    <workbookView xWindow="-120" yWindow="-120" windowWidth="20730" windowHeight="11160" tabRatio="866" xr2:uid="{00000000-000D-0000-FFFF-FFFF00000000}"/>
  </bookViews>
  <sheets>
    <sheet name="Índice" sheetId="55" r:id="rId1"/>
    <sheet name="F-01" sheetId="62" r:id="rId2"/>
    <sheet name="F-02" sheetId="73" r:id="rId3"/>
    <sheet name="F-03" sheetId="70" r:id="rId4"/>
    <sheet name="F-04" sheetId="30" r:id="rId5"/>
    <sheet name="F-05" sheetId="76" r:id="rId6"/>
    <sheet name="F-06" sheetId="57" r:id="rId7"/>
    <sheet name="F-07" sheetId="9" r:id="rId8"/>
    <sheet name="F-08" sheetId="21" r:id="rId9"/>
    <sheet name="F-09 S26" sheetId="92" r:id="rId10"/>
    <sheet name="F-09 P026" sheetId="93" r:id="rId11"/>
    <sheet name="F-09 OGA" sheetId="96" r:id="rId12"/>
    <sheet name="F-09 CCFFAA" sheetId="98" r:id="rId13"/>
    <sheet name="F-09 EP" sheetId="100" r:id="rId14"/>
    <sheet name="F-09 MGP" sheetId="102" r:id="rId15"/>
    <sheet name="F-09 FAP" sheetId="104" r:id="rId16"/>
    <sheet name="F-09 CONIDA" sheetId="106" r:id="rId17"/>
    <sheet name="F-09 ENAMM" sheetId="107" r:id="rId18"/>
    <sheet name="F-09 OPREFA" sheetId="109" r:id="rId19"/>
    <sheet name="F-09 ACFFAA" sheetId="110" r:id="rId20"/>
    <sheet name="F-09 IGN" sheetId="111" r:id="rId21"/>
    <sheet name="F-09 CENEPRED" sheetId="112" r:id="rId22"/>
    <sheet name="F-09 INDECI" sheetId="113" r:id="rId23"/>
    <sheet name="F-10 S26" sheetId="114" r:id="rId24"/>
    <sheet name="F-10 P026" sheetId="115" r:id="rId25"/>
    <sheet name="F-10 OGA" sheetId="116" r:id="rId26"/>
    <sheet name="F-10 CCFFAA" sheetId="117" r:id="rId27"/>
    <sheet name="F-10 EP" sheetId="118" r:id="rId28"/>
    <sheet name="F-10 MGP" sheetId="119" r:id="rId29"/>
    <sheet name="F-10 FAP" sheetId="120" r:id="rId30"/>
    <sheet name="F-10 CONIDA" sheetId="121" r:id="rId31"/>
    <sheet name="F-10 ENAMM" sheetId="122" r:id="rId32"/>
    <sheet name="F-10 OPREFA" sheetId="123" r:id="rId33"/>
    <sheet name="F-10 ACFFAA" sheetId="124" r:id="rId34"/>
    <sheet name="F-10 IGN" sheetId="125" r:id="rId35"/>
    <sheet name="F-10 CENEPRED" sheetId="126" r:id="rId36"/>
    <sheet name="F-10 INDECI" sheetId="127" r:id="rId37"/>
    <sheet name="F-11 P026" sheetId="128" r:id="rId38"/>
    <sheet name="F-11 OGA" sheetId="129" r:id="rId39"/>
    <sheet name="F-11 CCFFAA" sheetId="130" r:id="rId40"/>
    <sheet name="F-11 EP" sheetId="131" r:id="rId41"/>
    <sheet name="F-11 MGP" sheetId="132" r:id="rId42"/>
    <sheet name="F-11 FAP" sheetId="133" r:id="rId43"/>
    <sheet name="F-11 CONIDA" sheetId="134" r:id="rId44"/>
    <sheet name="F-11 ENAMM" sheetId="135" r:id="rId45"/>
    <sheet name="F-11 OPREFA" sheetId="136" r:id="rId46"/>
    <sheet name="F-11 ACFFAA" sheetId="137" r:id="rId47"/>
    <sheet name="F-11 IGN" sheetId="138" r:id="rId48"/>
    <sheet name="F-11 CENEPRED" sheetId="139" r:id="rId49"/>
    <sheet name="F-11 INDECI" sheetId="140" r:id="rId50"/>
    <sheet name="F-12" sheetId="33" r:id="rId51"/>
    <sheet name="F-13" sheetId="50" r:id="rId52"/>
    <sheet name="F-14" sheetId="51" r:id="rId53"/>
    <sheet name="F-15" sheetId="39" r:id="rId54"/>
    <sheet name="F-16" sheetId="79" r:id="rId55"/>
    <sheet name="F-17 OGA" sheetId="80" r:id="rId56"/>
    <sheet name="F-17 CCFFAA" sheetId="81" r:id="rId57"/>
    <sheet name="F-17 EP" sheetId="82" r:id="rId58"/>
    <sheet name="F-17 MGP" sheetId="83" r:id="rId59"/>
    <sheet name="F-17 FAP" sheetId="84" r:id="rId60"/>
    <sheet name="F-17 CONIDA" sheetId="85" r:id="rId61"/>
    <sheet name="F-17 ENAMM" sheetId="86" r:id="rId62"/>
    <sheet name="F-17 OPREFA" sheetId="87" r:id="rId63"/>
    <sheet name="F-17 ACFFAA" sheetId="88" r:id="rId64"/>
    <sheet name="F-17 IGN" sheetId="89" r:id="rId65"/>
    <sheet name="F-17 CENEPRED" sheetId="90" r:id="rId66"/>
    <sheet name="F-17 INDECI" sheetId="91" r:id="rId67"/>
    <sheet name="F-18" sheetId="64" r:id="rId68"/>
  </sheets>
  <definedNames>
    <definedName name="_xlnm._FilterDatabase" localSheetId="64" hidden="1">'F-17 IGN'!$B$1:$B$84</definedName>
    <definedName name="_xlnm.Print_Area" localSheetId="1">'F-01'!$A$1:$L$33</definedName>
    <definedName name="_xlnm.Print_Area" localSheetId="2">'F-02'!$A$1:$D$21</definedName>
    <definedName name="_xlnm.Print_Area" localSheetId="3">'F-03'!$A$1:$D$54</definedName>
    <definedName name="_xlnm.Print_Area" localSheetId="5">'F-05'!$A$1:$D$33</definedName>
    <definedName name="_xlnm.Print_Area" localSheetId="6">'F-06'!$A$1:$N$51</definedName>
    <definedName name="_xlnm.Print_Area" localSheetId="7">'F-07'!$A$1:$Q$105</definedName>
    <definedName name="_xlnm.Print_Area" localSheetId="8">'F-08'!$A$1:$R$144</definedName>
    <definedName name="_xlnm.Print_Area" localSheetId="19">'F-09 ACFFAA'!$A$1:$W$61</definedName>
    <definedName name="_xlnm.Print_Area" localSheetId="12">'F-09 CCFFAA'!$A$1:$W$108</definedName>
    <definedName name="_xlnm.Print_Area" localSheetId="21">'F-09 CENEPRED'!$A$1:$W$62</definedName>
    <definedName name="_xlnm.Print_Area" localSheetId="16">'F-09 CONIDA'!$A$1:$W$91</definedName>
    <definedName name="_xlnm.Print_Area" localSheetId="17">'F-09 ENAMM'!$A$1:$W$110</definedName>
    <definedName name="_xlnm.Print_Area" localSheetId="13">'F-09 EP'!$A$1:$W$346</definedName>
    <definedName name="_xlnm.Print_Area" localSheetId="15">'F-09 FAP'!$A$1:$W$356</definedName>
    <definedName name="_xlnm.Print_Area" localSheetId="20">'F-09 IGN'!$A$1:$W$61</definedName>
    <definedName name="_xlnm.Print_Area" localSheetId="22">'F-09 INDECI'!$A$1:$W$61</definedName>
    <definedName name="_xlnm.Print_Area" localSheetId="14">'F-09 MGP'!$A$1:$W$359</definedName>
    <definedName name="_xlnm.Print_Area" localSheetId="11">'F-09 OGA'!$A$1:$W$82</definedName>
    <definedName name="_xlnm.Print_Area" localSheetId="18">'F-09 OPREFA'!$A$1:$W$62</definedName>
    <definedName name="_xlnm.Print_Area" localSheetId="10">'F-09 P026'!$A$1:$W$390</definedName>
    <definedName name="_xlnm.Print_Area" localSheetId="9">'F-09 S26'!$A$1:$W$365</definedName>
    <definedName name="_xlnm.Print_Area" localSheetId="46">'F-11 ACFFAA'!$A$1:$AI$71</definedName>
    <definedName name="_xlnm.Print_Area" localSheetId="39">'F-11 CCFFAA'!$A$1:$AI$70</definedName>
    <definedName name="_xlnm.Print_Area" localSheetId="48">'F-11 CENEPRED'!$A$1:$AI$71</definedName>
    <definedName name="_xlnm.Print_Area" localSheetId="42">'F-11 FAP'!$A$1:$AI$307</definedName>
    <definedName name="_xlnm.Print_Area" localSheetId="41">'F-11 MGP'!$A$1:$AI$319</definedName>
    <definedName name="_xlnm.Print_Area" localSheetId="45">'F-11 OPREFA'!$A$1:$AI$71</definedName>
    <definedName name="_xlnm.Print_Area" localSheetId="50">'F-12'!$A$1:$J$105</definedName>
    <definedName name="_xlnm.Print_Area" localSheetId="51">'F-13'!$A$1:$N$90</definedName>
    <definedName name="_xlnm.Print_Area" localSheetId="52">'F-14'!$A$1:$J$713</definedName>
    <definedName name="_xlnm.Print_Area" localSheetId="53">'F-15'!$A$1:$H$322</definedName>
    <definedName name="_xlnm.Print_Area" localSheetId="54">'F-16'!$A$1:$H$279</definedName>
    <definedName name="_xlnm.Print_Area" localSheetId="67">'F-18'!$A$1:$N$327</definedName>
    <definedName name="_xlnm.Print_Area" localSheetId="0">Índice!$A$1:$E$35</definedName>
    <definedName name="dd" localSheetId="2">#REF!</definedName>
    <definedName name="dd" localSheetId="3">#REF!</definedName>
    <definedName name="dd" localSheetId="5">#REF!</definedName>
    <definedName name="dd" localSheetId="9">#REF!</definedName>
    <definedName name="dd" localSheetId="23">#REF!</definedName>
    <definedName name="dd">#REF!</definedName>
    <definedName name="DIRECREC" localSheetId="1">#REF!</definedName>
    <definedName name="DIRECREC" localSheetId="2">#REF!</definedName>
    <definedName name="DIRECREC" localSheetId="3">#REF!</definedName>
    <definedName name="DIRECREC" localSheetId="5">#REF!</definedName>
    <definedName name="DIRECREC" localSheetId="6">#REF!</definedName>
    <definedName name="DIRECREC" localSheetId="9">#REF!</definedName>
    <definedName name="DIRECREC" localSheetId="23">#REF!</definedName>
    <definedName name="DIRECREC" localSheetId="67">#REF!</definedName>
    <definedName name="DIRECREC">#REF!</definedName>
    <definedName name="DONAC" localSheetId="1">#REF!</definedName>
    <definedName name="DONAC" localSheetId="2">#REF!</definedName>
    <definedName name="DONAC" localSheetId="3">#REF!</definedName>
    <definedName name="DONAC" localSheetId="5">#REF!</definedName>
    <definedName name="DONAC" localSheetId="6">#REF!</definedName>
    <definedName name="DONAC" localSheetId="9">#REF!</definedName>
    <definedName name="DONAC" localSheetId="23">#REF!</definedName>
    <definedName name="DONAC" localSheetId="67">#REF!</definedName>
    <definedName name="DONAC">#REF!</definedName>
    <definedName name="EE" localSheetId="2">#REF!</definedName>
    <definedName name="EE" localSheetId="3">#REF!</definedName>
    <definedName name="EE" localSheetId="5">#REF!</definedName>
    <definedName name="EE" localSheetId="9">#REF!</definedName>
    <definedName name="EE" localSheetId="23">#REF!</definedName>
    <definedName name="EE">#REF!</definedName>
    <definedName name="RECORD" localSheetId="1">#REF!</definedName>
    <definedName name="RECORD" localSheetId="2">#REF!</definedName>
    <definedName name="RECORD" localSheetId="3">#REF!</definedName>
    <definedName name="RECORD" localSheetId="5">#REF!</definedName>
    <definedName name="RECORD" localSheetId="6">#REF!</definedName>
    <definedName name="RECORD" localSheetId="9">#REF!</definedName>
    <definedName name="RECORD" localSheetId="23">#REF!</definedName>
    <definedName name="RECORD" localSheetId="67">#REF!</definedName>
    <definedName name="RECORD">#REF!</definedName>
    <definedName name="RECPUB" localSheetId="1">#REF!</definedName>
    <definedName name="RECPUB" localSheetId="2">#REF!</definedName>
    <definedName name="RECPUB" localSheetId="3">#REF!</definedName>
    <definedName name="RECPUB" localSheetId="5">#REF!</definedName>
    <definedName name="RECPUB" localSheetId="6">#REF!</definedName>
    <definedName name="RECPUB" localSheetId="9">#REF!</definedName>
    <definedName name="RECPUB" localSheetId="23">#REF!</definedName>
    <definedName name="RECPUB" localSheetId="67">#REF!</definedName>
    <definedName name="RECPUB">#REF!</definedName>
    <definedName name="_xlnm.Print_Titles" localSheetId="1">'F-01'!$1:$4</definedName>
    <definedName name="_xlnm.Print_Titles" localSheetId="4">'F-04'!$1:$4</definedName>
    <definedName name="_xlnm.Print_Titles" localSheetId="7">'F-07'!$1:$4</definedName>
    <definedName name="_xlnm.Print_Titles" localSheetId="8">'F-08'!$1:$4</definedName>
    <definedName name="_xlnm.Print_Titles" localSheetId="12">'F-09 CCFFAA'!$1:$6</definedName>
    <definedName name="_xlnm.Print_Titles" localSheetId="16">'F-09 CONIDA'!$1:$6</definedName>
    <definedName name="_xlnm.Print_Titles" localSheetId="13">'F-09 EP'!$1:$6</definedName>
    <definedName name="_xlnm.Print_Titles" localSheetId="15">'F-09 FAP'!$1:$6</definedName>
    <definedName name="_xlnm.Print_Titles" localSheetId="14">'F-09 MGP'!$1:$6</definedName>
    <definedName name="_xlnm.Print_Titles" localSheetId="11">'F-09 OGA'!$1:$6</definedName>
    <definedName name="_xlnm.Print_Titles" localSheetId="18">'F-09 OPREFA'!$1:$6</definedName>
    <definedName name="_xlnm.Print_Titles" localSheetId="10">'F-09 P026'!$1:$6</definedName>
    <definedName name="_xlnm.Print_Titles" localSheetId="9">'F-09 S26'!$1:$5</definedName>
    <definedName name="_xlnm.Print_Titles" localSheetId="40">'F-11 EP'!$1:$7</definedName>
    <definedName name="_xlnm.Print_Titles" localSheetId="42">'F-11 FAP'!$1:$7</definedName>
    <definedName name="_xlnm.Print_Titles" localSheetId="41">'F-11 MGP'!$1:$7</definedName>
    <definedName name="_xlnm.Print_Titles" localSheetId="50">'F-12'!$1:$6</definedName>
    <definedName name="_xlnm.Print_Titles" localSheetId="51">'F-13'!$1:$5</definedName>
    <definedName name="_xlnm.Print_Titles" localSheetId="52">'F-14'!$1:$5</definedName>
    <definedName name="_xlnm.Print_Titles" localSheetId="53">'F-15'!$1:$5</definedName>
    <definedName name="_xlnm.Print_Titles" localSheetId="54">'F-16'!$1:$5</definedName>
    <definedName name="_xlnm.Print_Titles" localSheetId="63">'F-17 ACFFAA'!$1:$6</definedName>
    <definedName name="_xlnm.Print_Titles" localSheetId="56">'F-17 CCFFAA'!$1:$6</definedName>
    <definedName name="_xlnm.Print_Titles" localSheetId="65">'F-17 CENEPRED'!$1:$6</definedName>
    <definedName name="_xlnm.Print_Titles" localSheetId="60">'F-17 CONIDA'!$1:$6</definedName>
    <definedName name="_xlnm.Print_Titles" localSheetId="61">'F-17 ENAMM'!$1:$6</definedName>
    <definedName name="_xlnm.Print_Titles" localSheetId="57">'F-17 EP'!$1:$6</definedName>
    <definedName name="_xlnm.Print_Titles" localSheetId="59">'F-17 FAP'!$1:$6</definedName>
    <definedName name="_xlnm.Print_Titles" localSheetId="64">'F-17 IGN'!$1:$6</definedName>
    <definedName name="_xlnm.Print_Titles" localSheetId="66">'F-17 INDECI'!$1:$6</definedName>
    <definedName name="_xlnm.Print_Titles" localSheetId="58">'F-17 MGP'!$1:$6</definedName>
    <definedName name="_xlnm.Print_Titles" localSheetId="55">'F-17 OGA'!$1:$6</definedName>
    <definedName name="_xlnm.Print_Titles" localSheetId="62">'F-17 OPREFA'!$1:$6</definedName>
    <definedName name="_xlnm.Print_Titles" localSheetId="67">'F-18'!$1:$5</definedName>
    <definedName name="_xlnm.Print_Titles" localSheetId="0">Índice!$1:$1</definedName>
    <definedName name="XPRINT" localSheetId="1">#REF!</definedName>
    <definedName name="XPRINT" localSheetId="2">#REF!</definedName>
    <definedName name="XPRINT" localSheetId="3">#REF!</definedName>
    <definedName name="XPRINT" localSheetId="5">#REF!</definedName>
    <definedName name="XPRINT" localSheetId="6">#REF!</definedName>
    <definedName name="XPRINT" localSheetId="9">#REF!</definedName>
    <definedName name="XPRINT" localSheetId="23">#REF!</definedName>
    <definedName name="XPRINT" localSheetId="67">#REF!</definedName>
    <definedName name="XPRINT">#REF!</definedName>
    <definedName name="XPRINT2" localSheetId="1">#REF!</definedName>
    <definedName name="XPRINT2" localSheetId="2">#REF!</definedName>
    <definedName name="XPRINT2" localSheetId="3">#REF!</definedName>
    <definedName name="XPRINT2" localSheetId="5">#REF!</definedName>
    <definedName name="XPRINT2" localSheetId="6">#REF!</definedName>
    <definedName name="XPRINT2" localSheetId="9">#REF!</definedName>
    <definedName name="XPRINT2" localSheetId="23">#REF!</definedName>
    <definedName name="XPRINT2" localSheetId="67">#REF!</definedName>
    <definedName name="XPRINT2">#REF!</definedName>
    <definedName name="XPRINT3" localSheetId="1">#REF!</definedName>
    <definedName name="XPRINT3" localSheetId="2">#REF!</definedName>
    <definedName name="XPRINT3" localSheetId="3">#REF!</definedName>
    <definedName name="XPRINT3" localSheetId="5">#REF!</definedName>
    <definedName name="XPRINT3" localSheetId="6">#REF!</definedName>
    <definedName name="XPRINT3" localSheetId="9">#REF!</definedName>
    <definedName name="XPRINT3" localSheetId="23">#REF!</definedName>
    <definedName name="XPRINT3" localSheetId="67">#REF!</definedName>
    <definedName name="XPRINT3">#REF!</definedName>
    <definedName name="XPRINT4" localSheetId="1">#REF!</definedName>
    <definedName name="XPRINT4" localSheetId="2">#REF!</definedName>
    <definedName name="XPRINT4" localSheetId="3">#REF!</definedName>
    <definedName name="XPRINT4" localSheetId="5">#REF!</definedName>
    <definedName name="XPRINT4" localSheetId="6">#REF!</definedName>
    <definedName name="XPRINT4" localSheetId="9">#REF!</definedName>
    <definedName name="XPRINT4" localSheetId="23">#REF!</definedName>
    <definedName name="XPRINT4" localSheetId="67">#REF!</definedName>
    <definedName name="XPRINT4">#REF!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19" i="39" l="1"/>
  <c r="E319" i="39"/>
  <c r="D319" i="39"/>
  <c r="E712" i="51"/>
  <c r="H256" i="79" l="1"/>
  <c r="E697" i="51"/>
  <c r="E691" i="51"/>
  <c r="E690" i="51"/>
  <c r="E689" i="51"/>
  <c r="E688" i="51"/>
  <c r="E687" i="51"/>
  <c r="E686" i="51"/>
  <c r="E685" i="51"/>
  <c r="H241" i="79" l="1"/>
  <c r="G241" i="79"/>
  <c r="N312" i="64" l="1"/>
  <c r="M312" i="64"/>
  <c r="K312" i="64"/>
  <c r="H215" i="79"/>
  <c r="F275" i="39"/>
  <c r="E275" i="39"/>
  <c r="D275" i="39"/>
  <c r="H174" i="79" l="1"/>
  <c r="G174" i="79"/>
  <c r="E460" i="51"/>
  <c r="H145" i="79" l="1"/>
  <c r="F230" i="39"/>
  <c r="E230" i="39"/>
  <c r="D230" i="39"/>
  <c r="N253" i="64" l="1"/>
  <c r="M253" i="64"/>
  <c r="N252" i="64"/>
  <c r="M252" i="64"/>
  <c r="N246" i="64"/>
  <c r="M246" i="64"/>
  <c r="N245" i="64"/>
  <c r="M245" i="64"/>
  <c r="N243" i="64"/>
  <c r="M243" i="64"/>
  <c r="N242" i="64"/>
  <c r="K242" i="64"/>
  <c r="M242" i="64" s="1"/>
  <c r="N240" i="64"/>
  <c r="M240" i="64"/>
  <c r="N239" i="64"/>
  <c r="M239" i="64"/>
  <c r="N237" i="64"/>
  <c r="M237" i="64"/>
  <c r="N236" i="64"/>
  <c r="M236" i="64"/>
  <c r="N233" i="64"/>
  <c r="M233" i="64"/>
  <c r="N232" i="64"/>
  <c r="M232" i="64"/>
  <c r="N230" i="64"/>
  <c r="M230" i="64"/>
  <c r="N229" i="64"/>
  <c r="M229" i="64"/>
  <c r="N228" i="64"/>
  <c r="M228" i="64"/>
  <c r="N227" i="64"/>
  <c r="M227" i="64"/>
  <c r="N226" i="64"/>
  <c r="M226" i="64"/>
  <c r="N225" i="64"/>
  <c r="M225" i="64"/>
  <c r="N224" i="64"/>
  <c r="M224" i="64"/>
  <c r="N223" i="64"/>
  <c r="M223" i="64"/>
  <c r="N222" i="64"/>
  <c r="M222" i="64"/>
  <c r="N221" i="64"/>
  <c r="M221" i="64"/>
  <c r="N220" i="64"/>
  <c r="M220" i="64"/>
  <c r="N219" i="64"/>
  <c r="M219" i="64"/>
  <c r="N218" i="64"/>
  <c r="M218" i="64"/>
  <c r="N217" i="64"/>
  <c r="M217" i="64"/>
  <c r="N215" i="64"/>
  <c r="M215" i="64"/>
  <c r="N214" i="64"/>
  <c r="M214" i="64"/>
  <c r="N213" i="64"/>
  <c r="M213" i="64"/>
  <c r="N207" i="64"/>
  <c r="M207" i="64"/>
  <c r="N206" i="64"/>
  <c r="M206" i="64"/>
  <c r="N203" i="64"/>
  <c r="M203" i="64"/>
  <c r="N202" i="64"/>
  <c r="M202" i="64"/>
  <c r="N200" i="64"/>
  <c r="M200" i="64"/>
  <c r="N199" i="64"/>
  <c r="M199" i="64"/>
  <c r="N192" i="64"/>
  <c r="N191" i="64"/>
  <c r="N190" i="64"/>
  <c r="N189" i="64"/>
  <c r="N188" i="64"/>
  <c r="N187" i="64"/>
  <c r="N186" i="64"/>
  <c r="N185" i="64"/>
  <c r="N184" i="64"/>
  <c r="N183" i="64"/>
  <c r="N182" i="64"/>
  <c r="N181" i="64"/>
  <c r="N180" i="64"/>
  <c r="N179" i="64"/>
  <c r="N178" i="64"/>
  <c r="N177" i="64"/>
  <c r="N176" i="64"/>
  <c r="N175" i="64"/>
  <c r="N173" i="64"/>
  <c r="N172" i="64"/>
  <c r="M100" i="64"/>
  <c r="M193" i="64" s="1"/>
  <c r="N98" i="64"/>
  <c r="N99" i="64" s="1"/>
  <c r="M97" i="64"/>
  <c r="M99" i="64" s="1"/>
  <c r="N96" i="64"/>
  <c r="M96" i="64"/>
  <c r="K93" i="64"/>
  <c r="N88" i="64"/>
  <c r="M88" i="64"/>
  <c r="H123" i="79"/>
  <c r="G123" i="79"/>
  <c r="H103" i="79"/>
  <c r="G103" i="79"/>
  <c r="F187" i="39"/>
  <c r="E187" i="39"/>
  <c r="D187" i="39"/>
  <c r="N264" i="64" l="1"/>
  <c r="M264" i="64"/>
  <c r="N193" i="64"/>
  <c r="H72" i="79" l="1"/>
  <c r="G72" i="79"/>
  <c r="N77" i="64"/>
  <c r="M77" i="64"/>
  <c r="N76" i="64"/>
  <c r="M76" i="64"/>
  <c r="N75" i="64"/>
  <c r="M75" i="64"/>
  <c r="N74" i="64"/>
  <c r="M74" i="64"/>
  <c r="N73" i="64"/>
  <c r="M73" i="64"/>
  <c r="N72" i="64"/>
  <c r="M72" i="64"/>
  <c r="N71" i="64"/>
  <c r="N265" i="64" s="1"/>
  <c r="M71" i="64"/>
  <c r="M265" i="64" s="1"/>
  <c r="N70" i="64"/>
  <c r="M70" i="64"/>
  <c r="N69" i="64"/>
  <c r="M69" i="64"/>
  <c r="N68" i="64"/>
  <c r="M68" i="64"/>
  <c r="N67" i="64"/>
  <c r="M67" i="64"/>
  <c r="N66" i="64"/>
  <c r="M66" i="64"/>
  <c r="N65" i="64"/>
  <c r="M65" i="64"/>
  <c r="N64" i="64"/>
  <c r="M64" i="64"/>
  <c r="N63" i="64"/>
  <c r="M63" i="64"/>
  <c r="N62" i="64"/>
  <c r="M62" i="64"/>
  <c r="N61" i="64"/>
  <c r="M61" i="64"/>
  <c r="N60" i="64"/>
  <c r="M60" i="64"/>
  <c r="N59" i="64"/>
  <c r="M59" i="64"/>
  <c r="N58" i="64"/>
  <c r="M58" i="64"/>
  <c r="N57" i="64"/>
  <c r="M57" i="64"/>
  <c r="N56" i="64"/>
  <c r="M56" i="64"/>
  <c r="N55" i="64"/>
  <c r="M55" i="64"/>
  <c r="N54" i="64"/>
  <c r="M54" i="64"/>
  <c r="N53" i="64"/>
  <c r="M53" i="64"/>
  <c r="N52" i="64"/>
  <c r="M52" i="64"/>
  <c r="N51" i="64"/>
  <c r="M51" i="64"/>
  <c r="N50" i="64"/>
  <c r="M50" i="64"/>
  <c r="N49" i="64"/>
  <c r="M49" i="64"/>
  <c r="N48" i="64"/>
  <c r="M48" i="64"/>
  <c r="N47" i="64"/>
  <c r="M47" i="64"/>
  <c r="N46" i="64"/>
  <c r="M46" i="64"/>
  <c r="N45" i="64"/>
  <c r="M45" i="64"/>
  <c r="N44" i="64"/>
  <c r="M44" i="64"/>
  <c r="N43" i="64"/>
  <c r="M43" i="64"/>
  <c r="N42" i="64"/>
  <c r="M42" i="64"/>
  <c r="N41" i="64"/>
  <c r="M41" i="64"/>
  <c r="N40" i="64"/>
  <c r="M40" i="64"/>
  <c r="N39" i="64"/>
  <c r="M39" i="64"/>
  <c r="N38" i="64"/>
  <c r="M38" i="64"/>
  <c r="N37" i="64"/>
  <c r="M37" i="64"/>
  <c r="N36" i="64"/>
  <c r="M36" i="64"/>
  <c r="N35" i="64"/>
  <c r="M35" i="64"/>
  <c r="N34" i="64"/>
  <c r="M34" i="64"/>
  <c r="N33" i="64"/>
  <c r="M33" i="64"/>
  <c r="N32" i="64"/>
  <c r="M32" i="64"/>
  <c r="N31" i="64"/>
  <c r="M31" i="64"/>
  <c r="N30" i="64"/>
  <c r="M30" i="64"/>
  <c r="N29" i="64"/>
  <c r="M29" i="64"/>
  <c r="N28" i="64"/>
  <c r="M28" i="64"/>
  <c r="N27" i="64"/>
  <c r="M27" i="64"/>
  <c r="N26" i="64"/>
  <c r="M26" i="64"/>
  <c r="N25" i="64"/>
  <c r="M25" i="64"/>
  <c r="N24" i="64"/>
  <c r="M24" i="64"/>
  <c r="N23" i="64"/>
  <c r="M23" i="64"/>
  <c r="N22" i="64"/>
  <c r="M22" i="64"/>
  <c r="N21" i="64"/>
  <c r="M21" i="64"/>
  <c r="N20" i="64"/>
  <c r="M20" i="64"/>
  <c r="N19" i="64"/>
  <c r="M19" i="64"/>
  <c r="N18" i="64"/>
  <c r="M18" i="64"/>
  <c r="N17" i="64"/>
  <c r="M17" i="64"/>
  <c r="N16" i="64"/>
  <c r="M16" i="64"/>
  <c r="H49" i="79" l="1"/>
  <c r="G49" i="79"/>
  <c r="D34" i="39"/>
  <c r="F28" i="39"/>
  <c r="E177" i="51" l="1"/>
  <c r="E168" i="51"/>
  <c r="E130" i="51"/>
  <c r="E29" i="39" l="1"/>
  <c r="F29" i="39"/>
  <c r="D9" i="39"/>
  <c r="D29" i="39" s="1"/>
  <c r="C29" i="76" l="1"/>
  <c r="C18" i="73" l="1"/>
  <c r="C19" i="73"/>
  <c r="D19" i="73"/>
  <c r="I25" i="62" l="1"/>
  <c r="I24" i="62"/>
  <c r="I23" i="62"/>
  <c r="I22" i="62"/>
  <c r="I21" i="62"/>
  <c r="I20" i="62"/>
  <c r="I18" i="62"/>
  <c r="I17" i="62"/>
  <c r="I16" i="62"/>
  <c r="I15" i="62"/>
  <c r="I14" i="62"/>
  <c r="I13" i="62"/>
  <c r="I12" i="62"/>
  <c r="I11" i="62"/>
  <c r="I10" i="62"/>
  <c r="I9" i="62"/>
  <c r="I8" i="62"/>
  <c r="I7" i="62"/>
  <c r="I6" i="62"/>
  <c r="I5" i="62"/>
  <c r="B81" i="107" l="1"/>
  <c r="B80" i="107" s="1"/>
  <c r="B105" i="107" s="1"/>
  <c r="C81" i="107"/>
  <c r="C80" i="107" s="1"/>
  <c r="C105" i="107" s="1"/>
  <c r="D81" i="107"/>
  <c r="D80" i="107" s="1"/>
  <c r="E81" i="107"/>
  <c r="E80" i="107" s="1"/>
  <c r="F81" i="107"/>
  <c r="F80" i="107" s="1"/>
  <c r="G81" i="107"/>
  <c r="G80" i="107" s="1"/>
  <c r="H81" i="107"/>
  <c r="H80" i="107" s="1"/>
  <c r="I81" i="107"/>
  <c r="I80" i="107" s="1"/>
  <c r="J81" i="107"/>
  <c r="J80" i="107" s="1"/>
  <c r="L81" i="107"/>
  <c r="L80" i="107" s="1"/>
  <c r="M81" i="107"/>
  <c r="M80" i="107" s="1"/>
  <c r="N81" i="107"/>
  <c r="N80" i="107" s="1"/>
  <c r="O81" i="107"/>
  <c r="O80" i="107" s="1"/>
  <c r="P81" i="107"/>
  <c r="P80" i="107" s="1"/>
  <c r="Q81" i="107"/>
  <c r="Q80" i="107" s="1"/>
  <c r="Q105" i="107" s="1"/>
  <c r="R81" i="107"/>
  <c r="R80" i="107" s="1"/>
  <c r="S81" i="107"/>
  <c r="S80" i="107" s="1"/>
  <c r="T81" i="107"/>
  <c r="T80" i="107" s="1"/>
  <c r="U81" i="107"/>
  <c r="U80" i="107" s="1"/>
  <c r="W83" i="107"/>
  <c r="W84" i="107"/>
  <c r="W85" i="107"/>
  <c r="K86" i="107"/>
  <c r="V86" i="107"/>
  <c r="K87" i="107"/>
  <c r="V87" i="107"/>
  <c r="D88" i="107"/>
  <c r="E88" i="107"/>
  <c r="F88" i="107"/>
  <c r="G88" i="107"/>
  <c r="H88" i="107"/>
  <c r="I88" i="107"/>
  <c r="J88" i="107"/>
  <c r="L88" i="107"/>
  <c r="M88" i="107"/>
  <c r="N88" i="107"/>
  <c r="O88" i="107"/>
  <c r="P88" i="107"/>
  <c r="Q88" i="107"/>
  <c r="R88" i="107"/>
  <c r="S88" i="107"/>
  <c r="T88" i="107"/>
  <c r="U88" i="107"/>
  <c r="W88" i="107"/>
  <c r="K89" i="107"/>
  <c r="K88" i="107" s="1"/>
  <c r="V89" i="107"/>
  <c r="V88" i="107" s="1"/>
  <c r="I93" i="107"/>
  <c r="I105" i="107" s="1"/>
  <c r="L93" i="107"/>
  <c r="T93" i="107"/>
  <c r="W93" i="107"/>
  <c r="K94" i="107"/>
  <c r="K93" i="107" s="1"/>
  <c r="V94" i="107"/>
  <c r="V93" i="107" s="1"/>
  <c r="L97" i="107"/>
  <c r="W97" i="107"/>
  <c r="T105" i="107"/>
  <c r="D346" i="104"/>
  <c r="D351" i="104" s="1"/>
  <c r="E346" i="104"/>
  <c r="E351" i="104" s="1"/>
  <c r="F346" i="104"/>
  <c r="G346" i="104"/>
  <c r="H346" i="104"/>
  <c r="I346" i="104"/>
  <c r="I351" i="104" s="1"/>
  <c r="J346" i="104"/>
  <c r="K346" i="104"/>
  <c r="K351" i="104" s="1"/>
  <c r="M346" i="104"/>
  <c r="M351" i="104" s="1"/>
  <c r="N346" i="104"/>
  <c r="O346" i="104"/>
  <c r="P346" i="104"/>
  <c r="P351" i="104" s="1"/>
  <c r="Q346" i="104"/>
  <c r="Q351" i="104" s="1"/>
  <c r="R346" i="104"/>
  <c r="R351" i="104" s="1"/>
  <c r="S346" i="104"/>
  <c r="S351" i="104" s="1"/>
  <c r="T346" i="104"/>
  <c r="T351" i="104" s="1"/>
  <c r="U346" i="104"/>
  <c r="U351" i="104" s="1"/>
  <c r="W346" i="104"/>
  <c r="K347" i="104"/>
  <c r="V347" i="104"/>
  <c r="K348" i="104"/>
  <c r="V348" i="104"/>
  <c r="K349" i="104"/>
  <c r="L349" i="104"/>
  <c r="L346" i="104" s="1"/>
  <c r="L351" i="104" s="1"/>
  <c r="V349" i="104"/>
  <c r="B351" i="104"/>
  <c r="C351" i="104"/>
  <c r="F351" i="104"/>
  <c r="G351" i="104"/>
  <c r="H351" i="104"/>
  <c r="J351" i="104"/>
  <c r="N351" i="104"/>
  <c r="O351" i="104"/>
  <c r="W351" i="104"/>
  <c r="D346" i="102"/>
  <c r="D354" i="102" s="1"/>
  <c r="E346" i="102"/>
  <c r="F346" i="102"/>
  <c r="G346" i="102"/>
  <c r="G354" i="102" s="1"/>
  <c r="H346" i="102"/>
  <c r="H354" i="102" s="1"/>
  <c r="I346" i="102"/>
  <c r="J346" i="102"/>
  <c r="J354" i="102" s="1"/>
  <c r="L346" i="102"/>
  <c r="M346" i="102"/>
  <c r="N346" i="102"/>
  <c r="O346" i="102"/>
  <c r="P346" i="102"/>
  <c r="Q346" i="102"/>
  <c r="Q354" i="102" s="1"/>
  <c r="R346" i="102"/>
  <c r="R354" i="102" s="1"/>
  <c r="S346" i="102"/>
  <c r="S354" i="102" s="1"/>
  <c r="T346" i="102"/>
  <c r="U346" i="102"/>
  <c r="W346" i="102"/>
  <c r="K347" i="102"/>
  <c r="K346" i="102" s="1"/>
  <c r="V347" i="102"/>
  <c r="V346" i="102" s="1"/>
  <c r="I351" i="102"/>
  <c r="K351" i="102"/>
  <c r="L351" i="102"/>
  <c r="T351" i="102"/>
  <c r="W351" i="102"/>
  <c r="K352" i="102"/>
  <c r="V352" i="102"/>
  <c r="V351" i="102" s="1"/>
  <c r="B354" i="102"/>
  <c r="C354" i="102"/>
  <c r="E354" i="102"/>
  <c r="F354" i="102"/>
  <c r="M354" i="102"/>
  <c r="N354" i="102"/>
  <c r="O354" i="102"/>
  <c r="P354" i="102"/>
  <c r="U354" i="102"/>
  <c r="W354" i="102"/>
  <c r="K354" i="102" l="1"/>
  <c r="I354" i="102"/>
  <c r="T354" i="102"/>
  <c r="L354" i="102"/>
  <c r="K81" i="107"/>
  <c r="K80" i="107" s="1"/>
  <c r="K105" i="107" s="1"/>
  <c r="E105" i="107"/>
  <c r="M105" i="107"/>
  <c r="L105" i="107"/>
  <c r="W81" i="107"/>
  <c r="W80" i="107" s="1"/>
  <c r="W105" i="107" s="1"/>
  <c r="N105" i="107"/>
  <c r="F105" i="107"/>
  <c r="U105" i="107"/>
  <c r="S105" i="107"/>
  <c r="V81" i="107"/>
  <c r="V80" i="107" s="1"/>
  <c r="V105" i="107" s="1"/>
  <c r="R105" i="107"/>
  <c r="J105" i="107"/>
  <c r="D105" i="107"/>
  <c r="P105" i="107"/>
  <c r="H105" i="107"/>
  <c r="O105" i="107"/>
  <c r="G105" i="107"/>
  <c r="V346" i="104"/>
  <c r="V351" i="104" s="1"/>
  <c r="V354" i="102"/>
  <c r="D335" i="100"/>
  <c r="E335" i="100"/>
  <c r="F335" i="100"/>
  <c r="G335" i="100"/>
  <c r="H335" i="100"/>
  <c r="I335" i="100"/>
  <c r="J335" i="100"/>
  <c r="L335" i="100"/>
  <c r="L341" i="100" s="1"/>
  <c r="M335" i="100"/>
  <c r="N335" i="100"/>
  <c r="O335" i="100"/>
  <c r="P335" i="100"/>
  <c r="Q335" i="100"/>
  <c r="R335" i="100"/>
  <c r="S335" i="100"/>
  <c r="T335" i="100"/>
  <c r="U335" i="100"/>
  <c r="W335" i="100"/>
  <c r="W341" i="100" s="1"/>
  <c r="K336" i="100"/>
  <c r="V336" i="100"/>
  <c r="K337" i="100"/>
  <c r="V337" i="100"/>
  <c r="K338" i="100"/>
  <c r="K335" i="100" s="1"/>
  <c r="K341" i="100" s="1"/>
  <c r="V338" i="100"/>
  <c r="D341" i="100"/>
  <c r="O341" i="100"/>
  <c r="V335" i="100" l="1"/>
  <c r="V341" i="100" s="1"/>
  <c r="C103" i="98"/>
  <c r="B103" i="98"/>
  <c r="W96" i="98"/>
  <c r="L96" i="98"/>
  <c r="K96" i="98"/>
  <c r="J96" i="98"/>
  <c r="V91" i="98"/>
  <c r="V90" i="98" s="1"/>
  <c r="V103" i="98" s="1"/>
  <c r="K91" i="98"/>
  <c r="K90" i="98" s="1"/>
  <c r="W90" i="98"/>
  <c r="U90" i="98"/>
  <c r="U103" i="98" s="1"/>
  <c r="T90" i="98"/>
  <c r="T103" i="98" s="1"/>
  <c r="S90" i="98"/>
  <c r="S103" i="98" s="1"/>
  <c r="R90" i="98"/>
  <c r="R103" i="98" s="1"/>
  <c r="Q90" i="98"/>
  <c r="Q103" i="98" s="1"/>
  <c r="P90" i="98"/>
  <c r="P103" i="98" s="1"/>
  <c r="O90" i="98"/>
  <c r="O103" i="98" s="1"/>
  <c r="N90" i="98"/>
  <c r="N103" i="98" s="1"/>
  <c r="M90" i="98"/>
  <c r="M103" i="98" s="1"/>
  <c r="L90" i="98"/>
  <c r="J90" i="98"/>
  <c r="I90" i="98"/>
  <c r="I103" i="98" s="1"/>
  <c r="H90" i="98"/>
  <c r="H103" i="98" s="1"/>
  <c r="G90" i="98"/>
  <c r="G103" i="98" s="1"/>
  <c r="F90" i="98"/>
  <c r="F103" i="98" s="1"/>
  <c r="E90" i="98"/>
  <c r="E103" i="98" s="1"/>
  <c r="D90" i="98"/>
  <c r="D103" i="98" s="1"/>
  <c r="L103" i="98" l="1"/>
  <c r="K103" i="98"/>
  <c r="W103" i="98"/>
  <c r="J103" i="98"/>
  <c r="V75" i="96" l="1"/>
  <c r="K75" i="96"/>
  <c r="V74" i="96"/>
  <c r="K74" i="96"/>
  <c r="W73" i="96"/>
  <c r="W72" i="96" s="1"/>
  <c r="W77" i="96" s="1"/>
  <c r="V73" i="96"/>
  <c r="L73" i="96"/>
  <c r="L72" i="96" s="1"/>
  <c r="L77" i="96" s="1"/>
  <c r="K73" i="96"/>
  <c r="U72" i="96"/>
  <c r="U77" i="96" s="1"/>
  <c r="T72" i="96"/>
  <c r="T77" i="96" s="1"/>
  <c r="S72" i="96"/>
  <c r="S77" i="96" s="1"/>
  <c r="R72" i="96"/>
  <c r="R77" i="96" s="1"/>
  <c r="Q72" i="96"/>
  <c r="Q77" i="96" s="1"/>
  <c r="P72" i="96"/>
  <c r="P77" i="96" s="1"/>
  <c r="O72" i="96"/>
  <c r="O77" i="96" s="1"/>
  <c r="N72" i="96"/>
  <c r="N77" i="96" s="1"/>
  <c r="M72" i="96"/>
  <c r="M77" i="96" s="1"/>
  <c r="J72" i="96"/>
  <c r="J77" i="96" s="1"/>
  <c r="I72" i="96"/>
  <c r="I77" i="96" s="1"/>
  <c r="H72" i="96"/>
  <c r="H77" i="96" s="1"/>
  <c r="G72" i="96"/>
  <c r="G77" i="96" s="1"/>
  <c r="F72" i="96"/>
  <c r="F77" i="96" s="1"/>
  <c r="E72" i="96"/>
  <c r="E77" i="96" s="1"/>
  <c r="D72" i="96"/>
  <c r="D77" i="96" s="1"/>
  <c r="C72" i="96"/>
  <c r="C77" i="96" s="1"/>
  <c r="B72" i="96"/>
  <c r="B77" i="96" s="1"/>
  <c r="E373" i="93"/>
  <c r="E385" i="93" s="1"/>
  <c r="F373" i="93"/>
  <c r="F385" i="93" s="1"/>
  <c r="G373" i="93"/>
  <c r="H373" i="93"/>
  <c r="I373" i="93"/>
  <c r="I385" i="93" s="1"/>
  <c r="J373" i="93"/>
  <c r="M373" i="93"/>
  <c r="M385" i="93" s="1"/>
  <c r="N373" i="93"/>
  <c r="N385" i="93" s="1"/>
  <c r="P373" i="93"/>
  <c r="P385" i="93" s="1"/>
  <c r="Q373" i="93"/>
  <c r="Q385" i="93" s="1"/>
  <c r="R373" i="93"/>
  <c r="S373" i="93"/>
  <c r="S385" i="93" s="1"/>
  <c r="T373" i="93"/>
  <c r="U373" i="93"/>
  <c r="D374" i="93"/>
  <c r="D373" i="93" s="1"/>
  <c r="D385" i="93" s="1"/>
  <c r="L374" i="93"/>
  <c r="L373" i="93" s="1"/>
  <c r="O374" i="93"/>
  <c r="V374" i="93" s="1"/>
  <c r="V373" i="93" s="1"/>
  <c r="V385" i="93" s="1"/>
  <c r="W374" i="93"/>
  <c r="W373" i="93" s="1"/>
  <c r="J378" i="93"/>
  <c r="K379" i="93"/>
  <c r="V379" i="93"/>
  <c r="K380" i="93"/>
  <c r="V380" i="93"/>
  <c r="K381" i="93"/>
  <c r="V381" i="93"/>
  <c r="K382" i="93"/>
  <c r="V382" i="93"/>
  <c r="K383" i="93"/>
  <c r="L383" i="93"/>
  <c r="L378" i="93" s="1"/>
  <c r="V383" i="93"/>
  <c r="W383" i="93"/>
  <c r="W378" i="93" s="1"/>
  <c r="K384" i="93"/>
  <c r="V384" i="93"/>
  <c r="B385" i="93"/>
  <c r="C385" i="93"/>
  <c r="G385" i="93"/>
  <c r="H385" i="93"/>
  <c r="J385" i="93"/>
  <c r="R385" i="93"/>
  <c r="T385" i="93"/>
  <c r="U385" i="93"/>
  <c r="C347" i="93"/>
  <c r="C346" i="93" s="1"/>
  <c r="C369" i="93" s="1"/>
  <c r="D347" i="93"/>
  <c r="D346" i="93" s="1"/>
  <c r="E347" i="93"/>
  <c r="E346" i="93" s="1"/>
  <c r="F347" i="93"/>
  <c r="F346" i="93" s="1"/>
  <c r="G347" i="93"/>
  <c r="G346" i="93" s="1"/>
  <c r="H347" i="93"/>
  <c r="H346" i="93" s="1"/>
  <c r="I347" i="93"/>
  <c r="I346" i="93" s="1"/>
  <c r="J347" i="93"/>
  <c r="J346" i="93" s="1"/>
  <c r="N347" i="93"/>
  <c r="N346" i="93" s="1"/>
  <c r="O347" i="93"/>
  <c r="O346" i="93" s="1"/>
  <c r="P347" i="93"/>
  <c r="P346" i="93" s="1"/>
  <c r="Q347" i="93"/>
  <c r="Q346" i="93" s="1"/>
  <c r="R347" i="93"/>
  <c r="R346" i="93" s="1"/>
  <c r="S347" i="93"/>
  <c r="S346" i="93" s="1"/>
  <c r="T347" i="93"/>
  <c r="T346" i="93" s="1"/>
  <c r="U347" i="93"/>
  <c r="U346" i="93" s="1"/>
  <c r="K348" i="93"/>
  <c r="V348" i="93"/>
  <c r="K349" i="93"/>
  <c r="V349" i="93"/>
  <c r="K350" i="93"/>
  <c r="V350" i="93"/>
  <c r="K351" i="93"/>
  <c r="V351" i="93"/>
  <c r="B352" i="93"/>
  <c r="K352" i="93" s="1"/>
  <c r="L352" i="93"/>
  <c r="L347" i="93" s="1"/>
  <c r="L346" i="93" s="1"/>
  <c r="M352" i="93"/>
  <c r="V352" i="93" s="1"/>
  <c r="W352" i="93"/>
  <c r="B353" i="93"/>
  <c r="K353" i="93" s="1"/>
  <c r="L353" i="93"/>
  <c r="M353" i="93"/>
  <c r="V353" i="93" s="1"/>
  <c r="W353" i="93"/>
  <c r="E354" i="93"/>
  <c r="F354" i="93"/>
  <c r="G354" i="93"/>
  <c r="H354" i="93"/>
  <c r="I354" i="93"/>
  <c r="J354" i="93"/>
  <c r="M354" i="93"/>
  <c r="N354" i="93"/>
  <c r="P354" i="93"/>
  <c r="Q354" i="93"/>
  <c r="R354" i="93"/>
  <c r="S354" i="93"/>
  <c r="T354" i="93"/>
  <c r="U354" i="93"/>
  <c r="V355" i="93"/>
  <c r="K356" i="93"/>
  <c r="V356" i="93"/>
  <c r="K357" i="93"/>
  <c r="V357" i="93"/>
  <c r="B360" i="93"/>
  <c r="B359" i="93" s="1"/>
  <c r="C360" i="93"/>
  <c r="C359" i="93" s="1"/>
  <c r="D360" i="93"/>
  <c r="D359" i="93" s="1"/>
  <c r="E360" i="93"/>
  <c r="E359" i="93" s="1"/>
  <c r="F360" i="93"/>
  <c r="F359" i="93" s="1"/>
  <c r="G360" i="93"/>
  <c r="G359" i="93" s="1"/>
  <c r="H360" i="93"/>
  <c r="H359" i="93" s="1"/>
  <c r="I360" i="93"/>
  <c r="I359" i="93" s="1"/>
  <c r="I369" i="93" s="1"/>
  <c r="J360" i="93"/>
  <c r="J359" i="93" s="1"/>
  <c r="L360" i="93"/>
  <c r="L359" i="93" s="1"/>
  <c r="M360" i="93"/>
  <c r="M359" i="93" s="1"/>
  <c r="N360" i="93"/>
  <c r="N359" i="93" s="1"/>
  <c r="O360" i="93"/>
  <c r="O359" i="93" s="1"/>
  <c r="P360" i="93"/>
  <c r="P359" i="93" s="1"/>
  <c r="Q360" i="93"/>
  <c r="Q359" i="93" s="1"/>
  <c r="R360" i="93"/>
  <c r="S360" i="93"/>
  <c r="S359" i="93" s="1"/>
  <c r="T360" i="93"/>
  <c r="T359" i="93" s="1"/>
  <c r="T369" i="93" s="1"/>
  <c r="U360" i="93"/>
  <c r="U359" i="93" s="1"/>
  <c r="W360" i="93"/>
  <c r="W359" i="93" s="1"/>
  <c r="J362" i="93"/>
  <c r="K363" i="93"/>
  <c r="V363" i="93"/>
  <c r="K364" i="93"/>
  <c r="V364" i="93"/>
  <c r="K365" i="93"/>
  <c r="V365" i="93"/>
  <c r="K366" i="93"/>
  <c r="V366" i="93"/>
  <c r="K367" i="93"/>
  <c r="L367" i="93"/>
  <c r="L362" i="93" s="1"/>
  <c r="V367" i="93"/>
  <c r="W367" i="93"/>
  <c r="W362" i="93" s="1"/>
  <c r="K368" i="93"/>
  <c r="V368" i="93"/>
  <c r="K72" i="96" l="1"/>
  <c r="K77" i="96" s="1"/>
  <c r="V72" i="96"/>
  <c r="V77" i="96" s="1"/>
  <c r="L385" i="93"/>
  <c r="H369" i="93"/>
  <c r="K378" i="93"/>
  <c r="P369" i="93"/>
  <c r="E369" i="93"/>
  <c r="W354" i="93"/>
  <c r="W385" i="93"/>
  <c r="V354" i="93"/>
  <c r="V347" i="93"/>
  <c r="V346" i="93" s="1"/>
  <c r="V360" i="93"/>
  <c r="V359" i="93" s="1"/>
  <c r="R359" i="93"/>
  <c r="L354" i="93"/>
  <c r="L369" i="93" s="1"/>
  <c r="N369" i="93"/>
  <c r="K374" i="93"/>
  <c r="K373" i="93" s="1"/>
  <c r="D354" i="93"/>
  <c r="D369" i="93" s="1"/>
  <c r="U369" i="93"/>
  <c r="J369" i="93"/>
  <c r="B347" i="93"/>
  <c r="B346" i="93" s="1"/>
  <c r="B369" i="93" s="1"/>
  <c r="K362" i="93"/>
  <c r="O373" i="93"/>
  <c r="O385" i="93" s="1"/>
  <c r="S369" i="93"/>
  <c r="R369" i="93"/>
  <c r="G369" i="93"/>
  <c r="W347" i="93"/>
  <c r="W346" i="93" s="1"/>
  <c r="Q369" i="93"/>
  <c r="F369" i="93"/>
  <c r="K347" i="93"/>
  <c r="K346" i="93" s="1"/>
  <c r="K360" i="93"/>
  <c r="K359" i="93" s="1"/>
  <c r="K355" i="93"/>
  <c r="K354" i="93" s="1"/>
  <c r="O354" i="93"/>
  <c r="O369" i="93" s="1"/>
  <c r="M347" i="93"/>
  <c r="M346" i="93" s="1"/>
  <c r="M369" i="93" s="1"/>
  <c r="B10" i="140"/>
  <c r="C10" i="140"/>
  <c r="D10" i="140"/>
  <c r="D37" i="140" s="1"/>
  <c r="E10" i="140"/>
  <c r="F10" i="140"/>
  <c r="G10" i="140"/>
  <c r="H10" i="140"/>
  <c r="I10" i="140"/>
  <c r="J10" i="140"/>
  <c r="K10" i="140"/>
  <c r="K37" i="140" s="1"/>
  <c r="L10" i="140"/>
  <c r="M10" i="140"/>
  <c r="N10" i="140"/>
  <c r="O10" i="140"/>
  <c r="O37" i="140" s="1"/>
  <c r="P10" i="140"/>
  <c r="P37" i="140" s="1"/>
  <c r="Q10" i="140"/>
  <c r="R10" i="140"/>
  <c r="S10" i="140"/>
  <c r="S37" i="140" s="1"/>
  <c r="T10" i="140"/>
  <c r="U10" i="140"/>
  <c r="V10" i="140"/>
  <c r="W10" i="140"/>
  <c r="W37" i="140" s="1"/>
  <c r="X10" i="140"/>
  <c r="X37" i="140" s="1"/>
  <c r="Y10" i="140"/>
  <c r="AA10" i="140"/>
  <c r="AB10" i="140"/>
  <c r="AB37" i="140" s="1"/>
  <c r="AC10" i="140"/>
  <c r="AF10" i="140"/>
  <c r="AH10" i="140"/>
  <c r="AI10" i="140"/>
  <c r="AI37" i="140" s="1"/>
  <c r="Z12" i="140"/>
  <c r="AF12" i="140"/>
  <c r="Z13" i="140"/>
  <c r="AF13" i="140"/>
  <c r="Z14" i="140"/>
  <c r="AF14" i="140"/>
  <c r="Z15" i="140"/>
  <c r="AG15" i="140" s="1"/>
  <c r="AD15" i="140"/>
  <c r="AE15" i="140" s="1"/>
  <c r="AF15" i="140"/>
  <c r="Z16" i="140"/>
  <c r="AF16" i="140"/>
  <c r="B17" i="140"/>
  <c r="C17" i="140"/>
  <c r="D17" i="140"/>
  <c r="E17" i="140"/>
  <c r="F17" i="140"/>
  <c r="G17" i="140"/>
  <c r="H17" i="140"/>
  <c r="I17" i="140"/>
  <c r="J17" i="140"/>
  <c r="K17" i="140"/>
  <c r="L17" i="140"/>
  <c r="M17" i="140"/>
  <c r="N17" i="140"/>
  <c r="O17" i="140"/>
  <c r="P17" i="140"/>
  <c r="Q17" i="140"/>
  <c r="R17" i="140"/>
  <c r="S17" i="140"/>
  <c r="T17" i="140"/>
  <c r="U17" i="140"/>
  <c r="V17" i="140"/>
  <c r="W17" i="140"/>
  <c r="X17" i="140"/>
  <c r="Y17" i="140"/>
  <c r="AA17" i="140"/>
  <c r="AB17" i="140"/>
  <c r="AC17" i="140"/>
  <c r="AF17" i="140"/>
  <c r="AH17" i="140"/>
  <c r="AI17" i="140"/>
  <c r="Z18" i="140"/>
  <c r="AF18" i="140"/>
  <c r="Z19" i="140"/>
  <c r="AG19" i="140" s="1"/>
  <c r="AF19" i="140"/>
  <c r="Z20" i="140"/>
  <c r="AF20" i="140"/>
  <c r="Z21" i="140"/>
  <c r="AD21" i="140" s="1"/>
  <c r="AE21" i="140" s="1"/>
  <c r="AF21" i="140"/>
  <c r="Z22" i="140"/>
  <c r="AG22" i="140" s="1"/>
  <c r="AD22" i="140"/>
  <c r="AE22" i="140" s="1"/>
  <c r="AF22" i="140"/>
  <c r="Z23" i="140"/>
  <c r="AF23" i="140"/>
  <c r="B24" i="140"/>
  <c r="C24" i="140"/>
  <c r="D24" i="140"/>
  <c r="E24" i="140"/>
  <c r="F24" i="140"/>
  <c r="G24" i="140"/>
  <c r="H24" i="140"/>
  <c r="I24" i="140"/>
  <c r="J24" i="140"/>
  <c r="K24" i="140"/>
  <c r="L24" i="140"/>
  <c r="M24" i="140"/>
  <c r="N24" i="140"/>
  <c r="O24" i="140"/>
  <c r="P24" i="140"/>
  <c r="Q24" i="140"/>
  <c r="R24" i="140"/>
  <c r="S24" i="140"/>
  <c r="T24" i="140"/>
  <c r="U24" i="140"/>
  <c r="V24" i="140"/>
  <c r="W24" i="140"/>
  <c r="X24" i="140"/>
  <c r="Y24" i="140"/>
  <c r="AA24" i="140"/>
  <c r="AB24" i="140"/>
  <c r="AC24" i="140"/>
  <c r="AF24" i="140"/>
  <c r="AH24" i="140"/>
  <c r="AI24" i="140"/>
  <c r="Z25" i="140"/>
  <c r="AF25" i="140"/>
  <c r="Z26" i="140"/>
  <c r="AG26" i="140" s="1"/>
  <c r="AF26" i="140"/>
  <c r="Z27" i="140"/>
  <c r="AD27" i="140" s="1"/>
  <c r="AE27" i="140" s="1"/>
  <c r="AF27" i="140"/>
  <c r="AG27" i="140"/>
  <c r="Z28" i="140"/>
  <c r="AF28" i="140"/>
  <c r="Z29" i="140"/>
  <c r="AG29" i="140" s="1"/>
  <c r="AF29" i="140"/>
  <c r="Z30" i="140"/>
  <c r="AD30" i="140" s="1"/>
  <c r="AE30" i="140" s="1"/>
  <c r="AF30" i="140"/>
  <c r="AG30" i="140"/>
  <c r="B31" i="140"/>
  <c r="AF31" i="140" s="1"/>
  <c r="C31" i="140"/>
  <c r="D31" i="140"/>
  <c r="E31" i="140"/>
  <c r="F31" i="140"/>
  <c r="G31" i="140"/>
  <c r="H31" i="140"/>
  <c r="I31" i="140"/>
  <c r="J31" i="140"/>
  <c r="K31" i="140"/>
  <c r="L31" i="140"/>
  <c r="M31" i="140"/>
  <c r="N31" i="140"/>
  <c r="O31" i="140"/>
  <c r="P31" i="140"/>
  <c r="Q31" i="140"/>
  <c r="R31" i="140"/>
  <c r="R37" i="140" s="1"/>
  <c r="S31" i="140"/>
  <c r="T31" i="140"/>
  <c r="U31" i="140"/>
  <c r="V31" i="140"/>
  <c r="W31" i="140"/>
  <c r="X31" i="140"/>
  <c r="Y31" i="140"/>
  <c r="AA31" i="140"/>
  <c r="AA37" i="140" s="1"/>
  <c r="AB31" i="140"/>
  <c r="AC31" i="140"/>
  <c r="AH31" i="140"/>
  <c r="AI31" i="140"/>
  <c r="Z32" i="140"/>
  <c r="AD32" i="140" s="1"/>
  <c r="AF32" i="140"/>
  <c r="AG32" i="140"/>
  <c r="Z33" i="140"/>
  <c r="AG33" i="140" s="1"/>
  <c r="AF33" i="140"/>
  <c r="Z34" i="140"/>
  <c r="Z35" i="140"/>
  <c r="Z36" i="140"/>
  <c r="AG36" i="140" s="1"/>
  <c r="AF36" i="140"/>
  <c r="C37" i="140"/>
  <c r="L37" i="140"/>
  <c r="N37" i="140"/>
  <c r="Q37" i="140"/>
  <c r="T37" i="140"/>
  <c r="V37" i="140"/>
  <c r="Y37" i="140"/>
  <c r="AC37" i="140"/>
  <c r="AH37" i="140"/>
  <c r="K11" i="135"/>
  <c r="N11" i="135"/>
  <c r="Z11" i="135"/>
  <c r="AD11" i="135" s="1"/>
  <c r="AE11" i="135" s="1"/>
  <c r="AC11" i="135"/>
  <c r="AG11" i="135"/>
  <c r="K12" i="135"/>
  <c r="N12" i="135"/>
  <c r="O12" i="135" s="1"/>
  <c r="Z12" i="135"/>
  <c r="AC12" i="135"/>
  <c r="AG12" i="135"/>
  <c r="K13" i="135"/>
  <c r="O13" i="135" s="1"/>
  <c r="N13" i="135"/>
  <c r="Z13" i="135"/>
  <c r="AC13" i="135"/>
  <c r="AD13" i="135"/>
  <c r="AE13" i="135"/>
  <c r="AG13" i="135"/>
  <c r="K14" i="135"/>
  <c r="N14" i="135"/>
  <c r="Z14" i="135"/>
  <c r="AC14" i="135"/>
  <c r="AD14" i="135" s="1"/>
  <c r="AE14" i="135" s="1"/>
  <c r="AG14" i="135"/>
  <c r="K17" i="135"/>
  <c r="N17" i="135"/>
  <c r="Z17" i="135"/>
  <c r="AC17" i="135"/>
  <c r="AG17" i="135"/>
  <c r="K18" i="135"/>
  <c r="N18" i="135"/>
  <c r="O18" i="135"/>
  <c r="Z18" i="135"/>
  <c r="AD18" i="135" s="1"/>
  <c r="AE18" i="135" s="1"/>
  <c r="AC18" i="135"/>
  <c r="AG18" i="135"/>
  <c r="K19" i="135"/>
  <c r="O19" i="135" s="1"/>
  <c r="N19" i="135"/>
  <c r="Z19" i="135"/>
  <c r="AD19" i="135" s="1"/>
  <c r="AE19" i="135" s="1"/>
  <c r="AC19" i="135"/>
  <c r="AG19" i="135"/>
  <c r="K22" i="135"/>
  <c r="O22" i="135" s="1"/>
  <c r="P22" i="135" s="1"/>
  <c r="N22" i="135"/>
  <c r="Z22" i="135"/>
  <c r="AD22" i="135" s="1"/>
  <c r="AE22" i="135" s="1"/>
  <c r="AC22" i="135"/>
  <c r="AG22" i="135"/>
  <c r="K23" i="135"/>
  <c r="N23" i="135"/>
  <c r="Z23" i="135"/>
  <c r="AD23" i="135" s="1"/>
  <c r="AE23" i="135" s="1"/>
  <c r="AC23" i="135"/>
  <c r="AG23" i="135"/>
  <c r="K24" i="135"/>
  <c r="O24" i="135" s="1"/>
  <c r="P24" i="135" s="1"/>
  <c r="N24" i="135"/>
  <c r="Z24" i="135"/>
  <c r="AC24" i="135"/>
  <c r="AD24" i="135"/>
  <c r="AE24" i="135" s="1"/>
  <c r="AG24" i="135"/>
  <c r="K27" i="135"/>
  <c r="N27" i="135"/>
  <c r="Z27" i="135"/>
  <c r="AC27" i="135"/>
  <c r="AD27" i="135"/>
  <c r="AE27" i="135" s="1"/>
  <c r="AG27" i="135"/>
  <c r="K28" i="135"/>
  <c r="O28" i="135" s="1"/>
  <c r="N28" i="135"/>
  <c r="Z28" i="135"/>
  <c r="AC28" i="135"/>
  <c r="AD28" i="135" s="1"/>
  <c r="AE28" i="135" s="1"/>
  <c r="AG28" i="135"/>
  <c r="K29" i="135"/>
  <c r="N29" i="135"/>
  <c r="Z29" i="135"/>
  <c r="AD29" i="135" s="1"/>
  <c r="AE29" i="135" s="1"/>
  <c r="AC29" i="135"/>
  <c r="AG29" i="135"/>
  <c r="K33" i="135"/>
  <c r="N33" i="135"/>
  <c r="O33" i="135"/>
  <c r="Z33" i="135"/>
  <c r="AC33" i="135"/>
  <c r="AG33" i="135"/>
  <c r="B35" i="135"/>
  <c r="C35" i="135"/>
  <c r="D35" i="135"/>
  <c r="L35" i="135"/>
  <c r="Q35" i="135"/>
  <c r="R35" i="135"/>
  <c r="S35" i="135"/>
  <c r="AA35" i="135"/>
  <c r="AH35" i="135"/>
  <c r="AI35" i="135"/>
  <c r="C10" i="134"/>
  <c r="K10" i="134" s="1"/>
  <c r="R10" i="134"/>
  <c r="Z10" i="134" s="1"/>
  <c r="C11" i="134"/>
  <c r="K11" i="134"/>
  <c r="O11" i="134" s="1"/>
  <c r="R11" i="134"/>
  <c r="Z11" i="134" s="1"/>
  <c r="AD11" i="134" s="1"/>
  <c r="C12" i="134"/>
  <c r="Z12" i="134"/>
  <c r="AD12" i="134" s="1"/>
  <c r="C13" i="134"/>
  <c r="K13" i="134" s="1"/>
  <c r="O13" i="134" s="1"/>
  <c r="R13" i="134"/>
  <c r="Z13" i="134" s="1"/>
  <c r="AD13" i="134" s="1"/>
  <c r="B15" i="134"/>
  <c r="D15" i="134"/>
  <c r="E15" i="134"/>
  <c r="F15" i="134"/>
  <c r="G15" i="134"/>
  <c r="H15" i="134"/>
  <c r="I15" i="134"/>
  <c r="J15" i="134"/>
  <c r="L15" i="134"/>
  <c r="M15" i="134"/>
  <c r="N15" i="134"/>
  <c r="Q15" i="134"/>
  <c r="S15" i="134"/>
  <c r="T15" i="134"/>
  <c r="U15" i="134"/>
  <c r="V15" i="134"/>
  <c r="W15" i="134"/>
  <c r="X15" i="134"/>
  <c r="Y15" i="134"/>
  <c r="AA15" i="134"/>
  <c r="AB15" i="134"/>
  <c r="AC15" i="134"/>
  <c r="AH15" i="134"/>
  <c r="B10" i="133"/>
  <c r="Q10" i="133"/>
  <c r="AH10" i="133"/>
  <c r="AI10" i="133"/>
  <c r="O11" i="133"/>
  <c r="AF11" i="133" s="1"/>
  <c r="AD11" i="133"/>
  <c r="AE11" i="133" s="1"/>
  <c r="O12" i="133"/>
  <c r="P12" i="133" s="1"/>
  <c r="AD12" i="133"/>
  <c r="AE12" i="133" s="1"/>
  <c r="O13" i="133"/>
  <c r="P13" i="133" s="1"/>
  <c r="AD13" i="133"/>
  <c r="AE13" i="133" s="1"/>
  <c r="D14" i="133"/>
  <c r="K14" i="133"/>
  <c r="L14" i="133"/>
  <c r="N14" i="133" s="1"/>
  <c r="Z14" i="133"/>
  <c r="AA14" i="133"/>
  <c r="AC14" i="133" s="1"/>
  <c r="D15" i="133"/>
  <c r="K15" i="133" s="1"/>
  <c r="L15" i="133"/>
  <c r="N15" i="133" s="1"/>
  <c r="Z15" i="133"/>
  <c r="AA15" i="133"/>
  <c r="AC15" i="133" s="1"/>
  <c r="D16" i="133"/>
  <c r="K16" i="133" s="1"/>
  <c r="L16" i="133"/>
  <c r="N16" i="133" s="1"/>
  <c r="Z16" i="133"/>
  <c r="AA16" i="133"/>
  <c r="AC16" i="133" s="1"/>
  <c r="D17" i="133"/>
  <c r="K17" i="133" s="1"/>
  <c r="L17" i="133"/>
  <c r="N17" i="133" s="1"/>
  <c r="Z17" i="133"/>
  <c r="AA17" i="133"/>
  <c r="AC17" i="133" s="1"/>
  <c r="D18" i="133"/>
  <c r="K18" i="133" s="1"/>
  <c r="L18" i="133"/>
  <c r="N18" i="133" s="1"/>
  <c r="Z18" i="133"/>
  <c r="AA18" i="133"/>
  <c r="AC18" i="133" s="1"/>
  <c r="B19" i="133"/>
  <c r="Q19" i="133"/>
  <c r="AH19" i="133"/>
  <c r="AI19" i="133"/>
  <c r="D20" i="133"/>
  <c r="K20" i="133" s="1"/>
  <c r="L20" i="133"/>
  <c r="N20" i="133"/>
  <c r="Z20" i="133"/>
  <c r="AA20" i="133"/>
  <c r="AC20" i="133" s="1"/>
  <c r="D21" i="133"/>
  <c r="K21" i="133" s="1"/>
  <c r="L21" i="133"/>
  <c r="N21" i="133" s="1"/>
  <c r="Z21" i="133"/>
  <c r="AA21" i="133"/>
  <c r="AC21" i="133" s="1"/>
  <c r="D22" i="133"/>
  <c r="K22" i="133"/>
  <c r="L22" i="133"/>
  <c r="N22" i="133"/>
  <c r="Z22" i="133"/>
  <c r="AA22" i="133"/>
  <c r="AC22" i="133" s="1"/>
  <c r="D23" i="133"/>
  <c r="K23" i="133" s="1"/>
  <c r="L23" i="133"/>
  <c r="N23" i="133" s="1"/>
  <c r="Z23" i="133"/>
  <c r="AA23" i="133"/>
  <c r="AC23" i="133" s="1"/>
  <c r="D24" i="133"/>
  <c r="K24" i="133" s="1"/>
  <c r="L24" i="133"/>
  <c r="N24" i="133" s="1"/>
  <c r="Z24" i="133"/>
  <c r="AA24" i="133"/>
  <c r="AC24" i="133" s="1"/>
  <c r="D25" i="133"/>
  <c r="K25" i="133" s="1"/>
  <c r="L25" i="133"/>
  <c r="N25" i="133" s="1"/>
  <c r="Z25" i="133"/>
  <c r="AA25" i="133"/>
  <c r="AC25" i="133" s="1"/>
  <c r="B26" i="133"/>
  <c r="Q26" i="133"/>
  <c r="AH26" i="133"/>
  <c r="AI26" i="133"/>
  <c r="D27" i="133"/>
  <c r="K27" i="133" s="1"/>
  <c r="L27" i="133"/>
  <c r="N27" i="133" s="1"/>
  <c r="Z27" i="133"/>
  <c r="AA27" i="133"/>
  <c r="AC27" i="133" s="1"/>
  <c r="D28" i="133"/>
  <c r="K28" i="133" s="1"/>
  <c r="L28" i="133"/>
  <c r="N28" i="133" s="1"/>
  <c r="Z28" i="133"/>
  <c r="AD28" i="133" s="1"/>
  <c r="AE28" i="133" s="1"/>
  <c r="AA28" i="133"/>
  <c r="AC28" i="133" s="1"/>
  <c r="D29" i="133"/>
  <c r="K29" i="133"/>
  <c r="L29" i="133"/>
  <c r="N29" i="133" s="1"/>
  <c r="Z29" i="133"/>
  <c r="AA29" i="133"/>
  <c r="AC29" i="133" s="1"/>
  <c r="D30" i="133"/>
  <c r="K30" i="133" s="1"/>
  <c r="L30" i="133"/>
  <c r="N30" i="133" s="1"/>
  <c r="Z30" i="133"/>
  <c r="AA30" i="133"/>
  <c r="AC30" i="133" s="1"/>
  <c r="AD30" i="133" s="1"/>
  <c r="AE30" i="133" s="1"/>
  <c r="D31" i="133"/>
  <c r="K31" i="133" s="1"/>
  <c r="L31" i="133"/>
  <c r="N31" i="133" s="1"/>
  <c r="Z31" i="133"/>
  <c r="AA31" i="133"/>
  <c r="AC31" i="133" s="1"/>
  <c r="D32" i="133"/>
  <c r="K32" i="133" s="1"/>
  <c r="L32" i="133"/>
  <c r="N32" i="133" s="1"/>
  <c r="Z32" i="133"/>
  <c r="AA32" i="133"/>
  <c r="AC32" i="133" s="1"/>
  <c r="B33" i="133"/>
  <c r="Q33" i="133"/>
  <c r="AH33" i="133"/>
  <c r="AI33" i="133"/>
  <c r="D34" i="133"/>
  <c r="K34" i="133"/>
  <c r="L34" i="133"/>
  <c r="N34" i="133" s="1"/>
  <c r="Z34" i="133"/>
  <c r="AA34" i="133"/>
  <c r="AC34" i="133" s="1"/>
  <c r="D35" i="133"/>
  <c r="K35" i="133" s="1"/>
  <c r="L35" i="133"/>
  <c r="N35" i="133" s="1"/>
  <c r="Z35" i="133"/>
  <c r="AA35" i="133"/>
  <c r="AC35" i="133" s="1"/>
  <c r="AD35" i="133" s="1"/>
  <c r="AE35" i="133" s="1"/>
  <c r="D36" i="133"/>
  <c r="K36" i="133" s="1"/>
  <c r="L36" i="133"/>
  <c r="N36" i="133" s="1"/>
  <c r="Z36" i="133"/>
  <c r="AA36" i="133"/>
  <c r="AC36" i="133" s="1"/>
  <c r="D37" i="133"/>
  <c r="K37" i="133" s="1"/>
  <c r="O37" i="133" s="1"/>
  <c r="L37" i="133"/>
  <c r="N37" i="133" s="1"/>
  <c r="Z37" i="133"/>
  <c r="AA37" i="133"/>
  <c r="AC37" i="133" s="1"/>
  <c r="AD37" i="133" s="1"/>
  <c r="AE37" i="133" s="1"/>
  <c r="D38" i="133"/>
  <c r="K38" i="133" s="1"/>
  <c r="L38" i="133"/>
  <c r="N38" i="133" s="1"/>
  <c r="Z38" i="133"/>
  <c r="AA38" i="133"/>
  <c r="AC38" i="133" s="1"/>
  <c r="AF39" i="133"/>
  <c r="AG39" i="133"/>
  <c r="B40" i="133"/>
  <c r="Q40" i="133"/>
  <c r="AH40" i="133"/>
  <c r="AI40" i="133"/>
  <c r="K41" i="133"/>
  <c r="L41" i="133"/>
  <c r="N41" i="133" s="1"/>
  <c r="Z41" i="133"/>
  <c r="AA41" i="133"/>
  <c r="AC41" i="133" s="1"/>
  <c r="Z42" i="133"/>
  <c r="AA42" i="133"/>
  <c r="AC42" i="133" s="1"/>
  <c r="AD43" i="133"/>
  <c r="AE43" i="133"/>
  <c r="AH43" i="133"/>
  <c r="AI43" i="133"/>
  <c r="AF44" i="133"/>
  <c r="AG44" i="133"/>
  <c r="AF45" i="133"/>
  <c r="AG45" i="133"/>
  <c r="B46" i="133"/>
  <c r="Q46" i="133"/>
  <c r="AH46" i="133"/>
  <c r="AI46" i="133"/>
  <c r="AF47" i="133"/>
  <c r="AG47" i="133"/>
  <c r="AF48" i="133"/>
  <c r="AG48" i="133"/>
  <c r="AF49" i="133"/>
  <c r="AG49" i="133"/>
  <c r="AF50" i="133"/>
  <c r="AG50" i="133"/>
  <c r="AF51" i="133"/>
  <c r="AG51" i="133"/>
  <c r="AF52" i="133"/>
  <c r="AG52" i="133"/>
  <c r="AF53" i="133"/>
  <c r="AG53" i="133"/>
  <c r="AF54" i="133"/>
  <c r="AG54" i="133"/>
  <c r="P55" i="133"/>
  <c r="AG55" i="133" s="1"/>
  <c r="AF55" i="133"/>
  <c r="K56" i="133"/>
  <c r="L56" i="133"/>
  <c r="N56" i="133" s="1"/>
  <c r="Z56" i="133"/>
  <c r="AA56" i="133"/>
  <c r="AC56" i="133" s="1"/>
  <c r="K57" i="133"/>
  <c r="O57" i="133" s="1"/>
  <c r="L57" i="133"/>
  <c r="N57" i="133" s="1"/>
  <c r="Z57" i="133"/>
  <c r="AA57" i="133"/>
  <c r="AC57" i="133" s="1"/>
  <c r="AD57" i="133" s="1"/>
  <c r="AE57" i="133" s="1"/>
  <c r="K58" i="133"/>
  <c r="L58" i="133"/>
  <c r="N58" i="133" s="1"/>
  <c r="Z58" i="133"/>
  <c r="AA58" i="133"/>
  <c r="AC58" i="133" s="1"/>
  <c r="K59" i="133"/>
  <c r="L59" i="133"/>
  <c r="N59" i="133" s="1"/>
  <c r="Z59" i="133"/>
  <c r="AA59" i="133"/>
  <c r="AC59" i="133" s="1"/>
  <c r="AD59" i="133" s="1"/>
  <c r="AE59" i="133" s="1"/>
  <c r="K60" i="133"/>
  <c r="L60" i="133"/>
  <c r="N60" i="133" s="1"/>
  <c r="Z60" i="133"/>
  <c r="AD60" i="133" s="1"/>
  <c r="AE60" i="133" s="1"/>
  <c r="AC60" i="133"/>
  <c r="K61" i="133"/>
  <c r="L61" i="133"/>
  <c r="N61" i="133" s="1"/>
  <c r="Z61" i="133"/>
  <c r="AC61" i="133"/>
  <c r="K62" i="133"/>
  <c r="L62" i="133"/>
  <c r="N62" i="133" s="1"/>
  <c r="Z62" i="133"/>
  <c r="AC62" i="133"/>
  <c r="AD62" i="133" s="1"/>
  <c r="AE62" i="133" s="1"/>
  <c r="K63" i="133"/>
  <c r="L63" i="133"/>
  <c r="N63" i="133" s="1"/>
  <c r="Z63" i="133"/>
  <c r="AD63" i="133" s="1"/>
  <c r="AE63" i="133" s="1"/>
  <c r="AC63" i="133"/>
  <c r="K64" i="133"/>
  <c r="L64" i="133"/>
  <c r="N64" i="133" s="1"/>
  <c r="O64" i="133" s="1"/>
  <c r="Z64" i="133"/>
  <c r="AA64" i="133"/>
  <c r="AC64" i="133" s="1"/>
  <c r="B65" i="133"/>
  <c r="Q65" i="133"/>
  <c r="AH65" i="133"/>
  <c r="AI65" i="133"/>
  <c r="H66" i="133"/>
  <c r="P66" i="133"/>
  <c r="Z66" i="133"/>
  <c r="AC66" i="133"/>
  <c r="P67" i="133"/>
  <c r="Z67" i="133"/>
  <c r="AC67" i="133"/>
  <c r="AD67" i="133" s="1"/>
  <c r="AE67" i="133" s="1"/>
  <c r="AG67" i="133" s="1"/>
  <c r="P68" i="133"/>
  <c r="Z68" i="133"/>
  <c r="AC68" i="133"/>
  <c r="P69" i="133"/>
  <c r="Z69" i="133"/>
  <c r="AC69" i="133"/>
  <c r="K70" i="133"/>
  <c r="L70" i="133"/>
  <c r="N70" i="133" s="1"/>
  <c r="Z70" i="133"/>
  <c r="AA70" i="133"/>
  <c r="AC70" i="133" s="1"/>
  <c r="AD70" i="133" s="1"/>
  <c r="AE70" i="133" s="1"/>
  <c r="K71" i="133"/>
  <c r="L71" i="133"/>
  <c r="N71" i="133" s="1"/>
  <c r="Z71" i="133"/>
  <c r="AA71" i="133"/>
  <c r="AC71" i="133" s="1"/>
  <c r="K72" i="133"/>
  <c r="L72" i="133"/>
  <c r="N72" i="133" s="1"/>
  <c r="Z72" i="133"/>
  <c r="AA72" i="133"/>
  <c r="AC72" i="133" s="1"/>
  <c r="AD72" i="133" s="1"/>
  <c r="AE72" i="133" s="1"/>
  <c r="K73" i="133"/>
  <c r="L73" i="133"/>
  <c r="N73" i="133" s="1"/>
  <c r="Z73" i="133"/>
  <c r="AA73" i="133"/>
  <c r="AC73" i="133" s="1"/>
  <c r="K74" i="133"/>
  <c r="L74" i="133"/>
  <c r="N74" i="133" s="1"/>
  <c r="Z74" i="133"/>
  <c r="AA74" i="133"/>
  <c r="AC74" i="133" s="1"/>
  <c r="K75" i="133"/>
  <c r="L75" i="133"/>
  <c r="N75" i="133" s="1"/>
  <c r="O75" i="133" s="1"/>
  <c r="Z75" i="133"/>
  <c r="AA75" i="133"/>
  <c r="AC75" i="133" s="1"/>
  <c r="K76" i="133"/>
  <c r="O76" i="133" s="1"/>
  <c r="L76" i="133"/>
  <c r="N76" i="133"/>
  <c r="Z76" i="133"/>
  <c r="AA76" i="133"/>
  <c r="AC76" i="133" s="1"/>
  <c r="B77" i="133"/>
  <c r="O77" i="133"/>
  <c r="P77" i="133"/>
  <c r="Q77" i="133"/>
  <c r="AD77" i="133"/>
  <c r="AE77" i="133"/>
  <c r="AH77" i="133"/>
  <c r="AI77" i="133"/>
  <c r="AF78" i="133"/>
  <c r="AG78" i="133"/>
  <c r="AF79" i="133"/>
  <c r="AG79" i="133"/>
  <c r="AF80" i="133"/>
  <c r="AG80" i="133"/>
  <c r="AF81" i="133"/>
  <c r="AG81" i="133"/>
  <c r="AF82" i="133"/>
  <c r="AG82" i="133"/>
  <c r="AF83" i="133"/>
  <c r="AG83" i="133"/>
  <c r="AF84" i="133"/>
  <c r="AG84" i="133"/>
  <c r="AF85" i="133"/>
  <c r="AG85" i="133"/>
  <c r="AF86" i="133"/>
  <c r="AG86" i="133"/>
  <c r="AF87" i="133"/>
  <c r="AG87" i="133"/>
  <c r="AF88" i="133"/>
  <c r="AG88" i="133"/>
  <c r="B90" i="133"/>
  <c r="Q90" i="133"/>
  <c r="AH90" i="133"/>
  <c r="AI90" i="133"/>
  <c r="AF91" i="133"/>
  <c r="AG91" i="133"/>
  <c r="K92" i="133"/>
  <c r="L92" i="133"/>
  <c r="M92" i="133"/>
  <c r="N92" i="133" s="1"/>
  <c r="Z92" i="133"/>
  <c r="AA92" i="133"/>
  <c r="AB92" i="133"/>
  <c r="K93" i="133"/>
  <c r="L93" i="133"/>
  <c r="M93" i="133"/>
  <c r="Z93" i="133"/>
  <c r="AA93" i="133"/>
  <c r="AB93" i="133"/>
  <c r="AC93" i="133" s="1"/>
  <c r="AD93" i="133" s="1"/>
  <c r="AE93" i="133" s="1"/>
  <c r="K94" i="133"/>
  <c r="L94" i="133"/>
  <c r="M94" i="133"/>
  <c r="N94" i="133" s="1"/>
  <c r="O94" i="133" s="1"/>
  <c r="Z94" i="133"/>
  <c r="AA94" i="133"/>
  <c r="AB94" i="133"/>
  <c r="K95" i="133"/>
  <c r="L95" i="133"/>
  <c r="N95" i="133" s="1"/>
  <c r="M95" i="133"/>
  <c r="O95" i="133"/>
  <c r="P95" i="133" s="1"/>
  <c r="Z95" i="133"/>
  <c r="AA95" i="133"/>
  <c r="AB95" i="133"/>
  <c r="K96" i="133"/>
  <c r="L96" i="133"/>
  <c r="M96" i="133"/>
  <c r="N96" i="133" s="1"/>
  <c r="Z96" i="133"/>
  <c r="AA96" i="133"/>
  <c r="AB96" i="133"/>
  <c r="K97" i="133"/>
  <c r="L97" i="133"/>
  <c r="N97" i="133" s="1"/>
  <c r="Z97" i="133"/>
  <c r="AD97" i="133" s="1"/>
  <c r="AE97" i="133" s="1"/>
  <c r="AC97" i="133"/>
  <c r="B98" i="133"/>
  <c r="Q98" i="133"/>
  <c r="AH98" i="133"/>
  <c r="AI98" i="133"/>
  <c r="O99" i="133"/>
  <c r="AD99" i="133"/>
  <c r="AE99" i="133" s="1"/>
  <c r="O100" i="133"/>
  <c r="P100" i="133" s="1"/>
  <c r="AD100" i="133"/>
  <c r="AE100" i="133" s="1"/>
  <c r="O101" i="133"/>
  <c r="P101" i="133" s="1"/>
  <c r="AD101" i="133"/>
  <c r="AE101" i="133" s="1"/>
  <c r="O102" i="133"/>
  <c r="AD102" i="133"/>
  <c r="AE102" i="133" s="1"/>
  <c r="O103" i="133"/>
  <c r="AD103" i="133"/>
  <c r="AE103" i="133" s="1"/>
  <c r="B104" i="133"/>
  <c r="Q104" i="133"/>
  <c r="AH104" i="133"/>
  <c r="AI104" i="133"/>
  <c r="K105" i="133"/>
  <c r="L105" i="133"/>
  <c r="N105" i="133" s="1"/>
  <c r="M105" i="133"/>
  <c r="Z105" i="133"/>
  <c r="AA105" i="133"/>
  <c r="AB105" i="133"/>
  <c r="K106" i="133"/>
  <c r="L106" i="133"/>
  <c r="M106" i="133"/>
  <c r="N106" i="133" s="1"/>
  <c r="Z106" i="133"/>
  <c r="AA106" i="133"/>
  <c r="AB106" i="133"/>
  <c r="K107" i="133"/>
  <c r="L107" i="133"/>
  <c r="N107" i="133" s="1"/>
  <c r="M107" i="133"/>
  <c r="Z107" i="133"/>
  <c r="AA107" i="133"/>
  <c r="AC107" i="133" s="1"/>
  <c r="AD107" i="133" s="1"/>
  <c r="AE107" i="133" s="1"/>
  <c r="AB107" i="133"/>
  <c r="K108" i="133"/>
  <c r="L108" i="133"/>
  <c r="M108" i="133"/>
  <c r="Z108" i="133"/>
  <c r="AA108" i="133"/>
  <c r="AB108" i="133"/>
  <c r="AC108" i="133"/>
  <c r="K109" i="133"/>
  <c r="L109" i="133"/>
  <c r="M109" i="133"/>
  <c r="N109" i="133" s="1"/>
  <c r="Z109" i="133"/>
  <c r="AA109" i="133"/>
  <c r="AB109" i="133"/>
  <c r="B110" i="133"/>
  <c r="Q110" i="133"/>
  <c r="AH110" i="133"/>
  <c r="AI110" i="133"/>
  <c r="K111" i="133"/>
  <c r="L111" i="133"/>
  <c r="N111" i="133" s="1"/>
  <c r="Z111" i="133"/>
  <c r="AA111" i="133"/>
  <c r="AC111" i="133" s="1"/>
  <c r="AD111" i="133" s="1"/>
  <c r="K112" i="133"/>
  <c r="L112" i="133"/>
  <c r="N112" i="133" s="1"/>
  <c r="Z112" i="133"/>
  <c r="AA112" i="133"/>
  <c r="AC112" i="133" s="1"/>
  <c r="K113" i="133"/>
  <c r="O113" i="133" s="1"/>
  <c r="L113" i="133"/>
  <c r="N113" i="133" s="1"/>
  <c r="Z113" i="133"/>
  <c r="AA113" i="133"/>
  <c r="AC113" i="133" s="1"/>
  <c r="AD113" i="133" s="1"/>
  <c r="AE113" i="133" s="1"/>
  <c r="K114" i="133"/>
  <c r="L114" i="133"/>
  <c r="N114" i="133" s="1"/>
  <c r="Z114" i="133"/>
  <c r="AA114" i="133"/>
  <c r="AB114" i="133"/>
  <c r="K115" i="133"/>
  <c r="L115" i="133"/>
  <c r="N115" i="133"/>
  <c r="Z115" i="133"/>
  <c r="AA115" i="133"/>
  <c r="AC115" i="133"/>
  <c r="AD115" i="133" s="1"/>
  <c r="AE115" i="133" s="1"/>
  <c r="B116" i="133"/>
  <c r="Q116" i="133"/>
  <c r="AH116" i="133"/>
  <c r="AI116" i="133"/>
  <c r="K117" i="133"/>
  <c r="L117" i="133"/>
  <c r="N117" i="133" s="1"/>
  <c r="Z117" i="133"/>
  <c r="AA117" i="133"/>
  <c r="AC117" i="133" s="1"/>
  <c r="AD117" i="133" s="1"/>
  <c r="K118" i="133"/>
  <c r="L118" i="133"/>
  <c r="N118" i="133" s="1"/>
  <c r="Z118" i="133"/>
  <c r="AA118" i="133"/>
  <c r="AC118" i="133" s="1"/>
  <c r="AD118" i="133" s="1"/>
  <c r="AE118" i="133" s="1"/>
  <c r="K119" i="133"/>
  <c r="O119" i="133" s="1"/>
  <c r="P119" i="133" s="1"/>
  <c r="L119" i="133"/>
  <c r="N119" i="133" s="1"/>
  <c r="Z119" i="133"/>
  <c r="AA119" i="133"/>
  <c r="AC119" i="133" s="1"/>
  <c r="K120" i="133"/>
  <c r="L120" i="133"/>
  <c r="N120" i="133" s="1"/>
  <c r="Z120" i="133"/>
  <c r="AA120" i="133"/>
  <c r="AC120" i="133" s="1"/>
  <c r="K121" i="133"/>
  <c r="L121" i="133"/>
  <c r="N121" i="133" s="1"/>
  <c r="Z121" i="133"/>
  <c r="AA121" i="133"/>
  <c r="AC121" i="133"/>
  <c r="AD121" i="133" s="1"/>
  <c r="AE121" i="133" s="1"/>
  <c r="B122" i="133"/>
  <c r="Q122" i="133"/>
  <c r="AH122" i="133"/>
  <c r="AI122" i="133"/>
  <c r="K123" i="133"/>
  <c r="L123" i="133"/>
  <c r="M123" i="133"/>
  <c r="N123" i="133"/>
  <c r="Z123" i="133"/>
  <c r="AA123" i="133"/>
  <c r="AB123" i="133"/>
  <c r="K124" i="133"/>
  <c r="L124" i="133"/>
  <c r="M124" i="133"/>
  <c r="Z124" i="133"/>
  <c r="AA124" i="133"/>
  <c r="AC124" i="133" s="1"/>
  <c r="AD124" i="133" s="1"/>
  <c r="AE124" i="133" s="1"/>
  <c r="AB124" i="133"/>
  <c r="K125" i="133"/>
  <c r="L125" i="133"/>
  <c r="N125" i="133" s="1"/>
  <c r="M125" i="133"/>
  <c r="Z125" i="133"/>
  <c r="AA125" i="133"/>
  <c r="AB125" i="133"/>
  <c r="K126" i="133"/>
  <c r="L126" i="133"/>
  <c r="M126" i="133"/>
  <c r="Z126" i="133"/>
  <c r="AA126" i="133"/>
  <c r="AB126" i="133"/>
  <c r="AC126" i="133" s="1"/>
  <c r="K127" i="133"/>
  <c r="L127" i="133"/>
  <c r="M127" i="133"/>
  <c r="Z127" i="133"/>
  <c r="AA127" i="133"/>
  <c r="AB127" i="133"/>
  <c r="AC127" i="133" s="1"/>
  <c r="B128" i="133"/>
  <c r="Q128" i="133"/>
  <c r="AH128" i="133"/>
  <c r="AI128" i="133"/>
  <c r="K129" i="133"/>
  <c r="O129" i="133" s="1"/>
  <c r="L129" i="133"/>
  <c r="N129" i="133" s="1"/>
  <c r="Z129" i="133"/>
  <c r="AA129" i="133"/>
  <c r="AC129" i="133" s="1"/>
  <c r="AD129" i="133" s="1"/>
  <c r="AE129" i="133" s="1"/>
  <c r="K130" i="133"/>
  <c r="L130" i="133"/>
  <c r="N130" i="133" s="1"/>
  <c r="Z130" i="133"/>
  <c r="AA130" i="133"/>
  <c r="AC130" i="133"/>
  <c r="K131" i="133"/>
  <c r="L131" i="133"/>
  <c r="N131" i="133" s="1"/>
  <c r="Z131" i="133"/>
  <c r="AA131" i="133"/>
  <c r="AC131" i="133" s="1"/>
  <c r="K132" i="133"/>
  <c r="L132" i="133"/>
  <c r="N132" i="133" s="1"/>
  <c r="O132" i="133" s="1"/>
  <c r="P132" i="133" s="1"/>
  <c r="Z132" i="133"/>
  <c r="AA132" i="133"/>
  <c r="AC132" i="133" s="1"/>
  <c r="K133" i="133"/>
  <c r="L133" i="133"/>
  <c r="N133" i="133" s="1"/>
  <c r="Z133" i="133"/>
  <c r="AA133" i="133"/>
  <c r="AC133" i="133"/>
  <c r="B134" i="133"/>
  <c r="Q134" i="133"/>
  <c r="AH134" i="133"/>
  <c r="AI134" i="133"/>
  <c r="K135" i="133"/>
  <c r="L135" i="133"/>
  <c r="N135" i="133" s="1"/>
  <c r="O135" i="133" s="1"/>
  <c r="Z135" i="133"/>
  <c r="AA135" i="133"/>
  <c r="AC135" i="133"/>
  <c r="K136" i="133"/>
  <c r="L136" i="133"/>
  <c r="N136" i="133" s="1"/>
  <c r="M136" i="133"/>
  <c r="Z136" i="133"/>
  <c r="AA136" i="133"/>
  <c r="AC136" i="133" s="1"/>
  <c r="K137" i="133"/>
  <c r="L137" i="133"/>
  <c r="N137" i="133"/>
  <c r="Z137" i="133"/>
  <c r="AA137" i="133"/>
  <c r="AC137" i="133" s="1"/>
  <c r="AD137" i="133" s="1"/>
  <c r="AE137" i="133" s="1"/>
  <c r="K138" i="133"/>
  <c r="L138" i="133"/>
  <c r="N138" i="133"/>
  <c r="Z138" i="133"/>
  <c r="AA138" i="133"/>
  <c r="AC138" i="133" s="1"/>
  <c r="K139" i="133"/>
  <c r="L139" i="133"/>
  <c r="N139" i="133" s="1"/>
  <c r="Z139" i="133"/>
  <c r="AA139" i="133"/>
  <c r="AC139" i="133" s="1"/>
  <c r="B140" i="133"/>
  <c r="Q140" i="133"/>
  <c r="AH140" i="133"/>
  <c r="AI140" i="133"/>
  <c r="K141" i="133"/>
  <c r="L141" i="133"/>
  <c r="N141" i="133" s="1"/>
  <c r="Z141" i="133"/>
  <c r="AD141" i="133" s="1"/>
  <c r="AE141" i="133" s="1"/>
  <c r="AA141" i="133"/>
  <c r="AC141" i="133" s="1"/>
  <c r="K142" i="133"/>
  <c r="L142" i="133"/>
  <c r="N142" i="133" s="1"/>
  <c r="Z142" i="133"/>
  <c r="AA142" i="133"/>
  <c r="AC142" i="133"/>
  <c r="AD142" i="133" s="1"/>
  <c r="K143" i="133"/>
  <c r="L143" i="133"/>
  <c r="N143" i="133" s="1"/>
  <c r="Z143" i="133"/>
  <c r="AA143" i="133"/>
  <c r="AC143" i="133" s="1"/>
  <c r="AD143" i="133" s="1"/>
  <c r="AE143" i="133" s="1"/>
  <c r="K144" i="133"/>
  <c r="L144" i="133"/>
  <c r="N144" i="133"/>
  <c r="Z144" i="133"/>
  <c r="AA144" i="133"/>
  <c r="AC144" i="133" s="1"/>
  <c r="K145" i="133"/>
  <c r="L145" i="133"/>
  <c r="N145" i="133"/>
  <c r="O145" i="133" s="1"/>
  <c r="P145" i="133" s="1"/>
  <c r="Z145" i="133"/>
  <c r="AA145" i="133"/>
  <c r="AC145" i="133" s="1"/>
  <c r="B146" i="133"/>
  <c r="Q146" i="133"/>
  <c r="AH146" i="133"/>
  <c r="AI146" i="133"/>
  <c r="K147" i="133"/>
  <c r="L147" i="133"/>
  <c r="N147" i="133" s="1"/>
  <c r="Z147" i="133"/>
  <c r="AA147" i="133"/>
  <c r="AC147" i="133" s="1"/>
  <c r="K148" i="133"/>
  <c r="L148" i="133"/>
  <c r="N148" i="133" s="1"/>
  <c r="Z148" i="133"/>
  <c r="AA148" i="133"/>
  <c r="AC148" i="133" s="1"/>
  <c r="K149" i="133"/>
  <c r="L149" i="133"/>
  <c r="N149" i="133" s="1"/>
  <c r="Z149" i="133"/>
  <c r="AA149" i="133"/>
  <c r="AC149" i="133" s="1"/>
  <c r="K150" i="133"/>
  <c r="L150" i="133"/>
  <c r="N150" i="133" s="1"/>
  <c r="Z150" i="133"/>
  <c r="AD150" i="133" s="1"/>
  <c r="AE150" i="133" s="1"/>
  <c r="AA150" i="133"/>
  <c r="AC150" i="133" s="1"/>
  <c r="K151" i="133"/>
  <c r="L151" i="133"/>
  <c r="N151" i="133" s="1"/>
  <c r="Z151" i="133"/>
  <c r="AA151" i="133"/>
  <c r="AB151" i="133"/>
  <c r="AC151" i="133"/>
  <c r="B152" i="133"/>
  <c r="Q152" i="133"/>
  <c r="AH152" i="133"/>
  <c r="AI152" i="133"/>
  <c r="K153" i="133"/>
  <c r="L153" i="133"/>
  <c r="N153" i="133" s="1"/>
  <c r="O153" i="133" s="1"/>
  <c r="Z153" i="133"/>
  <c r="AA153" i="133"/>
  <c r="AB153" i="133"/>
  <c r="K154" i="133"/>
  <c r="L154" i="133"/>
  <c r="N154" i="133" s="1"/>
  <c r="Z154" i="133"/>
  <c r="AA154" i="133"/>
  <c r="AB154" i="133"/>
  <c r="AC154" i="133" s="1"/>
  <c r="AD154" i="133" s="1"/>
  <c r="AE154" i="133" s="1"/>
  <c r="K155" i="133"/>
  <c r="L155" i="133"/>
  <c r="N155" i="133" s="1"/>
  <c r="O155" i="133" s="1"/>
  <c r="Z155" i="133"/>
  <c r="AA155" i="133"/>
  <c r="AC155" i="133"/>
  <c r="K156" i="133"/>
  <c r="L156" i="133"/>
  <c r="N156" i="133" s="1"/>
  <c r="Z156" i="133"/>
  <c r="AA156" i="133"/>
  <c r="AC156" i="133"/>
  <c r="K157" i="133"/>
  <c r="O157" i="133" s="1"/>
  <c r="L157" i="133"/>
  <c r="N157" i="133" s="1"/>
  <c r="Z157" i="133"/>
  <c r="AA157" i="133"/>
  <c r="AC157" i="133" s="1"/>
  <c r="B158" i="133"/>
  <c r="Q158" i="133"/>
  <c r="AH158" i="133"/>
  <c r="AI158" i="133"/>
  <c r="K159" i="133"/>
  <c r="L159" i="133"/>
  <c r="N159" i="133" s="1"/>
  <c r="Z159" i="133"/>
  <c r="AA159" i="133"/>
  <c r="AC159" i="133" s="1"/>
  <c r="K160" i="133"/>
  <c r="L160" i="133"/>
  <c r="N160" i="133"/>
  <c r="O160" i="133" s="1"/>
  <c r="P160" i="133" s="1"/>
  <c r="Z160" i="133"/>
  <c r="AA160" i="133"/>
  <c r="AC160" i="133" s="1"/>
  <c r="K161" i="133"/>
  <c r="L161" i="133"/>
  <c r="N161" i="133" s="1"/>
  <c r="Z161" i="133"/>
  <c r="AA161" i="133"/>
  <c r="AC161" i="133" s="1"/>
  <c r="K162" i="133"/>
  <c r="L162" i="133"/>
  <c r="N162" i="133" s="1"/>
  <c r="Z162" i="133"/>
  <c r="AA162" i="133"/>
  <c r="AC162" i="133"/>
  <c r="K163" i="133"/>
  <c r="L163" i="133"/>
  <c r="N163" i="133" s="1"/>
  <c r="Z163" i="133"/>
  <c r="AA163" i="133"/>
  <c r="AC163" i="133" s="1"/>
  <c r="B164" i="133"/>
  <c r="Q164" i="133"/>
  <c r="AH164" i="133"/>
  <c r="AI164" i="133"/>
  <c r="K165" i="133"/>
  <c r="L165" i="133"/>
  <c r="N165" i="133" s="1"/>
  <c r="Z165" i="133"/>
  <c r="AA165" i="133"/>
  <c r="AC165" i="133" s="1"/>
  <c r="K166" i="133"/>
  <c r="L166" i="133"/>
  <c r="N166" i="133" s="1"/>
  <c r="Z166" i="133"/>
  <c r="AA166" i="133"/>
  <c r="AC166" i="133" s="1"/>
  <c r="K167" i="133"/>
  <c r="O167" i="133" s="1"/>
  <c r="L167" i="133"/>
  <c r="N167" i="133" s="1"/>
  <c r="Z167" i="133"/>
  <c r="AA167" i="133"/>
  <c r="AC167" i="133" s="1"/>
  <c r="K168" i="133"/>
  <c r="L168" i="133"/>
  <c r="N168" i="133" s="1"/>
  <c r="Z168" i="133"/>
  <c r="AA168" i="133"/>
  <c r="AC168" i="133"/>
  <c r="K169" i="133"/>
  <c r="L169" i="133"/>
  <c r="N169" i="133" s="1"/>
  <c r="Z169" i="133"/>
  <c r="AA169" i="133"/>
  <c r="AC169" i="133" s="1"/>
  <c r="B170" i="133"/>
  <c r="Q170" i="133"/>
  <c r="AH170" i="133"/>
  <c r="AI170" i="133"/>
  <c r="K171" i="133"/>
  <c r="L171" i="133"/>
  <c r="N171" i="133" s="1"/>
  <c r="O171" i="133" s="1"/>
  <c r="Z171" i="133"/>
  <c r="AA171" i="133"/>
  <c r="AC171" i="133" s="1"/>
  <c r="K172" i="133"/>
  <c r="L172" i="133"/>
  <c r="N172" i="133" s="1"/>
  <c r="Z172" i="133"/>
  <c r="AA172" i="133"/>
  <c r="AC172" i="133" s="1"/>
  <c r="K173" i="133"/>
  <c r="L173" i="133"/>
  <c r="N173" i="133" s="1"/>
  <c r="O173" i="133" s="1"/>
  <c r="Z173" i="133"/>
  <c r="AA173" i="133"/>
  <c r="AC173" i="133"/>
  <c r="K174" i="133"/>
  <c r="L174" i="133"/>
  <c r="N174" i="133" s="1"/>
  <c r="O174" i="133" s="1"/>
  <c r="Z174" i="133"/>
  <c r="AD174" i="133" s="1"/>
  <c r="AE174" i="133" s="1"/>
  <c r="AA174" i="133"/>
  <c r="AC174" i="133" s="1"/>
  <c r="K175" i="133"/>
  <c r="L175" i="133"/>
  <c r="N175" i="133" s="1"/>
  <c r="Z175" i="133"/>
  <c r="AA175" i="133"/>
  <c r="AC175" i="133" s="1"/>
  <c r="B176" i="133"/>
  <c r="Q176" i="133"/>
  <c r="AH176" i="133"/>
  <c r="AI176" i="133"/>
  <c r="K177" i="133"/>
  <c r="O177" i="133" s="1"/>
  <c r="P177" i="133" s="1"/>
  <c r="L177" i="133"/>
  <c r="N177" i="133" s="1"/>
  <c r="Z177" i="133"/>
  <c r="AC177" i="133"/>
  <c r="K178" i="133"/>
  <c r="L178" i="133"/>
  <c r="N178" i="133"/>
  <c r="Z178" i="133"/>
  <c r="AC178" i="133"/>
  <c r="K179" i="133"/>
  <c r="L179" i="133"/>
  <c r="N179" i="133" s="1"/>
  <c r="O179" i="133" s="1"/>
  <c r="Z179" i="133"/>
  <c r="AA179" i="133"/>
  <c r="AB179" i="133"/>
  <c r="K180" i="133"/>
  <c r="L180" i="133"/>
  <c r="N180" i="133" s="1"/>
  <c r="Z180" i="133"/>
  <c r="AA180" i="133"/>
  <c r="AC180" i="133" s="1"/>
  <c r="K181" i="133"/>
  <c r="L181" i="133"/>
  <c r="N181" i="133" s="1"/>
  <c r="Z181" i="133"/>
  <c r="AA181" i="133"/>
  <c r="AC181" i="133" s="1"/>
  <c r="K182" i="133"/>
  <c r="L182" i="133"/>
  <c r="N182" i="133" s="1"/>
  <c r="Z182" i="133"/>
  <c r="AA182" i="133"/>
  <c r="AC182" i="133" s="1"/>
  <c r="K183" i="133"/>
  <c r="L183" i="133"/>
  <c r="N183" i="133" s="1"/>
  <c r="Z183" i="133"/>
  <c r="AA183" i="133"/>
  <c r="AB183" i="133"/>
  <c r="B184" i="133"/>
  <c r="Q184" i="133"/>
  <c r="AH184" i="133"/>
  <c r="AI184" i="133"/>
  <c r="K185" i="133"/>
  <c r="L185" i="133"/>
  <c r="N185" i="133" s="1"/>
  <c r="Z185" i="133"/>
  <c r="AA185" i="133"/>
  <c r="AC185" i="133" s="1"/>
  <c r="AD185" i="133" s="1"/>
  <c r="K186" i="133"/>
  <c r="L186" i="133"/>
  <c r="N186" i="133" s="1"/>
  <c r="O186" i="133" s="1"/>
  <c r="Z186" i="133"/>
  <c r="AA186" i="133"/>
  <c r="AC186" i="133" s="1"/>
  <c r="B187" i="133"/>
  <c r="Q187" i="133"/>
  <c r="AH187" i="133"/>
  <c r="AI187" i="133"/>
  <c r="K188" i="133"/>
  <c r="L188" i="133"/>
  <c r="N188" i="133" s="1"/>
  <c r="P188" i="133"/>
  <c r="Z188" i="133"/>
  <c r="AA188" i="133"/>
  <c r="AC188" i="133" s="1"/>
  <c r="K189" i="133"/>
  <c r="L189" i="133"/>
  <c r="N189" i="133" s="1"/>
  <c r="P189" i="133"/>
  <c r="Z189" i="133"/>
  <c r="AA189" i="133"/>
  <c r="AC189" i="133"/>
  <c r="B191" i="133"/>
  <c r="Q191" i="133"/>
  <c r="AH191" i="133"/>
  <c r="AI191" i="133"/>
  <c r="K192" i="133"/>
  <c r="L192" i="133"/>
  <c r="N192" i="133" s="1"/>
  <c r="Z192" i="133"/>
  <c r="AA192" i="133"/>
  <c r="AC192" i="133" s="1"/>
  <c r="AD192" i="133" s="1"/>
  <c r="AE192" i="133" s="1"/>
  <c r="K193" i="133"/>
  <c r="L193" i="133"/>
  <c r="N193" i="133" s="1"/>
  <c r="Z193" i="133"/>
  <c r="AA193" i="133"/>
  <c r="AC193" i="133" s="1"/>
  <c r="K194" i="133"/>
  <c r="L194" i="133"/>
  <c r="N194" i="133" s="1"/>
  <c r="Z194" i="133"/>
  <c r="AA194" i="133"/>
  <c r="AC194" i="133" s="1"/>
  <c r="K195" i="133"/>
  <c r="L195" i="133"/>
  <c r="M195" i="133"/>
  <c r="Z195" i="133"/>
  <c r="AA195" i="133"/>
  <c r="AB195" i="133"/>
  <c r="K196" i="133"/>
  <c r="L196" i="133"/>
  <c r="M196" i="133"/>
  <c r="Z196" i="133"/>
  <c r="AA196" i="133"/>
  <c r="AB196" i="133"/>
  <c r="K197" i="133"/>
  <c r="L197" i="133"/>
  <c r="M197" i="133"/>
  <c r="Z197" i="133"/>
  <c r="AA197" i="133"/>
  <c r="AB197" i="133"/>
  <c r="AC197" i="133" s="1"/>
  <c r="AD197" i="133" s="1"/>
  <c r="AE197" i="133" s="1"/>
  <c r="B198" i="133"/>
  <c r="Q198" i="133"/>
  <c r="AH198" i="133"/>
  <c r="AI198" i="133"/>
  <c r="K199" i="133"/>
  <c r="L199" i="133"/>
  <c r="M199" i="133"/>
  <c r="N199" i="133" s="1"/>
  <c r="Z199" i="133"/>
  <c r="AA199" i="133"/>
  <c r="AB199" i="133"/>
  <c r="K200" i="133"/>
  <c r="L200" i="133"/>
  <c r="M200" i="133"/>
  <c r="Z200" i="133"/>
  <c r="AA200" i="133"/>
  <c r="AB200" i="133"/>
  <c r="K201" i="133"/>
  <c r="L201" i="133"/>
  <c r="M201" i="133"/>
  <c r="Z201" i="133"/>
  <c r="AA201" i="133"/>
  <c r="AB201" i="133"/>
  <c r="K202" i="133"/>
  <c r="L202" i="133"/>
  <c r="M202" i="133"/>
  <c r="Z202" i="133"/>
  <c r="AA202" i="133"/>
  <c r="AB202" i="133"/>
  <c r="K203" i="133"/>
  <c r="L203" i="133"/>
  <c r="M203" i="133"/>
  <c r="Z203" i="133"/>
  <c r="AA203" i="133"/>
  <c r="AB203" i="133"/>
  <c r="K204" i="133"/>
  <c r="L204" i="133"/>
  <c r="N204" i="133" s="1"/>
  <c r="O204" i="133" s="1"/>
  <c r="M204" i="133"/>
  <c r="Z204" i="133"/>
  <c r="AA204" i="133"/>
  <c r="AB204" i="133"/>
  <c r="B205" i="133"/>
  <c r="Q205" i="133"/>
  <c r="AH205" i="133"/>
  <c r="AH190" i="133" s="1"/>
  <c r="AI205" i="133"/>
  <c r="K206" i="133"/>
  <c r="L206" i="133"/>
  <c r="M206" i="133"/>
  <c r="Z206" i="133"/>
  <c r="AA206" i="133"/>
  <c r="AB206" i="133"/>
  <c r="K207" i="133"/>
  <c r="L207" i="133"/>
  <c r="M207" i="133"/>
  <c r="Z207" i="133"/>
  <c r="AA207" i="133"/>
  <c r="AB207" i="133"/>
  <c r="K208" i="133"/>
  <c r="L208" i="133"/>
  <c r="M208" i="133"/>
  <c r="Z208" i="133"/>
  <c r="AA208" i="133"/>
  <c r="AB208" i="133"/>
  <c r="K209" i="133"/>
  <c r="L209" i="133"/>
  <c r="N209" i="133" s="1"/>
  <c r="O209" i="133" s="1"/>
  <c r="M209" i="133"/>
  <c r="Z209" i="133"/>
  <c r="AA209" i="133"/>
  <c r="AC209" i="133" s="1"/>
  <c r="K210" i="133"/>
  <c r="L210" i="133"/>
  <c r="N210" i="133" s="1"/>
  <c r="O210" i="133" s="1"/>
  <c r="M210" i="133"/>
  <c r="Z210" i="133"/>
  <c r="AA210" i="133"/>
  <c r="AB210" i="133"/>
  <c r="K211" i="133"/>
  <c r="L211" i="133"/>
  <c r="N211" i="133" s="1"/>
  <c r="Z211" i="133"/>
  <c r="AC211" i="133"/>
  <c r="B212" i="133"/>
  <c r="Q212" i="133"/>
  <c r="AI212" i="133"/>
  <c r="K213" i="133"/>
  <c r="N213" i="133"/>
  <c r="Q213" i="133"/>
  <c r="Z213" i="133"/>
  <c r="AC213" i="133"/>
  <c r="AH213" i="133"/>
  <c r="AH212" i="133" s="1"/>
  <c r="K214" i="133"/>
  <c r="N214" i="133"/>
  <c r="Z214" i="133"/>
  <c r="AD214" i="133" s="1"/>
  <c r="AE214" i="133" s="1"/>
  <c r="AC214" i="133"/>
  <c r="K215" i="133"/>
  <c r="N215" i="133"/>
  <c r="Z215" i="133"/>
  <c r="AC215" i="133"/>
  <c r="AE215" i="133"/>
  <c r="K216" i="133"/>
  <c r="N216" i="133"/>
  <c r="Z216" i="133"/>
  <c r="AC216" i="133"/>
  <c r="K217" i="133"/>
  <c r="N217" i="133"/>
  <c r="Z217" i="133"/>
  <c r="AC217" i="133"/>
  <c r="B219" i="133"/>
  <c r="AH219" i="133"/>
  <c r="AI219" i="133"/>
  <c r="K220" i="133"/>
  <c r="L220" i="133"/>
  <c r="N220" i="133"/>
  <c r="O220" i="133" s="1"/>
  <c r="Z220" i="133"/>
  <c r="AA220" i="133"/>
  <c r="AC220" i="133" s="1"/>
  <c r="K221" i="133"/>
  <c r="L221" i="133"/>
  <c r="N221" i="133" s="1"/>
  <c r="Z221" i="133"/>
  <c r="AA221" i="133"/>
  <c r="AC221" i="133" s="1"/>
  <c r="K222" i="133"/>
  <c r="L222" i="133"/>
  <c r="N222" i="133" s="1"/>
  <c r="Z222" i="133"/>
  <c r="AA222" i="133"/>
  <c r="AC222" i="133" s="1"/>
  <c r="K223" i="133"/>
  <c r="O223" i="133" s="1"/>
  <c r="L223" i="133"/>
  <c r="N223" i="133" s="1"/>
  <c r="Z223" i="133"/>
  <c r="AA223" i="133"/>
  <c r="AC223" i="133" s="1"/>
  <c r="K224" i="133"/>
  <c r="L224" i="133"/>
  <c r="N224" i="133" s="1"/>
  <c r="Q224" i="133"/>
  <c r="Q219" i="133" s="1"/>
  <c r="Z224" i="133"/>
  <c r="AA224" i="133"/>
  <c r="AC224" i="133" s="1"/>
  <c r="K225" i="133"/>
  <c r="O225" i="133" s="1"/>
  <c r="P225" i="133" s="1"/>
  <c r="L225" i="133"/>
  <c r="N225" i="133" s="1"/>
  <c r="Z225" i="133"/>
  <c r="AA225" i="133"/>
  <c r="AC225" i="133" s="1"/>
  <c r="K226" i="133"/>
  <c r="L226" i="133"/>
  <c r="N226" i="133"/>
  <c r="Z226" i="133"/>
  <c r="AD226" i="133" s="1"/>
  <c r="AE226" i="133" s="1"/>
  <c r="AA226" i="133"/>
  <c r="AC226" i="133" s="1"/>
  <c r="K227" i="133"/>
  <c r="L227" i="133"/>
  <c r="N227" i="133" s="1"/>
  <c r="Z227" i="133"/>
  <c r="AA227" i="133"/>
  <c r="AC227" i="133" s="1"/>
  <c r="B228" i="133"/>
  <c r="AH228" i="133"/>
  <c r="AI228" i="133"/>
  <c r="K229" i="133"/>
  <c r="L229" i="133"/>
  <c r="N229" i="133" s="1"/>
  <c r="Z229" i="133"/>
  <c r="AA229" i="133"/>
  <c r="AC229" i="133" s="1"/>
  <c r="AD229" i="133" s="1"/>
  <c r="K230" i="133"/>
  <c r="L230" i="133"/>
  <c r="N230" i="133"/>
  <c r="O230" i="133" s="1"/>
  <c r="P230" i="133"/>
  <c r="Z230" i="133"/>
  <c r="AA230" i="133"/>
  <c r="AC230" i="133" s="1"/>
  <c r="K231" i="133"/>
  <c r="L231" i="133"/>
  <c r="N231" i="133" s="1"/>
  <c r="Q231" i="133"/>
  <c r="Z231" i="133"/>
  <c r="AA231" i="133"/>
  <c r="AC231" i="133" s="1"/>
  <c r="K232" i="133"/>
  <c r="O232" i="133" s="1"/>
  <c r="P232" i="133" s="1"/>
  <c r="L232" i="133"/>
  <c r="N232" i="133" s="1"/>
  <c r="Q232" i="133"/>
  <c r="Z232" i="133"/>
  <c r="AA232" i="133"/>
  <c r="AC232" i="133" s="1"/>
  <c r="AD232" i="133" s="1"/>
  <c r="K233" i="133"/>
  <c r="L233" i="133"/>
  <c r="N233" i="133" s="1"/>
  <c r="Q233" i="133"/>
  <c r="Z233" i="133"/>
  <c r="AA233" i="133"/>
  <c r="AC233" i="133" s="1"/>
  <c r="K234" i="133"/>
  <c r="L234" i="133"/>
  <c r="N234" i="133" s="1"/>
  <c r="Q234" i="133"/>
  <c r="Z234" i="133"/>
  <c r="AA234" i="133"/>
  <c r="AC234" i="133" s="1"/>
  <c r="K235" i="133"/>
  <c r="L235" i="133"/>
  <c r="N235" i="133" s="1"/>
  <c r="Q235" i="133"/>
  <c r="Z235" i="133"/>
  <c r="AA235" i="133"/>
  <c r="AC235" i="133" s="1"/>
  <c r="K236" i="133"/>
  <c r="L236" i="133"/>
  <c r="N236" i="133" s="1"/>
  <c r="Z236" i="133"/>
  <c r="AA236" i="133"/>
  <c r="AC236" i="133" s="1"/>
  <c r="B237" i="133"/>
  <c r="Q237" i="133"/>
  <c r="AH237" i="133"/>
  <c r="AI237" i="133"/>
  <c r="L238" i="133"/>
  <c r="N238" i="133" s="1"/>
  <c r="O238" i="133" s="1"/>
  <c r="AC238" i="133"/>
  <c r="AD238" i="133" s="1"/>
  <c r="L239" i="133"/>
  <c r="N239" i="133" s="1"/>
  <c r="O239" i="133" s="1"/>
  <c r="AC239" i="133"/>
  <c r="AD239" i="133" s="1"/>
  <c r="AE239" i="133" s="1"/>
  <c r="L240" i="133"/>
  <c r="N240" i="133"/>
  <c r="O240" i="133" s="1"/>
  <c r="P240" i="133" s="1"/>
  <c r="Z240" i="133"/>
  <c r="AA240" i="133"/>
  <c r="AC240" i="133" s="1"/>
  <c r="L241" i="133"/>
  <c r="N241" i="133" s="1"/>
  <c r="O241" i="133"/>
  <c r="AE241" i="133"/>
  <c r="L242" i="133"/>
  <c r="N242" i="133" s="1"/>
  <c r="O242" i="133" s="1"/>
  <c r="P242" i="133" s="1"/>
  <c r="AG242" i="133" s="1"/>
  <c r="AE242" i="133"/>
  <c r="L243" i="133"/>
  <c r="N243" i="133" s="1"/>
  <c r="O243" i="133" s="1"/>
  <c r="AE243" i="133"/>
  <c r="L244" i="133"/>
  <c r="N244" i="133" s="1"/>
  <c r="O244" i="133" s="1"/>
  <c r="AE244" i="133"/>
  <c r="L245" i="133"/>
  <c r="N245" i="133" s="1"/>
  <c r="O245" i="133" s="1"/>
  <c r="Z245" i="133"/>
  <c r="AA245" i="133"/>
  <c r="AC245" i="133" s="1"/>
  <c r="L246" i="133"/>
  <c r="N246" i="133" s="1"/>
  <c r="O246" i="133" s="1"/>
  <c r="P246" i="133" s="1"/>
  <c r="Z246" i="133"/>
  <c r="AD246" i="133" s="1"/>
  <c r="AE246" i="133" s="1"/>
  <c r="AA246" i="133"/>
  <c r="AC246" i="133" s="1"/>
  <c r="L247" i="133"/>
  <c r="N247" i="133" s="1"/>
  <c r="O247" i="133" s="1"/>
  <c r="Z247" i="133"/>
  <c r="AA247" i="133"/>
  <c r="AC247" i="133" s="1"/>
  <c r="L248" i="133"/>
  <c r="N248" i="133" s="1"/>
  <c r="O248" i="133" s="1"/>
  <c r="P248" i="133" s="1"/>
  <c r="Z248" i="133"/>
  <c r="AA248" i="133"/>
  <c r="AC248" i="133" s="1"/>
  <c r="N249" i="133"/>
  <c r="O249" i="133" s="1"/>
  <c r="AC249" i="133"/>
  <c r="AD249" i="133" s="1"/>
  <c r="AE249" i="133" s="1"/>
  <c r="AF251" i="133"/>
  <c r="AG251" i="133"/>
  <c r="B252" i="133"/>
  <c r="Q252" i="133"/>
  <c r="AH252" i="133"/>
  <c r="AI252" i="133"/>
  <c r="K253" i="133"/>
  <c r="O253" i="133" s="1"/>
  <c r="N253" i="133"/>
  <c r="Z253" i="133"/>
  <c r="AC253" i="133"/>
  <c r="K254" i="133"/>
  <c r="N254" i="133"/>
  <c r="Z254" i="133"/>
  <c r="AC254" i="133"/>
  <c r="K255" i="133"/>
  <c r="N255" i="133"/>
  <c r="Z255" i="133"/>
  <c r="AC255" i="133"/>
  <c r="K256" i="133"/>
  <c r="N256" i="133"/>
  <c r="Z256" i="133"/>
  <c r="AC256" i="133"/>
  <c r="AD256" i="133" s="1"/>
  <c r="AE256" i="133" s="1"/>
  <c r="B257" i="133"/>
  <c r="Q257" i="133"/>
  <c r="AH257" i="133"/>
  <c r="AI257" i="133"/>
  <c r="K258" i="133"/>
  <c r="N258" i="133"/>
  <c r="O258" i="133" s="1"/>
  <c r="P258" i="133" s="1"/>
  <c r="Z258" i="133"/>
  <c r="AC258" i="133"/>
  <c r="K259" i="133"/>
  <c r="N259" i="133"/>
  <c r="Z259" i="133"/>
  <c r="AC259" i="133"/>
  <c r="K260" i="133"/>
  <c r="N260" i="133"/>
  <c r="Z260" i="133"/>
  <c r="AC260" i="133"/>
  <c r="B261" i="133"/>
  <c r="Q261" i="133"/>
  <c r="AH261" i="133"/>
  <c r="AI261" i="133"/>
  <c r="K262" i="133"/>
  <c r="N262" i="133"/>
  <c r="O262" i="133" s="1"/>
  <c r="P262" i="133" s="1"/>
  <c r="Z262" i="133"/>
  <c r="AC262" i="133"/>
  <c r="K263" i="133"/>
  <c r="N263" i="133"/>
  <c r="Z263" i="133"/>
  <c r="AC263" i="133"/>
  <c r="K264" i="133"/>
  <c r="N264" i="133"/>
  <c r="Z264" i="133"/>
  <c r="AC264" i="133"/>
  <c r="B265" i="133"/>
  <c r="Q265" i="133"/>
  <c r="AH265" i="133"/>
  <c r="AI265" i="133"/>
  <c r="K266" i="133"/>
  <c r="N266" i="133"/>
  <c r="O266" i="133" s="1"/>
  <c r="Z266" i="133"/>
  <c r="AC266" i="133"/>
  <c r="K267" i="133"/>
  <c r="N267" i="133"/>
  <c r="Z267" i="133"/>
  <c r="AC267" i="133"/>
  <c r="K268" i="133"/>
  <c r="N268" i="133"/>
  <c r="Z268" i="133"/>
  <c r="AC268" i="133"/>
  <c r="AD268" i="133" s="1"/>
  <c r="AE268" i="133" s="1"/>
  <c r="B269" i="133"/>
  <c r="Q269" i="133"/>
  <c r="AH269" i="133"/>
  <c r="AI269" i="133"/>
  <c r="K270" i="133"/>
  <c r="N270" i="133"/>
  <c r="Z270" i="133"/>
  <c r="AC270" i="133"/>
  <c r="AD270" i="133" s="1"/>
  <c r="K271" i="133"/>
  <c r="N271" i="133"/>
  <c r="O271" i="133"/>
  <c r="Z271" i="133"/>
  <c r="AC271" i="133"/>
  <c r="AD271" i="133"/>
  <c r="AE271" i="133" s="1"/>
  <c r="K272" i="133"/>
  <c r="N272" i="133"/>
  <c r="Z272" i="133"/>
  <c r="AC272" i="133"/>
  <c r="B273" i="133"/>
  <c r="Q273" i="133"/>
  <c r="AH273" i="133"/>
  <c r="AI273" i="133"/>
  <c r="K274" i="133"/>
  <c r="N274" i="133"/>
  <c r="Z274" i="133"/>
  <c r="AC274" i="133"/>
  <c r="K275" i="133"/>
  <c r="N275" i="133"/>
  <c r="Z275" i="133"/>
  <c r="AC275" i="133"/>
  <c r="AD275" i="133" s="1"/>
  <c r="AE275" i="133" s="1"/>
  <c r="K276" i="133"/>
  <c r="N276" i="133"/>
  <c r="O276" i="133" s="1"/>
  <c r="P276" i="133" s="1"/>
  <c r="Z276" i="133"/>
  <c r="AC276" i="133"/>
  <c r="B278" i="133"/>
  <c r="P278" i="133"/>
  <c r="AH278" i="133"/>
  <c r="AI278" i="133"/>
  <c r="K279" i="133"/>
  <c r="N279" i="133"/>
  <c r="Z279" i="133"/>
  <c r="AC279" i="133"/>
  <c r="K280" i="133"/>
  <c r="N280" i="133"/>
  <c r="Z280" i="133"/>
  <c r="AC280" i="133"/>
  <c r="K281" i="133"/>
  <c r="N281" i="133"/>
  <c r="Z281" i="133"/>
  <c r="AD281" i="133" s="1"/>
  <c r="AC281" i="133"/>
  <c r="K282" i="133"/>
  <c r="O282" i="133" s="1"/>
  <c r="N282" i="133"/>
  <c r="Z282" i="133"/>
  <c r="AD282" i="133" s="1"/>
  <c r="AE282" i="133" s="1"/>
  <c r="AG282" i="133" s="1"/>
  <c r="AC282" i="133"/>
  <c r="K283" i="133"/>
  <c r="N283" i="133"/>
  <c r="O283" i="133" s="1"/>
  <c r="Z283" i="133"/>
  <c r="AC283" i="133"/>
  <c r="B284" i="133"/>
  <c r="P284" i="133"/>
  <c r="AH284" i="133"/>
  <c r="AH277" i="133" s="1"/>
  <c r="AI284" i="133"/>
  <c r="K285" i="133"/>
  <c r="N285" i="133"/>
  <c r="O285" i="133" s="1"/>
  <c r="Z285" i="133"/>
  <c r="AD285" i="133" s="1"/>
  <c r="AC285" i="133"/>
  <c r="K286" i="133"/>
  <c r="O286" i="133" s="1"/>
  <c r="N286" i="133"/>
  <c r="Z286" i="133"/>
  <c r="AC286" i="133"/>
  <c r="AD286" i="133"/>
  <c r="AE286" i="133" s="1"/>
  <c r="AG286" i="133" s="1"/>
  <c r="K287" i="133"/>
  <c r="N287" i="133"/>
  <c r="Z287" i="133"/>
  <c r="AC287" i="133"/>
  <c r="B10" i="132"/>
  <c r="D10" i="132"/>
  <c r="E10" i="132"/>
  <c r="F10" i="132"/>
  <c r="G10" i="132"/>
  <c r="I10" i="132"/>
  <c r="J10" i="132"/>
  <c r="L10" i="132"/>
  <c r="M10" i="132"/>
  <c r="Q10" i="132"/>
  <c r="R10" i="132"/>
  <c r="S10" i="132"/>
  <c r="T10" i="132"/>
  <c r="U10" i="132"/>
  <c r="V10" i="132"/>
  <c r="W10" i="132"/>
  <c r="X10" i="132"/>
  <c r="Y10" i="132"/>
  <c r="AA10" i="132"/>
  <c r="AB10" i="132"/>
  <c r="AH10" i="132"/>
  <c r="AI10" i="132"/>
  <c r="K11" i="132"/>
  <c r="O11" i="132" s="1"/>
  <c r="Z11" i="132"/>
  <c r="K12" i="132"/>
  <c r="O12" i="132" s="1"/>
  <c r="Z12" i="132"/>
  <c r="AD12" i="132" s="1"/>
  <c r="AE12" i="132" s="1"/>
  <c r="C13" i="132"/>
  <c r="H13" i="132"/>
  <c r="N13" i="132"/>
  <c r="Z13" i="132"/>
  <c r="AD13" i="132" s="1"/>
  <c r="AE13" i="132" s="1"/>
  <c r="AC13" i="132"/>
  <c r="C14" i="132"/>
  <c r="H14" i="132"/>
  <c r="N14" i="132"/>
  <c r="Z14" i="132"/>
  <c r="AC14" i="132"/>
  <c r="C15" i="132"/>
  <c r="K15" i="132" s="1"/>
  <c r="O15" i="132" s="1"/>
  <c r="H15" i="132"/>
  <c r="N15" i="132"/>
  <c r="Z15" i="132"/>
  <c r="AC15" i="132"/>
  <c r="C16" i="132"/>
  <c r="H16" i="132"/>
  <c r="N16" i="132"/>
  <c r="Z16" i="132"/>
  <c r="AC16" i="132"/>
  <c r="C17" i="132"/>
  <c r="H17" i="132"/>
  <c r="N17" i="132"/>
  <c r="Z17" i="132"/>
  <c r="AD17" i="132" s="1"/>
  <c r="AE17" i="132" s="1"/>
  <c r="AC17" i="132"/>
  <c r="C18" i="132"/>
  <c r="H18" i="132"/>
  <c r="N18" i="132"/>
  <c r="Z18" i="132"/>
  <c r="AC18" i="132"/>
  <c r="B19" i="132"/>
  <c r="D19" i="132"/>
  <c r="E19" i="132"/>
  <c r="F19" i="132"/>
  <c r="G19" i="132"/>
  <c r="I19" i="132"/>
  <c r="J19" i="132"/>
  <c r="L19" i="132"/>
  <c r="M19" i="132"/>
  <c r="Q19" i="132"/>
  <c r="R19" i="132"/>
  <c r="S19" i="132"/>
  <c r="T19" i="132"/>
  <c r="U19" i="132"/>
  <c r="V19" i="132"/>
  <c r="W19" i="132"/>
  <c r="X19" i="132"/>
  <c r="Y19" i="132"/>
  <c r="AA19" i="132"/>
  <c r="AB19" i="132"/>
  <c r="AH19" i="132"/>
  <c r="AI19" i="132"/>
  <c r="C20" i="132"/>
  <c r="H20" i="132"/>
  <c r="N20" i="132"/>
  <c r="Z20" i="132"/>
  <c r="AC20" i="132"/>
  <c r="AC19" i="132" s="1"/>
  <c r="C21" i="132"/>
  <c r="K21" i="132" s="1"/>
  <c r="O21" i="132" s="1"/>
  <c r="H21" i="132"/>
  <c r="N21" i="132"/>
  <c r="Z21" i="132"/>
  <c r="AC21" i="132"/>
  <c r="C22" i="132"/>
  <c r="H22" i="132"/>
  <c r="K22" i="132" s="1"/>
  <c r="N22" i="132"/>
  <c r="Z22" i="132"/>
  <c r="AC22" i="132"/>
  <c r="C23" i="132"/>
  <c r="H23" i="132"/>
  <c r="N23" i="132"/>
  <c r="Z23" i="132"/>
  <c r="AC23" i="132"/>
  <c r="AD23" i="132"/>
  <c r="AE23" i="132" s="1"/>
  <c r="C24" i="132"/>
  <c r="H24" i="132"/>
  <c r="N24" i="132"/>
  <c r="Z24" i="132"/>
  <c r="AC24" i="132"/>
  <c r="C25" i="132"/>
  <c r="H25" i="132"/>
  <c r="N25" i="132"/>
  <c r="Z25" i="132"/>
  <c r="AD25" i="132" s="1"/>
  <c r="AE25" i="132" s="1"/>
  <c r="AC25" i="132"/>
  <c r="B26" i="132"/>
  <c r="E26" i="132"/>
  <c r="F26" i="132"/>
  <c r="G26" i="132"/>
  <c r="I26" i="132"/>
  <c r="J26" i="132"/>
  <c r="L26" i="132"/>
  <c r="M26" i="132"/>
  <c r="Q26" i="132"/>
  <c r="R26" i="132"/>
  <c r="T26" i="132"/>
  <c r="U26" i="132"/>
  <c r="V26" i="132"/>
  <c r="W26" i="132"/>
  <c r="X26" i="132"/>
  <c r="Y26" i="132"/>
  <c r="AA26" i="132"/>
  <c r="AB26" i="132"/>
  <c r="AH26" i="132"/>
  <c r="AI26" i="132"/>
  <c r="C27" i="132"/>
  <c r="H27" i="132"/>
  <c r="N27" i="132"/>
  <c r="Z27" i="132"/>
  <c r="AC27" i="132"/>
  <c r="C28" i="132"/>
  <c r="K28" i="132" s="1"/>
  <c r="H28" i="132"/>
  <c r="N28" i="132"/>
  <c r="Z28" i="132"/>
  <c r="AC28" i="132"/>
  <c r="AD28" i="132" s="1"/>
  <c r="AE28" i="132" s="1"/>
  <c r="C29" i="132"/>
  <c r="H29" i="132"/>
  <c r="N29" i="132"/>
  <c r="Z29" i="132"/>
  <c r="AC29" i="132"/>
  <c r="C30" i="132"/>
  <c r="H30" i="132"/>
  <c r="N30" i="132"/>
  <c r="Z30" i="132"/>
  <c r="AD30" i="132" s="1"/>
  <c r="AE30" i="132" s="1"/>
  <c r="AC30" i="132"/>
  <c r="C31" i="132"/>
  <c r="H31" i="132"/>
  <c r="N31" i="132"/>
  <c r="Z31" i="132"/>
  <c r="AC31" i="132"/>
  <c r="C32" i="132"/>
  <c r="K32" i="132" s="1"/>
  <c r="O32" i="132" s="1"/>
  <c r="P32" i="132" s="1"/>
  <c r="AG32" i="132" s="1"/>
  <c r="H32" i="132"/>
  <c r="N32" i="132"/>
  <c r="Z32" i="132"/>
  <c r="AC32" i="132"/>
  <c r="AD32" i="132"/>
  <c r="AE32" i="132" s="1"/>
  <c r="B33" i="132"/>
  <c r="D33" i="132"/>
  <c r="E33" i="132"/>
  <c r="F33" i="132"/>
  <c r="G33" i="132"/>
  <c r="I33" i="132"/>
  <c r="J33" i="132"/>
  <c r="L33" i="132"/>
  <c r="M33" i="132"/>
  <c r="Q33" i="132"/>
  <c r="R33" i="132"/>
  <c r="S33" i="132"/>
  <c r="T33" i="132"/>
  <c r="U33" i="132"/>
  <c r="V33" i="132"/>
  <c r="W33" i="132"/>
  <c r="X33" i="132"/>
  <c r="Y33" i="132"/>
  <c r="AA33" i="132"/>
  <c r="AB33" i="132"/>
  <c r="AH33" i="132"/>
  <c r="AI33" i="132"/>
  <c r="C34" i="132"/>
  <c r="H34" i="132"/>
  <c r="H33" i="132" s="1"/>
  <c r="K34" i="132"/>
  <c r="O34" i="132" s="1"/>
  <c r="P34" i="132" s="1"/>
  <c r="N34" i="132"/>
  <c r="Z34" i="132"/>
  <c r="AC34" i="132"/>
  <c r="C35" i="132"/>
  <c r="H35" i="132"/>
  <c r="N35" i="132"/>
  <c r="Z35" i="132"/>
  <c r="AC35" i="132"/>
  <c r="C36" i="132"/>
  <c r="H36" i="132"/>
  <c r="K36" i="132"/>
  <c r="O36" i="132" s="1"/>
  <c r="P36" i="132" s="1"/>
  <c r="N36" i="132"/>
  <c r="Z36" i="132"/>
  <c r="AC36" i="132"/>
  <c r="AD36" i="132" s="1"/>
  <c r="AE36" i="132" s="1"/>
  <c r="C37" i="132"/>
  <c r="H37" i="132"/>
  <c r="N37" i="132"/>
  <c r="Z37" i="132"/>
  <c r="AC37" i="132"/>
  <c r="C38" i="132"/>
  <c r="K38" i="132" s="1"/>
  <c r="O38" i="132" s="1"/>
  <c r="P38" i="132" s="1"/>
  <c r="H38" i="132"/>
  <c r="N38" i="132"/>
  <c r="Z38" i="132"/>
  <c r="AC38" i="132"/>
  <c r="O39" i="132"/>
  <c r="AD39" i="132"/>
  <c r="AE39" i="132"/>
  <c r="B40" i="132"/>
  <c r="D40" i="132"/>
  <c r="E40" i="132"/>
  <c r="F40" i="132"/>
  <c r="G40" i="132"/>
  <c r="I40" i="132"/>
  <c r="J40" i="132"/>
  <c r="L40" i="132"/>
  <c r="M40" i="132"/>
  <c r="Q40" i="132"/>
  <c r="R40" i="132"/>
  <c r="S40" i="132"/>
  <c r="T40" i="132"/>
  <c r="U40" i="132"/>
  <c r="V40" i="132"/>
  <c r="W40" i="132"/>
  <c r="X40" i="132"/>
  <c r="Y40" i="132"/>
  <c r="AA40" i="132"/>
  <c r="AB40" i="132"/>
  <c r="AH40" i="132"/>
  <c r="AI40" i="132"/>
  <c r="C41" i="132"/>
  <c r="H41" i="132"/>
  <c r="H40" i="132" s="1"/>
  <c r="N41" i="132"/>
  <c r="N40" i="132" s="1"/>
  <c r="Z41" i="132"/>
  <c r="Z40" i="132" s="1"/>
  <c r="AC41" i="132"/>
  <c r="AC40" i="132" s="1"/>
  <c r="C47" i="132"/>
  <c r="C46" i="132" s="1"/>
  <c r="D47" i="132"/>
  <c r="D46" i="132" s="1"/>
  <c r="E47" i="132"/>
  <c r="E46" i="132" s="1"/>
  <c r="F47" i="132"/>
  <c r="F46" i="132" s="1"/>
  <c r="G47" i="132"/>
  <c r="G46" i="132" s="1"/>
  <c r="I47" i="132"/>
  <c r="I46" i="132" s="1"/>
  <c r="J47" i="132"/>
  <c r="J46" i="132" s="1"/>
  <c r="M47" i="132"/>
  <c r="M46" i="132" s="1"/>
  <c r="R47" i="132"/>
  <c r="R46" i="132" s="1"/>
  <c r="S47" i="132"/>
  <c r="S46" i="132" s="1"/>
  <c r="T47" i="132"/>
  <c r="T46" i="132" s="1"/>
  <c r="U47" i="132"/>
  <c r="U46" i="132" s="1"/>
  <c r="V47" i="132"/>
  <c r="V46" i="132" s="1"/>
  <c r="X47" i="132"/>
  <c r="X46" i="132" s="1"/>
  <c r="Y47" i="132"/>
  <c r="Y46" i="132" s="1"/>
  <c r="AB47" i="132"/>
  <c r="AB46" i="132" s="1"/>
  <c r="AH47" i="132"/>
  <c r="AI47" i="132"/>
  <c r="B48" i="132"/>
  <c r="K48" i="132"/>
  <c r="L48" i="132"/>
  <c r="N48" i="132" s="1"/>
  <c r="Q48" i="132"/>
  <c r="Z48" i="132"/>
  <c r="AA48" i="132"/>
  <c r="AC48" i="132" s="1"/>
  <c r="B49" i="132"/>
  <c r="K49" i="132"/>
  <c r="L49" i="132"/>
  <c r="N49" i="132" s="1"/>
  <c r="O49" i="132" s="1"/>
  <c r="Q49" i="132"/>
  <c r="Z49" i="132"/>
  <c r="AA49" i="132"/>
  <c r="AC49" i="132" s="1"/>
  <c r="B50" i="132"/>
  <c r="K50" i="132"/>
  <c r="L50" i="132"/>
  <c r="N50" i="132"/>
  <c r="O50" i="132" s="1"/>
  <c r="Q50" i="132"/>
  <c r="Z50" i="132"/>
  <c r="AA50" i="132"/>
  <c r="AC50" i="132" s="1"/>
  <c r="AF51" i="132"/>
  <c r="AG51" i="132"/>
  <c r="H52" i="132"/>
  <c r="K52" i="132" s="1"/>
  <c r="L52" i="132"/>
  <c r="N52" i="132" s="1"/>
  <c r="W52" i="132"/>
  <c r="Z52" i="132" s="1"/>
  <c r="AA52" i="132"/>
  <c r="AC52" i="132" s="1"/>
  <c r="H53" i="132"/>
  <c r="K53" i="132" s="1"/>
  <c r="L53" i="132"/>
  <c r="N53" i="132" s="1"/>
  <c r="W53" i="132"/>
  <c r="Z53" i="132"/>
  <c r="AA53" i="132"/>
  <c r="AC53" i="132" s="1"/>
  <c r="H54" i="132"/>
  <c r="K54" i="132" s="1"/>
  <c r="L54" i="132"/>
  <c r="N54" i="132" s="1"/>
  <c r="W54" i="132"/>
  <c r="Z54" i="132"/>
  <c r="AA54" i="132"/>
  <c r="AC54" i="132" s="1"/>
  <c r="H55" i="132"/>
  <c r="K55" i="132" s="1"/>
  <c r="L55" i="132"/>
  <c r="N55" i="132" s="1"/>
  <c r="W55" i="132"/>
  <c r="Z55" i="132" s="1"/>
  <c r="AD55" i="132" s="1"/>
  <c r="AE55" i="132" s="1"/>
  <c r="AA55" i="132"/>
  <c r="AC55" i="132" s="1"/>
  <c r="H56" i="132"/>
  <c r="K56" i="132" s="1"/>
  <c r="L56" i="132"/>
  <c r="N56" i="132" s="1"/>
  <c r="W56" i="132"/>
  <c r="Z56" i="132" s="1"/>
  <c r="AA56" i="132"/>
  <c r="AC56" i="132" s="1"/>
  <c r="H57" i="132"/>
  <c r="K57" i="132" s="1"/>
  <c r="O57" i="132" s="1"/>
  <c r="L57" i="132"/>
  <c r="N57" i="132" s="1"/>
  <c r="W57" i="132"/>
  <c r="Z57" i="132" s="1"/>
  <c r="AA57" i="132"/>
  <c r="AC57" i="132"/>
  <c r="H58" i="132"/>
  <c r="K58" i="132"/>
  <c r="O58" i="132" s="1"/>
  <c r="L58" i="132"/>
  <c r="N58" i="132" s="1"/>
  <c r="W58" i="132"/>
  <c r="Z58" i="132" s="1"/>
  <c r="AA58" i="132"/>
  <c r="AC58" i="132" s="1"/>
  <c r="H59" i="132"/>
  <c r="K59" i="132" s="1"/>
  <c r="L59" i="132"/>
  <c r="N59" i="132"/>
  <c r="W59" i="132"/>
  <c r="Z59" i="132" s="1"/>
  <c r="AA59" i="132"/>
  <c r="AC59" i="132"/>
  <c r="H60" i="132"/>
  <c r="K60" i="132" s="1"/>
  <c r="L60" i="132"/>
  <c r="N60" i="132" s="1"/>
  <c r="W60" i="132"/>
  <c r="Z60" i="132"/>
  <c r="AA60" i="132"/>
  <c r="AC60" i="132" s="1"/>
  <c r="H61" i="132"/>
  <c r="K61" i="132"/>
  <c r="L61" i="132"/>
  <c r="N61" i="132" s="1"/>
  <c r="W61" i="132"/>
  <c r="Z61" i="132" s="1"/>
  <c r="AA61" i="132"/>
  <c r="AC61" i="132"/>
  <c r="AH62" i="132"/>
  <c r="AI62" i="132"/>
  <c r="B79" i="132"/>
  <c r="C79" i="132"/>
  <c r="D79" i="132"/>
  <c r="E79" i="132"/>
  <c r="F79" i="132"/>
  <c r="G79" i="132"/>
  <c r="I79" i="132"/>
  <c r="J79" i="132"/>
  <c r="M79" i="132"/>
  <c r="Q79" i="132"/>
  <c r="R79" i="132"/>
  <c r="S79" i="132"/>
  <c r="T79" i="132"/>
  <c r="U79" i="132"/>
  <c r="V79" i="132"/>
  <c r="X79" i="132"/>
  <c r="Y79" i="132"/>
  <c r="AB79" i="132"/>
  <c r="AH79" i="132"/>
  <c r="AI79" i="132"/>
  <c r="H80" i="132"/>
  <c r="K80" i="132" s="1"/>
  <c r="L80" i="132"/>
  <c r="W80" i="132"/>
  <c r="Z80" i="132"/>
  <c r="AA80" i="132"/>
  <c r="H81" i="132"/>
  <c r="K81" i="132" s="1"/>
  <c r="O81" i="132" s="1"/>
  <c r="L81" i="132"/>
  <c r="N81" i="132" s="1"/>
  <c r="W81" i="132"/>
  <c r="Z81" i="132" s="1"/>
  <c r="AA81" i="132"/>
  <c r="AC81" i="132" s="1"/>
  <c r="H82" i="132"/>
  <c r="K82" i="132"/>
  <c r="L82" i="132"/>
  <c r="N82" i="132" s="1"/>
  <c r="W82" i="132"/>
  <c r="Z82" i="132" s="1"/>
  <c r="AA82" i="132"/>
  <c r="AC82" i="132" s="1"/>
  <c r="H83" i="132"/>
  <c r="K83" i="132"/>
  <c r="L83" i="132"/>
  <c r="N83" i="132" s="1"/>
  <c r="W83" i="132"/>
  <c r="Z83" i="132" s="1"/>
  <c r="AA83" i="132"/>
  <c r="AC83" i="132" s="1"/>
  <c r="O84" i="132"/>
  <c r="P84" i="132" s="1"/>
  <c r="AD84" i="132"/>
  <c r="AE84" i="132" s="1"/>
  <c r="O85" i="132"/>
  <c r="AD85" i="132"/>
  <c r="AE85" i="132" s="1"/>
  <c r="O86" i="132"/>
  <c r="P86" i="132" s="1"/>
  <c r="AD86" i="132"/>
  <c r="AE86" i="132" s="1"/>
  <c r="O87" i="132"/>
  <c r="P87" i="132" s="1"/>
  <c r="AD87" i="132"/>
  <c r="AE87" i="132" s="1"/>
  <c r="O88" i="132"/>
  <c r="AD88" i="132"/>
  <c r="AE88" i="132" s="1"/>
  <c r="O89" i="132"/>
  <c r="P89" i="132" s="1"/>
  <c r="AD89" i="132"/>
  <c r="AE89" i="132" s="1"/>
  <c r="O90" i="132"/>
  <c r="P90" i="132" s="1"/>
  <c r="AD90" i="132"/>
  <c r="AE90" i="132" s="1"/>
  <c r="B92" i="132"/>
  <c r="C92" i="132"/>
  <c r="D92" i="132"/>
  <c r="E92" i="132"/>
  <c r="F92" i="132"/>
  <c r="G92" i="132"/>
  <c r="H92" i="132"/>
  <c r="I92" i="132"/>
  <c r="J92" i="132"/>
  <c r="M92" i="132"/>
  <c r="Q92" i="132"/>
  <c r="R92" i="132"/>
  <c r="S92" i="132"/>
  <c r="T92" i="132"/>
  <c r="U92" i="132"/>
  <c r="V92" i="132"/>
  <c r="W92" i="132"/>
  <c r="X92" i="132"/>
  <c r="Y92" i="132"/>
  <c r="AB92" i="132"/>
  <c r="AH92" i="132"/>
  <c r="AI92" i="132"/>
  <c r="K93" i="132"/>
  <c r="L93" i="132"/>
  <c r="Z93" i="132"/>
  <c r="AA93" i="132"/>
  <c r="AC93" i="132"/>
  <c r="K94" i="132"/>
  <c r="L94" i="132"/>
  <c r="N94" i="132" s="1"/>
  <c r="Z94" i="132"/>
  <c r="AA94" i="132"/>
  <c r="AC94" i="132" s="1"/>
  <c r="K95" i="132"/>
  <c r="O95" i="132" s="1"/>
  <c r="L95" i="132"/>
  <c r="N95" i="132" s="1"/>
  <c r="Z95" i="132"/>
  <c r="AA95" i="132"/>
  <c r="AC95" i="132" s="1"/>
  <c r="AD95" i="132" s="1"/>
  <c r="AE95" i="132" s="1"/>
  <c r="K96" i="132"/>
  <c r="L96" i="132"/>
  <c r="N96" i="132" s="1"/>
  <c r="O96" i="132" s="1"/>
  <c r="Z96" i="132"/>
  <c r="AD96" i="132" s="1"/>
  <c r="AE96" i="132" s="1"/>
  <c r="AA96" i="132"/>
  <c r="AC96" i="132" s="1"/>
  <c r="K97" i="132"/>
  <c r="L97" i="132"/>
  <c r="N97" i="132" s="1"/>
  <c r="Z97" i="132"/>
  <c r="AA97" i="132"/>
  <c r="AC97" i="132" s="1"/>
  <c r="AD97" i="132" s="1"/>
  <c r="AE97" i="132" s="1"/>
  <c r="K98" i="132"/>
  <c r="O98" i="132" s="1"/>
  <c r="L98" i="132"/>
  <c r="N98" i="132" s="1"/>
  <c r="Z98" i="132"/>
  <c r="AA98" i="132"/>
  <c r="AC98" i="132" s="1"/>
  <c r="B99" i="132"/>
  <c r="C99" i="132"/>
  <c r="D99" i="132"/>
  <c r="E99" i="132"/>
  <c r="F99" i="132"/>
  <c r="G99" i="132"/>
  <c r="H99" i="132"/>
  <c r="I99" i="132"/>
  <c r="J99" i="132"/>
  <c r="M99" i="132"/>
  <c r="Q99" i="132"/>
  <c r="R99" i="132"/>
  <c r="S99" i="132"/>
  <c r="T99" i="132"/>
  <c r="U99" i="132"/>
  <c r="V99" i="132"/>
  <c r="W99" i="132"/>
  <c r="X99" i="132"/>
  <c r="Y99" i="132"/>
  <c r="AB99" i="132"/>
  <c r="AH99" i="132"/>
  <c r="AI99" i="132"/>
  <c r="K100" i="132"/>
  <c r="L100" i="132"/>
  <c r="Z100" i="132"/>
  <c r="AA100" i="132"/>
  <c r="AC100" i="132"/>
  <c r="K101" i="132"/>
  <c r="L101" i="132"/>
  <c r="N101" i="132" s="1"/>
  <c r="Z101" i="132"/>
  <c r="AA101" i="132"/>
  <c r="AC101" i="132" s="1"/>
  <c r="K102" i="132"/>
  <c r="L102" i="132"/>
  <c r="N102" i="132" s="1"/>
  <c r="O102" i="132"/>
  <c r="Z102" i="132"/>
  <c r="AA102" i="132"/>
  <c r="AC102" i="132" s="1"/>
  <c r="K103" i="132"/>
  <c r="L103" i="132"/>
  <c r="N103" i="132" s="1"/>
  <c r="Z103" i="132"/>
  <c r="AA103" i="132"/>
  <c r="AC103" i="132" s="1"/>
  <c r="K104" i="132"/>
  <c r="L104" i="132"/>
  <c r="N104" i="132" s="1"/>
  <c r="O104" i="132" s="1"/>
  <c r="Z104" i="132"/>
  <c r="AA104" i="132"/>
  <c r="AC104" i="132" s="1"/>
  <c r="B105" i="132"/>
  <c r="C105" i="132"/>
  <c r="D105" i="132"/>
  <c r="E105" i="132"/>
  <c r="F105" i="132"/>
  <c r="G105" i="132"/>
  <c r="H105" i="132"/>
  <c r="I105" i="132"/>
  <c r="J105" i="132"/>
  <c r="M105" i="132"/>
  <c r="Q105" i="132"/>
  <c r="R105" i="132"/>
  <c r="S105" i="132"/>
  <c r="T105" i="132"/>
  <c r="U105" i="132"/>
  <c r="V105" i="132"/>
  <c r="W105" i="132"/>
  <c r="X105" i="132"/>
  <c r="Y105" i="132"/>
  <c r="AB105" i="132"/>
  <c r="AH105" i="132"/>
  <c r="AI105" i="132"/>
  <c r="K106" i="132"/>
  <c r="L106" i="132"/>
  <c r="Z106" i="132"/>
  <c r="AA106" i="132"/>
  <c r="AC106" i="132"/>
  <c r="K107" i="132"/>
  <c r="K105" i="132" s="1"/>
  <c r="L107" i="132"/>
  <c r="N107" i="132" s="1"/>
  <c r="O107" i="132" s="1"/>
  <c r="Z107" i="132"/>
  <c r="AA107" i="132"/>
  <c r="AC107" i="132" s="1"/>
  <c r="K108" i="132"/>
  <c r="L108" i="132"/>
  <c r="N108" i="132" s="1"/>
  <c r="Z108" i="132"/>
  <c r="AA108" i="132"/>
  <c r="AC108" i="132" s="1"/>
  <c r="K109" i="132"/>
  <c r="L109" i="132"/>
  <c r="N109" i="132" s="1"/>
  <c r="O109" i="132" s="1"/>
  <c r="Z109" i="132"/>
  <c r="AA109" i="132"/>
  <c r="AC109" i="132"/>
  <c r="K110" i="132"/>
  <c r="L110" i="132"/>
  <c r="N110" i="132" s="1"/>
  <c r="O110" i="132" s="1"/>
  <c r="Z110" i="132"/>
  <c r="AA110" i="132"/>
  <c r="AC110" i="132"/>
  <c r="B111" i="132"/>
  <c r="C111" i="132"/>
  <c r="D111" i="132"/>
  <c r="E111" i="132"/>
  <c r="F111" i="132"/>
  <c r="G111" i="132"/>
  <c r="H111" i="132"/>
  <c r="I111" i="132"/>
  <c r="J111" i="132"/>
  <c r="K111" i="132"/>
  <c r="L111" i="132"/>
  <c r="M111" i="132"/>
  <c r="N111" i="132"/>
  <c r="Q111" i="132"/>
  <c r="R111" i="132"/>
  <c r="S111" i="132"/>
  <c r="T111" i="132"/>
  <c r="U111" i="132"/>
  <c r="V111" i="132"/>
  <c r="W111" i="132"/>
  <c r="X111" i="132"/>
  <c r="Y111" i="132"/>
  <c r="Z111" i="132"/>
  <c r="AA111" i="132"/>
  <c r="AB111" i="132"/>
  <c r="AC111" i="132"/>
  <c r="AH111" i="132"/>
  <c r="AI111" i="132"/>
  <c r="O112" i="132"/>
  <c r="AD112" i="132"/>
  <c r="O113" i="132"/>
  <c r="AD113" i="132"/>
  <c r="AE113" i="132" s="1"/>
  <c r="O114" i="132"/>
  <c r="AD114" i="132"/>
  <c r="AE114" i="132" s="1"/>
  <c r="O115" i="132"/>
  <c r="P115" i="132" s="1"/>
  <c r="AD115" i="132"/>
  <c r="AE115" i="132" s="1"/>
  <c r="O116" i="132"/>
  <c r="AD116" i="132"/>
  <c r="AE116" i="132" s="1"/>
  <c r="B117" i="132"/>
  <c r="C117" i="132"/>
  <c r="D117" i="132"/>
  <c r="E117" i="132"/>
  <c r="F117" i="132"/>
  <c r="G117" i="132"/>
  <c r="H117" i="132"/>
  <c r="I117" i="132"/>
  <c r="J117" i="132"/>
  <c r="M117" i="132"/>
  <c r="Q117" i="132"/>
  <c r="R117" i="132"/>
  <c r="S117" i="132"/>
  <c r="T117" i="132"/>
  <c r="U117" i="132"/>
  <c r="V117" i="132"/>
  <c r="W117" i="132"/>
  <c r="X117" i="132"/>
  <c r="Y117" i="132"/>
  <c r="AB117" i="132"/>
  <c r="AH117" i="132"/>
  <c r="AI117" i="132"/>
  <c r="K118" i="132"/>
  <c r="L118" i="132"/>
  <c r="Z118" i="132"/>
  <c r="AA118" i="132"/>
  <c r="K119" i="132"/>
  <c r="L119" i="132"/>
  <c r="N119" i="132" s="1"/>
  <c r="Z119" i="132"/>
  <c r="AA119" i="132"/>
  <c r="AC119" i="132" s="1"/>
  <c r="K120" i="132"/>
  <c r="L120" i="132"/>
  <c r="N120" i="132" s="1"/>
  <c r="O120" i="132"/>
  <c r="Z120" i="132"/>
  <c r="AA120" i="132"/>
  <c r="AC120" i="132" s="1"/>
  <c r="K121" i="132"/>
  <c r="L121" i="132"/>
  <c r="N121" i="132" s="1"/>
  <c r="O121" i="132" s="1"/>
  <c r="Z121" i="132"/>
  <c r="AA121" i="132"/>
  <c r="AC121" i="132" s="1"/>
  <c r="K122" i="132"/>
  <c r="L122" i="132"/>
  <c r="N122" i="132" s="1"/>
  <c r="Z122" i="132"/>
  <c r="AA122" i="132"/>
  <c r="AC122" i="132"/>
  <c r="B123" i="132"/>
  <c r="C123" i="132"/>
  <c r="D123" i="132"/>
  <c r="E123" i="132"/>
  <c r="F123" i="132"/>
  <c r="G123" i="132"/>
  <c r="H123" i="132"/>
  <c r="I123" i="132"/>
  <c r="J123" i="132"/>
  <c r="M123" i="132"/>
  <c r="Q123" i="132"/>
  <c r="R123" i="132"/>
  <c r="S123" i="132"/>
  <c r="T123" i="132"/>
  <c r="U123" i="132"/>
  <c r="V123" i="132"/>
  <c r="W123" i="132"/>
  <c r="X123" i="132"/>
  <c r="Y123" i="132"/>
  <c r="AB123" i="132"/>
  <c r="AH123" i="132"/>
  <c r="AI123" i="132"/>
  <c r="K124" i="132"/>
  <c r="L124" i="132"/>
  <c r="Z124" i="132"/>
  <c r="AA124" i="132"/>
  <c r="AA123" i="132" s="1"/>
  <c r="K125" i="132"/>
  <c r="L125" i="132"/>
  <c r="N125" i="132" s="1"/>
  <c r="O125" i="132"/>
  <c r="Z125" i="132"/>
  <c r="AA125" i="132"/>
  <c r="AC125" i="132" s="1"/>
  <c r="K126" i="132"/>
  <c r="L126" i="132"/>
  <c r="N126" i="132" s="1"/>
  <c r="Z126" i="132"/>
  <c r="AA126" i="132"/>
  <c r="AC126" i="132" s="1"/>
  <c r="K127" i="132"/>
  <c r="L127" i="132"/>
  <c r="N127" i="132" s="1"/>
  <c r="O127" i="132" s="1"/>
  <c r="Z127" i="132"/>
  <c r="AA127" i="132"/>
  <c r="AC127" i="132" s="1"/>
  <c r="K128" i="132"/>
  <c r="L128" i="132"/>
  <c r="N128" i="132" s="1"/>
  <c r="Z128" i="132"/>
  <c r="AA128" i="132"/>
  <c r="AC128" i="132" s="1"/>
  <c r="B129" i="132"/>
  <c r="C129" i="132"/>
  <c r="D129" i="132"/>
  <c r="E129" i="132"/>
  <c r="F129" i="132"/>
  <c r="G129" i="132"/>
  <c r="H129" i="132"/>
  <c r="I129" i="132"/>
  <c r="J129" i="132"/>
  <c r="M129" i="132"/>
  <c r="Q129" i="132"/>
  <c r="R129" i="132"/>
  <c r="S129" i="132"/>
  <c r="T129" i="132"/>
  <c r="U129" i="132"/>
  <c r="V129" i="132"/>
  <c r="W129" i="132"/>
  <c r="X129" i="132"/>
  <c r="Y129" i="132"/>
  <c r="AB129" i="132"/>
  <c r="AH129" i="132"/>
  <c r="AI129" i="132"/>
  <c r="K130" i="132"/>
  <c r="L130" i="132"/>
  <c r="Z130" i="132"/>
  <c r="AA130" i="132"/>
  <c r="K131" i="132"/>
  <c r="L131" i="132"/>
  <c r="N131" i="132" s="1"/>
  <c r="Z131" i="132"/>
  <c r="AA131" i="132"/>
  <c r="AC131" i="132"/>
  <c r="K132" i="132"/>
  <c r="L132" i="132"/>
  <c r="N132" i="132" s="1"/>
  <c r="O132" i="132" s="1"/>
  <c r="Z132" i="132"/>
  <c r="AA132" i="132"/>
  <c r="AC132" i="132" s="1"/>
  <c r="K133" i="132"/>
  <c r="L133" i="132"/>
  <c r="N133" i="132" s="1"/>
  <c r="Z133" i="132"/>
  <c r="AA133" i="132"/>
  <c r="AC133" i="132" s="1"/>
  <c r="K134" i="132"/>
  <c r="L134" i="132"/>
  <c r="N134" i="132" s="1"/>
  <c r="Z134" i="132"/>
  <c r="AA134" i="132"/>
  <c r="AC134" i="132" s="1"/>
  <c r="B135" i="132"/>
  <c r="C135" i="132"/>
  <c r="D135" i="132"/>
  <c r="E135" i="132"/>
  <c r="F135" i="132"/>
  <c r="G135" i="132"/>
  <c r="H135" i="132"/>
  <c r="I135" i="132"/>
  <c r="J135" i="132"/>
  <c r="K135" i="132"/>
  <c r="L135" i="132"/>
  <c r="M135" i="132"/>
  <c r="N135" i="132"/>
  <c r="Q135" i="132"/>
  <c r="R135" i="132"/>
  <c r="S135" i="132"/>
  <c r="T135" i="132"/>
  <c r="U135" i="132"/>
  <c r="V135" i="132"/>
  <c r="W135" i="132"/>
  <c r="X135" i="132"/>
  <c r="Y135" i="132"/>
  <c r="Z135" i="132"/>
  <c r="AA135" i="132"/>
  <c r="AB135" i="132"/>
  <c r="AC135" i="132"/>
  <c r="AH135" i="132"/>
  <c r="AI135" i="132"/>
  <c r="O136" i="132"/>
  <c r="P136" i="132" s="1"/>
  <c r="AG136" i="132" s="1"/>
  <c r="AD136" i="132"/>
  <c r="AE136" i="132" s="1"/>
  <c r="O137" i="132"/>
  <c r="P137" i="132" s="1"/>
  <c r="AD137" i="132"/>
  <c r="O138" i="132"/>
  <c r="AD138" i="132"/>
  <c r="AE138" i="132" s="1"/>
  <c r="O139" i="132"/>
  <c r="AD139" i="132"/>
  <c r="AE139" i="132" s="1"/>
  <c r="O140" i="132"/>
  <c r="P140" i="132" s="1"/>
  <c r="AD140" i="132"/>
  <c r="B141" i="132"/>
  <c r="C141" i="132"/>
  <c r="D141" i="132"/>
  <c r="E141" i="132"/>
  <c r="F141" i="132"/>
  <c r="G141" i="132"/>
  <c r="H141" i="132"/>
  <c r="I141" i="132"/>
  <c r="J141" i="132"/>
  <c r="K141" i="132"/>
  <c r="L141" i="132"/>
  <c r="M141" i="132"/>
  <c r="N141" i="132"/>
  <c r="Q141" i="132"/>
  <c r="R141" i="132"/>
  <c r="S141" i="132"/>
  <c r="T141" i="132"/>
  <c r="U141" i="132"/>
  <c r="V141" i="132"/>
  <c r="W141" i="132"/>
  <c r="X141" i="132"/>
  <c r="Y141" i="132"/>
  <c r="Z141" i="132"/>
  <c r="AA141" i="132"/>
  <c r="AB141" i="132"/>
  <c r="AC141" i="132"/>
  <c r="AH141" i="132"/>
  <c r="AI141" i="132"/>
  <c r="O142" i="132"/>
  <c r="P142" i="132" s="1"/>
  <c r="AG142" i="132" s="1"/>
  <c r="AD142" i="132"/>
  <c r="AE142" i="132" s="1"/>
  <c r="O143" i="132"/>
  <c r="P143" i="132" s="1"/>
  <c r="AD143" i="132"/>
  <c r="AF143" i="132"/>
  <c r="O144" i="132"/>
  <c r="P144" i="132" s="1"/>
  <c r="AD144" i="132"/>
  <c r="AE144" i="132" s="1"/>
  <c r="O145" i="132"/>
  <c r="AD145" i="132"/>
  <c r="AE145" i="132" s="1"/>
  <c r="O146" i="132"/>
  <c r="P146" i="132" s="1"/>
  <c r="AD146" i="132"/>
  <c r="AE146" i="132" s="1"/>
  <c r="B147" i="132"/>
  <c r="C147" i="132"/>
  <c r="D147" i="132"/>
  <c r="E147" i="132"/>
  <c r="F147" i="132"/>
  <c r="G147" i="132"/>
  <c r="H147" i="132"/>
  <c r="I147" i="132"/>
  <c r="J147" i="132"/>
  <c r="K147" i="132"/>
  <c r="L147" i="132"/>
  <c r="M147" i="132"/>
  <c r="N147" i="132"/>
  <c r="Q147" i="132"/>
  <c r="R147" i="132"/>
  <c r="S147" i="132"/>
  <c r="T147" i="132"/>
  <c r="U147" i="132"/>
  <c r="V147" i="132"/>
  <c r="W147" i="132"/>
  <c r="X147" i="132"/>
  <c r="Y147" i="132"/>
  <c r="Z147" i="132"/>
  <c r="AA147" i="132"/>
  <c r="AB147" i="132"/>
  <c r="AC147" i="132"/>
  <c r="AH147" i="132"/>
  <c r="AI147" i="132"/>
  <c r="O148" i="132"/>
  <c r="P148" i="132" s="1"/>
  <c r="AD148" i="132"/>
  <c r="O149" i="132"/>
  <c r="P149" i="132" s="1"/>
  <c r="AD149" i="132"/>
  <c r="AE149" i="132" s="1"/>
  <c r="O150" i="132"/>
  <c r="P150" i="132" s="1"/>
  <c r="AD150" i="132"/>
  <c r="AE150" i="132" s="1"/>
  <c r="O151" i="132"/>
  <c r="AD151" i="132"/>
  <c r="AE151" i="132" s="1"/>
  <c r="O152" i="132"/>
  <c r="P152" i="132" s="1"/>
  <c r="AD152" i="132"/>
  <c r="AE152" i="132" s="1"/>
  <c r="B153" i="132"/>
  <c r="C153" i="132"/>
  <c r="D153" i="132"/>
  <c r="E153" i="132"/>
  <c r="F153" i="132"/>
  <c r="G153" i="132"/>
  <c r="H153" i="132"/>
  <c r="I153" i="132"/>
  <c r="J153" i="132"/>
  <c r="K153" i="132"/>
  <c r="L153" i="132"/>
  <c r="M153" i="132"/>
  <c r="N153" i="132"/>
  <c r="Q153" i="132"/>
  <c r="R153" i="132"/>
  <c r="S153" i="132"/>
  <c r="T153" i="132"/>
  <c r="U153" i="132"/>
  <c r="V153" i="132"/>
  <c r="W153" i="132"/>
  <c r="X153" i="132"/>
  <c r="Y153" i="132"/>
  <c r="Z153" i="132"/>
  <c r="AA153" i="132"/>
  <c r="AB153" i="132"/>
  <c r="AC153" i="132"/>
  <c r="AH153" i="132"/>
  <c r="AI153" i="132"/>
  <c r="O154" i="132"/>
  <c r="P154" i="132" s="1"/>
  <c r="AD154" i="132"/>
  <c r="AE154" i="132" s="1"/>
  <c r="O155" i="132"/>
  <c r="AD155" i="132"/>
  <c r="AE155" i="132" s="1"/>
  <c r="O156" i="132"/>
  <c r="P156" i="132"/>
  <c r="AD156" i="132"/>
  <c r="AE156" i="132"/>
  <c r="O157" i="132"/>
  <c r="AD157" i="132"/>
  <c r="AE157" i="132" s="1"/>
  <c r="O158" i="132"/>
  <c r="P158" i="132" s="1"/>
  <c r="AD158" i="132"/>
  <c r="AE158" i="132" s="1"/>
  <c r="B159" i="132"/>
  <c r="C159" i="132"/>
  <c r="D159" i="132"/>
  <c r="E159" i="132"/>
  <c r="F159" i="132"/>
  <c r="G159" i="132"/>
  <c r="H159" i="132"/>
  <c r="I159" i="132"/>
  <c r="J159" i="132"/>
  <c r="K159" i="132"/>
  <c r="L159" i="132"/>
  <c r="M159" i="132"/>
  <c r="N159" i="132"/>
  <c r="Q159" i="132"/>
  <c r="R159" i="132"/>
  <c r="S159" i="132"/>
  <c r="T159" i="132"/>
  <c r="U159" i="132"/>
  <c r="V159" i="132"/>
  <c r="W159" i="132"/>
  <c r="X159" i="132"/>
  <c r="Y159" i="132"/>
  <c r="Z159" i="132"/>
  <c r="AA159" i="132"/>
  <c r="AB159" i="132"/>
  <c r="AC159" i="132"/>
  <c r="AH159" i="132"/>
  <c r="AI159" i="132"/>
  <c r="O160" i="132"/>
  <c r="P160" i="132" s="1"/>
  <c r="AD160" i="132"/>
  <c r="O161" i="132"/>
  <c r="P161" i="132" s="1"/>
  <c r="AG161" i="132" s="1"/>
  <c r="AD161" i="132"/>
  <c r="AE161" i="132" s="1"/>
  <c r="O162" i="132"/>
  <c r="AF162" i="132" s="1"/>
  <c r="AD162" i="132"/>
  <c r="AE162" i="132"/>
  <c r="O163" i="132"/>
  <c r="AD163" i="132"/>
  <c r="AE163" i="132" s="1"/>
  <c r="O164" i="132"/>
  <c r="P164" i="132" s="1"/>
  <c r="AD164" i="132"/>
  <c r="B165" i="132"/>
  <c r="C165" i="132"/>
  <c r="D165" i="132"/>
  <c r="E165" i="132"/>
  <c r="F165" i="132"/>
  <c r="G165" i="132"/>
  <c r="H165" i="132"/>
  <c r="I165" i="132"/>
  <c r="J165" i="132"/>
  <c r="K165" i="132"/>
  <c r="L165" i="132"/>
  <c r="M165" i="132"/>
  <c r="N165" i="132"/>
  <c r="Q165" i="132"/>
  <c r="R165" i="132"/>
  <c r="S165" i="132"/>
  <c r="T165" i="132"/>
  <c r="U165" i="132"/>
  <c r="V165" i="132"/>
  <c r="W165" i="132"/>
  <c r="X165" i="132"/>
  <c r="Y165" i="132"/>
  <c r="Z165" i="132"/>
  <c r="AA165" i="132"/>
  <c r="AB165" i="132"/>
  <c r="AC165" i="132"/>
  <c r="AH165" i="132"/>
  <c r="AI165" i="132"/>
  <c r="O166" i="132"/>
  <c r="P166" i="132" s="1"/>
  <c r="AD166" i="132"/>
  <c r="O167" i="132"/>
  <c r="AD167" i="132"/>
  <c r="AE167" i="132" s="1"/>
  <c r="O168" i="132"/>
  <c r="P168" i="132" s="1"/>
  <c r="AD168" i="132"/>
  <c r="AE168" i="132" s="1"/>
  <c r="O169" i="132"/>
  <c r="AD169" i="132"/>
  <c r="AE169" i="132" s="1"/>
  <c r="O170" i="132"/>
  <c r="P170" i="132" s="1"/>
  <c r="AD170" i="132"/>
  <c r="B171" i="132"/>
  <c r="C171" i="132"/>
  <c r="D171" i="132"/>
  <c r="E171" i="132"/>
  <c r="F171" i="132"/>
  <c r="G171" i="132"/>
  <c r="H171" i="132"/>
  <c r="I171" i="132"/>
  <c r="J171" i="132"/>
  <c r="K171" i="132"/>
  <c r="L171" i="132"/>
  <c r="M171" i="132"/>
  <c r="N171" i="132"/>
  <c r="Q171" i="132"/>
  <c r="R171" i="132"/>
  <c r="S171" i="132"/>
  <c r="T171" i="132"/>
  <c r="U171" i="132"/>
  <c r="V171" i="132"/>
  <c r="W171" i="132"/>
  <c r="X171" i="132"/>
  <c r="Y171" i="132"/>
  <c r="Z171" i="132"/>
  <c r="AA171" i="132"/>
  <c r="AB171" i="132"/>
  <c r="AC171" i="132"/>
  <c r="AH171" i="132"/>
  <c r="AI171" i="132"/>
  <c r="O172" i="132"/>
  <c r="P172" i="132" s="1"/>
  <c r="AD172" i="132"/>
  <c r="O173" i="132"/>
  <c r="P173" i="132" s="1"/>
  <c r="AD173" i="132"/>
  <c r="AE173" i="132" s="1"/>
  <c r="O174" i="132"/>
  <c r="P174" i="132" s="1"/>
  <c r="AD174" i="132"/>
  <c r="AE174" i="132" s="1"/>
  <c r="O175" i="132"/>
  <c r="AD175" i="132"/>
  <c r="AE175" i="132" s="1"/>
  <c r="O176" i="132"/>
  <c r="P176" i="132" s="1"/>
  <c r="AD176" i="132"/>
  <c r="AE176" i="132" s="1"/>
  <c r="B177" i="132"/>
  <c r="C177" i="132"/>
  <c r="D177" i="132"/>
  <c r="E177" i="132"/>
  <c r="F177" i="132"/>
  <c r="G177" i="132"/>
  <c r="H177" i="132"/>
  <c r="I177" i="132"/>
  <c r="J177" i="132"/>
  <c r="K177" i="132"/>
  <c r="L177" i="132"/>
  <c r="M177" i="132"/>
  <c r="N177" i="132"/>
  <c r="Q177" i="132"/>
  <c r="R177" i="132"/>
  <c r="S177" i="132"/>
  <c r="T177" i="132"/>
  <c r="U177" i="132"/>
  <c r="V177" i="132"/>
  <c r="W177" i="132"/>
  <c r="X177" i="132"/>
  <c r="Y177" i="132"/>
  <c r="Z177" i="132"/>
  <c r="AA177" i="132"/>
  <c r="AB177" i="132"/>
  <c r="AC177" i="132"/>
  <c r="AH177" i="132"/>
  <c r="AI177" i="132"/>
  <c r="O178" i="132"/>
  <c r="P178" i="132" s="1"/>
  <c r="AD178" i="132"/>
  <c r="AE178" i="132" s="1"/>
  <c r="O179" i="132"/>
  <c r="P179" i="132" s="1"/>
  <c r="AD179" i="132"/>
  <c r="AE179" i="132" s="1"/>
  <c r="O180" i="132"/>
  <c r="P180" i="132" s="1"/>
  <c r="AD180" i="132"/>
  <c r="O181" i="132"/>
  <c r="P181" i="132"/>
  <c r="AG181" i="132" s="1"/>
  <c r="AD181" i="132"/>
  <c r="AE181" i="132" s="1"/>
  <c r="O182" i="132"/>
  <c r="P182" i="132" s="1"/>
  <c r="AD182" i="132"/>
  <c r="AE182" i="132" s="1"/>
  <c r="AG182" i="132" s="1"/>
  <c r="O183" i="132"/>
  <c r="P183" i="132" s="1"/>
  <c r="AD183" i="132"/>
  <c r="AE183" i="132" s="1"/>
  <c r="O184" i="132"/>
  <c r="P184" i="132" s="1"/>
  <c r="AD184" i="132"/>
  <c r="AE184" i="132" s="1"/>
  <c r="B185" i="132"/>
  <c r="C185" i="132"/>
  <c r="D185" i="132"/>
  <c r="E185" i="132"/>
  <c r="F185" i="132"/>
  <c r="G185" i="132"/>
  <c r="H185" i="132"/>
  <c r="I185" i="132"/>
  <c r="J185" i="132"/>
  <c r="M185" i="132"/>
  <c r="Q185" i="132"/>
  <c r="R185" i="132"/>
  <c r="S185" i="132"/>
  <c r="T185" i="132"/>
  <c r="U185" i="132"/>
  <c r="V185" i="132"/>
  <c r="W185" i="132"/>
  <c r="X185" i="132"/>
  <c r="Y185" i="132"/>
  <c r="AB185" i="132"/>
  <c r="AH185" i="132"/>
  <c r="AI185" i="132"/>
  <c r="K186" i="132"/>
  <c r="L186" i="132"/>
  <c r="Z186" i="132"/>
  <c r="AA186" i="132"/>
  <c r="AA185" i="132" s="1"/>
  <c r="AC186" i="132"/>
  <c r="K187" i="132"/>
  <c r="L187" i="132"/>
  <c r="N187" i="132" s="1"/>
  <c r="Z187" i="132"/>
  <c r="AA187" i="132"/>
  <c r="AC187" i="132" s="1"/>
  <c r="B188" i="132"/>
  <c r="C188" i="132"/>
  <c r="D188" i="132"/>
  <c r="E188" i="132"/>
  <c r="F188" i="132"/>
  <c r="G188" i="132"/>
  <c r="H188" i="132"/>
  <c r="I188" i="132"/>
  <c r="J188" i="132"/>
  <c r="L188" i="132"/>
  <c r="Q188" i="132"/>
  <c r="R188" i="132"/>
  <c r="S188" i="132"/>
  <c r="T188" i="132"/>
  <c r="U188" i="132"/>
  <c r="V188" i="132"/>
  <c r="W188" i="132"/>
  <c r="X188" i="132"/>
  <c r="Y188" i="132"/>
  <c r="AA188" i="132"/>
  <c r="AH188" i="132"/>
  <c r="AI188" i="132"/>
  <c r="K189" i="132"/>
  <c r="N189" i="132"/>
  <c r="O189" i="132"/>
  <c r="P189" i="132" s="1"/>
  <c r="Z189" i="132"/>
  <c r="AC189" i="132"/>
  <c r="AC188" i="132" s="1"/>
  <c r="K190" i="132"/>
  <c r="N190" i="132"/>
  <c r="Z190" i="132"/>
  <c r="AC190" i="132"/>
  <c r="B192" i="132"/>
  <c r="C192" i="132"/>
  <c r="D192" i="132"/>
  <c r="E192" i="132"/>
  <c r="F192" i="132"/>
  <c r="G192" i="132"/>
  <c r="H192" i="132"/>
  <c r="I192" i="132"/>
  <c r="J192" i="132"/>
  <c r="M192" i="132"/>
  <c r="Q192" i="132"/>
  <c r="R192" i="132"/>
  <c r="S192" i="132"/>
  <c r="T192" i="132"/>
  <c r="U192" i="132"/>
  <c r="V192" i="132"/>
  <c r="W192" i="132"/>
  <c r="X192" i="132"/>
  <c r="Y192" i="132"/>
  <c r="AB192" i="132"/>
  <c r="AH192" i="132"/>
  <c r="AI192" i="132"/>
  <c r="O193" i="132"/>
  <c r="P193" i="132" s="1"/>
  <c r="AD193" i="132"/>
  <c r="AE193" i="132" s="1"/>
  <c r="O194" i="132"/>
  <c r="P194" i="132" s="1"/>
  <c r="AD194" i="132"/>
  <c r="AE194" i="132" s="1"/>
  <c r="O195" i="132"/>
  <c r="AD195" i="132"/>
  <c r="AE195" i="132" s="1"/>
  <c r="K196" i="132"/>
  <c r="L196" i="132"/>
  <c r="N196" i="132" s="1"/>
  <c r="Z196" i="132"/>
  <c r="AA196" i="132"/>
  <c r="AC196" i="132" s="1"/>
  <c r="K197" i="132"/>
  <c r="L197" i="132"/>
  <c r="N197" i="132" s="1"/>
  <c r="Z197" i="132"/>
  <c r="AA197" i="132"/>
  <c r="K198" i="132"/>
  <c r="L198" i="132"/>
  <c r="N198" i="132" s="1"/>
  <c r="Z198" i="132"/>
  <c r="AA198" i="132"/>
  <c r="AC198" i="132" s="1"/>
  <c r="B199" i="132"/>
  <c r="C199" i="132"/>
  <c r="D199" i="132"/>
  <c r="E199" i="132"/>
  <c r="F199" i="132"/>
  <c r="G199" i="132"/>
  <c r="H199" i="132"/>
  <c r="I199" i="132"/>
  <c r="J199" i="132"/>
  <c r="M199" i="132"/>
  <c r="Q199" i="132"/>
  <c r="R199" i="132"/>
  <c r="S199" i="132"/>
  <c r="T199" i="132"/>
  <c r="U199" i="132"/>
  <c r="V199" i="132"/>
  <c r="W199" i="132"/>
  <c r="X199" i="132"/>
  <c r="Y199" i="132"/>
  <c r="AB199" i="132"/>
  <c r="AH199" i="132"/>
  <c r="AI199" i="132"/>
  <c r="K200" i="132"/>
  <c r="L200" i="132"/>
  <c r="N200" i="132" s="1"/>
  <c r="Z200" i="132"/>
  <c r="AA200" i="132"/>
  <c r="K201" i="132"/>
  <c r="L201" i="132"/>
  <c r="N201" i="132" s="1"/>
  <c r="Z201" i="132"/>
  <c r="AA201" i="132"/>
  <c r="AC201" i="132"/>
  <c r="K202" i="132"/>
  <c r="L202" i="132"/>
  <c r="N202" i="132" s="1"/>
  <c r="Z202" i="132"/>
  <c r="AA202" i="132"/>
  <c r="AC202" i="132"/>
  <c r="K203" i="132"/>
  <c r="L203" i="132"/>
  <c r="N203" i="132" s="1"/>
  <c r="Z203" i="132"/>
  <c r="AA203" i="132"/>
  <c r="AC203" i="132" s="1"/>
  <c r="K204" i="132"/>
  <c r="L204" i="132"/>
  <c r="N204" i="132" s="1"/>
  <c r="Z204" i="132"/>
  <c r="AA204" i="132"/>
  <c r="AC204" i="132" s="1"/>
  <c r="K205" i="132"/>
  <c r="O205" i="132" s="1"/>
  <c r="L205" i="132"/>
  <c r="N205" i="132" s="1"/>
  <c r="Z205" i="132"/>
  <c r="AD205" i="132" s="1"/>
  <c r="AE205" i="132" s="1"/>
  <c r="AA205" i="132"/>
  <c r="AC205" i="132"/>
  <c r="B206" i="132"/>
  <c r="C206" i="132"/>
  <c r="D206" i="132"/>
  <c r="E206" i="132"/>
  <c r="F206" i="132"/>
  <c r="G206" i="132"/>
  <c r="H206" i="132"/>
  <c r="I206" i="132"/>
  <c r="J206" i="132"/>
  <c r="M206" i="132"/>
  <c r="Q206" i="132"/>
  <c r="R206" i="132"/>
  <c r="S206" i="132"/>
  <c r="T206" i="132"/>
  <c r="U206" i="132"/>
  <c r="V206" i="132"/>
  <c r="W206" i="132"/>
  <c r="X206" i="132"/>
  <c r="Y206" i="132"/>
  <c r="AB206" i="132"/>
  <c r="AH206" i="132"/>
  <c r="AI206" i="132"/>
  <c r="K207" i="132"/>
  <c r="L207" i="132"/>
  <c r="N207" i="132" s="1"/>
  <c r="O207" i="132" s="1"/>
  <c r="Z207" i="132"/>
  <c r="AA207" i="132"/>
  <c r="AC207" i="132"/>
  <c r="K208" i="132"/>
  <c r="L208" i="132"/>
  <c r="N208" i="132" s="1"/>
  <c r="Z208" i="132"/>
  <c r="AA208" i="132"/>
  <c r="AC208" i="132" s="1"/>
  <c r="K209" i="132"/>
  <c r="L209" i="132"/>
  <c r="N209" i="132" s="1"/>
  <c r="Z209" i="132"/>
  <c r="AA209" i="132"/>
  <c r="AC209" i="132" s="1"/>
  <c r="K210" i="132"/>
  <c r="L210" i="132"/>
  <c r="N210" i="132" s="1"/>
  <c r="O210" i="132" s="1"/>
  <c r="Z210" i="132"/>
  <c r="AA210" i="132"/>
  <c r="AC210" i="132" s="1"/>
  <c r="K211" i="132"/>
  <c r="L211" i="132"/>
  <c r="N211" i="132" s="1"/>
  <c r="Z211" i="132"/>
  <c r="AA211" i="132"/>
  <c r="AC211" i="132" s="1"/>
  <c r="K212" i="132"/>
  <c r="L212" i="132"/>
  <c r="N212" i="132" s="1"/>
  <c r="Z212" i="132"/>
  <c r="AA212" i="132"/>
  <c r="AC212" i="132" s="1"/>
  <c r="O213" i="132"/>
  <c r="P213" i="132" s="1"/>
  <c r="AG213" i="132" s="1"/>
  <c r="AD213" i="132"/>
  <c r="AE213" i="132" s="1"/>
  <c r="D214" i="132"/>
  <c r="E214" i="132"/>
  <c r="F214" i="132"/>
  <c r="G214" i="132"/>
  <c r="H214" i="132"/>
  <c r="I214" i="132"/>
  <c r="J214" i="132"/>
  <c r="L214" i="132"/>
  <c r="M214" i="132"/>
  <c r="S214" i="132"/>
  <c r="T214" i="132"/>
  <c r="U214" i="132"/>
  <c r="V214" i="132"/>
  <c r="W214" i="132"/>
  <c r="X214" i="132"/>
  <c r="Y214" i="132"/>
  <c r="AA214" i="132"/>
  <c r="AB214" i="132"/>
  <c r="AI214" i="132"/>
  <c r="C215" i="132"/>
  <c r="N215" i="132"/>
  <c r="R215" i="132"/>
  <c r="Z215" i="132" s="1"/>
  <c r="AC215" i="132"/>
  <c r="C216" i="132"/>
  <c r="K216" i="132" s="1"/>
  <c r="N216" i="132"/>
  <c r="R216" i="132"/>
  <c r="Z216" i="132" s="1"/>
  <c r="AD216" i="132" s="1"/>
  <c r="AE216" i="132" s="1"/>
  <c r="AC216" i="132"/>
  <c r="K217" i="132"/>
  <c r="N217" i="132"/>
  <c r="Z217" i="132"/>
  <c r="AC217" i="132"/>
  <c r="AD217" i="132" s="1"/>
  <c r="AE217" i="132" s="1"/>
  <c r="C218" i="132"/>
  <c r="K218" i="132" s="1"/>
  <c r="N218" i="132"/>
  <c r="R218" i="132"/>
  <c r="Z218" i="132" s="1"/>
  <c r="AC218" i="132"/>
  <c r="K219" i="132"/>
  <c r="N219" i="132"/>
  <c r="Z219" i="132"/>
  <c r="AC219" i="132"/>
  <c r="AF219" i="132"/>
  <c r="AG219" i="132"/>
  <c r="B221" i="132"/>
  <c r="C221" i="132"/>
  <c r="D221" i="132"/>
  <c r="E221" i="132"/>
  <c r="F221" i="132"/>
  <c r="G221" i="132"/>
  <c r="H221" i="132"/>
  <c r="I221" i="132"/>
  <c r="J221" i="132"/>
  <c r="M221" i="132"/>
  <c r="R221" i="132"/>
  <c r="S221" i="132"/>
  <c r="T221" i="132"/>
  <c r="U221" i="132"/>
  <c r="V221" i="132"/>
  <c r="W221" i="132"/>
  <c r="X221" i="132"/>
  <c r="Y221" i="132"/>
  <c r="AB221" i="132"/>
  <c r="AI221" i="132"/>
  <c r="K222" i="132"/>
  <c r="L222" i="132"/>
  <c r="Z222" i="132"/>
  <c r="AA222" i="132"/>
  <c r="K223" i="132"/>
  <c r="L223" i="132"/>
  <c r="N223" i="132" s="1"/>
  <c r="Z223" i="132"/>
  <c r="AD223" i="132" s="1"/>
  <c r="AE223" i="132" s="1"/>
  <c r="AA223" i="132"/>
  <c r="AC223" i="132" s="1"/>
  <c r="K224" i="132"/>
  <c r="L224" i="132"/>
  <c r="N224" i="132" s="1"/>
  <c r="Q224" i="132"/>
  <c r="Z224" i="132"/>
  <c r="AA224" i="132"/>
  <c r="AC224" i="132" s="1"/>
  <c r="AD224" i="132" s="1"/>
  <c r="AH224" i="132"/>
  <c r="K225" i="132"/>
  <c r="O225" i="132" s="1"/>
  <c r="P225" i="132" s="1"/>
  <c r="L225" i="132"/>
  <c r="N225" i="132" s="1"/>
  <c r="Q225" i="132"/>
  <c r="Z225" i="132"/>
  <c r="AA225" i="132"/>
  <c r="AC225" i="132" s="1"/>
  <c r="AH225" i="132"/>
  <c r="K226" i="132"/>
  <c r="L226" i="132"/>
  <c r="N226" i="132" s="1"/>
  <c r="Q226" i="132"/>
  <c r="Z226" i="132"/>
  <c r="AA226" i="132"/>
  <c r="AC226" i="132" s="1"/>
  <c r="AD226" i="132" s="1"/>
  <c r="AH226" i="132"/>
  <c r="K227" i="132"/>
  <c r="L227" i="132"/>
  <c r="N227" i="132"/>
  <c r="Z227" i="132"/>
  <c r="AA227" i="132"/>
  <c r="AC227" i="132" s="1"/>
  <c r="AH227" i="132"/>
  <c r="K228" i="132"/>
  <c r="L228" i="132"/>
  <c r="N228" i="132"/>
  <c r="O228" i="132" s="1"/>
  <c r="Q228" i="132"/>
  <c r="Z228" i="132"/>
  <c r="AA228" i="132"/>
  <c r="AC228" i="132" s="1"/>
  <c r="K229" i="132"/>
  <c r="O229" i="132" s="1"/>
  <c r="L229" i="132"/>
  <c r="N229" i="132" s="1"/>
  <c r="Z229" i="132"/>
  <c r="AD229" i="132" s="1"/>
  <c r="AE229" i="132" s="1"/>
  <c r="AA229" i="132"/>
  <c r="AC229" i="132" s="1"/>
  <c r="B230" i="132"/>
  <c r="C230" i="132"/>
  <c r="D230" i="132"/>
  <c r="E230" i="132"/>
  <c r="F230" i="132"/>
  <c r="G230" i="132"/>
  <c r="H230" i="132"/>
  <c r="I230" i="132"/>
  <c r="J230" i="132"/>
  <c r="M230" i="132"/>
  <c r="R230" i="132"/>
  <c r="S230" i="132"/>
  <c r="T230" i="132"/>
  <c r="U230" i="132"/>
  <c r="V230" i="132"/>
  <c r="W230" i="132"/>
  <c r="X230" i="132"/>
  <c r="Y230" i="132"/>
  <c r="AB230" i="132"/>
  <c r="AI230" i="132"/>
  <c r="K231" i="132"/>
  <c r="O231" i="132" s="1"/>
  <c r="L231" i="132"/>
  <c r="N231" i="132" s="1"/>
  <c r="Z231" i="132"/>
  <c r="AA231" i="132"/>
  <c r="AC231" i="132"/>
  <c r="K232" i="132"/>
  <c r="L232" i="132"/>
  <c r="N232" i="132" s="1"/>
  <c r="Z232" i="132"/>
  <c r="AA232" i="132"/>
  <c r="AC232" i="132" s="1"/>
  <c r="K233" i="132"/>
  <c r="L233" i="132"/>
  <c r="N233" i="132" s="1"/>
  <c r="Q233" i="132"/>
  <c r="Z233" i="132"/>
  <c r="AA233" i="132"/>
  <c r="AH233" i="132"/>
  <c r="K234" i="132"/>
  <c r="L234" i="132"/>
  <c r="Q234" i="132"/>
  <c r="Z234" i="132"/>
  <c r="AA234" i="132"/>
  <c r="AC234" i="132"/>
  <c r="AD234" i="132"/>
  <c r="AH234" i="132"/>
  <c r="K235" i="132"/>
  <c r="L235" i="132"/>
  <c r="N235" i="132"/>
  <c r="Q235" i="132"/>
  <c r="Z235" i="132"/>
  <c r="AA235" i="132"/>
  <c r="AC235" i="132" s="1"/>
  <c r="AH235" i="132"/>
  <c r="K236" i="132"/>
  <c r="O236" i="132" s="1"/>
  <c r="L236" i="132"/>
  <c r="N236" i="132" s="1"/>
  <c r="Q236" i="132"/>
  <c r="Z236" i="132"/>
  <c r="AA236" i="132"/>
  <c r="AC236" i="132"/>
  <c r="AD236" i="132"/>
  <c r="AH236" i="132"/>
  <c r="K237" i="132"/>
  <c r="L237" i="132"/>
  <c r="N237" i="132" s="1"/>
  <c r="Q237" i="132"/>
  <c r="Z237" i="132"/>
  <c r="AA237" i="132"/>
  <c r="AC237" i="132" s="1"/>
  <c r="AH237" i="132"/>
  <c r="K238" i="132"/>
  <c r="L238" i="132"/>
  <c r="N238" i="132" s="1"/>
  <c r="Q238" i="132"/>
  <c r="Z238" i="132"/>
  <c r="AA238" i="132"/>
  <c r="AC238" i="132" s="1"/>
  <c r="AD238" i="132" s="1"/>
  <c r="AH238" i="132"/>
  <c r="B239" i="132"/>
  <c r="C239" i="132"/>
  <c r="D239" i="132"/>
  <c r="E239" i="132"/>
  <c r="F239" i="132"/>
  <c r="G239" i="132"/>
  <c r="H239" i="132"/>
  <c r="I239" i="132"/>
  <c r="J239" i="132"/>
  <c r="M239" i="132"/>
  <c r="Q239" i="132"/>
  <c r="R239" i="132"/>
  <c r="S239" i="132"/>
  <c r="T239" i="132"/>
  <c r="U239" i="132"/>
  <c r="V239" i="132"/>
  <c r="W239" i="132"/>
  <c r="X239" i="132"/>
  <c r="Y239" i="132"/>
  <c r="AB239" i="132"/>
  <c r="AH239" i="132"/>
  <c r="AI239" i="132"/>
  <c r="K240" i="132"/>
  <c r="L240" i="132"/>
  <c r="Z240" i="132"/>
  <c r="AA240" i="132"/>
  <c r="K241" i="132"/>
  <c r="O241" i="132" s="1"/>
  <c r="L241" i="132"/>
  <c r="N241" i="132" s="1"/>
  <c r="Z241" i="132"/>
  <c r="AA241" i="132"/>
  <c r="AC241" i="132" s="1"/>
  <c r="K242" i="132"/>
  <c r="O242" i="132" s="1"/>
  <c r="P242" i="132" s="1"/>
  <c r="Z242" i="132"/>
  <c r="AD242" i="132" s="1"/>
  <c r="AE242" i="132" s="1"/>
  <c r="K243" i="132"/>
  <c r="O243" i="132" s="1"/>
  <c r="P243" i="132" s="1"/>
  <c r="Z243" i="132"/>
  <c r="AD243" i="132" s="1"/>
  <c r="AE243" i="132" s="1"/>
  <c r="K244" i="132"/>
  <c r="O244" i="132" s="1"/>
  <c r="P244" i="132" s="1"/>
  <c r="Z244" i="132"/>
  <c r="AD244" i="132" s="1"/>
  <c r="AE244" i="132" s="1"/>
  <c r="K245" i="132"/>
  <c r="O245" i="132"/>
  <c r="P245" i="132" s="1"/>
  <c r="Z245" i="132"/>
  <c r="AD245" i="132"/>
  <c r="AE245" i="132" s="1"/>
  <c r="K246" i="132"/>
  <c r="O246" i="132" s="1"/>
  <c r="L246" i="132"/>
  <c r="N246" i="132" s="1"/>
  <c r="Z246" i="132"/>
  <c r="AA246" i="132"/>
  <c r="AC246" i="132" s="1"/>
  <c r="K247" i="132"/>
  <c r="L247" i="132"/>
  <c r="N247" i="132" s="1"/>
  <c r="Z247" i="132"/>
  <c r="AA247" i="132"/>
  <c r="AC247" i="132" s="1"/>
  <c r="K248" i="132"/>
  <c r="O248" i="132" s="1"/>
  <c r="L248" i="132"/>
  <c r="N248" i="132" s="1"/>
  <c r="Z248" i="132"/>
  <c r="AA248" i="132"/>
  <c r="AC248" i="132" s="1"/>
  <c r="K249" i="132"/>
  <c r="L249" i="132"/>
  <c r="N249" i="132" s="1"/>
  <c r="Z249" i="132"/>
  <c r="AA249" i="132"/>
  <c r="AC249" i="132" s="1"/>
  <c r="K250" i="132"/>
  <c r="O250" i="132" s="1"/>
  <c r="L250" i="132"/>
  <c r="N250" i="132" s="1"/>
  <c r="Z250" i="132"/>
  <c r="AA250" i="132"/>
  <c r="AC250" i="132" s="1"/>
  <c r="K251" i="132"/>
  <c r="L251" i="132"/>
  <c r="N251" i="132" s="1"/>
  <c r="Z251" i="132"/>
  <c r="AA251" i="132"/>
  <c r="AC251" i="132" s="1"/>
  <c r="AF253" i="132"/>
  <c r="AG253" i="132"/>
  <c r="B254" i="132"/>
  <c r="C254" i="132"/>
  <c r="D254" i="132"/>
  <c r="E254" i="132"/>
  <c r="F254" i="132"/>
  <c r="G254" i="132"/>
  <c r="H254" i="132"/>
  <c r="I254" i="132"/>
  <c r="J254" i="132"/>
  <c r="L254" i="132"/>
  <c r="M254" i="132"/>
  <c r="N254" i="132"/>
  <c r="Q254" i="132"/>
  <c r="R254" i="132"/>
  <c r="S254" i="132"/>
  <c r="T254" i="132"/>
  <c r="U254" i="132"/>
  <c r="V254" i="132"/>
  <c r="V252" i="132" s="1"/>
  <c r="W254" i="132"/>
  <c r="X254" i="132"/>
  <c r="Y254" i="132"/>
  <c r="AA254" i="132"/>
  <c r="AB254" i="132"/>
  <c r="AC254" i="132"/>
  <c r="AH254" i="132"/>
  <c r="AI254" i="132"/>
  <c r="K255" i="132"/>
  <c r="O255" i="132" s="1"/>
  <c r="Z255" i="132"/>
  <c r="AD255" i="132" s="1"/>
  <c r="K256" i="132"/>
  <c r="O256" i="132" s="1"/>
  <c r="Z256" i="132"/>
  <c r="AD256" i="132" s="1"/>
  <c r="AE256" i="132" s="1"/>
  <c r="K257" i="132"/>
  <c r="O257" i="132" s="1"/>
  <c r="Z257" i="132"/>
  <c r="AD257" i="132" s="1"/>
  <c r="AE257" i="132" s="1"/>
  <c r="K258" i="132"/>
  <c r="O258" i="132" s="1"/>
  <c r="Z258" i="132"/>
  <c r="AD258" i="132" s="1"/>
  <c r="AE258" i="132" s="1"/>
  <c r="B259" i="132"/>
  <c r="C259" i="132"/>
  <c r="D259" i="132"/>
  <c r="E259" i="132"/>
  <c r="F259" i="132"/>
  <c r="G259" i="132"/>
  <c r="H259" i="132"/>
  <c r="I259" i="132"/>
  <c r="J259" i="132"/>
  <c r="L259" i="132"/>
  <c r="M259" i="132"/>
  <c r="N259" i="132"/>
  <c r="Q259" i="132"/>
  <c r="R259" i="132"/>
  <c r="S259" i="132"/>
  <c r="T259" i="132"/>
  <c r="U259" i="132"/>
  <c r="V259" i="132"/>
  <c r="W259" i="132"/>
  <c r="X259" i="132"/>
  <c r="Y259" i="132"/>
  <c r="AA259" i="132"/>
  <c r="AB259" i="132"/>
  <c r="AC259" i="132"/>
  <c r="AH259" i="132"/>
  <c r="AI259" i="132"/>
  <c r="K260" i="132"/>
  <c r="O260" i="132"/>
  <c r="P260" i="132" s="1"/>
  <c r="Z260" i="132"/>
  <c r="K261" i="132"/>
  <c r="O261" i="132" s="1"/>
  <c r="P261" i="132" s="1"/>
  <c r="Z261" i="132"/>
  <c r="AD261" i="132" s="1"/>
  <c r="AE261" i="132" s="1"/>
  <c r="K262" i="132"/>
  <c r="O262" i="132"/>
  <c r="P262" i="132" s="1"/>
  <c r="Z262" i="132"/>
  <c r="AD262" i="132" s="1"/>
  <c r="AE262" i="132" s="1"/>
  <c r="B263" i="132"/>
  <c r="C263" i="132"/>
  <c r="D263" i="132"/>
  <c r="E263" i="132"/>
  <c r="F263" i="132"/>
  <c r="G263" i="132"/>
  <c r="H263" i="132"/>
  <c r="I263" i="132"/>
  <c r="J263" i="132"/>
  <c r="L263" i="132"/>
  <c r="M263" i="132"/>
  <c r="N263" i="132"/>
  <c r="Q263" i="132"/>
  <c r="R263" i="132"/>
  <c r="S263" i="132"/>
  <c r="T263" i="132"/>
  <c r="U263" i="132"/>
  <c r="V263" i="132"/>
  <c r="W263" i="132"/>
  <c r="X263" i="132"/>
  <c r="Y263" i="132"/>
  <c r="AA263" i="132"/>
  <c r="AB263" i="132"/>
  <c r="AC263" i="132"/>
  <c r="AH263" i="132"/>
  <c r="AI263" i="132"/>
  <c r="K264" i="132"/>
  <c r="O264" i="132" s="1"/>
  <c r="Z264" i="132"/>
  <c r="K265" i="132"/>
  <c r="O265" i="132" s="1"/>
  <c r="P265" i="132" s="1"/>
  <c r="Z265" i="132"/>
  <c r="AD265" i="132" s="1"/>
  <c r="K266" i="132"/>
  <c r="O266" i="132" s="1"/>
  <c r="P266" i="132" s="1"/>
  <c r="Z266" i="132"/>
  <c r="AD266" i="132" s="1"/>
  <c r="B267" i="132"/>
  <c r="C267" i="132"/>
  <c r="D267" i="132"/>
  <c r="E267" i="132"/>
  <c r="F267" i="132"/>
  <c r="G267" i="132"/>
  <c r="H267" i="132"/>
  <c r="I267" i="132"/>
  <c r="J267" i="132"/>
  <c r="L267" i="132"/>
  <c r="M267" i="132"/>
  <c r="N267" i="132"/>
  <c r="Q267" i="132"/>
  <c r="R267" i="132"/>
  <c r="S267" i="132"/>
  <c r="T267" i="132"/>
  <c r="U267" i="132"/>
  <c r="V267" i="132"/>
  <c r="W267" i="132"/>
  <c r="X267" i="132"/>
  <c r="Y267" i="132"/>
  <c r="AA267" i="132"/>
  <c r="AB267" i="132"/>
  <c r="AC267" i="132"/>
  <c r="AH267" i="132"/>
  <c r="AI267" i="132"/>
  <c r="K268" i="132"/>
  <c r="O268" i="132"/>
  <c r="Z268" i="132"/>
  <c r="K269" i="132"/>
  <c r="O269" i="132" s="1"/>
  <c r="AF269" i="132" s="1"/>
  <c r="Z269" i="132"/>
  <c r="AD269" i="132" s="1"/>
  <c r="AE269" i="132" s="1"/>
  <c r="K270" i="132"/>
  <c r="O270" i="132" s="1"/>
  <c r="Z270" i="132"/>
  <c r="AD270" i="132" s="1"/>
  <c r="AE270" i="132" s="1"/>
  <c r="B271" i="132"/>
  <c r="C271" i="132"/>
  <c r="D271" i="132"/>
  <c r="E271" i="132"/>
  <c r="F271" i="132"/>
  <c r="G271" i="132"/>
  <c r="H271" i="132"/>
  <c r="I271" i="132"/>
  <c r="J271" i="132"/>
  <c r="L271" i="132"/>
  <c r="M271" i="132"/>
  <c r="N271" i="132"/>
  <c r="Q271" i="132"/>
  <c r="R271" i="132"/>
  <c r="S271" i="132"/>
  <c r="T271" i="132"/>
  <c r="U271" i="132"/>
  <c r="V271" i="132"/>
  <c r="W271" i="132"/>
  <c r="X271" i="132"/>
  <c r="Y271" i="132"/>
  <c r="AA271" i="132"/>
  <c r="AB271" i="132"/>
  <c r="AC271" i="132"/>
  <c r="AH271" i="132"/>
  <c r="AI271" i="132"/>
  <c r="K272" i="132"/>
  <c r="O272" i="132" s="1"/>
  <c r="Z272" i="132"/>
  <c r="AD272" i="132" s="1"/>
  <c r="K273" i="132"/>
  <c r="O273" i="132" s="1"/>
  <c r="Z273" i="132"/>
  <c r="AD273" i="132" s="1"/>
  <c r="AE273" i="132" s="1"/>
  <c r="O274" i="132"/>
  <c r="P274" i="132" s="1"/>
  <c r="AD274" i="132"/>
  <c r="AE274" i="132" s="1"/>
  <c r="B275" i="132"/>
  <c r="C275" i="132"/>
  <c r="D275" i="132"/>
  <c r="E275" i="132"/>
  <c r="F275" i="132"/>
  <c r="G275" i="132"/>
  <c r="H275" i="132"/>
  <c r="I275" i="132"/>
  <c r="J275" i="132"/>
  <c r="L275" i="132"/>
  <c r="M275" i="132"/>
  <c r="N275" i="132"/>
  <c r="Q275" i="132"/>
  <c r="R275" i="132"/>
  <c r="S275" i="132"/>
  <c r="T275" i="132"/>
  <c r="U275" i="132"/>
  <c r="V275" i="132"/>
  <c r="W275" i="132"/>
  <c r="X275" i="132"/>
  <c r="Y275" i="132"/>
  <c r="AA275" i="132"/>
  <c r="AB275" i="132"/>
  <c r="AC275" i="132"/>
  <c r="AH275" i="132"/>
  <c r="AI275" i="132"/>
  <c r="K276" i="132"/>
  <c r="O276" i="132" s="1"/>
  <c r="Z276" i="132"/>
  <c r="AD276" i="132" s="1"/>
  <c r="K277" i="132"/>
  <c r="O277" i="132" s="1"/>
  <c r="Z277" i="132"/>
  <c r="AD277" i="132" s="1"/>
  <c r="AE277" i="132" s="1"/>
  <c r="O278" i="132"/>
  <c r="P278" i="132" s="1"/>
  <c r="AD278" i="132"/>
  <c r="AE278" i="132" s="1"/>
  <c r="B280" i="132"/>
  <c r="C280" i="132"/>
  <c r="D280" i="132"/>
  <c r="E280" i="132"/>
  <c r="F280" i="132"/>
  <c r="G280" i="132"/>
  <c r="H280" i="132"/>
  <c r="I280" i="132"/>
  <c r="J280" i="132"/>
  <c r="L280" i="132"/>
  <c r="M280" i="132"/>
  <c r="N280" i="132"/>
  <c r="Q280" i="132"/>
  <c r="R280" i="132"/>
  <c r="S280" i="132"/>
  <c r="T280" i="132"/>
  <c r="U280" i="132"/>
  <c r="V280" i="132"/>
  <c r="W280" i="132"/>
  <c r="X280" i="132"/>
  <c r="Y280" i="132"/>
  <c r="AA280" i="132"/>
  <c r="AB280" i="132"/>
  <c r="AC280" i="132"/>
  <c r="AH280" i="132"/>
  <c r="AI280" i="132"/>
  <c r="K281" i="132"/>
  <c r="O281" i="132" s="1"/>
  <c r="P281" i="132" s="1"/>
  <c r="Z281" i="132"/>
  <c r="AD281" i="132"/>
  <c r="AE281" i="132" s="1"/>
  <c r="K282" i="132"/>
  <c r="O282" i="132"/>
  <c r="P282" i="132" s="1"/>
  <c r="Z282" i="132"/>
  <c r="AD282" i="132" s="1"/>
  <c r="AE282" i="132" s="1"/>
  <c r="K283" i="132"/>
  <c r="O283" i="132" s="1"/>
  <c r="P283" i="132" s="1"/>
  <c r="Z283" i="132"/>
  <c r="AD283" i="132" s="1"/>
  <c r="AE283" i="132" s="1"/>
  <c r="K284" i="132"/>
  <c r="O284" i="132"/>
  <c r="P284" i="132" s="1"/>
  <c r="Z284" i="132"/>
  <c r="AD284" i="132" s="1"/>
  <c r="AE284" i="132" s="1"/>
  <c r="K285" i="132"/>
  <c r="O285" i="132" s="1"/>
  <c r="P285" i="132" s="1"/>
  <c r="Z285" i="132"/>
  <c r="AD285" i="132"/>
  <c r="AE285" i="132" s="1"/>
  <c r="B286" i="132"/>
  <c r="C286" i="132"/>
  <c r="D286" i="132"/>
  <c r="E286" i="132"/>
  <c r="F286" i="132"/>
  <c r="G286" i="132"/>
  <c r="H286" i="132"/>
  <c r="I286" i="132"/>
  <c r="J286" i="132"/>
  <c r="L286" i="132"/>
  <c r="M286" i="132"/>
  <c r="N286" i="132"/>
  <c r="Q286" i="132"/>
  <c r="R286" i="132"/>
  <c r="S286" i="132"/>
  <c r="T286" i="132"/>
  <c r="U286" i="132"/>
  <c r="V286" i="132"/>
  <c r="W286" i="132"/>
  <c r="X286" i="132"/>
  <c r="Y286" i="132"/>
  <c r="AA286" i="132"/>
  <c r="AB286" i="132"/>
  <c r="AC286" i="132"/>
  <c r="AH286" i="132"/>
  <c r="AI286" i="132"/>
  <c r="K287" i="132"/>
  <c r="O287" i="132" s="1"/>
  <c r="Z287" i="132"/>
  <c r="K288" i="132"/>
  <c r="O288" i="132" s="1"/>
  <c r="Z288" i="132"/>
  <c r="AD288" i="132" s="1"/>
  <c r="AE288" i="132" s="1"/>
  <c r="K289" i="132"/>
  <c r="O289" i="132" s="1"/>
  <c r="Z289" i="132"/>
  <c r="AD289" i="132" s="1"/>
  <c r="AE289" i="132" s="1"/>
  <c r="B290" i="132"/>
  <c r="C290" i="132"/>
  <c r="D290" i="132"/>
  <c r="E290" i="132"/>
  <c r="F290" i="132"/>
  <c r="G290" i="132"/>
  <c r="H290" i="132"/>
  <c r="I290" i="132"/>
  <c r="J290" i="132"/>
  <c r="K290" i="132"/>
  <c r="L290" i="132"/>
  <c r="M290" i="132"/>
  <c r="N290" i="132"/>
  <c r="Q290" i="132"/>
  <c r="R290" i="132"/>
  <c r="S290" i="132"/>
  <c r="T290" i="132"/>
  <c r="U290" i="132"/>
  <c r="V290" i="132"/>
  <c r="W290" i="132"/>
  <c r="X290" i="132"/>
  <c r="Y290" i="132"/>
  <c r="Z290" i="132"/>
  <c r="AA290" i="132"/>
  <c r="AB290" i="132"/>
  <c r="AC290" i="132"/>
  <c r="AD290" i="132"/>
  <c r="AE290" i="132"/>
  <c r="AF290" i="132"/>
  <c r="AG290" i="132"/>
  <c r="AI290" i="132"/>
  <c r="O291" i="132"/>
  <c r="O290" i="132" s="1"/>
  <c r="P291" i="132"/>
  <c r="P290" i="132" s="1"/>
  <c r="AH291" i="132"/>
  <c r="AH290" i="132" s="1"/>
  <c r="B293" i="132"/>
  <c r="C293" i="132"/>
  <c r="D293" i="132"/>
  <c r="E293" i="132"/>
  <c r="F293" i="132"/>
  <c r="G293" i="132"/>
  <c r="H293" i="132"/>
  <c r="I293" i="132"/>
  <c r="J293" i="132"/>
  <c r="L293" i="132"/>
  <c r="M293" i="132"/>
  <c r="N293" i="132"/>
  <c r="R293" i="132"/>
  <c r="S293" i="132"/>
  <c r="T293" i="132"/>
  <c r="U293" i="132"/>
  <c r="V293" i="132"/>
  <c r="W293" i="132"/>
  <c r="X293" i="132"/>
  <c r="Y293" i="132"/>
  <c r="AA293" i="132"/>
  <c r="AB293" i="132"/>
  <c r="AC293" i="132"/>
  <c r="AH293" i="132"/>
  <c r="AI293" i="132"/>
  <c r="K294" i="132"/>
  <c r="K293" i="132" s="1"/>
  <c r="Q294" i="132"/>
  <c r="AE294" i="132" s="1"/>
  <c r="AE293" i="132" s="1"/>
  <c r="Z294" i="132"/>
  <c r="AD294" i="132" s="1"/>
  <c r="AD293" i="132" s="1"/>
  <c r="B295" i="132"/>
  <c r="C295" i="132"/>
  <c r="D295" i="132"/>
  <c r="E295" i="132"/>
  <c r="F295" i="132"/>
  <c r="G295" i="132"/>
  <c r="H295" i="132"/>
  <c r="I295" i="132"/>
  <c r="J295" i="132"/>
  <c r="K295" i="132"/>
  <c r="L295" i="132"/>
  <c r="M295" i="132"/>
  <c r="N295" i="132"/>
  <c r="O295" i="132"/>
  <c r="P295" i="132"/>
  <c r="Q295" i="132"/>
  <c r="R295" i="132"/>
  <c r="S295" i="132"/>
  <c r="T295" i="132"/>
  <c r="U295" i="132"/>
  <c r="V295" i="132"/>
  <c r="W295" i="132"/>
  <c r="X295" i="132"/>
  <c r="Y295" i="132"/>
  <c r="Z295" i="132"/>
  <c r="AA295" i="132"/>
  <c r="AB295" i="132"/>
  <c r="AC295" i="132"/>
  <c r="AD295" i="132"/>
  <c r="AE295" i="132"/>
  <c r="AH295" i="132"/>
  <c r="AI295" i="132"/>
  <c r="AF296" i="132"/>
  <c r="AF295" i="132" s="1"/>
  <c r="AG296" i="132"/>
  <c r="AG295" i="132" s="1"/>
  <c r="B297" i="132"/>
  <c r="C297" i="132"/>
  <c r="D297" i="132"/>
  <c r="E297" i="132"/>
  <c r="F297" i="132"/>
  <c r="G297" i="132"/>
  <c r="H297" i="132"/>
  <c r="I297" i="132"/>
  <c r="J297" i="132"/>
  <c r="L297" i="132"/>
  <c r="M297" i="132"/>
  <c r="N297" i="132"/>
  <c r="Q297" i="132"/>
  <c r="R297" i="132"/>
  <c r="S297" i="132"/>
  <c r="T297" i="132"/>
  <c r="U297" i="132"/>
  <c r="V297" i="132"/>
  <c r="W297" i="132"/>
  <c r="X297" i="132"/>
  <c r="Y297" i="132"/>
  <c r="Z297" i="132"/>
  <c r="AA297" i="132"/>
  <c r="AB297" i="132"/>
  <c r="AC297" i="132"/>
  <c r="AD297" i="132"/>
  <c r="AH297" i="132"/>
  <c r="AI297" i="132"/>
  <c r="K298" i="132"/>
  <c r="K297" i="132" s="1"/>
  <c r="O298" i="132"/>
  <c r="P298" i="132" s="1"/>
  <c r="Z298" i="132"/>
  <c r="AD298" i="132"/>
  <c r="AE298" i="132"/>
  <c r="AE297" i="132" s="1"/>
  <c r="C8" i="131"/>
  <c r="C222" i="131" s="1"/>
  <c r="D8" i="131"/>
  <c r="D222" i="131" s="1"/>
  <c r="E8" i="131"/>
  <c r="F8" i="131"/>
  <c r="G8" i="131"/>
  <c r="H8" i="131"/>
  <c r="I8" i="131"/>
  <c r="I222" i="131" s="1"/>
  <c r="B9" i="131"/>
  <c r="L9" i="131"/>
  <c r="M9" i="131"/>
  <c r="Q9" i="131"/>
  <c r="Y9" i="131"/>
  <c r="AA9" i="131"/>
  <c r="AB9" i="131"/>
  <c r="AH9" i="131"/>
  <c r="AI9" i="131"/>
  <c r="K10" i="131"/>
  <c r="O10" i="131" s="1"/>
  <c r="P10" i="131" s="1"/>
  <c r="N10" i="131"/>
  <c r="Z10" i="131"/>
  <c r="AC10" i="131"/>
  <c r="K11" i="131"/>
  <c r="O11" i="131" s="1"/>
  <c r="P11" i="131" s="1"/>
  <c r="N11" i="131"/>
  <c r="Z11" i="131"/>
  <c r="AC11" i="131"/>
  <c r="K12" i="131"/>
  <c r="O12" i="131" s="1"/>
  <c r="P12" i="131" s="1"/>
  <c r="N12" i="131"/>
  <c r="Z12" i="131"/>
  <c r="AC12" i="131"/>
  <c r="AD12" i="131"/>
  <c r="K13" i="131"/>
  <c r="N13" i="131"/>
  <c r="Z13" i="131"/>
  <c r="AC13" i="131"/>
  <c r="K14" i="131"/>
  <c r="O14" i="131" s="1"/>
  <c r="P14" i="131" s="1"/>
  <c r="N14" i="131"/>
  <c r="Z14" i="131"/>
  <c r="AD14" i="131" s="1"/>
  <c r="AC14" i="131"/>
  <c r="K15" i="131"/>
  <c r="O15" i="131" s="1"/>
  <c r="P15" i="131" s="1"/>
  <c r="N15" i="131"/>
  <c r="Z15" i="131"/>
  <c r="AC15" i="131"/>
  <c r="B16" i="131"/>
  <c r="L16" i="131"/>
  <c r="M16" i="131"/>
  <c r="Y16" i="131"/>
  <c r="AA16" i="131"/>
  <c r="AB16" i="131"/>
  <c r="AH16" i="131"/>
  <c r="AI16" i="131"/>
  <c r="K17" i="131"/>
  <c r="N17" i="131"/>
  <c r="Q17" i="131"/>
  <c r="Z17" i="131"/>
  <c r="AC17" i="131"/>
  <c r="K18" i="131"/>
  <c r="N18" i="131"/>
  <c r="Z18" i="131"/>
  <c r="AD18" i="131" s="1"/>
  <c r="AE18" i="131" s="1"/>
  <c r="AC18" i="131"/>
  <c r="K19" i="131"/>
  <c r="N19" i="131"/>
  <c r="Z19" i="131"/>
  <c r="AC19" i="131"/>
  <c r="AD19" i="131" s="1"/>
  <c r="K20" i="131"/>
  <c r="N20" i="131"/>
  <c r="Q20" i="131"/>
  <c r="Z20" i="131"/>
  <c r="AC20" i="131"/>
  <c r="K21" i="131"/>
  <c r="N21" i="131"/>
  <c r="Q21" i="131"/>
  <c r="Z21" i="131"/>
  <c r="AC21" i="131"/>
  <c r="K22" i="131"/>
  <c r="O22" i="131" s="1"/>
  <c r="P22" i="131" s="1"/>
  <c r="N22" i="131"/>
  <c r="Z22" i="131"/>
  <c r="AC22" i="131"/>
  <c r="B23" i="131"/>
  <c r="L23" i="131"/>
  <c r="M23" i="131"/>
  <c r="Q23" i="131"/>
  <c r="Y23" i="131"/>
  <c r="AA23" i="131"/>
  <c r="AB23" i="131"/>
  <c r="AH23" i="131"/>
  <c r="AI23" i="131"/>
  <c r="K24" i="131"/>
  <c r="N24" i="131"/>
  <c r="Z24" i="131"/>
  <c r="AC24" i="131"/>
  <c r="K25" i="131"/>
  <c r="N25" i="131"/>
  <c r="Z25" i="131"/>
  <c r="AD25" i="131" s="1"/>
  <c r="AE25" i="131" s="1"/>
  <c r="AC25" i="131"/>
  <c r="K26" i="131"/>
  <c r="N26" i="131"/>
  <c r="Z26" i="131"/>
  <c r="AC26" i="131"/>
  <c r="AD26" i="131" s="1"/>
  <c r="K27" i="131"/>
  <c r="N27" i="131"/>
  <c r="Z27" i="131"/>
  <c r="AC27" i="131"/>
  <c r="K28" i="131"/>
  <c r="N28" i="131"/>
  <c r="Z28" i="131"/>
  <c r="AC28" i="131"/>
  <c r="K29" i="131"/>
  <c r="N29" i="131"/>
  <c r="Z29" i="131"/>
  <c r="AC29" i="131"/>
  <c r="B30" i="131"/>
  <c r="L30" i="131"/>
  <c r="M30" i="131"/>
  <c r="Q30" i="131"/>
  <c r="Y30" i="131"/>
  <c r="AA30" i="131"/>
  <c r="AB30" i="131"/>
  <c r="AH30" i="131"/>
  <c r="AI30" i="131"/>
  <c r="K31" i="131"/>
  <c r="N31" i="131"/>
  <c r="O31" i="131"/>
  <c r="P31" i="131" s="1"/>
  <c r="Z31" i="131"/>
  <c r="AC31" i="131"/>
  <c r="K32" i="131"/>
  <c r="N32" i="131"/>
  <c r="Z32" i="131"/>
  <c r="AD32" i="131" s="1"/>
  <c r="AE32" i="131" s="1"/>
  <c r="AC32" i="131"/>
  <c r="K33" i="131"/>
  <c r="N33" i="131"/>
  <c r="Z33" i="131"/>
  <c r="AD33" i="131" s="1"/>
  <c r="AC33" i="131"/>
  <c r="K34" i="131"/>
  <c r="N34" i="131"/>
  <c r="Z34" i="131"/>
  <c r="AC34" i="131"/>
  <c r="K35" i="131"/>
  <c r="N35" i="131"/>
  <c r="O35" i="131" s="1"/>
  <c r="P35" i="131" s="1"/>
  <c r="Z35" i="131"/>
  <c r="AC35" i="131"/>
  <c r="K36" i="131"/>
  <c r="N36" i="131"/>
  <c r="Z36" i="131"/>
  <c r="AC36" i="131"/>
  <c r="B37" i="131"/>
  <c r="L37" i="131"/>
  <c r="M37" i="131"/>
  <c r="Q37" i="131"/>
  <c r="Y37" i="131"/>
  <c r="AA37" i="131"/>
  <c r="AB37" i="131"/>
  <c r="AF37" i="131"/>
  <c r="AG37" i="131"/>
  <c r="AH37" i="131"/>
  <c r="AI37" i="131"/>
  <c r="K38" i="131"/>
  <c r="N38" i="131"/>
  <c r="N37" i="131" s="1"/>
  <c r="Z38" i="131"/>
  <c r="Z37" i="131" s="1"/>
  <c r="AC38" i="131"/>
  <c r="AD38" i="131" s="1"/>
  <c r="B39" i="131"/>
  <c r="L39" i="131"/>
  <c r="M39" i="131"/>
  <c r="Q39" i="131"/>
  <c r="Y39" i="131"/>
  <c r="AA39" i="131"/>
  <c r="AB39" i="131"/>
  <c r="AF39" i="131"/>
  <c r="AG39" i="131"/>
  <c r="AH39" i="131"/>
  <c r="AI39" i="131"/>
  <c r="K40" i="131"/>
  <c r="N40" i="131"/>
  <c r="N39" i="131" s="1"/>
  <c r="Z40" i="131"/>
  <c r="Z39" i="131" s="1"/>
  <c r="AC40" i="131"/>
  <c r="AC39" i="131" s="1"/>
  <c r="B42" i="131"/>
  <c r="L42" i="131"/>
  <c r="M42" i="131"/>
  <c r="Q42" i="131"/>
  <c r="Q41" i="131" s="1"/>
  <c r="Y42" i="131"/>
  <c r="AA42" i="131"/>
  <c r="AB42" i="131"/>
  <c r="AH42" i="131"/>
  <c r="AI42" i="131"/>
  <c r="K43" i="131"/>
  <c r="N43" i="131"/>
  <c r="O43" i="131"/>
  <c r="P43" i="131" s="1"/>
  <c r="Z43" i="131"/>
  <c r="AC43" i="131"/>
  <c r="K44" i="131"/>
  <c r="N44" i="131"/>
  <c r="Z44" i="131"/>
  <c r="AD44" i="131" s="1"/>
  <c r="AE44" i="131" s="1"/>
  <c r="AC44" i="131"/>
  <c r="K45" i="131"/>
  <c r="N45" i="131"/>
  <c r="Z45" i="131"/>
  <c r="AD45" i="131" s="1"/>
  <c r="AC45" i="131"/>
  <c r="K46" i="131"/>
  <c r="N46" i="131"/>
  <c r="Z46" i="131"/>
  <c r="AC46" i="131"/>
  <c r="K47" i="131"/>
  <c r="N47" i="131"/>
  <c r="Z47" i="131"/>
  <c r="AC47" i="131"/>
  <c r="K48" i="131"/>
  <c r="O48" i="131" s="1"/>
  <c r="P48" i="131" s="1"/>
  <c r="N48" i="131"/>
  <c r="Z48" i="131"/>
  <c r="AC48" i="131"/>
  <c r="K49" i="131"/>
  <c r="N49" i="131"/>
  <c r="Z49" i="131"/>
  <c r="AC49" i="131"/>
  <c r="AD49" i="131"/>
  <c r="K50" i="131"/>
  <c r="N50" i="131"/>
  <c r="O50" i="131" s="1"/>
  <c r="P50" i="131" s="1"/>
  <c r="Z50" i="131"/>
  <c r="AC50" i="131"/>
  <c r="K51" i="131"/>
  <c r="O51" i="131" s="1"/>
  <c r="P51" i="131" s="1"/>
  <c r="N51" i="131"/>
  <c r="Z51" i="131"/>
  <c r="AD51" i="131" s="1"/>
  <c r="AC51" i="131"/>
  <c r="K52" i="131"/>
  <c r="N52" i="131"/>
  <c r="Z52" i="131"/>
  <c r="AC52" i="131"/>
  <c r="K53" i="131"/>
  <c r="O53" i="131" s="1"/>
  <c r="P53" i="131" s="1"/>
  <c r="N53" i="131"/>
  <c r="Z53" i="131"/>
  <c r="AC53" i="131"/>
  <c r="K54" i="131"/>
  <c r="N54" i="131"/>
  <c r="O54" i="131" s="1"/>
  <c r="P54" i="131" s="1"/>
  <c r="Z54" i="131"/>
  <c r="AC54" i="131"/>
  <c r="K55" i="131"/>
  <c r="O55" i="131" s="1"/>
  <c r="P55" i="131" s="1"/>
  <c r="N55" i="131"/>
  <c r="Z55" i="131"/>
  <c r="AD55" i="131" s="1"/>
  <c r="AC55" i="131"/>
  <c r="K56" i="131"/>
  <c r="N56" i="131"/>
  <c r="Z56" i="131"/>
  <c r="AC56" i="131"/>
  <c r="K57" i="131"/>
  <c r="O57" i="131" s="1"/>
  <c r="P57" i="131" s="1"/>
  <c r="N57" i="131"/>
  <c r="Z57" i="131"/>
  <c r="AD57" i="131" s="1"/>
  <c r="AC57" i="131"/>
  <c r="K58" i="131"/>
  <c r="N58" i="131"/>
  <c r="O58" i="131" s="1"/>
  <c r="P58" i="131" s="1"/>
  <c r="Z58" i="131"/>
  <c r="AC58" i="131"/>
  <c r="K59" i="131"/>
  <c r="N59" i="131"/>
  <c r="Z59" i="131"/>
  <c r="AD59" i="131" s="1"/>
  <c r="AC59" i="131"/>
  <c r="B60" i="131"/>
  <c r="L60" i="131"/>
  <c r="L41" i="131" s="1"/>
  <c r="M60" i="131"/>
  <c r="Q60" i="131"/>
  <c r="Y60" i="131"/>
  <c r="AA60" i="131"/>
  <c r="AA41" i="131" s="1"/>
  <c r="AB60" i="131"/>
  <c r="AB41" i="131" s="1"/>
  <c r="AH60" i="131"/>
  <c r="AH41" i="131" s="1"/>
  <c r="AI60" i="131"/>
  <c r="K61" i="131"/>
  <c r="N61" i="131"/>
  <c r="Z61" i="131"/>
  <c r="AC61" i="131"/>
  <c r="K62" i="131"/>
  <c r="N62" i="131"/>
  <c r="Z62" i="131"/>
  <c r="AC62" i="131"/>
  <c r="K63" i="131"/>
  <c r="N63" i="131"/>
  <c r="Z63" i="131"/>
  <c r="AC63" i="131"/>
  <c r="K64" i="131"/>
  <c r="N64" i="131"/>
  <c r="Z64" i="131"/>
  <c r="AC64" i="131"/>
  <c r="K65" i="131"/>
  <c r="O65" i="131" s="1"/>
  <c r="P65" i="131" s="1"/>
  <c r="N65" i="131"/>
  <c r="Z65" i="131"/>
  <c r="AC65" i="131"/>
  <c r="K66" i="131"/>
  <c r="N66" i="131"/>
  <c r="Z66" i="131"/>
  <c r="AC66" i="131"/>
  <c r="K67" i="131"/>
  <c r="N67" i="131"/>
  <c r="Z67" i="131"/>
  <c r="AC67" i="131"/>
  <c r="K68" i="131"/>
  <c r="N68" i="131"/>
  <c r="O68" i="131" s="1"/>
  <c r="P68" i="131" s="1"/>
  <c r="Z68" i="131"/>
  <c r="AD68" i="131" s="1"/>
  <c r="AE68" i="131" s="1"/>
  <c r="AC68" i="131"/>
  <c r="K69" i="131"/>
  <c r="O69" i="131" s="1"/>
  <c r="P69" i="131" s="1"/>
  <c r="N69" i="131"/>
  <c r="Z69" i="131"/>
  <c r="AC69" i="131"/>
  <c r="K70" i="131"/>
  <c r="N70" i="131"/>
  <c r="Z70" i="131"/>
  <c r="AC70" i="131"/>
  <c r="K71" i="131"/>
  <c r="N71" i="131"/>
  <c r="Z71" i="131"/>
  <c r="AC71" i="131"/>
  <c r="K72" i="131"/>
  <c r="N72" i="131"/>
  <c r="Z72" i="131"/>
  <c r="AD72" i="131" s="1"/>
  <c r="AC72" i="131"/>
  <c r="AE72" i="131"/>
  <c r="B74" i="131"/>
  <c r="L74" i="131"/>
  <c r="M74" i="131"/>
  <c r="Y74" i="131"/>
  <c r="AA74" i="131"/>
  <c r="AB74" i="131"/>
  <c r="AH74" i="131"/>
  <c r="AI74" i="131"/>
  <c r="K75" i="131"/>
  <c r="N75" i="131"/>
  <c r="Z75" i="131"/>
  <c r="AC75" i="131"/>
  <c r="K76" i="131"/>
  <c r="O76" i="131" s="1"/>
  <c r="P76" i="131" s="1"/>
  <c r="N76" i="131"/>
  <c r="Z76" i="131"/>
  <c r="AC76" i="131"/>
  <c r="K77" i="131"/>
  <c r="N77" i="131"/>
  <c r="Z77" i="131"/>
  <c r="AC77" i="131"/>
  <c r="K78" i="131"/>
  <c r="N78" i="131"/>
  <c r="Z78" i="131"/>
  <c r="AC78" i="131"/>
  <c r="K79" i="131"/>
  <c r="N79" i="131"/>
  <c r="Q79" i="131"/>
  <c r="Q74" i="131" s="1"/>
  <c r="Z79" i="131"/>
  <c r="AC79" i="131"/>
  <c r="K80" i="131"/>
  <c r="N80" i="131"/>
  <c r="Z80" i="131"/>
  <c r="AD80" i="131" s="1"/>
  <c r="AC80" i="131"/>
  <c r="K81" i="131"/>
  <c r="N81" i="131"/>
  <c r="Z81" i="131"/>
  <c r="AC81" i="131"/>
  <c r="B82" i="131"/>
  <c r="L82" i="131"/>
  <c r="M82" i="131"/>
  <c r="Y82" i="131"/>
  <c r="AA82" i="131"/>
  <c r="AB82" i="131"/>
  <c r="AH82" i="131"/>
  <c r="AI82" i="131"/>
  <c r="K83" i="131"/>
  <c r="N83" i="131"/>
  <c r="Z83" i="131"/>
  <c r="AC83" i="131"/>
  <c r="K84" i="131"/>
  <c r="N84" i="131"/>
  <c r="Z84" i="131"/>
  <c r="AC84" i="131"/>
  <c r="AD84" i="131" s="1"/>
  <c r="K85" i="131"/>
  <c r="N85" i="131"/>
  <c r="Z85" i="131"/>
  <c r="AC85" i="131"/>
  <c r="K86" i="131"/>
  <c r="N86" i="131"/>
  <c r="Z86" i="131"/>
  <c r="AC86" i="131"/>
  <c r="K87" i="131"/>
  <c r="N87" i="131"/>
  <c r="Q87" i="131"/>
  <c r="Q82" i="131" s="1"/>
  <c r="Z87" i="131"/>
  <c r="AC87" i="131"/>
  <c r="AD87" i="131"/>
  <c r="K88" i="131"/>
  <c r="N88" i="131"/>
  <c r="Z88" i="131"/>
  <c r="AC88" i="131"/>
  <c r="B89" i="131"/>
  <c r="L89" i="131"/>
  <c r="M89" i="131"/>
  <c r="Q89" i="131"/>
  <c r="Y89" i="131"/>
  <c r="AA89" i="131"/>
  <c r="AB89" i="131"/>
  <c r="AH89" i="131"/>
  <c r="AI89" i="131"/>
  <c r="K90" i="131"/>
  <c r="N90" i="131"/>
  <c r="Z90" i="131"/>
  <c r="AC90" i="131"/>
  <c r="K91" i="131"/>
  <c r="N91" i="131"/>
  <c r="Z91" i="131"/>
  <c r="AC91" i="131"/>
  <c r="AD91" i="131" s="1"/>
  <c r="K92" i="131"/>
  <c r="N92" i="131"/>
  <c r="Z92" i="131"/>
  <c r="AC92" i="131"/>
  <c r="K93" i="131"/>
  <c r="O93" i="131" s="1"/>
  <c r="P93" i="131" s="1"/>
  <c r="N93" i="131"/>
  <c r="Z93" i="131"/>
  <c r="AD93" i="131" s="1"/>
  <c r="AC93" i="131"/>
  <c r="K94" i="131"/>
  <c r="N94" i="131"/>
  <c r="Z94" i="131"/>
  <c r="AC94" i="131"/>
  <c r="K95" i="131"/>
  <c r="N95" i="131"/>
  <c r="Z95" i="131"/>
  <c r="AD95" i="131" s="1"/>
  <c r="AC95" i="131"/>
  <c r="K96" i="131"/>
  <c r="N96" i="131"/>
  <c r="Z96" i="131"/>
  <c r="AD96" i="131" s="1"/>
  <c r="AC96" i="131"/>
  <c r="B97" i="131"/>
  <c r="L97" i="131"/>
  <c r="M97" i="131"/>
  <c r="Q97" i="131"/>
  <c r="Y97" i="131"/>
  <c r="AA97" i="131"/>
  <c r="AB97" i="131"/>
  <c r="AH97" i="131"/>
  <c r="AI97" i="131"/>
  <c r="K98" i="131"/>
  <c r="N98" i="131"/>
  <c r="Z98" i="131"/>
  <c r="AC98" i="131"/>
  <c r="K99" i="131"/>
  <c r="N99" i="131"/>
  <c r="O99" i="131" s="1"/>
  <c r="P99" i="131" s="1"/>
  <c r="Z99" i="131"/>
  <c r="AC99" i="131"/>
  <c r="K100" i="131"/>
  <c r="O100" i="131" s="1"/>
  <c r="P100" i="131" s="1"/>
  <c r="N100" i="131"/>
  <c r="Z100" i="131"/>
  <c r="AC100" i="131"/>
  <c r="K101" i="131"/>
  <c r="O101" i="131" s="1"/>
  <c r="P101" i="131" s="1"/>
  <c r="N101" i="131"/>
  <c r="Z101" i="131"/>
  <c r="AD101" i="131" s="1"/>
  <c r="AC101" i="131"/>
  <c r="K102" i="131"/>
  <c r="N102" i="131"/>
  <c r="Z102" i="131"/>
  <c r="AC102" i="131"/>
  <c r="AD102" i="131" s="1"/>
  <c r="AE102" i="131" s="1"/>
  <c r="K103" i="131"/>
  <c r="N103" i="131"/>
  <c r="Z103" i="131"/>
  <c r="AC103" i="131"/>
  <c r="B104" i="131"/>
  <c r="L104" i="131"/>
  <c r="M104" i="131"/>
  <c r="Q104" i="131"/>
  <c r="Y104" i="131"/>
  <c r="AA104" i="131"/>
  <c r="AB104" i="131"/>
  <c r="AH104" i="131"/>
  <c r="AI104" i="131"/>
  <c r="K105" i="131"/>
  <c r="N105" i="131"/>
  <c r="Z105" i="131"/>
  <c r="AC105" i="131"/>
  <c r="K106" i="131"/>
  <c r="O106" i="131" s="1"/>
  <c r="P106" i="131" s="1"/>
  <c r="N106" i="131"/>
  <c r="Z106" i="131"/>
  <c r="AC106" i="131"/>
  <c r="K107" i="131"/>
  <c r="N107" i="131"/>
  <c r="Z107" i="131"/>
  <c r="AC107" i="131"/>
  <c r="K108" i="131"/>
  <c r="O108" i="131" s="1"/>
  <c r="P108" i="131" s="1"/>
  <c r="N108" i="131"/>
  <c r="Z108" i="131"/>
  <c r="AC108" i="131"/>
  <c r="K109" i="131"/>
  <c r="N109" i="131"/>
  <c r="O109" i="131" s="1"/>
  <c r="P109" i="131" s="1"/>
  <c r="Z109" i="131"/>
  <c r="AC109" i="131"/>
  <c r="AD109" i="131" s="1"/>
  <c r="K110" i="131"/>
  <c r="O110" i="131" s="1"/>
  <c r="P110" i="131" s="1"/>
  <c r="N110" i="131"/>
  <c r="Z110" i="131"/>
  <c r="AC110" i="131"/>
  <c r="B111" i="131"/>
  <c r="L111" i="131"/>
  <c r="M111" i="131"/>
  <c r="Q111" i="131"/>
  <c r="Y111" i="131"/>
  <c r="AA111" i="131"/>
  <c r="AB111" i="131"/>
  <c r="AH111" i="131"/>
  <c r="AI111" i="131"/>
  <c r="K112" i="131"/>
  <c r="N112" i="131"/>
  <c r="Z112" i="131"/>
  <c r="AC112" i="131"/>
  <c r="K113" i="131"/>
  <c r="N113" i="131"/>
  <c r="Z113" i="131"/>
  <c r="AC113" i="131"/>
  <c r="K114" i="131"/>
  <c r="N114" i="131"/>
  <c r="Z114" i="131"/>
  <c r="AC114" i="131"/>
  <c r="K115" i="131"/>
  <c r="N115" i="131"/>
  <c r="O115" i="131"/>
  <c r="P115" i="131" s="1"/>
  <c r="Z115" i="131"/>
  <c r="AC115" i="131"/>
  <c r="AD115" i="131"/>
  <c r="K116" i="131"/>
  <c r="O116" i="131" s="1"/>
  <c r="P116" i="131" s="1"/>
  <c r="N116" i="131"/>
  <c r="Z116" i="131"/>
  <c r="AC116" i="131"/>
  <c r="K117" i="131"/>
  <c r="O117" i="131" s="1"/>
  <c r="P117" i="131" s="1"/>
  <c r="N117" i="131"/>
  <c r="Z117" i="131"/>
  <c r="AC117" i="131"/>
  <c r="B118" i="131"/>
  <c r="L118" i="131"/>
  <c r="M118" i="131"/>
  <c r="Q118" i="131"/>
  <c r="Y118" i="131"/>
  <c r="AA118" i="131"/>
  <c r="AB118" i="131"/>
  <c r="AH118" i="131"/>
  <c r="AI118" i="131"/>
  <c r="K119" i="131"/>
  <c r="N119" i="131"/>
  <c r="Z119" i="131"/>
  <c r="AC119" i="131"/>
  <c r="K120" i="131"/>
  <c r="N120" i="131"/>
  <c r="Z120" i="131"/>
  <c r="AC120" i="131"/>
  <c r="AD120" i="131" s="1"/>
  <c r="AE120" i="131" s="1"/>
  <c r="K121" i="131"/>
  <c r="N121" i="131"/>
  <c r="Z121" i="131"/>
  <c r="AC121" i="131"/>
  <c r="K122" i="131"/>
  <c r="N122" i="131"/>
  <c r="O122" i="131"/>
  <c r="P122" i="131" s="1"/>
  <c r="Z122" i="131"/>
  <c r="AC122" i="131"/>
  <c r="K123" i="131"/>
  <c r="N123" i="131"/>
  <c r="Z123" i="131"/>
  <c r="AC123" i="131"/>
  <c r="K124" i="131"/>
  <c r="N124" i="131"/>
  <c r="Z124" i="131"/>
  <c r="AC124" i="131"/>
  <c r="B125" i="131"/>
  <c r="L125" i="131"/>
  <c r="M125" i="131"/>
  <c r="Y125" i="131"/>
  <c r="AA125" i="131"/>
  <c r="AB125" i="131"/>
  <c r="AH125" i="131"/>
  <c r="AI125" i="131"/>
  <c r="K126" i="131"/>
  <c r="N126" i="131"/>
  <c r="O126" i="131"/>
  <c r="P126" i="131" s="1"/>
  <c r="Z126" i="131"/>
  <c r="AD126" i="131" s="1"/>
  <c r="AC126" i="131"/>
  <c r="K127" i="131"/>
  <c r="N127" i="131"/>
  <c r="O127" i="131"/>
  <c r="P127" i="131" s="1"/>
  <c r="Z127" i="131"/>
  <c r="AC127" i="131"/>
  <c r="K128" i="131"/>
  <c r="N128" i="131"/>
  <c r="Z128" i="131"/>
  <c r="AD128" i="131" s="1"/>
  <c r="AE128" i="131" s="1"/>
  <c r="AC128" i="131"/>
  <c r="K129" i="131"/>
  <c r="N129" i="131"/>
  <c r="Z129" i="131"/>
  <c r="AC129" i="131"/>
  <c r="K130" i="131"/>
  <c r="O130" i="131" s="1"/>
  <c r="P130" i="131" s="1"/>
  <c r="N130" i="131"/>
  <c r="Z130" i="131"/>
  <c r="AC130" i="131"/>
  <c r="K131" i="131"/>
  <c r="N131" i="131"/>
  <c r="Z131" i="131"/>
  <c r="AC131" i="131"/>
  <c r="K132" i="131"/>
  <c r="O132" i="131" s="1"/>
  <c r="N132" i="131"/>
  <c r="Z132" i="131"/>
  <c r="AC132" i="131"/>
  <c r="K133" i="131"/>
  <c r="N133" i="131"/>
  <c r="Z133" i="131"/>
  <c r="AC133" i="131"/>
  <c r="K134" i="131"/>
  <c r="N134" i="131"/>
  <c r="Z134" i="131"/>
  <c r="AD134" i="131" s="1"/>
  <c r="AC134" i="131"/>
  <c r="K135" i="131"/>
  <c r="N135" i="131"/>
  <c r="Z135" i="131"/>
  <c r="AC135" i="131"/>
  <c r="K136" i="131"/>
  <c r="O136" i="131" s="1"/>
  <c r="P136" i="131" s="1"/>
  <c r="N136" i="131"/>
  <c r="Z136" i="131"/>
  <c r="AD136" i="131" s="1"/>
  <c r="AE136" i="131" s="1"/>
  <c r="AC136" i="131"/>
  <c r="K137" i="131"/>
  <c r="O137" i="131" s="1"/>
  <c r="P137" i="131" s="1"/>
  <c r="N137" i="131"/>
  <c r="Q137" i="131"/>
  <c r="Q125" i="131" s="1"/>
  <c r="Z137" i="131"/>
  <c r="AC137" i="131"/>
  <c r="K138" i="131"/>
  <c r="O138" i="131" s="1"/>
  <c r="P138" i="131" s="1"/>
  <c r="N138" i="131"/>
  <c r="Z138" i="131"/>
  <c r="AC138" i="131"/>
  <c r="K139" i="131"/>
  <c r="N139" i="131"/>
  <c r="Z139" i="131"/>
  <c r="AD139" i="131" s="1"/>
  <c r="AE139" i="131" s="1"/>
  <c r="AC139" i="131"/>
  <c r="K140" i="131"/>
  <c r="O140" i="131" s="1"/>
  <c r="P140" i="131" s="1"/>
  <c r="N140" i="131"/>
  <c r="Z140" i="131"/>
  <c r="AC140" i="131"/>
  <c r="K141" i="131"/>
  <c r="N141" i="131"/>
  <c r="Z141" i="131"/>
  <c r="AC141" i="131"/>
  <c r="K142" i="131"/>
  <c r="N142" i="131"/>
  <c r="Z142" i="131"/>
  <c r="AC142" i="131"/>
  <c r="K143" i="131"/>
  <c r="N143" i="131"/>
  <c r="Z143" i="131"/>
  <c r="AD143" i="131" s="1"/>
  <c r="AE143" i="131" s="1"/>
  <c r="AC143" i="131"/>
  <c r="B144" i="131"/>
  <c r="L144" i="131"/>
  <c r="M144" i="131"/>
  <c r="N144" i="131"/>
  <c r="Q144" i="131"/>
  <c r="Y144" i="131"/>
  <c r="AA144" i="131"/>
  <c r="AH144" i="131"/>
  <c r="AI144" i="131"/>
  <c r="K145" i="131"/>
  <c r="O145" i="131" s="1"/>
  <c r="N145" i="131"/>
  <c r="Z145" i="131"/>
  <c r="Z144" i="131" s="1"/>
  <c r="AC145" i="131"/>
  <c r="B146" i="131"/>
  <c r="L146" i="131"/>
  <c r="M146" i="131"/>
  <c r="Q146" i="131"/>
  <c r="Y146" i="131"/>
  <c r="AA146" i="131"/>
  <c r="AH146" i="131"/>
  <c r="AI146" i="131"/>
  <c r="K147" i="131"/>
  <c r="N147" i="131"/>
  <c r="Z147" i="131"/>
  <c r="AC147" i="131"/>
  <c r="K148" i="131"/>
  <c r="N148" i="131"/>
  <c r="Z148" i="131"/>
  <c r="AD148" i="131" s="1"/>
  <c r="AC148" i="131"/>
  <c r="K149" i="131"/>
  <c r="N149" i="131"/>
  <c r="Z149" i="131"/>
  <c r="AC149" i="131"/>
  <c r="K150" i="131"/>
  <c r="O150" i="131" s="1"/>
  <c r="P150" i="131" s="1"/>
  <c r="N150" i="131"/>
  <c r="Z150" i="131"/>
  <c r="AC150" i="131"/>
  <c r="B152" i="131"/>
  <c r="L152" i="131"/>
  <c r="M152" i="131"/>
  <c r="Y152" i="131"/>
  <c r="AA152" i="131"/>
  <c r="AH152" i="131"/>
  <c r="AI152" i="131"/>
  <c r="K153" i="131"/>
  <c r="N153" i="131"/>
  <c r="O153" i="131" s="1"/>
  <c r="P153" i="131" s="1"/>
  <c r="Z153" i="131"/>
  <c r="AD153" i="131" s="1"/>
  <c r="AC153" i="131"/>
  <c r="K154" i="131"/>
  <c r="N154" i="131"/>
  <c r="Z154" i="131"/>
  <c r="AC154" i="131"/>
  <c r="K155" i="131"/>
  <c r="N155" i="131"/>
  <c r="Z155" i="131"/>
  <c r="AD155" i="131" s="1"/>
  <c r="AE155" i="131" s="1"/>
  <c r="AC155" i="131"/>
  <c r="K156" i="131"/>
  <c r="N156" i="131"/>
  <c r="Z156" i="131"/>
  <c r="AD156" i="131" s="1"/>
  <c r="AE156" i="131" s="1"/>
  <c r="AC156" i="131"/>
  <c r="K157" i="131"/>
  <c r="N157" i="131"/>
  <c r="Z157" i="131"/>
  <c r="AC157" i="131"/>
  <c r="K158" i="131"/>
  <c r="N158" i="131"/>
  <c r="Q158" i="131"/>
  <c r="Z158" i="131"/>
  <c r="AC158" i="131"/>
  <c r="K159" i="131"/>
  <c r="N159" i="131"/>
  <c r="Q159" i="131"/>
  <c r="Q152" i="131" s="1"/>
  <c r="Z159" i="131"/>
  <c r="AC159" i="131"/>
  <c r="K160" i="131"/>
  <c r="O160" i="131" s="1"/>
  <c r="P160" i="131" s="1"/>
  <c r="N160" i="131"/>
  <c r="Z160" i="131"/>
  <c r="AC160" i="131"/>
  <c r="AD160" i="131" s="1"/>
  <c r="B161" i="131"/>
  <c r="L161" i="131"/>
  <c r="M161" i="131"/>
  <c r="Q161" i="131"/>
  <c r="Y161" i="131"/>
  <c r="AA161" i="131"/>
  <c r="AH161" i="131"/>
  <c r="AI161" i="131"/>
  <c r="K162" i="131"/>
  <c r="O162" i="131" s="1"/>
  <c r="N162" i="131"/>
  <c r="Z162" i="131"/>
  <c r="AC162" i="131"/>
  <c r="AD162" i="131"/>
  <c r="AE162" i="131" s="1"/>
  <c r="K163" i="131"/>
  <c r="N163" i="131"/>
  <c r="Z163" i="131"/>
  <c r="AD163" i="131" s="1"/>
  <c r="AE163" i="131" s="1"/>
  <c r="AC163" i="131"/>
  <c r="K164" i="131"/>
  <c r="O164" i="131" s="1"/>
  <c r="P164" i="131" s="1"/>
  <c r="N164" i="131"/>
  <c r="Z164" i="131"/>
  <c r="AC164" i="131"/>
  <c r="K165" i="131"/>
  <c r="N165" i="131"/>
  <c r="Z165" i="131"/>
  <c r="AC165" i="131"/>
  <c r="K166" i="131"/>
  <c r="N166" i="131"/>
  <c r="Z166" i="131"/>
  <c r="AD166" i="131" s="1"/>
  <c r="AE166" i="131" s="1"/>
  <c r="AC166" i="131"/>
  <c r="K167" i="131"/>
  <c r="N167" i="131"/>
  <c r="Z167" i="131"/>
  <c r="AD167" i="131" s="1"/>
  <c r="AC167" i="131"/>
  <c r="K168" i="131"/>
  <c r="O168" i="131" s="1"/>
  <c r="P168" i="131" s="1"/>
  <c r="N168" i="131"/>
  <c r="Z168" i="131"/>
  <c r="AD168" i="131" s="1"/>
  <c r="AE168" i="131" s="1"/>
  <c r="AC168" i="131"/>
  <c r="K169" i="131"/>
  <c r="N169" i="131"/>
  <c r="Z169" i="131"/>
  <c r="AD169" i="131" s="1"/>
  <c r="AC169" i="131"/>
  <c r="B170" i="131"/>
  <c r="L170" i="131"/>
  <c r="M170" i="131"/>
  <c r="Y170" i="131"/>
  <c r="AA170" i="131"/>
  <c r="AH170" i="131"/>
  <c r="AI170" i="131"/>
  <c r="K171" i="131"/>
  <c r="N171" i="131"/>
  <c r="Z171" i="131"/>
  <c r="AC171" i="131"/>
  <c r="K172" i="131"/>
  <c r="N172" i="131"/>
  <c r="Z172" i="131"/>
  <c r="AC172" i="131"/>
  <c r="AD172" i="131" s="1"/>
  <c r="K173" i="131"/>
  <c r="N173" i="131"/>
  <c r="Z173" i="131"/>
  <c r="AC173" i="131"/>
  <c r="K174" i="131"/>
  <c r="N174" i="131"/>
  <c r="O174" i="131" s="1"/>
  <c r="P174" i="131" s="1"/>
  <c r="Z174" i="131"/>
  <c r="AC174" i="131"/>
  <c r="K175" i="131"/>
  <c r="O175" i="131" s="1"/>
  <c r="P175" i="131" s="1"/>
  <c r="N175" i="131"/>
  <c r="Z175" i="131"/>
  <c r="AD175" i="131" s="1"/>
  <c r="AE175" i="131" s="1"/>
  <c r="AG175" i="131" s="1"/>
  <c r="AC175" i="131"/>
  <c r="K176" i="131"/>
  <c r="N176" i="131"/>
  <c r="O176" i="131" s="1"/>
  <c r="P176" i="131" s="1"/>
  <c r="Z176" i="131"/>
  <c r="AC176" i="131"/>
  <c r="K177" i="131"/>
  <c r="O177" i="131" s="1"/>
  <c r="P177" i="131" s="1"/>
  <c r="N177" i="131"/>
  <c r="Q177" i="131"/>
  <c r="Q170" i="131" s="1"/>
  <c r="Z177" i="131"/>
  <c r="AC177" i="131"/>
  <c r="K178" i="131"/>
  <c r="N178" i="131"/>
  <c r="Z178" i="131"/>
  <c r="AC178" i="131"/>
  <c r="K179" i="131"/>
  <c r="N179" i="131"/>
  <c r="Z179" i="131"/>
  <c r="AC179" i="131"/>
  <c r="AD179" i="131"/>
  <c r="AE179" i="131" s="1"/>
  <c r="K180" i="131"/>
  <c r="N180" i="131"/>
  <c r="Z180" i="131"/>
  <c r="AD180" i="131" s="1"/>
  <c r="AC180" i="131"/>
  <c r="K181" i="131"/>
  <c r="N181" i="131"/>
  <c r="Z181" i="131"/>
  <c r="AC181" i="131"/>
  <c r="K182" i="131"/>
  <c r="O182" i="131" s="1"/>
  <c r="P182" i="131" s="1"/>
  <c r="N182" i="131"/>
  <c r="Z182" i="131"/>
  <c r="AC182" i="131"/>
  <c r="K183" i="131"/>
  <c r="O183" i="131" s="1"/>
  <c r="P183" i="131" s="1"/>
  <c r="N183" i="131"/>
  <c r="Z183" i="131"/>
  <c r="AC183" i="131"/>
  <c r="AD183" i="131"/>
  <c r="AE183" i="131" s="1"/>
  <c r="K184" i="131"/>
  <c r="N184" i="131"/>
  <c r="Q184" i="131"/>
  <c r="Z184" i="131"/>
  <c r="AC184" i="131"/>
  <c r="B186" i="131"/>
  <c r="L186" i="131"/>
  <c r="M186" i="131"/>
  <c r="Q186" i="131"/>
  <c r="Y186" i="131"/>
  <c r="AA186" i="131"/>
  <c r="AH186" i="131"/>
  <c r="AI186" i="131"/>
  <c r="K187" i="131"/>
  <c r="N187" i="131"/>
  <c r="Z187" i="131"/>
  <c r="AD187" i="131" s="1"/>
  <c r="AC187" i="131"/>
  <c r="K188" i="131"/>
  <c r="N188" i="131"/>
  <c r="Z188" i="131"/>
  <c r="AC188" i="131"/>
  <c r="K189" i="131"/>
  <c r="N189" i="131"/>
  <c r="Z189" i="131"/>
  <c r="AC189" i="131"/>
  <c r="K190" i="131"/>
  <c r="N190" i="131"/>
  <c r="Z190" i="131"/>
  <c r="AD190" i="131" s="1"/>
  <c r="AE190" i="131" s="1"/>
  <c r="AC190" i="131"/>
  <c r="B191" i="131"/>
  <c r="L191" i="131"/>
  <c r="M191" i="131"/>
  <c r="Q191" i="131"/>
  <c r="Y191" i="131"/>
  <c r="AA191" i="131"/>
  <c r="AC191" i="131"/>
  <c r="AH191" i="131"/>
  <c r="AI191" i="131"/>
  <c r="K192" i="131"/>
  <c r="N192" i="131"/>
  <c r="Z192" i="131"/>
  <c r="AC192" i="131"/>
  <c r="K193" i="131"/>
  <c r="N193" i="131"/>
  <c r="Z193" i="131"/>
  <c r="AC193" i="131"/>
  <c r="AD193" i="131" s="1"/>
  <c r="K194" i="131"/>
  <c r="N194" i="131"/>
  <c r="Z194" i="131"/>
  <c r="AD194" i="131" s="1"/>
  <c r="AE194" i="131" s="1"/>
  <c r="AC194" i="131"/>
  <c r="B195" i="131"/>
  <c r="L195" i="131"/>
  <c r="M195" i="131"/>
  <c r="Q195" i="131"/>
  <c r="Y195" i="131"/>
  <c r="AA195" i="131"/>
  <c r="AH195" i="131"/>
  <c r="AI195" i="131"/>
  <c r="K196" i="131"/>
  <c r="N196" i="131"/>
  <c r="Z196" i="131"/>
  <c r="AC196" i="131"/>
  <c r="K197" i="131"/>
  <c r="N197" i="131"/>
  <c r="Z197" i="131"/>
  <c r="AC197" i="131"/>
  <c r="K198" i="131"/>
  <c r="N198" i="131"/>
  <c r="Z198" i="131"/>
  <c r="AC198" i="131"/>
  <c r="B199" i="131"/>
  <c r="L199" i="131"/>
  <c r="M199" i="131"/>
  <c r="Q199" i="131"/>
  <c r="Y199" i="131"/>
  <c r="AA199" i="131"/>
  <c r="AH199" i="131"/>
  <c r="AI199" i="131"/>
  <c r="K200" i="131"/>
  <c r="N200" i="131"/>
  <c r="Z200" i="131"/>
  <c r="AC200" i="131"/>
  <c r="K201" i="131"/>
  <c r="N201" i="131"/>
  <c r="O201" i="131" s="1"/>
  <c r="P201" i="131" s="1"/>
  <c r="Z201" i="131"/>
  <c r="AC201" i="131"/>
  <c r="AD201" i="131" s="1"/>
  <c r="K202" i="131"/>
  <c r="N202" i="131"/>
  <c r="Z202" i="131"/>
  <c r="AD202" i="131" s="1"/>
  <c r="AE202" i="131" s="1"/>
  <c r="AC202" i="131"/>
  <c r="B203" i="131"/>
  <c r="L203" i="131"/>
  <c r="M203" i="131"/>
  <c r="Q203" i="131"/>
  <c r="Y203" i="131"/>
  <c r="AA203" i="131"/>
  <c r="AH203" i="131"/>
  <c r="AI203" i="131"/>
  <c r="K204" i="131"/>
  <c r="N204" i="131"/>
  <c r="Z204" i="131"/>
  <c r="AC204" i="131"/>
  <c r="K205" i="131"/>
  <c r="N205" i="131"/>
  <c r="O205" i="131" s="1"/>
  <c r="P205" i="131" s="1"/>
  <c r="Z205" i="131"/>
  <c r="AC205" i="131"/>
  <c r="K206" i="131"/>
  <c r="N206" i="131"/>
  <c r="Z206" i="131"/>
  <c r="AC206" i="131"/>
  <c r="B207" i="131"/>
  <c r="L207" i="131"/>
  <c r="M207" i="131"/>
  <c r="Q207" i="131"/>
  <c r="Y207" i="131"/>
  <c r="AA207" i="131"/>
  <c r="AH207" i="131"/>
  <c r="AI207" i="131"/>
  <c r="K208" i="131"/>
  <c r="N208" i="131"/>
  <c r="Z208" i="131"/>
  <c r="AC208" i="131"/>
  <c r="K209" i="131"/>
  <c r="O209" i="131" s="1"/>
  <c r="P209" i="131" s="1"/>
  <c r="N209" i="131"/>
  <c r="Z209" i="131"/>
  <c r="AC209" i="131"/>
  <c r="AD209" i="131" s="1"/>
  <c r="AE209" i="131" s="1"/>
  <c r="AG209" i="131" s="1"/>
  <c r="K210" i="131"/>
  <c r="N210" i="131"/>
  <c r="Z210" i="131"/>
  <c r="AD210" i="131" s="1"/>
  <c r="AE210" i="131" s="1"/>
  <c r="AC210" i="131"/>
  <c r="B211" i="131"/>
  <c r="L211" i="131"/>
  <c r="M211" i="131"/>
  <c r="Q211" i="131"/>
  <c r="Y211" i="131"/>
  <c r="AA211" i="131"/>
  <c r="AH211" i="131"/>
  <c r="AI211" i="131"/>
  <c r="K212" i="131"/>
  <c r="O212" i="131" s="1"/>
  <c r="P212" i="131" s="1"/>
  <c r="N212" i="131"/>
  <c r="Z212" i="131"/>
  <c r="AC212" i="131"/>
  <c r="K213" i="131"/>
  <c r="N213" i="131"/>
  <c r="Z213" i="131"/>
  <c r="AC213" i="131"/>
  <c r="K214" i="131"/>
  <c r="N214" i="131"/>
  <c r="Z214" i="131"/>
  <c r="AC214" i="131"/>
  <c r="K215" i="131"/>
  <c r="N215" i="131"/>
  <c r="Z215" i="131"/>
  <c r="AC215" i="131"/>
  <c r="AD215" i="131" s="1"/>
  <c r="AE215" i="131" s="1"/>
  <c r="B216" i="131"/>
  <c r="L216" i="131"/>
  <c r="M216" i="131"/>
  <c r="Q216" i="131"/>
  <c r="Y216" i="131"/>
  <c r="AA216" i="131"/>
  <c r="AE216" i="131"/>
  <c r="AH216" i="131"/>
  <c r="AI216" i="131"/>
  <c r="K217" i="131"/>
  <c r="N217" i="131"/>
  <c r="O217" i="131" s="1"/>
  <c r="Z217" i="131"/>
  <c r="AD217" i="131" s="1"/>
  <c r="AC217" i="131"/>
  <c r="AG217" i="131"/>
  <c r="K218" i="131"/>
  <c r="N218" i="131"/>
  <c r="Z218" i="131"/>
  <c r="AC218" i="131"/>
  <c r="AG218" i="131"/>
  <c r="K219" i="131"/>
  <c r="N219" i="131"/>
  <c r="Z219" i="131"/>
  <c r="AC219" i="131"/>
  <c r="B220" i="131"/>
  <c r="L220" i="131"/>
  <c r="M220" i="131"/>
  <c r="P220" i="131"/>
  <c r="Q220" i="131"/>
  <c r="Y220" i="131"/>
  <c r="AA220" i="131"/>
  <c r="AE220" i="131"/>
  <c r="AF220" i="131"/>
  <c r="AH220" i="131"/>
  <c r="AI220" i="131"/>
  <c r="K221" i="131"/>
  <c r="K220" i="131" s="1"/>
  <c r="N221" i="131"/>
  <c r="N220" i="131" s="1"/>
  <c r="Z221" i="131"/>
  <c r="Z220" i="131" s="1"/>
  <c r="AC221" i="131"/>
  <c r="AC220" i="131" s="1"/>
  <c r="AG221" i="131"/>
  <c r="AG220" i="131" s="1"/>
  <c r="E222" i="131"/>
  <c r="F222" i="131"/>
  <c r="G222" i="131"/>
  <c r="H222" i="131"/>
  <c r="B10" i="130"/>
  <c r="C10" i="130"/>
  <c r="D10" i="130"/>
  <c r="L10" i="130"/>
  <c r="M10" i="130"/>
  <c r="Q10" i="130"/>
  <c r="R10" i="130"/>
  <c r="S10" i="130"/>
  <c r="S51" i="130" s="1"/>
  <c r="AA10" i="130"/>
  <c r="AB10" i="130"/>
  <c r="AH10" i="130"/>
  <c r="K11" i="130"/>
  <c r="N11" i="130"/>
  <c r="Z11" i="130"/>
  <c r="AD11" i="130" s="1"/>
  <c r="AC11" i="130"/>
  <c r="AC10" i="130" s="1"/>
  <c r="AG11" i="130"/>
  <c r="K13" i="130"/>
  <c r="N13" i="130"/>
  <c r="Z13" i="130"/>
  <c r="AC13" i="130"/>
  <c r="AD13" i="130"/>
  <c r="AE13" i="130" s="1"/>
  <c r="AG13" i="130"/>
  <c r="B14" i="130"/>
  <c r="D14" i="130"/>
  <c r="L14" i="130"/>
  <c r="M14" i="130"/>
  <c r="Q14" i="130"/>
  <c r="S14" i="130"/>
  <c r="AA14" i="130"/>
  <c r="AB14" i="130"/>
  <c r="AH14" i="130"/>
  <c r="AH51" i="130" s="1"/>
  <c r="K15" i="130"/>
  <c r="O15" i="130" s="1"/>
  <c r="Z15" i="130"/>
  <c r="AD15" i="130" s="1"/>
  <c r="C16" i="130"/>
  <c r="C14" i="130" s="1"/>
  <c r="N16" i="130"/>
  <c r="R16" i="130"/>
  <c r="R14" i="130" s="1"/>
  <c r="AC16" i="130"/>
  <c r="AG16" i="130"/>
  <c r="C17" i="130"/>
  <c r="K17" i="130" s="1"/>
  <c r="N17" i="130"/>
  <c r="R17" i="130"/>
  <c r="Z17" i="130" s="1"/>
  <c r="AC17" i="130"/>
  <c r="AG17" i="130"/>
  <c r="K18" i="130"/>
  <c r="Z18" i="130"/>
  <c r="K19" i="130"/>
  <c r="N19" i="130"/>
  <c r="Z19" i="130"/>
  <c r="AD19" i="130" s="1"/>
  <c r="AI19" i="130" s="1"/>
  <c r="AC19" i="130"/>
  <c r="AG19" i="130"/>
  <c r="B21" i="130"/>
  <c r="C21" i="130"/>
  <c r="D21" i="130"/>
  <c r="L21" i="130"/>
  <c r="M21" i="130"/>
  <c r="Q21" i="130"/>
  <c r="R21" i="130"/>
  <c r="S21" i="130"/>
  <c r="AA21" i="130"/>
  <c r="AB21" i="130"/>
  <c r="AH21" i="130"/>
  <c r="K22" i="130"/>
  <c r="N22" i="130"/>
  <c r="Z22" i="130"/>
  <c r="AC22" i="130"/>
  <c r="AG22" i="130"/>
  <c r="K23" i="130"/>
  <c r="N23" i="130"/>
  <c r="Z23" i="130"/>
  <c r="AC23" i="130"/>
  <c r="AD23" i="130"/>
  <c r="AE23" i="130" s="1"/>
  <c r="AG23" i="130"/>
  <c r="K24" i="130"/>
  <c r="N24" i="130"/>
  <c r="Z24" i="130"/>
  <c r="AD24" i="130" s="1"/>
  <c r="AC24" i="130"/>
  <c r="AG24" i="130"/>
  <c r="P25" i="130"/>
  <c r="K26" i="130"/>
  <c r="O26" i="130" s="1"/>
  <c r="P26" i="130" s="1"/>
  <c r="N26" i="130"/>
  <c r="Z26" i="130"/>
  <c r="AC26" i="130"/>
  <c r="AG26" i="130"/>
  <c r="K27" i="130"/>
  <c r="N27" i="130"/>
  <c r="Z27" i="130"/>
  <c r="AC27" i="130"/>
  <c r="AG27" i="130"/>
  <c r="B28" i="130"/>
  <c r="C28" i="130"/>
  <c r="D28" i="130"/>
  <c r="L28" i="130"/>
  <c r="M28" i="130"/>
  <c r="N28" i="130"/>
  <c r="Q28" i="130"/>
  <c r="R28" i="130"/>
  <c r="S28" i="130"/>
  <c r="AA28" i="130"/>
  <c r="AB28" i="130"/>
  <c r="AC28" i="130"/>
  <c r="AH28" i="130"/>
  <c r="K29" i="130"/>
  <c r="O29" i="130" s="1"/>
  <c r="Z29" i="130"/>
  <c r="AG29" i="130"/>
  <c r="K34" i="130"/>
  <c r="O34" i="130"/>
  <c r="P34" i="130" s="1"/>
  <c r="Z34" i="130"/>
  <c r="AD34" i="130" s="1"/>
  <c r="AE34" i="130" s="1"/>
  <c r="AG34" i="130"/>
  <c r="B35" i="130"/>
  <c r="D35" i="130"/>
  <c r="E35" i="130"/>
  <c r="F35" i="130"/>
  <c r="F51" i="130" s="1"/>
  <c r="G35" i="130"/>
  <c r="H35" i="130"/>
  <c r="H51" i="130" s="1"/>
  <c r="I35" i="130"/>
  <c r="I51" i="130" s="1"/>
  <c r="J35" i="130"/>
  <c r="J51" i="130" s="1"/>
  <c r="L35" i="130"/>
  <c r="M35" i="130"/>
  <c r="N35" i="130"/>
  <c r="Q35" i="130"/>
  <c r="R35" i="130"/>
  <c r="S35" i="130"/>
  <c r="T35" i="130"/>
  <c r="T51" i="130" s="1"/>
  <c r="U35" i="130"/>
  <c r="U51" i="130" s="1"/>
  <c r="V35" i="130"/>
  <c r="V51" i="130" s="1"/>
  <c r="W35" i="130"/>
  <c r="X35" i="130"/>
  <c r="X51" i="130" s="1"/>
  <c r="Y35" i="130"/>
  <c r="Y51" i="130" s="1"/>
  <c r="AA35" i="130"/>
  <c r="AB35" i="130"/>
  <c r="AC35" i="130"/>
  <c r="AH35" i="130"/>
  <c r="K36" i="130"/>
  <c r="Z36" i="130"/>
  <c r="AD36" i="130"/>
  <c r="AE36" i="130" s="1"/>
  <c r="AG36" i="130"/>
  <c r="K37" i="130"/>
  <c r="O37" i="130" s="1"/>
  <c r="P37" i="130" s="1"/>
  <c r="Z37" i="130"/>
  <c r="AD37" i="130" s="1"/>
  <c r="AG37" i="130"/>
  <c r="K38" i="130"/>
  <c r="O38" i="130" s="1"/>
  <c r="Z38" i="130"/>
  <c r="AD38" i="130" s="1"/>
  <c r="AI38" i="130" s="1"/>
  <c r="AG38" i="130"/>
  <c r="K39" i="130"/>
  <c r="O39" i="130"/>
  <c r="P39" i="130" s="1"/>
  <c r="Z39" i="130"/>
  <c r="AD39" i="130" s="1"/>
  <c r="AG39" i="130"/>
  <c r="K40" i="130"/>
  <c r="O40" i="130" s="1"/>
  <c r="Z40" i="130"/>
  <c r="AD40" i="130" s="1"/>
  <c r="AI40" i="130" s="1"/>
  <c r="AG40" i="130"/>
  <c r="K41" i="130"/>
  <c r="O41" i="130"/>
  <c r="P41" i="130" s="1"/>
  <c r="Z41" i="130"/>
  <c r="AD41" i="130" s="1"/>
  <c r="AG41" i="130"/>
  <c r="K42" i="130"/>
  <c r="O42" i="130" s="1"/>
  <c r="P42" i="130" s="1"/>
  <c r="Z42" i="130"/>
  <c r="AD42" i="130" s="1"/>
  <c r="AG42" i="130"/>
  <c r="K43" i="130"/>
  <c r="O43" i="130" s="1"/>
  <c r="P43" i="130" s="1"/>
  <c r="Z43" i="130"/>
  <c r="AD43" i="130" s="1"/>
  <c r="AG43" i="130"/>
  <c r="K44" i="130"/>
  <c r="O44" i="130" s="1"/>
  <c r="P44" i="130" s="1"/>
  <c r="Z44" i="130"/>
  <c r="AD44" i="130" s="1"/>
  <c r="AG44" i="130"/>
  <c r="K45" i="130"/>
  <c r="O45" i="130" s="1"/>
  <c r="P45" i="130" s="1"/>
  <c r="Z45" i="130"/>
  <c r="AD45" i="130" s="1"/>
  <c r="AG45" i="130"/>
  <c r="K46" i="130"/>
  <c r="O46" i="130" s="1"/>
  <c r="P46" i="130" s="1"/>
  <c r="Z46" i="130"/>
  <c r="AD46" i="130" s="1"/>
  <c r="AG46" i="130"/>
  <c r="K47" i="130"/>
  <c r="O47" i="130" s="1"/>
  <c r="P47" i="130" s="1"/>
  <c r="Z47" i="130"/>
  <c r="AD47" i="130" s="1"/>
  <c r="AG47" i="130"/>
  <c r="K48" i="130"/>
  <c r="O48" i="130" s="1"/>
  <c r="AD48" i="130"/>
  <c r="AE48" i="130" s="1"/>
  <c r="AG48" i="130"/>
  <c r="K49" i="130"/>
  <c r="O49" i="130" s="1"/>
  <c r="Z49" i="130"/>
  <c r="AD49" i="130" s="1"/>
  <c r="AE49" i="130" s="1"/>
  <c r="AG49" i="130"/>
  <c r="K50" i="130"/>
  <c r="O50" i="130" s="1"/>
  <c r="P50" i="130" s="1"/>
  <c r="AD50" i="130"/>
  <c r="AE50" i="130" s="1"/>
  <c r="AG50" i="130"/>
  <c r="E51" i="130"/>
  <c r="G51" i="130"/>
  <c r="W51" i="130"/>
  <c r="B10" i="129"/>
  <c r="D10" i="129"/>
  <c r="E10" i="129"/>
  <c r="F10" i="129"/>
  <c r="G10" i="129"/>
  <c r="H10" i="129"/>
  <c r="I10" i="129"/>
  <c r="J10" i="129"/>
  <c r="L10" i="129"/>
  <c r="M10" i="129"/>
  <c r="Q10" i="129"/>
  <c r="S10" i="129"/>
  <c r="T10" i="129"/>
  <c r="U10" i="129"/>
  <c r="V10" i="129"/>
  <c r="W10" i="129"/>
  <c r="X10" i="129"/>
  <c r="Y10" i="129"/>
  <c r="AA10" i="129"/>
  <c r="AB10" i="129"/>
  <c r="AH10" i="129"/>
  <c r="K11" i="129"/>
  <c r="N11" i="129"/>
  <c r="Z11" i="129"/>
  <c r="AC11" i="129"/>
  <c r="AG11" i="129"/>
  <c r="K12" i="129"/>
  <c r="N12" i="129"/>
  <c r="Z12" i="129"/>
  <c r="AC12" i="129"/>
  <c r="AG12" i="129"/>
  <c r="C13" i="129"/>
  <c r="N13" i="129"/>
  <c r="R13" i="129"/>
  <c r="Z13" i="129"/>
  <c r="AC13" i="129"/>
  <c r="AG13" i="129"/>
  <c r="C14" i="129"/>
  <c r="K14" i="129" s="1"/>
  <c r="O14" i="129" s="1"/>
  <c r="P14" i="129" s="1"/>
  <c r="N14" i="129"/>
  <c r="R14" i="129"/>
  <c r="Z14" i="129" s="1"/>
  <c r="AC14" i="129"/>
  <c r="AG14" i="129"/>
  <c r="K15" i="129"/>
  <c r="N15" i="129"/>
  <c r="Z15" i="129"/>
  <c r="AC15" i="129"/>
  <c r="AG15" i="129"/>
  <c r="AI15" i="129"/>
  <c r="C16" i="129"/>
  <c r="K16" i="129" s="1"/>
  <c r="O16" i="129" s="1"/>
  <c r="P16" i="129" s="1"/>
  <c r="N16" i="129"/>
  <c r="R16" i="129"/>
  <c r="Z16" i="129" s="1"/>
  <c r="AC16" i="129"/>
  <c r="AG16" i="129"/>
  <c r="C17" i="129"/>
  <c r="K17" i="129" s="1"/>
  <c r="N17" i="129"/>
  <c r="R17" i="129"/>
  <c r="Z17" i="129" s="1"/>
  <c r="AD17" i="129" s="1"/>
  <c r="AE17" i="129" s="1"/>
  <c r="AC17" i="129"/>
  <c r="AG17" i="129"/>
  <c r="C18" i="129"/>
  <c r="K18" i="129"/>
  <c r="O18" i="129" s="1"/>
  <c r="N18" i="129"/>
  <c r="R18" i="129"/>
  <c r="Z18" i="129" s="1"/>
  <c r="AC18" i="129"/>
  <c r="AG18" i="129"/>
  <c r="B19" i="129"/>
  <c r="D19" i="129"/>
  <c r="E19" i="129"/>
  <c r="F19" i="129"/>
  <c r="G19" i="129"/>
  <c r="H19" i="129"/>
  <c r="I19" i="129"/>
  <c r="J19" i="129"/>
  <c r="Q19" i="129"/>
  <c r="S19" i="129"/>
  <c r="T19" i="129"/>
  <c r="U19" i="129"/>
  <c r="V19" i="129"/>
  <c r="W19" i="129"/>
  <c r="X19" i="129"/>
  <c r="Y19" i="129"/>
  <c r="AH19" i="129"/>
  <c r="C20" i="129"/>
  <c r="N20" i="129"/>
  <c r="R20" i="129"/>
  <c r="Z20" i="129" s="1"/>
  <c r="AI20" i="129" s="1"/>
  <c r="AC20" i="129"/>
  <c r="AG20" i="129"/>
  <c r="C21" i="129"/>
  <c r="K21" i="129" s="1"/>
  <c r="O21" i="129" s="1"/>
  <c r="P21" i="129" s="1"/>
  <c r="N21" i="129"/>
  <c r="R21" i="129"/>
  <c r="Z21" i="129" s="1"/>
  <c r="AC21" i="129"/>
  <c r="AG21" i="129"/>
  <c r="C22" i="129"/>
  <c r="K22" i="129"/>
  <c r="O22" i="129" s="1"/>
  <c r="P22" i="129" s="1"/>
  <c r="N22" i="129"/>
  <c r="R22" i="129"/>
  <c r="Z22" i="129" s="1"/>
  <c r="AC22" i="129"/>
  <c r="AG22" i="129"/>
  <c r="C23" i="129"/>
  <c r="K23" i="129"/>
  <c r="N23" i="129"/>
  <c r="O23" i="129" s="1"/>
  <c r="P23" i="129" s="1"/>
  <c r="R23" i="129"/>
  <c r="Z23" i="129" s="1"/>
  <c r="AC23" i="129"/>
  <c r="AG23" i="129"/>
  <c r="C24" i="129"/>
  <c r="K24" i="129" s="1"/>
  <c r="O24" i="129" s="1"/>
  <c r="P24" i="129" s="1"/>
  <c r="N24" i="129"/>
  <c r="R24" i="129"/>
  <c r="Z24" i="129"/>
  <c r="AD24" i="129" s="1"/>
  <c r="AE24" i="129" s="1"/>
  <c r="AF24" i="129" s="1"/>
  <c r="AC24" i="129"/>
  <c r="AG24" i="129"/>
  <c r="C25" i="129"/>
  <c r="K25" i="129" s="1"/>
  <c r="O25" i="129" s="1"/>
  <c r="P25" i="129" s="1"/>
  <c r="N25" i="129"/>
  <c r="R25" i="129"/>
  <c r="Z25" i="129"/>
  <c r="AI25" i="129" s="1"/>
  <c r="AC25" i="129"/>
  <c r="AG25" i="129"/>
  <c r="B26" i="129"/>
  <c r="D26" i="129"/>
  <c r="E26" i="129"/>
  <c r="F26" i="129"/>
  <c r="G26" i="129"/>
  <c r="H26" i="129"/>
  <c r="I26" i="129"/>
  <c r="J26" i="129"/>
  <c r="J63" i="129" s="1"/>
  <c r="L26" i="129"/>
  <c r="L19" i="129" s="1"/>
  <c r="M26" i="129"/>
  <c r="M19" i="129" s="1"/>
  <c r="Q26" i="129"/>
  <c r="S26" i="129"/>
  <c r="T26" i="129"/>
  <c r="U26" i="129"/>
  <c r="U63" i="129" s="1"/>
  <c r="V26" i="129"/>
  <c r="W26" i="129"/>
  <c r="X26" i="129"/>
  <c r="Y26" i="129"/>
  <c r="AA26" i="129"/>
  <c r="AA19" i="129" s="1"/>
  <c r="AB26" i="129"/>
  <c r="AB19" i="129" s="1"/>
  <c r="AH26" i="129"/>
  <c r="C27" i="129"/>
  <c r="C26" i="129" s="1"/>
  <c r="N27" i="129"/>
  <c r="R27" i="129"/>
  <c r="AC27" i="129"/>
  <c r="AG27" i="129"/>
  <c r="C28" i="129"/>
  <c r="K28" i="129"/>
  <c r="N28" i="129"/>
  <c r="R28" i="129"/>
  <c r="Z28" i="129" s="1"/>
  <c r="AC28" i="129"/>
  <c r="AG28" i="129"/>
  <c r="C29" i="129"/>
  <c r="K29" i="129"/>
  <c r="O29" i="129" s="1"/>
  <c r="P29" i="129" s="1"/>
  <c r="N29" i="129"/>
  <c r="R29" i="129"/>
  <c r="Z29" i="129" s="1"/>
  <c r="AC29" i="129"/>
  <c r="AG29" i="129"/>
  <c r="C30" i="129"/>
  <c r="K30" i="129" s="1"/>
  <c r="O30" i="129" s="1"/>
  <c r="P30" i="129" s="1"/>
  <c r="N30" i="129"/>
  <c r="R30" i="129"/>
  <c r="Z30" i="129" s="1"/>
  <c r="AC30" i="129"/>
  <c r="AG30" i="129"/>
  <c r="C31" i="129"/>
  <c r="K31" i="129" s="1"/>
  <c r="N31" i="129"/>
  <c r="R31" i="129"/>
  <c r="Z31" i="129" s="1"/>
  <c r="AD31" i="129" s="1"/>
  <c r="AE31" i="129" s="1"/>
  <c r="AC31" i="129"/>
  <c r="AG31" i="129"/>
  <c r="C32" i="129"/>
  <c r="K32" i="129"/>
  <c r="N32" i="129"/>
  <c r="R32" i="129"/>
  <c r="Z32" i="129" s="1"/>
  <c r="AC32" i="129"/>
  <c r="AG32" i="129"/>
  <c r="B33" i="129"/>
  <c r="D33" i="129"/>
  <c r="E33" i="129"/>
  <c r="F33" i="129"/>
  <c r="G33" i="129"/>
  <c r="G63" i="129" s="1"/>
  <c r="H33" i="129"/>
  <c r="I33" i="129"/>
  <c r="I63" i="129" s="1"/>
  <c r="J33" i="129"/>
  <c r="L33" i="129"/>
  <c r="M33" i="129"/>
  <c r="Q33" i="129"/>
  <c r="S33" i="129"/>
  <c r="T33" i="129"/>
  <c r="U33" i="129"/>
  <c r="V33" i="129"/>
  <c r="W33" i="129"/>
  <c r="X33" i="129"/>
  <c r="Y33" i="129"/>
  <c r="AA33" i="129"/>
  <c r="AB33" i="129"/>
  <c r="AH33" i="129"/>
  <c r="AH63" i="129" s="1"/>
  <c r="C34" i="129"/>
  <c r="C33" i="129" s="1"/>
  <c r="N34" i="129"/>
  <c r="R34" i="129"/>
  <c r="AC34" i="129"/>
  <c r="AG34" i="129"/>
  <c r="C35" i="129"/>
  <c r="K35" i="129"/>
  <c r="N35" i="129"/>
  <c r="R35" i="129"/>
  <c r="Z35" i="129" s="1"/>
  <c r="AD35" i="129" s="1"/>
  <c r="AE35" i="129" s="1"/>
  <c r="AC35" i="129"/>
  <c r="AG35" i="129"/>
  <c r="C36" i="129"/>
  <c r="K36" i="129" s="1"/>
  <c r="N36" i="129"/>
  <c r="R36" i="129"/>
  <c r="Z36" i="129" s="1"/>
  <c r="AC36" i="129"/>
  <c r="AG36" i="129"/>
  <c r="C37" i="129"/>
  <c r="K37" i="129" s="1"/>
  <c r="O37" i="129" s="1"/>
  <c r="P37" i="129" s="1"/>
  <c r="N37" i="129"/>
  <c r="R37" i="129"/>
  <c r="Z37" i="129" s="1"/>
  <c r="AC37" i="129"/>
  <c r="AG37" i="129"/>
  <c r="K38" i="129"/>
  <c r="O38" i="129" s="1"/>
  <c r="P38" i="129" s="1"/>
  <c r="N38" i="129"/>
  <c r="Z38" i="129"/>
  <c r="AD38" i="129" s="1"/>
  <c r="AE38" i="129" s="1"/>
  <c r="AC38" i="129"/>
  <c r="C39" i="129"/>
  <c r="K39" i="129"/>
  <c r="O39" i="129" s="1"/>
  <c r="P39" i="129" s="1"/>
  <c r="N39" i="129"/>
  <c r="R39" i="129"/>
  <c r="Z39" i="129"/>
  <c r="AD39" i="129" s="1"/>
  <c r="AE39" i="129" s="1"/>
  <c r="AC39" i="129"/>
  <c r="AG39" i="129"/>
  <c r="B40" i="129"/>
  <c r="C40" i="129"/>
  <c r="D40" i="129"/>
  <c r="E40" i="129"/>
  <c r="F40" i="129"/>
  <c r="G40" i="129"/>
  <c r="H40" i="129"/>
  <c r="I40" i="129"/>
  <c r="J40" i="129"/>
  <c r="Q40" i="129"/>
  <c r="R40" i="129"/>
  <c r="S40" i="129"/>
  <c r="T40" i="129"/>
  <c r="U40" i="129"/>
  <c r="V40" i="129"/>
  <c r="W40" i="129"/>
  <c r="X40" i="129"/>
  <c r="Y40" i="129"/>
  <c r="AH40" i="129"/>
  <c r="K41" i="129"/>
  <c r="N41" i="129"/>
  <c r="Z41" i="129"/>
  <c r="AC41" i="129"/>
  <c r="AD41" i="129"/>
  <c r="AE41" i="129" s="1"/>
  <c r="AG41" i="129"/>
  <c r="K42" i="129"/>
  <c r="L42" i="129"/>
  <c r="N42" i="129"/>
  <c r="Z42" i="129"/>
  <c r="AD42" i="129" s="1"/>
  <c r="AA42" i="129"/>
  <c r="AC42" i="129" s="1"/>
  <c r="AG42" i="129"/>
  <c r="K43" i="129"/>
  <c r="N43" i="129"/>
  <c r="Z43" i="129"/>
  <c r="AD43" i="129" s="1"/>
  <c r="AE43" i="129" s="1"/>
  <c r="AC43" i="129"/>
  <c r="AG43" i="129"/>
  <c r="AI43" i="129"/>
  <c r="B44" i="129"/>
  <c r="C44" i="129"/>
  <c r="E44" i="129"/>
  <c r="F44" i="129"/>
  <c r="G44" i="129"/>
  <c r="H44" i="129"/>
  <c r="I44" i="129"/>
  <c r="J44" i="129"/>
  <c r="L44" i="129"/>
  <c r="M44" i="129"/>
  <c r="M40" i="129" s="1"/>
  <c r="Q44" i="129"/>
  <c r="R44" i="129"/>
  <c r="T44" i="129"/>
  <c r="U44" i="129"/>
  <c r="V44" i="129"/>
  <c r="W44" i="129"/>
  <c r="X44" i="129"/>
  <c r="Y44" i="129"/>
  <c r="AA44" i="129"/>
  <c r="AB44" i="129"/>
  <c r="AB40" i="129" s="1"/>
  <c r="AH44" i="129"/>
  <c r="K45" i="129"/>
  <c r="K44" i="129" s="1"/>
  <c r="N45" i="129"/>
  <c r="N44" i="129" s="1"/>
  <c r="Z45" i="129"/>
  <c r="AC45" i="129"/>
  <c r="AC44" i="129" s="1"/>
  <c r="AG45" i="129"/>
  <c r="B47" i="129"/>
  <c r="C47" i="129"/>
  <c r="D47" i="129"/>
  <c r="E47" i="129"/>
  <c r="F47" i="129"/>
  <c r="G47" i="129"/>
  <c r="H47" i="129"/>
  <c r="I47" i="129"/>
  <c r="J47" i="129"/>
  <c r="L47" i="129"/>
  <c r="M47" i="129"/>
  <c r="Q47" i="129"/>
  <c r="R47" i="129"/>
  <c r="S47" i="129"/>
  <c r="T47" i="129"/>
  <c r="U47" i="129"/>
  <c r="V47" i="129"/>
  <c r="W47" i="129"/>
  <c r="X47" i="129"/>
  <c r="Y47" i="129"/>
  <c r="AA47" i="129"/>
  <c r="AB47" i="129"/>
  <c r="K48" i="129"/>
  <c r="N48" i="129"/>
  <c r="Z48" i="129"/>
  <c r="AD48" i="129" s="1"/>
  <c r="AC48" i="129"/>
  <c r="AG48" i="129"/>
  <c r="K49" i="129"/>
  <c r="O49" i="129" s="1"/>
  <c r="N49" i="129"/>
  <c r="Z49" i="129"/>
  <c r="AD49" i="129" s="1"/>
  <c r="AE49" i="129" s="1"/>
  <c r="AC49" i="129"/>
  <c r="K50" i="129"/>
  <c r="N50" i="129"/>
  <c r="Z50" i="129"/>
  <c r="AC50" i="129"/>
  <c r="B51" i="129"/>
  <c r="D51" i="129"/>
  <c r="D63" i="129" s="1"/>
  <c r="E51" i="129"/>
  <c r="F51" i="129"/>
  <c r="G51" i="129"/>
  <c r="H51" i="129"/>
  <c r="I51" i="129"/>
  <c r="J51" i="129"/>
  <c r="L51" i="129"/>
  <c r="M51" i="129"/>
  <c r="Q51" i="129"/>
  <c r="S51" i="129"/>
  <c r="T51" i="129"/>
  <c r="U51" i="129"/>
  <c r="V51" i="129"/>
  <c r="W51" i="129"/>
  <c r="X51" i="129"/>
  <c r="X63" i="129" s="1"/>
  <c r="Y51" i="129"/>
  <c r="AA51" i="129"/>
  <c r="AB51" i="129"/>
  <c r="AH51" i="129"/>
  <c r="K52" i="129"/>
  <c r="N52" i="129"/>
  <c r="Z52" i="129"/>
  <c r="AC52" i="129"/>
  <c r="AD52" i="129" s="1"/>
  <c r="AE52" i="129" s="1"/>
  <c r="K53" i="129"/>
  <c r="N53" i="129"/>
  <c r="Z53" i="129"/>
  <c r="AC53" i="129"/>
  <c r="AD53" i="129"/>
  <c r="AE53" i="129" s="1"/>
  <c r="K54" i="129"/>
  <c r="N54" i="129"/>
  <c r="O54" i="129" s="1"/>
  <c r="P54" i="129" s="1"/>
  <c r="Z54" i="129"/>
  <c r="AI54" i="129" s="1"/>
  <c r="AC54" i="129"/>
  <c r="AG54" i="129"/>
  <c r="K55" i="129"/>
  <c r="N55" i="129"/>
  <c r="Z55" i="129"/>
  <c r="AI55" i="129" s="1"/>
  <c r="AC55" i="129"/>
  <c r="AG55" i="129"/>
  <c r="K56" i="129"/>
  <c r="N56" i="129"/>
  <c r="O56" i="129" s="1"/>
  <c r="P56" i="129" s="1"/>
  <c r="Z56" i="129"/>
  <c r="AC56" i="129"/>
  <c r="AD56" i="129"/>
  <c r="AE56" i="129" s="1"/>
  <c r="AG56" i="129"/>
  <c r="AI56" i="129"/>
  <c r="K57" i="129"/>
  <c r="N57" i="129"/>
  <c r="Z57" i="129"/>
  <c r="AC57" i="129"/>
  <c r="AD57" i="129"/>
  <c r="AE57" i="129" s="1"/>
  <c r="AG57" i="129"/>
  <c r="AI57" i="129"/>
  <c r="K58" i="129"/>
  <c r="O58" i="129" s="1"/>
  <c r="P58" i="129" s="1"/>
  <c r="N58" i="129"/>
  <c r="Z58" i="129"/>
  <c r="AD58" i="129" s="1"/>
  <c r="AE58" i="129" s="1"/>
  <c r="AF58" i="129" s="1"/>
  <c r="AC58" i="129"/>
  <c r="AG58" i="129"/>
  <c r="K59" i="129"/>
  <c r="O59" i="129" s="1"/>
  <c r="P59" i="129" s="1"/>
  <c r="N59" i="129"/>
  <c r="Z59" i="129"/>
  <c r="AI59" i="129" s="1"/>
  <c r="AC59" i="129"/>
  <c r="AD59" i="129"/>
  <c r="AE59" i="129" s="1"/>
  <c r="AG59" i="129"/>
  <c r="K60" i="129"/>
  <c r="N60" i="129"/>
  <c r="Z60" i="129"/>
  <c r="AC60" i="129"/>
  <c r="AG60" i="129"/>
  <c r="K61" i="129"/>
  <c r="O61" i="129" s="1"/>
  <c r="P61" i="129" s="1"/>
  <c r="N61" i="129"/>
  <c r="Z61" i="129"/>
  <c r="AI61" i="129" s="1"/>
  <c r="AC61" i="129"/>
  <c r="AD61" i="129"/>
  <c r="AE61" i="129" s="1"/>
  <c r="AG61" i="129"/>
  <c r="K62" i="129"/>
  <c r="O62" i="129" s="1"/>
  <c r="P62" i="129" s="1"/>
  <c r="N62" i="129"/>
  <c r="Z62" i="129"/>
  <c r="AC62" i="129"/>
  <c r="AD62" i="129" s="1"/>
  <c r="AE62" i="129" s="1"/>
  <c r="AG62" i="129"/>
  <c r="AI62" i="129"/>
  <c r="T63" i="129"/>
  <c r="V63" i="129"/>
  <c r="H7" i="127"/>
  <c r="I7" i="127"/>
  <c r="H8" i="127"/>
  <c r="I8" i="127"/>
  <c r="I23" i="127" s="1"/>
  <c r="H9" i="127"/>
  <c r="I9" i="127"/>
  <c r="H10" i="127"/>
  <c r="I10" i="127"/>
  <c r="H11" i="127"/>
  <c r="I11" i="127"/>
  <c r="H12" i="127"/>
  <c r="I12" i="127"/>
  <c r="H13" i="127"/>
  <c r="I13" i="127"/>
  <c r="C14" i="127"/>
  <c r="E14" i="127"/>
  <c r="E23" i="127" s="1"/>
  <c r="G14" i="127"/>
  <c r="H14" i="127"/>
  <c r="I14" i="127"/>
  <c r="H15" i="127"/>
  <c r="I15" i="127"/>
  <c r="H16" i="127"/>
  <c r="I16" i="127"/>
  <c r="H17" i="127"/>
  <c r="I17" i="127"/>
  <c r="H18" i="127"/>
  <c r="I18" i="127"/>
  <c r="H19" i="127"/>
  <c r="I19" i="127"/>
  <c r="H20" i="127"/>
  <c r="I20" i="127"/>
  <c r="H21" i="127"/>
  <c r="I21" i="127"/>
  <c r="H22" i="127"/>
  <c r="I22" i="127"/>
  <c r="B23" i="127"/>
  <c r="C23" i="127"/>
  <c r="D23" i="127"/>
  <c r="F23" i="127"/>
  <c r="G23" i="127"/>
  <c r="H23" i="127"/>
  <c r="H7" i="123"/>
  <c r="I7" i="123"/>
  <c r="H8" i="123"/>
  <c r="I8" i="123"/>
  <c r="H9" i="123"/>
  <c r="I9" i="123"/>
  <c r="H10" i="123"/>
  <c r="I10" i="123"/>
  <c r="H11" i="123"/>
  <c r="I11" i="123"/>
  <c r="H12" i="123"/>
  <c r="I12" i="123"/>
  <c r="H13" i="123"/>
  <c r="I13" i="123"/>
  <c r="H14" i="123"/>
  <c r="I14" i="123"/>
  <c r="H15" i="123"/>
  <c r="I15" i="123"/>
  <c r="H16" i="123"/>
  <c r="H23" i="123" s="1"/>
  <c r="I16" i="123"/>
  <c r="H17" i="123"/>
  <c r="I17" i="123"/>
  <c r="H18" i="123"/>
  <c r="I18" i="123"/>
  <c r="H19" i="123"/>
  <c r="I19" i="123"/>
  <c r="H20" i="123"/>
  <c r="I20" i="123"/>
  <c r="H21" i="123"/>
  <c r="I21" i="123"/>
  <c r="H22" i="123"/>
  <c r="I22" i="123"/>
  <c r="B23" i="123"/>
  <c r="C23" i="123"/>
  <c r="D23" i="123"/>
  <c r="E23" i="123"/>
  <c r="F23" i="123"/>
  <c r="G23" i="123"/>
  <c r="H7" i="122"/>
  <c r="I7" i="122"/>
  <c r="H8" i="122"/>
  <c r="I8" i="122"/>
  <c r="H9" i="122"/>
  <c r="I9" i="122"/>
  <c r="H10" i="122"/>
  <c r="I10" i="122"/>
  <c r="H11" i="122"/>
  <c r="I11" i="122"/>
  <c r="H12" i="122"/>
  <c r="I12" i="122"/>
  <c r="H13" i="122"/>
  <c r="I13" i="122"/>
  <c r="H14" i="122"/>
  <c r="I14" i="122"/>
  <c r="H15" i="122"/>
  <c r="I15" i="122"/>
  <c r="H16" i="122"/>
  <c r="I16" i="122"/>
  <c r="H17" i="122"/>
  <c r="I17" i="122"/>
  <c r="H18" i="122"/>
  <c r="I18" i="122"/>
  <c r="H19" i="122"/>
  <c r="I19" i="122"/>
  <c r="H20" i="122"/>
  <c r="I20" i="122"/>
  <c r="H21" i="122"/>
  <c r="I21" i="122"/>
  <c r="H22" i="122"/>
  <c r="I22" i="122"/>
  <c r="C23" i="122"/>
  <c r="E23" i="122"/>
  <c r="G23" i="122"/>
  <c r="I23" i="122"/>
  <c r="H7" i="121"/>
  <c r="H23" i="121" s="1"/>
  <c r="I7" i="121"/>
  <c r="H8" i="121"/>
  <c r="I8" i="121"/>
  <c r="H9" i="121"/>
  <c r="I9" i="121"/>
  <c r="H10" i="121"/>
  <c r="I10" i="121"/>
  <c r="H11" i="121"/>
  <c r="I11" i="121"/>
  <c r="H12" i="121"/>
  <c r="I12" i="121"/>
  <c r="H13" i="121"/>
  <c r="I13" i="121"/>
  <c r="H14" i="121"/>
  <c r="I14" i="121"/>
  <c r="H15" i="121"/>
  <c r="I15" i="121"/>
  <c r="H16" i="121"/>
  <c r="I16" i="121"/>
  <c r="H17" i="121"/>
  <c r="I17" i="121"/>
  <c r="H18" i="121"/>
  <c r="I18" i="121"/>
  <c r="H19" i="121"/>
  <c r="I19" i="121"/>
  <c r="H20" i="121"/>
  <c r="I20" i="121"/>
  <c r="H21" i="121"/>
  <c r="I21" i="121"/>
  <c r="H22" i="121"/>
  <c r="I22" i="121"/>
  <c r="C23" i="121"/>
  <c r="E23" i="121"/>
  <c r="G23" i="121"/>
  <c r="B7" i="120"/>
  <c r="D7" i="120"/>
  <c r="F7" i="120"/>
  <c r="F23" i="120" s="1"/>
  <c r="H7" i="120"/>
  <c r="H23" i="120" s="1"/>
  <c r="I7" i="120"/>
  <c r="H8" i="120"/>
  <c r="I8" i="120"/>
  <c r="H9" i="120"/>
  <c r="I9" i="120"/>
  <c r="H10" i="120"/>
  <c r="I10" i="120"/>
  <c r="H11" i="120"/>
  <c r="I11" i="120"/>
  <c r="B12" i="120"/>
  <c r="D12" i="120"/>
  <c r="F12" i="120"/>
  <c r="H12" i="120" s="1"/>
  <c r="I12" i="120"/>
  <c r="H13" i="120"/>
  <c r="I13" i="120"/>
  <c r="H14" i="120"/>
  <c r="I14" i="120"/>
  <c r="H15" i="120"/>
  <c r="I15" i="120"/>
  <c r="B16" i="120"/>
  <c r="D16" i="120"/>
  <c r="D16" i="115" s="1"/>
  <c r="F16" i="120"/>
  <c r="H16" i="120" s="1"/>
  <c r="I16" i="120"/>
  <c r="H17" i="120"/>
  <c r="I17" i="120"/>
  <c r="H18" i="120"/>
  <c r="I18" i="120"/>
  <c r="H19" i="120"/>
  <c r="I19" i="120"/>
  <c r="H20" i="120"/>
  <c r="I20" i="120"/>
  <c r="H21" i="120"/>
  <c r="I21" i="120"/>
  <c r="H22" i="120"/>
  <c r="I22" i="120"/>
  <c r="B23" i="120"/>
  <c r="C23" i="120"/>
  <c r="D23" i="120"/>
  <c r="E23" i="120"/>
  <c r="G23" i="120"/>
  <c r="B7" i="119"/>
  <c r="C7" i="119"/>
  <c r="C7" i="115" s="1"/>
  <c r="D7" i="119"/>
  <c r="D23" i="119" s="1"/>
  <c r="F7" i="119"/>
  <c r="H7" i="119" s="1"/>
  <c r="H23" i="119" s="1"/>
  <c r="I7" i="119"/>
  <c r="H8" i="119"/>
  <c r="I8" i="119"/>
  <c r="H9" i="119"/>
  <c r="I9" i="119"/>
  <c r="H10" i="119"/>
  <c r="I10" i="119"/>
  <c r="H11" i="119"/>
  <c r="I11" i="119"/>
  <c r="D12" i="119"/>
  <c r="D12" i="115" s="1"/>
  <c r="F12" i="119"/>
  <c r="I12" i="119"/>
  <c r="H13" i="119"/>
  <c r="I13" i="119"/>
  <c r="H14" i="119"/>
  <c r="I14" i="119"/>
  <c r="H15" i="119"/>
  <c r="I15" i="119"/>
  <c r="D16" i="119"/>
  <c r="F16" i="119"/>
  <c r="H16" i="119" s="1"/>
  <c r="I16" i="119"/>
  <c r="H17" i="119"/>
  <c r="I17" i="119"/>
  <c r="H18" i="119"/>
  <c r="I18" i="119"/>
  <c r="H19" i="119"/>
  <c r="I19" i="119"/>
  <c r="H20" i="119"/>
  <c r="I20" i="119"/>
  <c r="H21" i="119"/>
  <c r="I21" i="119"/>
  <c r="H22" i="119"/>
  <c r="I22" i="119"/>
  <c r="B23" i="119"/>
  <c r="E23" i="119"/>
  <c r="G23" i="119"/>
  <c r="B7" i="118"/>
  <c r="D7" i="118"/>
  <c r="F7" i="118"/>
  <c r="I7" i="118"/>
  <c r="H8" i="118"/>
  <c r="I8" i="118"/>
  <c r="H9" i="118"/>
  <c r="I9" i="118"/>
  <c r="H10" i="118"/>
  <c r="I10" i="118"/>
  <c r="H11" i="118"/>
  <c r="I11" i="118"/>
  <c r="H12" i="118"/>
  <c r="I12" i="118"/>
  <c r="H13" i="118"/>
  <c r="I13" i="118"/>
  <c r="H14" i="118"/>
  <c r="I14" i="118"/>
  <c r="H15" i="118"/>
  <c r="I15" i="118"/>
  <c r="H16" i="118"/>
  <c r="I16" i="118"/>
  <c r="H17" i="118"/>
  <c r="I17" i="118"/>
  <c r="H18" i="118"/>
  <c r="I18" i="118"/>
  <c r="H19" i="118"/>
  <c r="I19" i="118"/>
  <c r="H20" i="118"/>
  <c r="I20" i="118"/>
  <c r="H21" i="118"/>
  <c r="I21" i="118"/>
  <c r="H22" i="118"/>
  <c r="I22" i="118"/>
  <c r="C23" i="118"/>
  <c r="E23" i="118"/>
  <c r="G23" i="118"/>
  <c r="H7" i="117"/>
  <c r="H23" i="117" s="1"/>
  <c r="I7" i="117"/>
  <c r="H8" i="117"/>
  <c r="I8" i="117"/>
  <c r="H9" i="117"/>
  <c r="I9" i="117"/>
  <c r="H10" i="117"/>
  <c r="I10" i="117"/>
  <c r="H11" i="117"/>
  <c r="I11" i="117"/>
  <c r="H12" i="117"/>
  <c r="I12" i="117"/>
  <c r="H13" i="117"/>
  <c r="I13" i="117"/>
  <c r="H14" i="117"/>
  <c r="I14" i="117"/>
  <c r="H15" i="117"/>
  <c r="I15" i="117"/>
  <c r="H16" i="117"/>
  <c r="I16" i="117"/>
  <c r="H17" i="117"/>
  <c r="I17" i="117"/>
  <c r="H18" i="117"/>
  <c r="I18" i="117"/>
  <c r="H19" i="117"/>
  <c r="I19" i="117"/>
  <c r="H20" i="117"/>
  <c r="I20" i="117"/>
  <c r="H21" i="117"/>
  <c r="I21" i="117"/>
  <c r="H22" i="117"/>
  <c r="I22" i="117"/>
  <c r="C23" i="117"/>
  <c r="E23" i="117"/>
  <c r="G23" i="117"/>
  <c r="H7" i="116"/>
  <c r="H23" i="116" s="1"/>
  <c r="I7" i="116"/>
  <c r="H8" i="116"/>
  <c r="I8" i="116"/>
  <c r="H9" i="116"/>
  <c r="I9" i="116"/>
  <c r="H10" i="116"/>
  <c r="I10" i="116"/>
  <c r="H11" i="116"/>
  <c r="I11" i="116"/>
  <c r="H12" i="116"/>
  <c r="I12" i="116"/>
  <c r="H13" i="116"/>
  <c r="I13" i="116"/>
  <c r="C14" i="116"/>
  <c r="C14" i="114" s="1"/>
  <c r="H14" i="116"/>
  <c r="I14" i="116"/>
  <c r="H15" i="116"/>
  <c r="I15" i="116"/>
  <c r="H16" i="116"/>
  <c r="I16" i="116"/>
  <c r="H17" i="116"/>
  <c r="I17" i="116"/>
  <c r="H18" i="116"/>
  <c r="I18" i="116"/>
  <c r="H19" i="116"/>
  <c r="I19" i="116"/>
  <c r="H20" i="116"/>
  <c r="I20" i="116"/>
  <c r="H21" i="116"/>
  <c r="I21" i="116"/>
  <c r="H22" i="116"/>
  <c r="I22" i="116"/>
  <c r="E23" i="116"/>
  <c r="G23" i="116"/>
  <c r="B7" i="115"/>
  <c r="B23" i="115" s="1"/>
  <c r="E7" i="115"/>
  <c r="G7" i="115"/>
  <c r="B8" i="115"/>
  <c r="C8" i="115"/>
  <c r="D8" i="115"/>
  <c r="E8" i="115"/>
  <c r="F8" i="115"/>
  <c r="G8" i="115"/>
  <c r="B9" i="115"/>
  <c r="C9" i="115"/>
  <c r="D9" i="115"/>
  <c r="E9" i="115"/>
  <c r="F9" i="115"/>
  <c r="G9" i="115"/>
  <c r="B10" i="115"/>
  <c r="C10" i="115"/>
  <c r="D10" i="115"/>
  <c r="E10" i="115"/>
  <c r="F10" i="115"/>
  <c r="G10" i="115"/>
  <c r="B11" i="115"/>
  <c r="C11" i="115"/>
  <c r="D11" i="115"/>
  <c r="E11" i="115"/>
  <c r="F11" i="115"/>
  <c r="G11" i="115"/>
  <c r="B12" i="115"/>
  <c r="C12" i="115"/>
  <c r="E12" i="115"/>
  <c r="G12" i="115"/>
  <c r="B13" i="115"/>
  <c r="C13" i="115"/>
  <c r="D13" i="115"/>
  <c r="E13" i="115"/>
  <c r="F13" i="115"/>
  <c r="H13" i="115" s="1"/>
  <c r="G13" i="115"/>
  <c r="B14" i="115"/>
  <c r="D14" i="115"/>
  <c r="E14" i="115"/>
  <c r="F14" i="115"/>
  <c r="G14" i="115"/>
  <c r="B15" i="115"/>
  <c r="C15" i="115"/>
  <c r="D15" i="115"/>
  <c r="E15" i="115"/>
  <c r="F15" i="115"/>
  <c r="G15" i="115"/>
  <c r="B16" i="115"/>
  <c r="C16" i="115"/>
  <c r="E16" i="115"/>
  <c r="G16" i="115"/>
  <c r="B17" i="115"/>
  <c r="C17" i="115"/>
  <c r="D17" i="115"/>
  <c r="E17" i="115"/>
  <c r="F17" i="115"/>
  <c r="G17" i="115"/>
  <c r="I17" i="115" s="1"/>
  <c r="B18" i="115"/>
  <c r="C18" i="115"/>
  <c r="D18" i="115"/>
  <c r="E18" i="115"/>
  <c r="F18" i="115"/>
  <c r="G18" i="115"/>
  <c r="B19" i="115"/>
  <c r="C19" i="115"/>
  <c r="D19" i="115"/>
  <c r="E19" i="115"/>
  <c r="F19" i="115"/>
  <c r="G19" i="115"/>
  <c r="B20" i="115"/>
  <c r="C20" i="115"/>
  <c r="D20" i="115"/>
  <c r="E20" i="115"/>
  <c r="F20" i="115"/>
  <c r="G20" i="115"/>
  <c r="B21" i="115"/>
  <c r="C21" i="115"/>
  <c r="D21" i="115"/>
  <c r="E21" i="115"/>
  <c r="F21" i="115"/>
  <c r="G21" i="115"/>
  <c r="I21" i="115" s="1"/>
  <c r="B22" i="115"/>
  <c r="C22" i="115"/>
  <c r="D22" i="115"/>
  <c r="E22" i="115"/>
  <c r="F22" i="115"/>
  <c r="G22" i="115"/>
  <c r="C7" i="114"/>
  <c r="E7" i="114"/>
  <c r="G7" i="114"/>
  <c r="B8" i="114"/>
  <c r="C8" i="114"/>
  <c r="D8" i="114"/>
  <c r="E8" i="114"/>
  <c r="F8" i="114"/>
  <c r="G8" i="114"/>
  <c r="B9" i="114"/>
  <c r="C9" i="114"/>
  <c r="D9" i="114"/>
  <c r="E9" i="114"/>
  <c r="F9" i="114"/>
  <c r="G9" i="114"/>
  <c r="B10" i="114"/>
  <c r="C10" i="114"/>
  <c r="D10" i="114"/>
  <c r="E10" i="114"/>
  <c r="F10" i="114"/>
  <c r="G10" i="114"/>
  <c r="B11" i="114"/>
  <c r="C11" i="114"/>
  <c r="D11" i="114"/>
  <c r="E11" i="114"/>
  <c r="F11" i="114"/>
  <c r="G11" i="114"/>
  <c r="B12" i="114"/>
  <c r="C12" i="114"/>
  <c r="D12" i="114"/>
  <c r="E12" i="114"/>
  <c r="G12" i="114"/>
  <c r="B13" i="114"/>
  <c r="C13" i="114"/>
  <c r="D13" i="114"/>
  <c r="E13" i="114"/>
  <c r="I13" i="114" s="1"/>
  <c r="F13" i="114"/>
  <c r="G13" i="114"/>
  <c r="B14" i="114"/>
  <c r="D14" i="114"/>
  <c r="F14" i="114"/>
  <c r="G14" i="114"/>
  <c r="B15" i="114"/>
  <c r="C15" i="114"/>
  <c r="D15" i="114"/>
  <c r="E15" i="114"/>
  <c r="F15" i="114"/>
  <c r="G15" i="114"/>
  <c r="B16" i="114"/>
  <c r="C16" i="114"/>
  <c r="D16" i="114"/>
  <c r="E16" i="114"/>
  <c r="G16" i="114"/>
  <c r="B17" i="114"/>
  <c r="C17" i="114"/>
  <c r="D17" i="114"/>
  <c r="E17" i="114"/>
  <c r="F17" i="114"/>
  <c r="G17" i="114"/>
  <c r="B18" i="114"/>
  <c r="C18" i="114"/>
  <c r="D18" i="114"/>
  <c r="E18" i="114"/>
  <c r="F18" i="114"/>
  <c r="G18" i="114"/>
  <c r="B19" i="114"/>
  <c r="C19" i="114"/>
  <c r="D19" i="114"/>
  <c r="E19" i="114"/>
  <c r="F19" i="114"/>
  <c r="G19" i="114"/>
  <c r="B20" i="114"/>
  <c r="C20" i="114"/>
  <c r="D20" i="114"/>
  <c r="E20" i="114"/>
  <c r="F20" i="114"/>
  <c r="G20" i="114"/>
  <c r="B21" i="114"/>
  <c r="C21" i="114"/>
  <c r="D21" i="114"/>
  <c r="E21" i="114"/>
  <c r="F21" i="114"/>
  <c r="G21" i="114"/>
  <c r="B22" i="114"/>
  <c r="C22" i="114"/>
  <c r="D22" i="114"/>
  <c r="E22" i="114"/>
  <c r="F22" i="114"/>
  <c r="G22" i="114"/>
  <c r="B11" i="113"/>
  <c r="C11" i="113"/>
  <c r="D11" i="113"/>
  <c r="E11" i="113"/>
  <c r="F11" i="113"/>
  <c r="G11" i="113"/>
  <c r="H11" i="113"/>
  <c r="I11" i="113"/>
  <c r="J11" i="113"/>
  <c r="L11" i="113"/>
  <c r="M11" i="113"/>
  <c r="N11" i="113"/>
  <c r="O11" i="113"/>
  <c r="P11" i="113"/>
  <c r="Q11" i="113"/>
  <c r="R11" i="113"/>
  <c r="S11" i="113"/>
  <c r="T11" i="113"/>
  <c r="U11" i="113"/>
  <c r="W11" i="113"/>
  <c r="K15" i="113"/>
  <c r="V15" i="113"/>
  <c r="K16" i="113"/>
  <c r="V16" i="113"/>
  <c r="K17" i="113"/>
  <c r="V17" i="113"/>
  <c r="K18" i="113"/>
  <c r="V18" i="113"/>
  <c r="K19" i="113"/>
  <c r="V19" i="113"/>
  <c r="B20" i="113"/>
  <c r="C20" i="113"/>
  <c r="D20" i="113"/>
  <c r="E20" i="113"/>
  <c r="F20" i="113"/>
  <c r="G20" i="113"/>
  <c r="H20" i="113"/>
  <c r="I20" i="113"/>
  <c r="J20" i="113"/>
  <c r="L20" i="113"/>
  <c r="M20" i="113"/>
  <c r="N20" i="113"/>
  <c r="O20" i="113"/>
  <c r="P20" i="113"/>
  <c r="Q20" i="113"/>
  <c r="R20" i="113"/>
  <c r="S20" i="113"/>
  <c r="T20" i="113"/>
  <c r="U20" i="113"/>
  <c r="W20" i="113"/>
  <c r="K21" i="113"/>
  <c r="V21" i="113"/>
  <c r="K22" i="113"/>
  <c r="V22" i="113"/>
  <c r="K23" i="113"/>
  <c r="V23" i="113"/>
  <c r="K24" i="113"/>
  <c r="V24" i="113"/>
  <c r="K25" i="113"/>
  <c r="V25" i="113"/>
  <c r="K26" i="113"/>
  <c r="V26" i="113"/>
  <c r="B27" i="113"/>
  <c r="C27" i="113"/>
  <c r="D27" i="113"/>
  <c r="E27" i="113"/>
  <c r="F27" i="113"/>
  <c r="G27" i="113"/>
  <c r="H27" i="113"/>
  <c r="I27" i="113"/>
  <c r="J27" i="113"/>
  <c r="L27" i="113"/>
  <c r="M27" i="113"/>
  <c r="N27" i="113"/>
  <c r="O27" i="113"/>
  <c r="P27" i="113"/>
  <c r="Q27" i="113"/>
  <c r="R27" i="113"/>
  <c r="S27" i="113"/>
  <c r="T27" i="113"/>
  <c r="U27" i="113"/>
  <c r="W27" i="113"/>
  <c r="K28" i="113"/>
  <c r="V28" i="113"/>
  <c r="K29" i="113"/>
  <c r="V29" i="113"/>
  <c r="K30" i="113"/>
  <c r="V30" i="113"/>
  <c r="K31" i="113"/>
  <c r="V31" i="113"/>
  <c r="K32" i="113"/>
  <c r="V32" i="113"/>
  <c r="K33" i="113"/>
  <c r="V33" i="113"/>
  <c r="B34" i="113"/>
  <c r="C34" i="113"/>
  <c r="D34" i="113"/>
  <c r="E34" i="113"/>
  <c r="F34" i="113"/>
  <c r="G34" i="113"/>
  <c r="H34" i="113"/>
  <c r="I34" i="113"/>
  <c r="J34" i="113"/>
  <c r="L34" i="113"/>
  <c r="M34" i="113"/>
  <c r="N34" i="113"/>
  <c r="O34" i="113"/>
  <c r="P34" i="113"/>
  <c r="Q34" i="113"/>
  <c r="R34" i="113"/>
  <c r="S34" i="113"/>
  <c r="T34" i="113"/>
  <c r="U34" i="113"/>
  <c r="W34" i="113"/>
  <c r="K35" i="113"/>
  <c r="V35" i="113"/>
  <c r="K36" i="113"/>
  <c r="V36" i="113"/>
  <c r="K37" i="113"/>
  <c r="V37" i="113"/>
  <c r="K38" i="113"/>
  <c r="V38" i="113"/>
  <c r="K39" i="113"/>
  <c r="V39" i="113"/>
  <c r="K40" i="113"/>
  <c r="V40" i="113"/>
  <c r="D42" i="113"/>
  <c r="E42" i="113"/>
  <c r="F42" i="113"/>
  <c r="G42" i="113"/>
  <c r="H42" i="113"/>
  <c r="I42" i="113"/>
  <c r="J42" i="113"/>
  <c r="L42" i="113"/>
  <c r="M42" i="113"/>
  <c r="N42" i="113"/>
  <c r="O42" i="113"/>
  <c r="P42" i="113"/>
  <c r="Q42" i="113"/>
  <c r="R42" i="113"/>
  <c r="S42" i="113"/>
  <c r="T42" i="113"/>
  <c r="U42" i="113"/>
  <c r="W42" i="113"/>
  <c r="K43" i="113"/>
  <c r="V43" i="113"/>
  <c r="K44" i="113"/>
  <c r="V44" i="113"/>
  <c r="K45" i="113"/>
  <c r="V45" i="113"/>
  <c r="D50" i="113"/>
  <c r="E50" i="113"/>
  <c r="F50" i="113"/>
  <c r="G50" i="113"/>
  <c r="H50" i="113"/>
  <c r="I50" i="113"/>
  <c r="J50" i="113"/>
  <c r="L50" i="113"/>
  <c r="O50" i="113"/>
  <c r="P50" i="113"/>
  <c r="Q50" i="113"/>
  <c r="R50" i="113"/>
  <c r="S50" i="113"/>
  <c r="T50" i="113"/>
  <c r="U50" i="113"/>
  <c r="V50" i="113"/>
  <c r="W50" i="113"/>
  <c r="K51" i="113"/>
  <c r="K50" i="113" s="1"/>
  <c r="W53" i="113"/>
  <c r="B12" i="112"/>
  <c r="C12" i="112"/>
  <c r="D12" i="112"/>
  <c r="E12" i="112"/>
  <c r="F12" i="112"/>
  <c r="G12" i="112"/>
  <c r="H12" i="112"/>
  <c r="I12" i="112"/>
  <c r="J12" i="112"/>
  <c r="L12" i="112"/>
  <c r="M12" i="112"/>
  <c r="N12" i="112"/>
  <c r="O12" i="112"/>
  <c r="P12" i="112"/>
  <c r="Q12" i="112"/>
  <c r="R12" i="112"/>
  <c r="S12" i="112"/>
  <c r="T12" i="112"/>
  <c r="U12" i="112"/>
  <c r="W12" i="112"/>
  <c r="K16" i="112"/>
  <c r="V16" i="112"/>
  <c r="K17" i="112"/>
  <c r="V17" i="112"/>
  <c r="K18" i="112"/>
  <c r="V18" i="112"/>
  <c r="K19" i="112"/>
  <c r="V19" i="112"/>
  <c r="K20" i="112"/>
  <c r="V20" i="112"/>
  <c r="B21" i="112"/>
  <c r="C21" i="112"/>
  <c r="D21" i="112"/>
  <c r="E21" i="112"/>
  <c r="F21" i="112"/>
  <c r="G21" i="112"/>
  <c r="H21" i="112"/>
  <c r="I21" i="112"/>
  <c r="J21" i="112"/>
  <c r="L21" i="112"/>
  <c r="M21" i="112"/>
  <c r="N21" i="112"/>
  <c r="O21" i="112"/>
  <c r="P21" i="112"/>
  <c r="Q21" i="112"/>
  <c r="R21" i="112"/>
  <c r="S21" i="112"/>
  <c r="T21" i="112"/>
  <c r="U21" i="112"/>
  <c r="W21" i="112"/>
  <c r="K22" i="112"/>
  <c r="V22" i="112"/>
  <c r="K23" i="112"/>
  <c r="V23" i="112"/>
  <c r="K24" i="112"/>
  <c r="V24" i="112"/>
  <c r="K25" i="112"/>
  <c r="V25" i="112"/>
  <c r="K26" i="112"/>
  <c r="V26" i="112"/>
  <c r="K27" i="112"/>
  <c r="V27" i="112"/>
  <c r="B28" i="112"/>
  <c r="C28" i="112"/>
  <c r="D28" i="112"/>
  <c r="E28" i="112"/>
  <c r="F28" i="112"/>
  <c r="G28" i="112"/>
  <c r="H28" i="112"/>
  <c r="I28" i="112"/>
  <c r="J28" i="112"/>
  <c r="L28" i="112"/>
  <c r="M28" i="112"/>
  <c r="N28" i="112"/>
  <c r="O28" i="112"/>
  <c r="P28" i="112"/>
  <c r="Q28" i="112"/>
  <c r="R28" i="112"/>
  <c r="S28" i="112"/>
  <c r="T28" i="112"/>
  <c r="U28" i="112"/>
  <c r="W28" i="112"/>
  <c r="K29" i="112"/>
  <c r="V29" i="112"/>
  <c r="K30" i="112"/>
  <c r="V30" i="112"/>
  <c r="K31" i="112"/>
  <c r="V31" i="112"/>
  <c r="K32" i="112"/>
  <c r="V32" i="112"/>
  <c r="K33" i="112"/>
  <c r="V33" i="112"/>
  <c r="K34" i="112"/>
  <c r="V34" i="112"/>
  <c r="B35" i="112"/>
  <c r="C35" i="112"/>
  <c r="D35" i="112"/>
  <c r="E35" i="112"/>
  <c r="F35" i="112"/>
  <c r="G35" i="112"/>
  <c r="H35" i="112"/>
  <c r="I35" i="112"/>
  <c r="J35" i="112"/>
  <c r="L35" i="112"/>
  <c r="M35" i="112"/>
  <c r="N35" i="112"/>
  <c r="O35" i="112"/>
  <c r="P35" i="112"/>
  <c r="Q35" i="112"/>
  <c r="R35" i="112"/>
  <c r="S35" i="112"/>
  <c r="T35" i="112"/>
  <c r="U35" i="112"/>
  <c r="W35" i="112"/>
  <c r="K36" i="112"/>
  <c r="V36" i="112"/>
  <c r="K37" i="112"/>
  <c r="V37" i="112"/>
  <c r="K38" i="112"/>
  <c r="V38" i="112"/>
  <c r="K39" i="112"/>
  <c r="V39" i="112"/>
  <c r="K40" i="112"/>
  <c r="V40" i="112"/>
  <c r="K41" i="112"/>
  <c r="V41" i="112"/>
  <c r="E43" i="112"/>
  <c r="F43" i="112"/>
  <c r="G43" i="112"/>
  <c r="H43" i="112"/>
  <c r="I43" i="112"/>
  <c r="J43" i="112"/>
  <c r="M43" i="112"/>
  <c r="N43" i="112"/>
  <c r="P43" i="112"/>
  <c r="Q43" i="112"/>
  <c r="R43" i="112"/>
  <c r="S43" i="112"/>
  <c r="T43" i="112"/>
  <c r="U43" i="112"/>
  <c r="D44" i="112"/>
  <c r="K44" i="112" s="1"/>
  <c r="L44" i="112"/>
  <c r="L43" i="112" s="1"/>
  <c r="O44" i="112"/>
  <c r="O43" i="112" s="1"/>
  <c r="V44" i="112"/>
  <c r="V43" i="112" s="1"/>
  <c r="L366" i="92" s="1"/>
  <c r="W44" i="112"/>
  <c r="W43" i="112" s="1"/>
  <c r="K45" i="112"/>
  <c r="V45" i="112"/>
  <c r="K46" i="112"/>
  <c r="V46" i="112"/>
  <c r="D51" i="112"/>
  <c r="E51" i="112"/>
  <c r="F51" i="112"/>
  <c r="G51" i="112"/>
  <c r="H51" i="112"/>
  <c r="I51" i="112"/>
  <c r="J51" i="112"/>
  <c r="L51" i="112"/>
  <c r="O51" i="112"/>
  <c r="P51" i="112"/>
  <c r="Q51" i="112"/>
  <c r="R51" i="112"/>
  <c r="S51" i="112"/>
  <c r="T51" i="112"/>
  <c r="U51" i="112"/>
  <c r="V51" i="112"/>
  <c r="W51" i="112"/>
  <c r="K52" i="112"/>
  <c r="K51" i="112" s="1"/>
  <c r="W54" i="112"/>
  <c r="B11" i="111"/>
  <c r="C11" i="111"/>
  <c r="D11" i="111"/>
  <c r="E11" i="111"/>
  <c r="F11" i="111"/>
  <c r="G11" i="111"/>
  <c r="H11" i="111"/>
  <c r="I11" i="111"/>
  <c r="J11" i="111"/>
  <c r="L11" i="111"/>
  <c r="M11" i="111"/>
  <c r="N11" i="111"/>
  <c r="O11" i="111"/>
  <c r="P11" i="111"/>
  <c r="Q11" i="111"/>
  <c r="R11" i="111"/>
  <c r="S11" i="111"/>
  <c r="T11" i="111"/>
  <c r="U11" i="111"/>
  <c r="W11" i="111"/>
  <c r="K15" i="111"/>
  <c r="V15" i="111"/>
  <c r="K16" i="111"/>
  <c r="V16" i="111"/>
  <c r="K17" i="111"/>
  <c r="V17" i="111"/>
  <c r="K18" i="111"/>
  <c r="V18" i="111"/>
  <c r="K19" i="111"/>
  <c r="V19" i="111"/>
  <c r="B20" i="111"/>
  <c r="C20" i="111"/>
  <c r="D20" i="111"/>
  <c r="E20" i="111"/>
  <c r="F20" i="111"/>
  <c r="G20" i="111"/>
  <c r="H20" i="111"/>
  <c r="I20" i="111"/>
  <c r="J20" i="111"/>
  <c r="L20" i="111"/>
  <c r="M20" i="111"/>
  <c r="N20" i="111"/>
  <c r="O20" i="111"/>
  <c r="P20" i="111"/>
  <c r="Q20" i="111"/>
  <c r="R20" i="111"/>
  <c r="S20" i="111"/>
  <c r="T20" i="111"/>
  <c r="U20" i="111"/>
  <c r="W20" i="111"/>
  <c r="K21" i="111"/>
  <c r="V21" i="111"/>
  <c r="K22" i="111"/>
  <c r="V22" i="111"/>
  <c r="K23" i="111"/>
  <c r="V23" i="111"/>
  <c r="K24" i="111"/>
  <c r="V24" i="111"/>
  <c r="K25" i="111"/>
  <c r="V25" i="111"/>
  <c r="K26" i="111"/>
  <c r="V26" i="111"/>
  <c r="B27" i="111"/>
  <c r="C27" i="111"/>
  <c r="D27" i="111"/>
  <c r="E27" i="111"/>
  <c r="F27" i="111"/>
  <c r="G27" i="111"/>
  <c r="H27" i="111"/>
  <c r="I27" i="111"/>
  <c r="J27" i="111"/>
  <c r="L27" i="111"/>
  <c r="M27" i="111"/>
  <c r="N27" i="111"/>
  <c r="O27" i="111"/>
  <c r="P27" i="111"/>
  <c r="Q27" i="111"/>
  <c r="R27" i="111"/>
  <c r="S27" i="111"/>
  <c r="T27" i="111"/>
  <c r="U27" i="111"/>
  <c r="W27" i="111"/>
  <c r="K28" i="111"/>
  <c r="V28" i="111"/>
  <c r="K29" i="111"/>
  <c r="V29" i="111"/>
  <c r="K30" i="111"/>
  <c r="V30" i="111"/>
  <c r="K31" i="111"/>
  <c r="V31" i="111"/>
  <c r="K32" i="111"/>
  <c r="V32" i="111"/>
  <c r="K33" i="111"/>
  <c r="V33" i="111"/>
  <c r="B34" i="111"/>
  <c r="C34" i="111"/>
  <c r="D34" i="111"/>
  <c r="E34" i="111"/>
  <c r="F34" i="111"/>
  <c r="G34" i="111"/>
  <c r="H34" i="111"/>
  <c r="I34" i="111"/>
  <c r="J34" i="111"/>
  <c r="L34" i="111"/>
  <c r="M34" i="111"/>
  <c r="N34" i="111"/>
  <c r="O34" i="111"/>
  <c r="P34" i="111"/>
  <c r="Q34" i="111"/>
  <c r="R34" i="111"/>
  <c r="S34" i="111"/>
  <c r="T34" i="111"/>
  <c r="U34" i="111"/>
  <c r="W34" i="111"/>
  <c r="K35" i="111"/>
  <c r="V35" i="111"/>
  <c r="K36" i="111"/>
  <c r="V36" i="111"/>
  <c r="K37" i="111"/>
  <c r="V37" i="111"/>
  <c r="K38" i="111"/>
  <c r="V38" i="111"/>
  <c r="K39" i="111"/>
  <c r="V39" i="111"/>
  <c r="K40" i="111"/>
  <c r="V40" i="111"/>
  <c r="D42" i="111"/>
  <c r="E42" i="111"/>
  <c r="F42" i="111"/>
  <c r="G42" i="111"/>
  <c r="H42" i="111"/>
  <c r="I42" i="111"/>
  <c r="J42" i="111"/>
  <c r="L42" i="111"/>
  <c r="M42" i="111"/>
  <c r="N42" i="111"/>
  <c r="O42" i="111"/>
  <c r="P42" i="111"/>
  <c r="Q42" i="111"/>
  <c r="R42" i="111"/>
  <c r="S42" i="111"/>
  <c r="T42" i="111"/>
  <c r="U42" i="111"/>
  <c r="W42" i="111"/>
  <c r="K43" i="111"/>
  <c r="V43" i="111"/>
  <c r="K44" i="111"/>
  <c r="V44" i="111"/>
  <c r="K45" i="111"/>
  <c r="V45" i="111"/>
  <c r="D50" i="111"/>
  <c r="E50" i="111"/>
  <c r="F50" i="111"/>
  <c r="G50" i="111"/>
  <c r="H50" i="111"/>
  <c r="I50" i="111"/>
  <c r="J50" i="111"/>
  <c r="L50" i="111"/>
  <c r="O50" i="111"/>
  <c r="P50" i="111"/>
  <c r="Q50" i="111"/>
  <c r="R50" i="111"/>
  <c r="S50" i="111"/>
  <c r="T50" i="111"/>
  <c r="U50" i="111"/>
  <c r="V50" i="111"/>
  <c r="W50" i="111"/>
  <c r="K51" i="111"/>
  <c r="K50" i="111" s="1"/>
  <c r="W53" i="111"/>
  <c r="B11" i="110"/>
  <c r="C11" i="110"/>
  <c r="D11" i="110"/>
  <c r="E11" i="110"/>
  <c r="F11" i="110"/>
  <c r="G11" i="110"/>
  <c r="H11" i="110"/>
  <c r="I11" i="110"/>
  <c r="J11" i="110"/>
  <c r="L11" i="110"/>
  <c r="M11" i="110"/>
  <c r="N11" i="110"/>
  <c r="O11" i="110"/>
  <c r="P11" i="110"/>
  <c r="Q11" i="110"/>
  <c r="R11" i="110"/>
  <c r="S11" i="110"/>
  <c r="T11" i="110"/>
  <c r="U11" i="110"/>
  <c r="W11" i="110"/>
  <c r="K15" i="110"/>
  <c r="V15" i="110"/>
  <c r="K16" i="110"/>
  <c r="V16" i="110"/>
  <c r="K17" i="110"/>
  <c r="V17" i="110"/>
  <c r="K18" i="110"/>
  <c r="V18" i="110"/>
  <c r="K19" i="110"/>
  <c r="V19" i="110"/>
  <c r="B20" i="110"/>
  <c r="C20" i="110"/>
  <c r="D20" i="110"/>
  <c r="E20" i="110"/>
  <c r="F20" i="110"/>
  <c r="G20" i="110"/>
  <c r="H20" i="110"/>
  <c r="I20" i="110"/>
  <c r="J20" i="110"/>
  <c r="L20" i="110"/>
  <c r="M20" i="110"/>
  <c r="N20" i="110"/>
  <c r="O20" i="110"/>
  <c r="P20" i="110"/>
  <c r="Q20" i="110"/>
  <c r="R20" i="110"/>
  <c r="S20" i="110"/>
  <c r="T20" i="110"/>
  <c r="U20" i="110"/>
  <c r="W20" i="110"/>
  <c r="K21" i="110"/>
  <c r="V21" i="110"/>
  <c r="K22" i="110"/>
  <c r="V22" i="110"/>
  <c r="K23" i="110"/>
  <c r="V23" i="110"/>
  <c r="K24" i="110"/>
  <c r="V24" i="110"/>
  <c r="K25" i="110"/>
  <c r="V25" i="110"/>
  <c r="K26" i="110"/>
  <c r="V26" i="110"/>
  <c r="B27" i="110"/>
  <c r="C27" i="110"/>
  <c r="D27" i="110"/>
  <c r="E27" i="110"/>
  <c r="F27" i="110"/>
  <c r="G27" i="110"/>
  <c r="H27" i="110"/>
  <c r="I27" i="110"/>
  <c r="J27" i="110"/>
  <c r="L27" i="110"/>
  <c r="M27" i="110"/>
  <c r="N27" i="110"/>
  <c r="O27" i="110"/>
  <c r="P27" i="110"/>
  <c r="Q27" i="110"/>
  <c r="R27" i="110"/>
  <c r="S27" i="110"/>
  <c r="T27" i="110"/>
  <c r="U27" i="110"/>
  <c r="W27" i="110"/>
  <c r="K28" i="110"/>
  <c r="V28" i="110"/>
  <c r="K29" i="110"/>
  <c r="V29" i="110"/>
  <c r="K30" i="110"/>
  <c r="V30" i="110"/>
  <c r="K31" i="110"/>
  <c r="V31" i="110"/>
  <c r="K32" i="110"/>
  <c r="V32" i="110"/>
  <c r="K33" i="110"/>
  <c r="V33" i="110"/>
  <c r="B34" i="110"/>
  <c r="C34" i="110"/>
  <c r="D34" i="110"/>
  <c r="E34" i="110"/>
  <c r="F34" i="110"/>
  <c r="G34" i="110"/>
  <c r="H34" i="110"/>
  <c r="I34" i="110"/>
  <c r="J34" i="110"/>
  <c r="L34" i="110"/>
  <c r="M34" i="110"/>
  <c r="N34" i="110"/>
  <c r="O34" i="110"/>
  <c r="P34" i="110"/>
  <c r="Q34" i="110"/>
  <c r="R34" i="110"/>
  <c r="S34" i="110"/>
  <c r="T34" i="110"/>
  <c r="U34" i="110"/>
  <c r="W34" i="110"/>
  <c r="K35" i="110"/>
  <c r="V35" i="110"/>
  <c r="K36" i="110"/>
  <c r="V36" i="110"/>
  <c r="K37" i="110"/>
  <c r="V37" i="110"/>
  <c r="K38" i="110"/>
  <c r="V38" i="110"/>
  <c r="K39" i="110"/>
  <c r="V39" i="110"/>
  <c r="K40" i="110"/>
  <c r="V40" i="110"/>
  <c r="E42" i="110"/>
  <c r="F42" i="110"/>
  <c r="G42" i="110"/>
  <c r="H42" i="110"/>
  <c r="I42" i="110"/>
  <c r="J42" i="110"/>
  <c r="M42" i="110"/>
  <c r="N42" i="110"/>
  <c r="P42" i="110"/>
  <c r="Q42" i="110"/>
  <c r="R42" i="110"/>
  <c r="S42" i="110"/>
  <c r="T42" i="110"/>
  <c r="U42" i="110"/>
  <c r="D43" i="110"/>
  <c r="D42" i="110" s="1"/>
  <c r="L43" i="110"/>
  <c r="L42" i="110" s="1"/>
  <c r="O43" i="110"/>
  <c r="V43" i="110" s="1"/>
  <c r="W43" i="110"/>
  <c r="W42" i="110" s="1"/>
  <c r="K44" i="110"/>
  <c r="V44" i="110"/>
  <c r="K45" i="110"/>
  <c r="V45" i="110"/>
  <c r="W53" i="110"/>
  <c r="B11" i="109"/>
  <c r="C11" i="109"/>
  <c r="D11" i="109"/>
  <c r="E11" i="109"/>
  <c r="F11" i="109"/>
  <c r="G11" i="109"/>
  <c r="H11" i="109"/>
  <c r="I11" i="109"/>
  <c r="J11" i="109"/>
  <c r="L11" i="109"/>
  <c r="M11" i="109"/>
  <c r="N11" i="109"/>
  <c r="O11" i="109"/>
  <c r="P11" i="109"/>
  <c r="Q11" i="109"/>
  <c r="R11" i="109"/>
  <c r="S11" i="109"/>
  <c r="T11" i="109"/>
  <c r="U11" i="109"/>
  <c r="W11" i="109"/>
  <c r="K15" i="109"/>
  <c r="V15" i="109"/>
  <c r="K16" i="109"/>
  <c r="V16" i="109"/>
  <c r="K17" i="109"/>
  <c r="V17" i="109"/>
  <c r="K18" i="109"/>
  <c r="V18" i="109"/>
  <c r="K19" i="109"/>
  <c r="V19" i="109"/>
  <c r="B20" i="109"/>
  <c r="C20" i="109"/>
  <c r="D20" i="109"/>
  <c r="E20" i="109"/>
  <c r="F20" i="109"/>
  <c r="G20" i="109"/>
  <c r="H20" i="109"/>
  <c r="I20" i="109"/>
  <c r="J20" i="109"/>
  <c r="L20" i="109"/>
  <c r="M20" i="109"/>
  <c r="N20" i="109"/>
  <c r="O20" i="109"/>
  <c r="P20" i="109"/>
  <c r="Q20" i="109"/>
  <c r="R20" i="109"/>
  <c r="S20" i="109"/>
  <c r="T20" i="109"/>
  <c r="U20" i="109"/>
  <c r="W20" i="109"/>
  <c r="K21" i="109"/>
  <c r="V21" i="109"/>
  <c r="K22" i="109"/>
  <c r="V22" i="109"/>
  <c r="K23" i="109"/>
  <c r="V23" i="109"/>
  <c r="K24" i="109"/>
  <c r="V24" i="109"/>
  <c r="K25" i="109"/>
  <c r="V25" i="109"/>
  <c r="K26" i="109"/>
  <c r="V26" i="109"/>
  <c r="B27" i="109"/>
  <c r="C27" i="109"/>
  <c r="D27" i="109"/>
  <c r="E27" i="109"/>
  <c r="F27" i="109"/>
  <c r="G27" i="109"/>
  <c r="H27" i="109"/>
  <c r="I27" i="109"/>
  <c r="J27" i="109"/>
  <c r="L27" i="109"/>
  <c r="M27" i="109"/>
  <c r="N27" i="109"/>
  <c r="O27" i="109"/>
  <c r="P27" i="109"/>
  <c r="Q27" i="109"/>
  <c r="R27" i="109"/>
  <c r="S27" i="109"/>
  <c r="T27" i="109"/>
  <c r="U27" i="109"/>
  <c r="W27" i="109"/>
  <c r="K28" i="109"/>
  <c r="V28" i="109"/>
  <c r="K29" i="109"/>
  <c r="V29" i="109"/>
  <c r="K30" i="109"/>
  <c r="V30" i="109"/>
  <c r="K31" i="109"/>
  <c r="V31" i="109"/>
  <c r="K32" i="109"/>
  <c r="V32" i="109"/>
  <c r="K33" i="109"/>
  <c r="V33" i="109"/>
  <c r="B34" i="109"/>
  <c r="C34" i="109"/>
  <c r="D34" i="109"/>
  <c r="E34" i="109"/>
  <c r="F34" i="109"/>
  <c r="G34" i="109"/>
  <c r="H34" i="109"/>
  <c r="I34" i="109"/>
  <c r="J34" i="109"/>
  <c r="L34" i="109"/>
  <c r="M34" i="109"/>
  <c r="N34" i="109"/>
  <c r="O34" i="109"/>
  <c r="P34" i="109"/>
  <c r="Q34" i="109"/>
  <c r="R34" i="109"/>
  <c r="S34" i="109"/>
  <c r="T34" i="109"/>
  <c r="U34" i="109"/>
  <c r="W34" i="109"/>
  <c r="K35" i="109"/>
  <c r="V35" i="109"/>
  <c r="K36" i="109"/>
  <c r="V36" i="109"/>
  <c r="K37" i="109"/>
  <c r="V37" i="109"/>
  <c r="K38" i="109"/>
  <c r="V38" i="109"/>
  <c r="K39" i="109"/>
  <c r="V39" i="109"/>
  <c r="K40" i="109"/>
  <c r="V40" i="109"/>
  <c r="D42" i="109"/>
  <c r="E42" i="109"/>
  <c r="F42" i="109"/>
  <c r="G42" i="109"/>
  <c r="H42" i="109"/>
  <c r="I42" i="109"/>
  <c r="J42" i="109"/>
  <c r="M42" i="109"/>
  <c r="N42" i="109"/>
  <c r="O42" i="109"/>
  <c r="P42" i="109"/>
  <c r="Q42" i="109"/>
  <c r="R42" i="109"/>
  <c r="S42" i="109"/>
  <c r="T42" i="109"/>
  <c r="U42" i="109"/>
  <c r="K43" i="109"/>
  <c r="L43" i="109"/>
  <c r="L42" i="109" s="1"/>
  <c r="V43" i="109"/>
  <c r="W43" i="109"/>
  <c r="K44" i="109"/>
  <c r="V44" i="109"/>
  <c r="W44" i="109"/>
  <c r="W308" i="93" s="1"/>
  <c r="K45" i="109"/>
  <c r="V45" i="109"/>
  <c r="W53" i="109"/>
  <c r="L55" i="109"/>
  <c r="V55" i="109"/>
  <c r="W55" i="109"/>
  <c r="B11" i="107"/>
  <c r="C11" i="107"/>
  <c r="D11" i="107"/>
  <c r="E11" i="107"/>
  <c r="F11" i="107"/>
  <c r="G11" i="107"/>
  <c r="H11" i="107"/>
  <c r="I11" i="107"/>
  <c r="J11" i="107"/>
  <c r="L11" i="107"/>
  <c r="M11" i="107"/>
  <c r="N11" i="107"/>
  <c r="O11" i="107"/>
  <c r="P11" i="107"/>
  <c r="Q11" i="107"/>
  <c r="R11" i="107"/>
  <c r="S11" i="107"/>
  <c r="T11" i="107"/>
  <c r="U11" i="107"/>
  <c r="K15" i="107"/>
  <c r="V15" i="107"/>
  <c r="K16" i="107"/>
  <c r="V16" i="107"/>
  <c r="W16" i="107"/>
  <c r="W16" i="93" s="1"/>
  <c r="K17" i="107"/>
  <c r="V17" i="107"/>
  <c r="W17" i="107" s="1"/>
  <c r="K18" i="107"/>
  <c r="V18" i="107"/>
  <c r="W18" i="107" s="1"/>
  <c r="K19" i="107"/>
  <c r="V19" i="107"/>
  <c r="W19" i="107"/>
  <c r="B20" i="107"/>
  <c r="C20" i="107"/>
  <c r="D20" i="107"/>
  <c r="E20" i="107"/>
  <c r="F20" i="107"/>
  <c r="G20" i="107"/>
  <c r="H20" i="107"/>
  <c r="I20" i="107"/>
  <c r="J20" i="107"/>
  <c r="L20" i="107"/>
  <c r="M20" i="107"/>
  <c r="N20" i="107"/>
  <c r="O20" i="107"/>
  <c r="P20" i="107"/>
  <c r="Q20" i="107"/>
  <c r="R20" i="107"/>
  <c r="S20" i="107"/>
  <c r="T20" i="107"/>
  <c r="U20" i="107"/>
  <c r="K21" i="107"/>
  <c r="V21" i="107"/>
  <c r="K22" i="107"/>
  <c r="V22" i="107"/>
  <c r="W22" i="107" s="1"/>
  <c r="K23" i="107"/>
  <c r="V23" i="107"/>
  <c r="W23" i="107" s="1"/>
  <c r="K24" i="107"/>
  <c r="V24" i="107"/>
  <c r="W24" i="107" s="1"/>
  <c r="K25" i="107"/>
  <c r="V25" i="107"/>
  <c r="K26" i="107"/>
  <c r="V26" i="107"/>
  <c r="B27" i="107"/>
  <c r="C27" i="107"/>
  <c r="D27" i="107"/>
  <c r="E27" i="107"/>
  <c r="F27" i="107"/>
  <c r="G27" i="107"/>
  <c r="H27" i="107"/>
  <c r="I27" i="107"/>
  <c r="J27" i="107"/>
  <c r="L27" i="107"/>
  <c r="M27" i="107"/>
  <c r="N27" i="107"/>
  <c r="O27" i="107"/>
  <c r="P27" i="107"/>
  <c r="Q27" i="107"/>
  <c r="R27" i="107"/>
  <c r="S27" i="107"/>
  <c r="T27" i="107"/>
  <c r="U27" i="107"/>
  <c r="K28" i="107"/>
  <c r="V28" i="107"/>
  <c r="W28" i="107" s="1"/>
  <c r="K29" i="107"/>
  <c r="V29" i="107"/>
  <c r="W29" i="107" s="1"/>
  <c r="K30" i="107"/>
  <c r="V30" i="107"/>
  <c r="W30" i="107" s="1"/>
  <c r="K31" i="107"/>
  <c r="V31" i="107"/>
  <c r="K32" i="107"/>
  <c r="V32" i="107"/>
  <c r="K33" i="107"/>
  <c r="V33" i="107"/>
  <c r="B34" i="107"/>
  <c r="C34" i="107"/>
  <c r="D34" i="107"/>
  <c r="E34" i="107"/>
  <c r="F34" i="107"/>
  <c r="G34" i="107"/>
  <c r="H34" i="107"/>
  <c r="I34" i="107"/>
  <c r="J34" i="107"/>
  <c r="L34" i="107"/>
  <c r="M34" i="107"/>
  <c r="N34" i="107"/>
  <c r="O34" i="107"/>
  <c r="P34" i="107"/>
  <c r="Q34" i="107"/>
  <c r="R34" i="107"/>
  <c r="S34" i="107"/>
  <c r="T34" i="107"/>
  <c r="U34" i="107"/>
  <c r="K35" i="107"/>
  <c r="V35" i="107"/>
  <c r="K36" i="107"/>
  <c r="V36" i="107"/>
  <c r="K37" i="107"/>
  <c r="V37" i="107"/>
  <c r="W37" i="107" s="1"/>
  <c r="K38" i="107"/>
  <c r="V38" i="107"/>
  <c r="W38" i="107" s="1"/>
  <c r="K39" i="107"/>
  <c r="V39" i="107"/>
  <c r="K40" i="107"/>
  <c r="V40" i="107"/>
  <c r="B42" i="107"/>
  <c r="C42" i="107"/>
  <c r="D42" i="107"/>
  <c r="E42" i="107"/>
  <c r="F42" i="107"/>
  <c r="G42" i="107"/>
  <c r="H42" i="107"/>
  <c r="I42" i="107"/>
  <c r="J42" i="107"/>
  <c r="L42" i="107"/>
  <c r="M42" i="107"/>
  <c r="N42" i="107"/>
  <c r="O42" i="107"/>
  <c r="P42" i="107"/>
  <c r="Q42" i="107"/>
  <c r="R42" i="107"/>
  <c r="S42" i="107"/>
  <c r="T42" i="107"/>
  <c r="U42" i="107"/>
  <c r="W42" i="107"/>
  <c r="K43" i="107"/>
  <c r="K42" i="107" s="1"/>
  <c r="V43" i="107"/>
  <c r="V44" i="107"/>
  <c r="V45" i="107"/>
  <c r="K47" i="107"/>
  <c r="V47" i="107"/>
  <c r="K48" i="107"/>
  <c r="V48" i="107"/>
  <c r="K49" i="107"/>
  <c r="V49" i="107"/>
  <c r="B51" i="107"/>
  <c r="B50" i="107" s="1"/>
  <c r="C51" i="107"/>
  <c r="C50" i="107" s="1"/>
  <c r="D51" i="107"/>
  <c r="D50" i="107" s="1"/>
  <c r="E51" i="107"/>
  <c r="E50" i="107" s="1"/>
  <c r="F51" i="107"/>
  <c r="F50" i="107" s="1"/>
  <c r="G51" i="107"/>
  <c r="G50" i="107" s="1"/>
  <c r="H51" i="107"/>
  <c r="H50" i="107" s="1"/>
  <c r="I51" i="107"/>
  <c r="I50" i="107" s="1"/>
  <c r="J51" i="107"/>
  <c r="J50" i="107" s="1"/>
  <c r="L51" i="107"/>
  <c r="L50" i="107" s="1"/>
  <c r="M51" i="107"/>
  <c r="M50" i="107" s="1"/>
  <c r="N51" i="107"/>
  <c r="N50" i="107" s="1"/>
  <c r="O51" i="107"/>
  <c r="O50" i="107" s="1"/>
  <c r="P51" i="107"/>
  <c r="P50" i="107" s="1"/>
  <c r="Q51" i="107"/>
  <c r="Q50" i="107" s="1"/>
  <c r="R51" i="107"/>
  <c r="R50" i="107" s="1"/>
  <c r="S51" i="107"/>
  <c r="S50" i="107" s="1"/>
  <c r="T51" i="107"/>
  <c r="T50" i="107" s="1"/>
  <c r="U51" i="107"/>
  <c r="U50" i="107" s="1"/>
  <c r="K52" i="107"/>
  <c r="V52" i="107"/>
  <c r="K53" i="107"/>
  <c r="V53" i="107"/>
  <c r="K54" i="107"/>
  <c r="V54" i="107"/>
  <c r="K55" i="107"/>
  <c r="V55" i="107"/>
  <c r="K56" i="107"/>
  <c r="V56" i="107"/>
  <c r="W56" i="107"/>
  <c r="W96" i="92" s="1"/>
  <c r="K57" i="107"/>
  <c r="V57" i="107"/>
  <c r="D58" i="107"/>
  <c r="E58" i="107"/>
  <c r="F58" i="107"/>
  <c r="G58" i="107"/>
  <c r="H58" i="107"/>
  <c r="I58" i="107"/>
  <c r="J58" i="107"/>
  <c r="K58" i="107"/>
  <c r="L58" i="107"/>
  <c r="M58" i="107"/>
  <c r="N58" i="107"/>
  <c r="O58" i="107"/>
  <c r="P58" i="107"/>
  <c r="Q58" i="107"/>
  <c r="R58" i="107"/>
  <c r="S58" i="107"/>
  <c r="T58" i="107"/>
  <c r="U58" i="107"/>
  <c r="W58" i="107"/>
  <c r="V59" i="107"/>
  <c r="V60" i="107"/>
  <c r="V61" i="107"/>
  <c r="J63" i="107"/>
  <c r="K63" i="107"/>
  <c r="W63" i="107"/>
  <c r="L68" i="107"/>
  <c r="L63" i="107" s="1"/>
  <c r="J70" i="107"/>
  <c r="L70" i="107"/>
  <c r="W70" i="107"/>
  <c r="L74" i="107"/>
  <c r="V74" i="107"/>
  <c r="W74" i="107"/>
  <c r="B11" i="106"/>
  <c r="C11" i="106"/>
  <c r="D11" i="106"/>
  <c r="E11" i="106"/>
  <c r="F11" i="106"/>
  <c r="G11" i="106"/>
  <c r="H11" i="106"/>
  <c r="I11" i="106"/>
  <c r="J11" i="106"/>
  <c r="L11" i="106"/>
  <c r="M11" i="106"/>
  <c r="N11" i="106"/>
  <c r="O11" i="106"/>
  <c r="P11" i="106"/>
  <c r="Q11" i="106"/>
  <c r="R11" i="106"/>
  <c r="S11" i="106"/>
  <c r="T11" i="106"/>
  <c r="U11" i="106"/>
  <c r="W11" i="106"/>
  <c r="K15" i="106"/>
  <c r="V15" i="106"/>
  <c r="K16" i="106"/>
  <c r="V16" i="106"/>
  <c r="K17" i="106"/>
  <c r="V17" i="106"/>
  <c r="K18" i="106"/>
  <c r="V18" i="106"/>
  <c r="L31" i="106" s="1"/>
  <c r="K19" i="106"/>
  <c r="V19" i="106"/>
  <c r="B20" i="106"/>
  <c r="C20" i="106"/>
  <c r="D20" i="106"/>
  <c r="E20" i="106"/>
  <c r="F20" i="106"/>
  <c r="G20" i="106"/>
  <c r="H20" i="106"/>
  <c r="I20" i="106"/>
  <c r="J20" i="106"/>
  <c r="L20" i="106"/>
  <c r="M20" i="106"/>
  <c r="N20" i="106"/>
  <c r="O20" i="106"/>
  <c r="P20" i="106"/>
  <c r="Q20" i="106"/>
  <c r="R20" i="106"/>
  <c r="S20" i="106"/>
  <c r="T20" i="106"/>
  <c r="U20" i="106"/>
  <c r="W20" i="106"/>
  <c r="K21" i="106"/>
  <c r="V21" i="106"/>
  <c r="K22" i="106"/>
  <c r="V22" i="106"/>
  <c r="K23" i="106"/>
  <c r="V23" i="106"/>
  <c r="K24" i="106"/>
  <c r="V24" i="106"/>
  <c r="K25" i="106"/>
  <c r="V25" i="106"/>
  <c r="K26" i="106"/>
  <c r="V26" i="106"/>
  <c r="B27" i="106"/>
  <c r="C27" i="106"/>
  <c r="D27" i="106"/>
  <c r="E27" i="106"/>
  <c r="F27" i="106"/>
  <c r="G27" i="106"/>
  <c r="H27" i="106"/>
  <c r="I27" i="106"/>
  <c r="J27" i="106"/>
  <c r="M27" i="106"/>
  <c r="N27" i="106"/>
  <c r="O27" i="106"/>
  <c r="P27" i="106"/>
  <c r="Q27" i="106"/>
  <c r="R27" i="106"/>
  <c r="S27" i="106"/>
  <c r="T27" i="106"/>
  <c r="U27" i="106"/>
  <c r="K28" i="106"/>
  <c r="V28" i="106"/>
  <c r="W28" i="106"/>
  <c r="K29" i="106"/>
  <c r="V29" i="106"/>
  <c r="K30" i="106"/>
  <c r="V30" i="106"/>
  <c r="K31" i="106"/>
  <c r="V31" i="106"/>
  <c r="K32" i="106"/>
  <c r="V32" i="106"/>
  <c r="K33" i="106"/>
  <c r="V33" i="106"/>
  <c r="B34" i="106"/>
  <c r="C34" i="106"/>
  <c r="D34" i="106"/>
  <c r="E34" i="106"/>
  <c r="F34" i="106"/>
  <c r="G34" i="106"/>
  <c r="H34" i="106"/>
  <c r="I34" i="106"/>
  <c r="J34" i="106"/>
  <c r="M34" i="106"/>
  <c r="N34" i="106"/>
  <c r="O34" i="106"/>
  <c r="P34" i="106"/>
  <c r="Q34" i="106"/>
  <c r="R34" i="106"/>
  <c r="S34" i="106"/>
  <c r="T34" i="106"/>
  <c r="U34" i="106"/>
  <c r="K35" i="106"/>
  <c r="V35" i="106"/>
  <c r="K36" i="106"/>
  <c r="V36" i="106"/>
  <c r="K37" i="106"/>
  <c r="V37" i="106"/>
  <c r="K38" i="106"/>
  <c r="V38" i="106"/>
  <c r="K39" i="106"/>
  <c r="V39" i="106"/>
  <c r="K40" i="106"/>
  <c r="V40" i="106"/>
  <c r="B42" i="106"/>
  <c r="C42" i="106"/>
  <c r="D42" i="106"/>
  <c r="E42" i="106"/>
  <c r="F42" i="106"/>
  <c r="G42" i="106"/>
  <c r="H42" i="106"/>
  <c r="I42" i="106"/>
  <c r="J42" i="106"/>
  <c r="L42" i="106"/>
  <c r="M42" i="106"/>
  <c r="N42" i="106"/>
  <c r="O42" i="106"/>
  <c r="P42" i="106"/>
  <c r="Q42" i="106"/>
  <c r="R42" i="106"/>
  <c r="S42" i="106"/>
  <c r="T42" i="106"/>
  <c r="U42" i="106"/>
  <c r="W42" i="106"/>
  <c r="K43" i="106"/>
  <c r="K42" i="106" s="1"/>
  <c r="V43" i="106"/>
  <c r="V42" i="106" s="1"/>
  <c r="K47" i="106"/>
  <c r="V47" i="106"/>
  <c r="K48" i="106"/>
  <c r="V48" i="106"/>
  <c r="K49" i="106"/>
  <c r="V49" i="106"/>
  <c r="D50" i="106"/>
  <c r="E50" i="106"/>
  <c r="F50" i="106"/>
  <c r="G50" i="106"/>
  <c r="H50" i="106"/>
  <c r="I50" i="106"/>
  <c r="J50" i="106"/>
  <c r="L50" i="106"/>
  <c r="M50" i="106"/>
  <c r="N50" i="106"/>
  <c r="O50" i="106"/>
  <c r="P50" i="106"/>
  <c r="Q50" i="106"/>
  <c r="R50" i="106"/>
  <c r="S50" i="106"/>
  <c r="T50" i="106"/>
  <c r="U50" i="106"/>
  <c r="W50" i="106"/>
  <c r="K51" i="106"/>
  <c r="V51" i="106"/>
  <c r="K52" i="106"/>
  <c r="V52" i="106"/>
  <c r="K53" i="106"/>
  <c r="V53" i="106"/>
  <c r="B61" i="106"/>
  <c r="L61" i="106"/>
  <c r="W61" i="106"/>
  <c r="K62" i="106"/>
  <c r="K61" i="106" s="1"/>
  <c r="J73" i="106"/>
  <c r="K73" i="106"/>
  <c r="L73" i="106"/>
  <c r="W78" i="106"/>
  <c r="W334" i="93" s="1"/>
  <c r="J80" i="106"/>
  <c r="L80" i="106"/>
  <c r="W80" i="106"/>
  <c r="L84" i="106"/>
  <c r="V84" i="106"/>
  <c r="W84" i="106"/>
  <c r="B11" i="104"/>
  <c r="C11" i="104"/>
  <c r="D11" i="104"/>
  <c r="E11" i="104"/>
  <c r="F11" i="104"/>
  <c r="G11" i="104"/>
  <c r="H11" i="104"/>
  <c r="I11" i="104"/>
  <c r="J11" i="104"/>
  <c r="L11" i="104"/>
  <c r="M11" i="104"/>
  <c r="N11" i="104"/>
  <c r="O11" i="104"/>
  <c r="P11" i="104"/>
  <c r="Q11" i="104"/>
  <c r="R11" i="104"/>
  <c r="S11" i="104"/>
  <c r="T11" i="104"/>
  <c r="U11" i="104"/>
  <c r="W11" i="104"/>
  <c r="K15" i="104"/>
  <c r="V15" i="104"/>
  <c r="K16" i="104"/>
  <c r="V16" i="104"/>
  <c r="K17" i="104"/>
  <c r="V17" i="104"/>
  <c r="K18" i="104"/>
  <c r="V18" i="104"/>
  <c r="K19" i="104"/>
  <c r="V19" i="104"/>
  <c r="B20" i="104"/>
  <c r="C20" i="104"/>
  <c r="D20" i="104"/>
  <c r="E20" i="104"/>
  <c r="F20" i="104"/>
  <c r="G20" i="104"/>
  <c r="H20" i="104"/>
  <c r="I20" i="104"/>
  <c r="J20" i="104"/>
  <c r="L20" i="104"/>
  <c r="M20" i="104"/>
  <c r="N20" i="104"/>
  <c r="O20" i="104"/>
  <c r="P20" i="104"/>
  <c r="Q20" i="104"/>
  <c r="R20" i="104"/>
  <c r="S20" i="104"/>
  <c r="T20" i="104"/>
  <c r="U20" i="104"/>
  <c r="W20" i="104"/>
  <c r="K21" i="104"/>
  <c r="V21" i="104"/>
  <c r="K22" i="104"/>
  <c r="V22" i="104"/>
  <c r="K23" i="104"/>
  <c r="V23" i="104"/>
  <c r="K24" i="104"/>
  <c r="V24" i="104"/>
  <c r="K25" i="104"/>
  <c r="V25" i="104"/>
  <c r="K26" i="104"/>
  <c r="V26" i="104"/>
  <c r="B27" i="104"/>
  <c r="C27" i="104"/>
  <c r="D27" i="104"/>
  <c r="E27" i="104"/>
  <c r="F27" i="104"/>
  <c r="G27" i="104"/>
  <c r="H27" i="104"/>
  <c r="I27" i="104"/>
  <c r="J27" i="104"/>
  <c r="L27" i="104"/>
  <c r="M27" i="104"/>
  <c r="N27" i="104"/>
  <c r="O27" i="104"/>
  <c r="P27" i="104"/>
  <c r="Q27" i="104"/>
  <c r="R27" i="104"/>
  <c r="S27" i="104"/>
  <c r="T27" i="104"/>
  <c r="U27" i="104"/>
  <c r="W27" i="104"/>
  <c r="K28" i="104"/>
  <c r="V28" i="104"/>
  <c r="K29" i="104"/>
  <c r="V29" i="104"/>
  <c r="K30" i="104"/>
  <c r="V30" i="104"/>
  <c r="K31" i="104"/>
  <c r="V31" i="104"/>
  <c r="K32" i="104"/>
  <c r="V32" i="104"/>
  <c r="K33" i="104"/>
  <c r="V33" i="104"/>
  <c r="B34" i="104"/>
  <c r="C34" i="104"/>
  <c r="D34" i="104"/>
  <c r="E34" i="104"/>
  <c r="F34" i="104"/>
  <c r="G34" i="104"/>
  <c r="H34" i="104"/>
  <c r="I34" i="104"/>
  <c r="J34" i="104"/>
  <c r="L34" i="104"/>
  <c r="M34" i="104"/>
  <c r="N34" i="104"/>
  <c r="O34" i="104"/>
  <c r="P34" i="104"/>
  <c r="Q34" i="104"/>
  <c r="R34" i="104"/>
  <c r="S34" i="104"/>
  <c r="T34" i="104"/>
  <c r="U34" i="104"/>
  <c r="W34" i="104"/>
  <c r="K35" i="104"/>
  <c r="V35" i="104"/>
  <c r="K36" i="104"/>
  <c r="V36" i="104"/>
  <c r="K37" i="104"/>
  <c r="V37" i="104"/>
  <c r="K38" i="104"/>
  <c r="V38" i="104"/>
  <c r="K39" i="104"/>
  <c r="V39" i="104"/>
  <c r="K40" i="104"/>
  <c r="V40" i="104"/>
  <c r="B42" i="104"/>
  <c r="C42" i="104"/>
  <c r="D42" i="104"/>
  <c r="E42" i="104"/>
  <c r="F42" i="104"/>
  <c r="G42" i="104"/>
  <c r="H42" i="104"/>
  <c r="I42" i="104"/>
  <c r="J42" i="104"/>
  <c r="L42" i="104"/>
  <c r="M42" i="104"/>
  <c r="N42" i="104"/>
  <c r="O42" i="104"/>
  <c r="P42" i="104"/>
  <c r="Q42" i="104"/>
  <c r="R42" i="104"/>
  <c r="S42" i="104"/>
  <c r="T42" i="104"/>
  <c r="U42" i="104"/>
  <c r="W42" i="104"/>
  <c r="K43" i="104"/>
  <c r="K42" i="104" s="1"/>
  <c r="V43" i="104"/>
  <c r="V44" i="104"/>
  <c r="V44" i="93" s="1"/>
  <c r="V45" i="104"/>
  <c r="K47" i="104"/>
  <c r="V47" i="104"/>
  <c r="K48" i="104"/>
  <c r="V48" i="104"/>
  <c r="K49" i="104"/>
  <c r="V49" i="104"/>
  <c r="B50" i="104"/>
  <c r="C50" i="104"/>
  <c r="D50" i="104"/>
  <c r="E50" i="104"/>
  <c r="F50" i="104"/>
  <c r="G50" i="104"/>
  <c r="H50" i="104"/>
  <c r="I50" i="104"/>
  <c r="J50" i="104"/>
  <c r="L50" i="104"/>
  <c r="M50" i="104"/>
  <c r="N50" i="104"/>
  <c r="O50" i="104"/>
  <c r="P50" i="104"/>
  <c r="Q50" i="104"/>
  <c r="R50" i="104"/>
  <c r="S50" i="104"/>
  <c r="T50" i="104"/>
  <c r="U50" i="104"/>
  <c r="W50" i="104"/>
  <c r="K51" i="104"/>
  <c r="V51" i="104"/>
  <c r="K52" i="104"/>
  <c r="V52" i="104"/>
  <c r="K53" i="104"/>
  <c r="V53" i="104"/>
  <c r="K54" i="104"/>
  <c r="V54" i="104"/>
  <c r="K55" i="104"/>
  <c r="V55" i="104"/>
  <c r="K56" i="104"/>
  <c r="V56" i="104"/>
  <c r="K57" i="104"/>
  <c r="V57" i="104"/>
  <c r="K58" i="104"/>
  <c r="V58" i="104"/>
  <c r="K59" i="104"/>
  <c r="V59" i="104"/>
  <c r="K60" i="104"/>
  <c r="V60" i="104"/>
  <c r="K61" i="104"/>
  <c r="V61" i="104"/>
  <c r="K62" i="104"/>
  <c r="V62" i="104"/>
  <c r="K63" i="104"/>
  <c r="V63" i="104"/>
  <c r="K64" i="104"/>
  <c r="V64" i="104"/>
  <c r="K65" i="104"/>
  <c r="V65" i="104"/>
  <c r="K66" i="104"/>
  <c r="V66" i="104"/>
  <c r="B67" i="104"/>
  <c r="C67" i="104"/>
  <c r="D67" i="104"/>
  <c r="E67" i="104"/>
  <c r="F67" i="104"/>
  <c r="G67" i="104"/>
  <c r="H67" i="104"/>
  <c r="I67" i="104"/>
  <c r="J67" i="104"/>
  <c r="L67" i="104"/>
  <c r="M67" i="104"/>
  <c r="N67" i="104"/>
  <c r="O67" i="104"/>
  <c r="P67" i="104"/>
  <c r="Q67" i="104"/>
  <c r="R67" i="104"/>
  <c r="S67" i="104"/>
  <c r="T67" i="104"/>
  <c r="U67" i="104"/>
  <c r="W67" i="104"/>
  <c r="K68" i="104"/>
  <c r="V68" i="104"/>
  <c r="K69" i="104"/>
  <c r="V69" i="104"/>
  <c r="K70" i="104"/>
  <c r="V70" i="104"/>
  <c r="K71" i="104"/>
  <c r="V71" i="104"/>
  <c r="K72" i="104"/>
  <c r="V72" i="104"/>
  <c r="K73" i="104"/>
  <c r="V73" i="104"/>
  <c r="K74" i="104"/>
  <c r="V74" i="104"/>
  <c r="K75" i="104"/>
  <c r="V75" i="104"/>
  <c r="K76" i="104"/>
  <c r="V76" i="104"/>
  <c r="K77" i="104"/>
  <c r="V77" i="104"/>
  <c r="K78" i="104"/>
  <c r="V78" i="104"/>
  <c r="B79" i="104"/>
  <c r="C79" i="104"/>
  <c r="D79" i="104"/>
  <c r="E79" i="104"/>
  <c r="F79" i="104"/>
  <c r="G79" i="104"/>
  <c r="H79" i="104"/>
  <c r="I79" i="104"/>
  <c r="J79" i="104"/>
  <c r="L79" i="104"/>
  <c r="M79" i="104"/>
  <c r="N79" i="104"/>
  <c r="O79" i="104"/>
  <c r="P79" i="104"/>
  <c r="Q79" i="104"/>
  <c r="R79" i="104"/>
  <c r="S79" i="104"/>
  <c r="T79" i="104"/>
  <c r="U79" i="104"/>
  <c r="W79" i="104"/>
  <c r="K80" i="104"/>
  <c r="V80" i="104"/>
  <c r="K81" i="104"/>
  <c r="V81" i="104"/>
  <c r="K82" i="104"/>
  <c r="V82" i="104"/>
  <c r="K83" i="104"/>
  <c r="V83" i="104"/>
  <c r="K84" i="104"/>
  <c r="V84" i="104"/>
  <c r="K85" i="104"/>
  <c r="V85" i="104"/>
  <c r="K86" i="104"/>
  <c r="V86" i="104"/>
  <c r="K87" i="104"/>
  <c r="V87" i="104"/>
  <c r="K88" i="104"/>
  <c r="V88" i="104"/>
  <c r="K89" i="104"/>
  <c r="V89" i="104"/>
  <c r="K90" i="104"/>
  <c r="V90" i="104"/>
  <c r="B92" i="104"/>
  <c r="C92" i="104"/>
  <c r="D92" i="104"/>
  <c r="E92" i="104"/>
  <c r="F92" i="104"/>
  <c r="G92" i="104"/>
  <c r="H92" i="104"/>
  <c r="I92" i="104"/>
  <c r="J92" i="104"/>
  <c r="M92" i="104"/>
  <c r="N92" i="104"/>
  <c r="O92" i="104"/>
  <c r="P92" i="104"/>
  <c r="Q92" i="104"/>
  <c r="R92" i="104"/>
  <c r="S92" i="104"/>
  <c r="T92" i="104"/>
  <c r="U92" i="104"/>
  <c r="K93" i="104"/>
  <c r="V93" i="104"/>
  <c r="K94" i="104"/>
  <c r="L94" i="104"/>
  <c r="V94" i="104"/>
  <c r="W94" i="104"/>
  <c r="W92" i="104" s="1"/>
  <c r="K95" i="104"/>
  <c r="V95" i="104"/>
  <c r="K96" i="104"/>
  <c r="V96" i="104"/>
  <c r="K97" i="104"/>
  <c r="V97" i="104"/>
  <c r="K98" i="104"/>
  <c r="V98" i="104"/>
  <c r="B99" i="104"/>
  <c r="C99" i="104"/>
  <c r="D99" i="104"/>
  <c r="E99" i="104"/>
  <c r="F99" i="104"/>
  <c r="G99" i="104"/>
  <c r="H99" i="104"/>
  <c r="I99" i="104"/>
  <c r="J99" i="104"/>
  <c r="L99" i="104"/>
  <c r="M99" i="104"/>
  <c r="N99" i="104"/>
  <c r="O99" i="104"/>
  <c r="P99" i="104"/>
  <c r="Q99" i="104"/>
  <c r="R99" i="104"/>
  <c r="S99" i="104"/>
  <c r="T99" i="104"/>
  <c r="U99" i="104"/>
  <c r="W99" i="104"/>
  <c r="K100" i="104"/>
  <c r="V100" i="104"/>
  <c r="K101" i="104"/>
  <c r="V101" i="104"/>
  <c r="K102" i="104"/>
  <c r="V102" i="104"/>
  <c r="K103" i="104"/>
  <c r="V103" i="104"/>
  <c r="K104" i="104"/>
  <c r="V104" i="104"/>
  <c r="B106" i="104"/>
  <c r="C106" i="104"/>
  <c r="D106" i="104"/>
  <c r="E106" i="104"/>
  <c r="F106" i="104"/>
  <c r="G106" i="104"/>
  <c r="H106" i="104"/>
  <c r="I106" i="104"/>
  <c r="J106" i="104"/>
  <c r="L106" i="104"/>
  <c r="M106" i="104"/>
  <c r="N106" i="104"/>
  <c r="O106" i="104"/>
  <c r="P106" i="104"/>
  <c r="Q106" i="104"/>
  <c r="R106" i="104"/>
  <c r="S106" i="104"/>
  <c r="T106" i="104"/>
  <c r="U106" i="104"/>
  <c r="W106" i="104"/>
  <c r="K107" i="104"/>
  <c r="V107" i="104"/>
  <c r="K108" i="104"/>
  <c r="V108" i="104"/>
  <c r="K109" i="104"/>
  <c r="V109" i="104"/>
  <c r="K110" i="104"/>
  <c r="V110" i="104"/>
  <c r="K111" i="104"/>
  <c r="V111" i="104"/>
  <c r="B112" i="104"/>
  <c r="C112" i="104"/>
  <c r="D112" i="104"/>
  <c r="E112" i="104"/>
  <c r="F112" i="104"/>
  <c r="G112" i="104"/>
  <c r="H112" i="104"/>
  <c r="I112" i="104"/>
  <c r="J112" i="104"/>
  <c r="L112" i="104"/>
  <c r="M112" i="104"/>
  <c r="N112" i="104"/>
  <c r="O112" i="104"/>
  <c r="P112" i="104"/>
  <c r="Q112" i="104"/>
  <c r="R112" i="104"/>
  <c r="S112" i="104"/>
  <c r="T112" i="104"/>
  <c r="U112" i="104"/>
  <c r="W112" i="104"/>
  <c r="K113" i="104"/>
  <c r="V113" i="104"/>
  <c r="K114" i="104"/>
  <c r="V114" i="104"/>
  <c r="K115" i="104"/>
  <c r="V115" i="104"/>
  <c r="K116" i="104"/>
  <c r="V116" i="104"/>
  <c r="K117" i="104"/>
  <c r="V117" i="104"/>
  <c r="B118" i="104"/>
  <c r="C118" i="104"/>
  <c r="D118" i="104"/>
  <c r="E118" i="104"/>
  <c r="F118" i="104"/>
  <c r="G118" i="104"/>
  <c r="H118" i="104"/>
  <c r="I118" i="104"/>
  <c r="J118" i="104"/>
  <c r="L118" i="104"/>
  <c r="M118" i="104"/>
  <c r="N118" i="104"/>
  <c r="O118" i="104"/>
  <c r="P118" i="104"/>
  <c r="Q118" i="104"/>
  <c r="R118" i="104"/>
  <c r="S118" i="104"/>
  <c r="T118" i="104"/>
  <c r="U118" i="104"/>
  <c r="W118" i="104"/>
  <c r="K119" i="104"/>
  <c r="V119" i="104"/>
  <c r="K120" i="104"/>
  <c r="V120" i="104"/>
  <c r="K121" i="104"/>
  <c r="V121" i="104"/>
  <c r="K122" i="104"/>
  <c r="V122" i="104"/>
  <c r="K123" i="104"/>
  <c r="V123" i="104"/>
  <c r="B124" i="104"/>
  <c r="C124" i="104"/>
  <c r="D124" i="104"/>
  <c r="E124" i="104"/>
  <c r="F124" i="104"/>
  <c r="G124" i="104"/>
  <c r="H124" i="104"/>
  <c r="I124" i="104"/>
  <c r="J124" i="104"/>
  <c r="L124" i="104"/>
  <c r="M124" i="104"/>
  <c r="N124" i="104"/>
  <c r="O124" i="104"/>
  <c r="P124" i="104"/>
  <c r="Q124" i="104"/>
  <c r="R124" i="104"/>
  <c r="S124" i="104"/>
  <c r="T124" i="104"/>
  <c r="U124" i="104"/>
  <c r="W124" i="104"/>
  <c r="K125" i="104"/>
  <c r="V125" i="104"/>
  <c r="K126" i="104"/>
  <c r="V126" i="104"/>
  <c r="K127" i="104"/>
  <c r="V127" i="104"/>
  <c r="K128" i="104"/>
  <c r="V128" i="104"/>
  <c r="K129" i="104"/>
  <c r="V129" i="104"/>
  <c r="B130" i="104"/>
  <c r="C130" i="104"/>
  <c r="D130" i="104"/>
  <c r="E130" i="104"/>
  <c r="F130" i="104"/>
  <c r="G130" i="104"/>
  <c r="H130" i="104"/>
  <c r="I130" i="104"/>
  <c r="J130" i="104"/>
  <c r="L130" i="104"/>
  <c r="M130" i="104"/>
  <c r="N130" i="104"/>
  <c r="O130" i="104"/>
  <c r="P130" i="104"/>
  <c r="Q130" i="104"/>
  <c r="R130" i="104"/>
  <c r="S130" i="104"/>
  <c r="T130" i="104"/>
  <c r="U130" i="104"/>
  <c r="W130" i="104"/>
  <c r="K131" i="104"/>
  <c r="V131" i="104"/>
  <c r="K132" i="104"/>
  <c r="V132" i="104"/>
  <c r="K133" i="104"/>
  <c r="V133" i="104"/>
  <c r="K134" i="104"/>
  <c r="V134" i="104"/>
  <c r="K135" i="104"/>
  <c r="V135" i="104"/>
  <c r="B136" i="104"/>
  <c r="C136" i="104"/>
  <c r="D136" i="104"/>
  <c r="E136" i="104"/>
  <c r="F136" i="104"/>
  <c r="G136" i="104"/>
  <c r="H136" i="104"/>
  <c r="I136" i="104"/>
  <c r="J136" i="104"/>
  <c r="L136" i="104"/>
  <c r="M136" i="104"/>
  <c r="N136" i="104"/>
  <c r="O136" i="104"/>
  <c r="P136" i="104"/>
  <c r="Q136" i="104"/>
  <c r="R136" i="104"/>
  <c r="S136" i="104"/>
  <c r="T136" i="104"/>
  <c r="U136" i="104"/>
  <c r="W136" i="104"/>
  <c r="K137" i="104"/>
  <c r="V137" i="104"/>
  <c r="K138" i="104"/>
  <c r="V138" i="104"/>
  <c r="K139" i="104"/>
  <c r="V139" i="104"/>
  <c r="K140" i="104"/>
  <c r="V140" i="104"/>
  <c r="K141" i="104"/>
  <c r="V141" i="104"/>
  <c r="B142" i="104"/>
  <c r="C142" i="104"/>
  <c r="D142" i="104"/>
  <c r="E142" i="104"/>
  <c r="F142" i="104"/>
  <c r="G142" i="104"/>
  <c r="H142" i="104"/>
  <c r="I142" i="104"/>
  <c r="J142" i="104"/>
  <c r="L142" i="104"/>
  <c r="M142" i="104"/>
  <c r="N142" i="104"/>
  <c r="O142" i="104"/>
  <c r="P142" i="104"/>
  <c r="Q142" i="104"/>
  <c r="R142" i="104"/>
  <c r="S142" i="104"/>
  <c r="T142" i="104"/>
  <c r="U142" i="104"/>
  <c r="W142" i="104"/>
  <c r="K143" i="104"/>
  <c r="V143" i="104"/>
  <c r="K144" i="104"/>
  <c r="V144" i="104"/>
  <c r="K145" i="104"/>
  <c r="V145" i="104"/>
  <c r="K146" i="104"/>
  <c r="V146" i="104"/>
  <c r="K147" i="104"/>
  <c r="V147" i="104"/>
  <c r="B148" i="104"/>
  <c r="C148" i="104"/>
  <c r="D148" i="104"/>
  <c r="E148" i="104"/>
  <c r="F148" i="104"/>
  <c r="G148" i="104"/>
  <c r="H148" i="104"/>
  <c r="I148" i="104"/>
  <c r="J148" i="104"/>
  <c r="L148" i="104"/>
  <c r="M148" i="104"/>
  <c r="N148" i="104"/>
  <c r="O148" i="104"/>
  <c r="P148" i="104"/>
  <c r="Q148" i="104"/>
  <c r="R148" i="104"/>
  <c r="S148" i="104"/>
  <c r="T148" i="104"/>
  <c r="U148" i="104"/>
  <c r="W148" i="104"/>
  <c r="K149" i="104"/>
  <c r="V149" i="104"/>
  <c r="K150" i="104"/>
  <c r="V150" i="104"/>
  <c r="K151" i="104"/>
  <c r="V151" i="104"/>
  <c r="K152" i="104"/>
  <c r="V152" i="104"/>
  <c r="K153" i="104"/>
  <c r="V153" i="104"/>
  <c r="B154" i="104"/>
  <c r="C154" i="104"/>
  <c r="D154" i="104"/>
  <c r="E154" i="104"/>
  <c r="F154" i="104"/>
  <c r="G154" i="104"/>
  <c r="H154" i="104"/>
  <c r="I154" i="104"/>
  <c r="J154" i="104"/>
  <c r="L154" i="104"/>
  <c r="M154" i="104"/>
  <c r="N154" i="104"/>
  <c r="O154" i="104"/>
  <c r="P154" i="104"/>
  <c r="Q154" i="104"/>
  <c r="R154" i="104"/>
  <c r="S154" i="104"/>
  <c r="T154" i="104"/>
  <c r="U154" i="104"/>
  <c r="W154" i="104"/>
  <c r="K155" i="104"/>
  <c r="V155" i="104"/>
  <c r="K156" i="104"/>
  <c r="V156" i="104"/>
  <c r="K157" i="104"/>
  <c r="V157" i="104"/>
  <c r="K158" i="104"/>
  <c r="V158" i="104"/>
  <c r="K159" i="104"/>
  <c r="V159" i="104"/>
  <c r="B160" i="104"/>
  <c r="C160" i="104"/>
  <c r="D160" i="104"/>
  <c r="E160" i="104"/>
  <c r="F160" i="104"/>
  <c r="G160" i="104"/>
  <c r="H160" i="104"/>
  <c r="I160" i="104"/>
  <c r="J160" i="104"/>
  <c r="L160" i="104"/>
  <c r="M160" i="104"/>
  <c r="N160" i="104"/>
  <c r="O160" i="104"/>
  <c r="P160" i="104"/>
  <c r="Q160" i="104"/>
  <c r="R160" i="104"/>
  <c r="S160" i="104"/>
  <c r="T160" i="104"/>
  <c r="U160" i="104"/>
  <c r="W160" i="104"/>
  <c r="K161" i="104"/>
  <c r="V161" i="104"/>
  <c r="K162" i="104"/>
  <c r="V162" i="104"/>
  <c r="K163" i="104"/>
  <c r="V163" i="104"/>
  <c r="K164" i="104"/>
  <c r="V164" i="104"/>
  <c r="K165" i="104"/>
  <c r="V165" i="104"/>
  <c r="B166" i="104"/>
  <c r="C166" i="104"/>
  <c r="D166" i="104"/>
  <c r="E166" i="104"/>
  <c r="F166" i="104"/>
  <c r="G166" i="104"/>
  <c r="H166" i="104"/>
  <c r="I166" i="104"/>
  <c r="J166" i="104"/>
  <c r="L166" i="104"/>
  <c r="M166" i="104"/>
  <c r="N166" i="104"/>
  <c r="O166" i="104"/>
  <c r="P166" i="104"/>
  <c r="Q166" i="104"/>
  <c r="R166" i="104"/>
  <c r="S166" i="104"/>
  <c r="T166" i="104"/>
  <c r="U166" i="104"/>
  <c r="W166" i="104"/>
  <c r="K167" i="104"/>
  <c r="V167" i="104"/>
  <c r="K168" i="104"/>
  <c r="V168" i="104"/>
  <c r="K169" i="104"/>
  <c r="V169" i="104"/>
  <c r="K170" i="104"/>
  <c r="V170" i="104"/>
  <c r="K171" i="104"/>
  <c r="V171" i="104"/>
  <c r="B172" i="104"/>
  <c r="C172" i="104"/>
  <c r="D172" i="104"/>
  <c r="E172" i="104"/>
  <c r="F172" i="104"/>
  <c r="G172" i="104"/>
  <c r="H172" i="104"/>
  <c r="I172" i="104"/>
  <c r="J172" i="104"/>
  <c r="L172" i="104"/>
  <c r="M172" i="104"/>
  <c r="N172" i="104"/>
  <c r="O172" i="104"/>
  <c r="P172" i="104"/>
  <c r="Q172" i="104"/>
  <c r="R172" i="104"/>
  <c r="S172" i="104"/>
  <c r="T172" i="104"/>
  <c r="U172" i="104"/>
  <c r="W172" i="104"/>
  <c r="K173" i="104"/>
  <c r="V173" i="104"/>
  <c r="K174" i="104"/>
  <c r="V174" i="104"/>
  <c r="K175" i="104"/>
  <c r="V175" i="104"/>
  <c r="K176" i="104"/>
  <c r="V176" i="104"/>
  <c r="K177" i="104"/>
  <c r="V177" i="104"/>
  <c r="B178" i="104"/>
  <c r="C178" i="104"/>
  <c r="D178" i="104"/>
  <c r="E178" i="104"/>
  <c r="F178" i="104"/>
  <c r="G178" i="104"/>
  <c r="H178" i="104"/>
  <c r="I178" i="104"/>
  <c r="J178" i="104"/>
  <c r="L178" i="104"/>
  <c r="M178" i="104"/>
  <c r="N178" i="104"/>
  <c r="O178" i="104"/>
  <c r="P178" i="104"/>
  <c r="Q178" i="104"/>
  <c r="R178" i="104"/>
  <c r="S178" i="104"/>
  <c r="T178" i="104"/>
  <c r="U178" i="104"/>
  <c r="W178" i="104"/>
  <c r="K179" i="104"/>
  <c r="V179" i="104"/>
  <c r="K180" i="104"/>
  <c r="V180" i="104"/>
  <c r="K181" i="104"/>
  <c r="V181" i="104"/>
  <c r="K182" i="104"/>
  <c r="V182" i="104"/>
  <c r="K183" i="104"/>
  <c r="V183" i="104"/>
  <c r="K184" i="104"/>
  <c r="V184" i="104"/>
  <c r="B185" i="104"/>
  <c r="C185" i="104"/>
  <c r="D185" i="104"/>
  <c r="E185" i="104"/>
  <c r="F185" i="104"/>
  <c r="G185" i="104"/>
  <c r="H185" i="104"/>
  <c r="I185" i="104"/>
  <c r="J185" i="104"/>
  <c r="L185" i="104"/>
  <c r="M185" i="104"/>
  <c r="N185" i="104"/>
  <c r="O185" i="104"/>
  <c r="P185" i="104"/>
  <c r="Q185" i="104"/>
  <c r="R185" i="104"/>
  <c r="S185" i="104"/>
  <c r="T185" i="104"/>
  <c r="U185" i="104"/>
  <c r="W185" i="104"/>
  <c r="K186" i="104"/>
  <c r="V186" i="104"/>
  <c r="K187" i="104"/>
  <c r="V187" i="104"/>
  <c r="V185" i="104" s="1"/>
  <c r="B188" i="104"/>
  <c r="C188" i="104"/>
  <c r="D188" i="104"/>
  <c r="E188" i="104"/>
  <c r="F188" i="104"/>
  <c r="G188" i="104"/>
  <c r="H188" i="104"/>
  <c r="I188" i="104"/>
  <c r="J188" i="104"/>
  <c r="L188" i="104"/>
  <c r="M188" i="104"/>
  <c r="N188" i="104"/>
  <c r="O188" i="104"/>
  <c r="P188" i="104"/>
  <c r="Q188" i="104"/>
  <c r="R188" i="104"/>
  <c r="S188" i="104"/>
  <c r="T188" i="104"/>
  <c r="U188" i="104"/>
  <c r="W188" i="104"/>
  <c r="K189" i="104"/>
  <c r="V189" i="104"/>
  <c r="K190" i="104"/>
  <c r="V190" i="104"/>
  <c r="B192" i="104"/>
  <c r="C192" i="104"/>
  <c r="D192" i="104"/>
  <c r="E192" i="104"/>
  <c r="F192" i="104"/>
  <c r="G192" i="104"/>
  <c r="H192" i="104"/>
  <c r="I192" i="104"/>
  <c r="J192" i="104"/>
  <c r="L192" i="104"/>
  <c r="M192" i="104"/>
  <c r="N192" i="104"/>
  <c r="O192" i="104"/>
  <c r="P192" i="104"/>
  <c r="Q192" i="104"/>
  <c r="R192" i="104"/>
  <c r="S192" i="104"/>
  <c r="T192" i="104"/>
  <c r="U192" i="104"/>
  <c r="W192" i="104"/>
  <c r="K193" i="104"/>
  <c r="V193" i="104"/>
  <c r="K194" i="104"/>
  <c r="V194" i="104"/>
  <c r="K195" i="104"/>
  <c r="V195" i="104"/>
  <c r="K196" i="104"/>
  <c r="V196" i="104"/>
  <c r="K197" i="104"/>
  <c r="V197" i="104"/>
  <c r="K198" i="104"/>
  <c r="V198" i="104"/>
  <c r="B199" i="104"/>
  <c r="C199" i="104"/>
  <c r="D199" i="104"/>
  <c r="E199" i="104"/>
  <c r="F199" i="104"/>
  <c r="G199" i="104"/>
  <c r="H199" i="104"/>
  <c r="I199" i="104"/>
  <c r="J199" i="104"/>
  <c r="L199" i="104"/>
  <c r="M199" i="104"/>
  <c r="N199" i="104"/>
  <c r="O199" i="104"/>
  <c r="P199" i="104"/>
  <c r="Q199" i="104"/>
  <c r="R199" i="104"/>
  <c r="S199" i="104"/>
  <c r="T199" i="104"/>
  <c r="U199" i="104"/>
  <c r="W199" i="104"/>
  <c r="K200" i="104"/>
  <c r="V200" i="104"/>
  <c r="K201" i="104"/>
  <c r="V201" i="104"/>
  <c r="K202" i="104"/>
  <c r="V202" i="104"/>
  <c r="K203" i="104"/>
  <c r="V203" i="104"/>
  <c r="K204" i="104"/>
  <c r="V204" i="104"/>
  <c r="K205" i="104"/>
  <c r="V205" i="104"/>
  <c r="B206" i="104"/>
  <c r="C206" i="104"/>
  <c r="D206" i="104"/>
  <c r="E206" i="104"/>
  <c r="F206" i="104"/>
  <c r="G206" i="104"/>
  <c r="H206" i="104"/>
  <c r="I206" i="104"/>
  <c r="J206" i="104"/>
  <c r="L206" i="104"/>
  <c r="M206" i="104"/>
  <c r="N206" i="104"/>
  <c r="O206" i="104"/>
  <c r="P206" i="104"/>
  <c r="Q206" i="104"/>
  <c r="R206" i="104"/>
  <c r="S206" i="104"/>
  <c r="T206" i="104"/>
  <c r="U206" i="104"/>
  <c r="W206" i="104"/>
  <c r="K207" i="104"/>
  <c r="V207" i="104"/>
  <c r="K208" i="104"/>
  <c r="V208" i="104"/>
  <c r="K209" i="104"/>
  <c r="V209" i="104"/>
  <c r="K210" i="104"/>
  <c r="V210" i="104"/>
  <c r="K211" i="104"/>
  <c r="V211" i="104"/>
  <c r="K212" i="104"/>
  <c r="V212" i="104"/>
  <c r="J213" i="104"/>
  <c r="L213" i="104"/>
  <c r="M213" i="104"/>
  <c r="N213" i="104"/>
  <c r="O213" i="104"/>
  <c r="P213" i="104"/>
  <c r="Q213" i="104"/>
  <c r="R213" i="104"/>
  <c r="S213" i="104"/>
  <c r="T213" i="104"/>
  <c r="U213" i="104"/>
  <c r="W213" i="104"/>
  <c r="K214" i="104"/>
  <c r="V214" i="104"/>
  <c r="K215" i="104"/>
  <c r="V215" i="104"/>
  <c r="K216" i="104"/>
  <c r="V216" i="104"/>
  <c r="K217" i="104"/>
  <c r="V217" i="104"/>
  <c r="K218" i="104"/>
  <c r="V218" i="104"/>
  <c r="J220" i="104"/>
  <c r="L220" i="104"/>
  <c r="M220" i="104"/>
  <c r="N220" i="104"/>
  <c r="O220" i="104"/>
  <c r="P220" i="104"/>
  <c r="Q220" i="104"/>
  <c r="R220" i="104"/>
  <c r="S220" i="104"/>
  <c r="T220" i="104"/>
  <c r="U220" i="104"/>
  <c r="W220" i="104"/>
  <c r="K221" i="104"/>
  <c r="V221" i="104"/>
  <c r="K222" i="104"/>
  <c r="V222" i="104"/>
  <c r="K223" i="104"/>
  <c r="V223" i="104"/>
  <c r="K224" i="104"/>
  <c r="V224" i="104"/>
  <c r="K225" i="104"/>
  <c r="V225" i="104"/>
  <c r="K226" i="104"/>
  <c r="V226" i="104"/>
  <c r="K227" i="104"/>
  <c r="V227" i="104"/>
  <c r="K228" i="104"/>
  <c r="V228" i="104"/>
  <c r="J229" i="104"/>
  <c r="L229" i="104"/>
  <c r="M229" i="104"/>
  <c r="N229" i="104"/>
  <c r="O229" i="104"/>
  <c r="P229" i="104"/>
  <c r="Q229" i="104"/>
  <c r="R229" i="104"/>
  <c r="S229" i="104"/>
  <c r="T229" i="104"/>
  <c r="U229" i="104"/>
  <c r="W229" i="104"/>
  <c r="K230" i="104"/>
  <c r="V230" i="104"/>
  <c r="K231" i="104"/>
  <c r="V231" i="104"/>
  <c r="K232" i="104"/>
  <c r="V232" i="104"/>
  <c r="K233" i="104"/>
  <c r="V233" i="104"/>
  <c r="K234" i="104"/>
  <c r="V234" i="104"/>
  <c r="K235" i="104"/>
  <c r="V235" i="104"/>
  <c r="K236" i="104"/>
  <c r="V236" i="104"/>
  <c r="K237" i="104"/>
  <c r="V237" i="104"/>
  <c r="J238" i="104"/>
  <c r="L238" i="104"/>
  <c r="M238" i="104"/>
  <c r="N238" i="104"/>
  <c r="O238" i="104"/>
  <c r="P238" i="104"/>
  <c r="Q238" i="104"/>
  <c r="R238" i="104"/>
  <c r="S238" i="104"/>
  <c r="T238" i="104"/>
  <c r="U238" i="104"/>
  <c r="W238" i="104"/>
  <c r="K239" i="104"/>
  <c r="V239" i="104"/>
  <c r="K240" i="104"/>
  <c r="V240" i="104"/>
  <c r="K241" i="104"/>
  <c r="V241" i="104"/>
  <c r="K242" i="104"/>
  <c r="V242" i="104"/>
  <c r="K243" i="104"/>
  <c r="V243" i="104"/>
  <c r="K244" i="104"/>
  <c r="V244" i="104"/>
  <c r="V245" i="104"/>
  <c r="K246" i="104"/>
  <c r="V246" i="104"/>
  <c r="K247" i="104"/>
  <c r="V247" i="104"/>
  <c r="K248" i="104"/>
  <c r="V248" i="104"/>
  <c r="K249" i="104"/>
  <c r="V249" i="104"/>
  <c r="K250" i="104"/>
  <c r="V250" i="104"/>
  <c r="K251" i="104"/>
  <c r="V251" i="104"/>
  <c r="J253" i="104"/>
  <c r="L253" i="104"/>
  <c r="M253" i="104"/>
  <c r="N253" i="104"/>
  <c r="O253" i="104"/>
  <c r="P253" i="104"/>
  <c r="Q253" i="104"/>
  <c r="R253" i="104"/>
  <c r="S253" i="104"/>
  <c r="T253" i="104"/>
  <c r="U253" i="104"/>
  <c r="W253" i="104"/>
  <c r="K254" i="104"/>
  <c r="V254" i="104"/>
  <c r="K255" i="104"/>
  <c r="V255" i="104"/>
  <c r="K256" i="104"/>
  <c r="V256" i="104"/>
  <c r="K257" i="104"/>
  <c r="V257" i="104"/>
  <c r="J258" i="104"/>
  <c r="L258" i="104"/>
  <c r="M258" i="104"/>
  <c r="N258" i="104"/>
  <c r="O258" i="104"/>
  <c r="P258" i="104"/>
  <c r="Q258" i="104"/>
  <c r="R258" i="104"/>
  <c r="S258" i="104"/>
  <c r="T258" i="104"/>
  <c r="U258" i="104"/>
  <c r="W258" i="104"/>
  <c r="K259" i="104"/>
  <c r="V259" i="104"/>
  <c r="K260" i="104"/>
  <c r="V260" i="104"/>
  <c r="K261" i="104"/>
  <c r="V261" i="104"/>
  <c r="J262" i="104"/>
  <c r="L262" i="104"/>
  <c r="M262" i="104"/>
  <c r="N262" i="104"/>
  <c r="O262" i="104"/>
  <c r="P262" i="104"/>
  <c r="Q262" i="104"/>
  <c r="R262" i="104"/>
  <c r="S262" i="104"/>
  <c r="T262" i="104"/>
  <c r="U262" i="104"/>
  <c r="W262" i="104"/>
  <c r="K263" i="104"/>
  <c r="V263" i="104"/>
  <c r="K264" i="104"/>
  <c r="V264" i="104"/>
  <c r="K265" i="104"/>
  <c r="V265" i="104"/>
  <c r="J266" i="104"/>
  <c r="L266" i="104"/>
  <c r="M266" i="104"/>
  <c r="N266" i="104"/>
  <c r="O266" i="104"/>
  <c r="P266" i="104"/>
  <c r="Q266" i="104"/>
  <c r="R266" i="104"/>
  <c r="S266" i="104"/>
  <c r="T266" i="104"/>
  <c r="U266" i="104"/>
  <c r="W266" i="104"/>
  <c r="K267" i="104"/>
  <c r="V267" i="104"/>
  <c r="K268" i="104"/>
  <c r="V268" i="104"/>
  <c r="K269" i="104"/>
  <c r="V269" i="104"/>
  <c r="J270" i="104"/>
  <c r="L270" i="104"/>
  <c r="M270" i="104"/>
  <c r="N270" i="104"/>
  <c r="O270" i="104"/>
  <c r="P270" i="104"/>
  <c r="Q270" i="104"/>
  <c r="R270" i="104"/>
  <c r="S270" i="104"/>
  <c r="T270" i="104"/>
  <c r="U270" i="104"/>
  <c r="W270" i="104"/>
  <c r="K271" i="104"/>
  <c r="V271" i="104"/>
  <c r="K272" i="104"/>
  <c r="V272" i="104"/>
  <c r="K273" i="104"/>
  <c r="V273" i="104"/>
  <c r="J274" i="104"/>
  <c r="L274" i="104"/>
  <c r="M274" i="104"/>
  <c r="N274" i="104"/>
  <c r="O274" i="104"/>
  <c r="P274" i="104"/>
  <c r="Q274" i="104"/>
  <c r="R274" i="104"/>
  <c r="S274" i="104"/>
  <c r="T274" i="104"/>
  <c r="U274" i="104"/>
  <c r="W274" i="104"/>
  <c r="K275" i="104"/>
  <c r="V275" i="104"/>
  <c r="K276" i="104"/>
  <c r="V276" i="104"/>
  <c r="K277" i="104"/>
  <c r="V277" i="104"/>
  <c r="J278" i="104"/>
  <c r="L278" i="104"/>
  <c r="M278" i="104"/>
  <c r="N278" i="104"/>
  <c r="O278" i="104"/>
  <c r="P278" i="104"/>
  <c r="Q278" i="104"/>
  <c r="R278" i="104"/>
  <c r="S278" i="104"/>
  <c r="T278" i="104"/>
  <c r="U278" i="104"/>
  <c r="W278" i="104"/>
  <c r="K279" i="104"/>
  <c r="V279" i="104"/>
  <c r="K280" i="104"/>
  <c r="V280" i="104"/>
  <c r="K281" i="104"/>
  <c r="V281" i="104"/>
  <c r="K282" i="104"/>
  <c r="V282" i="104"/>
  <c r="J283" i="104"/>
  <c r="L283" i="104"/>
  <c r="M283" i="104"/>
  <c r="N283" i="104"/>
  <c r="O283" i="104"/>
  <c r="P283" i="104"/>
  <c r="Q283" i="104"/>
  <c r="R283" i="104"/>
  <c r="S283" i="104"/>
  <c r="T283" i="104"/>
  <c r="U283" i="104"/>
  <c r="W283" i="104"/>
  <c r="K284" i="104"/>
  <c r="V284" i="104"/>
  <c r="K285" i="104"/>
  <c r="V285" i="104"/>
  <c r="K286" i="104"/>
  <c r="V286" i="104"/>
  <c r="J287" i="104"/>
  <c r="L287" i="104"/>
  <c r="M287" i="104"/>
  <c r="N287" i="104"/>
  <c r="O287" i="104"/>
  <c r="P287" i="104"/>
  <c r="Q287" i="104"/>
  <c r="R287" i="104"/>
  <c r="S287" i="104"/>
  <c r="T287" i="104"/>
  <c r="U287" i="104"/>
  <c r="W287" i="104"/>
  <c r="K288" i="104"/>
  <c r="V288" i="104"/>
  <c r="K289" i="104"/>
  <c r="V289" i="104"/>
  <c r="V287" i="104" s="1"/>
  <c r="J290" i="104"/>
  <c r="U290" i="104"/>
  <c r="W290" i="104"/>
  <c r="K291" i="104"/>
  <c r="V291" i="104"/>
  <c r="V290" i="104" s="1"/>
  <c r="I293" i="104"/>
  <c r="J293" i="104"/>
  <c r="L293" i="104"/>
  <c r="M293" i="104"/>
  <c r="N293" i="104"/>
  <c r="O293" i="104"/>
  <c r="P293" i="104"/>
  <c r="Q293" i="104"/>
  <c r="R293" i="104"/>
  <c r="S293" i="104"/>
  <c r="T293" i="104"/>
  <c r="U293" i="104"/>
  <c r="W293" i="104"/>
  <c r="K294" i="104"/>
  <c r="V294" i="104"/>
  <c r="K295" i="104"/>
  <c r="V295" i="104"/>
  <c r="K296" i="104"/>
  <c r="V296" i="104"/>
  <c r="K297" i="104"/>
  <c r="V297" i="104"/>
  <c r="K298" i="104"/>
  <c r="V298" i="104"/>
  <c r="J299" i="104"/>
  <c r="L299" i="104"/>
  <c r="M299" i="104"/>
  <c r="N299" i="104"/>
  <c r="O299" i="104"/>
  <c r="P299" i="104"/>
  <c r="Q299" i="104"/>
  <c r="R299" i="104"/>
  <c r="S299" i="104"/>
  <c r="T299" i="104"/>
  <c r="U299" i="104"/>
  <c r="W299" i="104"/>
  <c r="K300" i="104"/>
  <c r="V300" i="104"/>
  <c r="K301" i="104"/>
  <c r="V301" i="104"/>
  <c r="K302" i="104"/>
  <c r="V302" i="104"/>
  <c r="B303" i="104"/>
  <c r="C303" i="104"/>
  <c r="D303" i="104"/>
  <c r="E303" i="104"/>
  <c r="F303" i="104"/>
  <c r="G303" i="104"/>
  <c r="H303" i="104"/>
  <c r="I303" i="104"/>
  <c r="J303" i="104"/>
  <c r="L303" i="104"/>
  <c r="M303" i="104"/>
  <c r="N303" i="104"/>
  <c r="O303" i="104"/>
  <c r="P303" i="104"/>
  <c r="Q303" i="104"/>
  <c r="R303" i="104"/>
  <c r="S303" i="104"/>
  <c r="T303" i="104"/>
  <c r="U303" i="104"/>
  <c r="W303" i="104"/>
  <c r="K304" i="104"/>
  <c r="V304" i="104"/>
  <c r="K305" i="104"/>
  <c r="V305" i="104"/>
  <c r="E306" i="104"/>
  <c r="F306" i="104"/>
  <c r="G306" i="104"/>
  <c r="H306" i="104"/>
  <c r="I306" i="104"/>
  <c r="J306" i="104"/>
  <c r="M306" i="104"/>
  <c r="N306" i="104"/>
  <c r="P306" i="104"/>
  <c r="Q306" i="104"/>
  <c r="R306" i="104"/>
  <c r="S306" i="104"/>
  <c r="T306" i="104"/>
  <c r="U306" i="104"/>
  <c r="D307" i="104"/>
  <c r="D306" i="104" s="1"/>
  <c r="L307" i="104"/>
  <c r="L306" i="104" s="1"/>
  <c r="O307" i="104"/>
  <c r="W307" i="104"/>
  <c r="W306" i="104" s="1"/>
  <c r="K308" i="104"/>
  <c r="V308" i="104"/>
  <c r="K309" i="104"/>
  <c r="V309" i="104"/>
  <c r="J329" i="104"/>
  <c r="K329" i="104"/>
  <c r="L329" i="104"/>
  <c r="W329" i="104"/>
  <c r="J336" i="104"/>
  <c r="L336" i="104"/>
  <c r="W336" i="104"/>
  <c r="L340" i="104"/>
  <c r="V340" i="104"/>
  <c r="W340" i="104"/>
  <c r="B11" i="102"/>
  <c r="C11" i="102"/>
  <c r="D11" i="102"/>
  <c r="E11" i="102"/>
  <c r="F11" i="102"/>
  <c r="G11" i="102"/>
  <c r="H11" i="102"/>
  <c r="I11" i="102"/>
  <c r="J11" i="102"/>
  <c r="L11" i="102"/>
  <c r="M11" i="102"/>
  <c r="N11" i="102"/>
  <c r="O11" i="102"/>
  <c r="P11" i="102"/>
  <c r="Q11" i="102"/>
  <c r="R11" i="102"/>
  <c r="S11" i="102"/>
  <c r="T11" i="102"/>
  <c r="U11" i="102"/>
  <c r="W11" i="102"/>
  <c r="K15" i="102"/>
  <c r="V15" i="102"/>
  <c r="K16" i="102"/>
  <c r="K11" i="102" s="1"/>
  <c r="V16" i="102"/>
  <c r="B20" i="102"/>
  <c r="C20" i="102"/>
  <c r="D20" i="102"/>
  <c r="E20" i="102"/>
  <c r="F20" i="102"/>
  <c r="G20" i="102"/>
  <c r="H20" i="102"/>
  <c r="I20" i="102"/>
  <c r="J20" i="102"/>
  <c r="L20" i="102"/>
  <c r="M20" i="102"/>
  <c r="N20" i="102"/>
  <c r="O20" i="102"/>
  <c r="P20" i="102"/>
  <c r="Q20" i="102"/>
  <c r="R20" i="102"/>
  <c r="S20" i="102"/>
  <c r="T20" i="102"/>
  <c r="U20" i="102"/>
  <c r="W20" i="102"/>
  <c r="K21" i="102"/>
  <c r="V21" i="102"/>
  <c r="K22" i="102"/>
  <c r="V22" i="102"/>
  <c r="K23" i="102"/>
  <c r="V23" i="102"/>
  <c r="K24" i="102"/>
  <c r="V24" i="102"/>
  <c r="K25" i="102"/>
  <c r="V25" i="102"/>
  <c r="K26" i="102"/>
  <c r="V26" i="102"/>
  <c r="B27" i="102"/>
  <c r="C27" i="102"/>
  <c r="D27" i="102"/>
  <c r="E27" i="102"/>
  <c r="F27" i="102"/>
  <c r="G27" i="102"/>
  <c r="H27" i="102"/>
  <c r="I27" i="102"/>
  <c r="J27" i="102"/>
  <c r="L27" i="102"/>
  <c r="M27" i="102"/>
  <c r="N27" i="102"/>
  <c r="O27" i="102"/>
  <c r="P27" i="102"/>
  <c r="Q27" i="102"/>
  <c r="R27" i="102"/>
  <c r="S27" i="102"/>
  <c r="T27" i="102"/>
  <c r="U27" i="102"/>
  <c r="W27" i="102"/>
  <c r="K28" i="102"/>
  <c r="V28" i="102"/>
  <c r="K29" i="102"/>
  <c r="V29" i="102"/>
  <c r="K30" i="102"/>
  <c r="V30" i="102"/>
  <c r="K31" i="102"/>
  <c r="V31" i="102"/>
  <c r="K32" i="102"/>
  <c r="V32" i="102"/>
  <c r="K33" i="102"/>
  <c r="V33" i="102"/>
  <c r="B34" i="102"/>
  <c r="C34" i="102"/>
  <c r="D34" i="102"/>
  <c r="E34" i="102"/>
  <c r="F34" i="102"/>
  <c r="G34" i="102"/>
  <c r="H34" i="102"/>
  <c r="I34" i="102"/>
  <c r="J34" i="102"/>
  <c r="L34" i="102"/>
  <c r="M34" i="102"/>
  <c r="N34" i="102"/>
  <c r="O34" i="102"/>
  <c r="P34" i="102"/>
  <c r="Q34" i="102"/>
  <c r="R34" i="102"/>
  <c r="S34" i="102"/>
  <c r="T34" i="102"/>
  <c r="U34" i="102"/>
  <c r="W34" i="102"/>
  <c r="K35" i="102"/>
  <c r="V35" i="102"/>
  <c r="K36" i="102"/>
  <c r="V36" i="102"/>
  <c r="K37" i="102"/>
  <c r="V37" i="102"/>
  <c r="K38" i="102"/>
  <c r="V38" i="102"/>
  <c r="K39" i="102"/>
  <c r="V39" i="102"/>
  <c r="K40" i="102"/>
  <c r="V40" i="102"/>
  <c r="B42" i="102"/>
  <c r="C42" i="102"/>
  <c r="D42" i="102"/>
  <c r="E42" i="102"/>
  <c r="F42" i="102"/>
  <c r="G42" i="102"/>
  <c r="H42" i="102"/>
  <c r="I42" i="102"/>
  <c r="J42" i="102"/>
  <c r="L42" i="102"/>
  <c r="M42" i="102"/>
  <c r="N42" i="102"/>
  <c r="O42" i="102"/>
  <c r="P42" i="102"/>
  <c r="Q42" i="102"/>
  <c r="R42" i="102"/>
  <c r="S42" i="102"/>
  <c r="T42" i="102"/>
  <c r="U42" i="102"/>
  <c r="W42" i="102"/>
  <c r="K43" i="102"/>
  <c r="V43" i="102"/>
  <c r="V44" i="102"/>
  <c r="V45" i="102"/>
  <c r="K47" i="102"/>
  <c r="V47" i="102"/>
  <c r="K48" i="102"/>
  <c r="V48" i="102"/>
  <c r="K49" i="102"/>
  <c r="V49" i="102"/>
  <c r="B50" i="102"/>
  <c r="C50" i="102"/>
  <c r="D50" i="102"/>
  <c r="E50" i="102"/>
  <c r="F50" i="102"/>
  <c r="G50" i="102"/>
  <c r="H50" i="102"/>
  <c r="I50" i="102"/>
  <c r="J50" i="102"/>
  <c r="L50" i="102"/>
  <c r="M50" i="102"/>
  <c r="N50" i="102"/>
  <c r="O50" i="102"/>
  <c r="P50" i="102"/>
  <c r="Q50" i="102"/>
  <c r="R50" i="102"/>
  <c r="S50" i="102"/>
  <c r="T50" i="102"/>
  <c r="U50" i="102"/>
  <c r="W50" i="102"/>
  <c r="K51" i="102"/>
  <c r="V51" i="102"/>
  <c r="K52" i="102"/>
  <c r="V52" i="102"/>
  <c r="K53" i="102"/>
  <c r="V53" i="102"/>
  <c r="K54" i="102"/>
  <c r="V54" i="102"/>
  <c r="K55" i="102"/>
  <c r="V55" i="102"/>
  <c r="K56" i="102"/>
  <c r="V56" i="102"/>
  <c r="K57" i="102"/>
  <c r="V57" i="102"/>
  <c r="K58" i="102"/>
  <c r="V58" i="102"/>
  <c r="K59" i="102"/>
  <c r="V59" i="102"/>
  <c r="K60" i="102"/>
  <c r="V60" i="102"/>
  <c r="K61" i="102"/>
  <c r="V61" i="102"/>
  <c r="K62" i="102"/>
  <c r="V62" i="102"/>
  <c r="K63" i="102"/>
  <c r="V63" i="102"/>
  <c r="K64" i="102"/>
  <c r="V64" i="102"/>
  <c r="K65" i="102"/>
  <c r="V65" i="102"/>
  <c r="K66" i="102"/>
  <c r="V66" i="102"/>
  <c r="B67" i="102"/>
  <c r="C67" i="102"/>
  <c r="D67" i="102"/>
  <c r="E67" i="102"/>
  <c r="F67" i="102"/>
  <c r="G67" i="102"/>
  <c r="H67" i="102"/>
  <c r="I67" i="102"/>
  <c r="J67" i="102"/>
  <c r="L67" i="102"/>
  <c r="M67" i="102"/>
  <c r="N67" i="102"/>
  <c r="O67" i="102"/>
  <c r="P67" i="102"/>
  <c r="Q67" i="102"/>
  <c r="R67" i="102"/>
  <c r="S67" i="102"/>
  <c r="T67" i="102"/>
  <c r="U67" i="102"/>
  <c r="W67" i="102"/>
  <c r="K68" i="102"/>
  <c r="V68" i="102"/>
  <c r="K69" i="102"/>
  <c r="V69" i="102"/>
  <c r="K70" i="102"/>
  <c r="V70" i="102"/>
  <c r="K71" i="102"/>
  <c r="V71" i="102"/>
  <c r="K72" i="102"/>
  <c r="V72" i="102"/>
  <c r="K73" i="102"/>
  <c r="V73" i="102"/>
  <c r="K74" i="102"/>
  <c r="V74" i="102"/>
  <c r="K75" i="102"/>
  <c r="V75" i="102"/>
  <c r="K76" i="102"/>
  <c r="V76" i="102"/>
  <c r="K77" i="102"/>
  <c r="V77" i="102"/>
  <c r="K78" i="102"/>
  <c r="V78" i="102"/>
  <c r="B79" i="102"/>
  <c r="C79" i="102"/>
  <c r="D79" i="102"/>
  <c r="E79" i="102"/>
  <c r="F79" i="102"/>
  <c r="G79" i="102"/>
  <c r="H79" i="102"/>
  <c r="I79" i="102"/>
  <c r="J79" i="102"/>
  <c r="L79" i="102"/>
  <c r="M79" i="102"/>
  <c r="N79" i="102"/>
  <c r="O79" i="102"/>
  <c r="P79" i="102"/>
  <c r="Q79" i="102"/>
  <c r="R79" i="102"/>
  <c r="S79" i="102"/>
  <c r="T79" i="102"/>
  <c r="U79" i="102"/>
  <c r="W79" i="102"/>
  <c r="K80" i="102"/>
  <c r="V80" i="102"/>
  <c r="K81" i="102"/>
  <c r="V81" i="102"/>
  <c r="K82" i="102"/>
  <c r="V82" i="102"/>
  <c r="K83" i="102"/>
  <c r="V83" i="102"/>
  <c r="K84" i="102"/>
  <c r="V84" i="102"/>
  <c r="K85" i="102"/>
  <c r="V85" i="102"/>
  <c r="K86" i="102"/>
  <c r="V86" i="102"/>
  <c r="K87" i="102"/>
  <c r="V87" i="102"/>
  <c r="K88" i="102"/>
  <c r="V88" i="102"/>
  <c r="K89" i="102"/>
  <c r="V89" i="102"/>
  <c r="K90" i="102"/>
  <c r="V90" i="102"/>
  <c r="B92" i="102"/>
  <c r="C92" i="102"/>
  <c r="D92" i="102"/>
  <c r="E92" i="102"/>
  <c r="F92" i="102"/>
  <c r="G92" i="102"/>
  <c r="H92" i="102"/>
  <c r="I92" i="102"/>
  <c r="J92" i="102"/>
  <c r="L92" i="102"/>
  <c r="M92" i="102"/>
  <c r="N92" i="102"/>
  <c r="O92" i="102"/>
  <c r="P92" i="102"/>
  <c r="Q92" i="102"/>
  <c r="R92" i="102"/>
  <c r="S92" i="102"/>
  <c r="T92" i="102"/>
  <c r="U92" i="102"/>
  <c r="W92" i="102"/>
  <c r="K93" i="102"/>
  <c r="V93" i="102"/>
  <c r="K94" i="102"/>
  <c r="V94" i="102"/>
  <c r="K95" i="102"/>
  <c r="V95" i="102"/>
  <c r="K96" i="102"/>
  <c r="V96" i="102"/>
  <c r="K97" i="102"/>
  <c r="V97" i="102"/>
  <c r="K98" i="102"/>
  <c r="V98" i="102"/>
  <c r="B99" i="102"/>
  <c r="C99" i="102"/>
  <c r="D99" i="102"/>
  <c r="E99" i="102"/>
  <c r="F99" i="102"/>
  <c r="G99" i="102"/>
  <c r="H99" i="102"/>
  <c r="I99" i="102"/>
  <c r="J99" i="102"/>
  <c r="L99" i="102"/>
  <c r="M99" i="102"/>
  <c r="N99" i="102"/>
  <c r="O99" i="102"/>
  <c r="P99" i="102"/>
  <c r="Q99" i="102"/>
  <c r="R99" i="102"/>
  <c r="S99" i="102"/>
  <c r="T99" i="102"/>
  <c r="U99" i="102"/>
  <c r="W99" i="102"/>
  <c r="K100" i="102"/>
  <c r="V100" i="102"/>
  <c r="K101" i="102"/>
  <c r="V101" i="102"/>
  <c r="K102" i="102"/>
  <c r="V102" i="102"/>
  <c r="K103" i="102"/>
  <c r="V103" i="102"/>
  <c r="K104" i="102"/>
  <c r="V104" i="102"/>
  <c r="B106" i="102"/>
  <c r="C106" i="102"/>
  <c r="D106" i="102"/>
  <c r="E106" i="102"/>
  <c r="F106" i="102"/>
  <c r="G106" i="102"/>
  <c r="H106" i="102"/>
  <c r="I106" i="102"/>
  <c r="J106" i="102"/>
  <c r="L106" i="102"/>
  <c r="M106" i="102"/>
  <c r="N106" i="102"/>
  <c r="O106" i="102"/>
  <c r="P106" i="102"/>
  <c r="Q106" i="102"/>
  <c r="R106" i="102"/>
  <c r="S106" i="102"/>
  <c r="T106" i="102"/>
  <c r="U106" i="102"/>
  <c r="W106" i="102"/>
  <c r="K107" i="102"/>
  <c r="V107" i="102"/>
  <c r="K108" i="102"/>
  <c r="V108" i="102"/>
  <c r="K109" i="102"/>
  <c r="V109" i="102"/>
  <c r="K110" i="102"/>
  <c r="V110" i="102"/>
  <c r="K111" i="102"/>
  <c r="V111" i="102"/>
  <c r="B112" i="102"/>
  <c r="C112" i="102"/>
  <c r="D112" i="102"/>
  <c r="E112" i="102"/>
  <c r="F112" i="102"/>
  <c r="G112" i="102"/>
  <c r="H112" i="102"/>
  <c r="I112" i="102"/>
  <c r="J112" i="102"/>
  <c r="L112" i="102"/>
  <c r="M112" i="102"/>
  <c r="N112" i="102"/>
  <c r="O112" i="102"/>
  <c r="P112" i="102"/>
  <c r="Q112" i="102"/>
  <c r="R112" i="102"/>
  <c r="S112" i="102"/>
  <c r="T112" i="102"/>
  <c r="U112" i="102"/>
  <c r="W112" i="102"/>
  <c r="K113" i="102"/>
  <c r="V113" i="102"/>
  <c r="K114" i="102"/>
  <c r="V114" i="102"/>
  <c r="K115" i="102"/>
  <c r="V115" i="102"/>
  <c r="K116" i="102"/>
  <c r="V116" i="102"/>
  <c r="K117" i="102"/>
  <c r="V117" i="102"/>
  <c r="B118" i="102"/>
  <c r="C118" i="102"/>
  <c r="D118" i="102"/>
  <c r="E118" i="102"/>
  <c r="F118" i="102"/>
  <c r="G118" i="102"/>
  <c r="H118" i="102"/>
  <c r="I118" i="102"/>
  <c r="J118" i="102"/>
  <c r="L118" i="102"/>
  <c r="M118" i="102"/>
  <c r="N118" i="102"/>
  <c r="O118" i="102"/>
  <c r="P118" i="102"/>
  <c r="Q118" i="102"/>
  <c r="R118" i="102"/>
  <c r="S118" i="102"/>
  <c r="T118" i="102"/>
  <c r="U118" i="102"/>
  <c r="W118" i="102"/>
  <c r="K119" i="102"/>
  <c r="V119" i="102"/>
  <c r="K120" i="102"/>
  <c r="V120" i="102"/>
  <c r="K121" i="102"/>
  <c r="V121" i="102"/>
  <c r="K122" i="102"/>
  <c r="V122" i="102"/>
  <c r="K123" i="102"/>
  <c r="V123" i="102"/>
  <c r="B124" i="102"/>
  <c r="C124" i="102"/>
  <c r="D124" i="102"/>
  <c r="E124" i="102"/>
  <c r="F124" i="102"/>
  <c r="G124" i="102"/>
  <c r="H124" i="102"/>
  <c r="I124" i="102"/>
  <c r="J124" i="102"/>
  <c r="L124" i="102"/>
  <c r="M124" i="102"/>
  <c r="N124" i="102"/>
  <c r="O124" i="102"/>
  <c r="P124" i="102"/>
  <c r="Q124" i="102"/>
  <c r="R124" i="102"/>
  <c r="S124" i="102"/>
  <c r="T124" i="102"/>
  <c r="U124" i="102"/>
  <c r="W124" i="102"/>
  <c r="K125" i="102"/>
  <c r="V125" i="102"/>
  <c r="K126" i="102"/>
  <c r="V126" i="102"/>
  <c r="K127" i="102"/>
  <c r="V127" i="102"/>
  <c r="K128" i="102"/>
  <c r="V128" i="102"/>
  <c r="K129" i="102"/>
  <c r="V129" i="102"/>
  <c r="B130" i="102"/>
  <c r="C130" i="102"/>
  <c r="D130" i="102"/>
  <c r="E130" i="102"/>
  <c r="F130" i="102"/>
  <c r="G130" i="102"/>
  <c r="H130" i="102"/>
  <c r="I130" i="102"/>
  <c r="J130" i="102"/>
  <c r="L130" i="102"/>
  <c r="M130" i="102"/>
  <c r="N130" i="102"/>
  <c r="O130" i="102"/>
  <c r="P130" i="102"/>
  <c r="Q130" i="102"/>
  <c r="R130" i="102"/>
  <c r="S130" i="102"/>
  <c r="T130" i="102"/>
  <c r="U130" i="102"/>
  <c r="W130" i="102"/>
  <c r="K131" i="102"/>
  <c r="V131" i="102"/>
  <c r="K132" i="102"/>
  <c r="V132" i="102"/>
  <c r="K133" i="102"/>
  <c r="V133" i="102"/>
  <c r="K134" i="102"/>
  <c r="V134" i="102"/>
  <c r="K135" i="102"/>
  <c r="V135" i="102"/>
  <c r="B136" i="102"/>
  <c r="C136" i="102"/>
  <c r="D136" i="102"/>
  <c r="E136" i="102"/>
  <c r="F136" i="102"/>
  <c r="G136" i="102"/>
  <c r="H136" i="102"/>
  <c r="I136" i="102"/>
  <c r="J136" i="102"/>
  <c r="L136" i="102"/>
  <c r="M136" i="102"/>
  <c r="N136" i="102"/>
  <c r="O136" i="102"/>
  <c r="P136" i="102"/>
  <c r="Q136" i="102"/>
  <c r="R136" i="102"/>
  <c r="S136" i="102"/>
  <c r="T136" i="102"/>
  <c r="U136" i="102"/>
  <c r="W136" i="102"/>
  <c r="K137" i="102"/>
  <c r="V137" i="102"/>
  <c r="K138" i="102"/>
  <c r="V138" i="102"/>
  <c r="K139" i="102"/>
  <c r="V139" i="102"/>
  <c r="K140" i="102"/>
  <c r="V140" i="102"/>
  <c r="K141" i="102"/>
  <c r="V141" i="102"/>
  <c r="B142" i="102"/>
  <c r="C142" i="102"/>
  <c r="D142" i="102"/>
  <c r="E142" i="102"/>
  <c r="F142" i="102"/>
  <c r="G142" i="102"/>
  <c r="H142" i="102"/>
  <c r="I142" i="102"/>
  <c r="J142" i="102"/>
  <c r="L142" i="102"/>
  <c r="M142" i="102"/>
  <c r="N142" i="102"/>
  <c r="O142" i="102"/>
  <c r="P142" i="102"/>
  <c r="Q142" i="102"/>
  <c r="R142" i="102"/>
  <c r="S142" i="102"/>
  <c r="T142" i="102"/>
  <c r="U142" i="102"/>
  <c r="W142" i="102"/>
  <c r="K143" i="102"/>
  <c r="V143" i="102"/>
  <c r="K144" i="102"/>
  <c r="V144" i="102"/>
  <c r="K145" i="102"/>
  <c r="V145" i="102"/>
  <c r="K146" i="102"/>
  <c r="V146" i="102"/>
  <c r="K147" i="102"/>
  <c r="V147" i="102"/>
  <c r="B148" i="102"/>
  <c r="C148" i="102"/>
  <c r="D148" i="102"/>
  <c r="E148" i="102"/>
  <c r="F148" i="102"/>
  <c r="G148" i="102"/>
  <c r="H148" i="102"/>
  <c r="I148" i="102"/>
  <c r="J148" i="102"/>
  <c r="L148" i="102"/>
  <c r="M148" i="102"/>
  <c r="N148" i="102"/>
  <c r="O148" i="102"/>
  <c r="P148" i="102"/>
  <c r="Q148" i="102"/>
  <c r="R148" i="102"/>
  <c r="S148" i="102"/>
  <c r="T148" i="102"/>
  <c r="U148" i="102"/>
  <c r="W148" i="102"/>
  <c r="K149" i="102"/>
  <c r="V149" i="102"/>
  <c r="K150" i="102"/>
  <c r="V150" i="102"/>
  <c r="K151" i="102"/>
  <c r="V151" i="102"/>
  <c r="K152" i="102"/>
  <c r="V152" i="102"/>
  <c r="K153" i="102"/>
  <c r="V153" i="102"/>
  <c r="B154" i="102"/>
  <c r="C154" i="102"/>
  <c r="D154" i="102"/>
  <c r="E154" i="102"/>
  <c r="F154" i="102"/>
  <c r="G154" i="102"/>
  <c r="H154" i="102"/>
  <c r="I154" i="102"/>
  <c r="J154" i="102"/>
  <c r="L154" i="102"/>
  <c r="M154" i="102"/>
  <c r="N154" i="102"/>
  <c r="O154" i="102"/>
  <c r="P154" i="102"/>
  <c r="Q154" i="102"/>
  <c r="R154" i="102"/>
  <c r="S154" i="102"/>
  <c r="T154" i="102"/>
  <c r="U154" i="102"/>
  <c r="W154" i="102"/>
  <c r="K155" i="102"/>
  <c r="V155" i="102"/>
  <c r="K156" i="102"/>
  <c r="V156" i="102"/>
  <c r="K157" i="102"/>
  <c r="V157" i="102"/>
  <c r="K158" i="102"/>
  <c r="V158" i="102"/>
  <c r="K159" i="102"/>
  <c r="V159" i="102"/>
  <c r="B160" i="102"/>
  <c r="C160" i="102"/>
  <c r="D160" i="102"/>
  <c r="E160" i="102"/>
  <c r="F160" i="102"/>
  <c r="G160" i="102"/>
  <c r="H160" i="102"/>
  <c r="I160" i="102"/>
  <c r="J160" i="102"/>
  <c r="L160" i="102"/>
  <c r="M160" i="102"/>
  <c r="N160" i="102"/>
  <c r="O160" i="102"/>
  <c r="P160" i="102"/>
  <c r="Q160" i="102"/>
  <c r="R160" i="102"/>
  <c r="S160" i="102"/>
  <c r="T160" i="102"/>
  <c r="U160" i="102"/>
  <c r="W160" i="102"/>
  <c r="K161" i="102"/>
  <c r="V161" i="102"/>
  <c r="K162" i="102"/>
  <c r="V162" i="102"/>
  <c r="K163" i="102"/>
  <c r="V163" i="102"/>
  <c r="K164" i="102"/>
  <c r="V164" i="102"/>
  <c r="K165" i="102"/>
  <c r="V165" i="102"/>
  <c r="B166" i="102"/>
  <c r="C166" i="102"/>
  <c r="D166" i="102"/>
  <c r="E166" i="102"/>
  <c r="F166" i="102"/>
  <c r="G166" i="102"/>
  <c r="H166" i="102"/>
  <c r="I166" i="102"/>
  <c r="J166" i="102"/>
  <c r="L166" i="102"/>
  <c r="M166" i="102"/>
  <c r="N166" i="102"/>
  <c r="O166" i="102"/>
  <c r="P166" i="102"/>
  <c r="Q166" i="102"/>
  <c r="R166" i="102"/>
  <c r="S166" i="102"/>
  <c r="T166" i="102"/>
  <c r="U166" i="102"/>
  <c r="W166" i="102"/>
  <c r="K167" i="102"/>
  <c r="V167" i="102"/>
  <c r="K168" i="102"/>
  <c r="V168" i="102"/>
  <c r="K169" i="102"/>
  <c r="V169" i="102"/>
  <c r="K170" i="102"/>
  <c r="V170" i="102"/>
  <c r="K171" i="102"/>
  <c r="V171" i="102"/>
  <c r="B172" i="102"/>
  <c r="C172" i="102"/>
  <c r="D172" i="102"/>
  <c r="E172" i="102"/>
  <c r="F172" i="102"/>
  <c r="G172" i="102"/>
  <c r="H172" i="102"/>
  <c r="I172" i="102"/>
  <c r="J172" i="102"/>
  <c r="L172" i="102"/>
  <c r="M172" i="102"/>
  <c r="N172" i="102"/>
  <c r="O172" i="102"/>
  <c r="P172" i="102"/>
  <c r="Q172" i="102"/>
  <c r="R172" i="102"/>
  <c r="S172" i="102"/>
  <c r="T172" i="102"/>
  <c r="U172" i="102"/>
  <c r="W172" i="102"/>
  <c r="K173" i="102"/>
  <c r="V173" i="102"/>
  <c r="K174" i="102"/>
  <c r="V174" i="102"/>
  <c r="K175" i="102"/>
  <c r="V175" i="102"/>
  <c r="K176" i="102"/>
  <c r="V176" i="102"/>
  <c r="K177" i="102"/>
  <c r="V177" i="102"/>
  <c r="B178" i="102"/>
  <c r="C178" i="102"/>
  <c r="D178" i="102"/>
  <c r="E178" i="102"/>
  <c r="F178" i="102"/>
  <c r="G178" i="102"/>
  <c r="H178" i="102"/>
  <c r="I178" i="102"/>
  <c r="J178" i="102"/>
  <c r="L178" i="102"/>
  <c r="M178" i="102"/>
  <c r="N178" i="102"/>
  <c r="O178" i="102"/>
  <c r="P178" i="102"/>
  <c r="Q178" i="102"/>
  <c r="R178" i="102"/>
  <c r="S178" i="102"/>
  <c r="T178" i="102"/>
  <c r="U178" i="102"/>
  <c r="W178" i="102"/>
  <c r="K179" i="102"/>
  <c r="V179" i="102"/>
  <c r="K180" i="102"/>
  <c r="V180" i="102"/>
  <c r="K181" i="102"/>
  <c r="V181" i="102"/>
  <c r="K182" i="102"/>
  <c r="V182" i="102"/>
  <c r="K183" i="102"/>
  <c r="V183" i="102"/>
  <c r="K184" i="102"/>
  <c r="V184" i="102"/>
  <c r="B185" i="102"/>
  <c r="C185" i="102"/>
  <c r="D185" i="102"/>
  <c r="E185" i="102"/>
  <c r="F185" i="102"/>
  <c r="G185" i="102"/>
  <c r="H185" i="102"/>
  <c r="I185" i="102"/>
  <c r="J185" i="102"/>
  <c r="L185" i="102"/>
  <c r="M185" i="102"/>
  <c r="N185" i="102"/>
  <c r="O185" i="102"/>
  <c r="P185" i="102"/>
  <c r="Q185" i="102"/>
  <c r="R185" i="102"/>
  <c r="S185" i="102"/>
  <c r="T185" i="102"/>
  <c r="U185" i="102"/>
  <c r="W185" i="102"/>
  <c r="K186" i="102"/>
  <c r="V186" i="102"/>
  <c r="K187" i="102"/>
  <c r="V187" i="102"/>
  <c r="B188" i="102"/>
  <c r="C188" i="102"/>
  <c r="D188" i="102"/>
  <c r="E188" i="102"/>
  <c r="F188" i="102"/>
  <c r="G188" i="102"/>
  <c r="H188" i="102"/>
  <c r="I188" i="102"/>
  <c r="J188" i="102"/>
  <c r="L188" i="102"/>
  <c r="M188" i="102"/>
  <c r="N188" i="102"/>
  <c r="O188" i="102"/>
  <c r="P188" i="102"/>
  <c r="Q188" i="102"/>
  <c r="R188" i="102"/>
  <c r="S188" i="102"/>
  <c r="T188" i="102"/>
  <c r="U188" i="102"/>
  <c r="W188" i="102"/>
  <c r="K189" i="102"/>
  <c r="V189" i="102"/>
  <c r="V188" i="102" s="1"/>
  <c r="K190" i="102"/>
  <c r="V190" i="102"/>
  <c r="B192" i="102"/>
  <c r="C192" i="102"/>
  <c r="D192" i="102"/>
  <c r="E192" i="102"/>
  <c r="F192" i="102"/>
  <c r="G192" i="102"/>
  <c r="H192" i="102"/>
  <c r="I192" i="102"/>
  <c r="J192" i="102"/>
  <c r="L192" i="102"/>
  <c r="M192" i="102"/>
  <c r="N192" i="102"/>
  <c r="O192" i="102"/>
  <c r="P192" i="102"/>
  <c r="Q192" i="102"/>
  <c r="R192" i="102"/>
  <c r="S192" i="102"/>
  <c r="T192" i="102"/>
  <c r="U192" i="102"/>
  <c r="W192" i="102"/>
  <c r="K193" i="102"/>
  <c r="V193" i="102"/>
  <c r="K194" i="102"/>
  <c r="V194" i="102"/>
  <c r="K195" i="102"/>
  <c r="V195" i="102"/>
  <c r="K196" i="102"/>
  <c r="V196" i="102"/>
  <c r="K197" i="102"/>
  <c r="V197" i="102"/>
  <c r="K198" i="102"/>
  <c r="V198" i="102"/>
  <c r="B199" i="102"/>
  <c r="C199" i="102"/>
  <c r="D199" i="102"/>
  <c r="E199" i="102"/>
  <c r="F199" i="102"/>
  <c r="G199" i="102"/>
  <c r="H199" i="102"/>
  <c r="I199" i="102"/>
  <c r="J199" i="102"/>
  <c r="L199" i="102"/>
  <c r="M199" i="102"/>
  <c r="N199" i="102"/>
  <c r="O199" i="102"/>
  <c r="P199" i="102"/>
  <c r="Q199" i="102"/>
  <c r="R199" i="102"/>
  <c r="S199" i="102"/>
  <c r="T199" i="102"/>
  <c r="U199" i="102"/>
  <c r="W199" i="102"/>
  <c r="K200" i="102"/>
  <c r="V200" i="102"/>
  <c r="K201" i="102"/>
  <c r="V201" i="102"/>
  <c r="K202" i="102"/>
  <c r="V202" i="102"/>
  <c r="K203" i="102"/>
  <c r="V203" i="102"/>
  <c r="K204" i="102"/>
  <c r="V204" i="102"/>
  <c r="K205" i="102"/>
  <c r="V205" i="102"/>
  <c r="B206" i="102"/>
  <c r="C206" i="102"/>
  <c r="D206" i="102"/>
  <c r="E206" i="102"/>
  <c r="F206" i="102"/>
  <c r="G206" i="102"/>
  <c r="H206" i="102"/>
  <c r="I206" i="102"/>
  <c r="J206" i="102"/>
  <c r="L206" i="102"/>
  <c r="M206" i="102"/>
  <c r="N206" i="102"/>
  <c r="O206" i="102"/>
  <c r="P206" i="102"/>
  <c r="Q206" i="102"/>
  <c r="R206" i="102"/>
  <c r="S206" i="102"/>
  <c r="T206" i="102"/>
  <c r="U206" i="102"/>
  <c r="W206" i="102"/>
  <c r="K207" i="102"/>
  <c r="V207" i="102"/>
  <c r="K208" i="102"/>
  <c r="V208" i="102"/>
  <c r="K209" i="102"/>
  <c r="V209" i="102"/>
  <c r="K210" i="102"/>
  <c r="V210" i="102"/>
  <c r="K211" i="102"/>
  <c r="V211" i="102"/>
  <c r="K212" i="102"/>
  <c r="V212" i="102"/>
  <c r="L213" i="102"/>
  <c r="M213" i="102"/>
  <c r="N213" i="102"/>
  <c r="O213" i="102"/>
  <c r="P213" i="102"/>
  <c r="Q213" i="102"/>
  <c r="R213" i="102"/>
  <c r="S213" i="102"/>
  <c r="T213" i="102"/>
  <c r="U213" i="102"/>
  <c r="W213" i="102"/>
  <c r="K214" i="102"/>
  <c r="V214" i="102"/>
  <c r="J215" i="102"/>
  <c r="J213" i="102" s="1"/>
  <c r="V215" i="102"/>
  <c r="K216" i="102"/>
  <c r="V216" i="102"/>
  <c r="K217" i="102"/>
  <c r="V217" i="102"/>
  <c r="K218" i="102"/>
  <c r="V218" i="102"/>
  <c r="J220" i="102"/>
  <c r="L220" i="102"/>
  <c r="M220" i="102"/>
  <c r="N220" i="102"/>
  <c r="O220" i="102"/>
  <c r="P220" i="102"/>
  <c r="Q220" i="102"/>
  <c r="R220" i="102"/>
  <c r="S220" i="102"/>
  <c r="T220" i="102"/>
  <c r="U220" i="102"/>
  <c r="W220" i="102"/>
  <c r="K221" i="102"/>
  <c r="V221" i="102"/>
  <c r="K222" i="102"/>
  <c r="V222" i="102"/>
  <c r="K223" i="102"/>
  <c r="V223" i="102"/>
  <c r="K224" i="102"/>
  <c r="V224" i="102"/>
  <c r="K225" i="102"/>
  <c r="V225" i="102"/>
  <c r="K226" i="102"/>
  <c r="V226" i="102"/>
  <c r="K227" i="102"/>
  <c r="V227" i="102"/>
  <c r="K228" i="102"/>
  <c r="V228" i="102"/>
  <c r="J229" i="102"/>
  <c r="L229" i="102"/>
  <c r="M229" i="102"/>
  <c r="N229" i="102"/>
  <c r="O229" i="102"/>
  <c r="P229" i="102"/>
  <c r="Q229" i="102"/>
  <c r="R229" i="102"/>
  <c r="S229" i="102"/>
  <c r="T229" i="102"/>
  <c r="U229" i="102"/>
  <c r="W229" i="102"/>
  <c r="K230" i="102"/>
  <c r="V230" i="102"/>
  <c r="K231" i="102"/>
  <c r="V231" i="102"/>
  <c r="K232" i="102"/>
  <c r="V232" i="102"/>
  <c r="K233" i="102"/>
  <c r="V233" i="102"/>
  <c r="K234" i="102"/>
  <c r="V234" i="102"/>
  <c r="K235" i="102"/>
  <c r="V235" i="102"/>
  <c r="K236" i="102"/>
  <c r="V236" i="102"/>
  <c r="K237" i="102"/>
  <c r="V237" i="102"/>
  <c r="J238" i="102"/>
  <c r="L238" i="102"/>
  <c r="M238" i="102"/>
  <c r="N238" i="102"/>
  <c r="O238" i="102"/>
  <c r="P238" i="102"/>
  <c r="Q238" i="102"/>
  <c r="R238" i="102"/>
  <c r="S238" i="102"/>
  <c r="T238" i="102"/>
  <c r="U238" i="102"/>
  <c r="W238" i="102"/>
  <c r="K239" i="102"/>
  <c r="V239" i="102"/>
  <c r="K240" i="102"/>
  <c r="V240" i="102"/>
  <c r="K241" i="102"/>
  <c r="V241" i="102"/>
  <c r="K242" i="102"/>
  <c r="V242" i="102"/>
  <c r="K243" i="102"/>
  <c r="V243" i="102"/>
  <c r="K244" i="102"/>
  <c r="V244" i="102"/>
  <c r="V245" i="102"/>
  <c r="K246" i="102"/>
  <c r="V246" i="102"/>
  <c r="K247" i="102"/>
  <c r="V247" i="102"/>
  <c r="K248" i="102"/>
  <c r="V248" i="102"/>
  <c r="K249" i="102"/>
  <c r="V249" i="102"/>
  <c r="K250" i="102"/>
  <c r="V250" i="102"/>
  <c r="K251" i="102"/>
  <c r="V251" i="102"/>
  <c r="J253" i="102"/>
  <c r="L253" i="102"/>
  <c r="M253" i="102"/>
  <c r="N253" i="102"/>
  <c r="O253" i="102"/>
  <c r="P253" i="102"/>
  <c r="Q253" i="102"/>
  <c r="R253" i="102"/>
  <c r="S253" i="102"/>
  <c r="T253" i="102"/>
  <c r="U253" i="102"/>
  <c r="W253" i="102"/>
  <c r="K254" i="102"/>
  <c r="V254" i="102"/>
  <c r="K255" i="102"/>
  <c r="V255" i="102"/>
  <c r="K256" i="102"/>
  <c r="V256" i="102"/>
  <c r="K257" i="102"/>
  <c r="V257" i="102"/>
  <c r="J258" i="102"/>
  <c r="L258" i="102"/>
  <c r="M258" i="102"/>
  <c r="N258" i="102"/>
  <c r="O258" i="102"/>
  <c r="P258" i="102"/>
  <c r="Q258" i="102"/>
  <c r="R258" i="102"/>
  <c r="S258" i="102"/>
  <c r="T258" i="102"/>
  <c r="U258" i="102"/>
  <c r="W258" i="102"/>
  <c r="K259" i="102"/>
  <c r="V259" i="102"/>
  <c r="K260" i="102"/>
  <c r="V260" i="102"/>
  <c r="K261" i="102"/>
  <c r="V261" i="102"/>
  <c r="J262" i="102"/>
  <c r="L262" i="102"/>
  <c r="M262" i="102"/>
  <c r="N262" i="102"/>
  <c r="O262" i="102"/>
  <c r="P262" i="102"/>
  <c r="Q262" i="102"/>
  <c r="R262" i="102"/>
  <c r="S262" i="102"/>
  <c r="T262" i="102"/>
  <c r="U262" i="102"/>
  <c r="W262" i="102"/>
  <c r="K263" i="102"/>
  <c r="V263" i="102"/>
  <c r="K264" i="102"/>
  <c r="V264" i="102"/>
  <c r="K265" i="102"/>
  <c r="V265" i="102"/>
  <c r="J266" i="102"/>
  <c r="L266" i="102"/>
  <c r="M266" i="102"/>
  <c r="N266" i="102"/>
  <c r="O266" i="102"/>
  <c r="P266" i="102"/>
  <c r="Q266" i="102"/>
  <c r="R266" i="102"/>
  <c r="S266" i="102"/>
  <c r="T266" i="102"/>
  <c r="U266" i="102"/>
  <c r="W266" i="102"/>
  <c r="K267" i="102"/>
  <c r="V267" i="102"/>
  <c r="K268" i="102"/>
  <c r="V268" i="102"/>
  <c r="K269" i="102"/>
  <c r="V269" i="102"/>
  <c r="J270" i="102"/>
  <c r="L270" i="102"/>
  <c r="M270" i="102"/>
  <c r="N270" i="102"/>
  <c r="O270" i="102"/>
  <c r="P270" i="102"/>
  <c r="Q270" i="102"/>
  <c r="R270" i="102"/>
  <c r="S270" i="102"/>
  <c r="T270" i="102"/>
  <c r="U270" i="102"/>
  <c r="W270" i="102"/>
  <c r="K271" i="102"/>
  <c r="V271" i="102"/>
  <c r="K272" i="102"/>
  <c r="V272" i="102"/>
  <c r="K273" i="102"/>
  <c r="V273" i="102"/>
  <c r="J274" i="102"/>
  <c r="L274" i="102"/>
  <c r="M274" i="102"/>
  <c r="N274" i="102"/>
  <c r="O274" i="102"/>
  <c r="P274" i="102"/>
  <c r="Q274" i="102"/>
  <c r="R274" i="102"/>
  <c r="S274" i="102"/>
  <c r="T274" i="102"/>
  <c r="U274" i="102"/>
  <c r="W274" i="102"/>
  <c r="K275" i="102"/>
  <c r="V275" i="102"/>
  <c r="K276" i="102"/>
  <c r="V276" i="102"/>
  <c r="K277" i="102"/>
  <c r="V277" i="102"/>
  <c r="J278" i="102"/>
  <c r="L278" i="102"/>
  <c r="M278" i="102"/>
  <c r="N278" i="102"/>
  <c r="O278" i="102"/>
  <c r="P278" i="102"/>
  <c r="Q278" i="102"/>
  <c r="R278" i="102"/>
  <c r="S278" i="102"/>
  <c r="T278" i="102"/>
  <c r="U278" i="102"/>
  <c r="W278" i="102"/>
  <c r="K279" i="102"/>
  <c r="V279" i="102"/>
  <c r="K280" i="102"/>
  <c r="V280" i="102"/>
  <c r="K281" i="102"/>
  <c r="V281" i="102"/>
  <c r="K282" i="102"/>
  <c r="V282" i="102"/>
  <c r="J283" i="102"/>
  <c r="L283" i="102"/>
  <c r="M283" i="102"/>
  <c r="N283" i="102"/>
  <c r="O283" i="102"/>
  <c r="P283" i="102"/>
  <c r="Q283" i="102"/>
  <c r="R283" i="102"/>
  <c r="S283" i="102"/>
  <c r="T283" i="102"/>
  <c r="U283" i="102"/>
  <c r="W283" i="102"/>
  <c r="K284" i="102"/>
  <c r="V284" i="102"/>
  <c r="K285" i="102"/>
  <c r="V285" i="102"/>
  <c r="K286" i="102"/>
  <c r="V286" i="102"/>
  <c r="J287" i="102"/>
  <c r="L287" i="102"/>
  <c r="M287" i="102"/>
  <c r="N287" i="102"/>
  <c r="O287" i="102"/>
  <c r="P287" i="102"/>
  <c r="Q287" i="102"/>
  <c r="R287" i="102"/>
  <c r="S287" i="102"/>
  <c r="T287" i="102"/>
  <c r="U287" i="102"/>
  <c r="W287" i="102"/>
  <c r="K288" i="102"/>
  <c r="V288" i="102"/>
  <c r="K289" i="102"/>
  <c r="V289" i="102"/>
  <c r="J290" i="102"/>
  <c r="U290" i="102"/>
  <c r="W290" i="102"/>
  <c r="K291" i="102"/>
  <c r="V291" i="102"/>
  <c r="V290" i="102" s="1"/>
  <c r="H293" i="102"/>
  <c r="I293" i="102"/>
  <c r="J293" i="102"/>
  <c r="L293" i="102"/>
  <c r="M293" i="102"/>
  <c r="N293" i="102"/>
  <c r="O293" i="102"/>
  <c r="P293" i="102"/>
  <c r="Q293" i="102"/>
  <c r="R293" i="102"/>
  <c r="S293" i="102"/>
  <c r="T293" i="102"/>
  <c r="U293" i="102"/>
  <c r="W293" i="102"/>
  <c r="K294" i="102"/>
  <c r="V294" i="102"/>
  <c r="K295" i="102"/>
  <c r="V295" i="102"/>
  <c r="K296" i="102"/>
  <c r="V296" i="102"/>
  <c r="K297" i="102"/>
  <c r="V297" i="102"/>
  <c r="K298" i="102"/>
  <c r="V298" i="102"/>
  <c r="J299" i="102"/>
  <c r="L299" i="102"/>
  <c r="M299" i="102"/>
  <c r="N299" i="102"/>
  <c r="O299" i="102"/>
  <c r="P299" i="102"/>
  <c r="Q299" i="102"/>
  <c r="R299" i="102"/>
  <c r="S299" i="102"/>
  <c r="T299" i="102"/>
  <c r="U299" i="102"/>
  <c r="W299" i="102"/>
  <c r="K300" i="102"/>
  <c r="V300" i="102"/>
  <c r="K301" i="102"/>
  <c r="V301" i="102"/>
  <c r="K302" i="102"/>
  <c r="V302" i="102"/>
  <c r="B303" i="102"/>
  <c r="C303" i="102"/>
  <c r="D303" i="102"/>
  <c r="E303" i="102"/>
  <c r="F303" i="102"/>
  <c r="G303" i="102"/>
  <c r="H303" i="102"/>
  <c r="I303" i="102"/>
  <c r="J303" i="102"/>
  <c r="L303" i="102"/>
  <c r="M303" i="102"/>
  <c r="N303" i="102"/>
  <c r="O303" i="102"/>
  <c r="P303" i="102"/>
  <c r="Q303" i="102"/>
  <c r="R303" i="102"/>
  <c r="S303" i="102"/>
  <c r="T303" i="102"/>
  <c r="U303" i="102"/>
  <c r="W303" i="102"/>
  <c r="V304" i="102"/>
  <c r="K305" i="102"/>
  <c r="K303" i="102" s="1"/>
  <c r="V305" i="102"/>
  <c r="D306" i="102"/>
  <c r="E306" i="102"/>
  <c r="F306" i="102"/>
  <c r="G306" i="102"/>
  <c r="H306" i="102"/>
  <c r="I306" i="102"/>
  <c r="J306" i="102"/>
  <c r="L306" i="102"/>
  <c r="M306" i="102"/>
  <c r="N306" i="102"/>
  <c r="O306" i="102"/>
  <c r="P306" i="102"/>
  <c r="Q306" i="102"/>
  <c r="R306" i="102"/>
  <c r="S306" i="102"/>
  <c r="T306" i="102"/>
  <c r="U306" i="102"/>
  <c r="W306" i="102"/>
  <c r="K307" i="102"/>
  <c r="K306" i="102" s="1"/>
  <c r="V307" i="102"/>
  <c r="V306" i="102" s="1"/>
  <c r="I314" i="102"/>
  <c r="L314" i="102"/>
  <c r="K315" i="102"/>
  <c r="K314" i="102" s="1"/>
  <c r="J329" i="102"/>
  <c r="K329" i="102"/>
  <c r="W329" i="102"/>
  <c r="L335" i="102"/>
  <c r="L334" i="92" s="1"/>
  <c r="J336" i="102"/>
  <c r="L336" i="102"/>
  <c r="W336" i="102"/>
  <c r="L340" i="102"/>
  <c r="V340" i="102"/>
  <c r="W340" i="102"/>
  <c r="B11" i="100"/>
  <c r="C11" i="100"/>
  <c r="D11" i="100"/>
  <c r="E11" i="100"/>
  <c r="F11" i="100"/>
  <c r="G11" i="100"/>
  <c r="H11" i="100"/>
  <c r="I11" i="100"/>
  <c r="J11" i="100"/>
  <c r="L11" i="100"/>
  <c r="M11" i="100"/>
  <c r="N11" i="100"/>
  <c r="O11" i="100"/>
  <c r="P11" i="100"/>
  <c r="Q11" i="100"/>
  <c r="R11" i="100"/>
  <c r="S11" i="100"/>
  <c r="T11" i="100"/>
  <c r="U11" i="100"/>
  <c r="W11" i="100"/>
  <c r="K16" i="100"/>
  <c r="V16" i="100"/>
  <c r="K17" i="100"/>
  <c r="V17" i="100"/>
  <c r="K18" i="100"/>
  <c r="V18" i="100"/>
  <c r="K19" i="100"/>
  <c r="V19" i="100"/>
  <c r="B20" i="100"/>
  <c r="C20" i="100"/>
  <c r="D20" i="100"/>
  <c r="E20" i="100"/>
  <c r="F20" i="100"/>
  <c r="G20" i="100"/>
  <c r="H20" i="100"/>
  <c r="I20" i="100"/>
  <c r="J20" i="100"/>
  <c r="L20" i="100"/>
  <c r="M20" i="100"/>
  <c r="N20" i="100"/>
  <c r="O20" i="100"/>
  <c r="P20" i="100"/>
  <c r="Q20" i="100"/>
  <c r="R20" i="100"/>
  <c r="S20" i="100"/>
  <c r="T20" i="100"/>
  <c r="U20" i="100"/>
  <c r="W20" i="100"/>
  <c r="K21" i="100"/>
  <c r="V21" i="100"/>
  <c r="K22" i="100"/>
  <c r="V22" i="100"/>
  <c r="K23" i="100"/>
  <c r="V23" i="100"/>
  <c r="K24" i="100"/>
  <c r="V24" i="100"/>
  <c r="K25" i="100"/>
  <c r="V25" i="100"/>
  <c r="K26" i="100"/>
  <c r="V26" i="100"/>
  <c r="B27" i="100"/>
  <c r="C27" i="100"/>
  <c r="D27" i="100"/>
  <c r="E27" i="100"/>
  <c r="F27" i="100"/>
  <c r="G27" i="100"/>
  <c r="H27" i="100"/>
  <c r="I27" i="100"/>
  <c r="J27" i="100"/>
  <c r="L27" i="100"/>
  <c r="M27" i="100"/>
  <c r="N27" i="100"/>
  <c r="O27" i="100"/>
  <c r="P27" i="100"/>
  <c r="Q27" i="100"/>
  <c r="R27" i="100"/>
  <c r="S27" i="100"/>
  <c r="T27" i="100"/>
  <c r="U27" i="100"/>
  <c r="W27" i="100"/>
  <c r="K28" i="100"/>
  <c r="V28" i="100"/>
  <c r="K29" i="100"/>
  <c r="V29" i="100"/>
  <c r="K30" i="100"/>
  <c r="V30" i="100"/>
  <c r="K31" i="100"/>
  <c r="V31" i="100"/>
  <c r="K32" i="100"/>
  <c r="V32" i="100"/>
  <c r="K33" i="100"/>
  <c r="V33" i="100"/>
  <c r="B34" i="100"/>
  <c r="C34" i="100"/>
  <c r="D34" i="100"/>
  <c r="E34" i="100"/>
  <c r="F34" i="100"/>
  <c r="G34" i="100"/>
  <c r="H34" i="100"/>
  <c r="I34" i="100"/>
  <c r="J34" i="100"/>
  <c r="L34" i="100"/>
  <c r="M34" i="100"/>
  <c r="N34" i="100"/>
  <c r="O34" i="100"/>
  <c r="P34" i="100"/>
  <c r="Q34" i="100"/>
  <c r="R34" i="100"/>
  <c r="S34" i="100"/>
  <c r="T34" i="100"/>
  <c r="U34" i="100"/>
  <c r="W34" i="100"/>
  <c r="K35" i="100"/>
  <c r="V35" i="100"/>
  <c r="K36" i="100"/>
  <c r="V36" i="100"/>
  <c r="K37" i="100"/>
  <c r="V37" i="100"/>
  <c r="K38" i="100"/>
  <c r="V38" i="100"/>
  <c r="K39" i="100"/>
  <c r="V39" i="100"/>
  <c r="K40" i="100"/>
  <c r="V40" i="100"/>
  <c r="B42" i="100"/>
  <c r="C42" i="100"/>
  <c r="D42" i="100"/>
  <c r="E42" i="100"/>
  <c r="F42" i="100"/>
  <c r="G42" i="100"/>
  <c r="H42" i="100"/>
  <c r="I42" i="100"/>
  <c r="J42" i="100"/>
  <c r="L42" i="100"/>
  <c r="M42" i="100"/>
  <c r="N42" i="100"/>
  <c r="O42" i="100"/>
  <c r="P42" i="100"/>
  <c r="Q42" i="100"/>
  <c r="R42" i="100"/>
  <c r="S42" i="100"/>
  <c r="T42" i="100"/>
  <c r="U42" i="100"/>
  <c r="W42" i="100"/>
  <c r="W10" i="100" s="1"/>
  <c r="K43" i="100"/>
  <c r="V43" i="100"/>
  <c r="V43" i="93" s="1"/>
  <c r="K44" i="100"/>
  <c r="K43" i="92" s="1"/>
  <c r="V44" i="100"/>
  <c r="K45" i="100"/>
  <c r="V45" i="100"/>
  <c r="K47" i="100"/>
  <c r="V47" i="100"/>
  <c r="K48" i="100"/>
  <c r="V48" i="100"/>
  <c r="K49" i="100"/>
  <c r="V49" i="100"/>
  <c r="B50" i="100"/>
  <c r="C50" i="100"/>
  <c r="D50" i="100"/>
  <c r="E50" i="100"/>
  <c r="F50" i="100"/>
  <c r="G50" i="100"/>
  <c r="H50" i="100"/>
  <c r="I50" i="100"/>
  <c r="J50" i="100"/>
  <c r="L50" i="100"/>
  <c r="M50" i="100"/>
  <c r="N50" i="100"/>
  <c r="O50" i="100"/>
  <c r="P50" i="100"/>
  <c r="Q50" i="100"/>
  <c r="R50" i="100"/>
  <c r="S50" i="100"/>
  <c r="T50" i="100"/>
  <c r="U50" i="100"/>
  <c r="W50" i="100"/>
  <c r="K51" i="100"/>
  <c r="V51" i="100"/>
  <c r="K52" i="100"/>
  <c r="V52" i="100"/>
  <c r="K53" i="100"/>
  <c r="V53" i="100"/>
  <c r="K54" i="100"/>
  <c r="V54" i="100"/>
  <c r="K55" i="100"/>
  <c r="V55" i="100"/>
  <c r="K56" i="100"/>
  <c r="V56" i="100"/>
  <c r="K57" i="100"/>
  <c r="V57" i="100"/>
  <c r="K58" i="100"/>
  <c r="V58" i="100"/>
  <c r="K59" i="100"/>
  <c r="V59" i="100"/>
  <c r="K60" i="100"/>
  <c r="V60" i="100"/>
  <c r="K61" i="100"/>
  <c r="V61" i="100"/>
  <c r="K62" i="100"/>
  <c r="V62" i="100"/>
  <c r="K63" i="100"/>
  <c r="V63" i="100"/>
  <c r="K64" i="100"/>
  <c r="V64" i="100"/>
  <c r="K65" i="100"/>
  <c r="V65" i="100"/>
  <c r="K66" i="100"/>
  <c r="V66" i="100"/>
  <c r="B67" i="100"/>
  <c r="C67" i="100"/>
  <c r="D67" i="100"/>
  <c r="E67" i="100"/>
  <c r="F67" i="100"/>
  <c r="G67" i="100"/>
  <c r="H67" i="100"/>
  <c r="I67" i="100"/>
  <c r="J67" i="100"/>
  <c r="L67" i="100"/>
  <c r="M67" i="100"/>
  <c r="N67" i="100"/>
  <c r="O67" i="100"/>
  <c r="P67" i="100"/>
  <c r="Q67" i="100"/>
  <c r="R67" i="100"/>
  <c r="S67" i="100"/>
  <c r="T67" i="100"/>
  <c r="U67" i="100"/>
  <c r="W67" i="100"/>
  <c r="K68" i="100"/>
  <c r="V68" i="100"/>
  <c r="K69" i="100"/>
  <c r="V69" i="100"/>
  <c r="K70" i="100"/>
  <c r="V70" i="100"/>
  <c r="K71" i="100"/>
  <c r="V71" i="100"/>
  <c r="K72" i="100"/>
  <c r="V72" i="100"/>
  <c r="K73" i="100"/>
  <c r="V73" i="100"/>
  <c r="K74" i="100"/>
  <c r="V74" i="100"/>
  <c r="K75" i="100"/>
  <c r="V75" i="100"/>
  <c r="K76" i="100"/>
  <c r="V76" i="100"/>
  <c r="K77" i="100"/>
  <c r="V77" i="100"/>
  <c r="K78" i="100"/>
  <c r="V78" i="100"/>
  <c r="B80" i="100"/>
  <c r="C80" i="100"/>
  <c r="D80" i="100"/>
  <c r="E80" i="100"/>
  <c r="F80" i="100"/>
  <c r="G80" i="100"/>
  <c r="H80" i="100"/>
  <c r="I80" i="100"/>
  <c r="J80" i="100"/>
  <c r="L80" i="100"/>
  <c r="M80" i="100"/>
  <c r="N80" i="100"/>
  <c r="O80" i="100"/>
  <c r="P80" i="100"/>
  <c r="Q80" i="100"/>
  <c r="R80" i="100"/>
  <c r="S80" i="100"/>
  <c r="T80" i="100"/>
  <c r="U80" i="100"/>
  <c r="W80" i="100"/>
  <c r="K81" i="100"/>
  <c r="V81" i="100"/>
  <c r="K82" i="100"/>
  <c r="V82" i="100"/>
  <c r="K83" i="100"/>
  <c r="V83" i="100"/>
  <c r="K84" i="100"/>
  <c r="V84" i="100"/>
  <c r="K85" i="100"/>
  <c r="V85" i="100"/>
  <c r="K86" i="100"/>
  <c r="V86" i="100"/>
  <c r="B87" i="100"/>
  <c r="C87" i="100"/>
  <c r="D87" i="100"/>
  <c r="E87" i="100"/>
  <c r="F87" i="100"/>
  <c r="G87" i="100"/>
  <c r="H87" i="100"/>
  <c r="I87" i="100"/>
  <c r="J87" i="100"/>
  <c r="M87" i="100"/>
  <c r="N87" i="100"/>
  <c r="O87" i="100"/>
  <c r="P87" i="100"/>
  <c r="Q87" i="100"/>
  <c r="R87" i="100"/>
  <c r="S87" i="100"/>
  <c r="T87" i="100"/>
  <c r="U87" i="100"/>
  <c r="K88" i="100"/>
  <c r="V88" i="100"/>
  <c r="K89" i="100"/>
  <c r="V89" i="100"/>
  <c r="K90" i="100"/>
  <c r="V90" i="100"/>
  <c r="K91" i="100"/>
  <c r="V91" i="100"/>
  <c r="K92" i="100"/>
  <c r="V92" i="100"/>
  <c r="L93" i="100"/>
  <c r="L87" i="100" s="1"/>
  <c r="W93" i="100"/>
  <c r="W87" i="100" s="1"/>
  <c r="B94" i="100"/>
  <c r="C94" i="100"/>
  <c r="D94" i="100"/>
  <c r="E94" i="100"/>
  <c r="F94" i="100"/>
  <c r="G94" i="100"/>
  <c r="H94" i="100"/>
  <c r="I94" i="100"/>
  <c r="J94" i="100"/>
  <c r="L94" i="100"/>
  <c r="M94" i="100"/>
  <c r="N94" i="100"/>
  <c r="O94" i="100"/>
  <c r="P94" i="100"/>
  <c r="Q94" i="100"/>
  <c r="R94" i="100"/>
  <c r="S94" i="100"/>
  <c r="T94" i="100"/>
  <c r="U94" i="100"/>
  <c r="W94" i="100"/>
  <c r="K95" i="100"/>
  <c r="V95" i="100"/>
  <c r="K96" i="100"/>
  <c r="V96" i="100"/>
  <c r="K97" i="100"/>
  <c r="V97" i="100"/>
  <c r="K98" i="100"/>
  <c r="V98" i="100"/>
  <c r="K99" i="100"/>
  <c r="V99" i="100"/>
  <c r="B100" i="100"/>
  <c r="C100" i="100"/>
  <c r="D100" i="100"/>
  <c r="E100" i="100"/>
  <c r="F100" i="100"/>
  <c r="G100" i="100"/>
  <c r="H100" i="100"/>
  <c r="I100" i="100"/>
  <c r="J100" i="100"/>
  <c r="L100" i="100"/>
  <c r="M100" i="100"/>
  <c r="N100" i="100"/>
  <c r="O100" i="100"/>
  <c r="P100" i="100"/>
  <c r="Q100" i="100"/>
  <c r="R100" i="100"/>
  <c r="S100" i="100"/>
  <c r="T100" i="100"/>
  <c r="U100" i="100"/>
  <c r="W100" i="100"/>
  <c r="K101" i="100"/>
  <c r="V101" i="100"/>
  <c r="K102" i="100"/>
  <c r="V102" i="100"/>
  <c r="K103" i="100"/>
  <c r="V103" i="100"/>
  <c r="K104" i="100"/>
  <c r="V104" i="100"/>
  <c r="K105" i="100"/>
  <c r="V105" i="100"/>
  <c r="B106" i="100"/>
  <c r="C106" i="100"/>
  <c r="D106" i="100"/>
  <c r="E106" i="100"/>
  <c r="F106" i="100"/>
  <c r="G106" i="100"/>
  <c r="H106" i="100"/>
  <c r="I106" i="100"/>
  <c r="J106" i="100"/>
  <c r="L106" i="100"/>
  <c r="N106" i="100"/>
  <c r="O106" i="100"/>
  <c r="P106" i="100"/>
  <c r="Q106" i="100"/>
  <c r="R106" i="100"/>
  <c r="S106" i="100"/>
  <c r="T106" i="100"/>
  <c r="U106" i="100"/>
  <c r="K107" i="100"/>
  <c r="V107" i="100"/>
  <c r="K108" i="100"/>
  <c r="V108" i="100"/>
  <c r="K109" i="100"/>
  <c r="V109" i="100"/>
  <c r="K110" i="100"/>
  <c r="V110" i="100"/>
  <c r="K111" i="100"/>
  <c r="M111" i="100"/>
  <c r="V111" i="100" s="1"/>
  <c r="W111" i="100"/>
  <c r="B112" i="100"/>
  <c r="C112" i="100"/>
  <c r="D112" i="100"/>
  <c r="E112" i="100"/>
  <c r="F112" i="100"/>
  <c r="G112" i="100"/>
  <c r="H112" i="100"/>
  <c r="I112" i="100"/>
  <c r="J112" i="100"/>
  <c r="L112" i="100"/>
  <c r="M112" i="100"/>
  <c r="N112" i="100"/>
  <c r="O112" i="100"/>
  <c r="P112" i="100"/>
  <c r="Q112" i="100"/>
  <c r="R112" i="100"/>
  <c r="S112" i="100"/>
  <c r="T112" i="100"/>
  <c r="U112" i="100"/>
  <c r="W112" i="100"/>
  <c r="K113" i="100"/>
  <c r="V113" i="100"/>
  <c r="K114" i="100"/>
  <c r="V114" i="100"/>
  <c r="K115" i="100"/>
  <c r="V115" i="100"/>
  <c r="K116" i="100"/>
  <c r="V116" i="100"/>
  <c r="K117" i="100"/>
  <c r="V117" i="100"/>
  <c r="B118" i="100"/>
  <c r="C118" i="100"/>
  <c r="D118" i="100"/>
  <c r="E118" i="100"/>
  <c r="F118" i="100"/>
  <c r="G118" i="100"/>
  <c r="H118" i="100"/>
  <c r="I118" i="100"/>
  <c r="J118" i="100"/>
  <c r="L118" i="100"/>
  <c r="M118" i="100"/>
  <c r="N118" i="100"/>
  <c r="O118" i="100"/>
  <c r="P118" i="100"/>
  <c r="Q118" i="100"/>
  <c r="R118" i="100"/>
  <c r="S118" i="100"/>
  <c r="T118" i="100"/>
  <c r="U118" i="100"/>
  <c r="W118" i="100"/>
  <c r="K119" i="100"/>
  <c r="V119" i="100"/>
  <c r="K120" i="100"/>
  <c r="V120" i="100"/>
  <c r="K121" i="100"/>
  <c r="V121" i="100"/>
  <c r="K122" i="100"/>
  <c r="V122" i="100"/>
  <c r="K123" i="100"/>
  <c r="V123" i="100"/>
  <c r="B124" i="100"/>
  <c r="C124" i="100"/>
  <c r="D124" i="100"/>
  <c r="E124" i="100"/>
  <c r="F124" i="100"/>
  <c r="G124" i="100"/>
  <c r="H124" i="100"/>
  <c r="I124" i="100"/>
  <c r="J124" i="100"/>
  <c r="L124" i="100"/>
  <c r="M124" i="100"/>
  <c r="N124" i="100"/>
  <c r="O124" i="100"/>
  <c r="P124" i="100"/>
  <c r="Q124" i="100"/>
  <c r="R124" i="100"/>
  <c r="S124" i="100"/>
  <c r="T124" i="100"/>
  <c r="U124" i="100"/>
  <c r="W124" i="100"/>
  <c r="K125" i="100"/>
  <c r="V125" i="100"/>
  <c r="K126" i="100"/>
  <c r="V126" i="100"/>
  <c r="K127" i="100"/>
  <c r="V127" i="100"/>
  <c r="K128" i="100"/>
  <c r="V128" i="100"/>
  <c r="K129" i="100"/>
  <c r="V129" i="100"/>
  <c r="B130" i="100"/>
  <c r="C130" i="100"/>
  <c r="D130" i="100"/>
  <c r="E130" i="100"/>
  <c r="F130" i="100"/>
  <c r="G130" i="100"/>
  <c r="H130" i="100"/>
  <c r="I130" i="100"/>
  <c r="J130" i="100"/>
  <c r="L130" i="100"/>
  <c r="M130" i="100"/>
  <c r="N130" i="100"/>
  <c r="O130" i="100"/>
  <c r="P130" i="100"/>
  <c r="Q130" i="100"/>
  <c r="R130" i="100"/>
  <c r="S130" i="100"/>
  <c r="T130" i="100"/>
  <c r="U130" i="100"/>
  <c r="W130" i="100"/>
  <c r="K131" i="100"/>
  <c r="V131" i="100"/>
  <c r="K132" i="100"/>
  <c r="V132" i="100"/>
  <c r="K133" i="100"/>
  <c r="V133" i="100"/>
  <c r="K134" i="100"/>
  <c r="V134" i="100"/>
  <c r="K135" i="100"/>
  <c r="V135" i="100"/>
  <c r="B136" i="100"/>
  <c r="C136" i="100"/>
  <c r="D136" i="100"/>
  <c r="E136" i="100"/>
  <c r="F136" i="100"/>
  <c r="G136" i="100"/>
  <c r="H136" i="100"/>
  <c r="I136" i="100"/>
  <c r="J136" i="100"/>
  <c r="L136" i="100"/>
  <c r="M136" i="100"/>
  <c r="N136" i="100"/>
  <c r="O136" i="100"/>
  <c r="P136" i="100"/>
  <c r="Q136" i="100"/>
  <c r="R136" i="100"/>
  <c r="S136" i="100"/>
  <c r="T136" i="100"/>
  <c r="U136" i="100"/>
  <c r="W136" i="100"/>
  <c r="K137" i="100"/>
  <c r="V137" i="100"/>
  <c r="K138" i="100"/>
  <c r="V138" i="100"/>
  <c r="K139" i="100"/>
  <c r="V139" i="100"/>
  <c r="K140" i="100"/>
  <c r="V140" i="100"/>
  <c r="K141" i="100"/>
  <c r="V141" i="100"/>
  <c r="B142" i="100"/>
  <c r="C142" i="100"/>
  <c r="D142" i="100"/>
  <c r="E142" i="100"/>
  <c r="F142" i="100"/>
  <c r="G142" i="100"/>
  <c r="H142" i="100"/>
  <c r="I142" i="100"/>
  <c r="J142" i="100"/>
  <c r="L142" i="100"/>
  <c r="M142" i="100"/>
  <c r="N142" i="100"/>
  <c r="O142" i="100"/>
  <c r="P142" i="100"/>
  <c r="Q142" i="100"/>
  <c r="R142" i="100"/>
  <c r="S142" i="100"/>
  <c r="T142" i="100"/>
  <c r="U142" i="100"/>
  <c r="W142" i="100"/>
  <c r="K143" i="100"/>
  <c r="V143" i="100"/>
  <c r="K144" i="100"/>
  <c r="V144" i="100"/>
  <c r="K145" i="100"/>
  <c r="V145" i="100"/>
  <c r="K146" i="100"/>
  <c r="V146" i="100"/>
  <c r="K147" i="100"/>
  <c r="V147" i="100"/>
  <c r="B148" i="100"/>
  <c r="C148" i="100"/>
  <c r="D148" i="100"/>
  <c r="E148" i="100"/>
  <c r="F148" i="100"/>
  <c r="G148" i="100"/>
  <c r="H148" i="100"/>
  <c r="I148" i="100"/>
  <c r="J148" i="100"/>
  <c r="L148" i="100"/>
  <c r="M148" i="100"/>
  <c r="N148" i="100"/>
  <c r="O148" i="100"/>
  <c r="P148" i="100"/>
  <c r="Q148" i="100"/>
  <c r="R148" i="100"/>
  <c r="S148" i="100"/>
  <c r="T148" i="100"/>
  <c r="U148" i="100"/>
  <c r="W148" i="100"/>
  <c r="K149" i="100"/>
  <c r="V149" i="100"/>
  <c r="K150" i="100"/>
  <c r="V150" i="100"/>
  <c r="K151" i="100"/>
  <c r="V151" i="100"/>
  <c r="K152" i="100"/>
  <c r="V152" i="100"/>
  <c r="K153" i="100"/>
  <c r="V153" i="100"/>
  <c r="B154" i="100"/>
  <c r="C154" i="100"/>
  <c r="D154" i="100"/>
  <c r="E154" i="100"/>
  <c r="F154" i="100"/>
  <c r="G154" i="100"/>
  <c r="H154" i="100"/>
  <c r="I154" i="100"/>
  <c r="J154" i="100"/>
  <c r="L154" i="100"/>
  <c r="M154" i="100"/>
  <c r="N154" i="100"/>
  <c r="O154" i="100"/>
  <c r="P154" i="100"/>
  <c r="Q154" i="100"/>
  <c r="R154" i="100"/>
  <c r="S154" i="100"/>
  <c r="T154" i="100"/>
  <c r="U154" i="100"/>
  <c r="W154" i="100"/>
  <c r="K155" i="100"/>
  <c r="V155" i="100"/>
  <c r="K156" i="100"/>
  <c r="V156" i="100"/>
  <c r="K157" i="100"/>
  <c r="V157" i="100"/>
  <c r="K158" i="100"/>
  <c r="V158" i="100"/>
  <c r="K159" i="100"/>
  <c r="V159" i="100"/>
  <c r="B160" i="100"/>
  <c r="C160" i="100"/>
  <c r="D160" i="100"/>
  <c r="E160" i="100"/>
  <c r="F160" i="100"/>
  <c r="G160" i="100"/>
  <c r="H160" i="100"/>
  <c r="I160" i="100"/>
  <c r="J160" i="100"/>
  <c r="L160" i="100"/>
  <c r="M160" i="100"/>
  <c r="N160" i="100"/>
  <c r="O160" i="100"/>
  <c r="P160" i="100"/>
  <c r="Q160" i="100"/>
  <c r="R160" i="100"/>
  <c r="S160" i="100"/>
  <c r="T160" i="100"/>
  <c r="U160" i="100"/>
  <c r="W160" i="100"/>
  <c r="K161" i="100"/>
  <c r="V161" i="100"/>
  <c r="K162" i="100"/>
  <c r="V162" i="100"/>
  <c r="K163" i="100"/>
  <c r="V163" i="100"/>
  <c r="K164" i="100"/>
  <c r="V164" i="100"/>
  <c r="K165" i="100"/>
  <c r="V165" i="100"/>
  <c r="B166" i="100"/>
  <c r="C166" i="100"/>
  <c r="D166" i="100"/>
  <c r="E166" i="100"/>
  <c r="F166" i="100"/>
  <c r="G166" i="100"/>
  <c r="H166" i="100"/>
  <c r="I166" i="100"/>
  <c r="J166" i="100"/>
  <c r="L166" i="100"/>
  <c r="M166" i="100"/>
  <c r="N166" i="100"/>
  <c r="O166" i="100"/>
  <c r="P166" i="100"/>
  <c r="Q166" i="100"/>
  <c r="R166" i="100"/>
  <c r="S166" i="100"/>
  <c r="T166" i="100"/>
  <c r="U166" i="100"/>
  <c r="W166" i="100"/>
  <c r="K167" i="100"/>
  <c r="V167" i="100"/>
  <c r="K168" i="100"/>
  <c r="V168" i="100"/>
  <c r="K169" i="100"/>
  <c r="V169" i="100"/>
  <c r="K170" i="100"/>
  <c r="V170" i="100"/>
  <c r="K171" i="100"/>
  <c r="V171" i="100"/>
  <c r="K172" i="100"/>
  <c r="V172" i="100"/>
  <c r="B173" i="100"/>
  <c r="C173" i="100"/>
  <c r="D173" i="100"/>
  <c r="E173" i="100"/>
  <c r="F173" i="100"/>
  <c r="G173" i="100"/>
  <c r="H173" i="100"/>
  <c r="I173" i="100"/>
  <c r="J173" i="100"/>
  <c r="L173" i="100"/>
  <c r="M173" i="100"/>
  <c r="N173" i="100"/>
  <c r="O173" i="100"/>
  <c r="P173" i="100"/>
  <c r="Q173" i="100"/>
  <c r="R173" i="100"/>
  <c r="S173" i="100"/>
  <c r="T173" i="100"/>
  <c r="U173" i="100"/>
  <c r="W173" i="100"/>
  <c r="K174" i="100"/>
  <c r="V174" i="100"/>
  <c r="V173" i="100" s="1"/>
  <c r="K175" i="100"/>
  <c r="V175" i="100"/>
  <c r="B176" i="100"/>
  <c r="C176" i="100"/>
  <c r="D176" i="100"/>
  <c r="E176" i="100"/>
  <c r="F176" i="100"/>
  <c r="G176" i="100"/>
  <c r="H176" i="100"/>
  <c r="I176" i="100"/>
  <c r="J176" i="100"/>
  <c r="L176" i="100"/>
  <c r="M176" i="100"/>
  <c r="N176" i="100"/>
  <c r="O176" i="100"/>
  <c r="P176" i="100"/>
  <c r="Q176" i="100"/>
  <c r="R176" i="100"/>
  <c r="S176" i="100"/>
  <c r="T176" i="100"/>
  <c r="U176" i="100"/>
  <c r="W176" i="100"/>
  <c r="K177" i="100"/>
  <c r="V177" i="100"/>
  <c r="K178" i="100"/>
  <c r="V178" i="100"/>
  <c r="B180" i="100"/>
  <c r="C180" i="100"/>
  <c r="D180" i="100"/>
  <c r="E180" i="100"/>
  <c r="F180" i="100"/>
  <c r="G180" i="100"/>
  <c r="H180" i="100"/>
  <c r="I180" i="100"/>
  <c r="J180" i="100"/>
  <c r="L180" i="100"/>
  <c r="M180" i="100"/>
  <c r="N180" i="100"/>
  <c r="O180" i="100"/>
  <c r="P180" i="100"/>
  <c r="Q180" i="100"/>
  <c r="R180" i="100"/>
  <c r="S180" i="100"/>
  <c r="T180" i="100"/>
  <c r="U180" i="100"/>
  <c r="W180" i="100"/>
  <c r="K181" i="100"/>
  <c r="V181" i="100"/>
  <c r="K182" i="100"/>
  <c r="V182" i="100"/>
  <c r="K183" i="100"/>
  <c r="V183" i="100"/>
  <c r="K184" i="100"/>
  <c r="V184" i="100"/>
  <c r="K185" i="100"/>
  <c r="V185" i="100"/>
  <c r="K186" i="100"/>
  <c r="V186" i="100"/>
  <c r="B187" i="100"/>
  <c r="C187" i="100"/>
  <c r="D187" i="100"/>
  <c r="E187" i="100"/>
  <c r="F187" i="100"/>
  <c r="G187" i="100"/>
  <c r="H187" i="100"/>
  <c r="I187" i="100"/>
  <c r="J187" i="100"/>
  <c r="L187" i="100"/>
  <c r="M187" i="100"/>
  <c r="N187" i="100"/>
  <c r="O187" i="100"/>
  <c r="P187" i="100"/>
  <c r="Q187" i="100"/>
  <c r="R187" i="100"/>
  <c r="S187" i="100"/>
  <c r="T187" i="100"/>
  <c r="U187" i="100"/>
  <c r="W187" i="100"/>
  <c r="K188" i="100"/>
  <c r="V188" i="100"/>
  <c r="K189" i="100"/>
  <c r="V189" i="100"/>
  <c r="K190" i="100"/>
  <c r="V190" i="100"/>
  <c r="K191" i="100"/>
  <c r="V191" i="100"/>
  <c r="K192" i="100"/>
  <c r="V192" i="100"/>
  <c r="K193" i="100"/>
  <c r="V193" i="100"/>
  <c r="B194" i="100"/>
  <c r="C194" i="100"/>
  <c r="D194" i="100"/>
  <c r="E194" i="100"/>
  <c r="F194" i="100"/>
  <c r="G194" i="100"/>
  <c r="G179" i="100" s="1"/>
  <c r="H194" i="100"/>
  <c r="I194" i="100"/>
  <c r="J194" i="100"/>
  <c r="L194" i="100"/>
  <c r="M194" i="100"/>
  <c r="N194" i="100"/>
  <c r="O194" i="100"/>
  <c r="O179" i="100" s="1"/>
  <c r="P194" i="100"/>
  <c r="Q194" i="100"/>
  <c r="R194" i="100"/>
  <c r="S194" i="100"/>
  <c r="T194" i="100"/>
  <c r="U194" i="100"/>
  <c r="W194" i="100"/>
  <c r="K195" i="100"/>
  <c r="V195" i="100"/>
  <c r="K196" i="100"/>
  <c r="V196" i="100"/>
  <c r="K197" i="100"/>
  <c r="V197" i="100"/>
  <c r="K198" i="100"/>
  <c r="V198" i="100"/>
  <c r="K199" i="100"/>
  <c r="V199" i="100"/>
  <c r="K200" i="100"/>
  <c r="V200" i="100"/>
  <c r="J201" i="100"/>
  <c r="L201" i="100"/>
  <c r="M201" i="100"/>
  <c r="N201" i="100"/>
  <c r="O201" i="100"/>
  <c r="P201" i="100"/>
  <c r="Q201" i="100"/>
  <c r="R201" i="100"/>
  <c r="S201" i="100"/>
  <c r="T201" i="100"/>
  <c r="U201" i="100"/>
  <c r="W201" i="100"/>
  <c r="K202" i="100"/>
  <c r="V202" i="100"/>
  <c r="K203" i="100"/>
  <c r="V203" i="100"/>
  <c r="K204" i="100"/>
  <c r="V204" i="100"/>
  <c r="K205" i="100"/>
  <c r="V205" i="100"/>
  <c r="K206" i="100"/>
  <c r="V206" i="100"/>
  <c r="J208" i="100"/>
  <c r="L208" i="100"/>
  <c r="M208" i="100"/>
  <c r="N208" i="100"/>
  <c r="O208" i="100"/>
  <c r="P208" i="100"/>
  <c r="Q208" i="100"/>
  <c r="R208" i="100"/>
  <c r="S208" i="100"/>
  <c r="T208" i="100"/>
  <c r="U208" i="100"/>
  <c r="W208" i="100"/>
  <c r="K209" i="100"/>
  <c r="V209" i="100"/>
  <c r="K210" i="100"/>
  <c r="V210" i="100"/>
  <c r="K211" i="100"/>
  <c r="V211" i="100"/>
  <c r="K212" i="100"/>
  <c r="V212" i="100"/>
  <c r="K213" i="100"/>
  <c r="V213" i="100"/>
  <c r="K214" i="100"/>
  <c r="V214" i="100"/>
  <c r="K215" i="100"/>
  <c r="V215" i="100"/>
  <c r="K216" i="100"/>
  <c r="V216" i="100"/>
  <c r="J217" i="100"/>
  <c r="L217" i="100"/>
  <c r="M217" i="100"/>
  <c r="N217" i="100"/>
  <c r="O217" i="100"/>
  <c r="P217" i="100"/>
  <c r="Q217" i="100"/>
  <c r="R217" i="100"/>
  <c r="S217" i="100"/>
  <c r="T217" i="100"/>
  <c r="U217" i="100"/>
  <c r="W217" i="100"/>
  <c r="K218" i="100"/>
  <c r="V218" i="100"/>
  <c r="K219" i="100"/>
  <c r="V219" i="100"/>
  <c r="K220" i="100"/>
  <c r="V220" i="100"/>
  <c r="K221" i="100"/>
  <c r="V221" i="100"/>
  <c r="K222" i="100"/>
  <c r="V222" i="100"/>
  <c r="K223" i="100"/>
  <c r="V223" i="100"/>
  <c r="K224" i="100"/>
  <c r="V224" i="100"/>
  <c r="K225" i="100"/>
  <c r="V225" i="100"/>
  <c r="J226" i="100"/>
  <c r="L226" i="100"/>
  <c r="M226" i="100"/>
  <c r="N226" i="100"/>
  <c r="O226" i="100"/>
  <c r="P226" i="100"/>
  <c r="Q226" i="100"/>
  <c r="R226" i="100"/>
  <c r="S226" i="100"/>
  <c r="T226" i="100"/>
  <c r="U226" i="100"/>
  <c r="W226" i="100"/>
  <c r="K227" i="100"/>
  <c r="V227" i="100"/>
  <c r="K228" i="100"/>
  <c r="V228" i="100"/>
  <c r="K229" i="100"/>
  <c r="V229" i="100"/>
  <c r="K230" i="100"/>
  <c r="V230" i="100"/>
  <c r="K231" i="100"/>
  <c r="V231" i="100"/>
  <c r="K232" i="100"/>
  <c r="V232" i="100"/>
  <c r="V233" i="100"/>
  <c r="V234" i="100"/>
  <c r="K235" i="100"/>
  <c r="V235" i="100"/>
  <c r="K236" i="100"/>
  <c r="V236" i="100"/>
  <c r="K237" i="100"/>
  <c r="V237" i="100"/>
  <c r="K238" i="100"/>
  <c r="V238" i="100"/>
  <c r="K239" i="100"/>
  <c r="V239" i="100"/>
  <c r="J241" i="100"/>
  <c r="M241" i="100"/>
  <c r="N241" i="100"/>
  <c r="O241" i="100"/>
  <c r="P241" i="100"/>
  <c r="Q241" i="100"/>
  <c r="R241" i="100"/>
  <c r="S241" i="100"/>
  <c r="T241" i="100"/>
  <c r="U241" i="100"/>
  <c r="K242" i="100"/>
  <c r="V242" i="100"/>
  <c r="K243" i="100"/>
  <c r="V243" i="100"/>
  <c r="K244" i="100"/>
  <c r="V244" i="100"/>
  <c r="K245" i="100"/>
  <c r="L245" i="100"/>
  <c r="L241" i="100" s="1"/>
  <c r="V245" i="100"/>
  <c r="W245" i="100"/>
  <c r="W241" i="100" s="1"/>
  <c r="J246" i="100"/>
  <c r="L246" i="100"/>
  <c r="M246" i="100"/>
  <c r="N246" i="100"/>
  <c r="O246" i="100"/>
  <c r="P246" i="100"/>
  <c r="Q246" i="100"/>
  <c r="R246" i="100"/>
  <c r="S246" i="100"/>
  <c r="T246" i="100"/>
  <c r="U246" i="100"/>
  <c r="W246" i="100"/>
  <c r="K247" i="100"/>
  <c r="V247" i="100"/>
  <c r="K248" i="100"/>
  <c r="V248" i="100"/>
  <c r="K249" i="100"/>
  <c r="V249" i="100"/>
  <c r="J250" i="100"/>
  <c r="L250" i="100"/>
  <c r="M250" i="100"/>
  <c r="N250" i="100"/>
  <c r="O250" i="100"/>
  <c r="P250" i="100"/>
  <c r="Q250" i="100"/>
  <c r="R250" i="100"/>
  <c r="S250" i="100"/>
  <c r="T250" i="100"/>
  <c r="U250" i="100"/>
  <c r="W250" i="100"/>
  <c r="K251" i="100"/>
  <c r="V251" i="100"/>
  <c r="K252" i="100"/>
  <c r="V252" i="100"/>
  <c r="K253" i="100"/>
  <c r="V253" i="100"/>
  <c r="J254" i="100"/>
  <c r="L254" i="100"/>
  <c r="M254" i="100"/>
  <c r="N254" i="100"/>
  <c r="O254" i="100"/>
  <c r="P254" i="100"/>
  <c r="Q254" i="100"/>
  <c r="R254" i="100"/>
  <c r="S254" i="100"/>
  <c r="T254" i="100"/>
  <c r="U254" i="100"/>
  <c r="W254" i="100"/>
  <c r="K255" i="100"/>
  <c r="V255" i="100"/>
  <c r="K256" i="100"/>
  <c r="V256" i="100"/>
  <c r="K257" i="100"/>
  <c r="V257" i="100"/>
  <c r="J258" i="100"/>
  <c r="L258" i="100"/>
  <c r="M258" i="100"/>
  <c r="N258" i="100"/>
  <c r="O258" i="100"/>
  <c r="P258" i="100"/>
  <c r="Q258" i="100"/>
  <c r="R258" i="100"/>
  <c r="S258" i="100"/>
  <c r="T258" i="100"/>
  <c r="U258" i="100"/>
  <c r="W258" i="100"/>
  <c r="K259" i="100"/>
  <c r="V259" i="100"/>
  <c r="K260" i="100"/>
  <c r="V260" i="100"/>
  <c r="K261" i="100"/>
  <c r="V261" i="100"/>
  <c r="J262" i="100"/>
  <c r="L262" i="100"/>
  <c r="M262" i="100"/>
  <c r="N262" i="100"/>
  <c r="O262" i="100"/>
  <c r="P262" i="100"/>
  <c r="Q262" i="100"/>
  <c r="R262" i="100"/>
  <c r="S262" i="100"/>
  <c r="T262" i="100"/>
  <c r="U262" i="100"/>
  <c r="W262" i="100"/>
  <c r="K263" i="100"/>
  <c r="V263" i="100"/>
  <c r="K264" i="100"/>
  <c r="V264" i="100"/>
  <c r="K265" i="100"/>
  <c r="V265" i="100"/>
  <c r="J266" i="100"/>
  <c r="L266" i="100"/>
  <c r="M266" i="100"/>
  <c r="N266" i="100"/>
  <c r="O266" i="100"/>
  <c r="P266" i="100"/>
  <c r="Q266" i="100"/>
  <c r="R266" i="100"/>
  <c r="S266" i="100"/>
  <c r="T266" i="100"/>
  <c r="U266" i="100"/>
  <c r="W266" i="100"/>
  <c r="K267" i="100"/>
  <c r="V267" i="100"/>
  <c r="K268" i="100"/>
  <c r="V268" i="100"/>
  <c r="K269" i="100"/>
  <c r="V269" i="100"/>
  <c r="K270" i="100"/>
  <c r="V270" i="100"/>
  <c r="J271" i="100"/>
  <c r="L271" i="100"/>
  <c r="M271" i="100"/>
  <c r="N271" i="100"/>
  <c r="O271" i="100"/>
  <c r="P271" i="100"/>
  <c r="Q271" i="100"/>
  <c r="R271" i="100"/>
  <c r="S271" i="100"/>
  <c r="T271" i="100"/>
  <c r="U271" i="100"/>
  <c r="W271" i="100"/>
  <c r="K272" i="100"/>
  <c r="V272" i="100"/>
  <c r="K273" i="100"/>
  <c r="V273" i="100"/>
  <c r="K274" i="100"/>
  <c r="V274" i="100"/>
  <c r="J275" i="100"/>
  <c r="L275" i="100"/>
  <c r="M275" i="100"/>
  <c r="N275" i="100"/>
  <c r="O275" i="100"/>
  <c r="P275" i="100"/>
  <c r="Q275" i="100"/>
  <c r="R275" i="100"/>
  <c r="S275" i="100"/>
  <c r="T275" i="100"/>
  <c r="U275" i="100"/>
  <c r="W275" i="100"/>
  <c r="K276" i="100"/>
  <c r="V276" i="100"/>
  <c r="K277" i="100"/>
  <c r="V277" i="100"/>
  <c r="J278" i="100"/>
  <c r="U278" i="100"/>
  <c r="W278" i="100"/>
  <c r="K279" i="100"/>
  <c r="V279" i="100"/>
  <c r="V278" i="100" s="1"/>
  <c r="J281" i="100"/>
  <c r="L281" i="100"/>
  <c r="M281" i="100"/>
  <c r="N281" i="100"/>
  <c r="O281" i="100"/>
  <c r="P281" i="100"/>
  <c r="Q281" i="100"/>
  <c r="R281" i="100"/>
  <c r="S281" i="100"/>
  <c r="T281" i="100"/>
  <c r="U281" i="100"/>
  <c r="W281" i="100"/>
  <c r="K282" i="100"/>
  <c r="V282" i="100"/>
  <c r="K283" i="100"/>
  <c r="V283" i="100"/>
  <c r="K284" i="100"/>
  <c r="V284" i="100"/>
  <c r="K285" i="100"/>
  <c r="V285" i="100"/>
  <c r="K286" i="100"/>
  <c r="V286" i="100"/>
  <c r="J287" i="100"/>
  <c r="M287" i="100"/>
  <c r="N287" i="100"/>
  <c r="O287" i="100"/>
  <c r="P287" i="100"/>
  <c r="Q287" i="100"/>
  <c r="R287" i="100"/>
  <c r="S287" i="100"/>
  <c r="T287" i="100"/>
  <c r="U287" i="100"/>
  <c r="W287" i="100"/>
  <c r="K288" i="100"/>
  <c r="L288" i="100"/>
  <c r="L299" i="92" s="1"/>
  <c r="V288" i="100"/>
  <c r="K289" i="100"/>
  <c r="L289" i="100"/>
  <c r="L301" i="93" s="1"/>
  <c r="V289" i="100"/>
  <c r="K290" i="100"/>
  <c r="L290" i="100"/>
  <c r="L301" i="92" s="1"/>
  <c r="V290" i="100"/>
  <c r="B291" i="100"/>
  <c r="B280" i="100" s="1"/>
  <c r="C291" i="100"/>
  <c r="D291" i="100"/>
  <c r="E291" i="100"/>
  <c r="F291" i="100"/>
  <c r="G291" i="100"/>
  <c r="H291" i="100"/>
  <c r="I291" i="100"/>
  <c r="I280" i="100" s="1"/>
  <c r="J291" i="100"/>
  <c r="L291" i="100"/>
  <c r="M291" i="100"/>
  <c r="N291" i="100"/>
  <c r="O291" i="100"/>
  <c r="P291" i="100"/>
  <c r="Q291" i="100"/>
  <c r="R291" i="100"/>
  <c r="S291" i="100"/>
  <c r="T291" i="100"/>
  <c r="U291" i="100"/>
  <c r="W291" i="100"/>
  <c r="K292" i="100"/>
  <c r="V292" i="100"/>
  <c r="K293" i="100"/>
  <c r="V293" i="100"/>
  <c r="D294" i="100"/>
  <c r="E294" i="100"/>
  <c r="F294" i="100"/>
  <c r="G294" i="100"/>
  <c r="H294" i="100"/>
  <c r="I294" i="100"/>
  <c r="J294" i="100"/>
  <c r="M294" i="100"/>
  <c r="N294" i="100"/>
  <c r="O294" i="100"/>
  <c r="P294" i="100"/>
  <c r="Q294" i="100"/>
  <c r="R294" i="100"/>
  <c r="S294" i="100"/>
  <c r="S398" i="93" s="1"/>
  <c r="T294" i="100"/>
  <c r="U294" i="100"/>
  <c r="K295" i="100"/>
  <c r="L295" i="100"/>
  <c r="L294" i="100" s="1"/>
  <c r="V295" i="100"/>
  <c r="W295" i="100"/>
  <c r="W294" i="100" s="1"/>
  <c r="K296" i="100"/>
  <c r="V296" i="100"/>
  <c r="K297" i="100"/>
  <c r="V297" i="100"/>
  <c r="J317" i="100"/>
  <c r="L317" i="100"/>
  <c r="W317" i="100"/>
  <c r="B320" i="100"/>
  <c r="K321" i="100"/>
  <c r="J324" i="100"/>
  <c r="L324" i="100"/>
  <c r="C328" i="100"/>
  <c r="D328" i="100"/>
  <c r="E328" i="100"/>
  <c r="F328" i="100"/>
  <c r="G328" i="100"/>
  <c r="H328" i="100"/>
  <c r="I328" i="100"/>
  <c r="J328" i="100"/>
  <c r="K328" i="100"/>
  <c r="M328" i="100"/>
  <c r="N328" i="100"/>
  <c r="O328" i="100"/>
  <c r="P328" i="100"/>
  <c r="Q328" i="100"/>
  <c r="R328" i="100"/>
  <c r="S328" i="100"/>
  <c r="T328" i="100"/>
  <c r="U328" i="100"/>
  <c r="B329" i="100"/>
  <c r="B328" i="100" s="1"/>
  <c r="L329" i="100"/>
  <c r="L328" i="100" s="1"/>
  <c r="V329" i="100"/>
  <c r="V328" i="100" s="1"/>
  <c r="W329" i="100"/>
  <c r="B11" i="98"/>
  <c r="C11" i="98"/>
  <c r="D11" i="98"/>
  <c r="E11" i="98"/>
  <c r="F11" i="98"/>
  <c r="G11" i="98"/>
  <c r="H11" i="98"/>
  <c r="I11" i="98"/>
  <c r="J11" i="98"/>
  <c r="L11" i="98"/>
  <c r="M11" i="98"/>
  <c r="N11" i="98"/>
  <c r="O11" i="98"/>
  <c r="P11" i="98"/>
  <c r="Q11" i="98"/>
  <c r="R11" i="98"/>
  <c r="S11" i="98"/>
  <c r="T11" i="98"/>
  <c r="U11" i="98"/>
  <c r="W11" i="98"/>
  <c r="K15" i="98"/>
  <c r="V15" i="98"/>
  <c r="K16" i="98"/>
  <c r="V16" i="98"/>
  <c r="K17" i="98"/>
  <c r="V17" i="98"/>
  <c r="K18" i="98"/>
  <c r="V18" i="98"/>
  <c r="K19" i="98"/>
  <c r="V19" i="98"/>
  <c r="B20" i="98"/>
  <c r="C20" i="98"/>
  <c r="D20" i="98"/>
  <c r="E20" i="98"/>
  <c r="F20" i="98"/>
  <c r="G20" i="98"/>
  <c r="H20" i="98"/>
  <c r="I20" i="98"/>
  <c r="J20" i="98"/>
  <c r="M20" i="98"/>
  <c r="N20" i="98"/>
  <c r="O20" i="98"/>
  <c r="P20" i="98"/>
  <c r="Q20" i="98"/>
  <c r="R20" i="98"/>
  <c r="S20" i="98"/>
  <c r="T20" i="98"/>
  <c r="U20" i="98"/>
  <c r="K21" i="98"/>
  <c r="V21" i="98"/>
  <c r="K22" i="98"/>
  <c r="L22" i="98"/>
  <c r="V22" i="98"/>
  <c r="W22" i="98"/>
  <c r="K23" i="98"/>
  <c r="L23" i="98"/>
  <c r="V23" i="98"/>
  <c r="W23" i="98"/>
  <c r="K24" i="98"/>
  <c r="V24" i="98"/>
  <c r="K25" i="98"/>
  <c r="V25" i="98"/>
  <c r="K26" i="98"/>
  <c r="L26" i="98" s="1"/>
  <c r="V26" i="98"/>
  <c r="W26" i="98" s="1"/>
  <c r="B27" i="98"/>
  <c r="C27" i="98"/>
  <c r="D27" i="98"/>
  <c r="E27" i="98"/>
  <c r="F27" i="98"/>
  <c r="G27" i="98"/>
  <c r="H27" i="98"/>
  <c r="I27" i="98"/>
  <c r="J27" i="98"/>
  <c r="M27" i="98"/>
  <c r="N27" i="98"/>
  <c r="O27" i="98"/>
  <c r="P27" i="98"/>
  <c r="Q27" i="98"/>
  <c r="R27" i="98"/>
  <c r="S27" i="98"/>
  <c r="T27" i="98"/>
  <c r="U27" i="98"/>
  <c r="K28" i="98"/>
  <c r="L28" i="98"/>
  <c r="V28" i="98"/>
  <c r="W28" i="98"/>
  <c r="K29" i="98"/>
  <c r="L29" i="98"/>
  <c r="L27" i="98" s="1"/>
  <c r="V29" i="98"/>
  <c r="W29" i="98"/>
  <c r="K30" i="98"/>
  <c r="V30" i="98"/>
  <c r="K31" i="98"/>
  <c r="V31" i="98"/>
  <c r="K32" i="98"/>
  <c r="V32" i="98"/>
  <c r="K33" i="98"/>
  <c r="V33" i="98"/>
  <c r="W33" i="98"/>
  <c r="W33" i="93" s="1"/>
  <c r="B34" i="98"/>
  <c r="C34" i="98"/>
  <c r="D34" i="98"/>
  <c r="E34" i="98"/>
  <c r="F34" i="98"/>
  <c r="G34" i="98"/>
  <c r="H34" i="98"/>
  <c r="I34" i="98"/>
  <c r="J34" i="98"/>
  <c r="M34" i="98"/>
  <c r="N34" i="98"/>
  <c r="O34" i="98"/>
  <c r="P34" i="98"/>
  <c r="Q34" i="98"/>
  <c r="R34" i="98"/>
  <c r="S34" i="98"/>
  <c r="T34" i="98"/>
  <c r="U34" i="98"/>
  <c r="K35" i="98"/>
  <c r="V35" i="98"/>
  <c r="K36" i="98"/>
  <c r="V36" i="98"/>
  <c r="K37" i="98"/>
  <c r="V37" i="98"/>
  <c r="K38" i="98"/>
  <c r="V38" i="98"/>
  <c r="K39" i="98"/>
  <c r="V39" i="98"/>
  <c r="K40" i="98"/>
  <c r="L40" i="98"/>
  <c r="L34" i="98" s="1"/>
  <c r="V40" i="98"/>
  <c r="W40" i="98"/>
  <c r="W34" i="98" s="1"/>
  <c r="B42" i="98"/>
  <c r="C42" i="98"/>
  <c r="D42" i="98"/>
  <c r="E42" i="98"/>
  <c r="F42" i="98"/>
  <c r="G42" i="98"/>
  <c r="H42" i="98"/>
  <c r="I42" i="98"/>
  <c r="J42" i="98"/>
  <c r="L42" i="98"/>
  <c r="M42" i="98"/>
  <c r="N42" i="98"/>
  <c r="O42" i="98"/>
  <c r="P42" i="98"/>
  <c r="Q42" i="98"/>
  <c r="R42" i="98"/>
  <c r="S42" i="98"/>
  <c r="T42" i="98"/>
  <c r="U42" i="98"/>
  <c r="W42" i="98"/>
  <c r="K43" i="98"/>
  <c r="K42" i="98" s="1"/>
  <c r="V43" i="98"/>
  <c r="V42" i="98" s="1"/>
  <c r="K47" i="98"/>
  <c r="V47" i="98"/>
  <c r="K48" i="98"/>
  <c r="V48" i="98"/>
  <c r="K49" i="98"/>
  <c r="V49" i="98"/>
  <c r="D50" i="98"/>
  <c r="E50" i="98"/>
  <c r="F50" i="98"/>
  <c r="G50" i="98"/>
  <c r="H50" i="98"/>
  <c r="I50" i="98"/>
  <c r="J50" i="98"/>
  <c r="M50" i="98"/>
  <c r="N354" i="92" s="1"/>
  <c r="N50" i="98"/>
  <c r="O50" i="98"/>
  <c r="P50" i="98"/>
  <c r="Q50" i="98"/>
  <c r="R50" i="98"/>
  <c r="S50" i="98"/>
  <c r="T50" i="98"/>
  <c r="U50" i="98"/>
  <c r="K51" i="98"/>
  <c r="L51" i="98"/>
  <c r="L50" i="98" s="1"/>
  <c r="V51" i="98"/>
  <c r="W51" i="98"/>
  <c r="W50" i="98" s="1"/>
  <c r="K52" i="98"/>
  <c r="V52" i="98"/>
  <c r="K53" i="98"/>
  <c r="V53" i="98"/>
  <c r="V50" i="98" s="1"/>
  <c r="B61" i="98"/>
  <c r="L61" i="98"/>
  <c r="W61" i="98"/>
  <c r="K62" i="98"/>
  <c r="K61" i="98" s="1"/>
  <c r="J73" i="98"/>
  <c r="K73" i="98"/>
  <c r="L73" i="98"/>
  <c r="W73" i="98"/>
  <c r="J80" i="98"/>
  <c r="L80" i="98"/>
  <c r="W80" i="98"/>
  <c r="L84" i="98"/>
  <c r="V84" i="98"/>
  <c r="W84" i="98"/>
  <c r="B11" i="96"/>
  <c r="C11" i="96"/>
  <c r="D11" i="96"/>
  <c r="E11" i="96"/>
  <c r="F11" i="96"/>
  <c r="G11" i="96"/>
  <c r="H11" i="96"/>
  <c r="I11" i="96"/>
  <c r="J11" i="96"/>
  <c r="M11" i="96"/>
  <c r="N11" i="96"/>
  <c r="O11" i="96"/>
  <c r="P11" i="96"/>
  <c r="Q11" i="96"/>
  <c r="R11" i="96"/>
  <c r="S11" i="96"/>
  <c r="T11" i="96"/>
  <c r="U11" i="96"/>
  <c r="K12" i="96"/>
  <c r="V12" i="96"/>
  <c r="K13" i="96"/>
  <c r="V13" i="96"/>
  <c r="K14" i="96"/>
  <c r="L14" i="96"/>
  <c r="L14" i="93" s="1"/>
  <c r="V14" i="96"/>
  <c r="W14" i="96"/>
  <c r="W13" i="92" s="1"/>
  <c r="K15" i="96"/>
  <c r="L15" i="96"/>
  <c r="V15" i="96"/>
  <c r="K16" i="96"/>
  <c r="V16" i="96"/>
  <c r="K17" i="96"/>
  <c r="L17" i="96" s="1"/>
  <c r="L16" i="92" s="1"/>
  <c r="V17" i="96"/>
  <c r="W17" i="96"/>
  <c r="K18" i="96"/>
  <c r="L18" i="96" s="1"/>
  <c r="V18" i="96"/>
  <c r="W18" i="96"/>
  <c r="K19" i="96"/>
  <c r="L19" i="96" s="1"/>
  <c r="L18" i="92" s="1"/>
  <c r="V19" i="96"/>
  <c r="W19" i="96"/>
  <c r="B20" i="96"/>
  <c r="C20" i="96"/>
  <c r="D20" i="96"/>
  <c r="E20" i="96"/>
  <c r="F20" i="96"/>
  <c r="G20" i="96"/>
  <c r="H20" i="96"/>
  <c r="I20" i="96"/>
  <c r="J20" i="96"/>
  <c r="M20" i="96"/>
  <c r="N20" i="96"/>
  <c r="O20" i="96"/>
  <c r="P20" i="96"/>
  <c r="Q20" i="96"/>
  <c r="R20" i="96"/>
  <c r="S20" i="96"/>
  <c r="T20" i="96"/>
  <c r="U20" i="96"/>
  <c r="K21" i="96"/>
  <c r="L21" i="96" s="1"/>
  <c r="V21" i="96"/>
  <c r="W21" i="96"/>
  <c r="K22" i="96"/>
  <c r="L22" i="96" s="1"/>
  <c r="V22" i="96"/>
  <c r="W22" i="96"/>
  <c r="K23" i="96"/>
  <c r="L23" i="96" s="1"/>
  <c r="V23" i="96"/>
  <c r="W23" i="96"/>
  <c r="K24" i="96"/>
  <c r="L24" i="96" s="1"/>
  <c r="V24" i="96"/>
  <c r="W24" i="96"/>
  <c r="K25" i="96"/>
  <c r="L25" i="96" s="1"/>
  <c r="V25" i="96"/>
  <c r="W25" i="96"/>
  <c r="W24" i="92" s="1"/>
  <c r="K26" i="96"/>
  <c r="L26" i="96" s="1"/>
  <c r="V26" i="96"/>
  <c r="W26" i="96"/>
  <c r="B27" i="96"/>
  <c r="C27" i="96"/>
  <c r="D27" i="96"/>
  <c r="E27" i="96"/>
  <c r="F27" i="96"/>
  <c r="G27" i="96"/>
  <c r="H27" i="96"/>
  <c r="I27" i="96"/>
  <c r="J27" i="96"/>
  <c r="M27" i="96"/>
  <c r="N27" i="96"/>
  <c r="O27" i="96"/>
  <c r="P27" i="96"/>
  <c r="Q27" i="96"/>
  <c r="R27" i="96"/>
  <c r="S27" i="96"/>
  <c r="T27" i="96"/>
  <c r="U27" i="96"/>
  <c r="K28" i="96"/>
  <c r="L28" i="96"/>
  <c r="V28" i="96"/>
  <c r="W28" i="96"/>
  <c r="K29" i="96"/>
  <c r="L29" i="96"/>
  <c r="V29" i="96"/>
  <c r="W29" i="96"/>
  <c r="K30" i="96"/>
  <c r="L30" i="96"/>
  <c r="V30" i="96"/>
  <c r="W30" i="96"/>
  <c r="K31" i="96"/>
  <c r="L31" i="96"/>
  <c r="V31" i="96"/>
  <c r="W31" i="96"/>
  <c r="K32" i="96"/>
  <c r="L32" i="96" s="1"/>
  <c r="L31" i="92" s="1"/>
  <c r="V32" i="96"/>
  <c r="W32" i="96"/>
  <c r="W32" i="93" s="1"/>
  <c r="K33" i="96"/>
  <c r="L33" i="96" s="1"/>
  <c r="V33" i="96"/>
  <c r="W33" i="96"/>
  <c r="B34" i="96"/>
  <c r="C34" i="96"/>
  <c r="E34" i="96"/>
  <c r="M34" i="96"/>
  <c r="N34" i="96"/>
  <c r="P34" i="96"/>
  <c r="K35" i="96"/>
  <c r="L35" i="96" s="1"/>
  <c r="V35" i="96"/>
  <c r="W35" i="96"/>
  <c r="K36" i="96"/>
  <c r="V36" i="96"/>
  <c r="W36" i="96"/>
  <c r="K37" i="96"/>
  <c r="L37" i="96" s="1"/>
  <c r="V37" i="96"/>
  <c r="W37" i="96"/>
  <c r="K38" i="96"/>
  <c r="L38" i="96" s="1"/>
  <c r="V38" i="96"/>
  <c r="W38" i="96"/>
  <c r="K39" i="96"/>
  <c r="L39" i="96" s="1"/>
  <c r="V39" i="96"/>
  <c r="W39" i="96"/>
  <c r="W39" i="93" s="1"/>
  <c r="K40" i="96"/>
  <c r="L40" i="96" s="1"/>
  <c r="V40" i="96"/>
  <c r="W40" i="96"/>
  <c r="B41" i="96"/>
  <c r="C41" i="96"/>
  <c r="D41" i="96"/>
  <c r="D34" i="96" s="1"/>
  <c r="E41" i="96"/>
  <c r="F41" i="96"/>
  <c r="F34" i="96" s="1"/>
  <c r="F10" i="96" s="1"/>
  <c r="G41" i="96"/>
  <c r="G34" i="96" s="1"/>
  <c r="H41" i="96"/>
  <c r="H34" i="96" s="1"/>
  <c r="I41" i="96"/>
  <c r="I34" i="96" s="1"/>
  <c r="J41" i="96"/>
  <c r="J34" i="96" s="1"/>
  <c r="M41" i="96"/>
  <c r="N41" i="96"/>
  <c r="O41" i="96"/>
  <c r="O34" i="96" s="1"/>
  <c r="P41" i="96"/>
  <c r="Q41" i="96"/>
  <c r="Q34" i="96" s="1"/>
  <c r="R41" i="96"/>
  <c r="R34" i="96" s="1"/>
  <c r="S41" i="96"/>
  <c r="S34" i="96" s="1"/>
  <c r="T41" i="96"/>
  <c r="T34" i="96" s="1"/>
  <c r="U41" i="96"/>
  <c r="U34" i="96" s="1"/>
  <c r="K42" i="96"/>
  <c r="V42" i="96"/>
  <c r="W42" i="96"/>
  <c r="K43" i="96"/>
  <c r="L43" i="96"/>
  <c r="V43" i="96"/>
  <c r="W43" i="96"/>
  <c r="W47" i="92" s="1"/>
  <c r="K44" i="96"/>
  <c r="L44" i="96"/>
  <c r="L49" i="93" s="1"/>
  <c r="V44" i="96"/>
  <c r="W44" i="96"/>
  <c r="W48" i="92" s="1"/>
  <c r="B45" i="96"/>
  <c r="C45" i="96"/>
  <c r="D45" i="96"/>
  <c r="E45" i="96"/>
  <c r="F45" i="96"/>
  <c r="G45" i="96"/>
  <c r="H45" i="96"/>
  <c r="I45" i="96"/>
  <c r="J45" i="96"/>
  <c r="M45" i="96"/>
  <c r="N45" i="96"/>
  <c r="O45" i="96"/>
  <c r="P45" i="96"/>
  <c r="Q45" i="96"/>
  <c r="R45" i="96"/>
  <c r="S45" i="96"/>
  <c r="T45" i="96"/>
  <c r="U45" i="96"/>
  <c r="W45" i="96"/>
  <c r="K46" i="96"/>
  <c r="K45" i="96" s="1"/>
  <c r="L46" i="96"/>
  <c r="L45" i="96" s="1"/>
  <c r="V46" i="96"/>
  <c r="V45" i="96" s="1"/>
  <c r="B48" i="96"/>
  <c r="C48" i="96"/>
  <c r="E48" i="96"/>
  <c r="F48" i="96"/>
  <c r="G48" i="96"/>
  <c r="H48" i="96"/>
  <c r="I48" i="96"/>
  <c r="J48" i="96"/>
  <c r="M48" i="96"/>
  <c r="N48" i="96"/>
  <c r="O48" i="96"/>
  <c r="P48" i="96"/>
  <c r="Q48" i="96"/>
  <c r="R48" i="96"/>
  <c r="S48" i="96"/>
  <c r="T48" i="96"/>
  <c r="U48" i="96"/>
  <c r="D49" i="96"/>
  <c r="L49" i="96"/>
  <c r="V49" i="96"/>
  <c r="W49" i="96"/>
  <c r="W48" i="96" s="1"/>
  <c r="K50" i="96"/>
  <c r="V50" i="96"/>
  <c r="K51" i="96"/>
  <c r="V51" i="96"/>
  <c r="K52" i="96"/>
  <c r="V52" i="96"/>
  <c r="B53" i="96"/>
  <c r="C53" i="96"/>
  <c r="D53" i="96"/>
  <c r="E53" i="96"/>
  <c r="F53" i="96"/>
  <c r="G53" i="96"/>
  <c r="H53" i="96"/>
  <c r="I53" i="96"/>
  <c r="J53" i="96"/>
  <c r="M53" i="96"/>
  <c r="M399" i="93" s="1"/>
  <c r="N53" i="96"/>
  <c r="N399" i="93" s="1"/>
  <c r="O53" i="96"/>
  <c r="P53" i="96"/>
  <c r="Q53" i="96"/>
  <c r="Q399" i="93" s="1"/>
  <c r="R53" i="96"/>
  <c r="R399" i="93" s="1"/>
  <c r="S53" i="96"/>
  <c r="T53" i="96"/>
  <c r="U53" i="96"/>
  <c r="U399" i="93" s="1"/>
  <c r="K54" i="96"/>
  <c r="K53" i="96" s="1"/>
  <c r="V54" i="96"/>
  <c r="V53" i="96" s="1"/>
  <c r="K56" i="96"/>
  <c r="V56" i="96"/>
  <c r="W56" i="96"/>
  <c r="L61" i="96"/>
  <c r="K63" i="96"/>
  <c r="V63" i="96"/>
  <c r="W63" i="96"/>
  <c r="L64" i="96"/>
  <c r="L63" i="96" s="1"/>
  <c r="C11" i="93"/>
  <c r="D11" i="93"/>
  <c r="E11" i="93"/>
  <c r="F11" i="93"/>
  <c r="G11" i="93"/>
  <c r="H11" i="93"/>
  <c r="I11" i="93"/>
  <c r="J11" i="93"/>
  <c r="O11" i="93"/>
  <c r="P11" i="93"/>
  <c r="Q11" i="93"/>
  <c r="R11" i="93"/>
  <c r="S11" i="93"/>
  <c r="T11" i="93"/>
  <c r="U11" i="93"/>
  <c r="B12" i="93"/>
  <c r="K12" i="93" s="1"/>
  <c r="L12" i="93"/>
  <c r="M12" i="93"/>
  <c r="V12" i="93" s="1"/>
  <c r="W12" i="93"/>
  <c r="B13" i="93"/>
  <c r="K13" i="93" s="1"/>
  <c r="L13" i="93"/>
  <c r="M13" i="93"/>
  <c r="V13" i="93" s="1"/>
  <c r="W13" i="93"/>
  <c r="B14" i="93"/>
  <c r="K14" i="93" s="1"/>
  <c r="M14" i="93"/>
  <c r="V14" i="93" s="1"/>
  <c r="B15" i="93"/>
  <c r="K15" i="93" s="1"/>
  <c r="L15" i="93"/>
  <c r="M15" i="93"/>
  <c r="V15" i="93" s="1"/>
  <c r="W15" i="93"/>
  <c r="B16" i="93"/>
  <c r="K16" i="93" s="1"/>
  <c r="L16" i="93"/>
  <c r="M16" i="93"/>
  <c r="N16" i="93"/>
  <c r="N11" i="93" s="1"/>
  <c r="B17" i="93"/>
  <c r="K17" i="93" s="1"/>
  <c r="M17" i="93"/>
  <c r="V17" i="93" s="1"/>
  <c r="B18" i="93"/>
  <c r="K18" i="93" s="1"/>
  <c r="M18" i="93"/>
  <c r="V18" i="93" s="1"/>
  <c r="B19" i="93"/>
  <c r="K19" i="93" s="1"/>
  <c r="M19" i="93"/>
  <c r="V19" i="93" s="1"/>
  <c r="C20" i="93"/>
  <c r="D20" i="93"/>
  <c r="E20" i="93"/>
  <c r="F20" i="93"/>
  <c r="G20" i="93"/>
  <c r="H20" i="93"/>
  <c r="I20" i="93"/>
  <c r="J20" i="93"/>
  <c r="N20" i="93"/>
  <c r="O20" i="93"/>
  <c r="P20" i="93"/>
  <c r="Q20" i="93"/>
  <c r="R20" i="93"/>
  <c r="S20" i="93"/>
  <c r="T20" i="93"/>
  <c r="U20" i="93"/>
  <c r="B21" i="93"/>
  <c r="K21" i="93" s="1"/>
  <c r="M21" i="93"/>
  <c r="V21" i="93" s="1"/>
  <c r="W21" i="93"/>
  <c r="B22" i="93"/>
  <c r="K22" i="93" s="1"/>
  <c r="M22" i="93"/>
  <c r="V22" i="93" s="1"/>
  <c r="B23" i="93"/>
  <c r="K23" i="93" s="1"/>
  <c r="M23" i="93"/>
  <c r="V23" i="93" s="1"/>
  <c r="B24" i="93"/>
  <c r="K24" i="93" s="1"/>
  <c r="M24" i="93"/>
  <c r="V24" i="93" s="1"/>
  <c r="B25" i="93"/>
  <c r="K25" i="93" s="1"/>
  <c r="M25" i="93"/>
  <c r="V25" i="93" s="1"/>
  <c r="W25" i="93"/>
  <c r="B26" i="93"/>
  <c r="K26" i="93" s="1"/>
  <c r="M26" i="93"/>
  <c r="V26" i="93" s="1"/>
  <c r="C27" i="93"/>
  <c r="D27" i="93"/>
  <c r="E27" i="93"/>
  <c r="F27" i="93"/>
  <c r="G27" i="93"/>
  <c r="H27" i="93"/>
  <c r="I27" i="93"/>
  <c r="J27" i="93"/>
  <c r="N27" i="93"/>
  <c r="O27" i="93"/>
  <c r="P27" i="93"/>
  <c r="Q27" i="93"/>
  <c r="R27" i="93"/>
  <c r="S27" i="93"/>
  <c r="T27" i="93"/>
  <c r="U27" i="93"/>
  <c r="B28" i="93"/>
  <c r="M28" i="93"/>
  <c r="V28" i="93" s="1"/>
  <c r="B29" i="93"/>
  <c r="K29" i="93" s="1"/>
  <c r="M29" i="93"/>
  <c r="V29" i="93" s="1"/>
  <c r="B30" i="93"/>
  <c r="K30" i="93" s="1"/>
  <c r="M30" i="93"/>
  <c r="V30" i="93" s="1"/>
  <c r="B31" i="93"/>
  <c r="K31" i="93" s="1"/>
  <c r="M31" i="93"/>
  <c r="V31" i="93" s="1"/>
  <c r="B32" i="93"/>
  <c r="K32" i="93" s="1"/>
  <c r="M32" i="93"/>
  <c r="V32" i="93" s="1"/>
  <c r="B33" i="93"/>
  <c r="K33" i="93" s="1"/>
  <c r="M33" i="93"/>
  <c r="V33" i="93" s="1"/>
  <c r="C34" i="93"/>
  <c r="D34" i="93"/>
  <c r="E34" i="93"/>
  <c r="F34" i="93"/>
  <c r="G34" i="93"/>
  <c r="H34" i="93"/>
  <c r="I34" i="93"/>
  <c r="J34" i="93"/>
  <c r="N34" i="93"/>
  <c r="O34" i="93"/>
  <c r="P34" i="93"/>
  <c r="Q34" i="93"/>
  <c r="R34" i="93"/>
  <c r="S34" i="93"/>
  <c r="T34" i="93"/>
  <c r="U34" i="93"/>
  <c r="B35" i="93"/>
  <c r="K35" i="93" s="1"/>
  <c r="M35" i="93"/>
  <c r="V35" i="93" s="1"/>
  <c r="B36" i="93"/>
  <c r="K36" i="93" s="1"/>
  <c r="M36" i="93"/>
  <c r="V36" i="93" s="1"/>
  <c r="B37" i="93"/>
  <c r="K37" i="93" s="1"/>
  <c r="M37" i="93"/>
  <c r="V37" i="93" s="1"/>
  <c r="B38" i="93"/>
  <c r="K38" i="93" s="1"/>
  <c r="M38" i="93"/>
  <c r="V38" i="93" s="1"/>
  <c r="B39" i="93"/>
  <c r="K39" i="93" s="1"/>
  <c r="M39" i="93"/>
  <c r="V39" i="93" s="1"/>
  <c r="B40" i="93"/>
  <c r="K40" i="93" s="1"/>
  <c r="M40" i="93"/>
  <c r="V40" i="93" s="1"/>
  <c r="W40" i="93"/>
  <c r="K41" i="93"/>
  <c r="M41" i="93"/>
  <c r="V41" i="93" s="1"/>
  <c r="D42" i="93"/>
  <c r="E42" i="93"/>
  <c r="F42" i="93"/>
  <c r="G42" i="93"/>
  <c r="H42" i="93"/>
  <c r="I42" i="93"/>
  <c r="J42" i="93"/>
  <c r="O42" i="93"/>
  <c r="P42" i="93"/>
  <c r="Q42" i="93"/>
  <c r="R42" i="93"/>
  <c r="S42" i="93"/>
  <c r="T42" i="93"/>
  <c r="U42" i="93"/>
  <c r="B43" i="93"/>
  <c r="C43" i="93"/>
  <c r="L43" i="93"/>
  <c r="M43" i="93"/>
  <c r="N43" i="93"/>
  <c r="W43" i="93"/>
  <c r="B44" i="93"/>
  <c r="C44" i="93"/>
  <c r="L44" i="93"/>
  <c r="M44" i="93"/>
  <c r="N44" i="93"/>
  <c r="W44" i="93"/>
  <c r="V45" i="93"/>
  <c r="B46" i="93"/>
  <c r="C46" i="93"/>
  <c r="D46" i="93"/>
  <c r="F46" i="93"/>
  <c r="G46" i="93"/>
  <c r="H46" i="93"/>
  <c r="I46" i="93"/>
  <c r="J46" i="93"/>
  <c r="M46" i="93"/>
  <c r="N46" i="93"/>
  <c r="O46" i="93"/>
  <c r="Q46" i="93"/>
  <c r="R46" i="93"/>
  <c r="S46" i="93"/>
  <c r="T46" i="93"/>
  <c r="U46" i="93"/>
  <c r="E47" i="93"/>
  <c r="L47" i="93"/>
  <c r="P47" i="93"/>
  <c r="E48" i="93"/>
  <c r="K48" i="93" s="1"/>
  <c r="L48" i="93"/>
  <c r="P48" i="93"/>
  <c r="V48" i="93" s="1"/>
  <c r="E49" i="93"/>
  <c r="K49" i="93" s="1"/>
  <c r="P49" i="93"/>
  <c r="V49" i="93" s="1"/>
  <c r="C50" i="93"/>
  <c r="D50" i="93"/>
  <c r="E50" i="93"/>
  <c r="F50" i="93"/>
  <c r="G50" i="93"/>
  <c r="H50" i="93"/>
  <c r="I50" i="93"/>
  <c r="J50" i="93"/>
  <c r="N50" i="93"/>
  <c r="O50" i="93"/>
  <c r="P50" i="93"/>
  <c r="Q50" i="93"/>
  <c r="R50" i="93"/>
  <c r="S50" i="93"/>
  <c r="T50" i="93"/>
  <c r="U50" i="93"/>
  <c r="B51" i="93"/>
  <c r="K51" i="93" s="1"/>
  <c r="L51" i="93"/>
  <c r="M51" i="93"/>
  <c r="W51" i="93"/>
  <c r="B52" i="93"/>
  <c r="K52" i="93" s="1"/>
  <c r="L52" i="93"/>
  <c r="M52" i="93"/>
  <c r="V52" i="93" s="1"/>
  <c r="W52" i="93"/>
  <c r="B53" i="93"/>
  <c r="K53" i="93" s="1"/>
  <c r="L53" i="93"/>
  <c r="M53" i="93"/>
  <c r="V53" i="93" s="1"/>
  <c r="W53" i="93"/>
  <c r="B54" i="93"/>
  <c r="K54" i="93" s="1"/>
  <c r="L54" i="93"/>
  <c r="M54" i="93"/>
  <c r="V54" i="93" s="1"/>
  <c r="W54" i="93"/>
  <c r="B55" i="93"/>
  <c r="K55" i="93" s="1"/>
  <c r="L55" i="93"/>
  <c r="M55" i="93"/>
  <c r="V55" i="93" s="1"/>
  <c r="W55" i="93"/>
  <c r="B56" i="93"/>
  <c r="K56" i="93" s="1"/>
  <c r="L56" i="93"/>
  <c r="M56" i="93"/>
  <c r="V56" i="93" s="1"/>
  <c r="W56" i="93"/>
  <c r="B57" i="93"/>
  <c r="K57" i="93" s="1"/>
  <c r="L57" i="93"/>
  <c r="M57" i="93"/>
  <c r="V57" i="93" s="1"/>
  <c r="W57" i="93"/>
  <c r="B58" i="93"/>
  <c r="K58" i="93" s="1"/>
  <c r="L58" i="93"/>
  <c r="M58" i="93"/>
  <c r="V58" i="93" s="1"/>
  <c r="W58" i="93"/>
  <c r="B59" i="93"/>
  <c r="K59" i="93" s="1"/>
  <c r="L59" i="93"/>
  <c r="M59" i="93"/>
  <c r="V59" i="93" s="1"/>
  <c r="W59" i="93"/>
  <c r="B60" i="93"/>
  <c r="K60" i="93" s="1"/>
  <c r="L60" i="93"/>
  <c r="M60" i="93"/>
  <c r="V60" i="93" s="1"/>
  <c r="W60" i="93"/>
  <c r="B61" i="93"/>
  <c r="K61" i="93" s="1"/>
  <c r="L61" i="93"/>
  <c r="M61" i="93"/>
  <c r="V61" i="93" s="1"/>
  <c r="W61" i="93"/>
  <c r="B62" i="93"/>
  <c r="K62" i="93" s="1"/>
  <c r="L62" i="93"/>
  <c r="M62" i="93"/>
  <c r="V62" i="93" s="1"/>
  <c r="W62" i="93"/>
  <c r="B63" i="93"/>
  <c r="K63" i="93" s="1"/>
  <c r="L63" i="93"/>
  <c r="M63" i="93"/>
  <c r="V63" i="93" s="1"/>
  <c r="W63" i="93"/>
  <c r="B64" i="93"/>
  <c r="K64" i="93" s="1"/>
  <c r="L64" i="93"/>
  <c r="M64" i="93"/>
  <c r="V64" i="93" s="1"/>
  <c r="W64" i="93"/>
  <c r="B65" i="93"/>
  <c r="K65" i="93" s="1"/>
  <c r="L65" i="93"/>
  <c r="M65" i="93"/>
  <c r="V65" i="93" s="1"/>
  <c r="W65" i="93"/>
  <c r="B66" i="93"/>
  <c r="K66" i="93" s="1"/>
  <c r="L66" i="93"/>
  <c r="M66" i="93"/>
  <c r="V66" i="93" s="1"/>
  <c r="W66" i="93"/>
  <c r="C67" i="93"/>
  <c r="D67" i="93"/>
  <c r="E67" i="93"/>
  <c r="F67" i="93"/>
  <c r="G67" i="93"/>
  <c r="H67" i="93"/>
  <c r="I67" i="93"/>
  <c r="J67" i="93"/>
  <c r="N67" i="93"/>
  <c r="O67" i="93"/>
  <c r="P67" i="93"/>
  <c r="Q67" i="93"/>
  <c r="R67" i="93"/>
  <c r="S67" i="93"/>
  <c r="T67" i="93"/>
  <c r="U67" i="93"/>
  <c r="B68" i="93"/>
  <c r="K68" i="93" s="1"/>
  <c r="L68" i="93"/>
  <c r="M68" i="93"/>
  <c r="V68" i="93" s="1"/>
  <c r="W68" i="93"/>
  <c r="B69" i="93"/>
  <c r="K69" i="93" s="1"/>
  <c r="L69" i="93"/>
  <c r="M69" i="93"/>
  <c r="V69" i="93" s="1"/>
  <c r="W69" i="93"/>
  <c r="B70" i="93"/>
  <c r="K70" i="93" s="1"/>
  <c r="L70" i="93"/>
  <c r="M70" i="93"/>
  <c r="V70" i="93" s="1"/>
  <c r="W70" i="93"/>
  <c r="B71" i="93"/>
  <c r="K71" i="93" s="1"/>
  <c r="L71" i="93"/>
  <c r="M71" i="93"/>
  <c r="V71" i="93" s="1"/>
  <c r="W71" i="93"/>
  <c r="B72" i="93"/>
  <c r="K72" i="93" s="1"/>
  <c r="L72" i="93"/>
  <c r="M72" i="93"/>
  <c r="V72" i="93" s="1"/>
  <c r="W72" i="93"/>
  <c r="B73" i="93"/>
  <c r="K73" i="93" s="1"/>
  <c r="L73" i="93"/>
  <c r="M73" i="93"/>
  <c r="V73" i="93" s="1"/>
  <c r="W73" i="93"/>
  <c r="B74" i="93"/>
  <c r="K74" i="93" s="1"/>
  <c r="L74" i="93"/>
  <c r="M74" i="93"/>
  <c r="V74" i="93" s="1"/>
  <c r="W74" i="93"/>
  <c r="B75" i="93"/>
  <c r="K75" i="93" s="1"/>
  <c r="L75" i="93"/>
  <c r="M75" i="93"/>
  <c r="V75" i="93" s="1"/>
  <c r="W75" i="93"/>
  <c r="B76" i="93"/>
  <c r="K76" i="93" s="1"/>
  <c r="L76" i="93"/>
  <c r="M76" i="93"/>
  <c r="V76" i="93" s="1"/>
  <c r="W76" i="93"/>
  <c r="B77" i="93"/>
  <c r="K77" i="93" s="1"/>
  <c r="L77" i="93"/>
  <c r="M77" i="93"/>
  <c r="V77" i="93" s="1"/>
  <c r="W77" i="93"/>
  <c r="B78" i="93"/>
  <c r="K78" i="93" s="1"/>
  <c r="L78" i="93"/>
  <c r="M78" i="93"/>
  <c r="V78" i="93" s="1"/>
  <c r="W78" i="93"/>
  <c r="C79" i="93"/>
  <c r="D79" i="93"/>
  <c r="E79" i="93"/>
  <c r="F79" i="93"/>
  <c r="G79" i="93"/>
  <c r="H79" i="93"/>
  <c r="I79" i="93"/>
  <c r="J79" i="93"/>
  <c r="N79" i="93"/>
  <c r="O79" i="93"/>
  <c r="P79" i="93"/>
  <c r="Q79" i="93"/>
  <c r="R79" i="93"/>
  <c r="S79" i="93"/>
  <c r="T79" i="93"/>
  <c r="U79" i="93"/>
  <c r="B80" i="93"/>
  <c r="K80" i="93" s="1"/>
  <c r="L80" i="93"/>
  <c r="M80" i="93"/>
  <c r="V80" i="93" s="1"/>
  <c r="W80" i="93"/>
  <c r="B81" i="93"/>
  <c r="K81" i="93" s="1"/>
  <c r="L81" i="93"/>
  <c r="M81" i="93"/>
  <c r="V81" i="93" s="1"/>
  <c r="W81" i="93"/>
  <c r="B82" i="93"/>
  <c r="K82" i="93" s="1"/>
  <c r="L82" i="93"/>
  <c r="M82" i="93"/>
  <c r="V82" i="93" s="1"/>
  <c r="W82" i="93"/>
  <c r="B83" i="93"/>
  <c r="K83" i="93" s="1"/>
  <c r="L83" i="93"/>
  <c r="M83" i="93"/>
  <c r="V83" i="93" s="1"/>
  <c r="W83" i="93"/>
  <c r="B84" i="93"/>
  <c r="K84" i="93" s="1"/>
  <c r="L84" i="93"/>
  <c r="M84" i="93"/>
  <c r="V84" i="93" s="1"/>
  <c r="W84" i="93"/>
  <c r="B85" i="93"/>
  <c r="K85" i="93" s="1"/>
  <c r="L85" i="93"/>
  <c r="M85" i="93"/>
  <c r="V85" i="93" s="1"/>
  <c r="W85" i="93"/>
  <c r="B86" i="93"/>
  <c r="K86" i="93" s="1"/>
  <c r="L86" i="93"/>
  <c r="M86" i="93"/>
  <c r="V86" i="93" s="1"/>
  <c r="W86" i="93"/>
  <c r="B87" i="93"/>
  <c r="K87" i="93" s="1"/>
  <c r="L87" i="93"/>
  <c r="M87" i="93"/>
  <c r="V87" i="93" s="1"/>
  <c r="W87" i="93"/>
  <c r="B88" i="93"/>
  <c r="K88" i="93" s="1"/>
  <c r="L88" i="93"/>
  <c r="M88" i="93"/>
  <c r="V88" i="93" s="1"/>
  <c r="W88" i="93"/>
  <c r="B89" i="93"/>
  <c r="K89" i="93" s="1"/>
  <c r="L89" i="93"/>
  <c r="M89" i="93"/>
  <c r="V89" i="93" s="1"/>
  <c r="W89" i="93"/>
  <c r="B90" i="93"/>
  <c r="K90" i="93" s="1"/>
  <c r="L90" i="93"/>
  <c r="M90" i="93"/>
  <c r="V90" i="93" s="1"/>
  <c r="W90" i="93"/>
  <c r="C92" i="93"/>
  <c r="D92" i="93"/>
  <c r="E92" i="93"/>
  <c r="F92" i="93"/>
  <c r="G92" i="93"/>
  <c r="H92" i="93"/>
  <c r="I92" i="93"/>
  <c r="J92" i="93"/>
  <c r="N92" i="93"/>
  <c r="O92" i="93"/>
  <c r="P92" i="93"/>
  <c r="Q92" i="93"/>
  <c r="R92" i="93"/>
  <c r="S92" i="93"/>
  <c r="T92" i="93"/>
  <c r="U92" i="93"/>
  <c r="B93" i="93"/>
  <c r="K93" i="93" s="1"/>
  <c r="L93" i="93"/>
  <c r="M93" i="93"/>
  <c r="V93" i="93" s="1"/>
  <c r="W93" i="93"/>
  <c r="B94" i="93"/>
  <c r="K94" i="93" s="1"/>
  <c r="M94" i="93"/>
  <c r="V94" i="93" s="1"/>
  <c r="W94" i="93"/>
  <c r="B95" i="93"/>
  <c r="K95" i="93" s="1"/>
  <c r="L95" i="93"/>
  <c r="M95" i="93"/>
  <c r="V95" i="93" s="1"/>
  <c r="W95" i="93"/>
  <c r="B96" i="93"/>
  <c r="K96" i="93" s="1"/>
  <c r="L96" i="93"/>
  <c r="M96" i="93"/>
  <c r="V96" i="93" s="1"/>
  <c r="W96" i="93"/>
  <c r="B97" i="93"/>
  <c r="K97" i="93" s="1"/>
  <c r="L97" i="93"/>
  <c r="M97" i="93"/>
  <c r="V97" i="93" s="1"/>
  <c r="B98" i="93"/>
  <c r="K98" i="93" s="1"/>
  <c r="L98" i="93"/>
  <c r="M98" i="93"/>
  <c r="V98" i="93" s="1"/>
  <c r="W98" i="93"/>
  <c r="C99" i="93"/>
  <c r="D99" i="93"/>
  <c r="E99" i="93"/>
  <c r="F99" i="93"/>
  <c r="G99" i="93"/>
  <c r="H99" i="93"/>
  <c r="I99" i="93"/>
  <c r="J99" i="93"/>
  <c r="N99" i="93"/>
  <c r="O99" i="93"/>
  <c r="P99" i="93"/>
  <c r="Q99" i="93"/>
  <c r="R99" i="93"/>
  <c r="S99" i="93"/>
  <c r="T99" i="93"/>
  <c r="U99" i="93"/>
  <c r="B100" i="93"/>
  <c r="K100" i="93" s="1"/>
  <c r="L100" i="93"/>
  <c r="M100" i="93"/>
  <c r="V100" i="93" s="1"/>
  <c r="W100" i="93"/>
  <c r="B101" i="93"/>
  <c r="K101" i="93" s="1"/>
  <c r="L101" i="93"/>
  <c r="M101" i="93"/>
  <c r="V101" i="93" s="1"/>
  <c r="W101" i="93"/>
  <c r="B102" i="93"/>
  <c r="K102" i="93" s="1"/>
  <c r="L102" i="93"/>
  <c r="M102" i="93"/>
  <c r="V102" i="93" s="1"/>
  <c r="W102" i="93"/>
  <c r="B103" i="93"/>
  <c r="K103" i="93" s="1"/>
  <c r="L103" i="93"/>
  <c r="M103" i="93"/>
  <c r="V103" i="93" s="1"/>
  <c r="W103" i="93"/>
  <c r="B104" i="93"/>
  <c r="K104" i="93" s="1"/>
  <c r="L104" i="93"/>
  <c r="M104" i="93"/>
  <c r="W104" i="93"/>
  <c r="B105" i="93"/>
  <c r="L105" i="93"/>
  <c r="M105" i="93"/>
  <c r="C106" i="93"/>
  <c r="D106" i="93"/>
  <c r="E106" i="93"/>
  <c r="F106" i="93"/>
  <c r="G106" i="93"/>
  <c r="H106" i="93"/>
  <c r="I106" i="93"/>
  <c r="J106" i="93"/>
  <c r="N106" i="93"/>
  <c r="O106" i="93"/>
  <c r="P106" i="93"/>
  <c r="Q106" i="93"/>
  <c r="R106" i="93"/>
  <c r="S106" i="93"/>
  <c r="T106" i="93"/>
  <c r="U106" i="93"/>
  <c r="B107" i="93"/>
  <c r="K107" i="93" s="1"/>
  <c r="L107" i="93"/>
  <c r="M107" i="93"/>
  <c r="V107" i="93" s="1"/>
  <c r="W107" i="93"/>
  <c r="B108" i="93"/>
  <c r="K108" i="93" s="1"/>
  <c r="L108" i="93"/>
  <c r="M108" i="93"/>
  <c r="V108" i="93" s="1"/>
  <c r="W108" i="93"/>
  <c r="B109" i="93"/>
  <c r="K109" i="93" s="1"/>
  <c r="L109" i="93"/>
  <c r="M109" i="93"/>
  <c r="V109" i="93" s="1"/>
  <c r="W109" i="93"/>
  <c r="B110" i="93"/>
  <c r="K110" i="93" s="1"/>
  <c r="L110" i="93"/>
  <c r="M110" i="93"/>
  <c r="V110" i="93" s="1"/>
  <c r="W110" i="93"/>
  <c r="B111" i="93"/>
  <c r="K111" i="93" s="1"/>
  <c r="L111" i="93"/>
  <c r="M111" i="93"/>
  <c r="V111" i="93" s="1"/>
  <c r="W111" i="93"/>
  <c r="C112" i="93"/>
  <c r="D112" i="93"/>
  <c r="E112" i="93"/>
  <c r="F112" i="93"/>
  <c r="G112" i="93"/>
  <c r="H112" i="93"/>
  <c r="I112" i="93"/>
  <c r="J112" i="93"/>
  <c r="N112" i="93"/>
  <c r="O112" i="93"/>
  <c r="P112" i="93"/>
  <c r="Q112" i="93"/>
  <c r="R112" i="93"/>
  <c r="S112" i="93"/>
  <c r="T112" i="93"/>
  <c r="U112" i="93"/>
  <c r="B113" i="93"/>
  <c r="K113" i="93" s="1"/>
  <c r="L113" i="93"/>
  <c r="M113" i="93"/>
  <c r="V113" i="93" s="1"/>
  <c r="W113" i="93"/>
  <c r="B114" i="93"/>
  <c r="K114" i="93" s="1"/>
  <c r="L114" i="93"/>
  <c r="M114" i="93"/>
  <c r="V114" i="93" s="1"/>
  <c r="W114" i="93"/>
  <c r="B115" i="93"/>
  <c r="K115" i="93" s="1"/>
  <c r="L115" i="93"/>
  <c r="M115" i="93"/>
  <c r="V115" i="93" s="1"/>
  <c r="W115" i="93"/>
  <c r="B116" i="93"/>
  <c r="K116" i="93" s="1"/>
  <c r="L116" i="93"/>
  <c r="M116" i="93"/>
  <c r="V116" i="93" s="1"/>
  <c r="W116" i="93"/>
  <c r="B117" i="93"/>
  <c r="K117" i="93" s="1"/>
  <c r="L117" i="93"/>
  <c r="M117" i="93"/>
  <c r="V117" i="93" s="1"/>
  <c r="W117" i="93"/>
  <c r="C118" i="93"/>
  <c r="D118" i="93"/>
  <c r="E118" i="93"/>
  <c r="F118" i="93"/>
  <c r="G118" i="93"/>
  <c r="H118" i="93"/>
  <c r="I118" i="93"/>
  <c r="J118" i="93"/>
  <c r="N118" i="93"/>
  <c r="O118" i="93"/>
  <c r="P118" i="93"/>
  <c r="Q118" i="93"/>
  <c r="R118" i="93"/>
  <c r="S118" i="93"/>
  <c r="T118" i="93"/>
  <c r="U118" i="93"/>
  <c r="B119" i="93"/>
  <c r="K119" i="93" s="1"/>
  <c r="L119" i="93"/>
  <c r="M119" i="93"/>
  <c r="V119" i="93" s="1"/>
  <c r="W119" i="93"/>
  <c r="B120" i="93"/>
  <c r="K120" i="93" s="1"/>
  <c r="L120" i="93"/>
  <c r="M120" i="93"/>
  <c r="V120" i="93" s="1"/>
  <c r="W120" i="93"/>
  <c r="B121" i="93"/>
  <c r="K121" i="93" s="1"/>
  <c r="L121" i="93"/>
  <c r="M121" i="93"/>
  <c r="V121" i="93" s="1"/>
  <c r="W121" i="93"/>
  <c r="B122" i="93"/>
  <c r="K122" i="93" s="1"/>
  <c r="L122" i="93"/>
  <c r="M122" i="93"/>
  <c r="V122" i="93" s="1"/>
  <c r="W122" i="93"/>
  <c r="B123" i="93"/>
  <c r="K123" i="93" s="1"/>
  <c r="L123" i="93"/>
  <c r="C124" i="93"/>
  <c r="D124" i="93"/>
  <c r="E124" i="93"/>
  <c r="F124" i="93"/>
  <c r="G124" i="93"/>
  <c r="H124" i="93"/>
  <c r="I124" i="93"/>
  <c r="J124" i="93"/>
  <c r="N124" i="93"/>
  <c r="O124" i="93"/>
  <c r="P124" i="93"/>
  <c r="Q124" i="93"/>
  <c r="R124" i="93"/>
  <c r="S124" i="93"/>
  <c r="T124" i="93"/>
  <c r="U124" i="93"/>
  <c r="B125" i="93"/>
  <c r="K125" i="93" s="1"/>
  <c r="L125" i="93"/>
  <c r="M125" i="93"/>
  <c r="V125" i="93" s="1"/>
  <c r="W125" i="93"/>
  <c r="B126" i="93"/>
  <c r="K126" i="93" s="1"/>
  <c r="L126" i="93"/>
  <c r="M126" i="93"/>
  <c r="V126" i="93" s="1"/>
  <c r="W126" i="93"/>
  <c r="B127" i="93"/>
  <c r="K127" i="93" s="1"/>
  <c r="L127" i="93"/>
  <c r="M127" i="93"/>
  <c r="V127" i="93" s="1"/>
  <c r="W127" i="93"/>
  <c r="B128" i="93"/>
  <c r="K128" i="93" s="1"/>
  <c r="L128" i="93"/>
  <c r="M128" i="93"/>
  <c r="V128" i="93" s="1"/>
  <c r="W128" i="93"/>
  <c r="B129" i="93"/>
  <c r="K129" i="93" s="1"/>
  <c r="L129" i="93"/>
  <c r="M129" i="93"/>
  <c r="V129" i="93" s="1"/>
  <c r="W129" i="93"/>
  <c r="C130" i="93"/>
  <c r="D130" i="93"/>
  <c r="E130" i="93"/>
  <c r="F130" i="93"/>
  <c r="G130" i="93"/>
  <c r="H130" i="93"/>
  <c r="I130" i="93"/>
  <c r="J130" i="93"/>
  <c r="N130" i="93"/>
  <c r="O130" i="93"/>
  <c r="P130" i="93"/>
  <c r="Q130" i="93"/>
  <c r="R130" i="93"/>
  <c r="S130" i="93"/>
  <c r="T130" i="93"/>
  <c r="U130" i="93"/>
  <c r="B131" i="93"/>
  <c r="K131" i="93" s="1"/>
  <c r="L131" i="93"/>
  <c r="M131" i="93"/>
  <c r="V131" i="93" s="1"/>
  <c r="W131" i="93"/>
  <c r="B132" i="93"/>
  <c r="K132" i="93" s="1"/>
  <c r="L132" i="93"/>
  <c r="M132" i="93"/>
  <c r="V132" i="93" s="1"/>
  <c r="W132" i="93"/>
  <c r="B133" i="93"/>
  <c r="K133" i="93" s="1"/>
  <c r="L133" i="93"/>
  <c r="M133" i="93"/>
  <c r="V133" i="93" s="1"/>
  <c r="W133" i="93"/>
  <c r="B134" i="93"/>
  <c r="K134" i="93" s="1"/>
  <c r="L134" i="93"/>
  <c r="M134" i="93"/>
  <c r="V134" i="93" s="1"/>
  <c r="W134" i="93"/>
  <c r="B135" i="93"/>
  <c r="K135" i="93" s="1"/>
  <c r="L135" i="93"/>
  <c r="M135" i="93"/>
  <c r="V135" i="93" s="1"/>
  <c r="W135" i="93"/>
  <c r="C136" i="93"/>
  <c r="D136" i="93"/>
  <c r="E136" i="93"/>
  <c r="F136" i="93"/>
  <c r="G136" i="93"/>
  <c r="H136" i="93"/>
  <c r="I136" i="93"/>
  <c r="J136" i="93"/>
  <c r="N136" i="93"/>
  <c r="O136" i="93"/>
  <c r="P136" i="93"/>
  <c r="Q136" i="93"/>
  <c r="R136" i="93"/>
  <c r="S136" i="93"/>
  <c r="T136" i="93"/>
  <c r="U136" i="93"/>
  <c r="B137" i="93"/>
  <c r="K137" i="93" s="1"/>
  <c r="L137" i="93"/>
  <c r="M137" i="93"/>
  <c r="V137" i="93" s="1"/>
  <c r="W137" i="93"/>
  <c r="B138" i="93"/>
  <c r="K138" i="93" s="1"/>
  <c r="L138" i="93"/>
  <c r="M138" i="93"/>
  <c r="V138" i="93" s="1"/>
  <c r="W138" i="93"/>
  <c r="B139" i="93"/>
  <c r="K139" i="93" s="1"/>
  <c r="L139" i="93"/>
  <c r="M139" i="93"/>
  <c r="V139" i="93" s="1"/>
  <c r="W139" i="93"/>
  <c r="B140" i="93"/>
  <c r="K140" i="93" s="1"/>
  <c r="L140" i="93"/>
  <c r="M140" i="93"/>
  <c r="V140" i="93" s="1"/>
  <c r="W140" i="93"/>
  <c r="B141" i="93"/>
  <c r="K141" i="93" s="1"/>
  <c r="L141" i="93"/>
  <c r="M141" i="93"/>
  <c r="V141" i="93" s="1"/>
  <c r="W141" i="93"/>
  <c r="C142" i="93"/>
  <c r="D142" i="93"/>
  <c r="E142" i="93"/>
  <c r="F142" i="93"/>
  <c r="G142" i="93"/>
  <c r="H142" i="93"/>
  <c r="I142" i="93"/>
  <c r="J142" i="93"/>
  <c r="N142" i="93"/>
  <c r="O142" i="93"/>
  <c r="P142" i="93"/>
  <c r="Q142" i="93"/>
  <c r="R142" i="93"/>
  <c r="S142" i="93"/>
  <c r="T142" i="93"/>
  <c r="U142" i="93"/>
  <c r="B143" i="93"/>
  <c r="K143" i="93" s="1"/>
  <c r="L143" i="93"/>
  <c r="M143" i="93"/>
  <c r="V143" i="93" s="1"/>
  <c r="W143" i="93"/>
  <c r="B144" i="93"/>
  <c r="K144" i="93" s="1"/>
  <c r="L144" i="93"/>
  <c r="M144" i="93"/>
  <c r="V144" i="93" s="1"/>
  <c r="W144" i="93"/>
  <c r="B145" i="93"/>
  <c r="K145" i="93" s="1"/>
  <c r="L145" i="93"/>
  <c r="M145" i="93"/>
  <c r="V145" i="93" s="1"/>
  <c r="W145" i="93"/>
  <c r="B146" i="93"/>
  <c r="K146" i="93" s="1"/>
  <c r="L146" i="93"/>
  <c r="M146" i="93"/>
  <c r="V146" i="93" s="1"/>
  <c r="W146" i="93"/>
  <c r="B147" i="93"/>
  <c r="K147" i="93" s="1"/>
  <c r="L147" i="93"/>
  <c r="M147" i="93"/>
  <c r="V147" i="93" s="1"/>
  <c r="W147" i="93"/>
  <c r="C148" i="93"/>
  <c r="D148" i="93"/>
  <c r="E148" i="93"/>
  <c r="F148" i="93"/>
  <c r="G148" i="93"/>
  <c r="H148" i="93"/>
  <c r="I148" i="93"/>
  <c r="J148" i="93"/>
  <c r="N148" i="93"/>
  <c r="O148" i="93"/>
  <c r="P148" i="93"/>
  <c r="Q148" i="93"/>
  <c r="R148" i="93"/>
  <c r="S148" i="93"/>
  <c r="T148" i="93"/>
  <c r="U148" i="93"/>
  <c r="B149" i="93"/>
  <c r="K149" i="93" s="1"/>
  <c r="L149" i="93"/>
  <c r="M149" i="93"/>
  <c r="V149" i="93" s="1"/>
  <c r="W149" i="93"/>
  <c r="B150" i="93"/>
  <c r="K150" i="93" s="1"/>
  <c r="L150" i="93"/>
  <c r="M150" i="93"/>
  <c r="V150" i="93" s="1"/>
  <c r="W150" i="93"/>
  <c r="B151" i="93"/>
  <c r="K151" i="93" s="1"/>
  <c r="L151" i="93"/>
  <c r="M151" i="93"/>
  <c r="V151" i="93" s="1"/>
  <c r="W151" i="93"/>
  <c r="B152" i="93"/>
  <c r="K152" i="93" s="1"/>
  <c r="L152" i="93"/>
  <c r="M152" i="93"/>
  <c r="V152" i="93" s="1"/>
  <c r="W152" i="93"/>
  <c r="B153" i="93"/>
  <c r="K153" i="93" s="1"/>
  <c r="L153" i="93"/>
  <c r="M153" i="93"/>
  <c r="V153" i="93" s="1"/>
  <c r="W153" i="93"/>
  <c r="C154" i="93"/>
  <c r="D154" i="93"/>
  <c r="E154" i="93"/>
  <c r="F154" i="93"/>
  <c r="G154" i="93"/>
  <c r="H154" i="93"/>
  <c r="I154" i="93"/>
  <c r="J154" i="93"/>
  <c r="N154" i="93"/>
  <c r="O154" i="93"/>
  <c r="P154" i="93"/>
  <c r="Q154" i="93"/>
  <c r="R154" i="93"/>
  <c r="S154" i="93"/>
  <c r="T154" i="93"/>
  <c r="U154" i="93"/>
  <c r="B155" i="93"/>
  <c r="K155" i="93" s="1"/>
  <c r="L155" i="93"/>
  <c r="M155" i="93"/>
  <c r="V155" i="93" s="1"/>
  <c r="W155" i="93"/>
  <c r="B156" i="93"/>
  <c r="K156" i="93" s="1"/>
  <c r="L156" i="93"/>
  <c r="M156" i="93"/>
  <c r="V156" i="93" s="1"/>
  <c r="W156" i="93"/>
  <c r="B157" i="93"/>
  <c r="K157" i="93" s="1"/>
  <c r="L157" i="93"/>
  <c r="M157" i="93"/>
  <c r="V157" i="93" s="1"/>
  <c r="W157" i="93"/>
  <c r="B158" i="93"/>
  <c r="K158" i="93" s="1"/>
  <c r="L158" i="93"/>
  <c r="M158" i="93"/>
  <c r="V158" i="93" s="1"/>
  <c r="W158" i="93"/>
  <c r="B159" i="93"/>
  <c r="K159" i="93" s="1"/>
  <c r="L159" i="93"/>
  <c r="M159" i="93"/>
  <c r="V159" i="93" s="1"/>
  <c r="W159" i="93"/>
  <c r="C160" i="93"/>
  <c r="D160" i="93"/>
  <c r="E160" i="93"/>
  <c r="F160" i="93"/>
  <c r="G160" i="93"/>
  <c r="H160" i="93"/>
  <c r="I160" i="93"/>
  <c r="J160" i="93"/>
  <c r="N160" i="93"/>
  <c r="O160" i="93"/>
  <c r="P160" i="93"/>
  <c r="Q160" i="93"/>
  <c r="R160" i="93"/>
  <c r="S160" i="93"/>
  <c r="T160" i="93"/>
  <c r="U160" i="93"/>
  <c r="B161" i="93"/>
  <c r="L161" i="93"/>
  <c r="M161" i="93"/>
  <c r="V161" i="93" s="1"/>
  <c r="W161" i="93"/>
  <c r="B162" i="93"/>
  <c r="K162" i="93" s="1"/>
  <c r="L162" i="93"/>
  <c r="M162" i="93"/>
  <c r="V162" i="93" s="1"/>
  <c r="W162" i="93"/>
  <c r="B163" i="93"/>
  <c r="K163" i="93" s="1"/>
  <c r="L163" i="93"/>
  <c r="M163" i="93"/>
  <c r="V163" i="93" s="1"/>
  <c r="W163" i="93"/>
  <c r="B164" i="93"/>
  <c r="K164" i="93" s="1"/>
  <c r="L164" i="93"/>
  <c r="M164" i="93"/>
  <c r="V164" i="93" s="1"/>
  <c r="W164" i="93"/>
  <c r="B165" i="93"/>
  <c r="K165" i="93" s="1"/>
  <c r="L165" i="93"/>
  <c r="M165" i="93"/>
  <c r="V165" i="93" s="1"/>
  <c r="W165" i="93"/>
  <c r="C166" i="93"/>
  <c r="D166" i="93"/>
  <c r="E166" i="93"/>
  <c r="F166" i="93"/>
  <c r="G166" i="93"/>
  <c r="H166" i="93"/>
  <c r="I166" i="93"/>
  <c r="J166" i="93"/>
  <c r="N166" i="93"/>
  <c r="O166" i="93"/>
  <c r="P166" i="93"/>
  <c r="Q166" i="93"/>
  <c r="R166" i="93"/>
  <c r="S166" i="93"/>
  <c r="T166" i="93"/>
  <c r="U166" i="93"/>
  <c r="B167" i="93"/>
  <c r="K167" i="93" s="1"/>
  <c r="L167" i="93"/>
  <c r="M167" i="93"/>
  <c r="V167" i="93" s="1"/>
  <c r="W167" i="93"/>
  <c r="B168" i="93"/>
  <c r="K168" i="93" s="1"/>
  <c r="L168" i="93"/>
  <c r="M168" i="93"/>
  <c r="V168" i="93" s="1"/>
  <c r="W168" i="93"/>
  <c r="B169" i="93"/>
  <c r="K169" i="93" s="1"/>
  <c r="L169" i="93"/>
  <c r="M169" i="93"/>
  <c r="V169" i="93" s="1"/>
  <c r="W169" i="93"/>
  <c r="B170" i="93"/>
  <c r="K170" i="93" s="1"/>
  <c r="L170" i="93"/>
  <c r="M170" i="93"/>
  <c r="V170" i="93" s="1"/>
  <c r="W170" i="93"/>
  <c r="B171" i="93"/>
  <c r="K171" i="93" s="1"/>
  <c r="L171" i="93"/>
  <c r="M171" i="93"/>
  <c r="V171" i="93" s="1"/>
  <c r="W171" i="93"/>
  <c r="C172" i="93"/>
  <c r="D172" i="93"/>
  <c r="E172" i="93"/>
  <c r="F172" i="93"/>
  <c r="G172" i="93"/>
  <c r="H172" i="93"/>
  <c r="I172" i="93"/>
  <c r="J172" i="93"/>
  <c r="N172" i="93"/>
  <c r="O172" i="93"/>
  <c r="P172" i="93"/>
  <c r="Q172" i="93"/>
  <c r="R172" i="93"/>
  <c r="S172" i="93"/>
  <c r="T172" i="93"/>
  <c r="U172" i="93"/>
  <c r="B173" i="93"/>
  <c r="K173" i="93" s="1"/>
  <c r="L173" i="93"/>
  <c r="M173" i="93"/>
  <c r="V173" i="93" s="1"/>
  <c r="W173" i="93"/>
  <c r="B174" i="93"/>
  <c r="K174" i="93" s="1"/>
  <c r="L174" i="93"/>
  <c r="M174" i="93"/>
  <c r="V174" i="93" s="1"/>
  <c r="W174" i="93"/>
  <c r="B175" i="93"/>
  <c r="K175" i="93" s="1"/>
  <c r="L175" i="93"/>
  <c r="M175" i="93"/>
  <c r="V175" i="93" s="1"/>
  <c r="W175" i="93"/>
  <c r="B176" i="93"/>
  <c r="K176" i="93" s="1"/>
  <c r="L176" i="93"/>
  <c r="M176" i="93"/>
  <c r="V176" i="93" s="1"/>
  <c r="W176" i="93"/>
  <c r="B177" i="93"/>
  <c r="K177" i="93" s="1"/>
  <c r="L177" i="93"/>
  <c r="M177" i="93"/>
  <c r="V177" i="93" s="1"/>
  <c r="W177" i="93"/>
  <c r="C178" i="93"/>
  <c r="D178" i="93"/>
  <c r="E178" i="93"/>
  <c r="F178" i="93"/>
  <c r="G178" i="93"/>
  <c r="H178" i="93"/>
  <c r="I178" i="93"/>
  <c r="J178" i="93"/>
  <c r="N178" i="93"/>
  <c r="O178" i="93"/>
  <c r="P178" i="93"/>
  <c r="Q178" i="93"/>
  <c r="R178" i="93"/>
  <c r="S178" i="93"/>
  <c r="T178" i="93"/>
  <c r="U178" i="93"/>
  <c r="B179" i="93"/>
  <c r="K179" i="93" s="1"/>
  <c r="L179" i="93"/>
  <c r="M179" i="93"/>
  <c r="V179" i="93" s="1"/>
  <c r="W179" i="93"/>
  <c r="B180" i="93"/>
  <c r="K180" i="93" s="1"/>
  <c r="L180" i="93"/>
  <c r="M180" i="93"/>
  <c r="V180" i="93" s="1"/>
  <c r="W180" i="93"/>
  <c r="B181" i="93"/>
  <c r="K181" i="93" s="1"/>
  <c r="L181" i="93"/>
  <c r="M181" i="93"/>
  <c r="V181" i="93" s="1"/>
  <c r="W181" i="93"/>
  <c r="B182" i="93"/>
  <c r="K182" i="93" s="1"/>
  <c r="L182" i="93"/>
  <c r="M182" i="93"/>
  <c r="V182" i="93" s="1"/>
  <c r="W182" i="93"/>
  <c r="B183" i="93"/>
  <c r="K183" i="93" s="1"/>
  <c r="L183" i="93"/>
  <c r="M183" i="93"/>
  <c r="V183" i="93" s="1"/>
  <c r="W183" i="93"/>
  <c r="B184" i="93"/>
  <c r="K184" i="93" s="1"/>
  <c r="L184" i="93"/>
  <c r="M184" i="93"/>
  <c r="V184" i="93" s="1"/>
  <c r="W184" i="93"/>
  <c r="C185" i="93"/>
  <c r="D185" i="93"/>
  <c r="E185" i="93"/>
  <c r="F185" i="93"/>
  <c r="G185" i="93"/>
  <c r="H185" i="93"/>
  <c r="I185" i="93"/>
  <c r="J185" i="93"/>
  <c r="N185" i="93"/>
  <c r="O185" i="93"/>
  <c r="P185" i="93"/>
  <c r="Q185" i="93"/>
  <c r="R185" i="93"/>
  <c r="S185" i="93"/>
  <c r="T185" i="93"/>
  <c r="U185" i="93"/>
  <c r="B186" i="93"/>
  <c r="K186" i="93" s="1"/>
  <c r="L186" i="93"/>
  <c r="M186" i="93"/>
  <c r="W186" i="93"/>
  <c r="B187" i="93"/>
  <c r="K187" i="93" s="1"/>
  <c r="L187" i="93"/>
  <c r="M187" i="93"/>
  <c r="V187" i="93" s="1"/>
  <c r="W187" i="93"/>
  <c r="B188" i="93"/>
  <c r="C188" i="93"/>
  <c r="D188" i="93"/>
  <c r="E188" i="93"/>
  <c r="F188" i="93"/>
  <c r="G188" i="93"/>
  <c r="H188" i="93"/>
  <c r="I188" i="93"/>
  <c r="J188" i="93"/>
  <c r="L188" i="93"/>
  <c r="M188" i="93"/>
  <c r="N188" i="93"/>
  <c r="O188" i="93"/>
  <c r="P188" i="93"/>
  <c r="Q188" i="93"/>
  <c r="R188" i="93"/>
  <c r="S188" i="93"/>
  <c r="T188" i="93"/>
  <c r="U188" i="93"/>
  <c r="W188" i="93"/>
  <c r="K189" i="93"/>
  <c r="K188" i="93" s="1"/>
  <c r="V189" i="93"/>
  <c r="K190" i="93"/>
  <c r="V190" i="93"/>
  <c r="C192" i="93"/>
  <c r="D192" i="93"/>
  <c r="E192" i="93"/>
  <c r="F192" i="93"/>
  <c r="G192" i="93"/>
  <c r="H192" i="93"/>
  <c r="I192" i="93"/>
  <c r="J192" i="93"/>
  <c r="N192" i="93"/>
  <c r="O192" i="93"/>
  <c r="P192" i="93"/>
  <c r="Q192" i="93"/>
  <c r="R192" i="93"/>
  <c r="S192" i="93"/>
  <c r="T192" i="93"/>
  <c r="U192" i="93"/>
  <c r="B193" i="93"/>
  <c r="K193" i="93" s="1"/>
  <c r="L193" i="93"/>
  <c r="M193" i="93"/>
  <c r="V193" i="93" s="1"/>
  <c r="W193" i="93"/>
  <c r="B194" i="93"/>
  <c r="K194" i="93" s="1"/>
  <c r="L194" i="93"/>
  <c r="M194" i="93"/>
  <c r="V194" i="93" s="1"/>
  <c r="W194" i="93"/>
  <c r="B195" i="93"/>
  <c r="K195" i="93" s="1"/>
  <c r="L195" i="93"/>
  <c r="M195" i="93"/>
  <c r="V195" i="93" s="1"/>
  <c r="W195" i="93"/>
  <c r="B196" i="93"/>
  <c r="K196" i="93" s="1"/>
  <c r="L196" i="93"/>
  <c r="M196" i="93"/>
  <c r="V196" i="93" s="1"/>
  <c r="W196" i="93"/>
  <c r="B197" i="93"/>
  <c r="K197" i="93" s="1"/>
  <c r="L197" i="93"/>
  <c r="M197" i="93"/>
  <c r="V197" i="93" s="1"/>
  <c r="W197" i="93"/>
  <c r="B198" i="93"/>
  <c r="K198" i="93" s="1"/>
  <c r="L198" i="93"/>
  <c r="M198" i="93"/>
  <c r="V198" i="93" s="1"/>
  <c r="W198" i="93"/>
  <c r="C199" i="93"/>
  <c r="D199" i="93"/>
  <c r="E199" i="93"/>
  <c r="F199" i="93"/>
  <c r="G199" i="93"/>
  <c r="H199" i="93"/>
  <c r="I199" i="93"/>
  <c r="J199" i="93"/>
  <c r="N199" i="93"/>
  <c r="O199" i="93"/>
  <c r="P199" i="93"/>
  <c r="Q199" i="93"/>
  <c r="R199" i="93"/>
  <c r="S199" i="93"/>
  <c r="T199" i="93"/>
  <c r="U199" i="93"/>
  <c r="B200" i="93"/>
  <c r="K200" i="93" s="1"/>
  <c r="L200" i="93"/>
  <c r="M200" i="93"/>
  <c r="V200" i="93" s="1"/>
  <c r="W200" i="93"/>
  <c r="B201" i="93"/>
  <c r="K201" i="93" s="1"/>
  <c r="L201" i="93"/>
  <c r="M201" i="93"/>
  <c r="V201" i="93" s="1"/>
  <c r="W201" i="93"/>
  <c r="B202" i="93"/>
  <c r="K202" i="93" s="1"/>
  <c r="L202" i="93"/>
  <c r="M202" i="93"/>
  <c r="V202" i="93" s="1"/>
  <c r="W202" i="93"/>
  <c r="B203" i="93"/>
  <c r="K203" i="93" s="1"/>
  <c r="L203" i="93"/>
  <c r="M203" i="93"/>
  <c r="V203" i="93" s="1"/>
  <c r="W203" i="93"/>
  <c r="B204" i="93"/>
  <c r="K204" i="93" s="1"/>
  <c r="L204" i="93"/>
  <c r="M204" i="93"/>
  <c r="V204" i="93" s="1"/>
  <c r="W204" i="93"/>
  <c r="B205" i="93"/>
  <c r="K205" i="93" s="1"/>
  <c r="L205" i="93"/>
  <c r="M205" i="93"/>
  <c r="V205" i="93" s="1"/>
  <c r="W205" i="93"/>
  <c r="C206" i="93"/>
  <c r="D206" i="93"/>
  <c r="E206" i="93"/>
  <c r="F206" i="93"/>
  <c r="G206" i="93"/>
  <c r="H206" i="93"/>
  <c r="I206" i="93"/>
  <c r="J206" i="93"/>
  <c r="N206" i="93"/>
  <c r="O206" i="93"/>
  <c r="P206" i="93"/>
  <c r="Q206" i="93"/>
  <c r="R206" i="93"/>
  <c r="S206" i="93"/>
  <c r="T206" i="93"/>
  <c r="U206" i="93"/>
  <c r="B207" i="93"/>
  <c r="K207" i="93" s="1"/>
  <c r="L207" i="93"/>
  <c r="M207" i="93"/>
  <c r="V207" i="93" s="1"/>
  <c r="W207" i="93"/>
  <c r="B208" i="93"/>
  <c r="K208" i="93" s="1"/>
  <c r="L208" i="93"/>
  <c r="M208" i="93"/>
  <c r="V208" i="93" s="1"/>
  <c r="W208" i="93"/>
  <c r="B209" i="93"/>
  <c r="K209" i="93" s="1"/>
  <c r="L209" i="93"/>
  <c r="M209" i="93"/>
  <c r="V209" i="93" s="1"/>
  <c r="W209" i="93"/>
  <c r="B210" i="93"/>
  <c r="K210" i="93" s="1"/>
  <c r="L210" i="93"/>
  <c r="M210" i="93"/>
  <c r="V210" i="93" s="1"/>
  <c r="W210" i="93"/>
  <c r="B211" i="93"/>
  <c r="K211" i="93" s="1"/>
  <c r="L211" i="93"/>
  <c r="M211" i="93"/>
  <c r="V211" i="93" s="1"/>
  <c r="W211" i="93"/>
  <c r="B212" i="93"/>
  <c r="K212" i="93" s="1"/>
  <c r="L212" i="93"/>
  <c r="M212" i="93"/>
  <c r="V212" i="93" s="1"/>
  <c r="W212" i="93"/>
  <c r="M213" i="93"/>
  <c r="N213" i="93"/>
  <c r="O213" i="93"/>
  <c r="P213" i="93"/>
  <c r="Q213" i="93"/>
  <c r="R213" i="93"/>
  <c r="S213" i="93"/>
  <c r="T213" i="93"/>
  <c r="J214" i="93"/>
  <c r="K214" i="93" s="1"/>
  <c r="L214" i="93"/>
  <c r="U214" i="93"/>
  <c r="W214" i="93"/>
  <c r="L215" i="93"/>
  <c r="U215" i="93"/>
  <c r="V215" i="93" s="1"/>
  <c r="W215" i="93"/>
  <c r="J216" i="93"/>
  <c r="K216" i="93" s="1"/>
  <c r="L216" i="93"/>
  <c r="U216" i="93"/>
  <c r="V216" i="93" s="1"/>
  <c r="W216" i="93"/>
  <c r="J217" i="93"/>
  <c r="K217" i="93" s="1"/>
  <c r="L217" i="93"/>
  <c r="U217" i="93"/>
  <c r="V217" i="93" s="1"/>
  <c r="W217" i="93"/>
  <c r="J218" i="93"/>
  <c r="K218" i="93" s="1"/>
  <c r="L218" i="93"/>
  <c r="U218" i="93"/>
  <c r="V218" i="93" s="1"/>
  <c r="W218" i="93"/>
  <c r="M220" i="93"/>
  <c r="N220" i="93"/>
  <c r="O220" i="93"/>
  <c r="P220" i="93"/>
  <c r="Q220" i="93"/>
  <c r="R220" i="93"/>
  <c r="S220" i="93"/>
  <c r="T220" i="93"/>
  <c r="J221" i="93"/>
  <c r="L221" i="93"/>
  <c r="U221" i="93"/>
  <c r="V221" i="93" s="1"/>
  <c r="W221" i="93"/>
  <c r="J222" i="93"/>
  <c r="K222" i="93" s="1"/>
  <c r="L222" i="93"/>
  <c r="U222" i="93"/>
  <c r="V222" i="93" s="1"/>
  <c r="W222" i="93"/>
  <c r="J223" i="93"/>
  <c r="K223" i="93" s="1"/>
  <c r="L223" i="93"/>
  <c r="U223" i="93"/>
  <c r="V223" i="93" s="1"/>
  <c r="W223" i="93"/>
  <c r="J224" i="93"/>
  <c r="K224" i="93" s="1"/>
  <c r="L224" i="93"/>
  <c r="U224" i="93"/>
  <c r="V224" i="93" s="1"/>
  <c r="W224" i="93"/>
  <c r="J225" i="93"/>
  <c r="K225" i="93" s="1"/>
  <c r="L225" i="93"/>
  <c r="U225" i="93"/>
  <c r="V225" i="93" s="1"/>
  <c r="W225" i="93"/>
  <c r="J226" i="93"/>
  <c r="K226" i="93" s="1"/>
  <c r="L226" i="93"/>
  <c r="U226" i="93"/>
  <c r="V226" i="93" s="1"/>
  <c r="W226" i="93"/>
  <c r="J227" i="93"/>
  <c r="K227" i="93" s="1"/>
  <c r="L227" i="93"/>
  <c r="U227" i="93"/>
  <c r="V227" i="93" s="1"/>
  <c r="W227" i="93"/>
  <c r="J228" i="93"/>
  <c r="K228" i="93" s="1"/>
  <c r="L228" i="93"/>
  <c r="U228" i="93"/>
  <c r="V228" i="93" s="1"/>
  <c r="W228" i="93"/>
  <c r="M229" i="93"/>
  <c r="N229" i="93"/>
  <c r="O229" i="93"/>
  <c r="P229" i="93"/>
  <c r="Q229" i="93"/>
  <c r="R229" i="93"/>
  <c r="S229" i="93"/>
  <c r="T229" i="93"/>
  <c r="J230" i="93"/>
  <c r="K230" i="93" s="1"/>
  <c r="L230" i="93"/>
  <c r="U230" i="93"/>
  <c r="V230" i="93" s="1"/>
  <c r="W230" i="93"/>
  <c r="J231" i="93"/>
  <c r="K231" i="93" s="1"/>
  <c r="L231" i="93"/>
  <c r="U231" i="93"/>
  <c r="V231" i="93" s="1"/>
  <c r="W231" i="93"/>
  <c r="J232" i="93"/>
  <c r="K232" i="93" s="1"/>
  <c r="L232" i="93"/>
  <c r="U232" i="93"/>
  <c r="V232" i="93" s="1"/>
  <c r="W232" i="93"/>
  <c r="J233" i="93"/>
  <c r="K233" i="93" s="1"/>
  <c r="L233" i="93"/>
  <c r="U233" i="93"/>
  <c r="V233" i="93" s="1"/>
  <c r="W233" i="93"/>
  <c r="J234" i="93"/>
  <c r="K234" i="93" s="1"/>
  <c r="L234" i="93"/>
  <c r="U234" i="93"/>
  <c r="V234" i="93" s="1"/>
  <c r="W234" i="93"/>
  <c r="J235" i="93"/>
  <c r="K235" i="93" s="1"/>
  <c r="L235" i="93"/>
  <c r="U235" i="93"/>
  <c r="V235" i="93" s="1"/>
  <c r="W235" i="93"/>
  <c r="J236" i="93"/>
  <c r="K236" i="93" s="1"/>
  <c r="L236" i="93"/>
  <c r="U236" i="93"/>
  <c r="V236" i="93" s="1"/>
  <c r="W236" i="93"/>
  <c r="J237" i="93"/>
  <c r="K237" i="93" s="1"/>
  <c r="L237" i="93"/>
  <c r="U237" i="93"/>
  <c r="V237" i="93" s="1"/>
  <c r="W237" i="93"/>
  <c r="M238" i="93"/>
  <c r="N238" i="93"/>
  <c r="O238" i="93"/>
  <c r="P238" i="93"/>
  <c r="Q238" i="93"/>
  <c r="R238" i="93"/>
  <c r="S238" i="93"/>
  <c r="T238" i="93"/>
  <c r="J239" i="93"/>
  <c r="K239" i="93" s="1"/>
  <c r="L239" i="93"/>
  <c r="U239" i="93"/>
  <c r="V239" i="93" s="1"/>
  <c r="W239" i="93"/>
  <c r="J240" i="93"/>
  <c r="K240" i="93" s="1"/>
  <c r="L240" i="93"/>
  <c r="U240" i="93"/>
  <c r="V240" i="93" s="1"/>
  <c r="W240" i="93"/>
  <c r="J241" i="93"/>
  <c r="K241" i="93" s="1"/>
  <c r="L241" i="93"/>
  <c r="U241" i="93"/>
  <c r="V241" i="93" s="1"/>
  <c r="W241" i="93"/>
  <c r="J242" i="93"/>
  <c r="K242" i="93" s="1"/>
  <c r="L242" i="93"/>
  <c r="U242" i="93"/>
  <c r="V242" i="93" s="1"/>
  <c r="W242" i="93"/>
  <c r="J243" i="93"/>
  <c r="K243" i="93" s="1"/>
  <c r="L243" i="93"/>
  <c r="U243" i="93"/>
  <c r="V243" i="93" s="1"/>
  <c r="W243" i="93"/>
  <c r="J244" i="93"/>
  <c r="K244" i="93" s="1"/>
  <c r="L244" i="93"/>
  <c r="U244" i="93"/>
  <c r="V244" i="93" s="1"/>
  <c r="W244" i="93"/>
  <c r="J245" i="93"/>
  <c r="L245" i="93"/>
  <c r="U245" i="93"/>
  <c r="V245" i="93" s="1"/>
  <c r="W245" i="93"/>
  <c r="J246" i="93"/>
  <c r="K246" i="93" s="1"/>
  <c r="L246" i="93"/>
  <c r="U246" i="93"/>
  <c r="V246" i="93" s="1"/>
  <c r="W246" i="93"/>
  <c r="J247" i="93"/>
  <c r="K247" i="93" s="1"/>
  <c r="L247" i="93"/>
  <c r="U247" i="93"/>
  <c r="V247" i="93" s="1"/>
  <c r="W247" i="93"/>
  <c r="J248" i="93"/>
  <c r="K248" i="93" s="1"/>
  <c r="L248" i="93"/>
  <c r="U248" i="93"/>
  <c r="V248" i="93" s="1"/>
  <c r="W248" i="93"/>
  <c r="J249" i="93"/>
  <c r="K249" i="93" s="1"/>
  <c r="L249" i="93"/>
  <c r="U249" i="93"/>
  <c r="V249" i="93" s="1"/>
  <c r="W249" i="93"/>
  <c r="J250" i="93"/>
  <c r="K250" i="93" s="1"/>
  <c r="L250" i="93"/>
  <c r="U250" i="93"/>
  <c r="V250" i="93" s="1"/>
  <c r="W250" i="93"/>
  <c r="J251" i="93"/>
  <c r="K251" i="93" s="1"/>
  <c r="L251" i="93"/>
  <c r="U251" i="93"/>
  <c r="V251" i="93" s="1"/>
  <c r="W251" i="93"/>
  <c r="M253" i="93"/>
  <c r="N253" i="93"/>
  <c r="O253" i="93"/>
  <c r="P253" i="93"/>
  <c r="Q253" i="93"/>
  <c r="R253" i="93"/>
  <c r="S253" i="93"/>
  <c r="T253" i="93"/>
  <c r="J254" i="93"/>
  <c r="K254" i="93" s="1"/>
  <c r="L254" i="93"/>
  <c r="U254" i="93"/>
  <c r="W254" i="93"/>
  <c r="J255" i="93"/>
  <c r="K255" i="93" s="1"/>
  <c r="L255" i="93"/>
  <c r="U255" i="93"/>
  <c r="V255" i="93" s="1"/>
  <c r="W255" i="93"/>
  <c r="J256" i="93"/>
  <c r="K256" i="93" s="1"/>
  <c r="L256" i="93"/>
  <c r="U256" i="93"/>
  <c r="V256" i="93" s="1"/>
  <c r="W256" i="93"/>
  <c r="J257" i="93"/>
  <c r="K257" i="93" s="1"/>
  <c r="U257" i="93"/>
  <c r="V257" i="93" s="1"/>
  <c r="W257" i="93"/>
  <c r="M258" i="93"/>
  <c r="N258" i="93"/>
  <c r="O258" i="93"/>
  <c r="P258" i="93"/>
  <c r="Q258" i="93"/>
  <c r="R258" i="93"/>
  <c r="S258" i="93"/>
  <c r="T258" i="93"/>
  <c r="J259" i="93"/>
  <c r="K259" i="93" s="1"/>
  <c r="L259" i="93"/>
  <c r="U259" i="93"/>
  <c r="V259" i="93" s="1"/>
  <c r="W259" i="93"/>
  <c r="J260" i="93"/>
  <c r="K260" i="93" s="1"/>
  <c r="L260" i="93"/>
  <c r="U260" i="93"/>
  <c r="V260" i="93" s="1"/>
  <c r="W260" i="93"/>
  <c r="J261" i="93"/>
  <c r="K261" i="93" s="1"/>
  <c r="L261" i="93"/>
  <c r="U261" i="93"/>
  <c r="V261" i="93" s="1"/>
  <c r="W261" i="93"/>
  <c r="M262" i="93"/>
  <c r="N262" i="93"/>
  <c r="O262" i="93"/>
  <c r="P262" i="93"/>
  <c r="Q262" i="93"/>
  <c r="R262" i="93"/>
  <c r="S262" i="93"/>
  <c r="T262" i="93"/>
  <c r="J263" i="93"/>
  <c r="K263" i="93" s="1"/>
  <c r="L263" i="93"/>
  <c r="U263" i="93"/>
  <c r="V263" i="93" s="1"/>
  <c r="W263" i="93"/>
  <c r="J264" i="93"/>
  <c r="K264" i="93" s="1"/>
  <c r="L264" i="93"/>
  <c r="U264" i="93"/>
  <c r="V264" i="93" s="1"/>
  <c r="W264" i="93"/>
  <c r="J265" i="93"/>
  <c r="K265" i="93" s="1"/>
  <c r="L265" i="93"/>
  <c r="U265" i="93"/>
  <c r="V265" i="93" s="1"/>
  <c r="W265" i="93"/>
  <c r="M266" i="93"/>
  <c r="N266" i="93"/>
  <c r="O266" i="93"/>
  <c r="P266" i="93"/>
  <c r="Q266" i="93"/>
  <c r="R266" i="93"/>
  <c r="S266" i="93"/>
  <c r="T266" i="93"/>
  <c r="J267" i="93"/>
  <c r="K267" i="93" s="1"/>
  <c r="L267" i="93"/>
  <c r="U267" i="93"/>
  <c r="V267" i="93" s="1"/>
  <c r="W267" i="93"/>
  <c r="J268" i="93"/>
  <c r="K268" i="93" s="1"/>
  <c r="L268" i="93"/>
  <c r="U268" i="93"/>
  <c r="V268" i="93" s="1"/>
  <c r="W268" i="93"/>
  <c r="J269" i="93"/>
  <c r="K269" i="93" s="1"/>
  <c r="L269" i="93"/>
  <c r="U269" i="93"/>
  <c r="V269" i="93" s="1"/>
  <c r="W269" i="93"/>
  <c r="M270" i="93"/>
  <c r="N270" i="93"/>
  <c r="O270" i="93"/>
  <c r="P270" i="93"/>
  <c r="Q270" i="93"/>
  <c r="R270" i="93"/>
  <c r="S270" i="93"/>
  <c r="T270" i="93"/>
  <c r="J271" i="93"/>
  <c r="K271" i="93" s="1"/>
  <c r="L271" i="93"/>
  <c r="U271" i="93"/>
  <c r="V271" i="93" s="1"/>
  <c r="W271" i="93"/>
  <c r="J272" i="93"/>
  <c r="K272" i="93" s="1"/>
  <c r="L272" i="93"/>
  <c r="U272" i="93"/>
  <c r="V272" i="93" s="1"/>
  <c r="W272" i="93"/>
  <c r="J273" i="93"/>
  <c r="K273" i="93" s="1"/>
  <c r="L273" i="93"/>
  <c r="U273" i="93"/>
  <c r="W273" i="93"/>
  <c r="M274" i="93"/>
  <c r="N274" i="93"/>
  <c r="O274" i="93"/>
  <c r="P274" i="93"/>
  <c r="Q274" i="93"/>
  <c r="R274" i="93"/>
  <c r="S274" i="93"/>
  <c r="T274" i="93"/>
  <c r="J275" i="93"/>
  <c r="K275" i="93" s="1"/>
  <c r="L275" i="93"/>
  <c r="U275" i="93"/>
  <c r="V275" i="93" s="1"/>
  <c r="W275" i="93"/>
  <c r="J276" i="93"/>
  <c r="K276" i="93" s="1"/>
  <c r="L276" i="93"/>
  <c r="U276" i="93"/>
  <c r="V276" i="93" s="1"/>
  <c r="W276" i="93"/>
  <c r="J277" i="93"/>
  <c r="K277" i="93" s="1"/>
  <c r="L277" i="93"/>
  <c r="U277" i="93"/>
  <c r="V277" i="93" s="1"/>
  <c r="W277" i="93"/>
  <c r="M278" i="93"/>
  <c r="N278" i="93"/>
  <c r="O278" i="93"/>
  <c r="P278" i="93"/>
  <c r="Q278" i="93"/>
  <c r="R278" i="93"/>
  <c r="S278" i="93"/>
  <c r="T278" i="93"/>
  <c r="J279" i="93"/>
  <c r="K279" i="93" s="1"/>
  <c r="L279" i="93"/>
  <c r="U279" i="93"/>
  <c r="V279" i="93" s="1"/>
  <c r="W279" i="93"/>
  <c r="J280" i="93"/>
  <c r="L280" i="93"/>
  <c r="U280" i="93"/>
  <c r="V280" i="93" s="1"/>
  <c r="W280" i="93"/>
  <c r="J281" i="93"/>
  <c r="K281" i="93" s="1"/>
  <c r="L281" i="93"/>
  <c r="U281" i="93"/>
  <c r="V281" i="93" s="1"/>
  <c r="W281" i="93"/>
  <c r="J282" i="93"/>
  <c r="K282" i="93" s="1"/>
  <c r="L282" i="93"/>
  <c r="U282" i="93"/>
  <c r="V282" i="93" s="1"/>
  <c r="W282" i="93"/>
  <c r="M283" i="93"/>
  <c r="N283" i="93"/>
  <c r="O283" i="93"/>
  <c r="P283" i="93"/>
  <c r="Q283" i="93"/>
  <c r="R283" i="93"/>
  <c r="S283" i="93"/>
  <c r="T283" i="93"/>
  <c r="J284" i="93"/>
  <c r="L284" i="93"/>
  <c r="U284" i="93"/>
  <c r="V284" i="93" s="1"/>
  <c r="W284" i="93"/>
  <c r="J285" i="93"/>
  <c r="K285" i="93" s="1"/>
  <c r="L285" i="93"/>
  <c r="U285" i="93"/>
  <c r="V285" i="93" s="1"/>
  <c r="W285" i="93"/>
  <c r="J286" i="93"/>
  <c r="K286" i="93" s="1"/>
  <c r="L286" i="93"/>
  <c r="U286" i="93"/>
  <c r="V286" i="93" s="1"/>
  <c r="W286" i="93"/>
  <c r="M287" i="93"/>
  <c r="N287" i="93"/>
  <c r="O287" i="93"/>
  <c r="P287" i="93"/>
  <c r="Q287" i="93"/>
  <c r="R287" i="93"/>
  <c r="S287" i="93"/>
  <c r="T287" i="93"/>
  <c r="U287" i="93"/>
  <c r="J288" i="93"/>
  <c r="L288" i="93"/>
  <c r="V288" i="93"/>
  <c r="W288" i="93"/>
  <c r="J289" i="93"/>
  <c r="K289" i="93" s="1"/>
  <c r="L289" i="93"/>
  <c r="V289" i="93"/>
  <c r="W289" i="93"/>
  <c r="J290" i="93"/>
  <c r="U290" i="93"/>
  <c r="W290" i="93"/>
  <c r="K291" i="93"/>
  <c r="V291" i="93"/>
  <c r="V290" i="93" s="1"/>
  <c r="I293" i="93"/>
  <c r="M293" i="93"/>
  <c r="N293" i="93"/>
  <c r="O293" i="93"/>
  <c r="P293" i="93"/>
  <c r="Q293" i="93"/>
  <c r="R293" i="93"/>
  <c r="S293" i="93"/>
  <c r="T293" i="93"/>
  <c r="J294" i="93"/>
  <c r="K294" i="93" s="1"/>
  <c r="L294" i="93"/>
  <c r="U294" i="93"/>
  <c r="W294" i="93"/>
  <c r="J295" i="93"/>
  <c r="K295" i="93" s="1"/>
  <c r="L295" i="93"/>
  <c r="U295" i="93"/>
  <c r="V295" i="93" s="1"/>
  <c r="W295" i="93"/>
  <c r="J296" i="93"/>
  <c r="K296" i="93" s="1"/>
  <c r="L296" i="93"/>
  <c r="U296" i="93"/>
  <c r="V296" i="93" s="1"/>
  <c r="W296" i="93"/>
  <c r="J297" i="93"/>
  <c r="K297" i="93" s="1"/>
  <c r="L297" i="93"/>
  <c r="U297" i="93"/>
  <c r="V297" i="93" s="1"/>
  <c r="W297" i="93"/>
  <c r="J298" i="93"/>
  <c r="K298" i="93" s="1"/>
  <c r="L298" i="93"/>
  <c r="U298" i="93"/>
  <c r="V298" i="93" s="1"/>
  <c r="W298" i="93"/>
  <c r="M299" i="93"/>
  <c r="N299" i="93"/>
  <c r="O299" i="93"/>
  <c r="P299" i="93"/>
  <c r="Q299" i="93"/>
  <c r="R299" i="93"/>
  <c r="S299" i="93"/>
  <c r="T299" i="93"/>
  <c r="J300" i="93"/>
  <c r="K300" i="93" s="1"/>
  <c r="U300" i="93"/>
  <c r="V300" i="93" s="1"/>
  <c r="W300" i="93"/>
  <c r="J301" i="93"/>
  <c r="U301" i="93"/>
  <c r="V301" i="93" s="1"/>
  <c r="W301" i="93"/>
  <c r="J302" i="93"/>
  <c r="K302" i="93" s="1"/>
  <c r="U302" i="93"/>
  <c r="V302" i="93" s="1"/>
  <c r="W302" i="93"/>
  <c r="B303" i="93"/>
  <c r="C303" i="93"/>
  <c r="D303" i="93"/>
  <c r="E303" i="93"/>
  <c r="F303" i="93"/>
  <c r="G303" i="93"/>
  <c r="H303" i="93"/>
  <c r="M303" i="93"/>
  <c r="N303" i="93"/>
  <c r="O303" i="93"/>
  <c r="P303" i="93"/>
  <c r="Q303" i="93"/>
  <c r="R303" i="93"/>
  <c r="S303" i="93"/>
  <c r="I304" i="93"/>
  <c r="J304" i="93"/>
  <c r="L304" i="93"/>
  <c r="T304" i="93"/>
  <c r="U304" i="93"/>
  <c r="W304" i="93"/>
  <c r="I305" i="93"/>
  <c r="J305" i="93"/>
  <c r="L305" i="93"/>
  <c r="T305" i="93"/>
  <c r="U305" i="93"/>
  <c r="W305" i="93"/>
  <c r="E306" i="93"/>
  <c r="F306" i="93"/>
  <c r="G306" i="93"/>
  <c r="H306" i="93"/>
  <c r="I306" i="93"/>
  <c r="J306" i="93"/>
  <c r="M306" i="93"/>
  <c r="N306" i="93"/>
  <c r="P306" i="93"/>
  <c r="Q306" i="93"/>
  <c r="R306" i="93"/>
  <c r="S306" i="93"/>
  <c r="T306" i="93"/>
  <c r="U306" i="93"/>
  <c r="D308" i="93"/>
  <c r="K308" i="93" s="1"/>
  <c r="L308" i="93"/>
  <c r="O308" i="93"/>
  <c r="V308" i="93" s="1"/>
  <c r="D309" i="93"/>
  <c r="K309" i="93" s="1"/>
  <c r="L309" i="93"/>
  <c r="O309" i="93"/>
  <c r="V309" i="93" s="1"/>
  <c r="B315" i="93"/>
  <c r="B314" i="93" s="1"/>
  <c r="C315" i="93"/>
  <c r="C314" i="93" s="1"/>
  <c r="D315" i="93"/>
  <c r="E315" i="93"/>
  <c r="E314" i="93" s="1"/>
  <c r="F315" i="93"/>
  <c r="F314" i="93" s="1"/>
  <c r="G315" i="93"/>
  <c r="G314" i="93" s="1"/>
  <c r="H315" i="93"/>
  <c r="H314" i="93" s="1"/>
  <c r="I315" i="93"/>
  <c r="I314" i="93" s="1"/>
  <c r="J315" i="93"/>
  <c r="J314" i="93" s="1"/>
  <c r="L315" i="93"/>
  <c r="L314" i="93" s="1"/>
  <c r="M315" i="93"/>
  <c r="M314" i="93" s="1"/>
  <c r="N315" i="93"/>
  <c r="N314" i="93" s="1"/>
  <c r="O315" i="93"/>
  <c r="O314" i="93" s="1"/>
  <c r="P315" i="93"/>
  <c r="P314" i="93" s="1"/>
  <c r="Q315" i="93"/>
  <c r="Q314" i="93" s="1"/>
  <c r="R315" i="93"/>
  <c r="R314" i="93" s="1"/>
  <c r="S315" i="93"/>
  <c r="S314" i="93" s="1"/>
  <c r="T315" i="93"/>
  <c r="T314" i="93" s="1"/>
  <c r="U315" i="93"/>
  <c r="U314" i="93" s="1"/>
  <c r="W315" i="93"/>
  <c r="W314" i="93" s="1"/>
  <c r="B318" i="93"/>
  <c r="B317" i="93" s="1"/>
  <c r="C318" i="93"/>
  <c r="C317" i="93" s="1"/>
  <c r="D318" i="93"/>
  <c r="D317" i="93" s="1"/>
  <c r="E318" i="93"/>
  <c r="E317" i="93" s="1"/>
  <c r="F318" i="93"/>
  <c r="F317" i="93" s="1"/>
  <c r="G318" i="93"/>
  <c r="G317" i="93" s="1"/>
  <c r="H318" i="93"/>
  <c r="H317" i="93" s="1"/>
  <c r="I318" i="93"/>
  <c r="I317" i="93" s="1"/>
  <c r="J318" i="93"/>
  <c r="J317" i="93" s="1"/>
  <c r="M318" i="93"/>
  <c r="N318" i="93"/>
  <c r="N317" i="93" s="1"/>
  <c r="O318" i="93"/>
  <c r="O317" i="93" s="1"/>
  <c r="P318" i="93"/>
  <c r="P317" i="93" s="1"/>
  <c r="Q318" i="93"/>
  <c r="Q317" i="93" s="1"/>
  <c r="R318" i="93"/>
  <c r="R317" i="93" s="1"/>
  <c r="S318" i="93"/>
  <c r="S317" i="93" s="1"/>
  <c r="T318" i="93"/>
  <c r="T317" i="93" s="1"/>
  <c r="U318" i="93"/>
  <c r="U317" i="93" s="1"/>
  <c r="K330" i="93"/>
  <c r="V330" i="93"/>
  <c r="B331" i="93"/>
  <c r="C331" i="93"/>
  <c r="D331" i="93"/>
  <c r="E331" i="93"/>
  <c r="F331" i="93"/>
  <c r="G331" i="93"/>
  <c r="H331" i="93"/>
  <c r="I331" i="93"/>
  <c r="J331" i="93"/>
  <c r="L331" i="93"/>
  <c r="M331" i="93"/>
  <c r="N331" i="93"/>
  <c r="O331" i="93"/>
  <c r="P331" i="93"/>
  <c r="Q331" i="93"/>
  <c r="R331" i="93"/>
  <c r="S331" i="93"/>
  <c r="T331" i="93"/>
  <c r="U331" i="93"/>
  <c r="W331" i="93"/>
  <c r="C332" i="93"/>
  <c r="D332" i="93"/>
  <c r="E332" i="93"/>
  <c r="F332" i="93"/>
  <c r="G332" i="93"/>
  <c r="H332" i="93"/>
  <c r="I332" i="93"/>
  <c r="J332" i="93"/>
  <c r="L332" i="93"/>
  <c r="M332" i="93"/>
  <c r="N332" i="93"/>
  <c r="O332" i="93"/>
  <c r="P332" i="93"/>
  <c r="Q332" i="93"/>
  <c r="R332" i="93"/>
  <c r="S332" i="93"/>
  <c r="T332" i="93"/>
  <c r="U332" i="93"/>
  <c r="W332" i="93"/>
  <c r="B333" i="93"/>
  <c r="K333" i="93" s="1"/>
  <c r="L333" i="93"/>
  <c r="M333" i="93"/>
  <c r="V333" i="93" s="1"/>
  <c r="W333" i="93"/>
  <c r="B334" i="93"/>
  <c r="K334" i="93" s="1"/>
  <c r="M334" i="93"/>
  <c r="V334" i="93" s="1"/>
  <c r="K335" i="93"/>
  <c r="V335" i="93"/>
  <c r="W335" i="93"/>
  <c r="L336" i="93"/>
  <c r="W336" i="93"/>
  <c r="B340" i="93"/>
  <c r="C340" i="93"/>
  <c r="D340" i="93"/>
  <c r="E340" i="93"/>
  <c r="F340" i="93"/>
  <c r="G340" i="93"/>
  <c r="H340" i="93"/>
  <c r="I340" i="93"/>
  <c r="J340" i="93"/>
  <c r="J336" i="93" s="1"/>
  <c r="M340" i="93"/>
  <c r="N340" i="93"/>
  <c r="O340" i="93"/>
  <c r="P340" i="93"/>
  <c r="Q340" i="93"/>
  <c r="R340" i="93"/>
  <c r="S340" i="93"/>
  <c r="T340" i="93"/>
  <c r="U340" i="93"/>
  <c r="K341" i="93"/>
  <c r="K340" i="93" s="1"/>
  <c r="V341" i="93"/>
  <c r="V340" i="93" s="1"/>
  <c r="C399" i="93"/>
  <c r="O399" i="93"/>
  <c r="P399" i="93"/>
  <c r="S399" i="93"/>
  <c r="T399" i="93"/>
  <c r="V400" i="93"/>
  <c r="C10" i="92"/>
  <c r="D10" i="92"/>
  <c r="E10" i="92"/>
  <c r="F10" i="92"/>
  <c r="G10" i="92"/>
  <c r="H10" i="92"/>
  <c r="I10" i="92"/>
  <c r="J10" i="92"/>
  <c r="O10" i="92"/>
  <c r="P10" i="92"/>
  <c r="Q10" i="92"/>
  <c r="R10" i="92"/>
  <c r="S10" i="92"/>
  <c r="T10" i="92"/>
  <c r="U10" i="92"/>
  <c r="B11" i="92"/>
  <c r="K11" i="92" s="1"/>
  <c r="L11" i="92"/>
  <c r="M11" i="92"/>
  <c r="W11" i="92"/>
  <c r="B12" i="92"/>
  <c r="K12" i="92" s="1"/>
  <c r="L12" i="92"/>
  <c r="M12" i="92"/>
  <c r="V12" i="92" s="1"/>
  <c r="W12" i="92"/>
  <c r="B13" i="92"/>
  <c r="K13" i="92" s="1"/>
  <c r="M13" i="92"/>
  <c r="V13" i="92" s="1"/>
  <c r="B14" i="92"/>
  <c r="K14" i="92" s="1"/>
  <c r="L14" i="92"/>
  <c r="M14" i="92"/>
  <c r="V14" i="92" s="1"/>
  <c r="W14" i="92"/>
  <c r="B15" i="92"/>
  <c r="K15" i="92" s="1"/>
  <c r="L15" i="92"/>
  <c r="M15" i="92"/>
  <c r="N15" i="92"/>
  <c r="N10" i="92" s="1"/>
  <c r="B16" i="92"/>
  <c r="K16" i="92" s="1"/>
  <c r="M16" i="92"/>
  <c r="V16" i="92" s="1"/>
  <c r="B17" i="92"/>
  <c r="K17" i="92" s="1"/>
  <c r="M17" i="92"/>
  <c r="V17" i="92" s="1"/>
  <c r="B18" i="92"/>
  <c r="K18" i="92" s="1"/>
  <c r="M18" i="92"/>
  <c r="V18" i="92" s="1"/>
  <c r="C19" i="92"/>
  <c r="D19" i="92"/>
  <c r="E19" i="92"/>
  <c r="F19" i="92"/>
  <c r="G19" i="92"/>
  <c r="H19" i="92"/>
  <c r="I19" i="92"/>
  <c r="J19" i="92"/>
  <c r="N19" i="92"/>
  <c r="O19" i="92"/>
  <c r="P19" i="92"/>
  <c r="Q19" i="92"/>
  <c r="R19" i="92"/>
  <c r="S19" i="92"/>
  <c r="T19" i="92"/>
  <c r="U19" i="92"/>
  <c r="B20" i="92"/>
  <c r="K20" i="92" s="1"/>
  <c r="M20" i="92"/>
  <c r="V20" i="92" s="1"/>
  <c r="W20" i="92"/>
  <c r="B21" i="92"/>
  <c r="K21" i="92" s="1"/>
  <c r="M21" i="92"/>
  <c r="V21" i="92" s="1"/>
  <c r="B22" i="92"/>
  <c r="K22" i="92" s="1"/>
  <c r="M22" i="92"/>
  <c r="V22" i="92" s="1"/>
  <c r="B23" i="92"/>
  <c r="K23" i="92" s="1"/>
  <c r="M23" i="92"/>
  <c r="V23" i="92" s="1"/>
  <c r="B24" i="92"/>
  <c r="K24" i="92" s="1"/>
  <c r="M24" i="92"/>
  <c r="V24" i="92" s="1"/>
  <c r="B25" i="92"/>
  <c r="K25" i="92" s="1"/>
  <c r="M25" i="92"/>
  <c r="V25" i="92" s="1"/>
  <c r="C26" i="92"/>
  <c r="D26" i="92"/>
  <c r="E26" i="92"/>
  <c r="F26" i="92"/>
  <c r="G26" i="92"/>
  <c r="H26" i="92"/>
  <c r="I26" i="92"/>
  <c r="J26" i="92"/>
  <c r="N26" i="92"/>
  <c r="O26" i="92"/>
  <c r="P26" i="92"/>
  <c r="Q26" i="92"/>
  <c r="R26" i="92"/>
  <c r="S26" i="92"/>
  <c r="T26" i="92"/>
  <c r="U26" i="92"/>
  <c r="B27" i="92"/>
  <c r="K27" i="92" s="1"/>
  <c r="M27" i="92"/>
  <c r="V27" i="92" s="1"/>
  <c r="B28" i="92"/>
  <c r="K28" i="92" s="1"/>
  <c r="M28" i="92"/>
  <c r="V28" i="92" s="1"/>
  <c r="B29" i="92"/>
  <c r="K29" i="92" s="1"/>
  <c r="M29" i="92"/>
  <c r="V29" i="92" s="1"/>
  <c r="B30" i="92"/>
  <c r="K30" i="92" s="1"/>
  <c r="M30" i="92"/>
  <c r="V30" i="92" s="1"/>
  <c r="B31" i="92"/>
  <c r="K31" i="92" s="1"/>
  <c r="M31" i="92"/>
  <c r="V31" i="92" s="1"/>
  <c r="B32" i="92"/>
  <c r="K32" i="92" s="1"/>
  <c r="M32" i="92"/>
  <c r="V32" i="92" s="1"/>
  <c r="C33" i="92"/>
  <c r="D33" i="92"/>
  <c r="E33" i="92"/>
  <c r="F33" i="92"/>
  <c r="G33" i="92"/>
  <c r="H33" i="92"/>
  <c r="I33" i="92"/>
  <c r="J33" i="92"/>
  <c r="N33" i="92"/>
  <c r="O33" i="92"/>
  <c r="P33" i="92"/>
  <c r="Q33" i="92"/>
  <c r="R33" i="92"/>
  <c r="S33" i="92"/>
  <c r="T33" i="92"/>
  <c r="U33" i="92"/>
  <c r="B34" i="92"/>
  <c r="M34" i="92"/>
  <c r="V34" i="92" s="1"/>
  <c r="B35" i="92"/>
  <c r="K35" i="92" s="1"/>
  <c r="M35" i="92"/>
  <c r="V35" i="92" s="1"/>
  <c r="B36" i="92"/>
  <c r="K36" i="92" s="1"/>
  <c r="M36" i="92"/>
  <c r="V36" i="92" s="1"/>
  <c r="B37" i="92"/>
  <c r="K37" i="92" s="1"/>
  <c r="M37" i="92"/>
  <c r="V37" i="92" s="1"/>
  <c r="B38" i="92"/>
  <c r="K38" i="92" s="1"/>
  <c r="M38" i="92"/>
  <c r="V38" i="92" s="1"/>
  <c r="B39" i="92"/>
  <c r="K39" i="92" s="1"/>
  <c r="M39" i="92"/>
  <c r="V39" i="92" s="1"/>
  <c r="K40" i="92"/>
  <c r="M40" i="92"/>
  <c r="V40" i="92" s="1"/>
  <c r="D41" i="92"/>
  <c r="E41" i="92"/>
  <c r="F41" i="92"/>
  <c r="G41" i="92"/>
  <c r="H41" i="92"/>
  <c r="I41" i="92"/>
  <c r="J41" i="92"/>
  <c r="O41" i="92"/>
  <c r="P41" i="92"/>
  <c r="Q41" i="92"/>
  <c r="R41" i="92"/>
  <c r="S41" i="92"/>
  <c r="T41" i="92"/>
  <c r="U41" i="92"/>
  <c r="B42" i="92"/>
  <c r="C42" i="92"/>
  <c r="L42" i="92"/>
  <c r="M42" i="92"/>
  <c r="N42" i="92"/>
  <c r="W42" i="92"/>
  <c r="B43" i="92"/>
  <c r="C43" i="92"/>
  <c r="L43" i="92"/>
  <c r="M43" i="92"/>
  <c r="N43" i="92"/>
  <c r="V43" i="92"/>
  <c r="W43" i="92"/>
  <c r="V44" i="92"/>
  <c r="B45" i="92"/>
  <c r="C45" i="92"/>
  <c r="D45" i="92"/>
  <c r="F45" i="92"/>
  <c r="G45" i="92"/>
  <c r="H45" i="92"/>
  <c r="I45" i="92"/>
  <c r="J45" i="92"/>
  <c r="M45" i="92"/>
  <c r="N45" i="92"/>
  <c r="O45" i="92"/>
  <c r="Q45" i="92"/>
  <c r="R45" i="92"/>
  <c r="S45" i="92"/>
  <c r="T45" i="92"/>
  <c r="U45" i="92"/>
  <c r="E46" i="92"/>
  <c r="K46" i="92" s="1"/>
  <c r="L46" i="92"/>
  <c r="P46" i="92"/>
  <c r="V46" i="92" s="1"/>
  <c r="E47" i="92"/>
  <c r="K47" i="92" s="1"/>
  <c r="L47" i="92"/>
  <c r="P47" i="92"/>
  <c r="V47" i="92" s="1"/>
  <c r="E48" i="92"/>
  <c r="K48" i="92" s="1"/>
  <c r="P48" i="92"/>
  <c r="V48" i="92" s="1"/>
  <c r="C49" i="92"/>
  <c r="D49" i="92"/>
  <c r="E49" i="92"/>
  <c r="F49" i="92"/>
  <c r="G49" i="92"/>
  <c r="H49" i="92"/>
  <c r="I49" i="92"/>
  <c r="J49" i="92"/>
  <c r="N49" i="92"/>
  <c r="O49" i="92"/>
  <c r="P49" i="92"/>
  <c r="Q49" i="92"/>
  <c r="R49" i="92"/>
  <c r="S49" i="92"/>
  <c r="T49" i="92"/>
  <c r="U49" i="92"/>
  <c r="B50" i="92"/>
  <c r="K50" i="92" s="1"/>
  <c r="L50" i="92"/>
  <c r="M50" i="92"/>
  <c r="W50" i="92"/>
  <c r="B51" i="92"/>
  <c r="K51" i="92" s="1"/>
  <c r="L51" i="92"/>
  <c r="M51" i="92"/>
  <c r="V51" i="92" s="1"/>
  <c r="W51" i="92"/>
  <c r="B52" i="92"/>
  <c r="K52" i="92" s="1"/>
  <c r="L52" i="92"/>
  <c r="M52" i="92"/>
  <c r="V52" i="92" s="1"/>
  <c r="W52" i="92"/>
  <c r="B53" i="92"/>
  <c r="K53" i="92" s="1"/>
  <c r="L53" i="92"/>
  <c r="M53" i="92"/>
  <c r="V53" i="92" s="1"/>
  <c r="W53" i="92"/>
  <c r="B54" i="92"/>
  <c r="K54" i="92" s="1"/>
  <c r="L54" i="92"/>
  <c r="M54" i="92"/>
  <c r="V54" i="92" s="1"/>
  <c r="W54" i="92"/>
  <c r="B55" i="92"/>
  <c r="K55" i="92" s="1"/>
  <c r="L55" i="92"/>
  <c r="M55" i="92"/>
  <c r="V55" i="92" s="1"/>
  <c r="W55" i="92"/>
  <c r="B56" i="92"/>
  <c r="K56" i="92" s="1"/>
  <c r="L56" i="92"/>
  <c r="M56" i="92"/>
  <c r="V56" i="92" s="1"/>
  <c r="W56" i="92"/>
  <c r="B57" i="92"/>
  <c r="K57" i="92" s="1"/>
  <c r="L57" i="92"/>
  <c r="M57" i="92"/>
  <c r="V57" i="92" s="1"/>
  <c r="W57" i="92"/>
  <c r="B58" i="92"/>
  <c r="K58" i="92" s="1"/>
  <c r="L58" i="92"/>
  <c r="M58" i="92"/>
  <c r="V58" i="92" s="1"/>
  <c r="W58" i="92"/>
  <c r="B59" i="92"/>
  <c r="K59" i="92" s="1"/>
  <c r="L59" i="92"/>
  <c r="M59" i="92"/>
  <c r="V59" i="92" s="1"/>
  <c r="W59" i="92"/>
  <c r="B60" i="92"/>
  <c r="K60" i="92" s="1"/>
  <c r="L60" i="92"/>
  <c r="M60" i="92"/>
  <c r="V60" i="92" s="1"/>
  <c r="W60" i="92"/>
  <c r="B61" i="92"/>
  <c r="K61" i="92" s="1"/>
  <c r="L61" i="92"/>
  <c r="M61" i="92"/>
  <c r="V61" i="92" s="1"/>
  <c r="W61" i="92"/>
  <c r="B62" i="92"/>
  <c r="K62" i="92" s="1"/>
  <c r="L62" i="92"/>
  <c r="M62" i="92"/>
  <c r="V62" i="92" s="1"/>
  <c r="W62" i="92"/>
  <c r="B63" i="92"/>
  <c r="K63" i="92" s="1"/>
  <c r="L63" i="92"/>
  <c r="M63" i="92"/>
  <c r="V63" i="92" s="1"/>
  <c r="W63" i="92"/>
  <c r="B64" i="92"/>
  <c r="K64" i="92" s="1"/>
  <c r="L64" i="92"/>
  <c r="M64" i="92"/>
  <c r="V64" i="92" s="1"/>
  <c r="W64" i="92"/>
  <c r="B65" i="92"/>
  <c r="K65" i="92" s="1"/>
  <c r="L65" i="92"/>
  <c r="M65" i="92"/>
  <c r="V65" i="92" s="1"/>
  <c r="W65" i="92"/>
  <c r="C66" i="92"/>
  <c r="D66" i="92"/>
  <c r="E66" i="92"/>
  <c r="F66" i="92"/>
  <c r="G66" i="92"/>
  <c r="H66" i="92"/>
  <c r="I66" i="92"/>
  <c r="J66" i="92"/>
  <c r="N66" i="92"/>
  <c r="O66" i="92"/>
  <c r="P66" i="92"/>
  <c r="Q66" i="92"/>
  <c r="R66" i="92"/>
  <c r="S66" i="92"/>
  <c r="T66" i="92"/>
  <c r="U66" i="92"/>
  <c r="B67" i="92"/>
  <c r="K67" i="92" s="1"/>
  <c r="L67" i="92"/>
  <c r="M67" i="92"/>
  <c r="V67" i="92" s="1"/>
  <c r="W67" i="92"/>
  <c r="B68" i="92"/>
  <c r="K68" i="92" s="1"/>
  <c r="L68" i="92"/>
  <c r="M68" i="92"/>
  <c r="V68" i="92" s="1"/>
  <c r="W68" i="92"/>
  <c r="B69" i="92"/>
  <c r="K69" i="92" s="1"/>
  <c r="L69" i="92"/>
  <c r="M69" i="92"/>
  <c r="V69" i="92" s="1"/>
  <c r="W69" i="92"/>
  <c r="B70" i="92"/>
  <c r="K70" i="92" s="1"/>
  <c r="L70" i="92"/>
  <c r="M70" i="92"/>
  <c r="V70" i="92" s="1"/>
  <c r="W70" i="92"/>
  <c r="B71" i="92"/>
  <c r="K71" i="92" s="1"/>
  <c r="L71" i="92"/>
  <c r="M71" i="92"/>
  <c r="V71" i="92" s="1"/>
  <c r="W71" i="92"/>
  <c r="B72" i="92"/>
  <c r="K72" i="92" s="1"/>
  <c r="L72" i="92"/>
  <c r="M72" i="92"/>
  <c r="V72" i="92" s="1"/>
  <c r="W72" i="92"/>
  <c r="B73" i="92"/>
  <c r="K73" i="92" s="1"/>
  <c r="L73" i="92"/>
  <c r="M73" i="92"/>
  <c r="V73" i="92" s="1"/>
  <c r="W73" i="92"/>
  <c r="B74" i="92"/>
  <c r="K74" i="92" s="1"/>
  <c r="L74" i="92"/>
  <c r="M74" i="92"/>
  <c r="V74" i="92" s="1"/>
  <c r="W74" i="92"/>
  <c r="B75" i="92"/>
  <c r="K75" i="92" s="1"/>
  <c r="L75" i="92"/>
  <c r="M75" i="92"/>
  <c r="V75" i="92" s="1"/>
  <c r="W75" i="92"/>
  <c r="B76" i="92"/>
  <c r="K76" i="92" s="1"/>
  <c r="L76" i="92"/>
  <c r="M76" i="92"/>
  <c r="V76" i="92" s="1"/>
  <c r="W76" i="92"/>
  <c r="B77" i="92"/>
  <c r="K77" i="92" s="1"/>
  <c r="L77" i="92"/>
  <c r="M77" i="92"/>
  <c r="V77" i="92" s="1"/>
  <c r="W77" i="92"/>
  <c r="C78" i="92"/>
  <c r="D78" i="92"/>
  <c r="E78" i="92"/>
  <c r="F78" i="92"/>
  <c r="G78" i="92"/>
  <c r="H78" i="92"/>
  <c r="I78" i="92"/>
  <c r="J78" i="92"/>
  <c r="N78" i="92"/>
  <c r="O78" i="92"/>
  <c r="P78" i="92"/>
  <c r="Q78" i="92"/>
  <c r="R78" i="92"/>
  <c r="S78" i="92"/>
  <c r="T78" i="92"/>
  <c r="U78" i="92"/>
  <c r="B79" i="92"/>
  <c r="K79" i="92" s="1"/>
  <c r="L79" i="92"/>
  <c r="M79" i="92"/>
  <c r="V79" i="92" s="1"/>
  <c r="W79" i="92"/>
  <c r="B80" i="92"/>
  <c r="K80" i="92" s="1"/>
  <c r="L80" i="92"/>
  <c r="M80" i="92"/>
  <c r="V80" i="92" s="1"/>
  <c r="W80" i="92"/>
  <c r="B81" i="92"/>
  <c r="K81" i="92" s="1"/>
  <c r="L81" i="92"/>
  <c r="M81" i="92"/>
  <c r="V81" i="92" s="1"/>
  <c r="W81" i="92"/>
  <c r="B82" i="92"/>
  <c r="K82" i="92" s="1"/>
  <c r="L82" i="92"/>
  <c r="M82" i="92"/>
  <c r="V82" i="92" s="1"/>
  <c r="W82" i="92"/>
  <c r="B83" i="92"/>
  <c r="K83" i="92" s="1"/>
  <c r="L83" i="92"/>
  <c r="M83" i="92"/>
  <c r="V83" i="92" s="1"/>
  <c r="W83" i="92"/>
  <c r="B84" i="92"/>
  <c r="K84" i="92" s="1"/>
  <c r="L84" i="92"/>
  <c r="M84" i="92"/>
  <c r="V84" i="92" s="1"/>
  <c r="W84" i="92"/>
  <c r="B85" i="92"/>
  <c r="K85" i="92" s="1"/>
  <c r="L85" i="92"/>
  <c r="M85" i="92"/>
  <c r="V85" i="92" s="1"/>
  <c r="W85" i="92"/>
  <c r="B86" i="92"/>
  <c r="K86" i="92" s="1"/>
  <c r="L86" i="92"/>
  <c r="M86" i="92"/>
  <c r="V86" i="92" s="1"/>
  <c r="W86" i="92"/>
  <c r="B87" i="92"/>
  <c r="K87" i="92" s="1"/>
  <c r="L87" i="92"/>
  <c r="M87" i="92"/>
  <c r="V87" i="92" s="1"/>
  <c r="W87" i="92"/>
  <c r="B88" i="92"/>
  <c r="K88" i="92" s="1"/>
  <c r="L88" i="92"/>
  <c r="M88" i="92"/>
  <c r="V88" i="92" s="1"/>
  <c r="W88" i="92"/>
  <c r="B89" i="92"/>
  <c r="K89" i="92" s="1"/>
  <c r="L89" i="92"/>
  <c r="M89" i="92"/>
  <c r="V89" i="92" s="1"/>
  <c r="W89" i="92"/>
  <c r="C91" i="92"/>
  <c r="D91" i="92"/>
  <c r="E91" i="92"/>
  <c r="F91" i="92"/>
  <c r="G91" i="92"/>
  <c r="H91" i="92"/>
  <c r="I91" i="92"/>
  <c r="J91" i="92"/>
  <c r="N91" i="92"/>
  <c r="O91" i="92"/>
  <c r="P91" i="92"/>
  <c r="Q91" i="92"/>
  <c r="R91" i="92"/>
  <c r="S91" i="92"/>
  <c r="T91" i="92"/>
  <c r="U91" i="92"/>
  <c r="B92" i="92"/>
  <c r="L92" i="92"/>
  <c r="M92" i="92"/>
  <c r="V92" i="92" s="1"/>
  <c r="W92" i="92"/>
  <c r="B93" i="92"/>
  <c r="K93" i="92" s="1"/>
  <c r="M93" i="92"/>
  <c r="V93" i="92" s="1"/>
  <c r="W93" i="92"/>
  <c r="B94" i="92"/>
  <c r="K94" i="92" s="1"/>
  <c r="L94" i="92"/>
  <c r="M94" i="92"/>
  <c r="V94" i="92" s="1"/>
  <c r="W94" i="92"/>
  <c r="B95" i="92"/>
  <c r="K95" i="92" s="1"/>
  <c r="L95" i="92"/>
  <c r="M95" i="92"/>
  <c r="V95" i="92" s="1"/>
  <c r="W95" i="92"/>
  <c r="B96" i="92"/>
  <c r="K96" i="92" s="1"/>
  <c r="L96" i="92"/>
  <c r="M96" i="92"/>
  <c r="V96" i="92" s="1"/>
  <c r="B97" i="92"/>
  <c r="K97" i="92" s="1"/>
  <c r="L97" i="92"/>
  <c r="M97" i="92"/>
  <c r="V97" i="92" s="1"/>
  <c r="W97" i="92"/>
  <c r="C98" i="92"/>
  <c r="D98" i="92"/>
  <c r="E98" i="92"/>
  <c r="F98" i="92"/>
  <c r="G98" i="92"/>
  <c r="H98" i="92"/>
  <c r="I98" i="92"/>
  <c r="J98" i="92"/>
  <c r="N98" i="92"/>
  <c r="O98" i="92"/>
  <c r="P98" i="92"/>
  <c r="Q98" i="92"/>
  <c r="R98" i="92"/>
  <c r="S98" i="92"/>
  <c r="T98" i="92"/>
  <c r="U98" i="92"/>
  <c r="B99" i="92"/>
  <c r="K99" i="92" s="1"/>
  <c r="L99" i="92"/>
  <c r="M99" i="92"/>
  <c r="V99" i="92" s="1"/>
  <c r="W99" i="92"/>
  <c r="B100" i="92"/>
  <c r="K100" i="92" s="1"/>
  <c r="L100" i="92"/>
  <c r="M100" i="92"/>
  <c r="V100" i="92" s="1"/>
  <c r="W100" i="92"/>
  <c r="B101" i="92"/>
  <c r="K101" i="92" s="1"/>
  <c r="L101" i="92"/>
  <c r="M101" i="92"/>
  <c r="V101" i="92" s="1"/>
  <c r="W101" i="92"/>
  <c r="B102" i="92"/>
  <c r="K102" i="92" s="1"/>
  <c r="L102" i="92"/>
  <c r="M102" i="92"/>
  <c r="V102" i="92" s="1"/>
  <c r="W102" i="92"/>
  <c r="B103" i="92"/>
  <c r="K103" i="92" s="1"/>
  <c r="L103" i="92"/>
  <c r="M103" i="92"/>
  <c r="V103" i="92" s="1"/>
  <c r="W103" i="92"/>
  <c r="B104" i="92"/>
  <c r="L104" i="92"/>
  <c r="M104" i="92"/>
  <c r="C105" i="92"/>
  <c r="D105" i="92"/>
  <c r="E105" i="92"/>
  <c r="F105" i="92"/>
  <c r="G105" i="92"/>
  <c r="H105" i="92"/>
  <c r="I105" i="92"/>
  <c r="J105" i="92"/>
  <c r="N105" i="92"/>
  <c r="O105" i="92"/>
  <c r="P105" i="92"/>
  <c r="Q105" i="92"/>
  <c r="R105" i="92"/>
  <c r="S105" i="92"/>
  <c r="T105" i="92"/>
  <c r="U105" i="92"/>
  <c r="B106" i="92"/>
  <c r="K106" i="92" s="1"/>
  <c r="L106" i="92"/>
  <c r="M106" i="92"/>
  <c r="V106" i="92" s="1"/>
  <c r="W106" i="92"/>
  <c r="B107" i="92"/>
  <c r="K107" i="92" s="1"/>
  <c r="L107" i="92"/>
  <c r="M107" i="92"/>
  <c r="V107" i="92" s="1"/>
  <c r="W107" i="92"/>
  <c r="B108" i="92"/>
  <c r="K108" i="92" s="1"/>
  <c r="L108" i="92"/>
  <c r="M108" i="92"/>
  <c r="V108" i="92" s="1"/>
  <c r="W108" i="92"/>
  <c r="B109" i="92"/>
  <c r="K109" i="92" s="1"/>
  <c r="L109" i="92"/>
  <c r="M109" i="92"/>
  <c r="V109" i="92" s="1"/>
  <c r="W109" i="92"/>
  <c r="B110" i="92"/>
  <c r="K110" i="92" s="1"/>
  <c r="L110" i="92"/>
  <c r="M110" i="92"/>
  <c r="V110" i="92" s="1"/>
  <c r="W110" i="92"/>
  <c r="C111" i="92"/>
  <c r="D111" i="92"/>
  <c r="E111" i="92"/>
  <c r="F111" i="92"/>
  <c r="G111" i="92"/>
  <c r="H111" i="92"/>
  <c r="I111" i="92"/>
  <c r="J111" i="92"/>
  <c r="N111" i="92"/>
  <c r="O111" i="92"/>
  <c r="P111" i="92"/>
  <c r="Q111" i="92"/>
  <c r="R111" i="92"/>
  <c r="S111" i="92"/>
  <c r="T111" i="92"/>
  <c r="U111" i="92"/>
  <c r="B112" i="92"/>
  <c r="K112" i="92" s="1"/>
  <c r="L112" i="92"/>
  <c r="M112" i="92"/>
  <c r="V112" i="92" s="1"/>
  <c r="W112" i="92"/>
  <c r="B113" i="92"/>
  <c r="K113" i="92" s="1"/>
  <c r="L113" i="92"/>
  <c r="M113" i="92"/>
  <c r="V113" i="92" s="1"/>
  <c r="W113" i="92"/>
  <c r="B114" i="92"/>
  <c r="K114" i="92" s="1"/>
  <c r="L114" i="92"/>
  <c r="M114" i="92"/>
  <c r="V114" i="92" s="1"/>
  <c r="W114" i="92"/>
  <c r="B115" i="92"/>
  <c r="K115" i="92" s="1"/>
  <c r="L115" i="92"/>
  <c r="M115" i="92"/>
  <c r="V115" i="92" s="1"/>
  <c r="W115" i="92"/>
  <c r="B116" i="92"/>
  <c r="K116" i="92" s="1"/>
  <c r="L116" i="92"/>
  <c r="M116" i="92"/>
  <c r="V116" i="92" s="1"/>
  <c r="W116" i="92"/>
  <c r="C117" i="92"/>
  <c r="D117" i="92"/>
  <c r="E117" i="92"/>
  <c r="F117" i="92"/>
  <c r="G117" i="92"/>
  <c r="H117" i="92"/>
  <c r="I117" i="92"/>
  <c r="J117" i="92"/>
  <c r="N117" i="92"/>
  <c r="O117" i="92"/>
  <c r="P117" i="92"/>
  <c r="Q117" i="92"/>
  <c r="R117" i="92"/>
  <c r="S117" i="92"/>
  <c r="T117" i="92"/>
  <c r="U117" i="92"/>
  <c r="B118" i="92"/>
  <c r="K118" i="92" s="1"/>
  <c r="L118" i="92"/>
  <c r="M118" i="92"/>
  <c r="V118" i="92" s="1"/>
  <c r="W118" i="92"/>
  <c r="B119" i="92"/>
  <c r="K119" i="92" s="1"/>
  <c r="L119" i="92"/>
  <c r="M119" i="92"/>
  <c r="V119" i="92" s="1"/>
  <c r="W119" i="92"/>
  <c r="B120" i="92"/>
  <c r="K120" i="92" s="1"/>
  <c r="L120" i="92"/>
  <c r="M120" i="92"/>
  <c r="V120" i="92" s="1"/>
  <c r="W120" i="92"/>
  <c r="B121" i="92"/>
  <c r="K121" i="92" s="1"/>
  <c r="L121" i="92"/>
  <c r="M121" i="92"/>
  <c r="V121" i="92" s="1"/>
  <c r="W121" i="92"/>
  <c r="B122" i="92"/>
  <c r="K122" i="92" s="1"/>
  <c r="L122" i="92"/>
  <c r="C123" i="92"/>
  <c r="D123" i="92"/>
  <c r="E123" i="92"/>
  <c r="F123" i="92"/>
  <c r="G123" i="92"/>
  <c r="H123" i="92"/>
  <c r="I123" i="92"/>
  <c r="J123" i="92"/>
  <c r="N123" i="92"/>
  <c r="O123" i="92"/>
  <c r="P123" i="92"/>
  <c r="Q123" i="92"/>
  <c r="R123" i="92"/>
  <c r="S123" i="92"/>
  <c r="T123" i="92"/>
  <c r="U123" i="92"/>
  <c r="B124" i="92"/>
  <c r="K124" i="92" s="1"/>
  <c r="L124" i="92"/>
  <c r="M124" i="92"/>
  <c r="V124" i="92" s="1"/>
  <c r="W124" i="92"/>
  <c r="B125" i="92"/>
  <c r="K125" i="92" s="1"/>
  <c r="L125" i="92"/>
  <c r="M125" i="92"/>
  <c r="V125" i="92" s="1"/>
  <c r="W125" i="92"/>
  <c r="B126" i="92"/>
  <c r="K126" i="92" s="1"/>
  <c r="L126" i="92"/>
  <c r="M126" i="92"/>
  <c r="V126" i="92" s="1"/>
  <c r="W126" i="92"/>
  <c r="B127" i="92"/>
  <c r="K127" i="92" s="1"/>
  <c r="L127" i="92"/>
  <c r="M127" i="92"/>
  <c r="V127" i="92" s="1"/>
  <c r="W127" i="92"/>
  <c r="B128" i="92"/>
  <c r="K128" i="92" s="1"/>
  <c r="L128" i="92"/>
  <c r="M128" i="92"/>
  <c r="V128" i="92" s="1"/>
  <c r="W128" i="92"/>
  <c r="C129" i="92"/>
  <c r="D129" i="92"/>
  <c r="E129" i="92"/>
  <c r="F129" i="92"/>
  <c r="G129" i="92"/>
  <c r="H129" i="92"/>
  <c r="I129" i="92"/>
  <c r="J129" i="92"/>
  <c r="N129" i="92"/>
  <c r="O129" i="92"/>
  <c r="P129" i="92"/>
  <c r="Q129" i="92"/>
  <c r="R129" i="92"/>
  <c r="S129" i="92"/>
  <c r="T129" i="92"/>
  <c r="U129" i="92"/>
  <c r="B130" i="92"/>
  <c r="K130" i="92" s="1"/>
  <c r="L130" i="92"/>
  <c r="M130" i="92"/>
  <c r="V130" i="92" s="1"/>
  <c r="W130" i="92"/>
  <c r="B131" i="92"/>
  <c r="K131" i="92" s="1"/>
  <c r="L131" i="92"/>
  <c r="M131" i="92"/>
  <c r="V131" i="92" s="1"/>
  <c r="W131" i="92"/>
  <c r="B132" i="92"/>
  <c r="K132" i="92" s="1"/>
  <c r="L132" i="92"/>
  <c r="M132" i="92"/>
  <c r="V132" i="92" s="1"/>
  <c r="W132" i="92"/>
  <c r="B133" i="92"/>
  <c r="K133" i="92" s="1"/>
  <c r="L133" i="92"/>
  <c r="M133" i="92"/>
  <c r="V133" i="92" s="1"/>
  <c r="W133" i="92"/>
  <c r="B134" i="92"/>
  <c r="K134" i="92" s="1"/>
  <c r="L134" i="92"/>
  <c r="M134" i="92"/>
  <c r="V134" i="92" s="1"/>
  <c r="W134" i="92"/>
  <c r="C135" i="92"/>
  <c r="D135" i="92"/>
  <c r="E135" i="92"/>
  <c r="F135" i="92"/>
  <c r="G135" i="92"/>
  <c r="H135" i="92"/>
  <c r="I135" i="92"/>
  <c r="J135" i="92"/>
  <c r="N135" i="92"/>
  <c r="O135" i="92"/>
  <c r="P135" i="92"/>
  <c r="Q135" i="92"/>
  <c r="R135" i="92"/>
  <c r="S135" i="92"/>
  <c r="T135" i="92"/>
  <c r="U135" i="92"/>
  <c r="B136" i="92"/>
  <c r="K136" i="92" s="1"/>
  <c r="L136" i="92"/>
  <c r="M136" i="92"/>
  <c r="V136" i="92" s="1"/>
  <c r="W136" i="92"/>
  <c r="B137" i="92"/>
  <c r="K137" i="92" s="1"/>
  <c r="L137" i="92"/>
  <c r="M137" i="92"/>
  <c r="V137" i="92" s="1"/>
  <c r="W137" i="92"/>
  <c r="B138" i="92"/>
  <c r="K138" i="92" s="1"/>
  <c r="L138" i="92"/>
  <c r="M138" i="92"/>
  <c r="V138" i="92" s="1"/>
  <c r="W138" i="92"/>
  <c r="B139" i="92"/>
  <c r="K139" i="92" s="1"/>
  <c r="L139" i="92"/>
  <c r="M139" i="92"/>
  <c r="V139" i="92" s="1"/>
  <c r="W139" i="92"/>
  <c r="B140" i="92"/>
  <c r="K140" i="92" s="1"/>
  <c r="L140" i="92"/>
  <c r="M140" i="92"/>
  <c r="V140" i="92" s="1"/>
  <c r="W140" i="92"/>
  <c r="C141" i="92"/>
  <c r="D141" i="92"/>
  <c r="E141" i="92"/>
  <c r="F141" i="92"/>
  <c r="G141" i="92"/>
  <c r="H141" i="92"/>
  <c r="I141" i="92"/>
  <c r="J141" i="92"/>
  <c r="N141" i="92"/>
  <c r="O141" i="92"/>
  <c r="P141" i="92"/>
  <c r="Q141" i="92"/>
  <c r="R141" i="92"/>
  <c r="S141" i="92"/>
  <c r="T141" i="92"/>
  <c r="U141" i="92"/>
  <c r="B142" i="92"/>
  <c r="K142" i="92" s="1"/>
  <c r="L142" i="92"/>
  <c r="M142" i="92"/>
  <c r="V142" i="92" s="1"/>
  <c r="W142" i="92"/>
  <c r="B143" i="92"/>
  <c r="K143" i="92" s="1"/>
  <c r="L143" i="92"/>
  <c r="M143" i="92"/>
  <c r="V143" i="92" s="1"/>
  <c r="W143" i="92"/>
  <c r="B144" i="92"/>
  <c r="K144" i="92" s="1"/>
  <c r="L144" i="92"/>
  <c r="M144" i="92"/>
  <c r="V144" i="92" s="1"/>
  <c r="W144" i="92"/>
  <c r="B145" i="92"/>
  <c r="K145" i="92" s="1"/>
  <c r="L145" i="92"/>
  <c r="M145" i="92"/>
  <c r="V145" i="92" s="1"/>
  <c r="W145" i="92"/>
  <c r="B146" i="92"/>
  <c r="K146" i="92" s="1"/>
  <c r="L146" i="92"/>
  <c r="M146" i="92"/>
  <c r="V146" i="92" s="1"/>
  <c r="W146" i="92"/>
  <c r="C147" i="92"/>
  <c r="D147" i="92"/>
  <c r="E147" i="92"/>
  <c r="F147" i="92"/>
  <c r="G147" i="92"/>
  <c r="H147" i="92"/>
  <c r="I147" i="92"/>
  <c r="J147" i="92"/>
  <c r="N147" i="92"/>
  <c r="O147" i="92"/>
  <c r="P147" i="92"/>
  <c r="Q147" i="92"/>
  <c r="R147" i="92"/>
  <c r="S147" i="92"/>
  <c r="T147" i="92"/>
  <c r="U147" i="92"/>
  <c r="B148" i="92"/>
  <c r="K148" i="92" s="1"/>
  <c r="L148" i="92"/>
  <c r="M148" i="92"/>
  <c r="V148" i="92" s="1"/>
  <c r="W148" i="92"/>
  <c r="B149" i="92"/>
  <c r="K149" i="92" s="1"/>
  <c r="L149" i="92"/>
  <c r="M149" i="92"/>
  <c r="V149" i="92" s="1"/>
  <c r="W149" i="92"/>
  <c r="B150" i="92"/>
  <c r="K150" i="92" s="1"/>
  <c r="L150" i="92"/>
  <c r="M150" i="92"/>
  <c r="V150" i="92" s="1"/>
  <c r="W150" i="92"/>
  <c r="B151" i="92"/>
  <c r="K151" i="92" s="1"/>
  <c r="L151" i="92"/>
  <c r="M151" i="92"/>
  <c r="V151" i="92" s="1"/>
  <c r="W151" i="92"/>
  <c r="B152" i="92"/>
  <c r="K152" i="92" s="1"/>
  <c r="L152" i="92"/>
  <c r="M152" i="92"/>
  <c r="V152" i="92" s="1"/>
  <c r="W152" i="92"/>
  <c r="C153" i="92"/>
  <c r="D153" i="92"/>
  <c r="E153" i="92"/>
  <c r="F153" i="92"/>
  <c r="G153" i="92"/>
  <c r="H153" i="92"/>
  <c r="I153" i="92"/>
  <c r="J153" i="92"/>
  <c r="N153" i="92"/>
  <c r="O153" i="92"/>
  <c r="P153" i="92"/>
  <c r="Q153" i="92"/>
  <c r="R153" i="92"/>
  <c r="S153" i="92"/>
  <c r="T153" i="92"/>
  <c r="U153" i="92"/>
  <c r="B154" i="92"/>
  <c r="K154" i="92" s="1"/>
  <c r="L154" i="92"/>
  <c r="M154" i="92"/>
  <c r="V154" i="92" s="1"/>
  <c r="W154" i="92"/>
  <c r="B155" i="92"/>
  <c r="K155" i="92" s="1"/>
  <c r="L155" i="92"/>
  <c r="M155" i="92"/>
  <c r="V155" i="92" s="1"/>
  <c r="W155" i="92"/>
  <c r="B156" i="92"/>
  <c r="K156" i="92" s="1"/>
  <c r="L156" i="92"/>
  <c r="M156" i="92"/>
  <c r="V156" i="92" s="1"/>
  <c r="W156" i="92"/>
  <c r="B157" i="92"/>
  <c r="K157" i="92" s="1"/>
  <c r="L157" i="92"/>
  <c r="M157" i="92"/>
  <c r="V157" i="92" s="1"/>
  <c r="W157" i="92"/>
  <c r="B158" i="92"/>
  <c r="K158" i="92" s="1"/>
  <c r="L158" i="92"/>
  <c r="M158" i="92"/>
  <c r="V158" i="92" s="1"/>
  <c r="W158" i="92"/>
  <c r="C159" i="92"/>
  <c r="D159" i="92"/>
  <c r="E159" i="92"/>
  <c r="F159" i="92"/>
  <c r="G159" i="92"/>
  <c r="H159" i="92"/>
  <c r="I159" i="92"/>
  <c r="J159" i="92"/>
  <c r="N159" i="92"/>
  <c r="O159" i="92"/>
  <c r="P159" i="92"/>
  <c r="Q159" i="92"/>
  <c r="R159" i="92"/>
  <c r="S159" i="92"/>
  <c r="T159" i="92"/>
  <c r="U159" i="92"/>
  <c r="B160" i="92"/>
  <c r="K160" i="92" s="1"/>
  <c r="L160" i="92"/>
  <c r="M160" i="92"/>
  <c r="V160" i="92" s="1"/>
  <c r="W160" i="92"/>
  <c r="B161" i="92"/>
  <c r="K161" i="92" s="1"/>
  <c r="L161" i="92"/>
  <c r="M161" i="92"/>
  <c r="V161" i="92" s="1"/>
  <c r="W161" i="92"/>
  <c r="B162" i="92"/>
  <c r="K162" i="92" s="1"/>
  <c r="L162" i="92"/>
  <c r="M162" i="92"/>
  <c r="V162" i="92" s="1"/>
  <c r="W162" i="92"/>
  <c r="B163" i="92"/>
  <c r="K163" i="92" s="1"/>
  <c r="L163" i="92"/>
  <c r="M163" i="92"/>
  <c r="V163" i="92" s="1"/>
  <c r="W163" i="92"/>
  <c r="B164" i="92"/>
  <c r="K164" i="92" s="1"/>
  <c r="L164" i="92"/>
  <c r="M164" i="92"/>
  <c r="V164" i="92" s="1"/>
  <c r="W164" i="92"/>
  <c r="C165" i="92"/>
  <c r="D165" i="92"/>
  <c r="E165" i="92"/>
  <c r="F165" i="92"/>
  <c r="G165" i="92"/>
  <c r="H165" i="92"/>
  <c r="I165" i="92"/>
  <c r="J165" i="92"/>
  <c r="N165" i="92"/>
  <c r="O165" i="92"/>
  <c r="P165" i="92"/>
  <c r="Q165" i="92"/>
  <c r="R165" i="92"/>
  <c r="S165" i="92"/>
  <c r="T165" i="92"/>
  <c r="U165" i="92"/>
  <c r="B166" i="92"/>
  <c r="K166" i="92" s="1"/>
  <c r="L166" i="92"/>
  <c r="M166" i="92"/>
  <c r="V166" i="92" s="1"/>
  <c r="W166" i="92"/>
  <c r="B167" i="92"/>
  <c r="K167" i="92" s="1"/>
  <c r="L167" i="92"/>
  <c r="M167" i="92"/>
  <c r="V167" i="92" s="1"/>
  <c r="W167" i="92"/>
  <c r="B168" i="92"/>
  <c r="K168" i="92" s="1"/>
  <c r="L168" i="92"/>
  <c r="M168" i="92"/>
  <c r="V168" i="92" s="1"/>
  <c r="W168" i="92"/>
  <c r="B169" i="92"/>
  <c r="K169" i="92" s="1"/>
  <c r="L169" i="92"/>
  <c r="M169" i="92"/>
  <c r="V169" i="92" s="1"/>
  <c r="W169" i="92"/>
  <c r="B170" i="92"/>
  <c r="K170" i="92" s="1"/>
  <c r="L170" i="92"/>
  <c r="M170" i="92"/>
  <c r="V170" i="92" s="1"/>
  <c r="W170" i="92"/>
  <c r="C171" i="92"/>
  <c r="D171" i="92"/>
  <c r="E171" i="92"/>
  <c r="F171" i="92"/>
  <c r="G171" i="92"/>
  <c r="H171" i="92"/>
  <c r="I171" i="92"/>
  <c r="J171" i="92"/>
  <c r="N171" i="92"/>
  <c r="O171" i="92"/>
  <c r="P171" i="92"/>
  <c r="Q171" i="92"/>
  <c r="R171" i="92"/>
  <c r="S171" i="92"/>
  <c r="T171" i="92"/>
  <c r="U171" i="92"/>
  <c r="B172" i="92"/>
  <c r="K172" i="92" s="1"/>
  <c r="L172" i="92"/>
  <c r="M172" i="92"/>
  <c r="V172" i="92" s="1"/>
  <c r="W172" i="92"/>
  <c r="B173" i="92"/>
  <c r="K173" i="92" s="1"/>
  <c r="L173" i="92"/>
  <c r="M173" i="92"/>
  <c r="V173" i="92" s="1"/>
  <c r="W173" i="92"/>
  <c r="B174" i="92"/>
  <c r="K174" i="92" s="1"/>
  <c r="L174" i="92"/>
  <c r="M174" i="92"/>
  <c r="V174" i="92" s="1"/>
  <c r="W174" i="92"/>
  <c r="B175" i="92"/>
  <c r="K175" i="92" s="1"/>
  <c r="L175" i="92"/>
  <c r="M175" i="92"/>
  <c r="V175" i="92" s="1"/>
  <c r="W175" i="92"/>
  <c r="B176" i="92"/>
  <c r="K176" i="92" s="1"/>
  <c r="L176" i="92"/>
  <c r="M176" i="92"/>
  <c r="V176" i="92" s="1"/>
  <c r="W176" i="92"/>
  <c r="C177" i="92"/>
  <c r="D177" i="92"/>
  <c r="E177" i="92"/>
  <c r="F177" i="92"/>
  <c r="G177" i="92"/>
  <c r="H177" i="92"/>
  <c r="I177" i="92"/>
  <c r="J177" i="92"/>
  <c r="N177" i="92"/>
  <c r="O177" i="92"/>
  <c r="P177" i="92"/>
  <c r="Q177" i="92"/>
  <c r="R177" i="92"/>
  <c r="S177" i="92"/>
  <c r="T177" i="92"/>
  <c r="U177" i="92"/>
  <c r="B178" i="92"/>
  <c r="K178" i="92" s="1"/>
  <c r="L178" i="92"/>
  <c r="M178" i="92"/>
  <c r="V178" i="92" s="1"/>
  <c r="W178" i="92"/>
  <c r="B179" i="92"/>
  <c r="K179" i="92" s="1"/>
  <c r="L179" i="92"/>
  <c r="M179" i="92"/>
  <c r="V179" i="92" s="1"/>
  <c r="W179" i="92"/>
  <c r="B180" i="92"/>
  <c r="K180" i="92" s="1"/>
  <c r="L180" i="92"/>
  <c r="M180" i="92"/>
  <c r="V180" i="92" s="1"/>
  <c r="W180" i="92"/>
  <c r="B181" i="92"/>
  <c r="K181" i="92" s="1"/>
  <c r="L181" i="92"/>
  <c r="M181" i="92"/>
  <c r="V181" i="92" s="1"/>
  <c r="W181" i="92"/>
  <c r="B182" i="92"/>
  <c r="K182" i="92" s="1"/>
  <c r="L182" i="92"/>
  <c r="M182" i="92"/>
  <c r="V182" i="92" s="1"/>
  <c r="W182" i="92"/>
  <c r="B183" i="92"/>
  <c r="K183" i="92" s="1"/>
  <c r="L183" i="92"/>
  <c r="M183" i="92"/>
  <c r="V183" i="92" s="1"/>
  <c r="W183" i="92"/>
  <c r="C184" i="92"/>
  <c r="D184" i="92"/>
  <c r="E184" i="92"/>
  <c r="F184" i="92"/>
  <c r="G184" i="92"/>
  <c r="H184" i="92"/>
  <c r="I184" i="92"/>
  <c r="J184" i="92"/>
  <c r="N184" i="92"/>
  <c r="O184" i="92"/>
  <c r="P184" i="92"/>
  <c r="Q184" i="92"/>
  <c r="R184" i="92"/>
  <c r="S184" i="92"/>
  <c r="T184" i="92"/>
  <c r="U184" i="92"/>
  <c r="B185" i="92"/>
  <c r="K185" i="92" s="1"/>
  <c r="L185" i="92"/>
  <c r="M185" i="92"/>
  <c r="V185" i="92" s="1"/>
  <c r="W185" i="92"/>
  <c r="B186" i="92"/>
  <c r="K186" i="92" s="1"/>
  <c r="L186" i="92"/>
  <c r="M186" i="92"/>
  <c r="V186" i="92" s="1"/>
  <c r="W186" i="92"/>
  <c r="B187" i="92"/>
  <c r="C187" i="92"/>
  <c r="D187" i="92"/>
  <c r="E187" i="92"/>
  <c r="F187" i="92"/>
  <c r="G187" i="92"/>
  <c r="H187" i="92"/>
  <c r="I187" i="92"/>
  <c r="J187" i="92"/>
  <c r="L187" i="92"/>
  <c r="M187" i="92"/>
  <c r="N187" i="92"/>
  <c r="O187" i="92"/>
  <c r="P187" i="92"/>
  <c r="Q187" i="92"/>
  <c r="R187" i="92"/>
  <c r="S187" i="92"/>
  <c r="T187" i="92"/>
  <c r="U187" i="92"/>
  <c r="W187" i="92"/>
  <c r="K188" i="92"/>
  <c r="V188" i="92"/>
  <c r="K189" i="92"/>
  <c r="V189" i="92"/>
  <c r="C191" i="92"/>
  <c r="D191" i="92"/>
  <c r="E191" i="92"/>
  <c r="F191" i="92"/>
  <c r="G191" i="92"/>
  <c r="H191" i="92"/>
  <c r="I191" i="92"/>
  <c r="J191" i="92"/>
  <c r="N191" i="92"/>
  <c r="O191" i="92"/>
  <c r="P191" i="92"/>
  <c r="Q191" i="92"/>
  <c r="R191" i="92"/>
  <c r="S191" i="92"/>
  <c r="T191" i="92"/>
  <c r="U191" i="92"/>
  <c r="B192" i="92"/>
  <c r="K192" i="92" s="1"/>
  <c r="L192" i="92"/>
  <c r="M192" i="92"/>
  <c r="V192" i="92" s="1"/>
  <c r="W192" i="92"/>
  <c r="B193" i="92"/>
  <c r="K193" i="92" s="1"/>
  <c r="L193" i="92"/>
  <c r="M193" i="92"/>
  <c r="V193" i="92" s="1"/>
  <c r="W193" i="92"/>
  <c r="B194" i="92"/>
  <c r="K194" i="92" s="1"/>
  <c r="L194" i="92"/>
  <c r="M194" i="92"/>
  <c r="V194" i="92" s="1"/>
  <c r="W194" i="92"/>
  <c r="B195" i="92"/>
  <c r="K195" i="92" s="1"/>
  <c r="L195" i="92"/>
  <c r="M195" i="92"/>
  <c r="V195" i="92" s="1"/>
  <c r="W195" i="92"/>
  <c r="B196" i="92"/>
  <c r="K196" i="92" s="1"/>
  <c r="L196" i="92"/>
  <c r="M196" i="92"/>
  <c r="V196" i="92" s="1"/>
  <c r="W196" i="92"/>
  <c r="B197" i="92"/>
  <c r="K197" i="92" s="1"/>
  <c r="L197" i="92"/>
  <c r="M197" i="92"/>
  <c r="V197" i="92" s="1"/>
  <c r="W197" i="92"/>
  <c r="C198" i="92"/>
  <c r="D198" i="92"/>
  <c r="E198" i="92"/>
  <c r="F198" i="92"/>
  <c r="G198" i="92"/>
  <c r="H198" i="92"/>
  <c r="I198" i="92"/>
  <c r="J198" i="92"/>
  <c r="N198" i="92"/>
  <c r="O198" i="92"/>
  <c r="P198" i="92"/>
  <c r="Q198" i="92"/>
  <c r="R198" i="92"/>
  <c r="S198" i="92"/>
  <c r="T198" i="92"/>
  <c r="U198" i="92"/>
  <c r="B199" i="92"/>
  <c r="L199" i="92"/>
  <c r="M199" i="92"/>
  <c r="V199" i="92" s="1"/>
  <c r="W199" i="92"/>
  <c r="B200" i="92"/>
  <c r="K200" i="92" s="1"/>
  <c r="L200" i="92"/>
  <c r="M200" i="92"/>
  <c r="V200" i="92" s="1"/>
  <c r="W200" i="92"/>
  <c r="B201" i="92"/>
  <c r="K201" i="92" s="1"/>
  <c r="L201" i="92"/>
  <c r="M201" i="92"/>
  <c r="V201" i="92" s="1"/>
  <c r="W201" i="92"/>
  <c r="B202" i="92"/>
  <c r="K202" i="92" s="1"/>
  <c r="L202" i="92"/>
  <c r="M202" i="92"/>
  <c r="V202" i="92" s="1"/>
  <c r="W202" i="92"/>
  <c r="B203" i="92"/>
  <c r="K203" i="92" s="1"/>
  <c r="L203" i="92"/>
  <c r="M203" i="92"/>
  <c r="V203" i="92" s="1"/>
  <c r="W203" i="92"/>
  <c r="B204" i="92"/>
  <c r="K204" i="92" s="1"/>
  <c r="L204" i="92"/>
  <c r="M204" i="92"/>
  <c r="V204" i="92" s="1"/>
  <c r="W204" i="92"/>
  <c r="C205" i="92"/>
  <c r="D205" i="92"/>
  <c r="E205" i="92"/>
  <c r="F205" i="92"/>
  <c r="G205" i="92"/>
  <c r="H205" i="92"/>
  <c r="I205" i="92"/>
  <c r="J205" i="92"/>
  <c r="N205" i="92"/>
  <c r="O205" i="92"/>
  <c r="P205" i="92"/>
  <c r="Q205" i="92"/>
  <c r="R205" i="92"/>
  <c r="S205" i="92"/>
  <c r="T205" i="92"/>
  <c r="U205" i="92"/>
  <c r="B206" i="92"/>
  <c r="K206" i="92" s="1"/>
  <c r="L206" i="92"/>
  <c r="M206" i="92"/>
  <c r="V206" i="92" s="1"/>
  <c r="W206" i="92"/>
  <c r="B207" i="92"/>
  <c r="K207" i="92" s="1"/>
  <c r="L207" i="92"/>
  <c r="M207" i="92"/>
  <c r="V207" i="92" s="1"/>
  <c r="W207" i="92"/>
  <c r="B208" i="92"/>
  <c r="K208" i="92" s="1"/>
  <c r="L208" i="92"/>
  <c r="M208" i="92"/>
  <c r="V208" i="92" s="1"/>
  <c r="W208" i="92"/>
  <c r="B209" i="92"/>
  <c r="K209" i="92" s="1"/>
  <c r="L209" i="92"/>
  <c r="M209" i="92"/>
  <c r="V209" i="92" s="1"/>
  <c r="W209" i="92"/>
  <c r="B210" i="92"/>
  <c r="K210" i="92" s="1"/>
  <c r="L210" i="92"/>
  <c r="M210" i="92"/>
  <c r="V210" i="92" s="1"/>
  <c r="W210" i="92"/>
  <c r="B211" i="92"/>
  <c r="K211" i="92" s="1"/>
  <c r="L211" i="92"/>
  <c r="M211" i="92"/>
  <c r="V211" i="92" s="1"/>
  <c r="W211" i="92"/>
  <c r="M212" i="92"/>
  <c r="N212" i="92"/>
  <c r="O212" i="92"/>
  <c r="P212" i="92"/>
  <c r="Q212" i="92"/>
  <c r="R212" i="92"/>
  <c r="S212" i="92"/>
  <c r="T212" i="92"/>
  <c r="J213" i="92"/>
  <c r="K213" i="92" s="1"/>
  <c r="L213" i="92"/>
  <c r="U213" i="92"/>
  <c r="V213" i="92" s="1"/>
  <c r="W213" i="92"/>
  <c r="L214" i="92"/>
  <c r="U214" i="92"/>
  <c r="V214" i="92" s="1"/>
  <c r="W214" i="92"/>
  <c r="J215" i="92"/>
  <c r="K215" i="92" s="1"/>
  <c r="L215" i="92"/>
  <c r="U215" i="92"/>
  <c r="V215" i="92" s="1"/>
  <c r="W215" i="92"/>
  <c r="J216" i="92"/>
  <c r="K216" i="92" s="1"/>
  <c r="L216" i="92"/>
  <c r="U216" i="92"/>
  <c r="V216" i="92" s="1"/>
  <c r="W216" i="92"/>
  <c r="J217" i="92"/>
  <c r="K217" i="92" s="1"/>
  <c r="L217" i="92"/>
  <c r="U217" i="92"/>
  <c r="V217" i="92" s="1"/>
  <c r="W217" i="92"/>
  <c r="M219" i="92"/>
  <c r="N219" i="92"/>
  <c r="O219" i="92"/>
  <c r="P219" i="92"/>
  <c r="Q219" i="92"/>
  <c r="R219" i="92"/>
  <c r="S219" i="92"/>
  <c r="T219" i="92"/>
  <c r="J220" i="92"/>
  <c r="K220" i="92" s="1"/>
  <c r="L220" i="92"/>
  <c r="U220" i="92"/>
  <c r="V220" i="92" s="1"/>
  <c r="W220" i="92"/>
  <c r="J221" i="92"/>
  <c r="K221" i="92" s="1"/>
  <c r="L221" i="92"/>
  <c r="U221" i="92"/>
  <c r="V221" i="92" s="1"/>
  <c r="W221" i="92"/>
  <c r="J222" i="92"/>
  <c r="K222" i="92" s="1"/>
  <c r="L222" i="92"/>
  <c r="U222" i="92"/>
  <c r="V222" i="92" s="1"/>
  <c r="W222" i="92"/>
  <c r="J223" i="92"/>
  <c r="K223" i="92" s="1"/>
  <c r="L223" i="92"/>
  <c r="U223" i="92"/>
  <c r="V223" i="92" s="1"/>
  <c r="W223" i="92"/>
  <c r="J224" i="92"/>
  <c r="K224" i="92" s="1"/>
  <c r="L224" i="92"/>
  <c r="U224" i="92"/>
  <c r="V224" i="92" s="1"/>
  <c r="W224" i="92"/>
  <c r="J225" i="92"/>
  <c r="K225" i="92" s="1"/>
  <c r="L225" i="92"/>
  <c r="U225" i="92"/>
  <c r="V225" i="92" s="1"/>
  <c r="W225" i="92"/>
  <c r="J226" i="92"/>
  <c r="K226" i="92" s="1"/>
  <c r="L226" i="92"/>
  <c r="U226" i="92"/>
  <c r="V226" i="92" s="1"/>
  <c r="W226" i="92"/>
  <c r="J227" i="92"/>
  <c r="K227" i="92" s="1"/>
  <c r="L227" i="92"/>
  <c r="U227" i="92"/>
  <c r="V227" i="92" s="1"/>
  <c r="W227" i="92"/>
  <c r="M228" i="92"/>
  <c r="N228" i="92"/>
  <c r="O228" i="92"/>
  <c r="P228" i="92"/>
  <c r="Q228" i="92"/>
  <c r="R228" i="92"/>
  <c r="S228" i="92"/>
  <c r="T228" i="92"/>
  <c r="J229" i="92"/>
  <c r="K229" i="92" s="1"/>
  <c r="L229" i="92"/>
  <c r="U229" i="92"/>
  <c r="V229" i="92" s="1"/>
  <c r="W229" i="92"/>
  <c r="J230" i="92"/>
  <c r="K230" i="92" s="1"/>
  <c r="L230" i="92"/>
  <c r="U230" i="92"/>
  <c r="V230" i="92" s="1"/>
  <c r="W230" i="92"/>
  <c r="J231" i="92"/>
  <c r="K231" i="92" s="1"/>
  <c r="L231" i="92"/>
  <c r="U231" i="92"/>
  <c r="V231" i="92" s="1"/>
  <c r="W231" i="92"/>
  <c r="J232" i="92"/>
  <c r="K232" i="92" s="1"/>
  <c r="L232" i="92"/>
  <c r="U232" i="92"/>
  <c r="V232" i="92" s="1"/>
  <c r="W232" i="92"/>
  <c r="J233" i="92"/>
  <c r="K233" i="92" s="1"/>
  <c r="L233" i="92"/>
  <c r="U233" i="92"/>
  <c r="V233" i="92" s="1"/>
  <c r="W233" i="92"/>
  <c r="J234" i="92"/>
  <c r="K234" i="92" s="1"/>
  <c r="L234" i="92"/>
  <c r="U234" i="92"/>
  <c r="V234" i="92" s="1"/>
  <c r="W234" i="92"/>
  <c r="J235" i="92"/>
  <c r="K235" i="92" s="1"/>
  <c r="L235" i="92"/>
  <c r="U235" i="92"/>
  <c r="V235" i="92" s="1"/>
  <c r="W235" i="92"/>
  <c r="J236" i="92"/>
  <c r="K236" i="92" s="1"/>
  <c r="L236" i="92"/>
  <c r="U236" i="92"/>
  <c r="V236" i="92" s="1"/>
  <c r="W236" i="92"/>
  <c r="M237" i="92"/>
  <c r="N237" i="92"/>
  <c r="O237" i="92"/>
  <c r="P237" i="92"/>
  <c r="Q237" i="92"/>
  <c r="R237" i="92"/>
  <c r="S237" i="92"/>
  <c r="T237" i="92"/>
  <c r="J238" i="92"/>
  <c r="K238" i="92" s="1"/>
  <c r="L238" i="92"/>
  <c r="U238" i="92"/>
  <c r="V238" i="92" s="1"/>
  <c r="W238" i="92"/>
  <c r="J239" i="92"/>
  <c r="K239" i="92" s="1"/>
  <c r="L239" i="92"/>
  <c r="U239" i="92"/>
  <c r="V239" i="92" s="1"/>
  <c r="W239" i="92"/>
  <c r="J240" i="92"/>
  <c r="K240" i="92" s="1"/>
  <c r="L240" i="92"/>
  <c r="U240" i="92"/>
  <c r="V240" i="92" s="1"/>
  <c r="W240" i="92"/>
  <c r="J241" i="92"/>
  <c r="K241" i="92" s="1"/>
  <c r="L241" i="92"/>
  <c r="U241" i="92"/>
  <c r="V241" i="92" s="1"/>
  <c r="W241" i="92"/>
  <c r="J242" i="92"/>
  <c r="K242" i="92" s="1"/>
  <c r="L242" i="92"/>
  <c r="U242" i="92"/>
  <c r="V242" i="92" s="1"/>
  <c r="W242" i="92"/>
  <c r="J243" i="92"/>
  <c r="K243" i="92" s="1"/>
  <c r="L243" i="92"/>
  <c r="U243" i="92"/>
  <c r="V243" i="92" s="1"/>
  <c r="W243" i="92"/>
  <c r="J244" i="92"/>
  <c r="L244" i="92"/>
  <c r="U244" i="92"/>
  <c r="V244" i="92" s="1"/>
  <c r="W244" i="92"/>
  <c r="J245" i="92"/>
  <c r="K245" i="92" s="1"/>
  <c r="L245" i="92"/>
  <c r="U245" i="92"/>
  <c r="V245" i="92" s="1"/>
  <c r="W245" i="92"/>
  <c r="J246" i="92"/>
  <c r="K246" i="92" s="1"/>
  <c r="L246" i="92"/>
  <c r="U246" i="92"/>
  <c r="V246" i="92" s="1"/>
  <c r="W246" i="92"/>
  <c r="J247" i="92"/>
  <c r="K247" i="92" s="1"/>
  <c r="L247" i="92"/>
  <c r="U247" i="92"/>
  <c r="V247" i="92" s="1"/>
  <c r="W247" i="92"/>
  <c r="J248" i="92"/>
  <c r="K248" i="92" s="1"/>
  <c r="L248" i="92"/>
  <c r="U248" i="92"/>
  <c r="V248" i="92" s="1"/>
  <c r="W248" i="92"/>
  <c r="J249" i="92"/>
  <c r="K249" i="92" s="1"/>
  <c r="L249" i="92"/>
  <c r="U249" i="92"/>
  <c r="V249" i="92" s="1"/>
  <c r="W249" i="92"/>
  <c r="J250" i="92"/>
  <c r="K250" i="92" s="1"/>
  <c r="L250" i="92"/>
  <c r="U250" i="92"/>
  <c r="V250" i="92" s="1"/>
  <c r="W250" i="92"/>
  <c r="M252" i="92"/>
  <c r="N252" i="92"/>
  <c r="O252" i="92"/>
  <c r="P252" i="92"/>
  <c r="Q252" i="92"/>
  <c r="R252" i="92"/>
  <c r="S252" i="92"/>
  <c r="T252" i="92"/>
  <c r="J253" i="92"/>
  <c r="K253" i="92" s="1"/>
  <c r="L253" i="92"/>
  <c r="U253" i="92"/>
  <c r="V253" i="92" s="1"/>
  <c r="W253" i="92"/>
  <c r="J254" i="92"/>
  <c r="K254" i="92" s="1"/>
  <c r="L254" i="92"/>
  <c r="U254" i="92"/>
  <c r="V254" i="92" s="1"/>
  <c r="W254" i="92"/>
  <c r="J255" i="92"/>
  <c r="K255" i="92" s="1"/>
  <c r="L255" i="92"/>
  <c r="U255" i="92"/>
  <c r="V255" i="92" s="1"/>
  <c r="W255" i="92"/>
  <c r="J256" i="92"/>
  <c r="K256" i="92" s="1"/>
  <c r="U256" i="92"/>
  <c r="V256" i="92" s="1"/>
  <c r="W256" i="92"/>
  <c r="M257" i="92"/>
  <c r="N257" i="92"/>
  <c r="O257" i="92"/>
  <c r="P257" i="92"/>
  <c r="Q257" i="92"/>
  <c r="R257" i="92"/>
  <c r="S257" i="92"/>
  <c r="T257" i="92"/>
  <c r="J258" i="92"/>
  <c r="L258" i="92"/>
  <c r="U258" i="92"/>
  <c r="V258" i="92" s="1"/>
  <c r="W258" i="92"/>
  <c r="J259" i="92"/>
  <c r="K259" i="92" s="1"/>
  <c r="L259" i="92"/>
  <c r="U259" i="92"/>
  <c r="V259" i="92" s="1"/>
  <c r="W259" i="92"/>
  <c r="J260" i="92"/>
  <c r="K260" i="92" s="1"/>
  <c r="L260" i="92"/>
  <c r="U260" i="92"/>
  <c r="V260" i="92" s="1"/>
  <c r="W260" i="92"/>
  <c r="M261" i="92"/>
  <c r="N261" i="92"/>
  <c r="O261" i="92"/>
  <c r="P261" i="92"/>
  <c r="Q261" i="92"/>
  <c r="R261" i="92"/>
  <c r="S261" i="92"/>
  <c r="T261" i="92"/>
  <c r="J262" i="92"/>
  <c r="K262" i="92" s="1"/>
  <c r="L262" i="92"/>
  <c r="U262" i="92"/>
  <c r="V262" i="92" s="1"/>
  <c r="W262" i="92"/>
  <c r="J263" i="92"/>
  <c r="K263" i="92" s="1"/>
  <c r="L263" i="92"/>
  <c r="U263" i="92"/>
  <c r="V263" i="92" s="1"/>
  <c r="W263" i="92"/>
  <c r="J264" i="92"/>
  <c r="K264" i="92" s="1"/>
  <c r="L264" i="92"/>
  <c r="U264" i="92"/>
  <c r="V264" i="92" s="1"/>
  <c r="W264" i="92"/>
  <c r="M265" i="92"/>
  <c r="N265" i="92"/>
  <c r="O265" i="92"/>
  <c r="P265" i="92"/>
  <c r="Q265" i="92"/>
  <c r="R265" i="92"/>
  <c r="S265" i="92"/>
  <c r="T265" i="92"/>
  <c r="J266" i="92"/>
  <c r="L266" i="92"/>
  <c r="U266" i="92"/>
  <c r="V266" i="92" s="1"/>
  <c r="W266" i="92"/>
  <c r="J267" i="92"/>
  <c r="K267" i="92" s="1"/>
  <c r="L267" i="92"/>
  <c r="U267" i="92"/>
  <c r="V267" i="92" s="1"/>
  <c r="W267" i="92"/>
  <c r="J268" i="92"/>
  <c r="K268" i="92" s="1"/>
  <c r="L268" i="92"/>
  <c r="U268" i="92"/>
  <c r="V268" i="92" s="1"/>
  <c r="W268" i="92"/>
  <c r="M269" i="92"/>
  <c r="N269" i="92"/>
  <c r="O269" i="92"/>
  <c r="P269" i="92"/>
  <c r="Q269" i="92"/>
  <c r="R269" i="92"/>
  <c r="S269" i="92"/>
  <c r="T269" i="92"/>
  <c r="J270" i="92"/>
  <c r="L270" i="92"/>
  <c r="U270" i="92"/>
  <c r="V270" i="92" s="1"/>
  <c r="W270" i="92"/>
  <c r="J271" i="92"/>
  <c r="K271" i="92" s="1"/>
  <c r="L271" i="92"/>
  <c r="U271" i="92"/>
  <c r="V271" i="92" s="1"/>
  <c r="W271" i="92"/>
  <c r="J272" i="92"/>
  <c r="K272" i="92" s="1"/>
  <c r="L272" i="92"/>
  <c r="U272" i="92"/>
  <c r="V272" i="92" s="1"/>
  <c r="W272" i="92"/>
  <c r="M273" i="92"/>
  <c r="N273" i="92"/>
  <c r="O273" i="92"/>
  <c r="P273" i="92"/>
  <c r="Q273" i="92"/>
  <c r="R273" i="92"/>
  <c r="S273" i="92"/>
  <c r="T273" i="92"/>
  <c r="J274" i="92"/>
  <c r="K274" i="92" s="1"/>
  <c r="L274" i="92"/>
  <c r="U274" i="92"/>
  <c r="V274" i="92" s="1"/>
  <c r="W274" i="92"/>
  <c r="J275" i="92"/>
  <c r="K275" i="92" s="1"/>
  <c r="L275" i="92"/>
  <c r="U275" i="92"/>
  <c r="V275" i="92" s="1"/>
  <c r="W275" i="92"/>
  <c r="J276" i="92"/>
  <c r="K276" i="92" s="1"/>
  <c r="L276" i="92"/>
  <c r="U276" i="92"/>
  <c r="V276" i="92" s="1"/>
  <c r="W276" i="92"/>
  <c r="M277" i="92"/>
  <c r="N277" i="92"/>
  <c r="O277" i="92"/>
  <c r="P277" i="92"/>
  <c r="Q277" i="92"/>
  <c r="R277" i="92"/>
  <c r="S277" i="92"/>
  <c r="T277" i="92"/>
  <c r="J278" i="92"/>
  <c r="K278" i="92" s="1"/>
  <c r="L278" i="92"/>
  <c r="U278" i="92"/>
  <c r="V278" i="92" s="1"/>
  <c r="W278" i="92"/>
  <c r="J279" i="92"/>
  <c r="K279" i="92" s="1"/>
  <c r="L279" i="92"/>
  <c r="U279" i="92"/>
  <c r="V279" i="92" s="1"/>
  <c r="W279" i="92"/>
  <c r="J280" i="92"/>
  <c r="K280" i="92" s="1"/>
  <c r="L280" i="92"/>
  <c r="U280" i="92"/>
  <c r="V280" i="92" s="1"/>
  <c r="W280" i="92"/>
  <c r="J281" i="92"/>
  <c r="K281" i="92" s="1"/>
  <c r="L281" i="92"/>
  <c r="U281" i="92"/>
  <c r="V281" i="92" s="1"/>
  <c r="W281" i="92"/>
  <c r="M282" i="92"/>
  <c r="N282" i="92"/>
  <c r="O282" i="92"/>
  <c r="P282" i="92"/>
  <c r="Q282" i="92"/>
  <c r="R282" i="92"/>
  <c r="S282" i="92"/>
  <c r="T282" i="92"/>
  <c r="J283" i="92"/>
  <c r="K283" i="92" s="1"/>
  <c r="L283" i="92"/>
  <c r="U283" i="92"/>
  <c r="V283" i="92" s="1"/>
  <c r="W283" i="92"/>
  <c r="J284" i="92"/>
  <c r="K284" i="92" s="1"/>
  <c r="L284" i="92"/>
  <c r="U284" i="92"/>
  <c r="V284" i="92" s="1"/>
  <c r="W284" i="92"/>
  <c r="J285" i="92"/>
  <c r="K285" i="92" s="1"/>
  <c r="L285" i="92"/>
  <c r="U285" i="92"/>
  <c r="V285" i="92" s="1"/>
  <c r="W285" i="92"/>
  <c r="M286" i="92"/>
  <c r="N286" i="92"/>
  <c r="O286" i="92"/>
  <c r="P286" i="92"/>
  <c r="Q286" i="92"/>
  <c r="R286" i="92"/>
  <c r="S286" i="92"/>
  <c r="T286" i="92"/>
  <c r="U286" i="92"/>
  <c r="J287" i="92"/>
  <c r="K287" i="92" s="1"/>
  <c r="L287" i="92"/>
  <c r="V287" i="92"/>
  <c r="W287" i="92"/>
  <c r="J288" i="92"/>
  <c r="K288" i="92" s="1"/>
  <c r="L288" i="92"/>
  <c r="V288" i="92"/>
  <c r="W288" i="92"/>
  <c r="J289" i="92"/>
  <c r="U289" i="92"/>
  <c r="W289" i="92"/>
  <c r="K290" i="92"/>
  <c r="V290" i="92"/>
  <c r="V289" i="92" s="1"/>
  <c r="I292" i="92"/>
  <c r="M292" i="92"/>
  <c r="N292" i="92"/>
  <c r="O292" i="92"/>
  <c r="P292" i="92"/>
  <c r="Q292" i="92"/>
  <c r="R292" i="92"/>
  <c r="S292" i="92"/>
  <c r="T292" i="92"/>
  <c r="J293" i="92"/>
  <c r="K293" i="92" s="1"/>
  <c r="L293" i="92"/>
  <c r="U293" i="92"/>
  <c r="V293" i="92" s="1"/>
  <c r="W293" i="92"/>
  <c r="J294" i="92"/>
  <c r="K294" i="92" s="1"/>
  <c r="L294" i="92"/>
  <c r="U294" i="92"/>
  <c r="V294" i="92" s="1"/>
  <c r="W294" i="92"/>
  <c r="J295" i="92"/>
  <c r="K295" i="92" s="1"/>
  <c r="L295" i="92"/>
  <c r="U295" i="92"/>
  <c r="V295" i="92" s="1"/>
  <c r="W295" i="92"/>
  <c r="J296" i="92"/>
  <c r="K296" i="92" s="1"/>
  <c r="L296" i="92"/>
  <c r="U296" i="92"/>
  <c r="V296" i="92" s="1"/>
  <c r="W296" i="92"/>
  <c r="J297" i="92"/>
  <c r="K297" i="92" s="1"/>
  <c r="L297" i="92"/>
  <c r="U297" i="92"/>
  <c r="V297" i="92" s="1"/>
  <c r="W297" i="92"/>
  <c r="M298" i="92"/>
  <c r="N298" i="92"/>
  <c r="O298" i="92"/>
  <c r="P298" i="92"/>
  <c r="Q298" i="92"/>
  <c r="R298" i="92"/>
  <c r="S298" i="92"/>
  <c r="T298" i="92"/>
  <c r="J299" i="92"/>
  <c r="K299" i="92" s="1"/>
  <c r="U299" i="92"/>
  <c r="V299" i="92" s="1"/>
  <c r="W299" i="92"/>
  <c r="J300" i="92"/>
  <c r="K300" i="92" s="1"/>
  <c r="L300" i="92"/>
  <c r="U300" i="92"/>
  <c r="V300" i="92" s="1"/>
  <c r="W300" i="92"/>
  <c r="J301" i="92"/>
  <c r="K301" i="92" s="1"/>
  <c r="U301" i="92"/>
  <c r="V301" i="92" s="1"/>
  <c r="W301" i="92"/>
  <c r="B302" i="92"/>
  <c r="C302" i="92"/>
  <c r="D302" i="92"/>
  <c r="E302" i="92"/>
  <c r="F302" i="92"/>
  <c r="G302" i="92"/>
  <c r="H302" i="92"/>
  <c r="M302" i="92"/>
  <c r="N302" i="92"/>
  <c r="O302" i="92"/>
  <c r="P302" i="92"/>
  <c r="Q302" i="92"/>
  <c r="R302" i="92"/>
  <c r="S302" i="92"/>
  <c r="I303" i="92"/>
  <c r="J303" i="92"/>
  <c r="L303" i="92"/>
  <c r="T303" i="92"/>
  <c r="U303" i="92"/>
  <c r="W303" i="92"/>
  <c r="I304" i="92"/>
  <c r="J304" i="92"/>
  <c r="L304" i="92"/>
  <c r="T304" i="92"/>
  <c r="U304" i="92"/>
  <c r="W304" i="92"/>
  <c r="E305" i="92"/>
  <c r="F305" i="92"/>
  <c r="G305" i="92"/>
  <c r="H305" i="92"/>
  <c r="I305" i="92"/>
  <c r="J305" i="92"/>
  <c r="M305" i="92"/>
  <c r="N305" i="92"/>
  <c r="P305" i="92"/>
  <c r="Q305" i="92"/>
  <c r="R305" i="92"/>
  <c r="S305" i="92"/>
  <c r="T305" i="92"/>
  <c r="U305" i="92"/>
  <c r="O306" i="92"/>
  <c r="V306" i="92" s="1"/>
  <c r="D307" i="92"/>
  <c r="K307" i="92" s="1"/>
  <c r="L307" i="92"/>
  <c r="O307" i="92"/>
  <c r="D308" i="92"/>
  <c r="K308" i="92" s="1"/>
  <c r="L308" i="92"/>
  <c r="O308" i="92"/>
  <c r="V308" i="92" s="1"/>
  <c r="B314" i="92"/>
  <c r="B313" i="92" s="1"/>
  <c r="C314" i="92"/>
  <c r="C313" i="92" s="1"/>
  <c r="D314" i="92"/>
  <c r="D313" i="92" s="1"/>
  <c r="E314" i="92"/>
  <c r="E313" i="92" s="1"/>
  <c r="F314" i="92"/>
  <c r="F313" i="92" s="1"/>
  <c r="G314" i="92"/>
  <c r="G313" i="92" s="1"/>
  <c r="H314" i="92"/>
  <c r="H313" i="92" s="1"/>
  <c r="I314" i="92"/>
  <c r="I313" i="92" s="1"/>
  <c r="J314" i="92"/>
  <c r="J313" i="92" s="1"/>
  <c r="L314" i="92"/>
  <c r="L313" i="92" s="1"/>
  <c r="M314" i="92"/>
  <c r="M313" i="92" s="1"/>
  <c r="N314" i="92"/>
  <c r="N313" i="92" s="1"/>
  <c r="O314" i="92"/>
  <c r="O313" i="92" s="1"/>
  <c r="P314" i="92"/>
  <c r="P313" i="92" s="1"/>
  <c r="Q314" i="92"/>
  <c r="Q313" i="92" s="1"/>
  <c r="R314" i="92"/>
  <c r="R313" i="92" s="1"/>
  <c r="S314" i="92"/>
  <c r="S313" i="92" s="1"/>
  <c r="T314" i="92"/>
  <c r="T313" i="92" s="1"/>
  <c r="U314" i="92"/>
  <c r="U313" i="92" s="1"/>
  <c r="W314" i="92"/>
  <c r="W313" i="92" s="1"/>
  <c r="B317" i="92"/>
  <c r="B316" i="92" s="1"/>
  <c r="C317" i="92"/>
  <c r="C316" i="92" s="1"/>
  <c r="D317" i="92"/>
  <c r="D316" i="92" s="1"/>
  <c r="E317" i="92"/>
  <c r="E316" i="92" s="1"/>
  <c r="F317" i="92"/>
  <c r="F316" i="92" s="1"/>
  <c r="G317" i="92"/>
  <c r="G316" i="92" s="1"/>
  <c r="H317" i="92"/>
  <c r="H316" i="92" s="1"/>
  <c r="I317" i="92"/>
  <c r="I316" i="92" s="1"/>
  <c r="J317" i="92"/>
  <c r="J316" i="92" s="1"/>
  <c r="M317" i="92"/>
  <c r="N317" i="92"/>
  <c r="N316" i="92" s="1"/>
  <c r="O317" i="92"/>
  <c r="O316" i="92" s="1"/>
  <c r="P317" i="92"/>
  <c r="P316" i="92" s="1"/>
  <c r="Q317" i="92"/>
  <c r="Q316" i="92" s="1"/>
  <c r="R317" i="92"/>
  <c r="R316" i="92" s="1"/>
  <c r="S317" i="92"/>
  <c r="S316" i="92" s="1"/>
  <c r="T317" i="92"/>
  <c r="T316" i="92" s="1"/>
  <c r="U317" i="92"/>
  <c r="U316" i="92" s="1"/>
  <c r="K329" i="92"/>
  <c r="V329" i="92"/>
  <c r="B330" i="92"/>
  <c r="C330" i="92"/>
  <c r="D330" i="92"/>
  <c r="E330" i="92"/>
  <c r="F330" i="92"/>
  <c r="G330" i="92"/>
  <c r="H330" i="92"/>
  <c r="I330" i="92"/>
  <c r="J330" i="92"/>
  <c r="L330" i="92"/>
  <c r="M330" i="92"/>
  <c r="N330" i="92"/>
  <c r="O330" i="92"/>
  <c r="P330" i="92"/>
  <c r="Q330" i="92"/>
  <c r="R330" i="92"/>
  <c r="S330" i="92"/>
  <c r="T330" i="92"/>
  <c r="U330" i="92"/>
  <c r="W330" i="92"/>
  <c r="C331" i="92"/>
  <c r="D331" i="92"/>
  <c r="E331" i="92"/>
  <c r="F331" i="92"/>
  <c r="G331" i="92"/>
  <c r="H331" i="92"/>
  <c r="I331" i="92"/>
  <c r="J331" i="92"/>
  <c r="L331" i="92"/>
  <c r="M331" i="92"/>
  <c r="N331" i="92"/>
  <c r="O331" i="92"/>
  <c r="P331" i="92"/>
  <c r="Q331" i="92"/>
  <c r="R331" i="92"/>
  <c r="S331" i="92"/>
  <c r="T331" i="92"/>
  <c r="U331" i="92"/>
  <c r="W331" i="92"/>
  <c r="B332" i="92"/>
  <c r="K332" i="92" s="1"/>
  <c r="L332" i="92"/>
  <c r="M332" i="92"/>
  <c r="V332" i="92" s="1"/>
  <c r="W332" i="92"/>
  <c r="B333" i="92"/>
  <c r="K333" i="92" s="1"/>
  <c r="M333" i="92"/>
  <c r="V333" i="92" s="1"/>
  <c r="K334" i="92"/>
  <c r="V334" i="92"/>
  <c r="W334" i="92"/>
  <c r="L335" i="92"/>
  <c r="W335" i="92"/>
  <c r="B339" i="92"/>
  <c r="C339" i="92"/>
  <c r="D339" i="92"/>
  <c r="E339" i="92"/>
  <c r="F339" i="92"/>
  <c r="G339" i="92"/>
  <c r="H339" i="92"/>
  <c r="I339" i="92"/>
  <c r="J339" i="92"/>
  <c r="J335" i="92" s="1"/>
  <c r="M339" i="92"/>
  <c r="N339" i="92"/>
  <c r="O339" i="92"/>
  <c r="P339" i="92"/>
  <c r="Q339" i="92"/>
  <c r="R339" i="92"/>
  <c r="S339" i="92"/>
  <c r="T339" i="92"/>
  <c r="U339" i="92"/>
  <c r="K340" i="92"/>
  <c r="K339" i="92" s="1"/>
  <c r="V340" i="92"/>
  <c r="V339" i="92" s="1"/>
  <c r="C367" i="92"/>
  <c r="E505" i="91"/>
  <c r="M505" i="91"/>
  <c r="P505" i="91"/>
  <c r="M6" i="90"/>
  <c r="P6" i="90"/>
  <c r="M7" i="90"/>
  <c r="P7" i="90"/>
  <c r="M8" i="90"/>
  <c r="P8" i="90"/>
  <c r="M9" i="90"/>
  <c r="P9" i="90"/>
  <c r="M10" i="90"/>
  <c r="P10" i="90"/>
  <c r="M11" i="90"/>
  <c r="P11" i="90"/>
  <c r="M12" i="90"/>
  <c r="P12" i="90"/>
  <c r="M13" i="90"/>
  <c r="P13" i="90"/>
  <c r="M14" i="90"/>
  <c r="P14" i="90"/>
  <c r="M15" i="90"/>
  <c r="P15" i="90"/>
  <c r="M16" i="90"/>
  <c r="P16" i="90"/>
  <c r="M17" i="90"/>
  <c r="P17" i="90"/>
  <c r="M18" i="90"/>
  <c r="P18" i="90"/>
  <c r="M19" i="90"/>
  <c r="P19" i="90"/>
  <c r="M20" i="90"/>
  <c r="P20" i="90"/>
  <c r="M21" i="90"/>
  <c r="P21" i="90"/>
  <c r="M22" i="90"/>
  <c r="P22" i="90"/>
  <c r="M23" i="90"/>
  <c r="P23" i="90"/>
  <c r="M24" i="90"/>
  <c r="P24" i="90"/>
  <c r="M25" i="90"/>
  <c r="P25" i="90"/>
  <c r="M26" i="90"/>
  <c r="P26" i="90"/>
  <c r="M27" i="90"/>
  <c r="P27" i="90"/>
  <c r="M28" i="90"/>
  <c r="P28" i="90"/>
  <c r="M29" i="90"/>
  <c r="P29" i="90"/>
  <c r="M30" i="90"/>
  <c r="P30" i="90"/>
  <c r="M31" i="90"/>
  <c r="P31" i="90"/>
  <c r="M32" i="90"/>
  <c r="P32" i="90"/>
  <c r="M33" i="90"/>
  <c r="P33" i="90"/>
  <c r="M34" i="90"/>
  <c r="P34" i="90"/>
  <c r="M35" i="90"/>
  <c r="P35" i="90"/>
  <c r="M36" i="90"/>
  <c r="P36" i="90"/>
  <c r="M37" i="90"/>
  <c r="P37" i="90"/>
  <c r="M38" i="90"/>
  <c r="P38" i="90"/>
  <c r="M39" i="90"/>
  <c r="P39" i="90"/>
  <c r="M40" i="90"/>
  <c r="P40" i="90"/>
  <c r="M41" i="90"/>
  <c r="P41" i="90"/>
  <c r="M42" i="90"/>
  <c r="P42" i="90"/>
  <c r="M43" i="90"/>
  <c r="P43" i="90"/>
  <c r="M44" i="90"/>
  <c r="P44" i="90"/>
  <c r="M45" i="90"/>
  <c r="P45" i="90"/>
  <c r="M46" i="90"/>
  <c r="P46" i="90"/>
  <c r="M47" i="90"/>
  <c r="P47" i="90"/>
  <c r="M48" i="90"/>
  <c r="P48" i="90"/>
  <c r="M49" i="90"/>
  <c r="P49" i="90"/>
  <c r="M50" i="90"/>
  <c r="P50" i="90"/>
  <c r="M51" i="90"/>
  <c r="P51" i="90"/>
  <c r="M52" i="90"/>
  <c r="P52" i="90"/>
  <c r="M53" i="90"/>
  <c r="P53" i="90"/>
  <c r="M54" i="90"/>
  <c r="P54" i="90"/>
  <c r="M55" i="90"/>
  <c r="P55" i="90"/>
  <c r="M56" i="90"/>
  <c r="P56" i="90"/>
  <c r="M57" i="90"/>
  <c r="P57" i="90"/>
  <c r="M58" i="90"/>
  <c r="P58" i="90"/>
  <c r="M59" i="90"/>
  <c r="P59" i="90"/>
  <c r="M60" i="90"/>
  <c r="P60" i="90"/>
  <c r="M61" i="90"/>
  <c r="P61" i="90"/>
  <c r="M62" i="90"/>
  <c r="P62" i="90"/>
  <c r="M63" i="90"/>
  <c r="P63" i="90"/>
  <c r="M64" i="90"/>
  <c r="P64" i="90"/>
  <c r="M65" i="90"/>
  <c r="P65" i="90"/>
  <c r="M66" i="90"/>
  <c r="P66" i="90"/>
  <c r="M67" i="90"/>
  <c r="P67" i="90"/>
  <c r="M68" i="90"/>
  <c r="P68" i="90"/>
  <c r="M69" i="90"/>
  <c r="P69" i="90"/>
  <c r="M70" i="90"/>
  <c r="P70" i="90"/>
  <c r="M71" i="90"/>
  <c r="P71" i="90"/>
  <c r="M72" i="90"/>
  <c r="P72" i="90"/>
  <c r="M73" i="90"/>
  <c r="P73" i="90"/>
  <c r="M74" i="90"/>
  <c r="P74" i="90"/>
  <c r="M75" i="90"/>
  <c r="P75" i="90"/>
  <c r="M76" i="90"/>
  <c r="P76" i="90"/>
  <c r="M77" i="90"/>
  <c r="P77" i="90"/>
  <c r="M78" i="90"/>
  <c r="P78" i="90"/>
  <c r="M79" i="90"/>
  <c r="P79" i="90"/>
  <c r="M80" i="90"/>
  <c r="P80" i="90"/>
  <c r="M81" i="90"/>
  <c r="P81" i="90"/>
  <c r="M82" i="90"/>
  <c r="P82" i="90"/>
  <c r="M83" i="90"/>
  <c r="P83" i="90"/>
  <c r="M84" i="90"/>
  <c r="P84" i="90"/>
  <c r="M85" i="90"/>
  <c r="P85" i="90"/>
  <c r="M86" i="90"/>
  <c r="P86" i="90"/>
  <c r="M87" i="90"/>
  <c r="P87" i="90"/>
  <c r="M88" i="90"/>
  <c r="P88" i="90"/>
  <c r="M89" i="90"/>
  <c r="P89" i="90"/>
  <c r="M90" i="90"/>
  <c r="P90" i="90"/>
  <c r="M91" i="90"/>
  <c r="P91" i="90"/>
  <c r="M92" i="90"/>
  <c r="P92" i="90"/>
  <c r="M93" i="90"/>
  <c r="P93" i="90"/>
  <c r="M94" i="90"/>
  <c r="P94" i="90"/>
  <c r="M95" i="90"/>
  <c r="P95" i="90"/>
  <c r="M96" i="90"/>
  <c r="P96" i="90"/>
  <c r="M97" i="90"/>
  <c r="P97" i="90"/>
  <c r="M98" i="90"/>
  <c r="P98" i="90"/>
  <c r="M99" i="90"/>
  <c r="P99" i="90"/>
  <c r="M100" i="90"/>
  <c r="P100" i="90"/>
  <c r="M101" i="90"/>
  <c r="P101" i="90"/>
  <c r="M102" i="90"/>
  <c r="P102" i="90"/>
  <c r="M103" i="90"/>
  <c r="P103" i="90"/>
  <c r="M104" i="90"/>
  <c r="P104" i="90"/>
  <c r="M105" i="90"/>
  <c r="P105" i="90"/>
  <c r="M106" i="90"/>
  <c r="P106" i="90"/>
  <c r="M107" i="90"/>
  <c r="P107" i="90"/>
  <c r="M108" i="90"/>
  <c r="P108" i="90"/>
  <c r="M109" i="90"/>
  <c r="P109" i="90"/>
  <c r="M110" i="90"/>
  <c r="P110" i="90"/>
  <c r="M111" i="90"/>
  <c r="P111" i="90"/>
  <c r="M112" i="90"/>
  <c r="P112" i="90"/>
  <c r="M113" i="90"/>
  <c r="P113" i="90"/>
  <c r="M114" i="90"/>
  <c r="P114" i="90"/>
  <c r="M115" i="90"/>
  <c r="P115" i="90"/>
  <c r="M116" i="90"/>
  <c r="P116" i="90"/>
  <c r="M117" i="90"/>
  <c r="P117" i="90"/>
  <c r="M118" i="90"/>
  <c r="P118" i="90"/>
  <c r="M119" i="90"/>
  <c r="P119" i="90"/>
  <c r="M120" i="90"/>
  <c r="P120" i="90"/>
  <c r="M121" i="90"/>
  <c r="P121" i="90"/>
  <c r="M122" i="90"/>
  <c r="P122" i="90"/>
  <c r="M123" i="90"/>
  <c r="P123" i="90"/>
  <c r="M124" i="90"/>
  <c r="P124" i="90"/>
  <c r="M125" i="90"/>
  <c r="P125" i="90"/>
  <c r="M126" i="90"/>
  <c r="P126" i="90"/>
  <c r="M127" i="90"/>
  <c r="P127" i="90"/>
  <c r="M128" i="90"/>
  <c r="P128" i="90"/>
  <c r="E129" i="90"/>
  <c r="M6" i="89"/>
  <c r="P6" i="89"/>
  <c r="M7" i="89"/>
  <c r="P7" i="89"/>
  <c r="M8" i="89"/>
  <c r="P8" i="89"/>
  <c r="M9" i="89"/>
  <c r="P9" i="89"/>
  <c r="M10" i="89"/>
  <c r="P10" i="89"/>
  <c r="M11" i="89"/>
  <c r="P11" i="89"/>
  <c r="M12" i="89"/>
  <c r="N12" i="89"/>
  <c r="P12" i="89"/>
  <c r="M13" i="89"/>
  <c r="N13" i="89"/>
  <c r="M14" i="89"/>
  <c r="P14" i="89"/>
  <c r="M15" i="89"/>
  <c r="P15" i="89"/>
  <c r="M16" i="89"/>
  <c r="P16" i="89"/>
  <c r="M17" i="89"/>
  <c r="P17" i="89"/>
  <c r="M18" i="89"/>
  <c r="P18" i="89"/>
  <c r="M19" i="89"/>
  <c r="P19" i="89"/>
  <c r="M20" i="89"/>
  <c r="P20" i="89"/>
  <c r="M21" i="89"/>
  <c r="P21" i="89"/>
  <c r="M22" i="89"/>
  <c r="P22" i="89"/>
  <c r="M23" i="89"/>
  <c r="P23" i="89"/>
  <c r="M24" i="89"/>
  <c r="P24" i="89"/>
  <c r="M25" i="89"/>
  <c r="P25" i="89"/>
  <c r="M26" i="89"/>
  <c r="P26" i="89"/>
  <c r="M27" i="89"/>
  <c r="P27" i="89"/>
  <c r="M28" i="89"/>
  <c r="P28" i="89"/>
  <c r="M29" i="89"/>
  <c r="P29" i="89"/>
  <c r="M30" i="89"/>
  <c r="P30" i="89"/>
  <c r="M31" i="89"/>
  <c r="P31" i="89"/>
  <c r="M32" i="89"/>
  <c r="P32" i="89"/>
  <c r="M33" i="89"/>
  <c r="P33" i="89"/>
  <c r="M34" i="89"/>
  <c r="P34" i="89"/>
  <c r="M35" i="89"/>
  <c r="P35" i="89"/>
  <c r="M36" i="89"/>
  <c r="P36" i="89"/>
  <c r="M37" i="89"/>
  <c r="P37" i="89"/>
  <c r="M38" i="89"/>
  <c r="P38" i="89"/>
  <c r="M39" i="89"/>
  <c r="P39" i="89"/>
  <c r="M40" i="89"/>
  <c r="P40" i="89"/>
  <c r="M41" i="89"/>
  <c r="P41" i="89"/>
  <c r="M42" i="89"/>
  <c r="P42" i="89"/>
  <c r="M43" i="89"/>
  <c r="P43" i="89"/>
  <c r="M44" i="89"/>
  <c r="P44" i="89"/>
  <c r="M45" i="89"/>
  <c r="P45" i="89"/>
  <c r="M46" i="89"/>
  <c r="P46" i="89"/>
  <c r="M47" i="89"/>
  <c r="P47" i="89"/>
  <c r="M48" i="89"/>
  <c r="P48" i="89"/>
  <c r="M49" i="89"/>
  <c r="P49" i="89"/>
  <c r="M50" i="89"/>
  <c r="P50" i="89"/>
  <c r="M51" i="89"/>
  <c r="P51" i="89"/>
  <c r="M52" i="89"/>
  <c r="P52" i="89"/>
  <c r="M53" i="89"/>
  <c r="P53" i="89"/>
  <c r="M54" i="89"/>
  <c r="P54" i="89"/>
  <c r="M55" i="89"/>
  <c r="P55" i="89"/>
  <c r="M56" i="89"/>
  <c r="P56" i="89"/>
  <c r="M57" i="89"/>
  <c r="P57" i="89"/>
  <c r="M58" i="89"/>
  <c r="P58" i="89"/>
  <c r="M59" i="89"/>
  <c r="P59" i="89"/>
  <c r="M60" i="89"/>
  <c r="P60" i="89"/>
  <c r="M61" i="89"/>
  <c r="P61" i="89"/>
  <c r="M62" i="89"/>
  <c r="P62" i="89"/>
  <c r="M63" i="89"/>
  <c r="P63" i="89"/>
  <c r="M64" i="89"/>
  <c r="P64" i="89"/>
  <c r="M65" i="89"/>
  <c r="P65" i="89"/>
  <c r="M66" i="89"/>
  <c r="P66" i="89"/>
  <c r="M67" i="89"/>
  <c r="P67" i="89"/>
  <c r="M68" i="89"/>
  <c r="P68" i="89"/>
  <c r="M69" i="89"/>
  <c r="P69" i="89"/>
  <c r="M70" i="89"/>
  <c r="P70" i="89"/>
  <c r="M71" i="89"/>
  <c r="M102" i="88"/>
  <c r="P102" i="88"/>
  <c r="M7" i="87"/>
  <c r="M8" i="87"/>
  <c r="P8" i="87"/>
  <c r="M10" i="87"/>
  <c r="P10" i="87"/>
  <c r="M11" i="87"/>
  <c r="P11" i="87"/>
  <c r="M12" i="87"/>
  <c r="P12" i="87"/>
  <c r="M13" i="87"/>
  <c r="P13" i="87"/>
  <c r="M14" i="87"/>
  <c r="P14" i="87"/>
  <c r="M15" i="87"/>
  <c r="M16" i="87"/>
  <c r="M17" i="87"/>
  <c r="P17" i="87"/>
  <c r="M18" i="87"/>
  <c r="M19" i="87"/>
  <c r="P19" i="87"/>
  <c r="M20" i="87"/>
  <c r="P20" i="87"/>
  <c r="M21" i="87"/>
  <c r="M22" i="87"/>
  <c r="P22" i="87"/>
  <c r="M23" i="87"/>
  <c r="P23" i="87"/>
  <c r="M24" i="87"/>
  <c r="P24" i="87"/>
  <c r="M27" i="87"/>
  <c r="P27" i="87"/>
  <c r="M30" i="87"/>
  <c r="P30" i="87"/>
  <c r="M31" i="87"/>
  <c r="P31" i="87"/>
  <c r="M36" i="87"/>
  <c r="P36" i="87"/>
  <c r="M37" i="87"/>
  <c r="P37" i="87"/>
  <c r="M38" i="87"/>
  <c r="M39" i="87"/>
  <c r="M40" i="87"/>
  <c r="P40" i="87"/>
  <c r="M41" i="87"/>
  <c r="P41" i="87"/>
  <c r="P42" i="87"/>
  <c r="P43" i="87"/>
  <c r="P44" i="87"/>
  <c r="P45" i="87"/>
  <c r="P46" i="87"/>
  <c r="P47" i="87"/>
  <c r="P48" i="87"/>
  <c r="P49" i="87"/>
  <c r="P50" i="87"/>
  <c r="M7" i="86"/>
  <c r="M8" i="86"/>
  <c r="P8" i="86"/>
  <c r="P72" i="86" s="1"/>
  <c r="M9" i="86"/>
  <c r="P9" i="86"/>
  <c r="M10" i="86"/>
  <c r="P10" i="86"/>
  <c r="M11" i="86"/>
  <c r="M72" i="86" s="1"/>
  <c r="P11" i="86"/>
  <c r="M12" i="86"/>
  <c r="P12" i="86"/>
  <c r="M13" i="86"/>
  <c r="P13" i="86"/>
  <c r="M14" i="86"/>
  <c r="P14" i="86"/>
  <c r="M15" i="86"/>
  <c r="P15" i="86"/>
  <c r="M16" i="86"/>
  <c r="P16" i="86"/>
  <c r="M17" i="86"/>
  <c r="P17" i="86"/>
  <c r="M18" i="86"/>
  <c r="P18" i="86"/>
  <c r="M19" i="86"/>
  <c r="M20" i="86"/>
  <c r="P20" i="86"/>
  <c r="M21" i="86"/>
  <c r="P21" i="86"/>
  <c r="M22" i="86"/>
  <c r="P22" i="86"/>
  <c r="M23" i="86"/>
  <c r="M24" i="86"/>
  <c r="P24" i="86"/>
  <c r="M25" i="86"/>
  <c r="P25" i="86"/>
  <c r="M26" i="86"/>
  <c r="P26" i="86"/>
  <c r="M27" i="86"/>
  <c r="P27" i="86"/>
  <c r="M28" i="86"/>
  <c r="P28" i="86"/>
  <c r="M29" i="86"/>
  <c r="P29" i="86"/>
  <c r="M30" i="86"/>
  <c r="P30" i="86"/>
  <c r="M31" i="86"/>
  <c r="M32" i="86"/>
  <c r="P32" i="86"/>
  <c r="M33" i="86"/>
  <c r="P33" i="86"/>
  <c r="M34" i="86"/>
  <c r="P34" i="86"/>
  <c r="M35" i="86"/>
  <c r="P35" i="86"/>
  <c r="M36" i="86"/>
  <c r="P36" i="86"/>
  <c r="M37" i="86"/>
  <c r="M38" i="86"/>
  <c r="P38" i="86"/>
  <c r="M39" i="86"/>
  <c r="P39" i="86"/>
  <c r="M40" i="86"/>
  <c r="P40" i="86"/>
  <c r="M41" i="86"/>
  <c r="P41" i="86"/>
  <c r="M42" i="86"/>
  <c r="P42" i="86"/>
  <c r="M43" i="86"/>
  <c r="P43" i="86"/>
  <c r="M44" i="86"/>
  <c r="P44" i="86"/>
  <c r="M45" i="86"/>
  <c r="P45" i="86"/>
  <c r="M46" i="86"/>
  <c r="P46" i="86"/>
  <c r="M47" i="86"/>
  <c r="P47" i="86"/>
  <c r="M48" i="86"/>
  <c r="P48" i="86"/>
  <c r="M49" i="86"/>
  <c r="P49" i="86"/>
  <c r="M50" i="86"/>
  <c r="M51" i="86"/>
  <c r="P51" i="86"/>
  <c r="M52" i="86"/>
  <c r="P52" i="86"/>
  <c r="M53" i="86"/>
  <c r="M54" i="86"/>
  <c r="P54" i="86"/>
  <c r="M55" i="86"/>
  <c r="P55" i="86"/>
  <c r="M56" i="86"/>
  <c r="P56" i="86"/>
  <c r="M57" i="86"/>
  <c r="P57" i="86"/>
  <c r="M58" i="86"/>
  <c r="P58" i="86"/>
  <c r="M59" i="86"/>
  <c r="P59" i="86"/>
  <c r="M60" i="86"/>
  <c r="P60" i="86"/>
  <c r="M61" i="86"/>
  <c r="M62" i="86"/>
  <c r="P62" i="86"/>
  <c r="M63" i="86"/>
  <c r="P63" i="86"/>
  <c r="M64" i="86"/>
  <c r="P64" i="86"/>
  <c r="M65" i="86"/>
  <c r="P65" i="86"/>
  <c r="M66" i="86"/>
  <c r="P66" i="86"/>
  <c r="M67" i="86"/>
  <c r="M68" i="86"/>
  <c r="P68" i="86"/>
  <c r="M69" i="86"/>
  <c r="P69" i="86"/>
  <c r="M70" i="86"/>
  <c r="M71" i="86"/>
  <c r="P71" i="86"/>
  <c r="M7" i="85"/>
  <c r="P7" i="85"/>
  <c r="M8" i="85"/>
  <c r="P8" i="85"/>
  <c r="M9" i="85"/>
  <c r="P9" i="85"/>
  <c r="M10" i="85"/>
  <c r="P10" i="85"/>
  <c r="M11" i="85"/>
  <c r="P11" i="85"/>
  <c r="M12" i="85"/>
  <c r="P12" i="85"/>
  <c r="M13" i="85"/>
  <c r="P13" i="85"/>
  <c r="M14" i="85"/>
  <c r="P14" i="85"/>
  <c r="M15" i="85"/>
  <c r="P15" i="85"/>
  <c r="M16" i="85"/>
  <c r="P16" i="85"/>
  <c r="M17" i="85"/>
  <c r="P17" i="85"/>
  <c r="M18" i="85"/>
  <c r="P18" i="85"/>
  <c r="M19" i="85"/>
  <c r="P19" i="85"/>
  <c r="M20" i="85"/>
  <c r="P20" i="85"/>
  <c r="M21" i="85"/>
  <c r="P21" i="85"/>
  <c r="M22" i="85"/>
  <c r="P22" i="85"/>
  <c r="M23" i="85"/>
  <c r="P23" i="85"/>
  <c r="M24" i="85"/>
  <c r="P24" i="85"/>
  <c r="M25" i="85"/>
  <c r="P25" i="85"/>
  <c r="M26" i="85"/>
  <c r="P26" i="85"/>
  <c r="M27" i="85"/>
  <c r="P27" i="85"/>
  <c r="M28" i="85"/>
  <c r="P28" i="85"/>
  <c r="M29" i="85"/>
  <c r="P29" i="85"/>
  <c r="M30" i="85"/>
  <c r="P30" i="85"/>
  <c r="M31" i="85"/>
  <c r="P31" i="85"/>
  <c r="M32" i="85"/>
  <c r="P32" i="85"/>
  <c r="M33" i="85"/>
  <c r="P33" i="85"/>
  <c r="M34" i="85"/>
  <c r="P34" i="85"/>
  <c r="M35" i="85"/>
  <c r="P35" i="85"/>
  <c r="M36" i="85"/>
  <c r="P36" i="85"/>
  <c r="M37" i="85"/>
  <c r="P37" i="85"/>
  <c r="M38" i="85"/>
  <c r="P38" i="85"/>
  <c r="M39" i="85"/>
  <c r="P39" i="85"/>
  <c r="M40" i="85"/>
  <c r="P40" i="85"/>
  <c r="M41" i="85"/>
  <c r="P41" i="85"/>
  <c r="M42" i="85"/>
  <c r="P42" i="85"/>
  <c r="M43" i="85"/>
  <c r="P43" i="85"/>
  <c r="M44" i="85"/>
  <c r="P44" i="85"/>
  <c r="M45" i="85"/>
  <c r="P45" i="85"/>
  <c r="M46" i="85"/>
  <c r="P46" i="85"/>
  <c r="M47" i="85"/>
  <c r="P47" i="85"/>
  <c r="M48" i="85"/>
  <c r="P48" i="85"/>
  <c r="M49" i="85"/>
  <c r="P49" i="85"/>
  <c r="M50" i="85"/>
  <c r="P50" i="85"/>
  <c r="M51" i="85"/>
  <c r="P51" i="85"/>
  <c r="M52" i="85"/>
  <c r="P52" i="85"/>
  <c r="M53" i="85"/>
  <c r="P53" i="85"/>
  <c r="M54" i="85"/>
  <c r="P54" i="85"/>
  <c r="M55" i="85"/>
  <c r="P55" i="85"/>
  <c r="M56" i="85"/>
  <c r="P56" i="85"/>
  <c r="M57" i="85"/>
  <c r="P57" i="85"/>
  <c r="M58" i="85"/>
  <c r="P58" i="85"/>
  <c r="M59" i="85"/>
  <c r="P59" i="85"/>
  <c r="M60" i="85"/>
  <c r="P60" i="85"/>
  <c r="M61" i="85"/>
  <c r="P61" i="85"/>
  <c r="M62" i="85"/>
  <c r="P62" i="85"/>
  <c r="M63" i="85"/>
  <c r="P63" i="85"/>
  <c r="M64" i="85"/>
  <c r="P64" i="85"/>
  <c r="M65" i="85"/>
  <c r="P65" i="85"/>
  <c r="M66" i="85"/>
  <c r="P66" i="85"/>
  <c r="M67" i="85"/>
  <c r="P67" i="85"/>
  <c r="M68" i="85"/>
  <c r="P68" i="85"/>
  <c r="M69" i="85"/>
  <c r="P69" i="85"/>
  <c r="M70" i="85"/>
  <c r="P70" i="85"/>
  <c r="M71" i="85"/>
  <c r="P71" i="85"/>
  <c r="M72" i="85"/>
  <c r="P72" i="85"/>
  <c r="M73" i="85"/>
  <c r="P73" i="85"/>
  <c r="M74" i="85"/>
  <c r="P74" i="85"/>
  <c r="M75" i="85"/>
  <c r="P75" i="85"/>
  <c r="M76" i="85"/>
  <c r="P76" i="85"/>
  <c r="M77" i="85"/>
  <c r="P77" i="85"/>
  <c r="M78" i="85"/>
  <c r="P78" i="85"/>
  <c r="M79" i="85"/>
  <c r="P79" i="85"/>
  <c r="M80" i="85"/>
  <c r="P80" i="85"/>
  <c r="M81" i="85"/>
  <c r="P81" i="85"/>
  <c r="M82" i="85"/>
  <c r="P82" i="85"/>
  <c r="M83" i="85"/>
  <c r="P83" i="85"/>
  <c r="M84" i="85"/>
  <c r="P84" i="85"/>
  <c r="M85" i="85"/>
  <c r="P85" i="85"/>
  <c r="M86" i="85"/>
  <c r="P86" i="85"/>
  <c r="M87" i="85"/>
  <c r="P87" i="85"/>
  <c r="M88" i="85"/>
  <c r="P88" i="85"/>
  <c r="M89" i="85"/>
  <c r="P89" i="85"/>
  <c r="M90" i="85"/>
  <c r="M91" i="85"/>
  <c r="M92" i="85"/>
  <c r="M93" i="85"/>
  <c r="M94" i="85"/>
  <c r="M95" i="85"/>
  <c r="M96" i="85"/>
  <c r="M97" i="85"/>
  <c r="M98" i="85"/>
  <c r="M99" i="85"/>
  <c r="M100" i="85"/>
  <c r="M101" i="85"/>
  <c r="M102" i="85"/>
  <c r="M103" i="85"/>
  <c r="M104" i="85"/>
  <c r="M300" i="84"/>
  <c r="P300" i="84"/>
  <c r="M595" i="83"/>
  <c r="P595" i="83"/>
  <c r="M7" i="82"/>
  <c r="P7" i="82"/>
  <c r="M8" i="82"/>
  <c r="P8" i="82"/>
  <c r="M9" i="82"/>
  <c r="P9" i="82"/>
  <c r="M10" i="82"/>
  <c r="P10" i="82"/>
  <c r="M11" i="82"/>
  <c r="P11" i="82"/>
  <c r="M12" i="82"/>
  <c r="P12" i="82"/>
  <c r="M13" i="82"/>
  <c r="P13" i="82"/>
  <c r="M14" i="82"/>
  <c r="P14" i="82"/>
  <c r="M15" i="82"/>
  <c r="P15" i="82"/>
  <c r="M16" i="82"/>
  <c r="P16" i="82"/>
  <c r="M17" i="82"/>
  <c r="P17" i="82"/>
  <c r="M18" i="82"/>
  <c r="P18" i="82"/>
  <c r="M19" i="82"/>
  <c r="P19" i="82"/>
  <c r="M20" i="82"/>
  <c r="P20" i="82"/>
  <c r="M21" i="82"/>
  <c r="P21" i="82"/>
  <c r="M22" i="82"/>
  <c r="P22" i="82"/>
  <c r="M23" i="82"/>
  <c r="P23" i="82"/>
  <c r="M24" i="82"/>
  <c r="P24" i="82"/>
  <c r="M25" i="82"/>
  <c r="P25" i="82"/>
  <c r="M26" i="82"/>
  <c r="P26" i="82"/>
  <c r="M27" i="82"/>
  <c r="P27" i="82"/>
  <c r="M28" i="82"/>
  <c r="P28" i="82"/>
  <c r="M29" i="82"/>
  <c r="P29" i="82"/>
  <c r="M30" i="82"/>
  <c r="P30" i="82"/>
  <c r="M31" i="82"/>
  <c r="P31" i="82"/>
  <c r="M32" i="82"/>
  <c r="P32" i="82"/>
  <c r="M33" i="82"/>
  <c r="P33" i="82"/>
  <c r="M34" i="82"/>
  <c r="P34" i="82"/>
  <c r="M35" i="82"/>
  <c r="P35" i="82"/>
  <c r="M36" i="82"/>
  <c r="P36" i="82"/>
  <c r="M37" i="82"/>
  <c r="P37" i="82"/>
  <c r="M38" i="82"/>
  <c r="P38" i="82"/>
  <c r="M39" i="82"/>
  <c r="P39" i="82"/>
  <c r="M40" i="82"/>
  <c r="P40" i="82"/>
  <c r="M41" i="82"/>
  <c r="P41" i="82"/>
  <c r="M42" i="82"/>
  <c r="P42" i="82"/>
  <c r="M43" i="82"/>
  <c r="P43" i="82"/>
  <c r="M44" i="82"/>
  <c r="P44" i="82"/>
  <c r="M45" i="82"/>
  <c r="P45" i="82"/>
  <c r="M46" i="82"/>
  <c r="P46" i="82"/>
  <c r="M47" i="82"/>
  <c r="P47" i="82"/>
  <c r="M48" i="82"/>
  <c r="P48" i="82"/>
  <c r="M49" i="82"/>
  <c r="P49" i="82"/>
  <c r="M50" i="82"/>
  <c r="P50" i="82"/>
  <c r="M51" i="82"/>
  <c r="P51" i="82"/>
  <c r="M52" i="82"/>
  <c r="P52" i="82"/>
  <c r="M53" i="82"/>
  <c r="P53" i="82"/>
  <c r="M54" i="82"/>
  <c r="P54" i="82"/>
  <c r="M55" i="82"/>
  <c r="P55" i="82"/>
  <c r="M56" i="82"/>
  <c r="P56" i="82"/>
  <c r="M57" i="82"/>
  <c r="P57" i="82"/>
  <c r="M58" i="82"/>
  <c r="P58" i="82"/>
  <c r="M59" i="82"/>
  <c r="P59" i="82"/>
  <c r="M60" i="82"/>
  <c r="P60" i="82"/>
  <c r="M61" i="82"/>
  <c r="P61" i="82"/>
  <c r="M62" i="82"/>
  <c r="P62" i="82"/>
  <c r="M63" i="82"/>
  <c r="P63" i="82"/>
  <c r="M64" i="82"/>
  <c r="P64" i="82"/>
  <c r="M65" i="82"/>
  <c r="P65" i="82"/>
  <c r="M66" i="82"/>
  <c r="P66" i="82"/>
  <c r="M67" i="82"/>
  <c r="P67" i="82"/>
  <c r="M68" i="82"/>
  <c r="P68" i="82"/>
  <c r="M69" i="82"/>
  <c r="P69" i="82"/>
  <c r="M70" i="82"/>
  <c r="P70" i="82"/>
  <c r="M71" i="82"/>
  <c r="P71" i="82"/>
  <c r="M72" i="82"/>
  <c r="P72" i="82"/>
  <c r="M73" i="82"/>
  <c r="P73" i="82"/>
  <c r="M74" i="82"/>
  <c r="P74" i="82"/>
  <c r="M75" i="82"/>
  <c r="P75" i="82"/>
  <c r="M76" i="82"/>
  <c r="P76" i="82"/>
  <c r="M77" i="82"/>
  <c r="P77" i="82"/>
  <c r="M78" i="82"/>
  <c r="P78" i="82"/>
  <c r="M79" i="82"/>
  <c r="P79" i="82"/>
  <c r="M80" i="82"/>
  <c r="P80" i="82"/>
  <c r="M81" i="82"/>
  <c r="P81" i="82"/>
  <c r="M82" i="82"/>
  <c r="P82" i="82"/>
  <c r="M83" i="82"/>
  <c r="P83" i="82"/>
  <c r="M84" i="82"/>
  <c r="P84" i="82"/>
  <c r="M85" i="82"/>
  <c r="P85" i="82"/>
  <c r="M86" i="82"/>
  <c r="P86" i="82"/>
  <c r="M87" i="82"/>
  <c r="P87" i="82"/>
  <c r="M88" i="82"/>
  <c r="P88" i="82"/>
  <c r="M89" i="82"/>
  <c r="P89" i="82"/>
  <c r="M90" i="82"/>
  <c r="P90" i="82"/>
  <c r="M91" i="82"/>
  <c r="P91" i="82"/>
  <c r="M92" i="82"/>
  <c r="P92" i="82"/>
  <c r="M93" i="82"/>
  <c r="P93" i="82"/>
  <c r="M94" i="82"/>
  <c r="P94" i="82"/>
  <c r="M95" i="82"/>
  <c r="P95" i="82"/>
  <c r="M96" i="82"/>
  <c r="P96" i="82"/>
  <c r="M97" i="82"/>
  <c r="P97" i="82"/>
  <c r="M98" i="82"/>
  <c r="P98" i="82"/>
  <c r="M99" i="82"/>
  <c r="P99" i="82"/>
  <c r="M100" i="82"/>
  <c r="P100" i="82"/>
  <c r="M101" i="82"/>
  <c r="P101" i="82"/>
  <c r="M102" i="82"/>
  <c r="P102" i="82"/>
  <c r="M103" i="82"/>
  <c r="P103" i="82"/>
  <c r="M104" i="82"/>
  <c r="P104" i="82"/>
  <c r="M105" i="82"/>
  <c r="P105" i="82"/>
  <c r="M106" i="82"/>
  <c r="P106" i="82"/>
  <c r="M107" i="82"/>
  <c r="P107" i="82"/>
  <c r="M108" i="82"/>
  <c r="P108" i="82"/>
  <c r="M109" i="82"/>
  <c r="P109" i="82"/>
  <c r="M110" i="82"/>
  <c r="P110" i="82"/>
  <c r="M111" i="82"/>
  <c r="P111" i="82"/>
  <c r="M112" i="82"/>
  <c r="P112" i="82"/>
  <c r="M113" i="82"/>
  <c r="P113" i="82"/>
  <c r="M114" i="82"/>
  <c r="P114" i="82"/>
  <c r="M115" i="82"/>
  <c r="P115" i="82"/>
  <c r="M116" i="82"/>
  <c r="P116" i="82"/>
  <c r="M117" i="82"/>
  <c r="P117" i="82"/>
  <c r="M118" i="82"/>
  <c r="P118" i="82"/>
  <c r="M119" i="82"/>
  <c r="P119" i="82"/>
  <c r="M120" i="82"/>
  <c r="P120" i="82"/>
  <c r="M121" i="82"/>
  <c r="P121" i="82"/>
  <c r="M122" i="82"/>
  <c r="P122" i="82"/>
  <c r="M123" i="82"/>
  <c r="P123" i="82"/>
  <c r="M124" i="82"/>
  <c r="P124" i="82"/>
  <c r="M125" i="82"/>
  <c r="P125" i="82"/>
  <c r="M126" i="82"/>
  <c r="P126" i="82"/>
  <c r="M127" i="82"/>
  <c r="P127" i="82"/>
  <c r="M128" i="82"/>
  <c r="P128" i="82"/>
  <c r="M129" i="82"/>
  <c r="P129" i="82"/>
  <c r="M130" i="82"/>
  <c r="P130" i="82"/>
  <c r="M131" i="82"/>
  <c r="P131" i="82"/>
  <c r="M132" i="82"/>
  <c r="P132" i="82"/>
  <c r="M133" i="82"/>
  <c r="P133" i="82"/>
  <c r="M134" i="82"/>
  <c r="P134" i="82"/>
  <c r="M135" i="82"/>
  <c r="P135" i="82"/>
  <c r="M136" i="82"/>
  <c r="P136" i="82"/>
  <c r="M137" i="82"/>
  <c r="P137" i="82"/>
  <c r="M138" i="82"/>
  <c r="P138" i="82"/>
  <c r="M139" i="82"/>
  <c r="P139" i="82"/>
  <c r="M140" i="82"/>
  <c r="P140" i="82"/>
  <c r="M141" i="82"/>
  <c r="P141" i="82"/>
  <c r="M142" i="82"/>
  <c r="P142" i="82"/>
  <c r="M143" i="82"/>
  <c r="M144" i="82"/>
  <c r="P144" i="82"/>
  <c r="M145" i="82"/>
  <c r="P145" i="82"/>
  <c r="M146" i="82"/>
  <c r="P146" i="82"/>
  <c r="M147" i="82"/>
  <c r="P147" i="82"/>
  <c r="M148" i="82"/>
  <c r="P148" i="82"/>
  <c r="M149" i="82"/>
  <c r="P149" i="82"/>
  <c r="M150" i="82"/>
  <c r="P150" i="82"/>
  <c r="M151" i="82"/>
  <c r="P151" i="82"/>
  <c r="M152" i="82"/>
  <c r="P152" i="82"/>
  <c r="M153" i="82"/>
  <c r="P153" i="82"/>
  <c r="M154" i="82"/>
  <c r="P154" i="82"/>
  <c r="M155" i="82"/>
  <c r="P155" i="82"/>
  <c r="M156" i="82"/>
  <c r="P156" i="82"/>
  <c r="M157" i="82"/>
  <c r="P157" i="82"/>
  <c r="M158" i="82"/>
  <c r="P158" i="82"/>
  <c r="M159" i="82"/>
  <c r="P159" i="82"/>
  <c r="M160" i="82"/>
  <c r="P160" i="82"/>
  <c r="M161" i="82"/>
  <c r="P161" i="82"/>
  <c r="M162" i="82"/>
  <c r="P162" i="82"/>
  <c r="M163" i="82"/>
  <c r="P163" i="82"/>
  <c r="M164" i="82"/>
  <c r="P164" i="82"/>
  <c r="M165" i="82"/>
  <c r="P165" i="82"/>
  <c r="M166" i="82"/>
  <c r="P166" i="82"/>
  <c r="M167" i="82"/>
  <c r="P167" i="82"/>
  <c r="M168" i="82"/>
  <c r="P168" i="82"/>
  <c r="M169" i="82"/>
  <c r="P169" i="82"/>
  <c r="M170" i="82"/>
  <c r="P170" i="82"/>
  <c r="M171" i="82"/>
  <c r="P171" i="82"/>
  <c r="M172" i="82"/>
  <c r="P172" i="82"/>
  <c r="M173" i="82"/>
  <c r="P173" i="82"/>
  <c r="M174" i="82"/>
  <c r="P174" i="82"/>
  <c r="M175" i="82"/>
  <c r="P175" i="82"/>
  <c r="M176" i="82"/>
  <c r="P176" i="82"/>
  <c r="M177" i="82"/>
  <c r="P177" i="82"/>
  <c r="M178" i="82"/>
  <c r="P178" i="82"/>
  <c r="M179" i="82"/>
  <c r="P179" i="82"/>
  <c r="M180" i="82"/>
  <c r="P180" i="82"/>
  <c r="M181" i="82"/>
  <c r="P181" i="82"/>
  <c r="M182" i="82"/>
  <c r="M183" i="82"/>
  <c r="P183" i="82"/>
  <c r="M184" i="82"/>
  <c r="P184" i="82"/>
  <c r="M185" i="82"/>
  <c r="P185" i="82"/>
  <c r="M186" i="82"/>
  <c r="P186" i="82"/>
  <c r="M187" i="82"/>
  <c r="P187" i="82"/>
  <c r="M188" i="82"/>
  <c r="P188" i="82"/>
  <c r="M189" i="82"/>
  <c r="P189" i="82"/>
  <c r="M190" i="82"/>
  <c r="P190" i="82"/>
  <c r="M191" i="82"/>
  <c r="P191" i="82"/>
  <c r="M192" i="82"/>
  <c r="P192" i="82"/>
  <c r="M193" i="82"/>
  <c r="P193" i="82"/>
  <c r="M194" i="82"/>
  <c r="P194" i="82"/>
  <c r="M195" i="82"/>
  <c r="P195" i="82"/>
  <c r="M196" i="82"/>
  <c r="P196" i="82"/>
  <c r="M197" i="82"/>
  <c r="P197" i="82"/>
  <c r="M198" i="82"/>
  <c r="P198" i="82"/>
  <c r="M199" i="82"/>
  <c r="P199" i="82"/>
  <c r="M200" i="82"/>
  <c r="P200" i="82"/>
  <c r="M201" i="82"/>
  <c r="P201" i="82"/>
  <c r="M202" i="82"/>
  <c r="P202" i="82"/>
  <c r="M203" i="82"/>
  <c r="P203" i="82"/>
  <c r="M204" i="82"/>
  <c r="P204" i="82"/>
  <c r="M205" i="82"/>
  <c r="P205" i="82"/>
  <c r="M206" i="82"/>
  <c r="P206" i="82"/>
  <c r="M207" i="82"/>
  <c r="P207" i="82"/>
  <c r="M208" i="82"/>
  <c r="P208" i="82"/>
  <c r="M209" i="82"/>
  <c r="P209" i="82"/>
  <c r="M210" i="82"/>
  <c r="P210" i="82"/>
  <c r="M211" i="82"/>
  <c r="P211" i="82"/>
  <c r="M212" i="82"/>
  <c r="P212" i="82"/>
  <c r="M213" i="82"/>
  <c r="P213" i="82"/>
  <c r="M214" i="82"/>
  <c r="P214" i="82"/>
  <c r="M215" i="82"/>
  <c r="P215" i="82"/>
  <c r="M216" i="82"/>
  <c r="P216" i="82"/>
  <c r="M217" i="82"/>
  <c r="P217" i="82"/>
  <c r="M218" i="82"/>
  <c r="P218" i="82"/>
  <c r="M219" i="82"/>
  <c r="P219" i="82"/>
  <c r="M220" i="82"/>
  <c r="P220" i="82"/>
  <c r="M221" i="82"/>
  <c r="P221" i="82"/>
  <c r="M222" i="82"/>
  <c r="P222" i="82"/>
  <c r="M223" i="82"/>
  <c r="P223" i="82"/>
  <c r="M224" i="82"/>
  <c r="P224" i="82"/>
  <c r="M225" i="82"/>
  <c r="P225" i="82"/>
  <c r="M226" i="82"/>
  <c r="P226" i="82"/>
  <c r="M227" i="82"/>
  <c r="P227" i="82"/>
  <c r="M228" i="82"/>
  <c r="P228" i="82"/>
  <c r="M229" i="82"/>
  <c r="P229" i="82"/>
  <c r="M230" i="82"/>
  <c r="P230" i="82"/>
  <c r="M231" i="82"/>
  <c r="P231" i="82"/>
  <c r="M232" i="82"/>
  <c r="P232" i="82"/>
  <c r="M233" i="82"/>
  <c r="P233" i="82"/>
  <c r="M234" i="82"/>
  <c r="P234" i="82"/>
  <c r="M235" i="82"/>
  <c r="P235" i="82"/>
  <c r="M236" i="82"/>
  <c r="P236" i="82"/>
  <c r="M237" i="82"/>
  <c r="P237" i="82"/>
  <c r="M238" i="82"/>
  <c r="P238" i="82"/>
  <c r="M239" i="82"/>
  <c r="P239" i="82"/>
  <c r="M240" i="82"/>
  <c r="P240" i="82"/>
  <c r="M241" i="82"/>
  <c r="P241" i="82"/>
  <c r="M242" i="82"/>
  <c r="P242" i="82"/>
  <c r="M243" i="82"/>
  <c r="P243" i="82"/>
  <c r="M244" i="82"/>
  <c r="P244" i="82"/>
  <c r="M7" i="81"/>
  <c r="P7" i="81"/>
  <c r="M8" i="81"/>
  <c r="P8" i="81"/>
  <c r="M9" i="81"/>
  <c r="P9" i="81"/>
  <c r="M10" i="81"/>
  <c r="P10" i="81"/>
  <c r="M11" i="81"/>
  <c r="P11" i="81"/>
  <c r="M12" i="81"/>
  <c r="P12" i="81"/>
  <c r="M13" i="81"/>
  <c r="P13" i="81"/>
  <c r="M14" i="81"/>
  <c r="P14" i="81"/>
  <c r="M15" i="81"/>
  <c r="P15" i="81"/>
  <c r="M16" i="81"/>
  <c r="P16" i="81"/>
  <c r="M17" i="81"/>
  <c r="P17" i="81"/>
  <c r="M18" i="81"/>
  <c r="P18" i="81"/>
  <c r="M19" i="81"/>
  <c r="P19" i="81"/>
  <c r="M20" i="81"/>
  <c r="P20" i="81"/>
  <c r="M21" i="81"/>
  <c r="P21" i="81"/>
  <c r="M22" i="81"/>
  <c r="P22" i="81"/>
  <c r="M23" i="81"/>
  <c r="P23" i="81"/>
  <c r="M24" i="81"/>
  <c r="P24" i="81"/>
  <c r="M25" i="81"/>
  <c r="P25" i="81"/>
  <c r="M26" i="81"/>
  <c r="P26" i="81"/>
  <c r="M27" i="81"/>
  <c r="P27" i="81"/>
  <c r="M28" i="81"/>
  <c r="P28" i="81"/>
  <c r="M29" i="81"/>
  <c r="P29" i="81"/>
  <c r="M30" i="81"/>
  <c r="P30" i="81"/>
  <c r="M31" i="81"/>
  <c r="P31" i="81"/>
  <c r="M32" i="81"/>
  <c r="P32" i="81"/>
  <c r="M33" i="81"/>
  <c r="P33" i="81"/>
  <c r="M34" i="81"/>
  <c r="P34" i="81"/>
  <c r="M35" i="81"/>
  <c r="P35" i="81"/>
  <c r="M36" i="81"/>
  <c r="P36" i="81"/>
  <c r="M37" i="81"/>
  <c r="P37" i="81"/>
  <c r="M38" i="81"/>
  <c r="P38" i="81"/>
  <c r="M39" i="81"/>
  <c r="P39" i="81"/>
  <c r="M40" i="81"/>
  <c r="P40" i="81"/>
  <c r="M41" i="81"/>
  <c r="P41" i="81"/>
  <c r="M42" i="81"/>
  <c r="P42" i="81"/>
  <c r="M43" i="81"/>
  <c r="P43" i="81"/>
  <c r="M44" i="81"/>
  <c r="P44" i="81"/>
  <c r="M45" i="81"/>
  <c r="P45" i="81"/>
  <c r="M46" i="81"/>
  <c r="P46" i="81"/>
  <c r="M47" i="81"/>
  <c r="P47" i="81"/>
  <c r="M48" i="81"/>
  <c r="P48" i="81"/>
  <c r="M49" i="81"/>
  <c r="P49" i="81"/>
  <c r="M50" i="81"/>
  <c r="P50" i="81"/>
  <c r="M51" i="81"/>
  <c r="P51" i="81"/>
  <c r="M52" i="81"/>
  <c r="P52" i="81"/>
  <c r="M53" i="81"/>
  <c r="P53" i="81"/>
  <c r="M54" i="81"/>
  <c r="P54" i="81"/>
  <c r="M55" i="81"/>
  <c r="P55" i="81"/>
  <c r="M56" i="81"/>
  <c r="P56" i="81"/>
  <c r="M57" i="81"/>
  <c r="P57" i="81"/>
  <c r="M58" i="81"/>
  <c r="P58" i="81"/>
  <c r="M59" i="81"/>
  <c r="P59" i="81"/>
  <c r="M60" i="81"/>
  <c r="P60" i="81"/>
  <c r="M61" i="81"/>
  <c r="P61" i="81"/>
  <c r="M62" i="81"/>
  <c r="P62" i="81"/>
  <c r="M63" i="81"/>
  <c r="P63" i="81"/>
  <c r="M64" i="81"/>
  <c r="P64" i="81"/>
  <c r="M65" i="81"/>
  <c r="P65" i="81"/>
  <c r="M66" i="81"/>
  <c r="P66" i="81"/>
  <c r="M67" i="81"/>
  <c r="P67" i="81"/>
  <c r="M68" i="81"/>
  <c r="P68" i="81"/>
  <c r="M69" i="81"/>
  <c r="P69" i="81"/>
  <c r="M70" i="81"/>
  <c r="P70" i="81"/>
  <c r="M71" i="81"/>
  <c r="P71" i="81"/>
  <c r="M72" i="81"/>
  <c r="P72" i="81"/>
  <c r="M73" i="81"/>
  <c r="P73" i="81"/>
  <c r="M74" i="81"/>
  <c r="P74" i="81"/>
  <c r="M75" i="81"/>
  <c r="P75" i="81"/>
  <c r="P76" i="81"/>
  <c r="P77" i="81"/>
  <c r="P78" i="81"/>
  <c r="P79" i="81"/>
  <c r="P80" i="81"/>
  <c r="P81" i="81"/>
  <c r="P82" i="81"/>
  <c r="P83" i="81"/>
  <c r="P84" i="81"/>
  <c r="P85" i="81"/>
  <c r="P86" i="81"/>
  <c r="P87" i="81"/>
  <c r="P88" i="81"/>
  <c r="P89" i="81"/>
  <c r="P90" i="81"/>
  <c r="P91" i="81"/>
  <c r="P92" i="81"/>
  <c r="P93" i="81"/>
  <c r="P94" i="81"/>
  <c r="P95" i="81"/>
  <c r="P96" i="81"/>
  <c r="P97" i="81"/>
  <c r="P98" i="81"/>
  <c r="P99" i="81"/>
  <c r="P100" i="81"/>
  <c r="M101" i="81"/>
  <c r="M102" i="81"/>
  <c r="M103" i="81"/>
  <c r="M104" i="81"/>
  <c r="M105" i="81"/>
  <c r="M106" i="81"/>
  <c r="M107" i="81"/>
  <c r="M108" i="81"/>
  <c r="M109" i="81"/>
  <c r="M110" i="81"/>
  <c r="M111" i="81"/>
  <c r="M112" i="81"/>
  <c r="M113" i="81"/>
  <c r="M114" i="81"/>
  <c r="M7" i="80"/>
  <c r="P7" i="80"/>
  <c r="P8" i="80"/>
  <c r="M9" i="80"/>
  <c r="P9" i="80"/>
  <c r="M10" i="80"/>
  <c r="M11" i="80"/>
  <c r="M12" i="80"/>
  <c r="M13" i="80"/>
  <c r="P13" i="80"/>
  <c r="M14" i="80"/>
  <c r="P14" i="80"/>
  <c r="M15" i="80"/>
  <c r="P15" i="80"/>
  <c r="P18" i="80"/>
  <c r="M19" i="80"/>
  <c r="P19" i="80"/>
  <c r="M20" i="80"/>
  <c r="P20" i="80"/>
  <c r="P21" i="80"/>
  <c r="M23" i="80"/>
  <c r="P23" i="80"/>
  <c r="P24" i="80"/>
  <c r="M25" i="80"/>
  <c r="P25" i="80"/>
  <c r="M26" i="80"/>
  <c r="P26" i="80"/>
  <c r="M28" i="80"/>
  <c r="P28" i="80"/>
  <c r="M29" i="80"/>
  <c r="M30" i="80"/>
  <c r="M31" i="80"/>
  <c r="M32" i="80"/>
  <c r="P32" i="80"/>
  <c r="M33" i="80"/>
  <c r="M34" i="80"/>
  <c r="P34" i="80"/>
  <c r="M35" i="80"/>
  <c r="P35" i="80"/>
  <c r="M36" i="80"/>
  <c r="P36" i="80"/>
  <c r="M37" i="80"/>
  <c r="P37" i="80"/>
  <c r="M38" i="80"/>
  <c r="P38" i="80"/>
  <c r="M39" i="80"/>
  <c r="P39" i="80"/>
  <c r="P40" i="80"/>
  <c r="M41" i="80"/>
  <c r="P41" i="80"/>
  <c r="M42" i="80"/>
  <c r="P42" i="80"/>
  <c r="M43" i="80"/>
  <c r="P43" i="80"/>
  <c r="M44" i="80"/>
  <c r="P44" i="80"/>
  <c r="M45" i="80"/>
  <c r="P45" i="80"/>
  <c r="M46" i="80"/>
  <c r="P46" i="80"/>
  <c r="M47" i="80"/>
  <c r="P47" i="80"/>
  <c r="M48" i="80"/>
  <c r="P48" i="80"/>
  <c r="M49" i="80"/>
  <c r="P49" i="80"/>
  <c r="M50" i="80"/>
  <c r="P50" i="80"/>
  <c r="M51" i="80"/>
  <c r="P51" i="80"/>
  <c r="M52" i="80"/>
  <c r="P52" i="80"/>
  <c r="M53" i="80"/>
  <c r="P53" i="80"/>
  <c r="M54" i="80"/>
  <c r="P54" i="80"/>
  <c r="M55" i="80"/>
  <c r="P55" i="80"/>
  <c r="M56" i="80"/>
  <c r="P56" i="80"/>
  <c r="M57" i="80"/>
  <c r="P57" i="80"/>
  <c r="M58" i="80"/>
  <c r="P58" i="80"/>
  <c r="M59" i="80"/>
  <c r="P59" i="80"/>
  <c r="M60" i="80"/>
  <c r="P60" i="80"/>
  <c r="M61" i="80"/>
  <c r="P61" i="80"/>
  <c r="M62" i="80"/>
  <c r="P62" i="80"/>
  <c r="M63" i="80"/>
  <c r="P63" i="80"/>
  <c r="M64" i="80"/>
  <c r="P64" i="80"/>
  <c r="M65" i="80"/>
  <c r="P65" i="80"/>
  <c r="M66" i="80"/>
  <c r="P66" i="80"/>
  <c r="M67" i="80"/>
  <c r="P67" i="80"/>
  <c r="M68" i="80"/>
  <c r="P68" i="80"/>
  <c r="M69" i="80"/>
  <c r="P69" i="80"/>
  <c r="M70" i="80"/>
  <c r="P70" i="80"/>
  <c r="M71" i="80"/>
  <c r="P71" i="80"/>
  <c r="M72" i="80"/>
  <c r="P72" i="80"/>
  <c r="M73" i="80"/>
  <c r="P73" i="80"/>
  <c r="M74" i="80"/>
  <c r="P74" i="80"/>
  <c r="M75" i="80"/>
  <c r="P75" i="80"/>
  <c r="M76" i="80"/>
  <c r="P76" i="80"/>
  <c r="M77" i="80"/>
  <c r="P77" i="80"/>
  <c r="M78" i="80"/>
  <c r="P78" i="80"/>
  <c r="M79" i="80"/>
  <c r="P79" i="80"/>
  <c r="M80" i="80"/>
  <c r="P80" i="80"/>
  <c r="M81" i="80"/>
  <c r="M82" i="80"/>
  <c r="P82" i="80"/>
  <c r="M83" i="80"/>
  <c r="P83" i="80"/>
  <c r="M84" i="80"/>
  <c r="P84" i="80"/>
  <c r="M85" i="80"/>
  <c r="P85" i="80"/>
  <c r="M86" i="80"/>
  <c r="P86" i="80"/>
  <c r="M87" i="80"/>
  <c r="P87" i="80"/>
  <c r="M88" i="80"/>
  <c r="P88" i="80"/>
  <c r="M89" i="80"/>
  <c r="P89" i="80"/>
  <c r="M90" i="80"/>
  <c r="P90" i="80"/>
  <c r="M91" i="80"/>
  <c r="P91" i="80"/>
  <c r="M92" i="80"/>
  <c r="P92" i="80"/>
  <c r="M93" i="80"/>
  <c r="M94" i="80"/>
  <c r="P94" i="80"/>
  <c r="M95" i="80"/>
  <c r="P95" i="80"/>
  <c r="M96" i="80"/>
  <c r="P96" i="80"/>
  <c r="M97" i="80"/>
  <c r="P97" i="80"/>
  <c r="M98" i="80"/>
  <c r="P98" i="80"/>
  <c r="M99" i="80"/>
  <c r="P99" i="80"/>
  <c r="M100" i="80"/>
  <c r="P100" i="80"/>
  <c r="P101" i="80"/>
  <c r="M102" i="80"/>
  <c r="P102" i="80"/>
  <c r="M103" i="80"/>
  <c r="P103" i="80"/>
  <c r="M104" i="80"/>
  <c r="P104" i="80"/>
  <c r="M105" i="80"/>
  <c r="P105" i="80"/>
  <c r="M106" i="80"/>
  <c r="P106" i="80"/>
  <c r="M107" i="80"/>
  <c r="P107" i="80"/>
  <c r="M108" i="80"/>
  <c r="P108" i="80"/>
  <c r="M109" i="80"/>
  <c r="P109" i="80"/>
  <c r="M110" i="80"/>
  <c r="P110" i="80"/>
  <c r="M111" i="80"/>
  <c r="P111" i="80"/>
  <c r="M112" i="80"/>
  <c r="P112" i="80"/>
  <c r="M113" i="80"/>
  <c r="P113" i="80"/>
  <c r="M114" i="80"/>
  <c r="P114" i="80"/>
  <c r="M115" i="80"/>
  <c r="P115" i="80"/>
  <c r="M116" i="80"/>
  <c r="P116" i="80"/>
  <c r="M117" i="80"/>
  <c r="P117" i="80"/>
  <c r="M118" i="80"/>
  <c r="P118" i="80"/>
  <c r="M119" i="80"/>
  <c r="P119" i="80"/>
  <c r="M120" i="80"/>
  <c r="P120" i="80"/>
  <c r="M121" i="80"/>
  <c r="P121" i="80"/>
  <c r="M122" i="80"/>
  <c r="P122" i="80"/>
  <c r="M123" i="80"/>
  <c r="P123" i="80"/>
  <c r="M124" i="80"/>
  <c r="P124" i="80"/>
  <c r="M125" i="80"/>
  <c r="P125" i="80"/>
  <c r="M126" i="80"/>
  <c r="P126" i="80"/>
  <c r="M127" i="80"/>
  <c r="M128" i="80"/>
  <c r="P128" i="80"/>
  <c r="M129" i="80"/>
  <c r="P129" i="80"/>
  <c r="M130" i="80"/>
  <c r="P130" i="80"/>
  <c r="M131" i="80"/>
  <c r="P131" i="80"/>
  <c r="M132" i="80"/>
  <c r="P132" i="80"/>
  <c r="M133" i="80"/>
  <c r="P133" i="80"/>
  <c r="M134" i="80"/>
  <c r="P134" i="80"/>
  <c r="M135" i="80"/>
  <c r="M136" i="80"/>
  <c r="P136" i="80"/>
  <c r="M137" i="80"/>
  <c r="P137" i="80"/>
  <c r="M138" i="80"/>
  <c r="P138" i="80"/>
  <c r="M139" i="80"/>
  <c r="P139" i="80"/>
  <c r="M140" i="80"/>
  <c r="P140" i="80"/>
  <c r="M141" i="80"/>
  <c r="P141" i="80"/>
  <c r="M142" i="80"/>
  <c r="P142" i="80"/>
  <c r="M143" i="80"/>
  <c r="P143" i="80"/>
  <c r="M144" i="80"/>
  <c r="P144" i="80"/>
  <c r="M145" i="80"/>
  <c r="P145" i="80"/>
  <c r="M146" i="80"/>
  <c r="P146" i="80"/>
  <c r="M147" i="80"/>
  <c r="P147" i="80"/>
  <c r="M148" i="80"/>
  <c r="P148" i="80"/>
  <c r="M149" i="80"/>
  <c r="P149" i="80"/>
  <c r="M150" i="80"/>
  <c r="P150" i="80"/>
  <c r="M151" i="80"/>
  <c r="P151" i="80"/>
  <c r="M152" i="80"/>
  <c r="P152" i="80"/>
  <c r="M153" i="80"/>
  <c r="P153" i="80"/>
  <c r="M154" i="80"/>
  <c r="P154" i="80"/>
  <c r="M155" i="80"/>
  <c r="P155" i="80"/>
  <c r="M156" i="80"/>
  <c r="P156" i="80"/>
  <c r="M157" i="80"/>
  <c r="P157" i="80"/>
  <c r="M158" i="80"/>
  <c r="P158" i="80"/>
  <c r="M159" i="80"/>
  <c r="P159" i="80"/>
  <c r="M160" i="80"/>
  <c r="P160" i="80"/>
  <c r="M161" i="80"/>
  <c r="M162" i="80"/>
  <c r="P162" i="80"/>
  <c r="M163" i="80"/>
  <c r="P163" i="80"/>
  <c r="M164" i="80"/>
  <c r="P164" i="80"/>
  <c r="M165" i="80"/>
  <c r="P165" i="80"/>
  <c r="M166" i="80"/>
  <c r="M167" i="80"/>
  <c r="P167" i="80"/>
  <c r="M168" i="80"/>
  <c r="P168" i="80"/>
  <c r="M169" i="80"/>
  <c r="P169" i="80"/>
  <c r="M170" i="80"/>
  <c r="P170" i="80"/>
  <c r="M171" i="80"/>
  <c r="P171" i="80"/>
  <c r="M172" i="80"/>
  <c r="P172" i="80"/>
  <c r="M173" i="80"/>
  <c r="M174" i="80"/>
  <c r="M175" i="80"/>
  <c r="P175" i="80"/>
  <c r="M176" i="80"/>
  <c r="M177" i="80"/>
  <c r="P177" i="80"/>
  <c r="M178" i="80"/>
  <c r="P178" i="80"/>
  <c r="M179" i="80"/>
  <c r="P179" i="80"/>
  <c r="M180" i="80"/>
  <c r="P180" i="80"/>
  <c r="M181" i="80"/>
  <c r="P181" i="80"/>
  <c r="M182" i="80"/>
  <c r="P182" i="80"/>
  <c r="M183" i="80"/>
  <c r="P183" i="80"/>
  <c r="M184" i="80"/>
  <c r="P184" i="80"/>
  <c r="M185" i="80"/>
  <c r="P185" i="80"/>
  <c r="M186" i="80"/>
  <c r="P186" i="80"/>
  <c r="M187" i="80"/>
  <c r="P187" i="80"/>
  <c r="M188" i="80"/>
  <c r="P188" i="80"/>
  <c r="M189" i="80"/>
  <c r="P189" i="80"/>
  <c r="M190" i="80"/>
  <c r="P190" i="80"/>
  <c r="M191" i="80"/>
  <c r="P191" i="80"/>
  <c r="M192" i="80"/>
  <c r="P192" i="80"/>
  <c r="M193" i="80"/>
  <c r="M194" i="80"/>
  <c r="P194" i="80"/>
  <c r="M195" i="80"/>
  <c r="P195" i="80"/>
  <c r="M196" i="80"/>
  <c r="P196" i="80"/>
  <c r="M197" i="80"/>
  <c r="P197" i="80"/>
  <c r="M198" i="80"/>
  <c r="P198" i="80"/>
  <c r="M199" i="80"/>
  <c r="P199" i="80"/>
  <c r="M200" i="80"/>
  <c r="P200" i="80"/>
  <c r="M201" i="80"/>
  <c r="P201" i="80"/>
  <c r="M202" i="80"/>
  <c r="P202" i="80"/>
  <c r="M203" i="80"/>
  <c r="P203" i="80"/>
  <c r="M204" i="80"/>
  <c r="P204" i="80"/>
  <c r="M205" i="80"/>
  <c r="P205" i="80"/>
  <c r="M206" i="80"/>
  <c r="P206" i="80"/>
  <c r="M207" i="80"/>
  <c r="P207" i="80"/>
  <c r="P208" i="80"/>
  <c r="M209" i="80"/>
  <c r="P209" i="80"/>
  <c r="M210" i="80"/>
  <c r="P210" i="80"/>
  <c r="M211" i="80"/>
  <c r="P211" i="80"/>
  <c r="M212" i="80"/>
  <c r="P212" i="80"/>
  <c r="M213" i="80"/>
  <c r="P213" i="80"/>
  <c r="M214" i="80"/>
  <c r="P214" i="80"/>
  <c r="M215" i="80"/>
  <c r="P215" i="80"/>
  <c r="M216" i="80"/>
  <c r="P216" i="80"/>
  <c r="M217" i="80"/>
  <c r="P217" i="80"/>
  <c r="M218" i="80"/>
  <c r="P218" i="80"/>
  <c r="M219" i="80"/>
  <c r="P219" i="80"/>
  <c r="M220" i="80"/>
  <c r="P220" i="80"/>
  <c r="M221" i="80"/>
  <c r="P221" i="80"/>
  <c r="M222" i="80"/>
  <c r="P222" i="80"/>
  <c r="M223" i="80"/>
  <c r="P223" i="80"/>
  <c r="M224" i="80"/>
  <c r="M225" i="80"/>
  <c r="P225" i="80"/>
  <c r="M226" i="80"/>
  <c r="P226" i="80"/>
  <c r="M227" i="80"/>
  <c r="M228" i="80"/>
  <c r="P228" i="80"/>
  <c r="M229" i="80"/>
  <c r="P229" i="80"/>
  <c r="M230" i="80"/>
  <c r="P230" i="80"/>
  <c r="M231" i="80"/>
  <c r="P231" i="80"/>
  <c r="M232" i="80"/>
  <c r="P232" i="80"/>
  <c r="M233" i="80"/>
  <c r="P233" i="80"/>
  <c r="P234" i="80"/>
  <c r="M235" i="80"/>
  <c r="P235" i="80"/>
  <c r="M236" i="80"/>
  <c r="P236" i="80"/>
  <c r="M237" i="80"/>
  <c r="P237" i="80"/>
  <c r="M238" i="80"/>
  <c r="P238" i="80"/>
  <c r="M239" i="80"/>
  <c r="P239" i="80"/>
  <c r="M240" i="80"/>
  <c r="P240" i="80"/>
  <c r="M241" i="80"/>
  <c r="P241" i="80"/>
  <c r="M242" i="80"/>
  <c r="P242" i="80"/>
  <c r="M243" i="80"/>
  <c r="P243" i="80"/>
  <c r="M244" i="80"/>
  <c r="P244" i="80"/>
  <c r="M245" i="80"/>
  <c r="P245" i="80"/>
  <c r="M246" i="80"/>
  <c r="P246" i="80"/>
  <c r="M247" i="80"/>
  <c r="P248" i="80"/>
  <c r="P249" i="80"/>
  <c r="M250" i="80"/>
  <c r="P250" i="80"/>
  <c r="M251" i="80"/>
  <c r="M252" i="80"/>
  <c r="P252" i="80"/>
  <c r="M253" i="80"/>
  <c r="M254" i="80"/>
  <c r="P254" i="80"/>
  <c r="M255" i="80"/>
  <c r="P255" i="80"/>
  <c r="M256" i="80"/>
  <c r="P256" i="80"/>
  <c r="M257" i="80"/>
  <c r="P257" i="80"/>
  <c r="M258" i="80"/>
  <c r="P258" i="80"/>
  <c r="M259" i="80"/>
  <c r="P259" i="80"/>
  <c r="M260" i="80"/>
  <c r="P260" i="80"/>
  <c r="M261" i="80"/>
  <c r="P261" i="80"/>
  <c r="M262" i="80"/>
  <c r="P262" i="80"/>
  <c r="M263" i="80"/>
  <c r="P263" i="80"/>
  <c r="M264" i="80"/>
  <c r="P264" i="80"/>
  <c r="M265" i="80"/>
  <c r="P265" i="80"/>
  <c r="M266" i="80"/>
  <c r="P266" i="80"/>
  <c r="M267" i="80"/>
  <c r="P267" i="80"/>
  <c r="M268" i="80"/>
  <c r="P268" i="80"/>
  <c r="M269" i="80"/>
  <c r="P269" i="80"/>
  <c r="M270" i="80"/>
  <c r="P270" i="80"/>
  <c r="M271" i="80"/>
  <c r="P271" i="80"/>
  <c r="M272" i="80"/>
  <c r="P272" i="80"/>
  <c r="M273" i="80"/>
  <c r="P273" i="80"/>
  <c r="M274" i="80"/>
  <c r="P274" i="80"/>
  <c r="M275" i="80"/>
  <c r="P275" i="80"/>
  <c r="M276" i="80"/>
  <c r="P276" i="80"/>
  <c r="M277" i="80"/>
  <c r="P277" i="80"/>
  <c r="M278" i="80"/>
  <c r="P278" i="80"/>
  <c r="M279" i="80"/>
  <c r="P279" i="80"/>
  <c r="M280" i="80"/>
  <c r="P280" i="80"/>
  <c r="M281" i="80"/>
  <c r="P281" i="80"/>
  <c r="M282" i="80"/>
  <c r="P282" i="80"/>
  <c r="M283" i="80"/>
  <c r="P283" i="80"/>
  <c r="M284" i="80"/>
  <c r="P284" i="80"/>
  <c r="M285" i="80"/>
  <c r="P285" i="80"/>
  <c r="M286" i="80"/>
  <c r="P286" i="80"/>
  <c r="M287" i="80"/>
  <c r="P287" i="80"/>
  <c r="M288" i="80"/>
  <c r="P288" i="80"/>
  <c r="M289" i="80"/>
  <c r="P289" i="80"/>
  <c r="M290" i="80"/>
  <c r="P290" i="80"/>
  <c r="M291" i="80"/>
  <c r="P291" i="80"/>
  <c r="M292" i="80"/>
  <c r="P292" i="80"/>
  <c r="M293" i="80"/>
  <c r="P293" i="80"/>
  <c r="M294" i="80"/>
  <c r="P294" i="80"/>
  <c r="M295" i="80"/>
  <c r="P295" i="80"/>
  <c r="M296" i="80"/>
  <c r="P296" i="80"/>
  <c r="M297" i="80"/>
  <c r="P297" i="80"/>
  <c r="M298" i="80"/>
  <c r="P298" i="80"/>
  <c r="M299" i="80"/>
  <c r="P299" i="80"/>
  <c r="M300" i="80"/>
  <c r="P300" i="80"/>
  <c r="M301" i="80"/>
  <c r="P301" i="80"/>
  <c r="M302" i="80"/>
  <c r="P302" i="80"/>
  <c r="M303" i="80"/>
  <c r="P303" i="80"/>
  <c r="M304" i="80"/>
  <c r="P304" i="80"/>
  <c r="M305" i="80"/>
  <c r="P305" i="80"/>
  <c r="M306" i="80"/>
  <c r="M307" i="80"/>
  <c r="P307" i="80"/>
  <c r="M308" i="80"/>
  <c r="P308" i="80"/>
  <c r="M309" i="80"/>
  <c r="P309" i="80"/>
  <c r="M310" i="80"/>
  <c r="P310" i="80"/>
  <c r="P311" i="80"/>
  <c r="M312" i="80"/>
  <c r="P312" i="80"/>
  <c r="M313" i="80"/>
  <c r="P313" i="80"/>
  <c r="M314" i="80"/>
  <c r="P314" i="80"/>
  <c r="M315" i="80"/>
  <c r="P315" i="80"/>
  <c r="M316" i="80"/>
  <c r="P316" i="80"/>
  <c r="M317" i="80"/>
  <c r="P317" i="80"/>
  <c r="M318" i="80"/>
  <c r="P318" i="80"/>
  <c r="M319" i="80"/>
  <c r="P319" i="80"/>
  <c r="M320" i="80"/>
  <c r="P320" i="80"/>
  <c r="M321" i="80"/>
  <c r="P321" i="80"/>
  <c r="M322" i="80"/>
  <c r="P322" i="80"/>
  <c r="M323" i="80"/>
  <c r="P323" i="80"/>
  <c r="M324" i="80"/>
  <c r="P324" i="80"/>
  <c r="M325" i="80"/>
  <c r="P325" i="80"/>
  <c r="M326" i="80"/>
  <c r="P326" i="80"/>
  <c r="M327" i="80"/>
  <c r="P327" i="80"/>
  <c r="M328" i="80"/>
  <c r="P328" i="80"/>
  <c r="M329" i="80"/>
  <c r="P329" i="80"/>
  <c r="M330" i="80"/>
  <c r="P330" i="80"/>
  <c r="M331" i="80"/>
  <c r="P331" i="80"/>
  <c r="M332" i="80"/>
  <c r="P332" i="80"/>
  <c r="M333" i="80"/>
  <c r="P333" i="80"/>
  <c r="M334" i="80"/>
  <c r="P334" i="80"/>
  <c r="M335" i="80"/>
  <c r="P335" i="80"/>
  <c r="M336" i="80"/>
  <c r="P336" i="80"/>
  <c r="M337" i="80"/>
  <c r="P337" i="80"/>
  <c r="P338" i="80"/>
  <c r="M339" i="80"/>
  <c r="P339" i="80"/>
  <c r="M340" i="80"/>
  <c r="P340" i="80"/>
  <c r="M341" i="80"/>
  <c r="P341" i="80"/>
  <c r="M342" i="80"/>
  <c r="P342" i="80"/>
  <c r="M343" i="80"/>
  <c r="P343" i="80"/>
  <c r="M344" i="80"/>
  <c r="P344" i="80"/>
  <c r="M345" i="80"/>
  <c r="P345" i="80"/>
  <c r="M346" i="80"/>
  <c r="P346" i="80"/>
  <c r="M347" i="80"/>
  <c r="P347" i="80"/>
  <c r="M348" i="80"/>
  <c r="P348" i="80"/>
  <c r="M349" i="80"/>
  <c r="P349" i="80"/>
  <c r="M350" i="80"/>
  <c r="P350" i="80"/>
  <c r="M351" i="80"/>
  <c r="M352" i="80"/>
  <c r="P352" i="80"/>
  <c r="M353" i="80"/>
  <c r="M354" i="80"/>
  <c r="M355" i="80"/>
  <c r="P355" i="80"/>
  <c r="M356" i="80"/>
  <c r="P356" i="80"/>
  <c r="M357" i="80"/>
  <c r="P357" i="80"/>
  <c r="M358" i="80"/>
  <c r="P358" i="80"/>
  <c r="M359" i="80"/>
  <c r="M360" i="80"/>
  <c r="P360" i="80"/>
  <c r="M361" i="80"/>
  <c r="P361" i="80"/>
  <c r="M362" i="80"/>
  <c r="M363" i="80"/>
  <c r="P363" i="80"/>
  <c r="M364" i="80"/>
  <c r="P364" i="80"/>
  <c r="M365" i="80"/>
  <c r="P365" i="80"/>
  <c r="M366" i="80"/>
  <c r="P367" i="80"/>
  <c r="M368" i="80"/>
  <c r="P368" i="80"/>
  <c r="P369" i="80"/>
  <c r="M370" i="80"/>
  <c r="P370" i="80"/>
  <c r="M371" i="80"/>
  <c r="P371" i="80"/>
  <c r="M372" i="80"/>
  <c r="P372" i="80"/>
  <c r="M373" i="80"/>
  <c r="P373" i="80"/>
  <c r="M374" i="80"/>
  <c r="P374" i="80"/>
  <c r="M375" i="80"/>
  <c r="M376" i="80"/>
  <c r="P377" i="80"/>
  <c r="M378" i="80"/>
  <c r="P378" i="80"/>
  <c r="M379" i="80"/>
  <c r="P379" i="80"/>
  <c r="M380" i="80"/>
  <c r="M381" i="80"/>
  <c r="P381" i="80"/>
  <c r="M382" i="80"/>
  <c r="P382" i="80"/>
  <c r="M383" i="80"/>
  <c r="P383" i="80"/>
  <c r="M384" i="80"/>
  <c r="P384" i="80"/>
  <c r="M385" i="80"/>
  <c r="P385" i="80"/>
  <c r="M386" i="80"/>
  <c r="P386" i="80"/>
  <c r="M387" i="80"/>
  <c r="P387" i="80"/>
  <c r="M388" i="80"/>
  <c r="M389" i="80"/>
  <c r="P389" i="80"/>
  <c r="M390" i="80"/>
  <c r="P390" i="80"/>
  <c r="M391" i="80"/>
  <c r="M392" i="80"/>
  <c r="M393" i="80"/>
  <c r="P393" i="80"/>
  <c r="M394" i="80"/>
  <c r="P394" i="80"/>
  <c r="M395" i="80"/>
  <c r="P395" i="80"/>
  <c r="M396" i="80"/>
  <c r="P396" i="80"/>
  <c r="M397" i="80"/>
  <c r="P397" i="80"/>
  <c r="M398" i="80"/>
  <c r="M399" i="80"/>
  <c r="P399" i="80"/>
  <c r="M400" i="80"/>
  <c r="P400" i="80"/>
  <c r="M401" i="80"/>
  <c r="P401" i="80"/>
  <c r="M402" i="80"/>
  <c r="P402" i="80"/>
  <c r="M403" i="80"/>
  <c r="P403" i="80"/>
  <c r="M404" i="80"/>
  <c r="P404" i="80"/>
  <c r="M405" i="80"/>
  <c r="P405" i="80"/>
  <c r="M406" i="80"/>
  <c r="P406" i="80"/>
  <c r="M407" i="80"/>
  <c r="P407" i="80"/>
  <c r="M408" i="80"/>
  <c r="P408" i="80"/>
  <c r="M409" i="80"/>
  <c r="P409" i="80"/>
  <c r="M410" i="80"/>
  <c r="P410" i="80"/>
  <c r="M411" i="80"/>
  <c r="M412" i="80"/>
  <c r="P412" i="80"/>
  <c r="M413" i="80"/>
  <c r="P413" i="80"/>
  <c r="M414" i="80"/>
  <c r="P414" i="80"/>
  <c r="M415" i="80"/>
  <c r="P415" i="80"/>
  <c r="M416" i="80"/>
  <c r="P416" i="80"/>
  <c r="M417" i="80"/>
  <c r="P417" i="80"/>
  <c r="M418" i="80"/>
  <c r="P418" i="80"/>
  <c r="M419" i="80"/>
  <c r="M420" i="80"/>
  <c r="P420" i="80"/>
  <c r="M421" i="80"/>
  <c r="P421" i="80"/>
  <c r="M422" i="80"/>
  <c r="P422" i="80"/>
  <c r="M423" i="80"/>
  <c r="P423" i="80"/>
  <c r="M424" i="80"/>
  <c r="P424" i="80"/>
  <c r="M425" i="80"/>
  <c r="P425" i="80"/>
  <c r="M426" i="80"/>
  <c r="P426" i="80"/>
  <c r="M427" i="80"/>
  <c r="M428" i="80"/>
  <c r="P428" i="80"/>
  <c r="M429" i="80"/>
  <c r="P429" i="80"/>
  <c r="AI39" i="130" l="1"/>
  <c r="AE39" i="130"/>
  <c r="L36" i="106"/>
  <c r="L28" i="106"/>
  <c r="AD12" i="140"/>
  <c r="AG12" i="140"/>
  <c r="W63" i="129"/>
  <c r="AD83" i="132"/>
  <c r="AE83" i="132" s="1"/>
  <c r="M50" i="87"/>
  <c r="P129" i="90"/>
  <c r="W49" i="93"/>
  <c r="H7" i="118"/>
  <c r="H23" i="118" s="1"/>
  <c r="F23" i="118"/>
  <c r="AD60" i="129"/>
  <c r="AE60" i="129" s="1"/>
  <c r="O31" i="129"/>
  <c r="P31" i="129" s="1"/>
  <c r="K216" i="131"/>
  <c r="Z263" i="132"/>
  <c r="L92" i="104"/>
  <c r="L93" i="92"/>
  <c r="D23" i="118"/>
  <c r="D7" i="114"/>
  <c r="D23" i="114" s="1"/>
  <c r="AI13" i="129"/>
  <c r="AD13" i="129"/>
  <c r="AE13" i="129" s="1"/>
  <c r="AD25" i="140"/>
  <c r="AE25" i="140" s="1"/>
  <c r="AG25" i="140"/>
  <c r="AD23" i="140"/>
  <c r="AE23" i="140" s="1"/>
  <c r="AG23" i="140"/>
  <c r="AG20" i="140"/>
  <c r="AD20" i="140"/>
  <c r="AE20" i="140" s="1"/>
  <c r="D179" i="100"/>
  <c r="L94" i="93"/>
  <c r="L48" i="96"/>
  <c r="L307" i="93"/>
  <c r="L306" i="92"/>
  <c r="W328" i="100"/>
  <c r="W340" i="92"/>
  <c r="W339" i="92" s="1"/>
  <c r="W106" i="100"/>
  <c r="W123" i="93"/>
  <c r="W122" i="92"/>
  <c r="W117" i="92" s="1"/>
  <c r="B23" i="118"/>
  <c r="B7" i="114"/>
  <c r="B23" i="114" s="1"/>
  <c r="O35" i="129"/>
  <c r="P35" i="129" s="1"/>
  <c r="O32" i="129"/>
  <c r="P32" i="129" s="1"/>
  <c r="R10" i="129"/>
  <c r="AD105" i="131"/>
  <c r="AE105" i="131" s="1"/>
  <c r="B332" i="93"/>
  <c r="B331" i="92"/>
  <c r="V307" i="104"/>
  <c r="V306" i="104" s="1"/>
  <c r="F366" i="92" s="1"/>
  <c r="O307" i="93"/>
  <c r="I23" i="117"/>
  <c r="I23" i="120"/>
  <c r="Z40" i="129"/>
  <c r="AI41" i="129"/>
  <c r="AD176" i="131"/>
  <c r="AE176" i="131" s="1"/>
  <c r="AD174" i="131"/>
  <c r="AE174" i="131" s="1"/>
  <c r="AG174" i="131" s="1"/>
  <c r="O159" i="131"/>
  <c r="P159" i="131" s="1"/>
  <c r="AD141" i="131"/>
  <c r="AD137" i="131"/>
  <c r="AE137" i="131" s="1"/>
  <c r="AG137" i="131" s="1"/>
  <c r="O134" i="131"/>
  <c r="P134" i="131" s="1"/>
  <c r="O196" i="132"/>
  <c r="AD21" i="133"/>
  <c r="AE21" i="133" s="1"/>
  <c r="O11" i="135"/>
  <c r="O35" i="135" s="1"/>
  <c r="W14" i="93"/>
  <c r="L30" i="93"/>
  <c r="L29" i="92"/>
  <c r="L28" i="93"/>
  <c r="W19" i="93"/>
  <c r="F7" i="114"/>
  <c r="AD54" i="129"/>
  <c r="AE54" i="129" s="1"/>
  <c r="AE51" i="129" s="1"/>
  <c r="E63" i="129"/>
  <c r="AI45" i="129"/>
  <c r="AI44" i="129" s="1"/>
  <c r="AD45" i="129"/>
  <c r="AE45" i="129" s="1"/>
  <c r="AD40" i="129"/>
  <c r="R26" i="129"/>
  <c r="Z27" i="129"/>
  <c r="AI27" i="129" s="1"/>
  <c r="AG19" i="129"/>
  <c r="K192" i="132"/>
  <c r="K191" i="132" s="1"/>
  <c r="AF270" i="133"/>
  <c r="AF269" i="133" s="1"/>
  <c r="AF102" i="133"/>
  <c r="M105" i="85"/>
  <c r="M129" i="90"/>
  <c r="V187" i="92"/>
  <c r="K49" i="96"/>
  <c r="D307" i="93"/>
  <c r="K307" i="93" s="1"/>
  <c r="K306" i="93" s="1"/>
  <c r="D306" i="92"/>
  <c r="K306" i="92" s="1"/>
  <c r="K305" i="92" s="1"/>
  <c r="W47" i="93"/>
  <c r="W46" i="92"/>
  <c r="V42" i="92"/>
  <c r="W341" i="93"/>
  <c r="W340" i="93" s="1"/>
  <c r="L29" i="106"/>
  <c r="W31" i="106"/>
  <c r="W29" i="106"/>
  <c r="W28" i="92" s="1"/>
  <c r="W36" i="106"/>
  <c r="I23" i="123"/>
  <c r="O53" i="129"/>
  <c r="P53" i="129" s="1"/>
  <c r="N26" i="129"/>
  <c r="AC216" i="131"/>
  <c r="O215" i="131"/>
  <c r="P215" i="131" s="1"/>
  <c r="O213" i="131"/>
  <c r="P213" i="131" s="1"/>
  <c r="AG262" i="132"/>
  <c r="O237" i="132"/>
  <c r="P237" i="132" s="1"/>
  <c r="K18" i="132"/>
  <c r="O18" i="132" s="1"/>
  <c r="H10" i="132"/>
  <c r="AB9" i="132"/>
  <c r="O281" i="133"/>
  <c r="C26" i="132"/>
  <c r="O22" i="132"/>
  <c r="P22" i="132" s="1"/>
  <c r="AG22" i="132" s="1"/>
  <c r="O214" i="133"/>
  <c r="P214" i="133" s="1"/>
  <c r="AG214" i="133" s="1"/>
  <c r="AD177" i="133"/>
  <c r="O166" i="133"/>
  <c r="P166" i="133" s="1"/>
  <c r="P71" i="89"/>
  <c r="U398" i="93"/>
  <c r="E14" i="114"/>
  <c r="I23" i="116"/>
  <c r="O60" i="129"/>
  <c r="P60" i="129" s="1"/>
  <c r="AF54" i="129"/>
  <c r="O42" i="129"/>
  <c r="O28" i="129"/>
  <c r="P28" i="129" s="1"/>
  <c r="AC19" i="129"/>
  <c r="AD26" i="130"/>
  <c r="O24" i="130"/>
  <c r="P24" i="130" s="1"/>
  <c r="AC14" i="130"/>
  <c r="AD218" i="131"/>
  <c r="AF218" i="131" s="1"/>
  <c r="AD212" i="131"/>
  <c r="AE212" i="131" s="1"/>
  <c r="O157" i="131"/>
  <c r="P157" i="131" s="1"/>
  <c r="O155" i="131"/>
  <c r="P155" i="131" s="1"/>
  <c r="O149" i="131"/>
  <c r="P149" i="131" s="1"/>
  <c r="AD117" i="131"/>
  <c r="AE117" i="131" s="1"/>
  <c r="AD100" i="131"/>
  <c r="O96" i="131"/>
  <c r="P96" i="131" s="1"/>
  <c r="O94" i="131"/>
  <c r="P94" i="131" s="1"/>
  <c r="O86" i="131"/>
  <c r="P86" i="131" s="1"/>
  <c r="AG86" i="131" s="1"/>
  <c r="O84" i="131"/>
  <c r="P84" i="131" s="1"/>
  <c r="O81" i="131"/>
  <c r="P81" i="131" s="1"/>
  <c r="AD71" i="131"/>
  <c r="AD63" i="131"/>
  <c r="O49" i="131"/>
  <c r="P49" i="131" s="1"/>
  <c r="O47" i="131"/>
  <c r="P47" i="131" s="1"/>
  <c r="O45" i="131"/>
  <c r="P45" i="131" s="1"/>
  <c r="O33" i="131"/>
  <c r="P33" i="131" s="1"/>
  <c r="AD15" i="131"/>
  <c r="AE15" i="131" s="1"/>
  <c r="O238" i="132"/>
  <c r="X220" i="132"/>
  <c r="AF195" i="132"/>
  <c r="AF113" i="132"/>
  <c r="N19" i="132"/>
  <c r="U37" i="140"/>
  <c r="M37" i="140"/>
  <c r="O232" i="132"/>
  <c r="AA129" i="132"/>
  <c r="AD56" i="132"/>
  <c r="AE56" i="132" s="1"/>
  <c r="K30" i="132"/>
  <c r="O30" i="132" s="1"/>
  <c r="AF30" i="132" s="1"/>
  <c r="O168" i="133"/>
  <c r="AD12" i="135"/>
  <c r="AE12" i="135" s="1"/>
  <c r="AG28" i="140"/>
  <c r="AD28" i="140"/>
  <c r="AE28" i="140" s="1"/>
  <c r="P430" i="80"/>
  <c r="M430" i="80"/>
  <c r="M115" i="81"/>
  <c r="P115" i="81"/>
  <c r="W32" i="92"/>
  <c r="W31" i="93"/>
  <c r="K11" i="113"/>
  <c r="K10" i="113" s="1"/>
  <c r="K56" i="113" s="1"/>
  <c r="F16" i="115"/>
  <c r="H16" i="115" s="1"/>
  <c r="AD50" i="129"/>
  <c r="AE50" i="129" s="1"/>
  <c r="L40" i="129"/>
  <c r="L63" i="129" s="1"/>
  <c r="O41" i="129"/>
  <c r="P41" i="129" s="1"/>
  <c r="O36" i="129"/>
  <c r="P36" i="129" s="1"/>
  <c r="AG33" i="129"/>
  <c r="O17" i="129"/>
  <c r="P17" i="129" s="1"/>
  <c r="C10" i="129"/>
  <c r="C9" i="129" s="1"/>
  <c r="AD11" i="129"/>
  <c r="AE11" i="129" s="1"/>
  <c r="AE10" i="129" s="1"/>
  <c r="Q51" i="130"/>
  <c r="AD22" i="130"/>
  <c r="K16" i="130"/>
  <c r="O16" i="130" s="1"/>
  <c r="P16" i="130" s="1"/>
  <c r="O218" i="131"/>
  <c r="AD198" i="131"/>
  <c r="AE198" i="131" s="1"/>
  <c r="O172" i="131"/>
  <c r="P172" i="131" s="1"/>
  <c r="AD164" i="131"/>
  <c r="AE164" i="131" s="1"/>
  <c r="AG164" i="131" s="1"/>
  <c r="O163" i="131"/>
  <c r="P163" i="131" s="1"/>
  <c r="AG163" i="131" s="1"/>
  <c r="AD158" i="131"/>
  <c r="O141" i="131"/>
  <c r="P141" i="131" s="1"/>
  <c r="AD133" i="131"/>
  <c r="AE133" i="131" s="1"/>
  <c r="AD131" i="131"/>
  <c r="AE131" i="131" s="1"/>
  <c r="AD129" i="131"/>
  <c r="AD121" i="131"/>
  <c r="AE121" i="131" s="1"/>
  <c r="AD113" i="131"/>
  <c r="AE113" i="131" s="1"/>
  <c r="AG113" i="131" s="1"/>
  <c r="O107" i="131"/>
  <c r="P107" i="131" s="1"/>
  <c r="AD98" i="131"/>
  <c r="O77" i="131"/>
  <c r="P77" i="131" s="1"/>
  <c r="O67" i="131"/>
  <c r="P67" i="131" s="1"/>
  <c r="M41" i="131"/>
  <c r="AD58" i="131"/>
  <c r="AD21" i="131"/>
  <c r="AE21" i="131" s="1"/>
  <c r="O20" i="131"/>
  <c r="P20" i="131" s="1"/>
  <c r="AD11" i="131"/>
  <c r="AE11" i="131" s="1"/>
  <c r="AG11" i="131" s="1"/>
  <c r="Z259" i="132"/>
  <c r="AD260" i="132"/>
  <c r="O211" i="132"/>
  <c r="O209" i="132"/>
  <c r="O204" i="132"/>
  <c r="AD202" i="132"/>
  <c r="AE202" i="132" s="1"/>
  <c r="AG189" i="132"/>
  <c r="O56" i="132"/>
  <c r="AF56" i="132" s="1"/>
  <c r="AA47" i="132"/>
  <c r="AA46" i="132" s="1"/>
  <c r="AD234" i="133"/>
  <c r="AD194" i="133"/>
  <c r="AE194" i="133" s="1"/>
  <c r="AD182" i="133"/>
  <c r="AE182" i="133" s="1"/>
  <c r="AG14" i="140"/>
  <c r="AD14" i="140"/>
  <c r="AE14" i="140" s="1"/>
  <c r="P280" i="100"/>
  <c r="P397" i="93" s="1"/>
  <c r="AB63" i="129"/>
  <c r="AG26" i="129"/>
  <c r="R19" i="129"/>
  <c r="AC170" i="131"/>
  <c r="P155" i="132"/>
  <c r="AF155" i="132"/>
  <c r="K129" i="132"/>
  <c r="K117" i="132"/>
  <c r="K99" i="132"/>
  <c r="K91" i="132" s="1"/>
  <c r="AG90" i="132"/>
  <c r="O59" i="132"/>
  <c r="AD255" i="133"/>
  <c r="AE255" i="133" s="1"/>
  <c r="AD253" i="133"/>
  <c r="AD136" i="133"/>
  <c r="AE136" i="133" s="1"/>
  <c r="AD120" i="133"/>
  <c r="AE120" i="133" s="1"/>
  <c r="AD42" i="133"/>
  <c r="AE42" i="133" s="1"/>
  <c r="AG42" i="133" s="1"/>
  <c r="N35" i="135"/>
  <c r="AG35" i="135"/>
  <c r="B37" i="140"/>
  <c r="AF37" i="140" s="1"/>
  <c r="AD18" i="140"/>
  <c r="AG18" i="140"/>
  <c r="M245" i="82"/>
  <c r="P245" i="82"/>
  <c r="W39" i="92"/>
  <c r="L31" i="93"/>
  <c r="V291" i="100"/>
  <c r="K42" i="92"/>
  <c r="K20" i="113"/>
  <c r="F16" i="114"/>
  <c r="I23" i="118"/>
  <c r="C23" i="119"/>
  <c r="H12" i="119"/>
  <c r="I23" i="119"/>
  <c r="I23" i="121"/>
  <c r="O57" i="129"/>
  <c r="P57" i="129" s="1"/>
  <c r="O43" i="129"/>
  <c r="P43" i="129" s="1"/>
  <c r="R33" i="129"/>
  <c r="R63" i="129" s="1"/>
  <c r="AC26" i="129"/>
  <c r="N19" i="129"/>
  <c r="AD27" i="130"/>
  <c r="AE27" i="130" s="1"/>
  <c r="O13" i="130"/>
  <c r="AF13" i="130" s="1"/>
  <c r="B51" i="130"/>
  <c r="AD219" i="131"/>
  <c r="O179" i="131"/>
  <c r="P179" i="131" s="1"/>
  <c r="O166" i="131"/>
  <c r="P166" i="131" s="1"/>
  <c r="AG166" i="131" s="1"/>
  <c r="AD142" i="131"/>
  <c r="AD140" i="131"/>
  <c r="AF140" i="131" s="1"/>
  <c r="O135" i="131"/>
  <c r="P135" i="131" s="1"/>
  <c r="AG135" i="131" s="1"/>
  <c r="O133" i="131"/>
  <c r="P133" i="131" s="1"/>
  <c r="O129" i="131"/>
  <c r="P129" i="131" s="1"/>
  <c r="AD124" i="131"/>
  <c r="O113" i="131"/>
  <c r="P113" i="131" s="1"/>
  <c r="AD110" i="131"/>
  <c r="AD108" i="131"/>
  <c r="Z104" i="131"/>
  <c r="AD103" i="131"/>
  <c r="AD97" i="131" s="1"/>
  <c r="AD78" i="131"/>
  <c r="AE78" i="131" s="1"/>
  <c r="AG78" i="131" s="1"/>
  <c r="AD62" i="131"/>
  <c r="AI41" i="131"/>
  <c r="B41" i="131"/>
  <c r="O56" i="131"/>
  <c r="P56" i="131" s="1"/>
  <c r="O52" i="131"/>
  <c r="AD251" i="132"/>
  <c r="AE251" i="132" s="1"/>
  <c r="AD249" i="132"/>
  <c r="AE249" i="132" s="1"/>
  <c r="AD247" i="132"/>
  <c r="AE247" i="132" s="1"/>
  <c r="AG242" i="132"/>
  <c r="P167" i="132"/>
  <c r="AF167" i="132"/>
  <c r="AG152" i="132"/>
  <c r="AD133" i="132"/>
  <c r="AE133" i="132" s="1"/>
  <c r="J9" i="132"/>
  <c r="AD283" i="133"/>
  <c r="AD278" i="133" s="1"/>
  <c r="AC269" i="133"/>
  <c r="O259" i="133"/>
  <c r="O255" i="133"/>
  <c r="AD209" i="133"/>
  <c r="AE209" i="133" s="1"/>
  <c r="O22" i="133"/>
  <c r="AG16" i="140"/>
  <c r="AD16" i="140"/>
  <c r="AE16" i="140" s="1"/>
  <c r="P105" i="85"/>
  <c r="K291" i="100"/>
  <c r="K42" i="111"/>
  <c r="K11" i="111"/>
  <c r="V42" i="113"/>
  <c r="M366" i="92" s="1"/>
  <c r="K40" i="129"/>
  <c r="AG40" i="129"/>
  <c r="AC33" i="129"/>
  <c r="C19" i="129"/>
  <c r="C63" i="129" s="1"/>
  <c r="L51" i="130"/>
  <c r="O27" i="130"/>
  <c r="P27" i="130" s="1"/>
  <c r="Q185" i="131"/>
  <c r="AC195" i="131"/>
  <c r="AD178" i="131"/>
  <c r="Z161" i="131"/>
  <c r="AD132" i="131"/>
  <c r="AE132" i="131" s="1"/>
  <c r="N118" i="131"/>
  <c r="M8" i="131"/>
  <c r="AD227" i="132"/>
  <c r="AE227" i="132" s="1"/>
  <c r="O217" i="132"/>
  <c r="AF166" i="132"/>
  <c r="W47" i="132"/>
  <c r="W46" i="132" s="1"/>
  <c r="K24" i="132"/>
  <c r="O24" i="132" s="1"/>
  <c r="I9" i="132"/>
  <c r="O213" i="133"/>
  <c r="O212" i="133" s="1"/>
  <c r="AD148" i="133"/>
  <c r="AE148" i="133" s="1"/>
  <c r="AC210" i="133"/>
  <c r="AC206" i="133"/>
  <c r="AD206" i="133" s="1"/>
  <c r="B190" i="133"/>
  <c r="AC203" i="133"/>
  <c r="N201" i="133"/>
  <c r="O201" i="133" s="1"/>
  <c r="AC199" i="133"/>
  <c r="AD199" i="133" s="1"/>
  <c r="AC195" i="133"/>
  <c r="AD195" i="133" s="1"/>
  <c r="AE195" i="133" s="1"/>
  <c r="O192" i="133"/>
  <c r="P192" i="133" s="1"/>
  <c r="AD189" i="133"/>
  <c r="AE189" i="133" s="1"/>
  <c r="AG189" i="133" s="1"/>
  <c r="O188" i="133"/>
  <c r="O175" i="133"/>
  <c r="AD165" i="133"/>
  <c r="AE165" i="133" s="1"/>
  <c r="AD139" i="133"/>
  <c r="AE139" i="133" s="1"/>
  <c r="O133" i="133"/>
  <c r="O131" i="133"/>
  <c r="AF131" i="133" s="1"/>
  <c r="N126" i="133"/>
  <c r="O126" i="133" s="1"/>
  <c r="P126" i="133" s="1"/>
  <c r="AC109" i="133"/>
  <c r="AC92" i="133"/>
  <c r="AD75" i="133"/>
  <c r="AE75" i="133" s="1"/>
  <c r="O61" i="133"/>
  <c r="P61" i="133" s="1"/>
  <c r="O59" i="133"/>
  <c r="AF43" i="133"/>
  <c r="O28" i="133"/>
  <c r="AF28" i="133" s="1"/>
  <c r="O21" i="133"/>
  <c r="AF21" i="133" s="1"/>
  <c r="AD15" i="133"/>
  <c r="AE15" i="133" s="1"/>
  <c r="AD33" i="135"/>
  <c r="AE33" i="135" s="1"/>
  <c r="O29" i="135"/>
  <c r="O23" i="135"/>
  <c r="AD27" i="131"/>
  <c r="O21" i="131"/>
  <c r="P21" i="131" s="1"/>
  <c r="O251" i="132"/>
  <c r="P251" i="132" s="1"/>
  <c r="AG251" i="132" s="1"/>
  <c r="O249" i="132"/>
  <c r="P249" i="132" s="1"/>
  <c r="AG249" i="132" s="1"/>
  <c r="O247" i="132"/>
  <c r="O212" i="132"/>
  <c r="K206" i="132"/>
  <c r="AD203" i="132"/>
  <c r="AE203" i="132" s="1"/>
  <c r="O200" i="132"/>
  <c r="AD189" i="132"/>
  <c r="AE189" i="132" s="1"/>
  <c r="AF175" i="132"/>
  <c r="AF137" i="132"/>
  <c r="O133" i="132"/>
  <c r="O128" i="132"/>
  <c r="O126" i="132"/>
  <c r="O108" i="132"/>
  <c r="AA105" i="132"/>
  <c r="O94" i="132"/>
  <c r="O60" i="132"/>
  <c r="AD57" i="132"/>
  <c r="AE57" i="132" s="1"/>
  <c r="AD37" i="132"/>
  <c r="AE37" i="132" s="1"/>
  <c r="AD29" i="132"/>
  <c r="AE29" i="132" s="1"/>
  <c r="K25" i="132"/>
  <c r="O25" i="132" s="1"/>
  <c r="K16" i="132"/>
  <c r="O16" i="132" s="1"/>
  <c r="K13" i="132"/>
  <c r="R9" i="132"/>
  <c r="AD264" i="133"/>
  <c r="AE264" i="133" s="1"/>
  <c r="AD262" i="133"/>
  <c r="AD261" i="133" s="1"/>
  <c r="AD258" i="133"/>
  <c r="AE258" i="133" s="1"/>
  <c r="AI250" i="133"/>
  <c r="AD222" i="133"/>
  <c r="AE222" i="133" s="1"/>
  <c r="AC204" i="133"/>
  <c r="AD204" i="133" s="1"/>
  <c r="AE204" i="133" s="1"/>
  <c r="N202" i="133"/>
  <c r="AC196" i="133"/>
  <c r="O189" i="133"/>
  <c r="AF189" i="133" s="1"/>
  <c r="O169" i="133"/>
  <c r="P169" i="133" s="1"/>
  <c r="AG169" i="133" s="1"/>
  <c r="O163" i="133"/>
  <c r="O156" i="133"/>
  <c r="O148" i="133"/>
  <c r="P148" i="133" s="1"/>
  <c r="AD144" i="133"/>
  <c r="AE144" i="133" s="1"/>
  <c r="N127" i="133"/>
  <c r="O120" i="133"/>
  <c r="AD76" i="133"/>
  <c r="AE76" i="133" s="1"/>
  <c r="O73" i="133"/>
  <c r="P73" i="133" s="1"/>
  <c r="O41" i="133"/>
  <c r="O35" i="133"/>
  <c r="O29" i="133"/>
  <c r="AD23" i="133"/>
  <c r="AE23" i="133" s="1"/>
  <c r="H47" i="132"/>
  <c r="H46" i="132" s="1"/>
  <c r="AG258" i="133"/>
  <c r="O226" i="133"/>
  <c r="AF226" i="133" s="1"/>
  <c r="AC212" i="133"/>
  <c r="AC35" i="135"/>
  <c r="O88" i="131"/>
  <c r="P88" i="131" s="1"/>
  <c r="AD86" i="131"/>
  <c r="AE86" i="131" s="1"/>
  <c r="AD79" i="131"/>
  <c r="AD77" i="131"/>
  <c r="O70" i="131"/>
  <c r="P70" i="131" s="1"/>
  <c r="O66" i="131"/>
  <c r="P66" i="131" s="1"/>
  <c r="O59" i="131"/>
  <c r="P59" i="131" s="1"/>
  <c r="O38" i="131"/>
  <c r="O37" i="131" s="1"/>
  <c r="O29" i="131"/>
  <c r="P29" i="131" s="1"/>
  <c r="AD22" i="131"/>
  <c r="AD20" i="131"/>
  <c r="Y8" i="131"/>
  <c r="AB279" i="132"/>
  <c r="S279" i="132"/>
  <c r="AG244" i="132"/>
  <c r="O233" i="132"/>
  <c r="P233" i="132" s="1"/>
  <c r="O208" i="132"/>
  <c r="L185" i="132"/>
  <c r="AD134" i="132"/>
  <c r="AE134" i="132" s="1"/>
  <c r="O131" i="132"/>
  <c r="K123" i="132"/>
  <c r="O119" i="132"/>
  <c r="O103" i="132"/>
  <c r="P103" i="132" s="1"/>
  <c r="AG103" i="132" s="1"/>
  <c r="AA92" i="132"/>
  <c r="AF88" i="132"/>
  <c r="AD58" i="132"/>
  <c r="AE58" i="132" s="1"/>
  <c r="AD24" i="132"/>
  <c r="AE24" i="132" s="1"/>
  <c r="K23" i="132"/>
  <c r="O23" i="132" s="1"/>
  <c r="AD21" i="132"/>
  <c r="AE21" i="132" s="1"/>
  <c r="B9" i="132"/>
  <c r="P277" i="133"/>
  <c r="O270" i="133"/>
  <c r="P270" i="133" s="1"/>
  <c r="O264" i="133"/>
  <c r="AD248" i="133"/>
  <c r="AE248" i="133" s="1"/>
  <c r="AG246" i="133"/>
  <c r="O234" i="133"/>
  <c r="P234" i="133" s="1"/>
  <c r="AD227" i="133"/>
  <c r="AE227" i="133" s="1"/>
  <c r="O217" i="133"/>
  <c r="AF217" i="133" s="1"/>
  <c r="AD213" i="133"/>
  <c r="AD212" i="133" s="1"/>
  <c r="AD211" i="133"/>
  <c r="AE211" i="133" s="1"/>
  <c r="N203" i="133"/>
  <c r="O203" i="133" s="1"/>
  <c r="AD133" i="133"/>
  <c r="AE133" i="133" s="1"/>
  <c r="N124" i="133"/>
  <c r="O123" i="133"/>
  <c r="P123" i="133" s="1"/>
  <c r="AC106" i="133"/>
  <c r="AD106" i="133" s="1"/>
  <c r="AE106" i="133" s="1"/>
  <c r="AC94" i="133"/>
  <c r="AD94" i="133" s="1"/>
  <c r="AD74" i="133"/>
  <c r="AE74" i="133" s="1"/>
  <c r="AD68" i="133"/>
  <c r="AE68" i="133" s="1"/>
  <c r="AG68" i="133" s="1"/>
  <c r="O36" i="133"/>
  <c r="O23" i="133"/>
  <c r="Z35" i="135"/>
  <c r="O14" i="135"/>
  <c r="P14" i="135" s="1"/>
  <c r="Y41" i="131"/>
  <c r="K23" i="131"/>
  <c r="O235" i="132"/>
  <c r="P235" i="132" s="1"/>
  <c r="AD232" i="132"/>
  <c r="AE232" i="132" s="1"/>
  <c r="AD201" i="132"/>
  <c r="AE201" i="132" s="1"/>
  <c r="K188" i="132"/>
  <c r="AF170" i="132"/>
  <c r="O134" i="132"/>
  <c r="O101" i="132"/>
  <c r="W79" i="132"/>
  <c r="L79" i="132"/>
  <c r="AD49" i="132"/>
  <c r="AE49" i="132" s="1"/>
  <c r="AD35" i="132"/>
  <c r="AE35" i="132" s="1"/>
  <c r="AD15" i="132"/>
  <c r="AE15" i="132" s="1"/>
  <c r="K14" i="132"/>
  <c r="O14" i="132" s="1"/>
  <c r="P14" i="132" s="1"/>
  <c r="O280" i="133"/>
  <c r="AC257" i="133"/>
  <c r="AD230" i="133"/>
  <c r="AE230" i="133" s="1"/>
  <c r="AG230" i="133" s="1"/>
  <c r="O229" i="133"/>
  <c r="AF229" i="133" s="1"/>
  <c r="AD223" i="133"/>
  <c r="AE223" i="133" s="1"/>
  <c r="N207" i="133"/>
  <c r="O207" i="133" s="1"/>
  <c r="O199" i="133"/>
  <c r="O183" i="133"/>
  <c r="O178" i="133"/>
  <c r="P178" i="133" s="1"/>
  <c r="O172" i="133"/>
  <c r="P172" i="133" s="1"/>
  <c r="AD168" i="133"/>
  <c r="AE168" i="133" s="1"/>
  <c r="O159" i="133"/>
  <c r="P159" i="133" s="1"/>
  <c r="O112" i="133"/>
  <c r="AF99" i="133"/>
  <c r="AC95" i="133"/>
  <c r="N93" i="133"/>
  <c r="O93" i="133" s="1"/>
  <c r="O92" i="133"/>
  <c r="O58" i="133"/>
  <c r="P58" i="133" s="1"/>
  <c r="AG58" i="133" s="1"/>
  <c r="AG43" i="133"/>
  <c r="AD24" i="133"/>
  <c r="AE24" i="133" s="1"/>
  <c r="AD22" i="133"/>
  <c r="AE22" i="133" s="1"/>
  <c r="O20" i="133"/>
  <c r="AD14" i="133"/>
  <c r="AE14" i="133" s="1"/>
  <c r="O27" i="135"/>
  <c r="O17" i="135"/>
  <c r="P17" i="135" s="1"/>
  <c r="AE18" i="140"/>
  <c r="AE12" i="140"/>
  <c r="AE10" i="140" s="1"/>
  <c r="AD10" i="140"/>
  <c r="AE32" i="140"/>
  <c r="AD33" i="140"/>
  <c r="AE33" i="140" s="1"/>
  <c r="Z31" i="140"/>
  <c r="AG31" i="140" s="1"/>
  <c r="AD26" i="140"/>
  <c r="AE26" i="140" s="1"/>
  <c r="Z24" i="140"/>
  <c r="AG24" i="140" s="1"/>
  <c r="AD19" i="140"/>
  <c r="AE19" i="140" s="1"/>
  <c r="Z17" i="140"/>
  <c r="AG17" i="140" s="1"/>
  <c r="AD36" i="140"/>
  <c r="AE36" i="140" s="1"/>
  <c r="AD29" i="140"/>
  <c r="AE29" i="140" s="1"/>
  <c r="Z10" i="140"/>
  <c r="AG21" i="140"/>
  <c r="AG13" i="140"/>
  <c r="AG10" i="140" s="1"/>
  <c r="P28" i="135"/>
  <c r="AF28" i="135"/>
  <c r="AF29" i="135"/>
  <c r="P29" i="135"/>
  <c r="P23" i="135"/>
  <c r="AF23" i="135"/>
  <c r="AF11" i="135"/>
  <c r="AF19" i="135"/>
  <c r="P19" i="135"/>
  <c r="P13" i="135"/>
  <c r="AF13" i="135"/>
  <c r="AF14" i="135"/>
  <c r="P27" i="135"/>
  <c r="AF27" i="135"/>
  <c r="AF17" i="135"/>
  <c r="AD17" i="135"/>
  <c r="AE17" i="135" s="1"/>
  <c r="K35" i="135"/>
  <c r="AF33" i="135"/>
  <c r="AF18" i="135"/>
  <c r="AF22" i="135"/>
  <c r="AF12" i="135"/>
  <c r="AE12" i="134"/>
  <c r="AI12" i="134"/>
  <c r="C15" i="134"/>
  <c r="O216" i="133"/>
  <c r="AG100" i="133"/>
  <c r="AI9" i="133"/>
  <c r="AF13" i="133"/>
  <c r="P186" i="133"/>
  <c r="O15" i="133"/>
  <c r="P15" i="133" s="1"/>
  <c r="AG15" i="133" s="1"/>
  <c r="O27" i="133"/>
  <c r="P244" i="133"/>
  <c r="AG244" i="133" s="1"/>
  <c r="AF244" i="133"/>
  <c r="AF285" i="133"/>
  <c r="AD34" i="133"/>
  <c r="O287" i="133"/>
  <c r="B277" i="133"/>
  <c r="O274" i="133"/>
  <c r="P274" i="133" s="1"/>
  <c r="O272" i="133"/>
  <c r="AD260" i="133"/>
  <c r="AE260" i="133" s="1"/>
  <c r="O256" i="133"/>
  <c r="AD254" i="133"/>
  <c r="AE254" i="133" s="1"/>
  <c r="O233" i="133"/>
  <c r="P233" i="133" s="1"/>
  <c r="AD225" i="133"/>
  <c r="AE225" i="133" s="1"/>
  <c r="AG225" i="133" s="1"/>
  <c r="O224" i="133"/>
  <c r="P224" i="133" s="1"/>
  <c r="AG224" i="133" s="1"/>
  <c r="O222" i="133"/>
  <c r="AF222" i="133" s="1"/>
  <c r="AC208" i="133"/>
  <c r="AD208" i="133" s="1"/>
  <c r="AE208" i="133" s="1"/>
  <c r="AC200" i="133"/>
  <c r="O185" i="133"/>
  <c r="AF185" i="133" s="1"/>
  <c r="AD181" i="133"/>
  <c r="AE181" i="133" s="1"/>
  <c r="O180" i="133"/>
  <c r="AD160" i="133"/>
  <c r="AE160" i="133" s="1"/>
  <c r="AD157" i="133"/>
  <c r="AE157" i="133" s="1"/>
  <c r="AD147" i="133"/>
  <c r="AF147" i="133" s="1"/>
  <c r="AD145" i="133"/>
  <c r="AE145" i="133" s="1"/>
  <c r="AG145" i="133" s="1"/>
  <c r="O142" i="133"/>
  <c r="AD138" i="133"/>
  <c r="AE138" i="133" s="1"/>
  <c r="AC123" i="133"/>
  <c r="AD123" i="133" s="1"/>
  <c r="O114" i="133"/>
  <c r="N108" i="133"/>
  <c r="O108" i="133" s="1"/>
  <c r="P108" i="133" s="1"/>
  <c r="AF101" i="133"/>
  <c r="AD98" i="133"/>
  <c r="AD66" i="133"/>
  <c r="AE66" i="133" s="1"/>
  <c r="AD64" i="133"/>
  <c r="AE64" i="133" s="1"/>
  <c r="O63" i="133"/>
  <c r="AD38" i="133"/>
  <c r="AE38" i="133" s="1"/>
  <c r="O25" i="133"/>
  <c r="P25" i="133" s="1"/>
  <c r="AD17" i="133"/>
  <c r="AE17" i="133" s="1"/>
  <c r="AH250" i="133"/>
  <c r="AH218" i="133" s="1"/>
  <c r="AD200" i="133"/>
  <c r="AE200" i="133" s="1"/>
  <c r="AD173" i="133"/>
  <c r="AE173" i="133" s="1"/>
  <c r="AG160" i="133"/>
  <c r="O143" i="133"/>
  <c r="AF143" i="133" s="1"/>
  <c r="AD112" i="133"/>
  <c r="AE112" i="133" s="1"/>
  <c r="AE98" i="133"/>
  <c r="O96" i="133"/>
  <c r="AG77" i="133"/>
  <c r="O74" i="133"/>
  <c r="AD279" i="133"/>
  <c r="O267" i="133"/>
  <c r="AD263" i="133"/>
  <c r="AE263" i="133" s="1"/>
  <c r="AG263" i="133" s="1"/>
  <c r="O254" i="133"/>
  <c r="AD247" i="133"/>
  <c r="AE247" i="133" s="1"/>
  <c r="AD217" i="133"/>
  <c r="AE217" i="133" s="1"/>
  <c r="N195" i="133"/>
  <c r="O195" i="133" s="1"/>
  <c r="P195" i="133" s="1"/>
  <c r="O194" i="133"/>
  <c r="AC179" i="133"/>
  <c r="AD167" i="133"/>
  <c r="AE167" i="133" s="1"/>
  <c r="O165" i="133"/>
  <c r="O164" i="133" s="1"/>
  <c r="AC125" i="133"/>
  <c r="O109" i="133"/>
  <c r="O97" i="133"/>
  <c r="AD92" i="133"/>
  <c r="O72" i="133"/>
  <c r="O38" i="133"/>
  <c r="AF38" i="133" s="1"/>
  <c r="O34" i="133"/>
  <c r="AD32" i="133"/>
  <c r="AE32" i="133" s="1"/>
  <c r="B9" i="133"/>
  <c r="AD169" i="133"/>
  <c r="AE169" i="133" s="1"/>
  <c r="AD131" i="133"/>
  <c r="AE131" i="133" s="1"/>
  <c r="AC265" i="133"/>
  <c r="AC252" i="133"/>
  <c r="AD240" i="133"/>
  <c r="AE240" i="133" s="1"/>
  <c r="AG240" i="133" s="1"/>
  <c r="AD236" i="133"/>
  <c r="AE236" i="133" s="1"/>
  <c r="O235" i="133"/>
  <c r="P235" i="133" s="1"/>
  <c r="N208" i="133"/>
  <c r="N200" i="133"/>
  <c r="O200" i="133" s="1"/>
  <c r="AD188" i="133"/>
  <c r="O161" i="133"/>
  <c r="AD155" i="133"/>
  <c r="AE155" i="133" s="1"/>
  <c r="O147" i="133"/>
  <c r="P147" i="133" s="1"/>
  <c r="AD127" i="133"/>
  <c r="AE127" i="133" s="1"/>
  <c r="AF103" i="133"/>
  <c r="AF67" i="133"/>
  <c r="O62" i="133"/>
  <c r="AD36" i="133"/>
  <c r="AE36" i="133" s="1"/>
  <c r="O30" i="133"/>
  <c r="O24" i="133"/>
  <c r="AF24" i="133" s="1"/>
  <c r="O17" i="133"/>
  <c r="P17" i="133" s="1"/>
  <c r="AG12" i="133"/>
  <c r="AD280" i="133"/>
  <c r="AE280" i="133" s="1"/>
  <c r="AG280" i="133" s="1"/>
  <c r="O263" i="133"/>
  <c r="P263" i="133" s="1"/>
  <c r="O260" i="133"/>
  <c r="P260" i="133" s="1"/>
  <c r="AD245" i="133"/>
  <c r="AE245" i="133" s="1"/>
  <c r="AF242" i="133"/>
  <c r="O236" i="133"/>
  <c r="O215" i="133"/>
  <c r="AF215" i="133" s="1"/>
  <c r="AD130" i="133"/>
  <c r="AE130" i="133" s="1"/>
  <c r="AC96" i="133"/>
  <c r="O32" i="133"/>
  <c r="AD18" i="133"/>
  <c r="AE18" i="133" s="1"/>
  <c r="AF286" i="133"/>
  <c r="AI277" i="133"/>
  <c r="AD203" i="133"/>
  <c r="AE203" i="133" s="1"/>
  <c r="AI190" i="133"/>
  <c r="AD193" i="133"/>
  <c r="AE193" i="133" s="1"/>
  <c r="AD180" i="133"/>
  <c r="AE180" i="133" s="1"/>
  <c r="AD149" i="133"/>
  <c r="AE149" i="133" s="1"/>
  <c r="O125" i="133"/>
  <c r="P125" i="133" s="1"/>
  <c r="O124" i="133"/>
  <c r="AD69" i="133"/>
  <c r="AE69" i="133" s="1"/>
  <c r="AD31" i="133"/>
  <c r="AE31" i="133" s="1"/>
  <c r="AF282" i="133"/>
  <c r="AD287" i="133"/>
  <c r="AE287" i="133" s="1"/>
  <c r="AD272" i="133"/>
  <c r="AE272" i="133" s="1"/>
  <c r="AD267" i="133"/>
  <c r="AE267" i="133" s="1"/>
  <c r="AC261" i="133"/>
  <c r="O231" i="133"/>
  <c r="AD224" i="133"/>
  <c r="AE224" i="133" s="1"/>
  <c r="O221" i="133"/>
  <c r="P221" i="133" s="1"/>
  <c r="AD216" i="133"/>
  <c r="AF216" i="133" s="1"/>
  <c r="N206" i="133"/>
  <c r="O206" i="133" s="1"/>
  <c r="N197" i="133"/>
  <c r="O197" i="133" s="1"/>
  <c r="AD186" i="133"/>
  <c r="AE186" i="133" s="1"/>
  <c r="AC183" i="133"/>
  <c r="AD183" i="133" s="1"/>
  <c r="AE183" i="133" s="1"/>
  <c r="O162" i="133"/>
  <c r="P162" i="133" s="1"/>
  <c r="AD156" i="133"/>
  <c r="AE156" i="133" s="1"/>
  <c r="O141" i="133"/>
  <c r="P141" i="133" s="1"/>
  <c r="AG141" i="133" s="1"/>
  <c r="O130" i="133"/>
  <c r="O128" i="133" s="1"/>
  <c r="AD119" i="133"/>
  <c r="AE119" i="133" s="1"/>
  <c r="O118" i="133"/>
  <c r="O111" i="133"/>
  <c r="AD108" i="133"/>
  <c r="AE108" i="133" s="1"/>
  <c r="O107" i="133"/>
  <c r="AC105" i="133"/>
  <c r="P102" i="133"/>
  <c r="AG102" i="133" s="1"/>
  <c r="AD95" i="133"/>
  <c r="AE95" i="133" s="1"/>
  <c r="AG95" i="133" s="1"/>
  <c r="O71" i="133"/>
  <c r="P71" i="133" s="1"/>
  <c r="AD61" i="133"/>
  <c r="AE61" i="133" s="1"/>
  <c r="AG61" i="133" s="1"/>
  <c r="AD41" i="133"/>
  <c r="AE41" i="133" s="1"/>
  <c r="AD29" i="133"/>
  <c r="AE29" i="133" s="1"/>
  <c r="H279" i="132"/>
  <c r="AA279" i="132"/>
  <c r="AG245" i="132"/>
  <c r="I191" i="132"/>
  <c r="AG149" i="132"/>
  <c r="AG168" i="132"/>
  <c r="AD141" i="132"/>
  <c r="AF138" i="132"/>
  <c r="AF163" i="132"/>
  <c r="AE137" i="132"/>
  <c r="AE135" i="132" s="1"/>
  <c r="AF149" i="132"/>
  <c r="AG137" i="132"/>
  <c r="AG154" i="132"/>
  <c r="AF164" i="132"/>
  <c r="AF161" i="132"/>
  <c r="AG167" i="132"/>
  <c r="AG156" i="132"/>
  <c r="AF156" i="132"/>
  <c r="AF151" i="132"/>
  <c r="AG146" i="132"/>
  <c r="AE143" i="132"/>
  <c r="P138" i="132"/>
  <c r="AG138" i="132" s="1"/>
  <c r="AG115" i="132"/>
  <c r="P88" i="132"/>
  <c r="AG88" i="132" s="1"/>
  <c r="AF89" i="132"/>
  <c r="AG87" i="132"/>
  <c r="AG89" i="132"/>
  <c r="AI46" i="132"/>
  <c r="AH46" i="132"/>
  <c r="AD280" i="132"/>
  <c r="AA199" i="132"/>
  <c r="AC200" i="132"/>
  <c r="AC199" i="132" s="1"/>
  <c r="AF114" i="132"/>
  <c r="P114" i="132"/>
  <c r="AE280" i="132"/>
  <c r="G279" i="132"/>
  <c r="AG173" i="132"/>
  <c r="AF140" i="132"/>
  <c r="AE140" i="132"/>
  <c r="AG140" i="132" s="1"/>
  <c r="AF85" i="132"/>
  <c r="P85" i="132"/>
  <c r="AG85" i="132" s="1"/>
  <c r="AH9" i="132"/>
  <c r="Z280" i="132"/>
  <c r="Z267" i="132"/>
  <c r="O227" i="132"/>
  <c r="AG84" i="132"/>
  <c r="AF39" i="132"/>
  <c r="P39" i="132"/>
  <c r="AF25" i="132"/>
  <c r="P25" i="132"/>
  <c r="AG25" i="132" s="1"/>
  <c r="AF16" i="132"/>
  <c r="P16" i="132"/>
  <c r="Z286" i="132"/>
  <c r="X279" i="132"/>
  <c r="AG285" i="132"/>
  <c r="W279" i="132"/>
  <c r="Y191" i="132"/>
  <c r="Q191" i="132"/>
  <c r="D191" i="132"/>
  <c r="AF116" i="132"/>
  <c r="P116" i="132"/>
  <c r="AC99" i="132"/>
  <c r="AA99" i="132"/>
  <c r="AG86" i="132"/>
  <c r="Q47" i="132"/>
  <c r="Q46" i="132" s="1"/>
  <c r="O28" i="132"/>
  <c r="AF28" i="132" s="1"/>
  <c r="Y9" i="132"/>
  <c r="Q9" i="132"/>
  <c r="AG261" i="132"/>
  <c r="AD111" i="132"/>
  <c r="AF112" i="132"/>
  <c r="AE112" i="132"/>
  <c r="AC26" i="132"/>
  <c r="AF23" i="132"/>
  <c r="C19" i="132"/>
  <c r="AF12" i="132"/>
  <c r="AI279" i="132"/>
  <c r="L279" i="132"/>
  <c r="D279" i="132"/>
  <c r="U279" i="132"/>
  <c r="J279" i="132"/>
  <c r="B279" i="132"/>
  <c r="AD259" i="132"/>
  <c r="AE260" i="132"/>
  <c r="AE259" i="132" s="1"/>
  <c r="AE224" i="132"/>
  <c r="V220" i="132"/>
  <c r="O111" i="132"/>
  <c r="K92" i="132"/>
  <c r="AG36" i="132"/>
  <c r="K286" i="132"/>
  <c r="AG284" i="132"/>
  <c r="AC279" i="132"/>
  <c r="K185" i="132"/>
  <c r="P59" i="132"/>
  <c r="N26" i="132"/>
  <c r="Q293" i="132"/>
  <c r="T279" i="132"/>
  <c r="AF270" i="132"/>
  <c r="AG243" i="132"/>
  <c r="AA230" i="132"/>
  <c r="AA220" i="132" s="1"/>
  <c r="AE226" i="132"/>
  <c r="AA117" i="132"/>
  <c r="AC118" i="132"/>
  <c r="AC117" i="132" s="1"/>
  <c r="AA79" i="132"/>
  <c r="AC80" i="132"/>
  <c r="AC79" i="132" s="1"/>
  <c r="C33" i="132"/>
  <c r="P18" i="132"/>
  <c r="V279" i="132"/>
  <c r="K271" i="132"/>
  <c r="K267" i="132"/>
  <c r="W252" i="132"/>
  <c r="M252" i="132"/>
  <c r="E252" i="132"/>
  <c r="L239" i="132"/>
  <c r="AH230" i="132"/>
  <c r="C220" i="132"/>
  <c r="AA221" i="132"/>
  <c r="I220" i="132"/>
  <c r="C214" i="132"/>
  <c r="AA206" i="132"/>
  <c r="O202" i="132"/>
  <c r="E191" i="132"/>
  <c r="AD190" i="132"/>
  <c r="AD188" i="132" s="1"/>
  <c r="AF152" i="132"/>
  <c r="AF144" i="132"/>
  <c r="AF142" i="132"/>
  <c r="AD125" i="132"/>
  <c r="AE125" i="132" s="1"/>
  <c r="AD121" i="132"/>
  <c r="AE121" i="132" s="1"/>
  <c r="O97" i="132"/>
  <c r="AF86" i="132"/>
  <c r="K37" i="132"/>
  <c r="O37" i="132" s="1"/>
  <c r="AI9" i="132"/>
  <c r="E9" i="132"/>
  <c r="T9" i="132"/>
  <c r="AG283" i="132"/>
  <c r="I279" i="132"/>
  <c r="AG274" i="132"/>
  <c r="AH252" i="132"/>
  <c r="U252" i="132"/>
  <c r="K254" i="132"/>
  <c r="K252" i="132" s="1"/>
  <c r="AD237" i="132"/>
  <c r="AD235" i="132"/>
  <c r="Z230" i="132"/>
  <c r="W220" i="132"/>
  <c r="L221" i="132"/>
  <c r="U220" i="132"/>
  <c r="O218" i="132"/>
  <c r="AF218" i="132" s="1"/>
  <c r="O216" i="132"/>
  <c r="P216" i="132" s="1"/>
  <c r="AG216" i="132" s="1"/>
  <c r="AD200" i="132"/>
  <c r="AA192" i="132"/>
  <c r="AF193" i="132"/>
  <c r="N188" i="132"/>
  <c r="AC185" i="132"/>
  <c r="AF183" i="132"/>
  <c r="AF179" i="132"/>
  <c r="AF173" i="132"/>
  <c r="AG155" i="132"/>
  <c r="AE141" i="132"/>
  <c r="AD126" i="132"/>
  <c r="AE126" i="132" s="1"/>
  <c r="P112" i="132"/>
  <c r="AC92" i="132"/>
  <c r="AF84" i="132"/>
  <c r="AD82" i="132"/>
  <c r="AE82" i="132" s="1"/>
  <c r="O55" i="132"/>
  <c r="P55" i="132" s="1"/>
  <c r="AG55" i="132" s="1"/>
  <c r="O54" i="132"/>
  <c r="O53" i="132"/>
  <c r="AF49" i="132"/>
  <c r="K41" i="132"/>
  <c r="O41" i="132" s="1"/>
  <c r="AD38" i="132"/>
  <c r="AE38" i="132" s="1"/>
  <c r="AG38" i="132" s="1"/>
  <c r="S9" i="132"/>
  <c r="AD22" i="132"/>
  <c r="AE22" i="132" s="1"/>
  <c r="M9" i="132"/>
  <c r="K17" i="132"/>
  <c r="O17" i="132" s="1"/>
  <c r="C279" i="132"/>
  <c r="AI252" i="132"/>
  <c r="L252" i="132"/>
  <c r="D252" i="132"/>
  <c r="AC252" i="132"/>
  <c r="J252" i="132"/>
  <c r="B252" i="132"/>
  <c r="AD250" i="132"/>
  <c r="AE250" i="132" s="1"/>
  <c r="AD248" i="132"/>
  <c r="AE248" i="132" s="1"/>
  <c r="AD246" i="132"/>
  <c r="AE246" i="132" s="1"/>
  <c r="AD241" i="132"/>
  <c r="AE241" i="132" s="1"/>
  <c r="Q230" i="132"/>
  <c r="H220" i="132"/>
  <c r="O226" i="132"/>
  <c r="P226" i="132" s="1"/>
  <c r="AG226" i="132" s="1"/>
  <c r="O224" i="132"/>
  <c r="AF224" i="132" s="1"/>
  <c r="F220" i="132"/>
  <c r="W191" i="132"/>
  <c r="P163" i="132"/>
  <c r="AG163" i="132" s="1"/>
  <c r="AD135" i="132"/>
  <c r="AD131" i="132"/>
  <c r="AE131" i="132" s="1"/>
  <c r="AD122" i="132"/>
  <c r="AE122" i="132" s="1"/>
  <c r="L117" i="132"/>
  <c r="AF115" i="132"/>
  <c r="AF111" i="132" s="1"/>
  <c r="AD110" i="132"/>
  <c r="AE110" i="132" s="1"/>
  <c r="AD107" i="132"/>
  <c r="AE107" i="132" s="1"/>
  <c r="AD100" i="132"/>
  <c r="AE100" i="132" s="1"/>
  <c r="AD61" i="132"/>
  <c r="AE61" i="132" s="1"/>
  <c r="AD60" i="132"/>
  <c r="AE60" i="132" s="1"/>
  <c r="AD59" i="132"/>
  <c r="AE59" i="132" s="1"/>
  <c r="L47" i="132"/>
  <c r="L46" i="132" s="1"/>
  <c r="C40" i="132"/>
  <c r="AA9" i="132"/>
  <c r="F9" i="132"/>
  <c r="AD31" i="132"/>
  <c r="AE31" i="132" s="1"/>
  <c r="K29" i="132"/>
  <c r="O29" i="132" s="1"/>
  <c r="P29" i="132" s="1"/>
  <c r="AG29" i="132" s="1"/>
  <c r="AD16" i="132"/>
  <c r="AE16" i="132" s="1"/>
  <c r="R279" i="132"/>
  <c r="AF278" i="132"/>
  <c r="K263" i="132"/>
  <c r="C252" i="132"/>
  <c r="K259" i="132"/>
  <c r="I252" i="132"/>
  <c r="G220" i="132"/>
  <c r="AH221" i="132"/>
  <c r="E220" i="132"/>
  <c r="AC214" i="132"/>
  <c r="Z206" i="132"/>
  <c r="AD204" i="132"/>
  <c r="AE204" i="132" s="1"/>
  <c r="O203" i="132"/>
  <c r="O197" i="132"/>
  <c r="AD153" i="132"/>
  <c r="AD127" i="132"/>
  <c r="AE127" i="132" s="1"/>
  <c r="AC124" i="132"/>
  <c r="O122" i="132"/>
  <c r="P122" i="132" s="1"/>
  <c r="AG122" i="132" s="1"/>
  <c r="AD119" i="132"/>
  <c r="AE119" i="132" s="1"/>
  <c r="AF90" i="132"/>
  <c r="N80" i="132"/>
  <c r="Z33" i="132"/>
  <c r="U9" i="132"/>
  <c r="AD18" i="132"/>
  <c r="AE18" i="132" s="1"/>
  <c r="D9" i="132"/>
  <c r="K280" i="132"/>
  <c r="Y279" i="132"/>
  <c r="Q279" i="132"/>
  <c r="F279" i="132"/>
  <c r="K275" i="132"/>
  <c r="AD268" i="132"/>
  <c r="T252" i="132"/>
  <c r="R252" i="132"/>
  <c r="H252" i="132"/>
  <c r="AE238" i="132"/>
  <c r="AE236" i="132"/>
  <c r="AE234" i="132"/>
  <c r="T220" i="132"/>
  <c r="R220" i="132"/>
  <c r="H191" i="132"/>
  <c r="U191" i="132"/>
  <c r="P175" i="132"/>
  <c r="AG175" i="132" s="1"/>
  <c r="AE164" i="132"/>
  <c r="AG164" i="132" s="1"/>
  <c r="AD120" i="132"/>
  <c r="AE120" i="132" s="1"/>
  <c r="P113" i="132"/>
  <c r="AG113" i="132" s="1"/>
  <c r="AD108" i="132"/>
  <c r="AE108" i="132" s="1"/>
  <c r="B47" i="132"/>
  <c r="B46" i="132" s="1"/>
  <c r="AD41" i="132"/>
  <c r="X9" i="132"/>
  <c r="K31" i="132"/>
  <c r="O31" i="132" s="1"/>
  <c r="P31" i="132" s="1"/>
  <c r="AG31" i="132" s="1"/>
  <c r="C10" i="132"/>
  <c r="C9" i="132" s="1"/>
  <c r="N279" i="132"/>
  <c r="E279" i="132"/>
  <c r="AB252" i="132"/>
  <c r="S252" i="132"/>
  <c r="Y252" i="132"/>
  <c r="Q252" i="132"/>
  <c r="G252" i="132"/>
  <c r="AA239" i="132"/>
  <c r="L230" i="132"/>
  <c r="AI220" i="132"/>
  <c r="S220" i="132"/>
  <c r="AD225" i="132"/>
  <c r="Y220" i="132"/>
  <c r="M220" i="132"/>
  <c r="AD218" i="132"/>
  <c r="AE218" i="132" s="1"/>
  <c r="N214" i="132"/>
  <c r="T191" i="132"/>
  <c r="AF181" i="132"/>
  <c r="AG176" i="132"/>
  <c r="AF158" i="132"/>
  <c r="AD132" i="132"/>
  <c r="AE132" i="132" s="1"/>
  <c r="AC130" i="132"/>
  <c r="AC129" i="132" s="1"/>
  <c r="AG116" i="132"/>
  <c r="AE111" i="132"/>
  <c r="AC105" i="132"/>
  <c r="AD101" i="132"/>
  <c r="AE101" i="132" s="1"/>
  <c r="O83" i="132"/>
  <c r="P83" i="132" s="1"/>
  <c r="O82" i="132"/>
  <c r="O80" i="132"/>
  <c r="AD54" i="132"/>
  <c r="AE54" i="132" s="1"/>
  <c r="AD52" i="132"/>
  <c r="AE52" i="132" s="1"/>
  <c r="AG39" i="132"/>
  <c r="AF32" i="132"/>
  <c r="Z26" i="132"/>
  <c r="AG282" i="132"/>
  <c r="AH279" i="132"/>
  <c r="M279" i="132"/>
  <c r="AG278" i="132"/>
  <c r="AF274" i="132"/>
  <c r="AA252" i="132"/>
  <c r="X252" i="132"/>
  <c r="N252" i="132"/>
  <c r="F252" i="132"/>
  <c r="K230" i="132"/>
  <c r="AD231" i="132"/>
  <c r="AB220" i="132"/>
  <c r="D220" i="132"/>
  <c r="AD228" i="132"/>
  <c r="AE228" i="132" s="1"/>
  <c r="O223" i="132"/>
  <c r="J220" i="132"/>
  <c r="B220" i="132"/>
  <c r="K215" i="132"/>
  <c r="O215" i="132" s="1"/>
  <c r="K199" i="132"/>
  <c r="AB191" i="132"/>
  <c r="O198" i="132"/>
  <c r="P198" i="132" s="1"/>
  <c r="G191" i="132"/>
  <c r="O187" i="132"/>
  <c r="AG184" i="132"/>
  <c r="AF182" i="132"/>
  <c r="AD177" i="132"/>
  <c r="AF178" i="132"/>
  <c r="AF176" i="132"/>
  <c r="AF168" i="132"/>
  <c r="P162" i="132"/>
  <c r="AG162" i="132" s="1"/>
  <c r="AF154" i="132"/>
  <c r="AF150" i="132"/>
  <c r="AF146" i="132"/>
  <c r="AG144" i="132"/>
  <c r="AD93" i="132"/>
  <c r="AE93" i="132" s="1"/>
  <c r="AF87" i="132"/>
  <c r="H79" i="132"/>
  <c r="O61" i="132"/>
  <c r="P61" i="132" s="1"/>
  <c r="AG61" i="132" s="1"/>
  <c r="K35" i="132"/>
  <c r="V9" i="132"/>
  <c r="Z19" i="132"/>
  <c r="AA185" i="131"/>
  <c r="L185" i="131"/>
  <c r="L151" i="131" s="1"/>
  <c r="AC203" i="131"/>
  <c r="AC146" i="131"/>
  <c r="Z146" i="131"/>
  <c r="K146" i="131"/>
  <c r="AD53" i="131"/>
  <c r="AF109" i="131"/>
  <c r="AE109" i="131"/>
  <c r="AE124" i="131"/>
  <c r="O144" i="131"/>
  <c r="P145" i="131"/>
  <c r="P144" i="131" s="1"/>
  <c r="AG176" i="131"/>
  <c r="AF93" i="131"/>
  <c r="AD213" i="131"/>
  <c r="O197" i="131"/>
  <c r="AH185" i="131"/>
  <c r="AH151" i="131" s="1"/>
  <c r="O180" i="131"/>
  <c r="P180" i="131" s="1"/>
  <c r="O173" i="131"/>
  <c r="P173" i="131" s="1"/>
  <c r="AD157" i="131"/>
  <c r="AE157" i="131" s="1"/>
  <c r="AG157" i="131" s="1"/>
  <c r="O156" i="131"/>
  <c r="P156" i="131" s="1"/>
  <c r="AG156" i="131" s="1"/>
  <c r="AD149" i="131"/>
  <c r="AF149" i="131" s="1"/>
  <c r="O143" i="131"/>
  <c r="P143" i="131" s="1"/>
  <c r="AG143" i="131" s="1"/>
  <c r="O139" i="131"/>
  <c r="P139" i="131" s="1"/>
  <c r="AG139" i="131" s="1"/>
  <c r="O131" i="131"/>
  <c r="P131" i="131" s="1"/>
  <c r="AG131" i="131" s="1"/>
  <c r="AD127" i="131"/>
  <c r="AE127" i="131" s="1"/>
  <c r="K118" i="131"/>
  <c r="AD116" i="131"/>
  <c r="AE116" i="131" s="1"/>
  <c r="AG116" i="131" s="1"/>
  <c r="AD107" i="131"/>
  <c r="O95" i="131"/>
  <c r="P95" i="131" s="1"/>
  <c r="AD81" i="131"/>
  <c r="O78" i="131"/>
  <c r="P78" i="131" s="1"/>
  <c r="AD70" i="131"/>
  <c r="AE70" i="131" s="1"/>
  <c r="AG70" i="131" s="1"/>
  <c r="O63" i="131"/>
  <c r="P63" i="131" s="1"/>
  <c r="AD46" i="131"/>
  <c r="N42" i="131"/>
  <c r="AD34" i="131"/>
  <c r="N30" i="131"/>
  <c r="AD28" i="131"/>
  <c r="AE28" i="131" s="1"/>
  <c r="O19" i="131"/>
  <c r="P19" i="131" s="1"/>
  <c r="AC9" i="131"/>
  <c r="AA8" i="131"/>
  <c r="AF172" i="131"/>
  <c r="AD94" i="131"/>
  <c r="AF94" i="131" s="1"/>
  <c r="AD66" i="131"/>
  <c r="O46" i="131"/>
  <c r="P46" i="131" s="1"/>
  <c r="O36" i="131"/>
  <c r="P36" i="131" s="1"/>
  <c r="O34" i="131"/>
  <c r="P34" i="131" s="1"/>
  <c r="O28" i="131"/>
  <c r="P28" i="131" s="1"/>
  <c r="Z23" i="131"/>
  <c r="Z9" i="131"/>
  <c r="AI185" i="131"/>
  <c r="AI151" i="131" s="1"/>
  <c r="AD189" i="131"/>
  <c r="Y185" i="131"/>
  <c r="Y151" i="131" s="1"/>
  <c r="AD184" i="131"/>
  <c r="AE184" i="131" s="1"/>
  <c r="AD181" i="131"/>
  <c r="AE181" i="131" s="1"/>
  <c r="AF179" i="131"/>
  <c r="AD165" i="131"/>
  <c r="AE165" i="131" s="1"/>
  <c r="K144" i="131"/>
  <c r="AD130" i="131"/>
  <c r="AE130" i="131" s="1"/>
  <c r="AG130" i="131" s="1"/>
  <c r="O72" i="131"/>
  <c r="P72" i="131" s="1"/>
  <c r="K60" i="131"/>
  <c r="AD56" i="131"/>
  <c r="AE56" i="131" s="1"/>
  <c r="AG56" i="131" s="1"/>
  <c r="O26" i="131"/>
  <c r="P26" i="131" s="1"/>
  <c r="AC199" i="131"/>
  <c r="AC186" i="131"/>
  <c r="AG179" i="131"/>
  <c r="AF176" i="131"/>
  <c r="AF175" i="131"/>
  <c r="AD147" i="131"/>
  <c r="AE147" i="131" s="1"/>
  <c r="AD135" i="131"/>
  <c r="AE135" i="131" s="1"/>
  <c r="O120" i="131"/>
  <c r="P120" i="131" s="1"/>
  <c r="AG120" i="131" s="1"/>
  <c r="AD114" i="131"/>
  <c r="N104" i="131"/>
  <c r="AD64" i="131"/>
  <c r="AE64" i="131" s="1"/>
  <c r="AG64" i="131" s="1"/>
  <c r="Z60" i="131"/>
  <c r="AD47" i="131"/>
  <c r="AD35" i="131"/>
  <c r="AH8" i="131"/>
  <c r="N9" i="131"/>
  <c r="O216" i="131"/>
  <c r="AC211" i="131"/>
  <c r="AC207" i="131"/>
  <c r="AC185" i="131" s="1"/>
  <c r="O192" i="131"/>
  <c r="P192" i="131" s="1"/>
  <c r="O189" i="131"/>
  <c r="P189" i="131" s="1"/>
  <c r="O184" i="131"/>
  <c r="P184" i="131" s="1"/>
  <c r="AD182" i="131"/>
  <c r="AE182" i="131" s="1"/>
  <c r="AG182" i="131" s="1"/>
  <c r="O181" i="131"/>
  <c r="P181" i="131" s="1"/>
  <c r="O178" i="131"/>
  <c r="P178" i="131" s="1"/>
  <c r="AC111" i="131"/>
  <c r="Z97" i="131"/>
  <c r="AD92" i="131"/>
  <c r="AF92" i="131" s="1"/>
  <c r="O91" i="131"/>
  <c r="P91" i="131" s="1"/>
  <c r="O87" i="131"/>
  <c r="P87" i="131" s="1"/>
  <c r="AD85" i="131"/>
  <c r="O79" i="131"/>
  <c r="P79" i="131" s="1"/>
  <c r="AD69" i="131"/>
  <c r="O64" i="131"/>
  <c r="P64" i="131" s="1"/>
  <c r="AD54" i="131"/>
  <c r="AE54" i="131" s="1"/>
  <c r="AG54" i="131" s="1"/>
  <c r="AD52" i="131"/>
  <c r="AE52" i="131" s="1"/>
  <c r="AG52" i="131" s="1"/>
  <c r="O44" i="131"/>
  <c r="P44" i="131" s="1"/>
  <c r="K37" i="131"/>
  <c r="O32" i="131"/>
  <c r="P32" i="131" s="1"/>
  <c r="AG32" i="131" s="1"/>
  <c r="AD29" i="131"/>
  <c r="AE29" i="131" s="1"/>
  <c r="AG29" i="131" s="1"/>
  <c r="O18" i="131"/>
  <c r="P18" i="131" s="1"/>
  <c r="AB8" i="131"/>
  <c r="AD13" i="131"/>
  <c r="AE13" i="131" s="1"/>
  <c r="AG13" i="131" s="1"/>
  <c r="L8" i="131"/>
  <c r="AG72" i="131"/>
  <c r="O219" i="131"/>
  <c r="P219" i="131" s="1"/>
  <c r="Z211" i="131"/>
  <c r="AD205" i="131"/>
  <c r="AE205" i="131" s="1"/>
  <c r="AG205" i="131" s="1"/>
  <c r="AE158" i="131"/>
  <c r="AE140" i="131"/>
  <c r="AG140" i="131" s="1"/>
  <c r="AD122" i="131"/>
  <c r="AC118" i="131"/>
  <c r="O114" i="131"/>
  <c r="P114" i="131" s="1"/>
  <c r="O103" i="131"/>
  <c r="P103" i="131" s="1"/>
  <c r="AE93" i="131"/>
  <c r="AG93" i="131" s="1"/>
  <c r="O92" i="131"/>
  <c r="P92" i="131" s="1"/>
  <c r="O85" i="131"/>
  <c r="P85" i="131" s="1"/>
  <c r="AC42" i="131"/>
  <c r="P38" i="131"/>
  <c r="P37" i="131" s="1"/>
  <c r="AC30" i="131"/>
  <c r="AC8" i="131" s="1"/>
  <c r="AC16" i="131"/>
  <c r="AI8" i="131"/>
  <c r="B8" i="131"/>
  <c r="AF141" i="131"/>
  <c r="Z216" i="131"/>
  <c r="N207" i="131"/>
  <c r="AD197" i="131"/>
  <c r="AF197" i="131" s="1"/>
  <c r="O196" i="131"/>
  <c r="P196" i="131" s="1"/>
  <c r="O193" i="131"/>
  <c r="B185" i="131"/>
  <c r="B151" i="131" s="1"/>
  <c r="AD177" i="131"/>
  <c r="AE177" i="131" s="1"/>
  <c r="O169" i="131"/>
  <c r="P169" i="131" s="1"/>
  <c r="AC161" i="131"/>
  <c r="AE141" i="131"/>
  <c r="AG141" i="131" s="1"/>
  <c r="O128" i="131"/>
  <c r="P128" i="131" s="1"/>
  <c r="AG128" i="131" s="1"/>
  <c r="O124" i="131"/>
  <c r="P124" i="131" s="1"/>
  <c r="Z118" i="131"/>
  <c r="N111" i="131"/>
  <c r="AC104" i="131"/>
  <c r="O105" i="131"/>
  <c r="AD99" i="131"/>
  <c r="K82" i="131"/>
  <c r="O80" i="131"/>
  <c r="P80" i="131" s="1"/>
  <c r="K74" i="131"/>
  <c r="O71" i="131"/>
  <c r="P71" i="131" s="1"/>
  <c r="AD67" i="131"/>
  <c r="AD65" i="131"/>
  <c r="O62" i="131"/>
  <c r="P62" i="131" s="1"/>
  <c r="AD50" i="131"/>
  <c r="AD48" i="131"/>
  <c r="AE48" i="131" s="1"/>
  <c r="AG48" i="131" s="1"/>
  <c r="Z42" i="131"/>
  <c r="AD36" i="131"/>
  <c r="AE36" i="131" s="1"/>
  <c r="AG36" i="131" s="1"/>
  <c r="O27" i="131"/>
  <c r="P27" i="131" s="1"/>
  <c r="O25" i="131"/>
  <c r="P25" i="131" s="1"/>
  <c r="AG25" i="131" s="1"/>
  <c r="Z16" i="131"/>
  <c r="O13" i="131"/>
  <c r="P13" i="131" s="1"/>
  <c r="O28" i="130"/>
  <c r="P29" i="130"/>
  <c r="P28" i="130" s="1"/>
  <c r="AI22" i="130"/>
  <c r="AE22" i="130"/>
  <c r="AE38" i="130"/>
  <c r="AI36" i="130"/>
  <c r="Z16" i="130"/>
  <c r="AD16" i="130" s="1"/>
  <c r="R51" i="130"/>
  <c r="Z21" i="130"/>
  <c r="AD17" i="130"/>
  <c r="AD14" i="130" s="1"/>
  <c r="N14" i="130"/>
  <c r="AI13" i="130"/>
  <c r="K28" i="130"/>
  <c r="N21" i="130"/>
  <c r="Z28" i="130"/>
  <c r="AC21" i="130"/>
  <c r="O17" i="130"/>
  <c r="P17" i="130" s="1"/>
  <c r="N10" i="130"/>
  <c r="O23" i="130"/>
  <c r="P23" i="130" s="1"/>
  <c r="O19" i="130"/>
  <c r="AF19" i="130" s="1"/>
  <c r="K10" i="130"/>
  <c r="Z14" i="130"/>
  <c r="P48" i="130"/>
  <c r="AF48" i="130"/>
  <c r="AG35" i="130"/>
  <c r="AG51" i="130" s="1"/>
  <c r="Z35" i="130"/>
  <c r="K35" i="130"/>
  <c r="AA51" i="130"/>
  <c r="C51" i="130"/>
  <c r="D51" i="130"/>
  <c r="M51" i="130"/>
  <c r="AC51" i="130"/>
  <c r="AB51" i="130"/>
  <c r="AF62" i="129"/>
  <c r="AD30" i="129"/>
  <c r="AE30" i="129" s="1"/>
  <c r="AF30" i="129" s="1"/>
  <c r="AI30" i="129"/>
  <c r="AD37" i="129"/>
  <c r="AE37" i="129" s="1"/>
  <c r="AF37" i="129" s="1"/>
  <c r="AI37" i="129"/>
  <c r="AF57" i="129"/>
  <c r="AI21" i="129"/>
  <c r="AD21" i="129"/>
  <c r="AE21" i="129" s="1"/>
  <c r="AF21" i="129" s="1"/>
  <c r="AD22" i="129"/>
  <c r="AE22" i="129" s="1"/>
  <c r="AF22" i="129" s="1"/>
  <c r="AI22" i="129"/>
  <c r="AD16" i="129"/>
  <c r="AE16" i="129" s="1"/>
  <c r="AF16" i="129" s="1"/>
  <c r="AI16" i="129"/>
  <c r="AC40" i="129"/>
  <c r="AC9" i="129" s="1"/>
  <c r="AF41" i="129"/>
  <c r="AD32" i="129"/>
  <c r="AE32" i="129" s="1"/>
  <c r="AF32" i="129" s="1"/>
  <c r="AI32" i="129"/>
  <c r="AI23" i="129"/>
  <c r="AD23" i="129"/>
  <c r="AE23" i="129" s="1"/>
  <c r="AF23" i="129" s="1"/>
  <c r="AD28" i="129"/>
  <c r="AE28" i="129" s="1"/>
  <c r="AF28" i="129" s="1"/>
  <c r="AI28" i="129"/>
  <c r="AI36" i="129"/>
  <c r="AD36" i="129"/>
  <c r="AE36" i="129" s="1"/>
  <c r="AF36" i="129" s="1"/>
  <c r="AD29" i="129"/>
  <c r="AE29" i="129" s="1"/>
  <c r="AF29" i="129" s="1"/>
  <c r="AI29" i="129"/>
  <c r="AF43" i="129"/>
  <c r="AD18" i="129"/>
  <c r="AE18" i="129" s="1"/>
  <c r="AI18" i="129"/>
  <c r="AI14" i="129"/>
  <c r="AD14" i="129"/>
  <c r="AE14" i="129" s="1"/>
  <c r="AF14" i="129" s="1"/>
  <c r="O45" i="129"/>
  <c r="AA40" i="129"/>
  <c r="AA63" i="129" s="1"/>
  <c r="AI35" i="129"/>
  <c r="AF35" i="129"/>
  <c r="O11" i="129"/>
  <c r="P11" i="129" s="1"/>
  <c r="AI60" i="129"/>
  <c r="AC47" i="129"/>
  <c r="Z44" i="129"/>
  <c r="AI42" i="129"/>
  <c r="AI40" i="129" s="1"/>
  <c r="N33" i="129"/>
  <c r="AD25" i="129"/>
  <c r="AE25" i="129" s="1"/>
  <c r="AF25" i="129" s="1"/>
  <c r="AD12" i="129"/>
  <c r="AE12" i="129" s="1"/>
  <c r="AF61" i="129"/>
  <c r="H63" i="129"/>
  <c r="AI24" i="129"/>
  <c r="O50" i="129"/>
  <c r="P50" i="129" s="1"/>
  <c r="N47" i="129"/>
  <c r="S63" i="129"/>
  <c r="K27" i="129"/>
  <c r="O27" i="129" s="1"/>
  <c r="O26" i="129" s="1"/>
  <c r="AD15" i="129"/>
  <c r="AE15" i="129" s="1"/>
  <c r="O12" i="129"/>
  <c r="P12" i="129" s="1"/>
  <c r="AI58" i="129"/>
  <c r="AI51" i="129" s="1"/>
  <c r="AD55" i="129"/>
  <c r="AE55" i="129" s="1"/>
  <c r="K47" i="129"/>
  <c r="Z34" i="129"/>
  <c r="AI34" i="129" s="1"/>
  <c r="F63" i="129"/>
  <c r="AF31" i="129"/>
  <c r="AF17" i="129"/>
  <c r="AF59" i="129"/>
  <c r="AD44" i="129"/>
  <c r="Y63" i="129"/>
  <c r="Q63" i="129"/>
  <c r="K20" i="129"/>
  <c r="O20" i="129" s="1"/>
  <c r="O19" i="129" s="1"/>
  <c r="O15" i="129"/>
  <c r="P15" i="129" s="1"/>
  <c r="K13" i="129"/>
  <c r="O13" i="129" s="1"/>
  <c r="P13" i="129" s="1"/>
  <c r="O55" i="129"/>
  <c r="P55" i="129" s="1"/>
  <c r="W9" i="129"/>
  <c r="AI39" i="129"/>
  <c r="K34" i="129"/>
  <c r="O34" i="129" s="1"/>
  <c r="Z10" i="129"/>
  <c r="AG10" i="129"/>
  <c r="AG63" i="129" s="1"/>
  <c r="AC10" i="129"/>
  <c r="N10" i="129"/>
  <c r="AH9" i="129"/>
  <c r="H9" i="129"/>
  <c r="R9" i="129"/>
  <c r="AI38" i="129"/>
  <c r="Q9" i="129"/>
  <c r="AB9" i="129"/>
  <c r="B9" i="129"/>
  <c r="Z51" i="129"/>
  <c r="N51" i="129"/>
  <c r="AC51" i="129"/>
  <c r="K51" i="129"/>
  <c r="O52" i="129"/>
  <c r="S9" i="129"/>
  <c r="D9" i="129"/>
  <c r="P49" i="129"/>
  <c r="AD47" i="129"/>
  <c r="Z47" i="129"/>
  <c r="M9" i="129"/>
  <c r="O48" i="129"/>
  <c r="P48" i="129" s="1"/>
  <c r="P47" i="129" s="1"/>
  <c r="L9" i="129"/>
  <c r="K27" i="113"/>
  <c r="J10" i="113"/>
  <c r="J56" i="113" s="1"/>
  <c r="B10" i="113"/>
  <c r="B56" i="113" s="1"/>
  <c r="V11" i="113"/>
  <c r="R10" i="113"/>
  <c r="R56" i="113" s="1"/>
  <c r="I10" i="113"/>
  <c r="I56" i="113" s="1"/>
  <c r="V20" i="113"/>
  <c r="V10" i="113" s="1"/>
  <c r="Q10" i="113"/>
  <c r="Q56" i="113" s="1"/>
  <c r="P10" i="113"/>
  <c r="P56" i="113" s="1"/>
  <c r="H10" i="113"/>
  <c r="H56" i="113" s="1"/>
  <c r="V34" i="113"/>
  <c r="V27" i="113"/>
  <c r="O10" i="113"/>
  <c r="O56" i="113" s="1"/>
  <c r="G10" i="113"/>
  <c r="G56" i="113" s="1"/>
  <c r="K34" i="113"/>
  <c r="W10" i="113"/>
  <c r="W56" i="113" s="1"/>
  <c r="N10" i="113"/>
  <c r="N56" i="113" s="1"/>
  <c r="F10" i="113"/>
  <c r="F56" i="113" s="1"/>
  <c r="U10" i="113"/>
  <c r="U56" i="113" s="1"/>
  <c r="M10" i="113"/>
  <c r="M56" i="113" s="1"/>
  <c r="E10" i="113"/>
  <c r="E56" i="113" s="1"/>
  <c r="K42" i="113"/>
  <c r="D10" i="113"/>
  <c r="D56" i="113" s="1"/>
  <c r="T10" i="113"/>
  <c r="T56" i="113" s="1"/>
  <c r="L10" i="113"/>
  <c r="L56" i="113" s="1"/>
  <c r="S10" i="113"/>
  <c r="S56" i="113" s="1"/>
  <c r="C10" i="113"/>
  <c r="C56" i="113" s="1"/>
  <c r="Q11" i="112"/>
  <c r="Q57" i="112" s="1"/>
  <c r="O11" i="112"/>
  <c r="V35" i="112"/>
  <c r="I11" i="112"/>
  <c r="I57" i="112" s="1"/>
  <c r="V12" i="112"/>
  <c r="G11" i="112"/>
  <c r="G57" i="112" s="1"/>
  <c r="K35" i="112"/>
  <c r="V28" i="112"/>
  <c r="P11" i="112"/>
  <c r="P57" i="112" s="1"/>
  <c r="V21" i="112"/>
  <c r="W11" i="112"/>
  <c r="W57" i="112" s="1"/>
  <c r="E11" i="112"/>
  <c r="E57" i="112" s="1"/>
  <c r="K28" i="112"/>
  <c r="F11" i="112"/>
  <c r="F57" i="112" s="1"/>
  <c r="U11" i="112"/>
  <c r="U57" i="112" s="1"/>
  <c r="M11" i="112"/>
  <c r="M57" i="112" s="1"/>
  <c r="D11" i="112"/>
  <c r="N11" i="112"/>
  <c r="N57" i="112" s="1"/>
  <c r="T11" i="112"/>
  <c r="T57" i="112" s="1"/>
  <c r="L11" i="112"/>
  <c r="L57" i="112" s="1"/>
  <c r="C11" i="112"/>
  <c r="C57" i="112" s="1"/>
  <c r="S11" i="112"/>
  <c r="S57" i="112" s="1"/>
  <c r="J11" i="112"/>
  <c r="J57" i="112" s="1"/>
  <c r="B11" i="112"/>
  <c r="B57" i="112" s="1"/>
  <c r="R11" i="112"/>
  <c r="R57" i="112" s="1"/>
  <c r="H11" i="112"/>
  <c r="H57" i="112" s="1"/>
  <c r="K21" i="112"/>
  <c r="K11" i="112" s="1"/>
  <c r="K57" i="112" s="1"/>
  <c r="K43" i="112"/>
  <c r="K12" i="112"/>
  <c r="K20" i="111"/>
  <c r="S10" i="111"/>
  <c r="S56" i="111" s="1"/>
  <c r="V34" i="111"/>
  <c r="U10" i="111"/>
  <c r="U56" i="111" s="1"/>
  <c r="M10" i="111"/>
  <c r="M56" i="111" s="1"/>
  <c r="T10" i="111"/>
  <c r="T56" i="111" s="1"/>
  <c r="L10" i="111"/>
  <c r="L56" i="111" s="1"/>
  <c r="D10" i="111"/>
  <c r="D56" i="111" s="1"/>
  <c r="J10" i="111"/>
  <c r="J56" i="111" s="1"/>
  <c r="B10" i="111"/>
  <c r="B56" i="111" s="1"/>
  <c r="V42" i="111"/>
  <c r="K366" i="92" s="1"/>
  <c r="R10" i="111"/>
  <c r="R56" i="111" s="1"/>
  <c r="I10" i="111"/>
  <c r="I56" i="111" s="1"/>
  <c r="C10" i="111"/>
  <c r="C56" i="111" s="1"/>
  <c r="Q10" i="111"/>
  <c r="Q56" i="111" s="1"/>
  <c r="V11" i="111"/>
  <c r="P10" i="111"/>
  <c r="P56" i="111" s="1"/>
  <c r="H10" i="111"/>
  <c r="H56" i="111" s="1"/>
  <c r="V27" i="111"/>
  <c r="V20" i="111"/>
  <c r="K34" i="111"/>
  <c r="K27" i="111"/>
  <c r="F10" i="111"/>
  <c r="F56" i="111" s="1"/>
  <c r="O10" i="111"/>
  <c r="O56" i="111" s="1"/>
  <c r="G10" i="111"/>
  <c r="G56" i="111" s="1"/>
  <c r="N10" i="111"/>
  <c r="N56" i="111" s="1"/>
  <c r="W10" i="111"/>
  <c r="W56" i="111" s="1"/>
  <c r="E10" i="111"/>
  <c r="E56" i="111" s="1"/>
  <c r="K43" i="110"/>
  <c r="K42" i="110" s="1"/>
  <c r="K11" i="110"/>
  <c r="K10" i="110" s="1"/>
  <c r="K56" i="110" s="1"/>
  <c r="Q10" i="110"/>
  <c r="Q56" i="110" s="1"/>
  <c r="K20" i="110"/>
  <c r="K34" i="110"/>
  <c r="H10" i="110"/>
  <c r="H56" i="110" s="1"/>
  <c r="V11" i="110"/>
  <c r="V27" i="110"/>
  <c r="P10" i="110"/>
  <c r="P56" i="110" s="1"/>
  <c r="G10" i="110"/>
  <c r="G56" i="110" s="1"/>
  <c r="V20" i="110"/>
  <c r="K27" i="110"/>
  <c r="O10" i="110"/>
  <c r="N10" i="110"/>
  <c r="N56" i="110" s="1"/>
  <c r="F10" i="110"/>
  <c r="F56" i="110" s="1"/>
  <c r="V42" i="110"/>
  <c r="J366" i="92" s="1"/>
  <c r="V34" i="110"/>
  <c r="W10" i="110"/>
  <c r="W56" i="110" s="1"/>
  <c r="U10" i="110"/>
  <c r="U56" i="110" s="1"/>
  <c r="M10" i="110"/>
  <c r="M56" i="110" s="1"/>
  <c r="E10" i="110"/>
  <c r="E56" i="110" s="1"/>
  <c r="T10" i="110"/>
  <c r="T56" i="110" s="1"/>
  <c r="L10" i="110"/>
  <c r="D10" i="110"/>
  <c r="S10" i="110"/>
  <c r="S56" i="110" s="1"/>
  <c r="C10" i="110"/>
  <c r="C56" i="110" s="1"/>
  <c r="O42" i="110"/>
  <c r="R10" i="110"/>
  <c r="R56" i="110" s="1"/>
  <c r="J10" i="110"/>
  <c r="J56" i="110" s="1"/>
  <c r="B10" i="110"/>
  <c r="B56" i="110" s="1"/>
  <c r="I10" i="110"/>
  <c r="I56" i="110" s="1"/>
  <c r="V34" i="109"/>
  <c r="V42" i="109"/>
  <c r="I366" i="92" s="1"/>
  <c r="H10" i="109"/>
  <c r="H57" i="109" s="1"/>
  <c r="K11" i="109"/>
  <c r="O10" i="109"/>
  <c r="O57" i="109" s="1"/>
  <c r="F10" i="109"/>
  <c r="F57" i="109" s="1"/>
  <c r="K34" i="109"/>
  <c r="V27" i="109"/>
  <c r="P10" i="109"/>
  <c r="P57" i="109" s="1"/>
  <c r="W10" i="109"/>
  <c r="N10" i="109"/>
  <c r="N57" i="109" s="1"/>
  <c r="E10" i="109"/>
  <c r="E57" i="109" s="1"/>
  <c r="K27" i="109"/>
  <c r="K20" i="109"/>
  <c r="U10" i="109"/>
  <c r="U57" i="109" s="1"/>
  <c r="M10" i="109"/>
  <c r="M57" i="109" s="1"/>
  <c r="W45" i="109"/>
  <c r="V11" i="109"/>
  <c r="K42" i="109"/>
  <c r="D10" i="109"/>
  <c r="D57" i="109" s="1"/>
  <c r="J10" i="109"/>
  <c r="J57" i="109" s="1"/>
  <c r="B10" i="109"/>
  <c r="B57" i="109" s="1"/>
  <c r="W18" i="93"/>
  <c r="T10" i="109"/>
  <c r="T57" i="109" s="1"/>
  <c r="L10" i="109"/>
  <c r="L57" i="109" s="1"/>
  <c r="C10" i="109"/>
  <c r="C57" i="109" s="1"/>
  <c r="V20" i="109"/>
  <c r="V10" i="109" s="1"/>
  <c r="R10" i="109"/>
  <c r="R57" i="109" s="1"/>
  <c r="I10" i="109"/>
  <c r="I57" i="109" s="1"/>
  <c r="S10" i="109"/>
  <c r="S57" i="109" s="1"/>
  <c r="Q10" i="109"/>
  <c r="Q57" i="109" s="1"/>
  <c r="G10" i="109"/>
  <c r="G57" i="109" s="1"/>
  <c r="Q10" i="107"/>
  <c r="Q76" i="107" s="1"/>
  <c r="I10" i="107"/>
  <c r="M398" i="93"/>
  <c r="V42" i="107"/>
  <c r="L334" i="93"/>
  <c r="W15" i="92"/>
  <c r="W18" i="92"/>
  <c r="W37" i="93"/>
  <c r="W36" i="92"/>
  <c r="V34" i="107"/>
  <c r="P10" i="107"/>
  <c r="P76" i="107" s="1"/>
  <c r="K20" i="107"/>
  <c r="G10" i="107"/>
  <c r="G76" i="107" s="1"/>
  <c r="K11" i="107"/>
  <c r="K34" i="107"/>
  <c r="V27" i="107"/>
  <c r="V20" i="107"/>
  <c r="O10" i="107"/>
  <c r="O76" i="107" s="1"/>
  <c r="F10" i="107"/>
  <c r="F76" i="107" s="1"/>
  <c r="W30" i="93"/>
  <c r="V51" i="107"/>
  <c r="V50" i="107" s="1"/>
  <c r="K27" i="107"/>
  <c r="N10" i="107"/>
  <c r="N76" i="107" s="1"/>
  <c r="E10" i="107"/>
  <c r="E76" i="107" s="1"/>
  <c r="V58" i="107"/>
  <c r="K51" i="107"/>
  <c r="K50" i="107" s="1"/>
  <c r="D10" i="107"/>
  <c r="D76" i="107" s="1"/>
  <c r="U10" i="107"/>
  <c r="U76" i="107" s="1"/>
  <c r="M10" i="107"/>
  <c r="M76" i="107" s="1"/>
  <c r="T10" i="107"/>
  <c r="T76" i="107" s="1"/>
  <c r="L10" i="107"/>
  <c r="L76" i="107" s="1"/>
  <c r="C10" i="107"/>
  <c r="C76" i="107" s="1"/>
  <c r="S10" i="107"/>
  <c r="S76" i="107" s="1"/>
  <c r="J10" i="107"/>
  <c r="B10" i="107"/>
  <c r="B76" i="107" s="1"/>
  <c r="R10" i="107"/>
  <c r="R76" i="107" s="1"/>
  <c r="H10" i="107"/>
  <c r="H76" i="107" s="1"/>
  <c r="V11" i="107"/>
  <c r="V34" i="106"/>
  <c r="K11" i="106"/>
  <c r="Q10" i="106"/>
  <c r="Q86" i="106" s="1"/>
  <c r="V303" i="104"/>
  <c r="K34" i="106"/>
  <c r="V11" i="106"/>
  <c r="V10" i="106" s="1"/>
  <c r="H10" i="106"/>
  <c r="H86" i="106" s="1"/>
  <c r="K20" i="106"/>
  <c r="F10" i="106"/>
  <c r="F86" i="106" s="1"/>
  <c r="V50" i="106"/>
  <c r="G10" i="106"/>
  <c r="G86" i="106" s="1"/>
  <c r="V20" i="106"/>
  <c r="N10" i="106"/>
  <c r="N86" i="106" s="1"/>
  <c r="E10" i="106"/>
  <c r="E86" i="106" s="1"/>
  <c r="K303" i="104"/>
  <c r="K50" i="106"/>
  <c r="V27" i="106"/>
  <c r="P10" i="106"/>
  <c r="P86" i="106" s="1"/>
  <c r="U10" i="106"/>
  <c r="U86" i="106" s="1"/>
  <c r="M10" i="106"/>
  <c r="M86" i="106" s="1"/>
  <c r="D10" i="106"/>
  <c r="D86" i="106" s="1"/>
  <c r="O10" i="106"/>
  <c r="O86" i="106" s="1"/>
  <c r="T10" i="106"/>
  <c r="T86" i="106" s="1"/>
  <c r="C10" i="106"/>
  <c r="C86" i="106" s="1"/>
  <c r="K27" i="106"/>
  <c r="S10" i="106"/>
  <c r="S86" i="106" s="1"/>
  <c r="J10" i="106"/>
  <c r="J86" i="106" s="1"/>
  <c r="B10" i="106"/>
  <c r="B86" i="106" s="1"/>
  <c r="W27" i="106"/>
  <c r="R10" i="106"/>
  <c r="R86" i="106" s="1"/>
  <c r="I10" i="106"/>
  <c r="I86" i="106" s="1"/>
  <c r="V258" i="104"/>
  <c r="K185" i="104"/>
  <c r="K258" i="104"/>
  <c r="V220" i="104"/>
  <c r="V124" i="104"/>
  <c r="V106" i="104"/>
  <c r="O292" i="104"/>
  <c r="O397" i="93" s="1"/>
  <c r="K112" i="104"/>
  <c r="V299" i="104"/>
  <c r="V42" i="104"/>
  <c r="V188" i="104"/>
  <c r="K287" i="104"/>
  <c r="K283" i="104"/>
  <c r="V274" i="104"/>
  <c r="K274" i="104"/>
  <c r="V270" i="104"/>
  <c r="K262" i="104"/>
  <c r="V172" i="104"/>
  <c r="V148" i="104"/>
  <c r="V99" i="104"/>
  <c r="K79" i="104"/>
  <c r="K50" i="104"/>
  <c r="S10" i="104"/>
  <c r="J10" i="104"/>
  <c r="R10" i="104"/>
  <c r="B10" i="104"/>
  <c r="I10" i="104"/>
  <c r="S252" i="104"/>
  <c r="N191" i="104"/>
  <c r="K92" i="104"/>
  <c r="V293" i="104"/>
  <c r="V292" i="104" s="1"/>
  <c r="P292" i="104"/>
  <c r="V283" i="104"/>
  <c r="T252" i="104"/>
  <c r="L252" i="104"/>
  <c r="K220" i="104"/>
  <c r="Q219" i="104"/>
  <c r="K213" i="104"/>
  <c r="K206" i="104"/>
  <c r="K192" i="104"/>
  <c r="O191" i="104"/>
  <c r="F191" i="104"/>
  <c r="K178" i="104"/>
  <c r="K154" i="104"/>
  <c r="K130" i="104"/>
  <c r="K106" i="104"/>
  <c r="E91" i="104"/>
  <c r="V92" i="104"/>
  <c r="V79" i="104"/>
  <c r="E10" i="104"/>
  <c r="W10" i="104"/>
  <c r="T10" i="104"/>
  <c r="L10" i="104"/>
  <c r="C10" i="104"/>
  <c r="K293" i="104"/>
  <c r="K292" i="104" s="1"/>
  <c r="J252" i="104"/>
  <c r="E191" i="104"/>
  <c r="D91" i="104"/>
  <c r="K238" i="104"/>
  <c r="U191" i="104"/>
  <c r="M191" i="104"/>
  <c r="D191" i="104"/>
  <c r="K160" i="104"/>
  <c r="K136" i="104"/>
  <c r="M91" i="104"/>
  <c r="K299" i="104"/>
  <c r="U292" i="104"/>
  <c r="M292" i="104"/>
  <c r="K270" i="104"/>
  <c r="K253" i="104"/>
  <c r="V229" i="104"/>
  <c r="N219" i="104"/>
  <c r="V213" i="104"/>
  <c r="T191" i="104"/>
  <c r="L191" i="104"/>
  <c r="C191" i="104"/>
  <c r="V178" i="104"/>
  <c r="V154" i="104"/>
  <c r="V142" i="104"/>
  <c r="V118" i="104"/>
  <c r="T91" i="104"/>
  <c r="J91" i="104"/>
  <c r="B91" i="104"/>
  <c r="B342" i="104" s="1"/>
  <c r="K67" i="104"/>
  <c r="Q10" i="104"/>
  <c r="H10" i="104"/>
  <c r="N91" i="104"/>
  <c r="W292" i="104"/>
  <c r="R252" i="104"/>
  <c r="U91" i="104"/>
  <c r="V67" i="104"/>
  <c r="N292" i="104"/>
  <c r="T292" i="104"/>
  <c r="L292" i="104"/>
  <c r="V266" i="104"/>
  <c r="V253" i="104"/>
  <c r="U219" i="104"/>
  <c r="M219" i="104"/>
  <c r="J191" i="104"/>
  <c r="B191" i="104"/>
  <c r="S191" i="104"/>
  <c r="K166" i="104"/>
  <c r="K142" i="104"/>
  <c r="K118" i="104"/>
  <c r="W91" i="104"/>
  <c r="S91" i="104"/>
  <c r="I91" i="104"/>
  <c r="V11" i="104"/>
  <c r="P10" i="104"/>
  <c r="G10" i="104"/>
  <c r="C91" i="104"/>
  <c r="S292" i="104"/>
  <c r="J292" i="104"/>
  <c r="K266" i="104"/>
  <c r="V238" i="104"/>
  <c r="P219" i="104"/>
  <c r="T219" i="104"/>
  <c r="L219" i="104"/>
  <c r="R191" i="104"/>
  <c r="I191" i="104"/>
  <c r="V192" i="104"/>
  <c r="V160" i="104"/>
  <c r="V136" i="104"/>
  <c r="V130" i="104"/>
  <c r="V112" i="104"/>
  <c r="R91" i="104"/>
  <c r="H91" i="104"/>
  <c r="K11" i="104"/>
  <c r="O10" i="104"/>
  <c r="F10" i="104"/>
  <c r="R292" i="104"/>
  <c r="I292" i="104"/>
  <c r="V278" i="104"/>
  <c r="V262" i="104"/>
  <c r="V252" i="104" s="1"/>
  <c r="P252" i="104"/>
  <c r="W252" i="104"/>
  <c r="N252" i="104"/>
  <c r="K229" i="104"/>
  <c r="O219" i="104"/>
  <c r="S219" i="104"/>
  <c r="J219" i="104"/>
  <c r="K199" i="104"/>
  <c r="K191" i="104" s="1"/>
  <c r="Q191" i="104"/>
  <c r="H191" i="104"/>
  <c r="K188" i="104"/>
  <c r="K172" i="104"/>
  <c r="K148" i="104"/>
  <c r="K124" i="104"/>
  <c r="K99" i="104"/>
  <c r="L91" i="104"/>
  <c r="L342" i="104" s="1"/>
  <c r="Q91" i="104"/>
  <c r="G91" i="104"/>
  <c r="V50" i="104"/>
  <c r="V34" i="104"/>
  <c r="V27" i="104"/>
  <c r="V20" i="104"/>
  <c r="W191" i="104"/>
  <c r="Q292" i="104"/>
  <c r="K278" i="104"/>
  <c r="O252" i="104"/>
  <c r="Q252" i="104"/>
  <c r="U252" i="104"/>
  <c r="M252" i="104"/>
  <c r="W219" i="104"/>
  <c r="R219" i="104"/>
  <c r="V206" i="104"/>
  <c r="V199" i="104"/>
  <c r="G191" i="104"/>
  <c r="P191" i="104"/>
  <c r="V166" i="104"/>
  <c r="O91" i="104"/>
  <c r="P91" i="104"/>
  <c r="F91" i="104"/>
  <c r="N10" i="104"/>
  <c r="K34" i="104"/>
  <c r="K27" i="104"/>
  <c r="K20" i="104"/>
  <c r="U10" i="104"/>
  <c r="M10" i="104"/>
  <c r="D10" i="104"/>
  <c r="P342" i="104"/>
  <c r="K307" i="104"/>
  <c r="K306" i="104" s="1"/>
  <c r="K274" i="102"/>
  <c r="O306" i="104"/>
  <c r="O398" i="93" s="1"/>
  <c r="K188" i="102"/>
  <c r="K185" i="102"/>
  <c r="K266" i="102"/>
  <c r="K278" i="102"/>
  <c r="O394" i="93"/>
  <c r="J214" i="92"/>
  <c r="K214" i="92" s="1"/>
  <c r="K253" i="102"/>
  <c r="R394" i="93"/>
  <c r="J215" i="93"/>
  <c r="K215" i="93" s="1"/>
  <c r="K293" i="102"/>
  <c r="K172" i="102"/>
  <c r="E398" i="93"/>
  <c r="E366" i="92"/>
  <c r="V278" i="102"/>
  <c r="K215" i="102"/>
  <c r="K148" i="102"/>
  <c r="K136" i="102"/>
  <c r="K124" i="102"/>
  <c r="K99" i="102"/>
  <c r="K67" i="102"/>
  <c r="K283" i="102"/>
  <c r="K262" i="102"/>
  <c r="R219" i="102"/>
  <c r="V160" i="102"/>
  <c r="V112" i="102"/>
  <c r="H292" i="102"/>
  <c r="L252" i="102"/>
  <c r="K206" i="102"/>
  <c r="K192" i="102"/>
  <c r="K191" i="102" s="1"/>
  <c r="O191" i="102"/>
  <c r="F191" i="102"/>
  <c r="K178" i="102"/>
  <c r="K154" i="102"/>
  <c r="K130" i="102"/>
  <c r="K106" i="102"/>
  <c r="K79" i="102"/>
  <c r="P292" i="102"/>
  <c r="K258" i="102"/>
  <c r="O252" i="102"/>
  <c r="K213" i="102"/>
  <c r="W191" i="102"/>
  <c r="I10" i="102"/>
  <c r="K299" i="102"/>
  <c r="V270" i="102"/>
  <c r="J219" i="102"/>
  <c r="K166" i="102"/>
  <c r="K160" i="102"/>
  <c r="K118" i="102"/>
  <c r="K112" i="102"/>
  <c r="K20" i="102"/>
  <c r="Q10" i="102"/>
  <c r="K270" i="102"/>
  <c r="V220" i="102"/>
  <c r="M292" i="102"/>
  <c r="K142" i="102"/>
  <c r="K50" i="102"/>
  <c r="K34" i="102"/>
  <c r="V229" i="102"/>
  <c r="T252" i="102"/>
  <c r="O219" i="102"/>
  <c r="K275" i="100"/>
  <c r="O292" i="102"/>
  <c r="V287" i="102"/>
  <c r="V274" i="102"/>
  <c r="W252" i="102"/>
  <c r="N252" i="102"/>
  <c r="S252" i="102"/>
  <c r="D191" i="102"/>
  <c r="V185" i="102"/>
  <c r="V136" i="102"/>
  <c r="D91" i="102"/>
  <c r="V67" i="102"/>
  <c r="V27" i="102"/>
  <c r="N191" i="102"/>
  <c r="W292" i="102"/>
  <c r="N292" i="102"/>
  <c r="N342" i="102" s="1"/>
  <c r="K287" i="102"/>
  <c r="T191" i="102"/>
  <c r="L191" i="102"/>
  <c r="T91" i="102"/>
  <c r="L91" i="102"/>
  <c r="K27" i="102"/>
  <c r="V11" i="102"/>
  <c r="P10" i="102"/>
  <c r="H10" i="102"/>
  <c r="H342" i="102" s="1"/>
  <c r="L219" i="102"/>
  <c r="E91" i="102"/>
  <c r="Q252" i="102"/>
  <c r="V206" i="102"/>
  <c r="S191" i="102"/>
  <c r="C191" i="102"/>
  <c r="R91" i="102"/>
  <c r="J91" i="102"/>
  <c r="B91" i="102"/>
  <c r="N10" i="102"/>
  <c r="F10" i="102"/>
  <c r="M91" i="102"/>
  <c r="U292" i="102"/>
  <c r="T292" i="102"/>
  <c r="L292" i="102"/>
  <c r="V262" i="102"/>
  <c r="V253" i="102"/>
  <c r="P252" i="102"/>
  <c r="R191" i="102"/>
  <c r="J191" i="102"/>
  <c r="B191" i="102"/>
  <c r="V154" i="102"/>
  <c r="V106" i="102"/>
  <c r="I91" i="102"/>
  <c r="K42" i="102"/>
  <c r="L302" i="93"/>
  <c r="K44" i="93"/>
  <c r="P394" i="93"/>
  <c r="S292" i="102"/>
  <c r="R252" i="102"/>
  <c r="J252" i="102"/>
  <c r="V213" i="102"/>
  <c r="H191" i="102"/>
  <c r="Q191" i="102"/>
  <c r="I191" i="102"/>
  <c r="Q91" i="102"/>
  <c r="H91" i="102"/>
  <c r="T219" i="102"/>
  <c r="U91" i="102"/>
  <c r="V303" i="102"/>
  <c r="R292" i="102"/>
  <c r="J292" i="102"/>
  <c r="N219" i="102"/>
  <c r="P191" i="102"/>
  <c r="G191" i="102"/>
  <c r="V166" i="102"/>
  <c r="V118" i="102"/>
  <c r="V92" i="102"/>
  <c r="P91" i="102"/>
  <c r="V34" i="102"/>
  <c r="T10" i="102"/>
  <c r="L10" i="102"/>
  <c r="D10" i="102"/>
  <c r="W219" i="102"/>
  <c r="Q292" i="102"/>
  <c r="V266" i="102"/>
  <c r="U252" i="102"/>
  <c r="M252" i="102"/>
  <c r="K229" i="102"/>
  <c r="K199" i="102"/>
  <c r="N91" i="102"/>
  <c r="F91" i="102"/>
  <c r="K92" i="102"/>
  <c r="V42" i="102"/>
  <c r="R10" i="102"/>
  <c r="J10" i="102"/>
  <c r="B10" i="102"/>
  <c r="S10" i="102"/>
  <c r="C10" i="102"/>
  <c r="V275" i="100"/>
  <c r="V166" i="100"/>
  <c r="K254" i="100"/>
  <c r="N394" i="93"/>
  <c r="V254" i="100"/>
  <c r="O350" i="92"/>
  <c r="K106" i="100"/>
  <c r="K287" i="100"/>
  <c r="K87" i="100"/>
  <c r="S280" i="100"/>
  <c r="S397" i="93" s="1"/>
  <c r="V258" i="100"/>
  <c r="V142" i="100"/>
  <c r="M122" i="92"/>
  <c r="V122" i="92" s="1"/>
  <c r="V117" i="92" s="1"/>
  <c r="K42" i="100"/>
  <c r="T280" i="100"/>
  <c r="U240" i="100"/>
  <c r="P179" i="100"/>
  <c r="T394" i="93"/>
  <c r="P10" i="100"/>
  <c r="F10" i="100"/>
  <c r="O10" i="100"/>
  <c r="R240" i="100"/>
  <c r="N207" i="100"/>
  <c r="L179" i="100"/>
  <c r="U280" i="100"/>
  <c r="M280" i="100"/>
  <c r="N353" i="92" s="1"/>
  <c r="K258" i="100"/>
  <c r="K208" i="100"/>
  <c r="M179" i="100"/>
  <c r="U179" i="100"/>
  <c r="K166" i="100"/>
  <c r="K154" i="100"/>
  <c r="K118" i="100"/>
  <c r="K80" i="100"/>
  <c r="Q10" i="100"/>
  <c r="H10" i="100"/>
  <c r="T179" i="100"/>
  <c r="J280" i="100"/>
  <c r="K262" i="100"/>
  <c r="Q207" i="100"/>
  <c r="U207" i="100"/>
  <c r="K201" i="100"/>
  <c r="J179" i="100"/>
  <c r="B179" i="100"/>
  <c r="K148" i="100"/>
  <c r="J79" i="100"/>
  <c r="K124" i="100"/>
  <c r="D79" i="100"/>
  <c r="K67" i="100"/>
  <c r="K20" i="100"/>
  <c r="K11" i="100"/>
  <c r="N79" i="100"/>
  <c r="R280" i="100"/>
  <c r="R397" i="93" s="1"/>
  <c r="P207" i="100"/>
  <c r="P240" i="100"/>
  <c r="T207" i="100"/>
  <c r="R179" i="100"/>
  <c r="K100" i="100"/>
  <c r="F79" i="100"/>
  <c r="V80" i="100"/>
  <c r="T79" i="100"/>
  <c r="T395" i="93" s="1"/>
  <c r="V42" i="100"/>
  <c r="R10" i="100"/>
  <c r="N10" i="100"/>
  <c r="K294" i="100"/>
  <c r="V287" i="100"/>
  <c r="K271" i="100"/>
  <c r="K266" i="100"/>
  <c r="W240" i="100"/>
  <c r="V241" i="100"/>
  <c r="K226" i="100"/>
  <c r="K217" i="100"/>
  <c r="J207" i="100"/>
  <c r="K187" i="100"/>
  <c r="H179" i="100"/>
  <c r="V176" i="100"/>
  <c r="K142" i="100"/>
  <c r="K130" i="100"/>
  <c r="B79" i="100"/>
  <c r="D10" i="100"/>
  <c r="V262" i="100"/>
  <c r="K250" i="100"/>
  <c r="K241" i="100"/>
  <c r="N240" i="100"/>
  <c r="R207" i="100"/>
  <c r="K94" i="100"/>
  <c r="R79" i="100"/>
  <c r="G10" i="100"/>
  <c r="T10" i="100"/>
  <c r="L10" i="100"/>
  <c r="K281" i="100"/>
  <c r="K280" i="100" s="1"/>
  <c r="O280" i="100"/>
  <c r="V246" i="100"/>
  <c r="K194" i="100"/>
  <c r="K180" i="100"/>
  <c r="F179" i="100"/>
  <c r="K160" i="100"/>
  <c r="K136" i="100"/>
  <c r="K112" i="100"/>
  <c r="H79" i="100"/>
  <c r="K50" i="100"/>
  <c r="K34" i="100"/>
  <c r="K27" i="100"/>
  <c r="J10" i="100"/>
  <c r="B10" i="100"/>
  <c r="T240" i="100"/>
  <c r="W280" i="100"/>
  <c r="N280" i="100"/>
  <c r="K246" i="100"/>
  <c r="J240" i="100"/>
  <c r="N179" i="100"/>
  <c r="E179" i="100"/>
  <c r="K176" i="100"/>
  <c r="K173" i="100"/>
  <c r="V160" i="100"/>
  <c r="V112" i="100"/>
  <c r="P79" i="100"/>
  <c r="P395" i="93" s="1"/>
  <c r="I10" i="100"/>
  <c r="L166" i="93"/>
  <c r="L79" i="100"/>
  <c r="K43" i="93"/>
  <c r="S240" i="100"/>
  <c r="O240" i="100"/>
  <c r="S179" i="100"/>
  <c r="C179" i="100"/>
  <c r="V130" i="100"/>
  <c r="V94" i="100"/>
  <c r="V67" i="100"/>
  <c r="V250" i="100"/>
  <c r="Q179" i="100"/>
  <c r="I179" i="100"/>
  <c r="V180" i="100"/>
  <c r="V136" i="100"/>
  <c r="V100" i="100"/>
  <c r="V187" i="100"/>
  <c r="S10" i="100"/>
  <c r="C10" i="100"/>
  <c r="Q280" i="100"/>
  <c r="M240" i="100"/>
  <c r="V266" i="100"/>
  <c r="V194" i="100"/>
  <c r="V179" i="100" s="1"/>
  <c r="W179" i="100"/>
  <c r="V148" i="100"/>
  <c r="U10" i="100"/>
  <c r="M10" i="100"/>
  <c r="E10" i="100"/>
  <c r="V11" i="100"/>
  <c r="K320" i="100"/>
  <c r="K317" i="100" s="1"/>
  <c r="V281" i="100"/>
  <c r="Q240" i="100"/>
  <c r="V271" i="100"/>
  <c r="O207" i="100"/>
  <c r="V201" i="100"/>
  <c r="V154" i="100"/>
  <c r="O79" i="100"/>
  <c r="G79" i="100"/>
  <c r="U79" i="100"/>
  <c r="E79" i="100"/>
  <c r="V20" i="100"/>
  <c r="V208" i="100"/>
  <c r="W207" i="100"/>
  <c r="S79" i="100"/>
  <c r="C79" i="100"/>
  <c r="V27" i="100"/>
  <c r="V305" i="93"/>
  <c r="S207" i="100"/>
  <c r="V217" i="100"/>
  <c r="V118" i="100"/>
  <c r="V34" i="100"/>
  <c r="V294" i="100"/>
  <c r="D366" i="92" s="1"/>
  <c r="V226" i="100"/>
  <c r="V124" i="100"/>
  <c r="Q79" i="100"/>
  <c r="I79" i="100"/>
  <c r="W79" i="100"/>
  <c r="V87" i="100"/>
  <c r="V50" i="100"/>
  <c r="O353" i="92"/>
  <c r="K27" i="98"/>
  <c r="V20" i="98"/>
  <c r="K20" i="98"/>
  <c r="U10" i="98"/>
  <c r="U86" i="98" s="1"/>
  <c r="M10" i="98"/>
  <c r="I10" i="98"/>
  <c r="I86" i="98" s="1"/>
  <c r="Q10" i="98"/>
  <c r="Q86" i="98" s="1"/>
  <c r="K11" i="98"/>
  <c r="R10" i="98"/>
  <c r="R86" i="98" s="1"/>
  <c r="C398" i="93"/>
  <c r="C366" i="92"/>
  <c r="K34" i="98"/>
  <c r="N10" i="98"/>
  <c r="T10" i="98"/>
  <c r="T86" i="98" s="1"/>
  <c r="D10" i="98"/>
  <c r="D86" i="98" s="1"/>
  <c r="L28" i="92"/>
  <c r="S10" i="98"/>
  <c r="S86" i="98" s="1"/>
  <c r="C10" i="98"/>
  <c r="C86" i="98" s="1"/>
  <c r="E10" i="98"/>
  <c r="E86" i="98" s="1"/>
  <c r="J10" i="98"/>
  <c r="J86" i="98" s="1"/>
  <c r="B10" i="98"/>
  <c r="B86" i="98" s="1"/>
  <c r="V27" i="98"/>
  <c r="K50" i="98"/>
  <c r="W20" i="98"/>
  <c r="V34" i="98"/>
  <c r="V11" i="98"/>
  <c r="P10" i="98"/>
  <c r="H10" i="98"/>
  <c r="H86" i="98" s="1"/>
  <c r="L20" i="98"/>
  <c r="O10" i="98"/>
  <c r="O86" i="98" s="1"/>
  <c r="G10" i="98"/>
  <c r="G86" i="98" s="1"/>
  <c r="F10" i="98"/>
  <c r="F86" i="98" s="1"/>
  <c r="L32" i="92"/>
  <c r="L33" i="93"/>
  <c r="W30" i="92"/>
  <c r="V369" i="93"/>
  <c r="W369" i="93"/>
  <c r="N355" i="92"/>
  <c r="L41" i="96"/>
  <c r="W307" i="93"/>
  <c r="D48" i="96"/>
  <c r="V20" i="96"/>
  <c r="W306" i="92"/>
  <c r="W48" i="93"/>
  <c r="W46" i="93" s="1"/>
  <c r="F67" i="96"/>
  <c r="L13" i="92"/>
  <c r="V41" i="96"/>
  <c r="V48" i="96"/>
  <c r="L18" i="93"/>
  <c r="L17" i="92"/>
  <c r="L30" i="92"/>
  <c r="L54" i="96"/>
  <c r="W41" i="96"/>
  <c r="G10" i="96"/>
  <c r="G67" i="96" s="1"/>
  <c r="V27" i="96"/>
  <c r="W20" i="96"/>
  <c r="K41" i="96"/>
  <c r="O10" i="96"/>
  <c r="O67" i="96" s="1"/>
  <c r="W38" i="92"/>
  <c r="W17" i="92"/>
  <c r="W27" i="96"/>
  <c r="O355" i="92"/>
  <c r="L56" i="96"/>
  <c r="L29" i="93"/>
  <c r="L333" i="92"/>
  <c r="L328" i="92" s="1"/>
  <c r="W54" i="96"/>
  <c r="K27" i="96"/>
  <c r="W11" i="96"/>
  <c r="M10" i="96"/>
  <c r="M67" i="96" s="1"/>
  <c r="C10" i="96"/>
  <c r="C67" i="96" s="1"/>
  <c r="K48" i="96"/>
  <c r="T10" i="96"/>
  <c r="T67" i="96" s="1"/>
  <c r="J10" i="96"/>
  <c r="J67" i="96" s="1"/>
  <c r="Q10" i="96"/>
  <c r="Q67" i="96" s="1"/>
  <c r="V34" i="96"/>
  <c r="P10" i="96"/>
  <c r="P67" i="96" s="1"/>
  <c r="K34" i="96"/>
  <c r="E10" i="96"/>
  <c r="E67" i="96" s="1"/>
  <c r="W34" i="96"/>
  <c r="N10" i="96"/>
  <c r="N67" i="96" s="1"/>
  <c r="B10" i="96"/>
  <c r="B67" i="96" s="1"/>
  <c r="U10" i="96"/>
  <c r="K11" i="96"/>
  <c r="V11" i="96"/>
  <c r="S10" i="96"/>
  <c r="V399" i="93"/>
  <c r="B367" i="92"/>
  <c r="B399" i="93"/>
  <c r="J399" i="93" s="1"/>
  <c r="L40" i="93"/>
  <c r="L39" i="92"/>
  <c r="I10" i="96"/>
  <c r="I67" i="96" s="1"/>
  <c r="L34" i="92"/>
  <c r="L35" i="93"/>
  <c r="L37" i="93"/>
  <c r="L36" i="92"/>
  <c r="L24" i="93"/>
  <c r="L23" i="92"/>
  <c r="R10" i="96"/>
  <c r="R67" i="96" s="1"/>
  <c r="H10" i="96"/>
  <c r="H67" i="96" s="1"/>
  <c r="B400" i="93"/>
  <c r="J400" i="93" s="1"/>
  <c r="B368" i="92"/>
  <c r="N368" i="92" s="1"/>
  <c r="L20" i="96"/>
  <c r="L20" i="92"/>
  <c r="L21" i="93"/>
  <c r="L39" i="93"/>
  <c r="L38" i="92"/>
  <c r="L25" i="92"/>
  <c r="L26" i="93"/>
  <c r="L22" i="92"/>
  <c r="L23" i="93"/>
  <c r="D10" i="96"/>
  <c r="L38" i="93"/>
  <c r="L37" i="92"/>
  <c r="L25" i="93"/>
  <c r="L24" i="92"/>
  <c r="L48" i="92"/>
  <c r="L45" i="92" s="1"/>
  <c r="L36" i="96"/>
  <c r="L34" i="96" s="1"/>
  <c r="W27" i="92"/>
  <c r="W29" i="92"/>
  <c r="K20" i="96"/>
  <c r="P398" i="93"/>
  <c r="W31" i="92"/>
  <c r="W23" i="93"/>
  <c r="L27" i="96"/>
  <c r="L27" i="92"/>
  <c r="O354" i="92"/>
  <c r="K385" i="93"/>
  <c r="J329" i="93"/>
  <c r="Q292" i="93"/>
  <c r="V188" i="93"/>
  <c r="P292" i="93"/>
  <c r="S252" i="93"/>
  <c r="U270" i="93"/>
  <c r="G191" i="93"/>
  <c r="R292" i="93"/>
  <c r="N219" i="93"/>
  <c r="K369" i="93"/>
  <c r="R91" i="93"/>
  <c r="G10" i="93"/>
  <c r="R252" i="93"/>
  <c r="F191" i="93"/>
  <c r="Q191" i="93"/>
  <c r="E46" i="93"/>
  <c r="E10" i="93" s="1"/>
  <c r="L262" i="93"/>
  <c r="P191" i="93"/>
  <c r="W185" i="93"/>
  <c r="R191" i="93"/>
  <c r="L287" i="93"/>
  <c r="P252" i="93"/>
  <c r="O191" i="93"/>
  <c r="E91" i="93"/>
  <c r="O91" i="93"/>
  <c r="D10" i="93"/>
  <c r="I303" i="93"/>
  <c r="I292" i="93" s="1"/>
  <c r="N191" i="93"/>
  <c r="C191" i="93"/>
  <c r="D91" i="93"/>
  <c r="F10" i="93"/>
  <c r="O10" i="93"/>
  <c r="S292" i="93"/>
  <c r="Q252" i="93"/>
  <c r="O219" i="93"/>
  <c r="K185" i="93"/>
  <c r="L154" i="93"/>
  <c r="P219" i="93"/>
  <c r="T219" i="93"/>
  <c r="T191" i="93"/>
  <c r="I191" i="93"/>
  <c r="U10" i="93"/>
  <c r="S191" i="93"/>
  <c r="H191" i="93"/>
  <c r="T91" i="93"/>
  <c r="S91" i="93"/>
  <c r="H10" i="93"/>
  <c r="T10" i="93"/>
  <c r="K47" i="93"/>
  <c r="K46" i="93" s="1"/>
  <c r="V304" i="93"/>
  <c r="W266" i="93"/>
  <c r="B42" i="93"/>
  <c r="W299" i="93"/>
  <c r="L266" i="93"/>
  <c r="L118" i="93"/>
  <c r="L185" i="93"/>
  <c r="L142" i="93"/>
  <c r="W274" i="93"/>
  <c r="W252" i="92"/>
  <c r="H190" i="92"/>
  <c r="J302" i="92"/>
  <c r="N41" i="92"/>
  <c r="N291" i="92"/>
  <c r="N251" i="92"/>
  <c r="T190" i="92"/>
  <c r="I190" i="92"/>
  <c r="B135" i="92"/>
  <c r="R190" i="92"/>
  <c r="G190" i="92"/>
  <c r="O9" i="92"/>
  <c r="I9" i="92"/>
  <c r="M291" i="92"/>
  <c r="W261" i="92"/>
  <c r="V45" i="92"/>
  <c r="P190" i="92"/>
  <c r="W147" i="92"/>
  <c r="K41" i="92"/>
  <c r="C41" i="92"/>
  <c r="P291" i="92"/>
  <c r="Q9" i="92"/>
  <c r="S251" i="92"/>
  <c r="R291" i="92"/>
  <c r="Q291" i="92"/>
  <c r="P251" i="92"/>
  <c r="Q90" i="92"/>
  <c r="M49" i="92"/>
  <c r="O251" i="92"/>
  <c r="F90" i="92"/>
  <c r="E90" i="92"/>
  <c r="U9" i="92"/>
  <c r="O291" i="92"/>
  <c r="S190" i="92"/>
  <c r="L184" i="92"/>
  <c r="O90" i="92"/>
  <c r="H9" i="92"/>
  <c r="S9" i="92"/>
  <c r="M251" i="92"/>
  <c r="C90" i="92"/>
  <c r="J9" i="92"/>
  <c r="T251" i="92"/>
  <c r="Q190" i="92"/>
  <c r="F190" i="92"/>
  <c r="V105" i="92"/>
  <c r="N90" i="92"/>
  <c r="W45" i="92"/>
  <c r="E190" i="92"/>
  <c r="I90" i="92"/>
  <c r="K187" i="92"/>
  <c r="N367" i="92"/>
  <c r="S291" i="92"/>
  <c r="W265" i="92"/>
  <c r="R251" i="92"/>
  <c r="N218" i="92"/>
  <c r="O190" i="92"/>
  <c r="D190" i="92"/>
  <c r="S90" i="92"/>
  <c r="H90" i="92"/>
  <c r="P45" i="92"/>
  <c r="P9" i="92" s="1"/>
  <c r="G9" i="92"/>
  <c r="O218" i="92"/>
  <c r="L273" i="92"/>
  <c r="Q251" i="92"/>
  <c r="C190" i="92"/>
  <c r="G90" i="92"/>
  <c r="F9" i="92"/>
  <c r="AE35" i="135"/>
  <c r="P33" i="135"/>
  <c r="P18" i="135"/>
  <c r="P12" i="135"/>
  <c r="AD35" i="135"/>
  <c r="AF24" i="135"/>
  <c r="AE11" i="134"/>
  <c r="AI11" i="134"/>
  <c r="AI13" i="134"/>
  <c r="AE13" i="134"/>
  <c r="AF11" i="134"/>
  <c r="P11" i="134"/>
  <c r="AF13" i="134"/>
  <c r="P13" i="134"/>
  <c r="Z15" i="134"/>
  <c r="AD10" i="134"/>
  <c r="O10" i="134"/>
  <c r="K12" i="134"/>
  <c r="O12" i="134" s="1"/>
  <c r="R15" i="134"/>
  <c r="P280" i="132"/>
  <c r="AG281" i="132"/>
  <c r="P273" i="132"/>
  <c r="AG273" i="132" s="1"/>
  <c r="AF273" i="132"/>
  <c r="P257" i="132"/>
  <c r="AG257" i="132" s="1"/>
  <c r="AF257" i="132"/>
  <c r="AH220" i="132"/>
  <c r="AF203" i="132"/>
  <c r="P203" i="132"/>
  <c r="AG203" i="132" s="1"/>
  <c r="P197" i="132"/>
  <c r="AF289" i="132"/>
  <c r="P289" i="132"/>
  <c r="AG289" i="132" s="1"/>
  <c r="AD271" i="132"/>
  <c r="AE272" i="132"/>
  <c r="AE271" i="132" s="1"/>
  <c r="AF266" i="132"/>
  <c r="AE266" i="132"/>
  <c r="AG266" i="132" s="1"/>
  <c r="AF250" i="132"/>
  <c r="P250" i="132"/>
  <c r="AG250" i="132" s="1"/>
  <c r="AF248" i="132"/>
  <c r="P248" i="132"/>
  <c r="AG248" i="132" s="1"/>
  <c r="AF246" i="132"/>
  <c r="P246" i="132"/>
  <c r="AG246" i="132" s="1"/>
  <c r="P241" i="132"/>
  <c r="P229" i="132"/>
  <c r="AG229" i="132" s="1"/>
  <c r="AF229" i="132"/>
  <c r="AF217" i="132"/>
  <c r="P217" i="132"/>
  <c r="AG217" i="132" s="1"/>
  <c r="Z214" i="132"/>
  <c r="AD215" i="132"/>
  <c r="AF215" i="132" s="1"/>
  <c r="P208" i="132"/>
  <c r="AF204" i="132"/>
  <c r="P204" i="132"/>
  <c r="AG204" i="132" s="1"/>
  <c r="AG193" i="132"/>
  <c r="P177" i="132"/>
  <c r="AG179" i="132"/>
  <c r="P272" i="132"/>
  <c r="O271" i="132"/>
  <c r="AF272" i="132"/>
  <c r="P256" i="132"/>
  <c r="AG256" i="132" s="1"/>
  <c r="AF256" i="132"/>
  <c r="AE225" i="132"/>
  <c r="AG225" i="132" s="1"/>
  <c r="AF225" i="132"/>
  <c r="P211" i="132"/>
  <c r="AF288" i="132"/>
  <c r="P288" i="132"/>
  <c r="AG288" i="132" s="1"/>
  <c r="AF265" i="132"/>
  <c r="AE265" i="132"/>
  <c r="AG265" i="132" s="1"/>
  <c r="AD254" i="132"/>
  <c r="AE255" i="132"/>
  <c r="AE254" i="132" s="1"/>
  <c r="AF238" i="132"/>
  <c r="P238" i="132"/>
  <c r="P236" i="132"/>
  <c r="AG236" i="132" s="1"/>
  <c r="AF236" i="132"/>
  <c r="AE231" i="132"/>
  <c r="P223" i="132"/>
  <c r="AG223" i="132" s="1"/>
  <c r="AF223" i="132"/>
  <c r="P215" i="132"/>
  <c r="P187" i="132"/>
  <c r="P255" i="132"/>
  <c r="O254" i="132"/>
  <c r="AF255" i="132"/>
  <c r="AF227" i="132"/>
  <c r="P209" i="132"/>
  <c r="AF202" i="132"/>
  <c r="P202" i="132"/>
  <c r="AG202" i="132" s="1"/>
  <c r="AG194" i="132"/>
  <c r="P287" i="132"/>
  <c r="O286" i="132"/>
  <c r="P277" i="132"/>
  <c r="AG277" i="132" s="1"/>
  <c r="AF277" i="132"/>
  <c r="P247" i="132"/>
  <c r="AF247" i="132"/>
  <c r="P228" i="132"/>
  <c r="P212" i="132"/>
  <c r="AF205" i="132"/>
  <c r="P205" i="132"/>
  <c r="AG205" i="132" s="1"/>
  <c r="P196" i="132"/>
  <c r="P297" i="132"/>
  <c r="AG298" i="132"/>
  <c r="AG297" i="132" s="1"/>
  <c r="AD275" i="132"/>
  <c r="AE276" i="132"/>
  <c r="AE275" i="132" s="1"/>
  <c r="P264" i="132"/>
  <c r="P263" i="132" s="1"/>
  <c r="O263" i="132"/>
  <c r="P258" i="132"/>
  <c r="AG258" i="132" s="1"/>
  <c r="AF258" i="132"/>
  <c r="AE237" i="132"/>
  <c r="AF237" i="132"/>
  <c r="AE235" i="132"/>
  <c r="AF231" i="132"/>
  <c r="L220" i="132"/>
  <c r="AF216" i="132"/>
  <c r="P207" i="132"/>
  <c r="O206" i="132"/>
  <c r="AD199" i="132"/>
  <c r="AE200" i="132"/>
  <c r="AE199" i="132" s="1"/>
  <c r="P276" i="132"/>
  <c r="O275" i="132"/>
  <c r="AF276" i="132"/>
  <c r="P259" i="132"/>
  <c r="P210" i="132"/>
  <c r="AC206" i="132"/>
  <c r="AF200" i="132"/>
  <c r="P200" i="132"/>
  <c r="Z293" i="132"/>
  <c r="O267" i="132"/>
  <c r="AC240" i="132"/>
  <c r="AC239" i="132" s="1"/>
  <c r="K239" i="132"/>
  <c r="AC222" i="132"/>
  <c r="AC221" i="132" s="1"/>
  <c r="K221" i="132"/>
  <c r="AF213" i="132"/>
  <c r="AD211" i="132"/>
  <c r="AE211" i="132" s="1"/>
  <c r="AD207" i="132"/>
  <c r="AF207" i="132" s="1"/>
  <c r="N206" i="132"/>
  <c r="AD196" i="132"/>
  <c r="AE196" i="132" s="1"/>
  <c r="Z192" i="132"/>
  <c r="O192" i="132"/>
  <c r="AE190" i="132"/>
  <c r="AE188" i="132" s="1"/>
  <c r="AD186" i="132"/>
  <c r="Z185" i="132"/>
  <c r="AG183" i="132"/>
  <c r="AG178" i="132"/>
  <c r="AF169" i="132"/>
  <c r="P169" i="132"/>
  <c r="AG169" i="132" s="1"/>
  <c r="O165" i="132"/>
  <c r="O159" i="132"/>
  <c r="AG158" i="132"/>
  <c r="AE153" i="132"/>
  <c r="AG150" i="132"/>
  <c r="AG143" i="132"/>
  <c r="AG141" i="132" s="1"/>
  <c r="AF139" i="132"/>
  <c r="P139" i="132"/>
  <c r="AG139" i="132" s="1"/>
  <c r="AG135" i="132" s="1"/>
  <c r="O135" i="132"/>
  <c r="P133" i="132"/>
  <c r="AG133" i="132" s="1"/>
  <c r="AF133" i="132"/>
  <c r="AC123" i="132"/>
  <c r="AF110" i="132"/>
  <c r="P110" i="132"/>
  <c r="AG110" i="132" s="1"/>
  <c r="AF298" i="132"/>
  <c r="AF297" i="132" s="1"/>
  <c r="AD287" i="132"/>
  <c r="AF287" i="132" s="1"/>
  <c r="AF285" i="132"/>
  <c r="AF284" i="132"/>
  <c r="AF283" i="132"/>
  <c r="AF282" i="132"/>
  <c r="AF281" i="132"/>
  <c r="P270" i="132"/>
  <c r="AG270" i="132" s="1"/>
  <c r="P269" i="132"/>
  <c r="AG269" i="132" s="1"/>
  <c r="P268" i="132"/>
  <c r="AD264" i="132"/>
  <c r="AF262" i="132"/>
  <c r="AF261" i="132"/>
  <c r="AF260" i="132"/>
  <c r="AF245" i="132"/>
  <c r="AF244" i="132"/>
  <c r="AF243" i="132"/>
  <c r="AF242" i="132"/>
  <c r="Z239" i="132"/>
  <c r="P231" i="132"/>
  <c r="P227" i="132"/>
  <c r="AG227" i="132" s="1"/>
  <c r="Z221" i="132"/>
  <c r="P195" i="132"/>
  <c r="AG195" i="132" s="1"/>
  <c r="M191" i="132"/>
  <c r="N186" i="132"/>
  <c r="AE170" i="132"/>
  <c r="AD147" i="132"/>
  <c r="AE148" i="132"/>
  <c r="AE147" i="132" s="1"/>
  <c r="AD130" i="132"/>
  <c r="Z129" i="132"/>
  <c r="P119" i="132"/>
  <c r="AG119" i="132" s="1"/>
  <c r="G91" i="132"/>
  <c r="Q221" i="132"/>
  <c r="Q220" i="132" s="1"/>
  <c r="R214" i="132"/>
  <c r="AD210" i="132"/>
  <c r="AE210" i="132" s="1"/>
  <c r="N192" i="132"/>
  <c r="C191" i="132"/>
  <c r="AF145" i="132"/>
  <c r="AF141" i="132" s="1"/>
  <c r="P145" i="132"/>
  <c r="AG145" i="132" s="1"/>
  <c r="O141" i="132"/>
  <c r="AF134" i="132"/>
  <c r="P134" i="132"/>
  <c r="AG134" i="132" s="1"/>
  <c r="L129" i="132"/>
  <c r="N130" i="132"/>
  <c r="Z123" i="132"/>
  <c r="AD124" i="132"/>
  <c r="P120" i="132"/>
  <c r="AG120" i="132" s="1"/>
  <c r="AF120" i="132"/>
  <c r="P108" i="132"/>
  <c r="AG108" i="132" s="1"/>
  <c r="P104" i="132"/>
  <c r="Z275" i="132"/>
  <c r="Z271" i="132"/>
  <c r="Z254" i="132"/>
  <c r="K214" i="132"/>
  <c r="L206" i="132"/>
  <c r="O201" i="132"/>
  <c r="O199" i="132" s="1"/>
  <c r="Z199" i="132"/>
  <c r="L192" i="132"/>
  <c r="J191" i="132"/>
  <c r="B191" i="132"/>
  <c r="O177" i="132"/>
  <c r="O171" i="132"/>
  <c r="AG170" i="132"/>
  <c r="AF148" i="132"/>
  <c r="Y91" i="132"/>
  <c r="P101" i="132"/>
  <c r="AG101" i="132" s="1"/>
  <c r="AF101" i="132"/>
  <c r="O297" i="132"/>
  <c r="O280" i="132"/>
  <c r="O259" i="132"/>
  <c r="AD209" i="132"/>
  <c r="AE209" i="132" s="1"/>
  <c r="L199" i="132"/>
  <c r="AD198" i="132"/>
  <c r="AE198" i="132" s="1"/>
  <c r="AC197" i="132"/>
  <c r="AC192" i="132" s="1"/>
  <c r="S191" i="132"/>
  <c r="AF189" i="132"/>
  <c r="AF184" i="132"/>
  <c r="AE180" i="132"/>
  <c r="AG180" i="132" s="1"/>
  <c r="AD165" i="132"/>
  <c r="AF160" i="132"/>
  <c r="AF159" i="132" s="1"/>
  <c r="AD159" i="132"/>
  <c r="AE160" i="132"/>
  <c r="P151" i="132"/>
  <c r="AG151" i="132" s="1"/>
  <c r="P131" i="132"/>
  <c r="AG131" i="132" s="1"/>
  <c r="AF131" i="132"/>
  <c r="AF97" i="132"/>
  <c r="P97" i="132"/>
  <c r="AG97" i="132" s="1"/>
  <c r="O294" i="132"/>
  <c r="N240" i="132"/>
  <c r="N239" i="132" s="1"/>
  <c r="N234" i="132"/>
  <c r="N230" i="132" s="1"/>
  <c r="AC233" i="132"/>
  <c r="AC230" i="132" s="1"/>
  <c r="P232" i="132"/>
  <c r="AG232" i="132" s="1"/>
  <c r="N222" i="132"/>
  <c r="N221" i="132" s="1"/>
  <c r="Z188" i="132"/>
  <c r="AE166" i="132"/>
  <c r="AF157" i="132"/>
  <c r="AF153" i="132" s="1"/>
  <c r="O153" i="132"/>
  <c r="P157" i="132"/>
  <c r="AG157" i="132" s="1"/>
  <c r="AG153" i="132" s="1"/>
  <c r="O147" i="132"/>
  <c r="P121" i="132"/>
  <c r="AG121" i="132" s="1"/>
  <c r="AD212" i="132"/>
  <c r="AE212" i="132" s="1"/>
  <c r="AD208" i="132"/>
  <c r="AE208" i="132" s="1"/>
  <c r="N199" i="132"/>
  <c r="AD197" i="132"/>
  <c r="AE197" i="132" s="1"/>
  <c r="AI191" i="132"/>
  <c r="AG174" i="132"/>
  <c r="AF132" i="132"/>
  <c r="P132" i="132"/>
  <c r="AG132" i="132" s="1"/>
  <c r="Q91" i="132"/>
  <c r="W91" i="132"/>
  <c r="AF194" i="132"/>
  <c r="X191" i="132"/>
  <c r="F191" i="132"/>
  <c r="AD187" i="132"/>
  <c r="AE187" i="132" s="1"/>
  <c r="AF180" i="132"/>
  <c r="AF172" i="132"/>
  <c r="AD171" i="132"/>
  <c r="AE172" i="132"/>
  <c r="AH191" i="132"/>
  <c r="R191" i="132"/>
  <c r="O190" i="132"/>
  <c r="O188" i="132" s="1"/>
  <c r="AF174" i="132"/>
  <c r="P128" i="132"/>
  <c r="V91" i="132"/>
  <c r="C91" i="132"/>
  <c r="AH91" i="132"/>
  <c r="O48" i="132"/>
  <c r="N47" i="132"/>
  <c r="N46" i="132" s="1"/>
  <c r="AF38" i="132"/>
  <c r="AF36" i="132"/>
  <c r="P28" i="132"/>
  <c r="AG28" i="132" s="1"/>
  <c r="AD14" i="132"/>
  <c r="AE14" i="132" s="1"/>
  <c r="AG14" i="132" s="1"/>
  <c r="AC10" i="132"/>
  <c r="AE281" i="133"/>
  <c r="AG281" i="133" s="1"/>
  <c r="AF281" i="133"/>
  <c r="P272" i="133"/>
  <c r="AG272" i="133" s="1"/>
  <c r="AF272" i="133"/>
  <c r="O269" i="133"/>
  <c r="AE229" i="133"/>
  <c r="P201" i="133"/>
  <c r="Z117" i="132"/>
  <c r="AD118" i="132"/>
  <c r="Z105" i="132"/>
  <c r="AD106" i="132"/>
  <c r="I91" i="132"/>
  <c r="U91" i="132"/>
  <c r="J91" i="132"/>
  <c r="B91" i="132"/>
  <c r="AD81" i="132"/>
  <c r="AE81" i="132" s="1"/>
  <c r="Z79" i="132"/>
  <c r="AD53" i="132"/>
  <c r="AE53" i="132" s="1"/>
  <c r="P30" i="132"/>
  <c r="AG30" i="132" s="1"/>
  <c r="K27" i="132"/>
  <c r="H26" i="132"/>
  <c r="AE279" i="133"/>
  <c r="P206" i="133"/>
  <c r="P197" i="133"/>
  <c r="AG197" i="133" s="1"/>
  <c r="AF197" i="133"/>
  <c r="H91" i="132"/>
  <c r="T91" i="132"/>
  <c r="AD94" i="132"/>
  <c r="AE94" i="132" s="1"/>
  <c r="Z92" i="132"/>
  <c r="AF58" i="132"/>
  <c r="P58" i="132"/>
  <c r="AG58" i="132" s="1"/>
  <c r="P57" i="132"/>
  <c r="P56" i="132"/>
  <c r="AG56" i="132" s="1"/>
  <c r="N33" i="132"/>
  <c r="AF29" i="132"/>
  <c r="G9" i="132"/>
  <c r="X91" i="132"/>
  <c r="X300" i="132" s="1"/>
  <c r="AF107" i="132"/>
  <c r="P107" i="132"/>
  <c r="AG107" i="132" s="1"/>
  <c r="N106" i="132"/>
  <c r="L105" i="132"/>
  <c r="AB91" i="132"/>
  <c r="AB300" i="132" s="1"/>
  <c r="S91" i="132"/>
  <c r="N79" i="132"/>
  <c r="Z47" i="132"/>
  <c r="Z46" i="132" s="1"/>
  <c r="AD50" i="132"/>
  <c r="AE50" i="132" s="1"/>
  <c r="AF31" i="132"/>
  <c r="AF14" i="132"/>
  <c r="AD11" i="132"/>
  <c r="AF11" i="132" s="1"/>
  <c r="Z10" i="132"/>
  <c r="Z9" i="132" s="1"/>
  <c r="P249" i="133"/>
  <c r="AG249" i="133" s="1"/>
  <c r="AF249" i="133"/>
  <c r="P241" i="133"/>
  <c r="AG241" i="133" s="1"/>
  <c r="AF241" i="133"/>
  <c r="AF239" i="133"/>
  <c r="P239" i="133"/>
  <c r="AG239" i="133" s="1"/>
  <c r="AF133" i="133"/>
  <c r="P133" i="133"/>
  <c r="AG133" i="133" s="1"/>
  <c r="V191" i="132"/>
  <c r="L123" i="132"/>
  <c r="N124" i="132"/>
  <c r="AD109" i="132"/>
  <c r="AE109" i="132" s="1"/>
  <c r="AD103" i="132"/>
  <c r="AE103" i="132" s="1"/>
  <c r="AD102" i="132"/>
  <c r="AE102" i="132" s="1"/>
  <c r="AD98" i="132"/>
  <c r="AE98" i="132" s="1"/>
  <c r="AF96" i="132"/>
  <c r="R91" i="132"/>
  <c r="AF55" i="132"/>
  <c r="AC47" i="132"/>
  <c r="AC46" i="132" s="1"/>
  <c r="O35" i="132"/>
  <c r="P21" i="132"/>
  <c r="AG21" i="132" s="1"/>
  <c r="P254" i="133"/>
  <c r="AG254" i="133" s="1"/>
  <c r="AF254" i="133"/>
  <c r="AF125" i="132"/>
  <c r="P125" i="132"/>
  <c r="AG125" i="132" s="1"/>
  <c r="AG114" i="132"/>
  <c r="AF109" i="132"/>
  <c r="P109" i="132"/>
  <c r="AG109" i="132" s="1"/>
  <c r="AD104" i="132"/>
  <c r="AE104" i="132" s="1"/>
  <c r="P102" i="132"/>
  <c r="L99" i="132"/>
  <c r="N100" i="132"/>
  <c r="F91" i="132"/>
  <c r="F300" i="132" s="1"/>
  <c r="AF95" i="132"/>
  <c r="P95" i="132"/>
  <c r="AG95" i="132" s="1"/>
  <c r="N93" i="132"/>
  <c r="L92" i="132"/>
  <c r="AF82" i="132"/>
  <c r="P82" i="132"/>
  <c r="P81" i="132"/>
  <c r="O79" i="132"/>
  <c r="P80" i="132"/>
  <c r="AF54" i="132"/>
  <c r="P54" i="132"/>
  <c r="AG54" i="132" s="1"/>
  <c r="AF53" i="132"/>
  <c r="P53" i="132"/>
  <c r="AG53" i="132" s="1"/>
  <c r="K47" i="132"/>
  <c r="K46" i="132" s="1"/>
  <c r="P50" i="132"/>
  <c r="AD34" i="132"/>
  <c r="AF34" i="132" s="1"/>
  <c r="AC33" i="132"/>
  <c r="P23" i="132"/>
  <c r="AG23" i="132" s="1"/>
  <c r="K20" i="132"/>
  <c r="H19" i="132"/>
  <c r="H9" i="132" s="1"/>
  <c r="N10" i="132"/>
  <c r="N9" i="132" s="1"/>
  <c r="W9" i="132"/>
  <c r="AF287" i="133"/>
  <c r="AF284" i="133" s="1"/>
  <c r="P238" i="133"/>
  <c r="O237" i="133"/>
  <c r="AF238" i="133"/>
  <c r="P194" i="133"/>
  <c r="AG194" i="133" s="1"/>
  <c r="AF194" i="133"/>
  <c r="AF126" i="132"/>
  <c r="P126" i="132"/>
  <c r="AG126" i="132" s="1"/>
  <c r="D91" i="132"/>
  <c r="E91" i="132"/>
  <c r="E300" i="132" s="1"/>
  <c r="K79" i="132"/>
  <c r="P49" i="132"/>
  <c r="AG49" i="132" s="1"/>
  <c r="AF22" i="132"/>
  <c r="L9" i="132"/>
  <c r="AE285" i="133"/>
  <c r="AD284" i="133"/>
  <c r="AF262" i="133"/>
  <c r="P255" i="133"/>
  <c r="AG255" i="133" s="1"/>
  <c r="AF255" i="133"/>
  <c r="AE253" i="133"/>
  <c r="AE252" i="133" s="1"/>
  <c r="AD252" i="133"/>
  <c r="AE188" i="133"/>
  <c r="AE187" i="133" s="1"/>
  <c r="AD187" i="133"/>
  <c r="AD128" i="132"/>
  <c r="AE128" i="132" s="1"/>
  <c r="AF127" i="132"/>
  <c r="P127" i="132"/>
  <c r="AG127" i="132" s="1"/>
  <c r="AI91" i="132"/>
  <c r="M91" i="132"/>
  <c r="AF60" i="132"/>
  <c r="P60" i="132"/>
  <c r="AG60" i="132" s="1"/>
  <c r="AF24" i="132"/>
  <c r="P24" i="132"/>
  <c r="AG24" i="132" s="1"/>
  <c r="P17" i="132"/>
  <c r="AG17" i="132" s="1"/>
  <c r="AF17" i="132"/>
  <c r="P15" i="132"/>
  <c r="AG15" i="132" s="1"/>
  <c r="AF15" i="132"/>
  <c r="O13" i="132"/>
  <c r="K10" i="132"/>
  <c r="AF245" i="133"/>
  <c r="P245" i="133"/>
  <c r="AG245" i="133" s="1"/>
  <c r="P199" i="133"/>
  <c r="AF199" i="133"/>
  <c r="P179" i="133"/>
  <c r="N118" i="132"/>
  <c r="Z99" i="132"/>
  <c r="P98" i="132"/>
  <c r="P96" i="132"/>
  <c r="AG96" i="132" s="1"/>
  <c r="P94" i="132"/>
  <c r="AG94" i="132" s="1"/>
  <c r="AD48" i="132"/>
  <c r="AD27" i="132"/>
  <c r="AD20" i="132"/>
  <c r="P12" i="132"/>
  <c r="AG12" i="132" s="1"/>
  <c r="P11" i="132"/>
  <c r="O279" i="133"/>
  <c r="AD276" i="133"/>
  <c r="AE276" i="133" s="1"/>
  <c r="AG276" i="133" s="1"/>
  <c r="AD266" i="133"/>
  <c r="AF266" i="133" s="1"/>
  <c r="AF260" i="133"/>
  <c r="AF248" i="133"/>
  <c r="AF243" i="133"/>
  <c r="P243" i="133"/>
  <c r="AG243" i="133" s="1"/>
  <c r="AD235" i="133"/>
  <c r="AE235" i="133" s="1"/>
  <c r="AF225" i="133"/>
  <c r="P207" i="133"/>
  <c r="P185" i="133"/>
  <c r="O184" i="133"/>
  <c r="AE177" i="133"/>
  <c r="AG177" i="133" s="1"/>
  <c r="AF177" i="133"/>
  <c r="P266" i="133"/>
  <c r="O261" i="133"/>
  <c r="AF246" i="133"/>
  <c r="AD233" i="133"/>
  <c r="AE233" i="133" s="1"/>
  <c r="AG233" i="133" s="1"/>
  <c r="AD231" i="133"/>
  <c r="AE231" i="133" s="1"/>
  <c r="AD221" i="133"/>
  <c r="AE221" i="133" s="1"/>
  <c r="AE213" i="133"/>
  <c r="AE212" i="133" s="1"/>
  <c r="AE199" i="133"/>
  <c r="P174" i="133"/>
  <c r="AG174" i="133" s="1"/>
  <c r="AF174" i="133"/>
  <c r="P168" i="133"/>
  <c r="O52" i="132"/>
  <c r="O275" i="133"/>
  <c r="P271" i="133"/>
  <c r="AG271" i="133" s="1"/>
  <c r="AF271" i="133"/>
  <c r="Q250" i="133"/>
  <c r="AE234" i="133"/>
  <c r="AG234" i="133" s="1"/>
  <c r="AE232" i="133"/>
  <c r="AG232" i="133" s="1"/>
  <c r="Q228" i="133"/>
  <c r="Q218" i="133" s="1"/>
  <c r="P171" i="133"/>
  <c r="O170" i="133"/>
  <c r="P161" i="133"/>
  <c r="O284" i="133"/>
  <c r="P253" i="133"/>
  <c r="AF253" i="133"/>
  <c r="O252" i="133"/>
  <c r="AF247" i="133"/>
  <c r="P247" i="133"/>
  <c r="AG247" i="133" s="1"/>
  <c r="P236" i="133"/>
  <c r="AI218" i="133"/>
  <c r="AF204" i="133"/>
  <c r="P204" i="133"/>
  <c r="AG204" i="133" s="1"/>
  <c r="P203" i="133"/>
  <c r="AF136" i="132"/>
  <c r="AD259" i="133"/>
  <c r="AE259" i="133" s="1"/>
  <c r="AE257" i="133" s="1"/>
  <c r="AF258" i="133"/>
  <c r="O257" i="133"/>
  <c r="B250" i="133"/>
  <c r="AG248" i="133"/>
  <c r="P210" i="133"/>
  <c r="P209" i="133"/>
  <c r="AG209" i="133" s="1"/>
  <c r="AF209" i="133"/>
  <c r="AD184" i="133"/>
  <c r="AE185" i="133"/>
  <c r="AE184" i="133" s="1"/>
  <c r="AD274" i="133"/>
  <c r="AC273" i="133"/>
  <c r="P264" i="133"/>
  <c r="P259" i="133"/>
  <c r="P257" i="133" s="1"/>
  <c r="AE238" i="133"/>
  <c r="AF233" i="133"/>
  <c r="AF231" i="133"/>
  <c r="P231" i="133"/>
  <c r="P216" i="133"/>
  <c r="AG216" i="133" s="1"/>
  <c r="P175" i="133"/>
  <c r="AF169" i="133"/>
  <c r="AE270" i="133"/>
  <c r="AE269" i="133" s="1"/>
  <c r="AD269" i="133"/>
  <c r="O268" i="133"/>
  <c r="AG260" i="133"/>
  <c r="AF234" i="133"/>
  <c r="AF232" i="133"/>
  <c r="B218" i="133"/>
  <c r="P220" i="133"/>
  <c r="AC202" i="133"/>
  <c r="AD202" i="133" s="1"/>
  <c r="AE202" i="133" s="1"/>
  <c r="AD196" i="133"/>
  <c r="AE196" i="133" s="1"/>
  <c r="AD220" i="133"/>
  <c r="AF220" i="133" s="1"/>
  <c r="AC207" i="133"/>
  <c r="AD207" i="133" s="1"/>
  <c r="AE207" i="133" s="1"/>
  <c r="AC201" i="133"/>
  <c r="AD201" i="133" s="1"/>
  <c r="AE201" i="133" s="1"/>
  <c r="O193" i="133"/>
  <c r="AD179" i="133"/>
  <c r="AE179" i="133" s="1"/>
  <c r="AD178" i="133"/>
  <c r="P173" i="133"/>
  <c r="AG173" i="133" s="1"/>
  <c r="AF173" i="133"/>
  <c r="P165" i="133"/>
  <c r="AF155" i="133"/>
  <c r="P155" i="133"/>
  <c r="AE142" i="133"/>
  <c r="AE140" i="133" s="1"/>
  <c r="AD140" i="133"/>
  <c r="P135" i="133"/>
  <c r="AF129" i="133"/>
  <c r="P129" i="133"/>
  <c r="AE123" i="133"/>
  <c r="AG123" i="133" s="1"/>
  <c r="AF223" i="133"/>
  <c r="P223" i="133"/>
  <c r="AG223" i="133" s="1"/>
  <c r="AF214" i="133"/>
  <c r="AD210" i="133"/>
  <c r="AE210" i="133" s="1"/>
  <c r="N196" i="133"/>
  <c r="O196" i="133" s="1"/>
  <c r="Q190" i="133"/>
  <c r="AG119" i="133"/>
  <c r="AG188" i="133"/>
  <c r="AG187" i="133" s="1"/>
  <c r="P187" i="133"/>
  <c r="AF156" i="133"/>
  <c r="P156" i="133"/>
  <c r="AG156" i="133" s="1"/>
  <c r="O227" i="133"/>
  <c r="O211" i="133"/>
  <c r="O208" i="133"/>
  <c r="O205" i="133" s="1"/>
  <c r="O202" i="133"/>
  <c r="AD166" i="133"/>
  <c r="AE166" i="133" s="1"/>
  <c r="AG166" i="133" s="1"/>
  <c r="P163" i="133"/>
  <c r="O151" i="133"/>
  <c r="AG66" i="133"/>
  <c r="AF63" i="133"/>
  <c r="P63" i="133"/>
  <c r="AG63" i="133" s="1"/>
  <c r="AF188" i="133"/>
  <c r="P183" i="133"/>
  <c r="P157" i="133"/>
  <c r="AF124" i="133"/>
  <c r="P124" i="133"/>
  <c r="AG124" i="133" s="1"/>
  <c r="O182" i="133"/>
  <c r="O181" i="133"/>
  <c r="P167" i="133"/>
  <c r="P153" i="133"/>
  <c r="AF145" i="133"/>
  <c r="AF75" i="133"/>
  <c r="P75" i="133"/>
  <c r="AG75" i="133" s="1"/>
  <c r="AF72" i="133"/>
  <c r="P72" i="133"/>
  <c r="AG72" i="133" s="1"/>
  <c r="AD172" i="133"/>
  <c r="AF166" i="133"/>
  <c r="AD163" i="133"/>
  <c r="AE163" i="133" s="1"/>
  <c r="AC153" i="133"/>
  <c r="AD153" i="133" s="1"/>
  <c r="O139" i="133"/>
  <c r="O138" i="133"/>
  <c r="AD135" i="133"/>
  <c r="AF135" i="133" s="1"/>
  <c r="O121" i="133"/>
  <c r="AF118" i="133"/>
  <c r="P118" i="133"/>
  <c r="AG118" i="133" s="1"/>
  <c r="P113" i="133"/>
  <c r="AG113" i="133" s="1"/>
  <c r="AF113" i="133"/>
  <c r="P109" i="133"/>
  <c r="AD73" i="133"/>
  <c r="AE73" i="133" s="1"/>
  <c r="AF41" i="133"/>
  <c r="P41" i="133"/>
  <c r="O40" i="133"/>
  <c r="AF37" i="133"/>
  <c r="P37" i="133"/>
  <c r="AG37" i="133" s="1"/>
  <c r="AD33" i="133"/>
  <c r="AE34" i="133"/>
  <c r="AE33" i="133" s="1"/>
  <c r="P27" i="133"/>
  <c r="P21" i="133"/>
  <c r="AG21" i="133" s="1"/>
  <c r="AD162" i="133"/>
  <c r="AD151" i="133"/>
  <c r="AE151" i="133" s="1"/>
  <c r="O137" i="133"/>
  <c r="AF92" i="133"/>
  <c r="P92" i="133"/>
  <c r="P59" i="133"/>
  <c r="AG59" i="133" s="1"/>
  <c r="AF59" i="133"/>
  <c r="O56" i="133"/>
  <c r="AD175" i="133"/>
  <c r="AE175" i="133" s="1"/>
  <c r="AD171" i="133"/>
  <c r="AD161" i="133"/>
  <c r="AE161" i="133" s="1"/>
  <c r="O144" i="133"/>
  <c r="O136" i="133"/>
  <c r="AD132" i="133"/>
  <c r="AE132" i="133" s="1"/>
  <c r="AD126" i="133"/>
  <c r="AE126" i="133" s="1"/>
  <c r="P94" i="133"/>
  <c r="P62" i="133"/>
  <c r="AG62" i="133" s="1"/>
  <c r="AF62" i="133"/>
  <c r="P57" i="133"/>
  <c r="AG57" i="133" s="1"/>
  <c r="AF57" i="133"/>
  <c r="P29" i="133"/>
  <c r="AF29" i="133"/>
  <c r="AF123" i="133"/>
  <c r="AF119" i="133"/>
  <c r="P111" i="133"/>
  <c r="AF111" i="133"/>
  <c r="AF23" i="133"/>
  <c r="P23" i="133"/>
  <c r="AG23" i="133" s="1"/>
  <c r="AD159" i="133"/>
  <c r="O154" i="133"/>
  <c r="O152" i="133" s="1"/>
  <c r="O127" i="133"/>
  <c r="AD109" i="133"/>
  <c r="AE109" i="133" s="1"/>
  <c r="AF107" i="133"/>
  <c r="P107" i="133"/>
  <c r="AG107" i="133" s="1"/>
  <c r="AG101" i="133"/>
  <c r="AI89" i="133"/>
  <c r="AI288" i="133" s="1"/>
  <c r="P76" i="133"/>
  <c r="AF35" i="133"/>
  <c r="P35" i="133"/>
  <c r="AG35" i="133" s="1"/>
  <c r="P32" i="133"/>
  <c r="AF97" i="133"/>
  <c r="P97" i="133"/>
  <c r="AG97" i="133" s="1"/>
  <c r="AE92" i="133"/>
  <c r="AH89" i="133"/>
  <c r="AF77" i="133"/>
  <c r="AD58" i="133"/>
  <c r="AE58" i="133" s="1"/>
  <c r="P36" i="133"/>
  <c r="AG36" i="133" s="1"/>
  <c r="AF36" i="133"/>
  <c r="AF30" i="133"/>
  <c r="P30" i="133"/>
  <c r="AG30" i="133" s="1"/>
  <c r="O150" i="133"/>
  <c r="O149" i="133"/>
  <c r="AD125" i="133"/>
  <c r="AE125" i="133" s="1"/>
  <c r="AG125" i="133" s="1"/>
  <c r="P112" i="133"/>
  <c r="AF108" i="133"/>
  <c r="AF66" i="133"/>
  <c r="P22" i="133"/>
  <c r="AG22" i="133" s="1"/>
  <c r="AF22" i="133"/>
  <c r="P20" i="133"/>
  <c r="AE117" i="133"/>
  <c r="AE116" i="133" s="1"/>
  <c r="AD116" i="133"/>
  <c r="O115" i="133"/>
  <c r="O110" i="133" s="1"/>
  <c r="O106" i="133"/>
  <c r="O105" i="133"/>
  <c r="AF96" i="133"/>
  <c r="P96" i="133"/>
  <c r="AD71" i="133"/>
  <c r="AE71" i="133" s="1"/>
  <c r="AG71" i="133" s="1"/>
  <c r="O70" i="133"/>
  <c r="O60" i="133"/>
  <c r="AD27" i="133"/>
  <c r="AD20" i="133"/>
  <c r="AF20" i="133" s="1"/>
  <c r="O16" i="133"/>
  <c r="AC114" i="133"/>
  <c r="AD114" i="133" s="1"/>
  <c r="AE114" i="133" s="1"/>
  <c r="AE111" i="133"/>
  <c r="Q89" i="133"/>
  <c r="P64" i="133"/>
  <c r="AG64" i="133" s="1"/>
  <c r="AF64" i="133"/>
  <c r="AD25" i="133"/>
  <c r="AE25" i="133" s="1"/>
  <c r="AG25" i="133" s="1"/>
  <c r="AG13" i="133"/>
  <c r="AH9" i="133"/>
  <c r="AF120" i="133"/>
  <c r="P120" i="133"/>
  <c r="AG120" i="133" s="1"/>
  <c r="O117" i="133"/>
  <c r="P114" i="133"/>
  <c r="AD105" i="133"/>
  <c r="AD96" i="133"/>
  <c r="AE96" i="133" s="1"/>
  <c r="B89" i="133"/>
  <c r="P74" i="133"/>
  <c r="AD56" i="133"/>
  <c r="AF34" i="133"/>
  <c r="P34" i="133"/>
  <c r="O31" i="133"/>
  <c r="Q9" i="133"/>
  <c r="O18" i="133"/>
  <c r="AD16" i="133"/>
  <c r="AE16" i="133" s="1"/>
  <c r="O14" i="133"/>
  <c r="AF100" i="133"/>
  <c r="AF68" i="133"/>
  <c r="AF12" i="133"/>
  <c r="P103" i="133"/>
  <c r="AG103" i="133" s="1"/>
  <c r="P99" i="133"/>
  <c r="P11" i="133"/>
  <c r="O98" i="133"/>
  <c r="AF217" i="131"/>
  <c r="P193" i="131"/>
  <c r="AG212" i="131"/>
  <c r="AF213" i="131"/>
  <c r="AE213" i="131"/>
  <c r="AG213" i="131" s="1"/>
  <c r="P197" i="131"/>
  <c r="AG219" i="131"/>
  <c r="AG216" i="131" s="1"/>
  <c r="P216" i="131"/>
  <c r="AG215" i="131"/>
  <c r="O210" i="131"/>
  <c r="P210" i="131" s="1"/>
  <c r="AG210" i="131" s="1"/>
  <c r="K207" i="131"/>
  <c r="AF201" i="131"/>
  <c r="AF193" i="131"/>
  <c r="AF189" i="131"/>
  <c r="P162" i="131"/>
  <c r="AG162" i="131" s="1"/>
  <c r="AF153" i="131"/>
  <c r="AE153" i="131"/>
  <c r="N146" i="131"/>
  <c r="O147" i="131"/>
  <c r="AF215" i="131"/>
  <c r="N203" i="131"/>
  <c r="N199" i="131"/>
  <c r="N195" i="131"/>
  <c r="N191" i="131"/>
  <c r="AG183" i="131"/>
  <c r="AE180" i="131"/>
  <c r="AG180" i="131" s="1"/>
  <c r="AF180" i="131"/>
  <c r="AE172" i="131"/>
  <c r="AG172" i="131" s="1"/>
  <c r="N161" i="131"/>
  <c r="K111" i="131"/>
  <c r="O112" i="131"/>
  <c r="AF87" i="131"/>
  <c r="AE87" i="131"/>
  <c r="AG87" i="131" s="1"/>
  <c r="AD221" i="131"/>
  <c r="AD220" i="131" s="1"/>
  <c r="N216" i="131"/>
  <c r="AD206" i="131"/>
  <c r="O204" i="131"/>
  <c r="O200" i="131"/>
  <c r="O188" i="131"/>
  <c r="P188" i="131" s="1"/>
  <c r="AF183" i="131"/>
  <c r="AF177" i="131"/>
  <c r="AA151" i="131"/>
  <c r="AE169" i="131"/>
  <c r="AG169" i="131" s="1"/>
  <c r="AF169" i="131"/>
  <c r="AF130" i="131"/>
  <c r="O221" i="131"/>
  <c r="O220" i="131" s="1"/>
  <c r="AF209" i="131"/>
  <c r="AE187" i="131"/>
  <c r="AF184" i="131"/>
  <c r="K161" i="131"/>
  <c r="Q151" i="131"/>
  <c r="AD214" i="131"/>
  <c r="AD208" i="131"/>
  <c r="Z207" i="131"/>
  <c r="O206" i="131"/>
  <c r="P206" i="131" s="1"/>
  <c r="K203" i="131"/>
  <c r="AG181" i="131"/>
  <c r="AG177" i="131"/>
  <c r="AG155" i="131"/>
  <c r="P132" i="131"/>
  <c r="AF132" i="131"/>
  <c r="AE126" i="131"/>
  <c r="AF126" i="131"/>
  <c r="AF110" i="131"/>
  <c r="AE110" i="131"/>
  <c r="AG110" i="131" s="1"/>
  <c r="O102" i="131"/>
  <c r="K97" i="131"/>
  <c r="AE98" i="131"/>
  <c r="O202" i="131"/>
  <c r="K199" i="131"/>
  <c r="O198" i="131"/>
  <c r="K195" i="131"/>
  <c r="O194" i="131"/>
  <c r="K191" i="131"/>
  <c r="M185" i="131"/>
  <c r="M151" i="131" s="1"/>
  <c r="K186" i="131"/>
  <c r="O190" i="131"/>
  <c r="AG184" i="131"/>
  <c r="AE178" i="131"/>
  <c r="AG178" i="131" s="1"/>
  <c r="AF178" i="131"/>
  <c r="AF160" i="131"/>
  <c r="AE160" i="131"/>
  <c r="AG160" i="131" s="1"/>
  <c r="AE114" i="131"/>
  <c r="AG114" i="131" s="1"/>
  <c r="AF114" i="131"/>
  <c r="AF181" i="131"/>
  <c r="N152" i="131"/>
  <c r="AD145" i="131"/>
  <c r="AC144" i="131"/>
  <c r="AE115" i="131"/>
  <c r="AG115" i="131" s="1"/>
  <c r="AF115" i="131"/>
  <c r="O214" i="131"/>
  <c r="P214" i="131" s="1"/>
  <c r="P211" i="131" s="1"/>
  <c r="N211" i="131"/>
  <c r="K211" i="131"/>
  <c r="O208" i="131"/>
  <c r="AF205" i="131"/>
  <c r="AD204" i="131"/>
  <c r="Z203" i="131"/>
  <c r="AE201" i="131"/>
  <c r="AG201" i="131" s="1"/>
  <c r="AD200" i="131"/>
  <c r="Z199" i="131"/>
  <c r="AE197" i="131"/>
  <c r="AG197" i="131" s="1"/>
  <c r="AD196" i="131"/>
  <c r="Z195" i="131"/>
  <c r="AE193" i="131"/>
  <c r="AD192" i="131"/>
  <c r="Z191" i="131"/>
  <c r="AE189" i="131"/>
  <c r="AG189" i="131" s="1"/>
  <c r="Z186" i="131"/>
  <c r="AD188" i="131"/>
  <c r="N186" i="131"/>
  <c r="AF182" i="131"/>
  <c r="K170" i="131"/>
  <c r="AE167" i="131"/>
  <c r="O154" i="131"/>
  <c r="K152" i="131"/>
  <c r="AE148" i="131"/>
  <c r="AE134" i="131"/>
  <c r="AG134" i="131" s="1"/>
  <c r="AF134" i="131"/>
  <c r="AE129" i="131"/>
  <c r="AG129" i="131" s="1"/>
  <c r="AF129" i="131"/>
  <c r="AG109" i="131"/>
  <c r="O187" i="131"/>
  <c r="AD173" i="131"/>
  <c r="AD171" i="131"/>
  <c r="AG168" i="131"/>
  <c r="AF164" i="131"/>
  <c r="AF162" i="131"/>
  <c r="AF156" i="131"/>
  <c r="AF155" i="131"/>
  <c r="AC152" i="131"/>
  <c r="AF136" i="131"/>
  <c r="AF131" i="131"/>
  <c r="AC125" i="131"/>
  <c r="O123" i="131"/>
  <c r="P123" i="131" s="1"/>
  <c r="AF120" i="131"/>
  <c r="AE107" i="131"/>
  <c r="P105" i="131"/>
  <c r="P52" i="131"/>
  <c r="AE20" i="131"/>
  <c r="N170" i="131"/>
  <c r="Z170" i="131"/>
  <c r="AF168" i="131"/>
  <c r="AF166" i="131"/>
  <c r="AF147" i="131"/>
  <c r="AG136" i="131"/>
  <c r="AF127" i="131"/>
  <c r="K125" i="131"/>
  <c r="AE101" i="131"/>
  <c r="AG101" i="131" s="1"/>
  <c r="AF101" i="131"/>
  <c r="AB73" i="131"/>
  <c r="AE34" i="131"/>
  <c r="AG34" i="131" s="1"/>
  <c r="AF34" i="131"/>
  <c r="O171" i="131"/>
  <c r="AD159" i="131"/>
  <c r="AD154" i="131"/>
  <c r="AE149" i="131"/>
  <c r="AG149" i="131" s="1"/>
  <c r="AG132" i="131"/>
  <c r="AF117" i="131"/>
  <c r="AE77" i="131"/>
  <c r="AG77" i="131" s="1"/>
  <c r="AF77" i="131"/>
  <c r="Z152" i="131"/>
  <c r="AF143" i="131"/>
  <c r="AE142" i="131"/>
  <c r="AF137" i="131"/>
  <c r="AG127" i="131"/>
  <c r="N125" i="131"/>
  <c r="Z125" i="131"/>
  <c r="AG117" i="131"/>
  <c r="AF113" i="131"/>
  <c r="AE99" i="131"/>
  <c r="AG99" i="131" s="1"/>
  <c r="AF99" i="131"/>
  <c r="Y73" i="131"/>
  <c r="Q73" i="131"/>
  <c r="AE62" i="131"/>
  <c r="AG62" i="131" s="1"/>
  <c r="AF62" i="131"/>
  <c r="O24" i="131"/>
  <c r="N23" i="131"/>
  <c r="Z111" i="131"/>
  <c r="AD112" i="131"/>
  <c r="AE108" i="131"/>
  <c r="AG108" i="131" s="1"/>
  <c r="AF108" i="131"/>
  <c r="AF64" i="131"/>
  <c r="AD123" i="131"/>
  <c r="O121" i="131"/>
  <c r="P121" i="131" s="1"/>
  <c r="AG121" i="131" s="1"/>
  <c r="AE95" i="131"/>
  <c r="AG95" i="131" s="1"/>
  <c r="AF95" i="131"/>
  <c r="AF174" i="131"/>
  <c r="O167" i="131"/>
  <c r="P167" i="131" s="1"/>
  <c r="O165" i="131"/>
  <c r="P165" i="131" s="1"/>
  <c r="AG165" i="131" s="1"/>
  <c r="O158" i="131"/>
  <c r="AD150" i="131"/>
  <c r="AD146" i="131" s="1"/>
  <c r="O148" i="131"/>
  <c r="P148" i="131" s="1"/>
  <c r="O142" i="131"/>
  <c r="P142" i="131" s="1"/>
  <c r="AF139" i="131"/>
  <c r="AD138" i="131"/>
  <c r="AE100" i="131"/>
  <c r="AG100" i="131" s="1"/>
  <c r="AF100" i="131"/>
  <c r="O119" i="131"/>
  <c r="AD106" i="131"/>
  <c r="AF105" i="131"/>
  <c r="AC97" i="131"/>
  <c r="N82" i="131"/>
  <c r="AA73" i="131"/>
  <c r="AE58" i="131"/>
  <c r="AG58" i="131" s="1"/>
  <c r="AF58" i="131"/>
  <c r="AF56" i="131"/>
  <c r="AE38" i="131"/>
  <c r="AE37" i="131" s="1"/>
  <c r="AD37" i="131"/>
  <c r="K30" i="131"/>
  <c r="O30" i="131"/>
  <c r="Q16" i="131"/>
  <c r="AG15" i="131"/>
  <c r="P9" i="131"/>
  <c r="AE84" i="131"/>
  <c r="AG84" i="131" s="1"/>
  <c r="AF84" i="131"/>
  <c r="AE80" i="131"/>
  <c r="AF80" i="131"/>
  <c r="AE67" i="131"/>
  <c r="AG67" i="131" s="1"/>
  <c r="AF67" i="131"/>
  <c r="AE65" i="131"/>
  <c r="AG65" i="131" s="1"/>
  <c r="AF65" i="131"/>
  <c r="AE51" i="131"/>
  <c r="AG51" i="131" s="1"/>
  <c r="AF51" i="131"/>
  <c r="AE49" i="131"/>
  <c r="AG49" i="131" s="1"/>
  <c r="AF49" i="131"/>
  <c r="AE46" i="131"/>
  <c r="AG46" i="131" s="1"/>
  <c r="AF21" i="131"/>
  <c r="AF18" i="131"/>
  <c r="Q8" i="131"/>
  <c r="K104" i="131"/>
  <c r="N97" i="131"/>
  <c r="AD88" i="131"/>
  <c r="Z82" i="131"/>
  <c r="B73" i="131"/>
  <c r="Z74" i="131"/>
  <c r="M73" i="131"/>
  <c r="AG68" i="131"/>
  <c r="K42" i="131"/>
  <c r="K41" i="131" s="1"/>
  <c r="AE35" i="131"/>
  <c r="AG35" i="131" s="1"/>
  <c r="AF35" i="131"/>
  <c r="AE33" i="131"/>
  <c r="AG33" i="131" s="1"/>
  <c r="N16" i="131"/>
  <c r="K9" i="131"/>
  <c r="O9" i="131"/>
  <c r="O98" i="131"/>
  <c r="AF98" i="131" s="1"/>
  <c r="AE96" i="131"/>
  <c r="AG96" i="131" s="1"/>
  <c r="AF96" i="131"/>
  <c r="AE91" i="131"/>
  <c r="AG91" i="131" s="1"/>
  <c r="AF91" i="131"/>
  <c r="AD90" i="131"/>
  <c r="AC89" i="131"/>
  <c r="N74" i="131"/>
  <c r="L73" i="131"/>
  <c r="AE59" i="131"/>
  <c r="AE57" i="131"/>
  <c r="AG57" i="131" s="1"/>
  <c r="AF57" i="131"/>
  <c r="AG44" i="131"/>
  <c r="AE26" i="131"/>
  <c r="AG26" i="131" s="1"/>
  <c r="AF26" i="131"/>
  <c r="AC23" i="131"/>
  <c r="AG21" i="131"/>
  <c r="AG18" i="131"/>
  <c r="K16" i="131"/>
  <c r="AD119" i="131"/>
  <c r="AE81" i="131"/>
  <c r="AG81" i="131" s="1"/>
  <c r="AF81" i="131"/>
  <c r="AE79" i="131"/>
  <c r="AG79" i="131" s="1"/>
  <c r="AF79" i="131"/>
  <c r="AF78" i="131"/>
  <c r="AD76" i="131"/>
  <c r="AC74" i="131"/>
  <c r="AF68" i="131"/>
  <c r="AE66" i="131"/>
  <c r="AE63" i="131"/>
  <c r="AG63" i="131" s="1"/>
  <c r="AF63" i="131"/>
  <c r="AD61" i="131"/>
  <c r="AC60" i="131"/>
  <c r="AC41" i="131" s="1"/>
  <c r="AE47" i="131"/>
  <c r="AG47" i="131" s="1"/>
  <c r="AF47" i="131"/>
  <c r="AE45" i="131"/>
  <c r="O40" i="131"/>
  <c r="K39" i="131"/>
  <c r="AE22" i="131"/>
  <c r="AG22" i="131" s="1"/>
  <c r="AF22" i="131"/>
  <c r="AE19" i="131"/>
  <c r="AG19" i="131" s="1"/>
  <c r="AF19" i="131"/>
  <c r="AE14" i="131"/>
  <c r="AG14" i="131" s="1"/>
  <c r="AF14" i="131"/>
  <c r="AE12" i="131"/>
  <c r="AG12" i="131" s="1"/>
  <c r="AF12" i="131"/>
  <c r="Z89" i="131"/>
  <c r="N89" i="131"/>
  <c r="AI73" i="131"/>
  <c r="Z30" i="131"/>
  <c r="K89" i="131"/>
  <c r="O90" i="131"/>
  <c r="AE85" i="131"/>
  <c r="AG85" i="131" s="1"/>
  <c r="AF85" i="131"/>
  <c r="AD83" i="131"/>
  <c r="AC82" i="131"/>
  <c r="AH73" i="131"/>
  <c r="AE71" i="131"/>
  <c r="AG71" i="131" s="1"/>
  <c r="AF71" i="131"/>
  <c r="AE69" i="131"/>
  <c r="AG69" i="131" s="1"/>
  <c r="AF69" i="131"/>
  <c r="N60" i="131"/>
  <c r="AE55" i="131"/>
  <c r="AG55" i="131" s="1"/>
  <c r="AF55" i="131"/>
  <c r="AE53" i="131"/>
  <c r="AG53" i="131" s="1"/>
  <c r="AF53" i="131"/>
  <c r="AE50" i="131"/>
  <c r="AG50" i="131" s="1"/>
  <c r="AF50" i="131"/>
  <c r="P30" i="131"/>
  <c r="AF29" i="131"/>
  <c r="AE27" i="131"/>
  <c r="AG27" i="131" s="1"/>
  <c r="AF27" i="131"/>
  <c r="AF15" i="131"/>
  <c r="AD75" i="131"/>
  <c r="O17" i="131"/>
  <c r="AD40" i="131"/>
  <c r="AC37" i="131"/>
  <c r="O83" i="131"/>
  <c r="O61" i="131"/>
  <c r="AD24" i="131"/>
  <c r="AD43" i="131"/>
  <c r="AD31" i="131"/>
  <c r="AD17" i="131"/>
  <c r="AD10" i="131"/>
  <c r="O75" i="131"/>
  <c r="P49" i="130"/>
  <c r="AF49" i="130"/>
  <c r="AF47" i="130"/>
  <c r="AE47" i="130"/>
  <c r="AE17" i="130"/>
  <c r="AF17" i="130"/>
  <c r="AI17" i="130"/>
  <c r="AC63" i="129"/>
  <c r="AF42" i="130"/>
  <c r="AE42" i="130"/>
  <c r="P38" i="130"/>
  <c r="AF38" i="130"/>
  <c r="AD10" i="130"/>
  <c r="AE11" i="130"/>
  <c r="AE10" i="130" s="1"/>
  <c r="AI11" i="130"/>
  <c r="AI10" i="130" s="1"/>
  <c r="AF39" i="129"/>
  <c r="AF45" i="130"/>
  <c r="AE45" i="130"/>
  <c r="AF50" i="130"/>
  <c r="AD35" i="130"/>
  <c r="AE37" i="130"/>
  <c r="AF37" i="130"/>
  <c r="AI37" i="130"/>
  <c r="AE24" i="130"/>
  <c r="AF24" i="130"/>
  <c r="AI24" i="130"/>
  <c r="P19" i="130"/>
  <c r="P14" i="130" s="1"/>
  <c r="O33" i="129"/>
  <c r="P34" i="129"/>
  <c r="P33" i="129" s="1"/>
  <c r="AF43" i="130"/>
  <c r="AE43" i="130"/>
  <c r="AE44" i="129"/>
  <c r="AF46" i="130"/>
  <c r="AE46" i="130"/>
  <c r="P40" i="130"/>
  <c r="AF40" i="130"/>
  <c r="AF26" i="130"/>
  <c r="AI26" i="130"/>
  <c r="AE26" i="130"/>
  <c r="AF41" i="130"/>
  <c r="AE41" i="130"/>
  <c r="AI16" i="130"/>
  <c r="AE16" i="130"/>
  <c r="AF16" i="130"/>
  <c r="P42" i="129"/>
  <c r="P40" i="129" s="1"/>
  <c r="O40" i="129"/>
  <c r="P18" i="129"/>
  <c r="AF18" i="129" s="1"/>
  <c r="AF44" i="130"/>
  <c r="AE44" i="130"/>
  <c r="AF27" i="130"/>
  <c r="AI27" i="130"/>
  <c r="AI21" i="130" s="1"/>
  <c r="AE42" i="129"/>
  <c r="AE40" i="129" s="1"/>
  <c r="AD34" i="129"/>
  <c r="AI31" i="129"/>
  <c r="AD27" i="129"/>
  <c r="AD20" i="129"/>
  <c r="AI17" i="129"/>
  <c r="AI10" i="129" s="1"/>
  <c r="AE40" i="130"/>
  <c r="AF39" i="130"/>
  <c r="O36" i="130"/>
  <c r="AD29" i="130"/>
  <c r="AE19" i="130"/>
  <c r="O11" i="130"/>
  <c r="K33" i="129"/>
  <c r="K26" i="129"/>
  <c r="K21" i="130"/>
  <c r="K14" i="130"/>
  <c r="N40" i="129"/>
  <c r="Z33" i="129"/>
  <c r="Z26" i="129"/>
  <c r="Z19" i="129"/>
  <c r="Z10" i="130"/>
  <c r="AE48" i="129"/>
  <c r="AF36" i="130"/>
  <c r="AI34" i="130"/>
  <c r="AI23" i="130"/>
  <c r="AF56" i="129"/>
  <c r="AF15" i="130"/>
  <c r="M63" i="129"/>
  <c r="AF34" i="130"/>
  <c r="O22" i="130"/>
  <c r="AF22" i="130" s="1"/>
  <c r="H9" i="115"/>
  <c r="I21" i="114"/>
  <c r="I17" i="114"/>
  <c r="H22" i="115"/>
  <c r="H18" i="115"/>
  <c r="H14" i="115"/>
  <c r="I11" i="115"/>
  <c r="I7" i="115"/>
  <c r="I19" i="114"/>
  <c r="I15" i="114"/>
  <c r="I11" i="114"/>
  <c r="I7" i="114"/>
  <c r="I19" i="115"/>
  <c r="I15" i="115"/>
  <c r="E23" i="115"/>
  <c r="H11" i="115"/>
  <c r="F7" i="115"/>
  <c r="F23" i="115" s="1"/>
  <c r="F23" i="119"/>
  <c r="H11" i="114"/>
  <c r="H7" i="114"/>
  <c r="H23" i="114" s="1"/>
  <c r="F12" i="115"/>
  <c r="H12" i="115" s="1"/>
  <c r="F12" i="114"/>
  <c r="H12" i="114" s="1"/>
  <c r="H20" i="115"/>
  <c r="I13" i="115"/>
  <c r="I9" i="115"/>
  <c r="F23" i="114"/>
  <c r="I10" i="114"/>
  <c r="E23" i="114"/>
  <c r="G23" i="115"/>
  <c r="H19" i="115"/>
  <c r="H15" i="115"/>
  <c r="I12" i="115"/>
  <c r="I8" i="115"/>
  <c r="C23" i="114"/>
  <c r="H22" i="114"/>
  <c r="H18" i="114"/>
  <c r="H14" i="114"/>
  <c r="H10" i="114"/>
  <c r="I20" i="115"/>
  <c r="I16" i="115"/>
  <c r="H8" i="115"/>
  <c r="D7" i="115"/>
  <c r="D23" i="115" s="1"/>
  <c r="I12" i="114"/>
  <c r="I8" i="114"/>
  <c r="H21" i="115"/>
  <c r="H17" i="115"/>
  <c r="I10" i="115"/>
  <c r="H20" i="114"/>
  <c r="H16" i="114"/>
  <c r="I22" i="115"/>
  <c r="I18" i="115"/>
  <c r="I14" i="115"/>
  <c r="H10" i="115"/>
  <c r="C14" i="115"/>
  <c r="C23" i="115" s="1"/>
  <c r="H21" i="114"/>
  <c r="H17" i="114"/>
  <c r="I22" i="114"/>
  <c r="I18" i="114"/>
  <c r="I14" i="114"/>
  <c r="H13" i="114"/>
  <c r="G23" i="114"/>
  <c r="I9" i="114"/>
  <c r="H19" i="114"/>
  <c r="H15" i="114"/>
  <c r="H8" i="114"/>
  <c r="C23" i="116"/>
  <c r="I20" i="114"/>
  <c r="I16" i="114"/>
  <c r="H9" i="114"/>
  <c r="O57" i="112"/>
  <c r="D43" i="112"/>
  <c r="D57" i="112" s="1"/>
  <c r="K10" i="111"/>
  <c r="K56" i="111" s="1"/>
  <c r="L56" i="110"/>
  <c r="D56" i="110"/>
  <c r="N398" i="93"/>
  <c r="I398" i="93"/>
  <c r="W307" i="92"/>
  <c r="W38" i="93"/>
  <c r="W37" i="92"/>
  <c r="H395" i="93"/>
  <c r="H363" i="92"/>
  <c r="W24" i="93"/>
  <c r="W23" i="92"/>
  <c r="H366" i="92"/>
  <c r="H398" i="93"/>
  <c r="W17" i="93"/>
  <c r="W11" i="107"/>
  <c r="W16" i="92"/>
  <c r="J76" i="107"/>
  <c r="W20" i="107"/>
  <c r="W22" i="93"/>
  <c r="W21" i="92"/>
  <c r="I76" i="107"/>
  <c r="W28" i="93"/>
  <c r="Q398" i="93"/>
  <c r="W97" i="93"/>
  <c r="W92" i="93" s="1"/>
  <c r="W51" i="107"/>
  <c r="W50" i="107" s="1"/>
  <c r="W35" i="107"/>
  <c r="W27" i="107"/>
  <c r="W22" i="92"/>
  <c r="K10" i="106"/>
  <c r="K86" i="106" s="1"/>
  <c r="G366" i="92"/>
  <c r="G398" i="93"/>
  <c r="L34" i="106"/>
  <c r="L35" i="92"/>
  <c r="W73" i="106"/>
  <c r="W333" i="92"/>
  <c r="W328" i="92" s="1"/>
  <c r="W29" i="93"/>
  <c r="L27" i="106"/>
  <c r="F362" i="92"/>
  <c r="U397" i="93"/>
  <c r="J278" i="93"/>
  <c r="K280" i="93"/>
  <c r="K278" i="93" s="1"/>
  <c r="M397" i="93"/>
  <c r="E191" i="102"/>
  <c r="G91" i="102"/>
  <c r="W10" i="102"/>
  <c r="L302" i="92"/>
  <c r="W286" i="92"/>
  <c r="L282" i="92"/>
  <c r="L219" i="92"/>
  <c r="V141" i="92"/>
  <c r="J299" i="93"/>
  <c r="K301" i="93"/>
  <c r="K299" i="93" s="1"/>
  <c r="U191" i="102"/>
  <c r="M191" i="102"/>
  <c r="V172" i="102"/>
  <c r="V124" i="102"/>
  <c r="O91" i="102"/>
  <c r="L292" i="92"/>
  <c r="V286" i="92"/>
  <c r="L277" i="92"/>
  <c r="J273" i="92"/>
  <c r="J261" i="92"/>
  <c r="J283" i="93"/>
  <c r="K284" i="93"/>
  <c r="K283" i="93" s="1"/>
  <c r="V283" i="102"/>
  <c r="V178" i="102"/>
  <c r="V130" i="102"/>
  <c r="W91" i="102"/>
  <c r="S394" i="93"/>
  <c r="U10" i="102"/>
  <c r="M10" i="102"/>
  <c r="M393" i="93" s="1"/>
  <c r="E10" i="102"/>
  <c r="E342" i="102" s="1"/>
  <c r="K303" i="92"/>
  <c r="L286" i="92"/>
  <c r="J265" i="92"/>
  <c r="V153" i="92"/>
  <c r="W153" i="92"/>
  <c r="B160" i="93"/>
  <c r="V42" i="93"/>
  <c r="K238" i="102"/>
  <c r="Q219" i="102"/>
  <c r="D342" i="102"/>
  <c r="U292" i="92"/>
  <c r="W228" i="92"/>
  <c r="L191" i="92"/>
  <c r="W165" i="92"/>
  <c r="V293" i="102"/>
  <c r="V258" i="102"/>
  <c r="V252" i="102" s="1"/>
  <c r="S219" i="102"/>
  <c r="K220" i="102"/>
  <c r="V142" i="102"/>
  <c r="S91" i="102"/>
  <c r="C91" i="102"/>
  <c r="C342" i="102" s="1"/>
  <c r="Q394" i="93"/>
  <c r="R342" i="102"/>
  <c r="J342" i="102"/>
  <c r="B342" i="102"/>
  <c r="K10" i="102"/>
  <c r="K304" i="92"/>
  <c r="K298" i="92"/>
  <c r="L269" i="92"/>
  <c r="W184" i="92"/>
  <c r="K159" i="92"/>
  <c r="K135" i="92"/>
  <c r="J287" i="93"/>
  <c r="K288" i="93"/>
  <c r="K287" i="93" s="1"/>
  <c r="L79" i="93"/>
  <c r="V299" i="102"/>
  <c r="I292" i="102"/>
  <c r="V238" i="102"/>
  <c r="V148" i="102"/>
  <c r="V99" i="102"/>
  <c r="V79" i="102"/>
  <c r="V50" i="102"/>
  <c r="W282" i="92"/>
  <c r="J269" i="92"/>
  <c r="N396" i="93"/>
  <c r="V199" i="102"/>
  <c r="V192" i="102"/>
  <c r="V20" i="102"/>
  <c r="J257" i="92"/>
  <c r="W171" i="92"/>
  <c r="V129" i="92"/>
  <c r="W79" i="93"/>
  <c r="L329" i="102"/>
  <c r="L335" i="93"/>
  <c r="L329" i="93" s="1"/>
  <c r="P219" i="102"/>
  <c r="U219" i="102"/>
  <c r="M219" i="102"/>
  <c r="O10" i="102"/>
  <c r="G10" i="102"/>
  <c r="G342" i="102" s="1"/>
  <c r="W303" i="93"/>
  <c r="L283" i="93"/>
  <c r="M166" i="93"/>
  <c r="B148" i="93"/>
  <c r="M142" i="93"/>
  <c r="L106" i="93"/>
  <c r="L67" i="93"/>
  <c r="W91" i="92"/>
  <c r="V78" i="92"/>
  <c r="L274" i="93"/>
  <c r="V266" i="93"/>
  <c r="M206" i="93"/>
  <c r="L178" i="93"/>
  <c r="M42" i="93"/>
  <c r="B41" i="92"/>
  <c r="U303" i="93"/>
  <c r="U293" i="93"/>
  <c r="K274" i="93"/>
  <c r="L220" i="93"/>
  <c r="U213" i="93"/>
  <c r="V199" i="93"/>
  <c r="L42" i="93"/>
  <c r="W105" i="92"/>
  <c r="W41" i="92"/>
  <c r="T303" i="93"/>
  <c r="T292" i="93" s="1"/>
  <c r="O292" i="93"/>
  <c r="W287" i="93"/>
  <c r="W283" i="93"/>
  <c r="W258" i="93"/>
  <c r="L213" i="93"/>
  <c r="L124" i="93"/>
  <c r="W78" i="92"/>
  <c r="V41" i="92"/>
  <c r="N292" i="93"/>
  <c r="V287" i="93"/>
  <c r="W270" i="93"/>
  <c r="B185" i="93"/>
  <c r="U91" i="93"/>
  <c r="V92" i="93"/>
  <c r="V16" i="93"/>
  <c r="V11" i="93" s="1"/>
  <c r="J303" i="93"/>
  <c r="W262" i="93"/>
  <c r="L258" i="93"/>
  <c r="L229" i="93"/>
  <c r="W118" i="93"/>
  <c r="M99" i="93"/>
  <c r="L298" i="92"/>
  <c r="L111" i="92"/>
  <c r="W49" i="92"/>
  <c r="M41" i="92"/>
  <c r="K305" i="93"/>
  <c r="J293" i="93"/>
  <c r="U253" i="93"/>
  <c r="L172" i="93"/>
  <c r="W42" i="93"/>
  <c r="R398" i="93"/>
  <c r="U394" i="93"/>
  <c r="N350" i="92"/>
  <c r="V106" i="100"/>
  <c r="V212" i="92"/>
  <c r="V177" i="92"/>
  <c r="L207" i="100"/>
  <c r="L240" i="100"/>
  <c r="M207" i="100"/>
  <c r="K292" i="92"/>
  <c r="K277" i="92"/>
  <c r="W205" i="92"/>
  <c r="B159" i="92"/>
  <c r="W302" i="92"/>
  <c r="K282" i="92"/>
  <c r="U282" i="92"/>
  <c r="K270" i="92"/>
  <c r="K269" i="92" s="1"/>
  <c r="L265" i="92"/>
  <c r="W257" i="92"/>
  <c r="L256" i="92"/>
  <c r="L252" i="92" s="1"/>
  <c r="U228" i="92"/>
  <c r="L212" i="92"/>
  <c r="U190" i="92"/>
  <c r="J190" i="92"/>
  <c r="V184" i="92"/>
  <c r="L171" i="92"/>
  <c r="L105" i="92"/>
  <c r="L341" i="93"/>
  <c r="L340" i="93" s="1"/>
  <c r="L257" i="93"/>
  <c r="L253" i="93" s="1"/>
  <c r="K213" i="93"/>
  <c r="W199" i="93"/>
  <c r="L130" i="93"/>
  <c r="W105" i="93"/>
  <c r="W99" i="93" s="1"/>
  <c r="B50" i="93"/>
  <c r="J191" i="93"/>
  <c r="V171" i="92"/>
  <c r="V34" i="93"/>
  <c r="L340" i="92"/>
  <c r="L339" i="92" s="1"/>
  <c r="U302" i="92"/>
  <c r="K266" i="92"/>
  <c r="K265" i="92" s="1"/>
  <c r="L261" i="92"/>
  <c r="V257" i="92"/>
  <c r="K252" i="92"/>
  <c r="W198" i="92"/>
  <c r="M184" i="92"/>
  <c r="K171" i="92"/>
  <c r="W141" i="92"/>
  <c r="W135" i="92"/>
  <c r="W129" i="92"/>
  <c r="W123" i="92"/>
  <c r="L49" i="92"/>
  <c r="V331" i="93"/>
  <c r="K331" i="93"/>
  <c r="J274" i="93"/>
  <c r="V206" i="93"/>
  <c r="M123" i="93"/>
  <c r="V123" i="93" s="1"/>
  <c r="V118" i="93" s="1"/>
  <c r="K273" i="92"/>
  <c r="V304" i="92"/>
  <c r="T302" i="92"/>
  <c r="T291" i="92" s="1"/>
  <c r="W298" i="92"/>
  <c r="J286" i="92"/>
  <c r="K261" i="92"/>
  <c r="L257" i="92"/>
  <c r="V205" i="92"/>
  <c r="K205" i="92"/>
  <c r="V198" i="92"/>
  <c r="W104" i="92"/>
  <c r="W98" i="92" s="1"/>
  <c r="U90" i="92"/>
  <c r="V66" i="92"/>
  <c r="N397" i="93"/>
  <c r="L306" i="93"/>
  <c r="K293" i="93"/>
  <c r="W220" i="93"/>
  <c r="W192" i="93"/>
  <c r="W178" i="93"/>
  <c r="W154" i="93"/>
  <c r="K50" i="93"/>
  <c r="M106" i="100"/>
  <c r="M79" i="100" s="1"/>
  <c r="J298" i="92"/>
  <c r="V298" i="92"/>
  <c r="J282" i="92"/>
  <c r="K258" i="92"/>
  <c r="K257" i="92" s="1"/>
  <c r="W212" i="92"/>
  <c r="K184" i="92"/>
  <c r="W159" i="92"/>
  <c r="V98" i="92"/>
  <c r="L300" i="93"/>
  <c r="W293" i="93"/>
  <c r="W278" i="93"/>
  <c r="V274" i="93"/>
  <c r="V258" i="93"/>
  <c r="V172" i="93"/>
  <c r="V166" i="93"/>
  <c r="W130" i="93"/>
  <c r="V124" i="93"/>
  <c r="L99" i="93"/>
  <c r="L287" i="100"/>
  <c r="L280" i="100" s="1"/>
  <c r="V165" i="92"/>
  <c r="K112" i="93"/>
  <c r="I302" i="92"/>
  <c r="I291" i="92" s="1"/>
  <c r="I341" i="92" s="1"/>
  <c r="V228" i="92"/>
  <c r="V283" i="93"/>
  <c r="W292" i="92"/>
  <c r="W277" i="92"/>
  <c r="W273" i="92"/>
  <c r="W219" i="92"/>
  <c r="W191" i="92"/>
  <c r="W177" i="92"/>
  <c r="M394" i="93"/>
  <c r="V262" i="93"/>
  <c r="K253" i="93"/>
  <c r="W160" i="93"/>
  <c r="W136" i="93"/>
  <c r="V269" i="92"/>
  <c r="W66" i="92"/>
  <c r="J220" i="93"/>
  <c r="N42" i="93"/>
  <c r="N10" i="93" s="1"/>
  <c r="W111" i="92"/>
  <c r="M292" i="93"/>
  <c r="W67" i="93"/>
  <c r="K286" i="92"/>
  <c r="W269" i="92"/>
  <c r="L228" i="92"/>
  <c r="V219" i="92"/>
  <c r="U212" i="92"/>
  <c r="V50" i="92"/>
  <c r="V49" i="92" s="1"/>
  <c r="L303" i="93"/>
  <c r="L293" i="93"/>
  <c r="L278" i="93"/>
  <c r="W253" i="93"/>
  <c r="L238" i="93"/>
  <c r="V229" i="93"/>
  <c r="K221" i="93"/>
  <c r="K220" i="93" s="1"/>
  <c r="V214" i="93"/>
  <c r="V213" i="93" s="1"/>
  <c r="L206" i="93"/>
  <c r="K192" i="93"/>
  <c r="V104" i="93"/>
  <c r="V99" i="93" s="1"/>
  <c r="M86" i="98"/>
  <c r="N86" i="98"/>
  <c r="W25" i="92"/>
  <c r="W26" i="93"/>
  <c r="L10" i="98"/>
  <c r="L86" i="98" s="1"/>
  <c r="P86" i="98"/>
  <c r="J328" i="92"/>
  <c r="L305" i="92"/>
  <c r="T398" i="93"/>
  <c r="L21" i="92"/>
  <c r="V332" i="93"/>
  <c r="K315" i="93"/>
  <c r="K314" i="93" s="1"/>
  <c r="V331" i="92"/>
  <c r="K330" i="92"/>
  <c r="O305" i="92"/>
  <c r="W27" i="98"/>
  <c r="K331" i="92"/>
  <c r="V317" i="92"/>
  <c r="V316" i="92" s="1"/>
  <c r="V314" i="92"/>
  <c r="V313" i="92" s="1"/>
  <c r="M19" i="92"/>
  <c r="N9" i="92"/>
  <c r="K332" i="93"/>
  <c r="V318" i="93"/>
  <c r="V317" i="93" s="1"/>
  <c r="V330" i="92"/>
  <c r="V15" i="92"/>
  <c r="W329" i="93"/>
  <c r="O306" i="93"/>
  <c r="L22" i="93"/>
  <c r="U67" i="96"/>
  <c r="L46" i="93"/>
  <c r="L32" i="93"/>
  <c r="L11" i="96"/>
  <c r="L19" i="93"/>
  <c r="L17" i="93"/>
  <c r="K10" i="92"/>
  <c r="V299" i="93"/>
  <c r="V278" i="93"/>
  <c r="V238" i="93"/>
  <c r="K229" i="93"/>
  <c r="V315" i="93"/>
  <c r="V314" i="93" s="1"/>
  <c r="D314" i="93"/>
  <c r="V307" i="93"/>
  <c r="V306" i="93" s="1"/>
  <c r="V294" i="93"/>
  <c r="V293" i="93" s="1"/>
  <c r="V273" i="93"/>
  <c r="V270" i="93" s="1"/>
  <c r="K266" i="93"/>
  <c r="V254" i="93"/>
  <c r="V253" i="93" s="1"/>
  <c r="W238" i="93"/>
  <c r="V220" i="93"/>
  <c r="V178" i="93"/>
  <c r="W172" i="93"/>
  <c r="W166" i="93"/>
  <c r="B142" i="93"/>
  <c r="L136" i="93"/>
  <c r="W124" i="93"/>
  <c r="M106" i="93"/>
  <c r="I91" i="93"/>
  <c r="V79" i="93"/>
  <c r="V67" i="93"/>
  <c r="C42" i="93"/>
  <c r="C10" i="93" s="1"/>
  <c r="V27" i="93"/>
  <c r="S10" i="93"/>
  <c r="K262" i="93"/>
  <c r="O252" i="93"/>
  <c r="V192" i="93"/>
  <c r="V186" i="93"/>
  <c r="V185" i="93" s="1"/>
  <c r="M185" i="93"/>
  <c r="V154" i="93"/>
  <c r="B136" i="93"/>
  <c r="K130" i="93"/>
  <c r="W112" i="93"/>
  <c r="G91" i="93"/>
  <c r="G342" i="93" s="1"/>
  <c r="W50" i="93"/>
  <c r="B27" i="93"/>
  <c r="K28" i="93"/>
  <c r="K27" i="93" s="1"/>
  <c r="Q10" i="93"/>
  <c r="M317" i="93"/>
  <c r="U299" i="93"/>
  <c r="U278" i="93"/>
  <c r="U274" i="93"/>
  <c r="U266" i="93"/>
  <c r="N252" i="93"/>
  <c r="J229" i="93"/>
  <c r="M219" i="93"/>
  <c r="L192" i="93"/>
  <c r="E191" i="93"/>
  <c r="K178" i="93"/>
  <c r="K172" i="93"/>
  <c r="V160" i="93"/>
  <c r="W142" i="93"/>
  <c r="M130" i="93"/>
  <c r="K124" i="93"/>
  <c r="K118" i="93"/>
  <c r="V112" i="93"/>
  <c r="W106" i="93"/>
  <c r="L92" i="93"/>
  <c r="Q91" i="93"/>
  <c r="F91" i="93"/>
  <c r="K79" i="93"/>
  <c r="K67" i="93"/>
  <c r="V51" i="93"/>
  <c r="V50" i="93" s="1"/>
  <c r="M50" i="93"/>
  <c r="V20" i="93"/>
  <c r="K258" i="93"/>
  <c r="M252" i="93"/>
  <c r="K238" i="93"/>
  <c r="W229" i="93"/>
  <c r="J213" i="93"/>
  <c r="D191" i="93"/>
  <c r="M178" i="93"/>
  <c r="B172" i="93"/>
  <c r="K166" i="93"/>
  <c r="L160" i="93"/>
  <c r="W148" i="93"/>
  <c r="V142" i="93"/>
  <c r="B124" i="93"/>
  <c r="L112" i="93"/>
  <c r="V106" i="93"/>
  <c r="K92" i="93"/>
  <c r="P91" i="93"/>
  <c r="B79" i="93"/>
  <c r="M67" i="93"/>
  <c r="L50" i="93"/>
  <c r="V47" i="93"/>
  <c r="V46" i="93" s="1"/>
  <c r="P46" i="93"/>
  <c r="P10" i="93" s="1"/>
  <c r="K11" i="93"/>
  <c r="U283" i="93"/>
  <c r="L270" i="93"/>
  <c r="U262" i="93"/>
  <c r="T252" i="93"/>
  <c r="S219" i="93"/>
  <c r="W206" i="93"/>
  <c r="B192" i="93"/>
  <c r="K161" i="93"/>
  <c r="K160" i="93" s="1"/>
  <c r="K154" i="93"/>
  <c r="V148" i="93"/>
  <c r="M79" i="93"/>
  <c r="K20" i="93"/>
  <c r="J10" i="93"/>
  <c r="K206" i="93"/>
  <c r="K136" i="93"/>
  <c r="K304" i="93"/>
  <c r="K270" i="93"/>
  <c r="U238" i="93"/>
  <c r="U229" i="93"/>
  <c r="R219" i="93"/>
  <c r="W213" i="93"/>
  <c r="L199" i="93"/>
  <c r="U191" i="93"/>
  <c r="M154" i="93"/>
  <c r="L148" i="93"/>
  <c r="B112" i="93"/>
  <c r="K99" i="93"/>
  <c r="N91" i="93"/>
  <c r="C91" i="93"/>
  <c r="K34" i="93"/>
  <c r="B20" i="93"/>
  <c r="I10" i="93"/>
  <c r="H91" i="93"/>
  <c r="R10" i="93"/>
  <c r="K318" i="93"/>
  <c r="K317" i="93" s="1"/>
  <c r="U258" i="93"/>
  <c r="Q219" i="93"/>
  <c r="K199" i="93"/>
  <c r="K148" i="93"/>
  <c r="K142" i="93"/>
  <c r="V136" i="93"/>
  <c r="V130" i="93"/>
  <c r="K106" i="93"/>
  <c r="J91" i="93"/>
  <c r="K42" i="93"/>
  <c r="B11" i="93"/>
  <c r="J253" i="93"/>
  <c r="M199" i="93"/>
  <c r="M92" i="93"/>
  <c r="M34" i="93"/>
  <c r="J238" i="93"/>
  <c r="B206" i="93"/>
  <c r="B178" i="93"/>
  <c r="B166" i="93"/>
  <c r="B154" i="93"/>
  <c r="B130" i="93"/>
  <c r="B118" i="93"/>
  <c r="B106" i="93"/>
  <c r="B99" i="93"/>
  <c r="B67" i="93"/>
  <c r="J270" i="93"/>
  <c r="J266" i="93"/>
  <c r="J262" i="93"/>
  <c r="J258" i="93"/>
  <c r="U220" i="93"/>
  <c r="M192" i="93"/>
  <c r="M172" i="93"/>
  <c r="M160" i="93"/>
  <c r="M148" i="93"/>
  <c r="M136" i="93"/>
  <c r="M124" i="93"/>
  <c r="M112" i="93"/>
  <c r="M27" i="93"/>
  <c r="B199" i="93"/>
  <c r="B92" i="93"/>
  <c r="B34" i="93"/>
  <c r="M11" i="93"/>
  <c r="M20" i="93"/>
  <c r="V292" i="92"/>
  <c r="V277" i="92"/>
  <c r="V273" i="92"/>
  <c r="V282" i="92"/>
  <c r="V265" i="92"/>
  <c r="V252" i="92"/>
  <c r="V237" i="92"/>
  <c r="V261" i="92"/>
  <c r="K237" i="92"/>
  <c r="K219" i="92"/>
  <c r="M218" i="92"/>
  <c r="L198" i="92"/>
  <c r="B171" i="92"/>
  <c r="L98" i="92"/>
  <c r="T90" i="92"/>
  <c r="B26" i="92"/>
  <c r="U252" i="92"/>
  <c r="T218" i="92"/>
  <c r="J219" i="92"/>
  <c r="K199" i="92"/>
  <c r="K198" i="92" s="1"/>
  <c r="B198" i="92"/>
  <c r="K98" i="92"/>
  <c r="L66" i="92"/>
  <c r="K45" i="92"/>
  <c r="L41" i="92"/>
  <c r="K34" i="92"/>
  <c r="K33" i="92" s="1"/>
  <c r="B33" i="92"/>
  <c r="V19" i="92"/>
  <c r="R9" i="92"/>
  <c r="V11" i="92"/>
  <c r="M10" i="92"/>
  <c r="B123" i="92"/>
  <c r="V307" i="92"/>
  <c r="V305" i="92" s="1"/>
  <c r="V303" i="92"/>
  <c r="J292" i="92"/>
  <c r="K228" i="92"/>
  <c r="S218" i="92"/>
  <c r="P218" i="92"/>
  <c r="K212" i="92"/>
  <c r="V191" i="92"/>
  <c r="V111" i="92"/>
  <c r="R90" i="92"/>
  <c r="K66" i="92"/>
  <c r="K49" i="92"/>
  <c r="E45" i="92"/>
  <c r="E9" i="92" s="1"/>
  <c r="E341" i="92" s="1"/>
  <c r="D9" i="92"/>
  <c r="L165" i="92"/>
  <c r="K26" i="92"/>
  <c r="K165" i="92"/>
  <c r="J90" i="92"/>
  <c r="V33" i="92"/>
  <c r="M316" i="92"/>
  <c r="K314" i="92"/>
  <c r="K313" i="92" s="1"/>
  <c r="U298" i="92"/>
  <c r="U277" i="92"/>
  <c r="U273" i="92"/>
  <c r="U269" i="92"/>
  <c r="U265" i="92"/>
  <c r="U261" i="92"/>
  <c r="U257" i="92"/>
  <c r="R218" i="92"/>
  <c r="V147" i="92"/>
  <c r="V135" i="92"/>
  <c r="V123" i="92"/>
  <c r="L78" i="92"/>
  <c r="C9" i="92"/>
  <c r="B147" i="92"/>
  <c r="K92" i="92"/>
  <c r="K91" i="92" s="1"/>
  <c r="B91" i="92"/>
  <c r="J252" i="92"/>
  <c r="Q218" i="92"/>
  <c r="K191" i="92"/>
  <c r="N190" i="92"/>
  <c r="L177" i="92"/>
  <c r="V159" i="92"/>
  <c r="L153" i="92"/>
  <c r="L147" i="92"/>
  <c r="L141" i="92"/>
  <c r="L135" i="92"/>
  <c r="L129" i="92"/>
  <c r="L123" i="92"/>
  <c r="L117" i="92"/>
  <c r="K111" i="92"/>
  <c r="K105" i="92"/>
  <c r="V91" i="92"/>
  <c r="P90" i="92"/>
  <c r="K78" i="92"/>
  <c r="V26" i="92"/>
  <c r="K19" i="92"/>
  <c r="J277" i="92"/>
  <c r="K317" i="92"/>
  <c r="K316" i="92" s="1"/>
  <c r="L237" i="92"/>
  <c r="W237" i="92"/>
  <c r="L205" i="92"/>
  <c r="B191" i="92"/>
  <c r="K177" i="92"/>
  <c r="L159" i="92"/>
  <c r="K153" i="92"/>
  <c r="K147" i="92"/>
  <c r="K141" i="92"/>
  <c r="K129" i="92"/>
  <c r="K123" i="92"/>
  <c r="K117" i="92"/>
  <c r="B111" i="92"/>
  <c r="L91" i="92"/>
  <c r="D90" i="92"/>
  <c r="B19" i="92"/>
  <c r="T9" i="92"/>
  <c r="U237" i="92"/>
  <c r="M205" i="92"/>
  <c r="M177" i="92"/>
  <c r="M165" i="92"/>
  <c r="M153" i="92"/>
  <c r="M141" i="92"/>
  <c r="M129" i="92"/>
  <c r="M105" i="92"/>
  <c r="M98" i="92"/>
  <c r="M78" i="92"/>
  <c r="M66" i="92"/>
  <c r="B10" i="92"/>
  <c r="J228" i="92"/>
  <c r="J212" i="92"/>
  <c r="B184" i="92"/>
  <c r="B49" i="92"/>
  <c r="M198" i="92"/>
  <c r="M91" i="92"/>
  <c r="M33" i="92"/>
  <c r="J237" i="92"/>
  <c r="B205" i="92"/>
  <c r="B177" i="92"/>
  <c r="B165" i="92"/>
  <c r="B153" i="92"/>
  <c r="B141" i="92"/>
  <c r="B129" i="92"/>
  <c r="B117" i="92"/>
  <c r="B105" i="92"/>
  <c r="B98" i="92"/>
  <c r="B78" i="92"/>
  <c r="B66" i="92"/>
  <c r="U219" i="92"/>
  <c r="M191" i="92"/>
  <c r="M171" i="92"/>
  <c r="M159" i="92"/>
  <c r="M147" i="92"/>
  <c r="M135" i="92"/>
  <c r="M123" i="92"/>
  <c r="M111" i="92"/>
  <c r="M26" i="92"/>
  <c r="J8" i="33"/>
  <c r="I8" i="33"/>
  <c r="H8" i="33"/>
  <c r="G8" i="33"/>
  <c r="D38" i="70"/>
  <c r="C38" i="70"/>
  <c r="B38" i="70"/>
  <c r="D21" i="70"/>
  <c r="C21" i="70"/>
  <c r="B21" i="70"/>
  <c r="AF206" i="133" l="1"/>
  <c r="AE206" i="133"/>
  <c r="AF93" i="133"/>
  <c r="P93" i="133"/>
  <c r="AG93" i="133" s="1"/>
  <c r="O90" i="133"/>
  <c r="AE94" i="133"/>
  <c r="AF94" i="133"/>
  <c r="AF90" i="133" s="1"/>
  <c r="AE191" i="133"/>
  <c r="AE94" i="131"/>
  <c r="AG94" i="131" s="1"/>
  <c r="AG247" i="132"/>
  <c r="W10" i="98"/>
  <c r="W86" i="98" s="1"/>
  <c r="L342" i="102"/>
  <c r="AD21" i="130"/>
  <c r="AG9" i="129"/>
  <c r="P13" i="130"/>
  <c r="AF11" i="129"/>
  <c r="AF45" i="131"/>
  <c r="AG59" i="131"/>
  <c r="AG80" i="131"/>
  <c r="AE92" i="131"/>
  <c r="AG92" i="131" s="1"/>
  <c r="P104" i="131"/>
  <c r="AD211" i="131"/>
  <c r="AF157" i="131"/>
  <c r="AD40" i="133"/>
  <c r="AF112" i="133"/>
  <c r="AG73" i="133"/>
  <c r="P226" i="133"/>
  <c r="AG226" i="133" s="1"/>
  <c r="AF192" i="133"/>
  <c r="AG168" i="133"/>
  <c r="P229" i="133"/>
  <c r="AG229" i="133" s="1"/>
  <c r="AF283" i="133"/>
  <c r="P165" i="132"/>
  <c r="AG57" i="132"/>
  <c r="AF122" i="132"/>
  <c r="AF165" i="132"/>
  <c r="P218" i="132"/>
  <c r="AG218" i="132" s="1"/>
  <c r="AF249" i="132"/>
  <c r="D67" i="96"/>
  <c r="AD51" i="129"/>
  <c r="AI33" i="129"/>
  <c r="AG124" i="131"/>
  <c r="K279" i="132"/>
  <c r="O228" i="133"/>
  <c r="AF148" i="133"/>
  <c r="P11" i="135"/>
  <c r="AF60" i="129"/>
  <c r="AG112" i="133"/>
  <c r="I342" i="102"/>
  <c r="Z63" i="129"/>
  <c r="Z8" i="131"/>
  <c r="AG45" i="131"/>
  <c r="AF66" i="131"/>
  <c r="L222" i="131"/>
  <c r="AF103" i="131"/>
  <c r="AF116" i="131"/>
  <c r="O104" i="131"/>
  <c r="AD216" i="131"/>
  <c r="AD110" i="133"/>
  <c r="O122" i="133"/>
  <c r="P213" i="133"/>
  <c r="AF168" i="133"/>
  <c r="M300" i="132"/>
  <c r="AE283" i="133"/>
  <c r="AG283" i="133" s="1"/>
  <c r="AF230" i="133"/>
  <c r="AF57" i="132"/>
  <c r="P171" i="132"/>
  <c r="P224" i="132"/>
  <c r="AG224" i="132" s="1"/>
  <c r="AG18" i="132"/>
  <c r="AG16" i="132"/>
  <c r="O158" i="133"/>
  <c r="AF42" i="133"/>
  <c r="AF40" i="133" s="1"/>
  <c r="O395" i="93"/>
  <c r="AD10" i="129"/>
  <c r="AF59" i="131"/>
  <c r="AG32" i="133"/>
  <c r="AF119" i="132"/>
  <c r="V219" i="104"/>
  <c r="F396" i="93" s="1"/>
  <c r="D398" i="93"/>
  <c r="J398" i="93" s="1"/>
  <c r="P20" i="129"/>
  <c r="P19" i="129" s="1"/>
  <c r="AE21" i="130"/>
  <c r="AG66" i="131"/>
  <c r="Q222" i="131"/>
  <c r="AE103" i="131"/>
  <c r="AG103" i="131" s="1"/>
  <c r="AD161" i="131"/>
  <c r="AF107" i="131"/>
  <c r="AF210" i="131"/>
  <c r="AF135" i="131"/>
  <c r="AG74" i="133"/>
  <c r="AG76" i="133"/>
  <c r="P28" i="133"/>
  <c r="AG28" i="133" s="1"/>
  <c r="AF141" i="133"/>
  <c r="AF213" i="133"/>
  <c r="P131" i="133"/>
  <c r="AG131" i="133" s="1"/>
  <c r="P215" i="133"/>
  <c r="AG215" i="133" s="1"/>
  <c r="AF263" i="133"/>
  <c r="AF261" i="133" s="1"/>
  <c r="AI300" i="132"/>
  <c r="D300" i="132"/>
  <c r="K33" i="132"/>
  <c r="AE159" i="132"/>
  <c r="AF251" i="132"/>
  <c r="AG238" i="132"/>
  <c r="W331" i="100"/>
  <c r="K219" i="104"/>
  <c r="AI26" i="129"/>
  <c r="P111" i="132"/>
  <c r="AA91" i="132"/>
  <c r="AF187" i="133"/>
  <c r="AE128" i="133"/>
  <c r="AE262" i="133"/>
  <c r="AF83" i="132"/>
  <c r="D305" i="92"/>
  <c r="D341" i="92" s="1"/>
  <c r="K51" i="130"/>
  <c r="O10" i="129"/>
  <c r="P27" i="129"/>
  <c r="P26" i="129" s="1"/>
  <c r="AF11" i="131"/>
  <c r="AF20" i="131"/>
  <c r="AG107" i="131"/>
  <c r="AE161" i="131"/>
  <c r="AF212" i="131"/>
  <c r="AF211" i="131" s="1"/>
  <c r="AF74" i="133"/>
  <c r="AH288" i="133"/>
  <c r="AF76" i="133"/>
  <c r="AG157" i="133"/>
  <c r="AF135" i="132"/>
  <c r="AG236" i="133"/>
  <c r="P269" i="133"/>
  <c r="AF226" i="132"/>
  <c r="K10" i="107"/>
  <c r="K76" i="107" s="1"/>
  <c r="AG28" i="131"/>
  <c r="AG83" i="132"/>
  <c r="AE40" i="133"/>
  <c r="AD31" i="140"/>
  <c r="AG148" i="133"/>
  <c r="AG133" i="131"/>
  <c r="AF86" i="131"/>
  <c r="AG237" i="132"/>
  <c r="Q397" i="93"/>
  <c r="AF23" i="130"/>
  <c r="N8" i="131"/>
  <c r="AG20" i="131"/>
  <c r="B288" i="133"/>
  <c r="AG94" i="133"/>
  <c r="AF157" i="133"/>
  <c r="O191" i="133"/>
  <c r="AF264" i="133"/>
  <c r="P217" i="133"/>
  <c r="AG217" i="133" s="1"/>
  <c r="AF50" i="132"/>
  <c r="P159" i="132"/>
  <c r="AF147" i="132"/>
  <c r="AF286" i="132"/>
  <c r="AF235" i="132"/>
  <c r="AG228" i="132"/>
  <c r="O214" i="132"/>
  <c r="V280" i="100"/>
  <c r="V240" i="100"/>
  <c r="R396" i="93"/>
  <c r="AI35" i="130"/>
  <c r="AF160" i="133"/>
  <c r="AF32" i="133"/>
  <c r="O187" i="133"/>
  <c r="W34" i="106"/>
  <c r="W10" i="106" s="1"/>
  <c r="W86" i="106" s="1"/>
  <c r="W36" i="93"/>
  <c r="AF165" i="133"/>
  <c r="E342" i="93"/>
  <c r="D306" i="93"/>
  <c r="D342" i="93" s="1"/>
  <c r="K19" i="129"/>
  <c r="AF36" i="131"/>
  <c r="AF33" i="131"/>
  <c r="AF133" i="131"/>
  <c r="AF128" i="131"/>
  <c r="AF52" i="131"/>
  <c r="AF163" i="131"/>
  <c r="O211" i="131"/>
  <c r="AG167" i="133"/>
  <c r="AG264" i="133"/>
  <c r="AG235" i="133"/>
  <c r="P135" i="132"/>
  <c r="AG82" i="132"/>
  <c r="AG260" i="132"/>
  <c r="AG259" i="132" s="1"/>
  <c r="AG235" i="132"/>
  <c r="AF228" i="132"/>
  <c r="C342" i="104"/>
  <c r="N395" i="93"/>
  <c r="AA9" i="129"/>
  <c r="AF13" i="129"/>
  <c r="AF15" i="129"/>
  <c r="AI19" i="129"/>
  <c r="AF232" i="132"/>
  <c r="AF21" i="132"/>
  <c r="W35" i="92"/>
  <c r="AG37" i="140"/>
  <c r="AE31" i="140"/>
  <c r="AE17" i="140"/>
  <c r="AD17" i="140"/>
  <c r="AE24" i="140"/>
  <c r="Z37" i="140"/>
  <c r="AD24" i="140"/>
  <c r="AF35" i="135"/>
  <c r="K15" i="134"/>
  <c r="AE65" i="133"/>
  <c r="P200" i="133"/>
  <c r="AG200" i="133" s="1"/>
  <c r="AF200" i="133"/>
  <c r="AF98" i="133"/>
  <c r="AG29" i="133"/>
  <c r="AF167" i="133"/>
  <c r="AF164" i="133" s="1"/>
  <c r="O219" i="133"/>
  <c r="AF203" i="133"/>
  <c r="AF236" i="133"/>
  <c r="AD257" i="133"/>
  <c r="AF224" i="133"/>
  <c r="AF186" i="133"/>
  <c r="O10" i="133"/>
  <c r="P38" i="133"/>
  <c r="AG38" i="133" s="1"/>
  <c r="AC250" i="133"/>
  <c r="AG203" i="133"/>
  <c r="AG186" i="133"/>
  <c r="AE10" i="133"/>
  <c r="O33" i="133"/>
  <c r="AG114" i="133"/>
  <c r="P24" i="133"/>
  <c r="AG24" i="133" s="1"/>
  <c r="O19" i="133"/>
  <c r="P143" i="133"/>
  <c r="AG143" i="133" s="1"/>
  <c r="AG163" i="133"/>
  <c r="AF221" i="133"/>
  <c r="AE237" i="133"/>
  <c r="AF95" i="133"/>
  <c r="AF61" i="133"/>
  <c r="P180" i="133"/>
  <c r="AG180" i="133" s="1"/>
  <c r="AF180" i="133"/>
  <c r="AF114" i="133"/>
  <c r="AD10" i="133"/>
  <c r="AG183" i="133"/>
  <c r="AE164" i="133"/>
  <c r="AF175" i="133"/>
  <c r="AD237" i="133"/>
  <c r="AF130" i="133"/>
  <c r="AF128" i="133" s="1"/>
  <c r="P130" i="133"/>
  <c r="AG130" i="133" s="1"/>
  <c r="AF267" i="133"/>
  <c r="P267" i="133"/>
  <c r="AG267" i="133" s="1"/>
  <c r="AF69" i="133"/>
  <c r="O146" i="133"/>
  <c r="AF25" i="133"/>
  <c r="AF19" i="133" s="1"/>
  <c r="AF183" i="133"/>
  <c r="AD164" i="133"/>
  <c r="AF252" i="133"/>
  <c r="AF184" i="133"/>
  <c r="P256" i="133"/>
  <c r="AG256" i="133" s="1"/>
  <c r="AF256" i="133"/>
  <c r="AF15" i="133"/>
  <c r="AG17" i="133"/>
  <c r="AF132" i="133"/>
  <c r="AE147" i="133"/>
  <c r="AE146" i="133" s="1"/>
  <c r="P222" i="133"/>
  <c r="AG222" i="133" s="1"/>
  <c r="AF240" i="133"/>
  <c r="P142" i="133"/>
  <c r="AF142" i="133"/>
  <c r="AF110" i="133"/>
  <c r="AG108" i="133"/>
  <c r="AF17" i="133"/>
  <c r="AG155" i="133"/>
  <c r="AF280" i="133"/>
  <c r="AF177" i="132"/>
  <c r="P141" i="132"/>
  <c r="AF171" i="132"/>
  <c r="AF259" i="132"/>
  <c r="Z191" i="132"/>
  <c r="AF241" i="132"/>
  <c r="AG50" i="132"/>
  <c r="AD80" i="132"/>
  <c r="AF80" i="132" s="1"/>
  <c r="P153" i="132"/>
  <c r="Y300" i="132"/>
  <c r="AE192" i="132"/>
  <c r="AG241" i="132"/>
  <c r="AG280" i="132"/>
  <c r="AE268" i="132"/>
  <c r="AE267" i="132" s="1"/>
  <c r="AD267" i="132"/>
  <c r="AF61" i="132"/>
  <c r="AG81" i="132"/>
  <c r="AF98" i="132"/>
  <c r="AE92" i="132"/>
  <c r="B300" i="132"/>
  <c r="AF121" i="132"/>
  <c r="AD233" i="132"/>
  <c r="AD230" i="132" s="1"/>
  <c r="AF108" i="132"/>
  <c r="R300" i="132"/>
  <c r="Z279" i="132"/>
  <c r="AF81" i="132"/>
  <c r="T300" i="132"/>
  <c r="J300" i="132"/>
  <c r="C300" i="132"/>
  <c r="AA191" i="132"/>
  <c r="AG112" i="132"/>
  <c r="AG111" i="132" s="1"/>
  <c r="U300" i="132"/>
  <c r="G300" i="132"/>
  <c r="AF268" i="132"/>
  <c r="AF267" i="132" s="1"/>
  <c r="AG59" i="132"/>
  <c r="K40" i="132"/>
  <c r="I300" i="132"/>
  <c r="V300" i="132"/>
  <c r="W300" i="132"/>
  <c r="AF59" i="132"/>
  <c r="AG98" i="132"/>
  <c r="AE99" i="132"/>
  <c r="S300" i="132"/>
  <c r="AE177" i="132"/>
  <c r="AD40" i="132"/>
  <c r="AE41" i="132"/>
  <c r="AE40" i="132" s="1"/>
  <c r="AF18" i="132"/>
  <c r="B222" i="131"/>
  <c r="AA222" i="131"/>
  <c r="N41" i="131"/>
  <c r="AF54" i="131"/>
  <c r="K8" i="131"/>
  <c r="AF70" i="131"/>
  <c r="AF48" i="131"/>
  <c r="AF124" i="131"/>
  <c r="K73" i="131"/>
  <c r="O125" i="131"/>
  <c r="AC151" i="131"/>
  <c r="K185" i="131"/>
  <c r="AF72" i="131"/>
  <c r="AF32" i="131"/>
  <c r="AF219" i="131"/>
  <c r="AF216" i="131" s="1"/>
  <c r="AF13" i="131"/>
  <c r="AH222" i="131"/>
  <c r="AF122" i="131"/>
  <c r="AE122" i="131"/>
  <c r="AG122" i="131" s="1"/>
  <c r="AG193" i="131"/>
  <c r="P125" i="131"/>
  <c r="AF44" i="131"/>
  <c r="AF28" i="131"/>
  <c r="AF25" i="131"/>
  <c r="Y222" i="131"/>
  <c r="O42" i="131"/>
  <c r="AF46" i="131"/>
  <c r="AF165" i="131"/>
  <c r="P42" i="131"/>
  <c r="N185" i="131"/>
  <c r="N151" i="131" s="1"/>
  <c r="Z41" i="131"/>
  <c r="Z51" i="130"/>
  <c r="N51" i="130"/>
  <c r="O14" i="130"/>
  <c r="AE35" i="130"/>
  <c r="N9" i="129"/>
  <c r="K10" i="129"/>
  <c r="K9" i="129" s="1"/>
  <c r="AF12" i="129"/>
  <c r="AF10" i="129" s="1"/>
  <c r="P45" i="129"/>
  <c r="O44" i="129"/>
  <c r="Z9" i="129"/>
  <c r="AF55" i="129"/>
  <c r="AI63" i="129"/>
  <c r="AI9" i="129"/>
  <c r="O51" i="129"/>
  <c r="O9" i="129" s="1"/>
  <c r="P52" i="129"/>
  <c r="P51" i="129" s="1"/>
  <c r="O47" i="129"/>
  <c r="V11" i="112"/>
  <c r="V57" i="112" s="1"/>
  <c r="L371" i="92" s="1"/>
  <c r="V10" i="111"/>
  <c r="V56" i="111" s="1"/>
  <c r="K371" i="92" s="1"/>
  <c r="V10" i="110"/>
  <c r="V56" i="110" s="1"/>
  <c r="J371" i="92" s="1"/>
  <c r="K10" i="109"/>
  <c r="K57" i="109" s="1"/>
  <c r="O56" i="110"/>
  <c r="W11" i="93"/>
  <c r="L10" i="92"/>
  <c r="W309" i="93"/>
  <c r="W306" i="93" s="1"/>
  <c r="W308" i="92"/>
  <c r="W305" i="92" s="1"/>
  <c r="W42" i="109"/>
  <c r="W57" i="109" s="1"/>
  <c r="V10" i="107"/>
  <c r="L10" i="106"/>
  <c r="L86" i="106" s="1"/>
  <c r="H342" i="104"/>
  <c r="K252" i="104"/>
  <c r="R395" i="93"/>
  <c r="V10" i="104"/>
  <c r="I342" i="104"/>
  <c r="U395" i="93"/>
  <c r="G342" i="104"/>
  <c r="R342" i="104"/>
  <c r="S342" i="104"/>
  <c r="V191" i="104"/>
  <c r="N342" i="104"/>
  <c r="Q342" i="104"/>
  <c r="Q395" i="93"/>
  <c r="O351" i="92"/>
  <c r="M342" i="104"/>
  <c r="W342" i="104"/>
  <c r="O342" i="104"/>
  <c r="E342" i="104"/>
  <c r="T342" i="104"/>
  <c r="D342" i="104"/>
  <c r="U342" i="104"/>
  <c r="F342" i="104"/>
  <c r="F361" i="92"/>
  <c r="F393" i="93"/>
  <c r="L299" i="93"/>
  <c r="L292" i="93" s="1"/>
  <c r="F398" i="93"/>
  <c r="V91" i="104"/>
  <c r="V342" i="104" s="1"/>
  <c r="K10" i="104"/>
  <c r="V398" i="93"/>
  <c r="K91" i="104"/>
  <c r="F364" i="92"/>
  <c r="J342" i="104"/>
  <c r="O396" i="93"/>
  <c r="F394" i="93"/>
  <c r="F397" i="93"/>
  <c r="F365" i="92"/>
  <c r="K219" i="102"/>
  <c r="K292" i="102"/>
  <c r="O352" i="92"/>
  <c r="K91" i="102"/>
  <c r="K342" i="102" s="1"/>
  <c r="O342" i="102"/>
  <c r="P342" i="102"/>
  <c r="V10" i="102"/>
  <c r="T342" i="102"/>
  <c r="Q342" i="102"/>
  <c r="K252" i="102"/>
  <c r="T397" i="93"/>
  <c r="V292" i="102"/>
  <c r="T396" i="93"/>
  <c r="F342" i="102"/>
  <c r="V91" i="102"/>
  <c r="E363" i="92" s="1"/>
  <c r="V219" i="102"/>
  <c r="W342" i="102"/>
  <c r="S395" i="93"/>
  <c r="N349" i="92"/>
  <c r="Q396" i="93"/>
  <c r="V303" i="93"/>
  <c r="V292" i="93" s="1"/>
  <c r="M117" i="92"/>
  <c r="M90" i="92" s="1"/>
  <c r="V79" i="100"/>
  <c r="L26" i="92"/>
  <c r="K179" i="100"/>
  <c r="K240" i="100"/>
  <c r="K207" i="100"/>
  <c r="K79" i="100"/>
  <c r="K10" i="100"/>
  <c r="V394" i="93"/>
  <c r="L331" i="100"/>
  <c r="V207" i="100"/>
  <c r="D394" i="93"/>
  <c r="D362" i="92"/>
  <c r="V10" i="100"/>
  <c r="V10" i="98"/>
  <c r="Q393" i="93"/>
  <c r="U393" i="93"/>
  <c r="O393" i="93"/>
  <c r="K10" i="98"/>
  <c r="K86" i="98" s="1"/>
  <c r="S393" i="93"/>
  <c r="B398" i="93"/>
  <c r="B366" i="92"/>
  <c r="N366" i="92" s="1"/>
  <c r="T393" i="93"/>
  <c r="L27" i="93"/>
  <c r="W26" i="92"/>
  <c r="W10" i="96"/>
  <c r="L10" i="96"/>
  <c r="W10" i="92"/>
  <c r="L36" i="93"/>
  <c r="L34" i="93" s="1"/>
  <c r="L67" i="96"/>
  <c r="V10" i="96"/>
  <c r="S67" i="96"/>
  <c r="N393" i="93"/>
  <c r="N401" i="93" s="1"/>
  <c r="L53" i="96"/>
  <c r="L318" i="93"/>
  <c r="L317" i="93" s="1"/>
  <c r="L317" i="92"/>
  <c r="L316" i="92" s="1"/>
  <c r="W53" i="96"/>
  <c r="W318" i="93"/>
  <c r="W317" i="93" s="1"/>
  <c r="W317" i="92"/>
  <c r="W316" i="92" s="1"/>
  <c r="L33" i="92"/>
  <c r="P393" i="93"/>
  <c r="R393" i="93"/>
  <c r="O349" i="92"/>
  <c r="K10" i="96"/>
  <c r="K67" i="96" s="1"/>
  <c r="L20" i="93"/>
  <c r="L19" i="92"/>
  <c r="T342" i="93"/>
  <c r="F342" i="93"/>
  <c r="H342" i="93"/>
  <c r="R342" i="93"/>
  <c r="C342" i="93"/>
  <c r="W252" i="93"/>
  <c r="W20" i="93"/>
  <c r="O342" i="93"/>
  <c r="W27" i="93"/>
  <c r="J292" i="93"/>
  <c r="K303" i="93"/>
  <c r="K292" i="93" s="1"/>
  <c r="M191" i="93"/>
  <c r="J291" i="92"/>
  <c r="C341" i="92"/>
  <c r="L291" i="92"/>
  <c r="Q341" i="92"/>
  <c r="W190" i="92"/>
  <c r="U291" i="92"/>
  <c r="J251" i="92"/>
  <c r="S341" i="92"/>
  <c r="F341" i="92"/>
  <c r="V302" i="92"/>
  <c r="V291" i="92" s="1"/>
  <c r="W251" i="92"/>
  <c r="K251" i="92"/>
  <c r="G341" i="92"/>
  <c r="H341" i="92"/>
  <c r="V190" i="92"/>
  <c r="N341" i="92"/>
  <c r="K302" i="92"/>
  <c r="K291" i="92" s="1"/>
  <c r="O341" i="92"/>
  <c r="P35" i="135"/>
  <c r="AG13" i="134"/>
  <c r="AG11" i="134"/>
  <c r="P12" i="134"/>
  <c r="AG12" i="134" s="1"/>
  <c r="AF12" i="134"/>
  <c r="AF10" i="134"/>
  <c r="AF15" i="134" s="1"/>
  <c r="O15" i="134"/>
  <c r="P10" i="134"/>
  <c r="AI10" i="134"/>
  <c r="AI15" i="134" s="1"/>
  <c r="AE10" i="134"/>
  <c r="AE15" i="134" s="1"/>
  <c r="AD15" i="134"/>
  <c r="H300" i="132"/>
  <c r="AC191" i="132"/>
  <c r="AC91" i="132"/>
  <c r="AF73" i="133"/>
  <c r="AD90" i="133"/>
  <c r="AF154" i="133"/>
  <c r="P154" i="133"/>
  <c r="AG154" i="133" s="1"/>
  <c r="P136" i="133"/>
  <c r="AG136" i="133" s="1"/>
  <c r="AF136" i="133"/>
  <c r="AD152" i="133"/>
  <c r="AE153" i="133"/>
  <c r="AE152" i="133" s="1"/>
  <c r="AF153" i="133"/>
  <c r="O134" i="133"/>
  <c r="AG142" i="133"/>
  <c r="AF163" i="133"/>
  <c r="AF58" i="133"/>
  <c r="AG221" i="133"/>
  <c r="AE205" i="133"/>
  <c r="AG259" i="133"/>
  <c r="AG257" i="133" s="1"/>
  <c r="AG192" i="133"/>
  <c r="P261" i="133"/>
  <c r="AF52" i="132"/>
  <c r="P52" i="132"/>
  <c r="AG52" i="132" s="1"/>
  <c r="AG195" i="133"/>
  <c r="AE34" i="132"/>
  <c r="AD33" i="132"/>
  <c r="P79" i="132"/>
  <c r="N92" i="132"/>
  <c r="O93" i="132"/>
  <c r="AF102" i="132"/>
  <c r="P37" i="132"/>
  <c r="AG37" i="132" s="1"/>
  <c r="AF37" i="132"/>
  <c r="AG206" i="133"/>
  <c r="AD228" i="133"/>
  <c r="AF190" i="132"/>
  <c r="P190" i="132"/>
  <c r="AF294" i="132"/>
  <c r="AF293" i="132" s="1"/>
  <c r="P294" i="132"/>
  <c r="O293" i="132"/>
  <c r="O279" i="132" s="1"/>
  <c r="AF104" i="132"/>
  <c r="K220" i="132"/>
  <c r="AF275" i="132"/>
  <c r="P206" i="132"/>
  <c r="O240" i="132"/>
  <c r="AF254" i="132"/>
  <c r="AG198" i="132"/>
  <c r="AF31" i="133"/>
  <c r="P31" i="133"/>
  <c r="AG31" i="133" s="1"/>
  <c r="AF71" i="133"/>
  <c r="AF16" i="133"/>
  <c r="P16" i="133"/>
  <c r="AG16" i="133" s="1"/>
  <c r="AG96" i="133"/>
  <c r="AD158" i="133"/>
  <c r="AE159" i="133"/>
  <c r="AG111" i="133"/>
  <c r="AF144" i="133"/>
  <c r="P144" i="133"/>
  <c r="AG144" i="133" s="1"/>
  <c r="AG92" i="133"/>
  <c r="P90" i="133"/>
  <c r="AF140" i="133"/>
  <c r="P181" i="133"/>
  <c r="AF181" i="133"/>
  <c r="AE122" i="133"/>
  <c r="AE220" i="133"/>
  <c r="AE219" i="133" s="1"/>
  <c r="AD219" i="133"/>
  <c r="AD205" i="133"/>
  <c r="AG231" i="133"/>
  <c r="AF259" i="133"/>
  <c r="AF257" i="133" s="1"/>
  <c r="N117" i="132"/>
  <c r="O118" i="132"/>
  <c r="AF195" i="133"/>
  <c r="AF103" i="132"/>
  <c r="N105" i="132"/>
  <c r="O106" i="132"/>
  <c r="Z91" i="132"/>
  <c r="AD105" i="132"/>
  <c r="AE106" i="132"/>
  <c r="AE105" i="132" s="1"/>
  <c r="AE228" i="133"/>
  <c r="AG166" i="132"/>
  <c r="AG165" i="132" s="1"/>
  <c r="AE165" i="132"/>
  <c r="AF201" i="132"/>
  <c r="AF199" i="132" s="1"/>
  <c r="P201" i="132"/>
  <c r="AG201" i="132" s="1"/>
  <c r="N191" i="132"/>
  <c r="AF280" i="132"/>
  <c r="AF279" i="132" s="1"/>
  <c r="O191" i="132"/>
  <c r="AC220" i="132"/>
  <c r="AG200" i="132"/>
  <c r="AF212" i="132"/>
  <c r="AF209" i="132"/>
  <c r="O252" i="132"/>
  <c r="P214" i="132"/>
  <c r="AD240" i="132"/>
  <c r="AG34" i="133"/>
  <c r="AD19" i="133"/>
  <c r="AE20" i="133"/>
  <c r="AE19" i="133" s="1"/>
  <c r="P182" i="133"/>
  <c r="AG182" i="133" s="1"/>
  <c r="AF182" i="133"/>
  <c r="AG147" i="133"/>
  <c r="AF202" i="133"/>
  <c r="P202" i="133"/>
  <c r="AG202" i="133" s="1"/>
  <c r="AD122" i="133"/>
  <c r="P212" i="133"/>
  <c r="AG213" i="133"/>
  <c r="AG212" i="133" s="1"/>
  <c r="AG270" i="133"/>
  <c r="AG269" i="133" s="1"/>
  <c r="AD19" i="132"/>
  <c r="AE20" i="132"/>
  <c r="AE19" i="132" s="1"/>
  <c r="O176" i="133"/>
  <c r="P41" i="132"/>
  <c r="AF41" i="132"/>
  <c r="AF40" i="132" s="1"/>
  <c r="O40" i="132"/>
  <c r="AD277" i="133"/>
  <c r="AD79" i="132"/>
  <c r="AE80" i="132"/>
  <c r="AE79" i="132" s="1"/>
  <c r="AD129" i="132"/>
  <c r="AE130" i="132"/>
  <c r="AE129" i="132" s="1"/>
  <c r="Z220" i="132"/>
  <c r="P275" i="132"/>
  <c r="AG276" i="132"/>
  <c r="AG275" i="132" s="1"/>
  <c r="AG212" i="132"/>
  <c r="AG209" i="132"/>
  <c r="P254" i="132"/>
  <c r="AG255" i="132"/>
  <c r="AG254" i="132" s="1"/>
  <c r="AF214" i="132"/>
  <c r="AF211" i="132"/>
  <c r="P192" i="132"/>
  <c r="AF14" i="133"/>
  <c r="P14" i="133"/>
  <c r="AG14" i="133" s="1"/>
  <c r="AF33" i="133"/>
  <c r="AD26" i="133"/>
  <c r="AE27" i="133"/>
  <c r="AE26" i="133" s="1"/>
  <c r="AE9" i="133" s="1"/>
  <c r="AF105" i="133"/>
  <c r="P105" i="133"/>
  <c r="O104" i="133"/>
  <c r="AE171" i="133"/>
  <c r="AD170" i="133"/>
  <c r="AG41" i="133"/>
  <c r="AG40" i="133" s="1"/>
  <c r="P40" i="133"/>
  <c r="AE172" i="133"/>
  <c r="AG172" i="133" s="1"/>
  <c r="AF172" i="133"/>
  <c r="AF208" i="133"/>
  <c r="P208" i="133"/>
  <c r="AG208" i="133" s="1"/>
  <c r="AD176" i="133"/>
  <c r="AE178" i="133"/>
  <c r="AF178" i="133"/>
  <c r="P140" i="133"/>
  <c r="AF212" i="133"/>
  <c r="AG161" i="133"/>
  <c r="AD191" i="133"/>
  <c r="AG185" i="133"/>
  <c r="AG184" i="133" s="1"/>
  <c r="P184" i="133"/>
  <c r="AD26" i="132"/>
  <c r="AE27" i="132"/>
  <c r="AE26" i="132" s="1"/>
  <c r="AF179" i="133"/>
  <c r="AF237" i="133"/>
  <c r="AG279" i="133"/>
  <c r="AE118" i="132"/>
  <c r="AE117" i="132" s="1"/>
  <c r="AD117" i="132"/>
  <c r="N220" i="132"/>
  <c r="P286" i="132"/>
  <c r="AG211" i="132"/>
  <c r="AH300" i="132"/>
  <c r="AD104" i="133"/>
  <c r="AE105" i="133"/>
  <c r="AE104" i="133" s="1"/>
  <c r="AE110" i="133"/>
  <c r="AF106" i="133"/>
  <c r="P106" i="133"/>
  <c r="AG106" i="133" s="1"/>
  <c r="AF149" i="133"/>
  <c r="P149" i="133"/>
  <c r="AG149" i="133" s="1"/>
  <c r="AG69" i="133"/>
  <c r="P137" i="133"/>
  <c r="AG137" i="133" s="1"/>
  <c r="AF137" i="133"/>
  <c r="AF27" i="133"/>
  <c r="P121" i="133"/>
  <c r="AG121" i="133" s="1"/>
  <c r="AF121" i="133"/>
  <c r="P211" i="133"/>
  <c r="AG211" i="133" s="1"/>
  <c r="AF211" i="133"/>
  <c r="AG129" i="133"/>
  <c r="P158" i="133"/>
  <c r="AG159" i="133"/>
  <c r="AG175" i="133"/>
  <c r="AF235" i="133"/>
  <c r="AF228" i="133" s="1"/>
  <c r="AG210" i="133"/>
  <c r="AF161" i="133"/>
  <c r="P228" i="133"/>
  <c r="AG207" i="133"/>
  <c r="AD47" i="132"/>
  <c r="AD46" i="132" s="1"/>
  <c r="AE48" i="132"/>
  <c r="AE47" i="132" s="1"/>
  <c r="AE46" i="132" s="1"/>
  <c r="AG179" i="133"/>
  <c r="P13" i="132"/>
  <c r="AG13" i="132" s="1"/>
  <c r="AF13" i="132"/>
  <c r="AF10" i="132" s="1"/>
  <c r="O10" i="132"/>
  <c r="AF94" i="132"/>
  <c r="AG128" i="132"/>
  <c r="AG172" i="132"/>
  <c r="AG171" i="132" s="1"/>
  <c r="AE171" i="132"/>
  <c r="Z252" i="132"/>
  <c r="Q300" i="132"/>
  <c r="AG231" i="132"/>
  <c r="AF210" i="132"/>
  <c r="AD222" i="132"/>
  <c r="AA300" i="132"/>
  <c r="AG160" i="132"/>
  <c r="AG159" i="132" s="1"/>
  <c r="O234" i="132"/>
  <c r="AF271" i="132"/>
  <c r="AG11" i="133"/>
  <c r="AF18" i="133"/>
  <c r="P18" i="133"/>
  <c r="AG18" i="133" s="1"/>
  <c r="AF60" i="133"/>
  <c r="P60" i="133"/>
  <c r="AG60" i="133" s="1"/>
  <c r="P115" i="133"/>
  <c r="AG115" i="133" s="1"/>
  <c r="AF115" i="133"/>
  <c r="AD65" i="133"/>
  <c r="AF150" i="133"/>
  <c r="P150" i="133"/>
  <c r="AG150" i="133" s="1"/>
  <c r="AD128" i="133"/>
  <c r="AF56" i="133"/>
  <c r="AF46" i="133" s="1"/>
  <c r="O46" i="133"/>
  <c r="P56" i="133"/>
  <c r="O26" i="133"/>
  <c r="AD134" i="133"/>
  <c r="AE135" i="133"/>
  <c r="AE134" i="133" s="1"/>
  <c r="AF125" i="133"/>
  <c r="AD146" i="133"/>
  <c r="AF159" i="133"/>
  <c r="AF193" i="133"/>
  <c r="P193" i="133"/>
  <c r="AG193" i="133" s="1"/>
  <c r="AF268" i="133"/>
  <c r="AF265" i="133" s="1"/>
  <c r="P268" i="133"/>
  <c r="AG268" i="133" s="1"/>
  <c r="AF210" i="133"/>
  <c r="AG126" i="133"/>
  <c r="AG122" i="133" s="1"/>
  <c r="O265" i="133"/>
  <c r="AF207" i="133"/>
  <c r="AD265" i="133"/>
  <c r="AE266" i="133"/>
  <c r="AE265" i="133" s="1"/>
  <c r="P237" i="133"/>
  <c r="AG238" i="133"/>
  <c r="AG237" i="133" s="1"/>
  <c r="O20" i="132"/>
  <c r="K19" i="132"/>
  <c r="K9" i="132" s="1"/>
  <c r="N99" i="132"/>
  <c r="O100" i="132"/>
  <c r="N123" i="132"/>
  <c r="O124" i="132"/>
  <c r="AE11" i="132"/>
  <c r="AE10" i="132" s="1"/>
  <c r="AD10" i="132"/>
  <c r="AG201" i="133"/>
  <c r="AF128" i="132"/>
  <c r="AD123" i="132"/>
  <c r="AE124" i="132"/>
  <c r="AE123" i="132" s="1"/>
  <c r="AF264" i="132"/>
  <c r="AF263" i="132" s="1"/>
  <c r="AD263" i="132"/>
  <c r="AD252" i="132" s="1"/>
  <c r="AE264" i="132"/>
  <c r="AE207" i="132"/>
  <c r="AE206" i="132" s="1"/>
  <c r="AE191" i="132" s="1"/>
  <c r="AD206" i="132"/>
  <c r="AG210" i="132"/>
  <c r="AF196" i="132"/>
  <c r="AG148" i="132"/>
  <c r="AG147" i="132" s="1"/>
  <c r="AF187" i="132"/>
  <c r="AF208" i="132"/>
  <c r="AG99" i="133"/>
  <c r="AG98" i="133" s="1"/>
  <c r="P98" i="133"/>
  <c r="AE56" i="133"/>
  <c r="AE46" i="133" s="1"/>
  <c r="AD46" i="133"/>
  <c r="O65" i="133"/>
  <c r="AF70" i="133"/>
  <c r="AF65" i="133" s="1"/>
  <c r="P70" i="133"/>
  <c r="AE162" i="133"/>
  <c r="AG162" i="133" s="1"/>
  <c r="AF162" i="133"/>
  <c r="AG109" i="133"/>
  <c r="AF138" i="133"/>
  <c r="P138" i="133"/>
  <c r="AG138" i="133" s="1"/>
  <c r="AG153" i="133"/>
  <c r="AF151" i="133"/>
  <c r="P151" i="133"/>
  <c r="AG151" i="133" s="1"/>
  <c r="AF227" i="133"/>
  <c r="AF219" i="133" s="1"/>
  <c r="P227" i="133"/>
  <c r="AG227" i="133" s="1"/>
  <c r="AG220" i="133"/>
  <c r="AD273" i="133"/>
  <c r="AE274" i="133"/>
  <c r="AF274" i="133"/>
  <c r="AF126" i="133"/>
  <c r="AF171" i="133"/>
  <c r="AF275" i="133"/>
  <c r="P275" i="133"/>
  <c r="AD198" i="133"/>
  <c r="O273" i="133"/>
  <c r="O198" i="133"/>
  <c r="O190" i="133" s="1"/>
  <c r="AG285" i="133"/>
  <c r="AG284" i="133" s="1"/>
  <c r="AE284" i="133"/>
  <c r="O27" i="132"/>
  <c r="K26" i="132"/>
  <c r="AF201" i="133"/>
  <c r="AF48" i="132"/>
  <c r="P48" i="132"/>
  <c r="O47" i="132"/>
  <c r="O46" i="132" s="1"/>
  <c r="AD192" i="132"/>
  <c r="P147" i="132"/>
  <c r="P267" i="132"/>
  <c r="AD286" i="132"/>
  <c r="AD279" i="132" s="1"/>
  <c r="AE287" i="132"/>
  <c r="AE286" i="132" s="1"/>
  <c r="AE279" i="132" s="1"/>
  <c r="AG196" i="132"/>
  <c r="AG187" i="132"/>
  <c r="P271" i="132"/>
  <c r="AG272" i="132"/>
  <c r="AG271" i="132" s="1"/>
  <c r="AG208" i="132"/>
  <c r="AF197" i="132"/>
  <c r="O116" i="133"/>
  <c r="O89" i="133" s="1"/>
  <c r="AF117" i="133"/>
  <c r="P117" i="133"/>
  <c r="AE90" i="133"/>
  <c r="AF127" i="133"/>
  <c r="P127" i="133"/>
  <c r="AG127" i="133" s="1"/>
  <c r="AF109" i="133"/>
  <c r="AF139" i="133"/>
  <c r="P139" i="133"/>
  <c r="AG139" i="133" s="1"/>
  <c r="O140" i="133"/>
  <c r="AF196" i="133"/>
  <c r="P196" i="133"/>
  <c r="AG196" i="133" s="1"/>
  <c r="P164" i="133"/>
  <c r="AG165" i="133"/>
  <c r="AG164" i="133" s="1"/>
  <c r="AG132" i="133"/>
  <c r="P252" i="133"/>
  <c r="AG253" i="133"/>
  <c r="P170" i="133"/>
  <c r="AF276" i="133"/>
  <c r="AE198" i="133"/>
  <c r="O278" i="133"/>
  <c r="O277" i="133" s="1"/>
  <c r="AF279" i="133"/>
  <c r="AG199" i="133"/>
  <c r="L91" i="132"/>
  <c r="L300" i="132" s="1"/>
  <c r="AG102" i="132"/>
  <c r="P35" i="132"/>
  <c r="O33" i="132"/>
  <c r="AF35" i="132"/>
  <c r="AF33" i="132" s="1"/>
  <c r="AD99" i="132"/>
  <c r="AD92" i="132"/>
  <c r="AC9" i="132"/>
  <c r="AF188" i="132"/>
  <c r="L191" i="132"/>
  <c r="AG104" i="132"/>
  <c r="N129" i="132"/>
  <c r="O130" i="132"/>
  <c r="O186" i="132"/>
  <c r="N185" i="132"/>
  <c r="AE186" i="132"/>
  <c r="AE185" i="132" s="1"/>
  <c r="AD185" i="132"/>
  <c r="O222" i="132"/>
  <c r="AF198" i="132"/>
  <c r="AG177" i="132"/>
  <c r="AD214" i="132"/>
  <c r="AE215" i="132"/>
  <c r="AE214" i="132" s="1"/>
  <c r="AG197" i="132"/>
  <c r="M222" i="131"/>
  <c r="O118" i="131"/>
  <c r="P119" i="131"/>
  <c r="P118" i="131" s="1"/>
  <c r="AE154" i="131"/>
  <c r="AF154" i="131"/>
  <c r="O82" i="131"/>
  <c r="P83" i="131"/>
  <c r="P82" i="131" s="1"/>
  <c r="AF121" i="131"/>
  <c r="AG142" i="131"/>
  <c r="AD170" i="131"/>
  <c r="AE171" i="131"/>
  <c r="AF171" i="131"/>
  <c r="AG148" i="131"/>
  <c r="AF145" i="131"/>
  <c r="AF144" i="131" s="1"/>
  <c r="AD144" i="131"/>
  <c r="AE145" i="131"/>
  <c r="P194" i="131"/>
  <c r="AF194" i="131"/>
  <c r="AG126" i="131"/>
  <c r="O74" i="131"/>
  <c r="P75" i="131"/>
  <c r="P74" i="131" s="1"/>
  <c r="AE83" i="131"/>
  <c r="AF83" i="131"/>
  <c r="AD82" i="131"/>
  <c r="AE123" i="131"/>
  <c r="AG123" i="131" s="1"/>
  <c r="AF123" i="131"/>
  <c r="AE112" i="131"/>
  <c r="AD111" i="131"/>
  <c r="AF112" i="131"/>
  <c r="O170" i="131"/>
  <c r="P171" i="131"/>
  <c r="P170" i="131" s="1"/>
  <c r="AE173" i="131"/>
  <c r="AG173" i="131" s="1"/>
  <c r="AF173" i="131"/>
  <c r="AF148" i="131"/>
  <c r="AD195" i="131"/>
  <c r="AE196" i="131"/>
  <c r="AF196" i="131"/>
  <c r="P208" i="131"/>
  <c r="P207" i="131" s="1"/>
  <c r="O207" i="131"/>
  <c r="O161" i="131"/>
  <c r="AE10" i="131"/>
  <c r="AF10" i="131"/>
  <c r="AF9" i="131" s="1"/>
  <c r="AD9" i="131"/>
  <c r="AE119" i="131"/>
  <c r="AF119" i="131"/>
  <c r="AD118" i="131"/>
  <c r="P187" i="131"/>
  <c r="AG187" i="131" s="1"/>
  <c r="O186" i="131"/>
  <c r="AE188" i="131"/>
  <c r="AG188" i="131" s="1"/>
  <c r="AF188" i="131"/>
  <c r="P198" i="131"/>
  <c r="AF198" i="131"/>
  <c r="P102" i="131"/>
  <c r="AG102" i="131" s="1"/>
  <c r="AF102" i="131"/>
  <c r="P161" i="131"/>
  <c r="AD39" i="131"/>
  <c r="AE40" i="131"/>
  <c r="AE39" i="131" s="1"/>
  <c r="AE138" i="131"/>
  <c r="AG138" i="131" s="1"/>
  <c r="AF138" i="131"/>
  <c r="AE17" i="131"/>
  <c r="AF17" i="131"/>
  <c r="AF16" i="131" s="1"/>
  <c r="AD16" i="131"/>
  <c r="O16" i="131"/>
  <c r="P17" i="131"/>
  <c r="P16" i="131" s="1"/>
  <c r="P8" i="131" s="1"/>
  <c r="AE61" i="131"/>
  <c r="AF61" i="131"/>
  <c r="AD60" i="131"/>
  <c r="AE76" i="131"/>
  <c r="AG76" i="131" s="1"/>
  <c r="AF76" i="131"/>
  <c r="O97" i="131"/>
  <c r="P98" i="131"/>
  <c r="AG98" i="131" s="1"/>
  <c r="AG97" i="131" s="1"/>
  <c r="K151" i="131"/>
  <c r="Z185" i="131"/>
  <c r="Z151" i="131" s="1"/>
  <c r="AG105" i="131"/>
  <c r="O199" i="131"/>
  <c r="P200" i="131"/>
  <c r="O195" i="131"/>
  <c r="O191" i="131"/>
  <c r="AC73" i="131"/>
  <c r="AC222" i="131" s="1"/>
  <c r="AE88" i="131"/>
  <c r="AG88" i="131" s="1"/>
  <c r="AF88" i="131"/>
  <c r="AE31" i="131"/>
  <c r="AF31" i="131"/>
  <c r="AD30" i="131"/>
  <c r="AF75" i="131"/>
  <c r="AD74" i="131"/>
  <c r="AE75" i="131"/>
  <c r="O89" i="131"/>
  <c r="P90" i="131"/>
  <c r="P89" i="131" s="1"/>
  <c r="O39" i="131"/>
  <c r="P40" i="131"/>
  <c r="P39" i="131" s="1"/>
  <c r="N73" i="131"/>
  <c r="O152" i="131"/>
  <c r="P154" i="131"/>
  <c r="AD199" i="131"/>
  <c r="AE200" i="131"/>
  <c r="AF200" i="131"/>
  <c r="P190" i="131"/>
  <c r="AG190" i="131" s="1"/>
  <c r="AF190" i="131"/>
  <c r="P202" i="131"/>
  <c r="AG202" i="131" s="1"/>
  <c r="AF202" i="131"/>
  <c r="AD186" i="131"/>
  <c r="O203" i="131"/>
  <c r="P204" i="131"/>
  <c r="P203" i="131" s="1"/>
  <c r="P112" i="131"/>
  <c r="P111" i="131" s="1"/>
  <c r="O111" i="131"/>
  <c r="P147" i="131"/>
  <c r="O146" i="131"/>
  <c r="AE43" i="131"/>
  <c r="AF43" i="131"/>
  <c r="AD42" i="131"/>
  <c r="K222" i="131"/>
  <c r="AF106" i="131"/>
  <c r="AF104" i="131" s="1"/>
  <c r="AE106" i="131"/>
  <c r="O23" i="131"/>
  <c r="P24" i="131"/>
  <c r="P23" i="131" s="1"/>
  <c r="AF167" i="131"/>
  <c r="AD207" i="131"/>
  <c r="AF208" i="131"/>
  <c r="AF207" i="131" s="1"/>
  <c r="AE208" i="131"/>
  <c r="AF187" i="131"/>
  <c r="AF186" i="131" s="1"/>
  <c r="AF206" i="131"/>
  <c r="AE206" i="131"/>
  <c r="AG206" i="131" s="1"/>
  <c r="AD89" i="131"/>
  <c r="AE90" i="131"/>
  <c r="AF90" i="131"/>
  <c r="AF89" i="131" s="1"/>
  <c r="AG167" i="131"/>
  <c r="AG161" i="131" s="1"/>
  <c r="AD191" i="131"/>
  <c r="AE192" i="131"/>
  <c r="AF192" i="131"/>
  <c r="AD125" i="131"/>
  <c r="AG153" i="131"/>
  <c r="AD23" i="131"/>
  <c r="AE24" i="131"/>
  <c r="AF24" i="131"/>
  <c r="AF23" i="131" s="1"/>
  <c r="AE150" i="131"/>
  <c r="AG150" i="131" s="1"/>
  <c r="AF150" i="131"/>
  <c r="AF146" i="131" s="1"/>
  <c r="O60" i="131"/>
  <c r="P61" i="131"/>
  <c r="P60" i="131" s="1"/>
  <c r="AI222" i="131"/>
  <c r="Z73" i="131"/>
  <c r="P158" i="131"/>
  <c r="AG158" i="131" s="1"/>
  <c r="AF158" i="131"/>
  <c r="AD104" i="131"/>
  <c r="AF142" i="131"/>
  <c r="AE159" i="131"/>
  <c r="AG159" i="131" s="1"/>
  <c r="AF159" i="131"/>
  <c r="AD203" i="131"/>
  <c r="AE204" i="131"/>
  <c r="AF204" i="131"/>
  <c r="AE97" i="131"/>
  <c r="AE214" i="131"/>
  <c r="AG214" i="131" s="1"/>
  <c r="AG211" i="131" s="1"/>
  <c r="AF214" i="131"/>
  <c r="AD152" i="131"/>
  <c r="AF35" i="130"/>
  <c r="AF51" i="130" s="1"/>
  <c r="AD26" i="129"/>
  <c r="AE27" i="129"/>
  <c r="AE47" i="129"/>
  <c r="AF48" i="129"/>
  <c r="AF29" i="130"/>
  <c r="AI29" i="130"/>
  <c r="AI28" i="130" s="1"/>
  <c r="AE29" i="130"/>
  <c r="AE28" i="130" s="1"/>
  <c r="AD28" i="130"/>
  <c r="AD51" i="130" s="1"/>
  <c r="P10" i="129"/>
  <c r="O35" i="130"/>
  <c r="P36" i="130"/>
  <c r="P35" i="130" s="1"/>
  <c r="AD33" i="129"/>
  <c r="AE34" i="129"/>
  <c r="AE14" i="130"/>
  <c r="AE51" i="130" s="1"/>
  <c r="K63" i="129"/>
  <c r="AF42" i="129"/>
  <c r="AF40" i="129" s="1"/>
  <c r="AI14" i="130"/>
  <c r="N63" i="129"/>
  <c r="P11" i="130"/>
  <c r="O10" i="130"/>
  <c r="AF11" i="130"/>
  <c r="O21" i="130"/>
  <c r="P22" i="130"/>
  <c r="P21" i="130" s="1"/>
  <c r="AD19" i="129"/>
  <c r="AE20" i="129"/>
  <c r="I23" i="115"/>
  <c r="H7" i="115"/>
  <c r="H23" i="115" s="1"/>
  <c r="I23" i="114"/>
  <c r="M361" i="92"/>
  <c r="V56" i="113"/>
  <c r="M371" i="92" s="1"/>
  <c r="V57" i="109"/>
  <c r="I393" i="93"/>
  <c r="I401" i="93" s="1"/>
  <c r="I361" i="92"/>
  <c r="I369" i="92" s="1"/>
  <c r="W19" i="92"/>
  <c r="K329" i="93"/>
  <c r="W34" i="107"/>
  <c r="W10" i="107" s="1"/>
  <c r="W76" i="107" s="1"/>
  <c r="W35" i="93"/>
  <c r="W34" i="93" s="1"/>
  <c r="W34" i="92"/>
  <c r="W33" i="92" s="1"/>
  <c r="V86" i="106"/>
  <c r="G393" i="93"/>
  <c r="G401" i="93" s="1"/>
  <c r="G361" i="92"/>
  <c r="G369" i="92" s="1"/>
  <c r="K328" i="92"/>
  <c r="F363" i="92"/>
  <c r="F395" i="93"/>
  <c r="L190" i="92"/>
  <c r="E395" i="93"/>
  <c r="M190" i="92"/>
  <c r="M118" i="93"/>
  <c r="M91" i="93" s="1"/>
  <c r="U292" i="93"/>
  <c r="V191" i="93"/>
  <c r="U396" i="93"/>
  <c r="V397" i="93"/>
  <c r="P396" i="93"/>
  <c r="W90" i="92"/>
  <c r="T341" i="92"/>
  <c r="V91" i="93"/>
  <c r="L251" i="92"/>
  <c r="V191" i="102"/>
  <c r="K191" i="93"/>
  <c r="E394" i="93"/>
  <c r="E362" i="92"/>
  <c r="N362" i="92" s="1"/>
  <c r="M342" i="102"/>
  <c r="E393" i="93"/>
  <c r="V342" i="102"/>
  <c r="E361" i="92"/>
  <c r="E397" i="93"/>
  <c r="E365" i="92"/>
  <c r="U342" i="102"/>
  <c r="V252" i="93"/>
  <c r="W291" i="92"/>
  <c r="S396" i="93"/>
  <c r="S342" i="102"/>
  <c r="W292" i="93"/>
  <c r="E396" i="93"/>
  <c r="E364" i="92"/>
  <c r="W191" i="93"/>
  <c r="L219" i="93"/>
  <c r="D363" i="92"/>
  <c r="D395" i="93"/>
  <c r="V218" i="92"/>
  <c r="W91" i="93"/>
  <c r="N351" i="92"/>
  <c r="M395" i="93"/>
  <c r="L252" i="93"/>
  <c r="W219" i="93"/>
  <c r="W218" i="92"/>
  <c r="V90" i="92"/>
  <c r="B91" i="93"/>
  <c r="V219" i="93"/>
  <c r="N352" i="92"/>
  <c r="M396" i="93"/>
  <c r="U218" i="92"/>
  <c r="L218" i="92"/>
  <c r="U252" i="93"/>
  <c r="K252" i="93"/>
  <c r="J219" i="93"/>
  <c r="V10" i="92"/>
  <c r="V9" i="92" s="1"/>
  <c r="C393" i="93"/>
  <c r="C361" i="92"/>
  <c r="C369" i="92" s="1"/>
  <c r="V86" i="98"/>
  <c r="L11" i="93"/>
  <c r="K9" i="92"/>
  <c r="B191" i="93"/>
  <c r="L191" i="93"/>
  <c r="K219" i="93"/>
  <c r="U219" i="93"/>
  <c r="K10" i="93"/>
  <c r="K91" i="93"/>
  <c r="P342" i="93"/>
  <c r="Q342" i="93"/>
  <c r="S342" i="93"/>
  <c r="B10" i="93"/>
  <c r="L91" i="93"/>
  <c r="V10" i="93"/>
  <c r="M10" i="93"/>
  <c r="I342" i="93"/>
  <c r="J252" i="93"/>
  <c r="N342" i="93"/>
  <c r="B90" i="92"/>
  <c r="K90" i="92"/>
  <c r="J218" i="92"/>
  <c r="L90" i="92"/>
  <c r="B9" i="92"/>
  <c r="P341" i="92"/>
  <c r="U251" i="92"/>
  <c r="V251" i="92"/>
  <c r="B190" i="92"/>
  <c r="K190" i="92"/>
  <c r="M9" i="92"/>
  <c r="K218" i="92"/>
  <c r="R341" i="92"/>
  <c r="J86" i="33"/>
  <c r="I86" i="33"/>
  <c r="H86" i="33"/>
  <c r="G86" i="33"/>
  <c r="J62" i="33"/>
  <c r="I62" i="33"/>
  <c r="H62" i="33"/>
  <c r="G62" i="33"/>
  <c r="J38" i="33"/>
  <c r="I38" i="33"/>
  <c r="H38" i="33"/>
  <c r="G38" i="33"/>
  <c r="J14" i="33"/>
  <c r="I14" i="33"/>
  <c r="H14" i="33"/>
  <c r="G14" i="33"/>
  <c r="O129" i="21"/>
  <c r="P128" i="21"/>
  <c r="M128" i="21"/>
  <c r="M129" i="21" s="1"/>
  <c r="L128" i="21"/>
  <c r="L129" i="21" s="1"/>
  <c r="K128" i="21"/>
  <c r="J128" i="21"/>
  <c r="H128" i="21"/>
  <c r="G128" i="21"/>
  <c r="F128" i="21"/>
  <c r="E128" i="21"/>
  <c r="D128" i="21"/>
  <c r="D129" i="21" s="1"/>
  <c r="C128" i="21"/>
  <c r="P127" i="21"/>
  <c r="M127" i="21"/>
  <c r="L127" i="21"/>
  <c r="K127" i="21"/>
  <c r="J127" i="21"/>
  <c r="H127" i="21"/>
  <c r="G127" i="21"/>
  <c r="F127" i="21"/>
  <c r="E127" i="21"/>
  <c r="D127" i="21"/>
  <c r="C127" i="21"/>
  <c r="P126" i="21"/>
  <c r="M126" i="21"/>
  <c r="L126" i="21"/>
  <c r="K126" i="21"/>
  <c r="J126" i="21"/>
  <c r="H126" i="21"/>
  <c r="G126" i="21"/>
  <c r="F126" i="21"/>
  <c r="E126" i="21"/>
  <c r="D126" i="21"/>
  <c r="C126" i="21"/>
  <c r="I126" i="21" s="1"/>
  <c r="O125" i="21"/>
  <c r="M125" i="21"/>
  <c r="L125" i="21"/>
  <c r="K125" i="21"/>
  <c r="J125" i="21"/>
  <c r="H125" i="21"/>
  <c r="G125" i="21"/>
  <c r="F125" i="21"/>
  <c r="E125" i="21"/>
  <c r="D125" i="21"/>
  <c r="C125" i="21"/>
  <c r="P124" i="21"/>
  <c r="N124" i="21"/>
  <c r="I124" i="21"/>
  <c r="P123" i="21"/>
  <c r="N123" i="21"/>
  <c r="I123" i="21"/>
  <c r="P122" i="21"/>
  <c r="N122" i="21"/>
  <c r="I122" i="21"/>
  <c r="I118" i="21"/>
  <c r="I119" i="21"/>
  <c r="I120" i="21"/>
  <c r="AF42" i="131" l="1"/>
  <c r="AF97" i="131"/>
  <c r="AD9" i="132"/>
  <c r="AG80" i="132"/>
  <c r="AG79" i="132" s="1"/>
  <c r="AE261" i="133"/>
  <c r="AG262" i="133"/>
  <c r="AG261" i="133" s="1"/>
  <c r="AG146" i="133"/>
  <c r="P41" i="131"/>
  <c r="AF161" i="131"/>
  <c r="AE190" i="133"/>
  <c r="P19" i="133"/>
  <c r="AD37" i="140"/>
  <c r="D365" i="92"/>
  <c r="D397" i="93"/>
  <c r="J397" i="93" s="1"/>
  <c r="J394" i="93"/>
  <c r="F401" i="93"/>
  <c r="N222" i="131"/>
  <c r="AF111" i="131"/>
  <c r="AG135" i="133"/>
  <c r="AF206" i="132"/>
  <c r="O9" i="133"/>
  <c r="AE170" i="133"/>
  <c r="O41" i="131"/>
  <c r="AF79" i="132"/>
  <c r="AE37" i="140"/>
  <c r="J129" i="21"/>
  <c r="P10" i="130"/>
  <c r="O8" i="131"/>
  <c r="AF30" i="131"/>
  <c r="AF125" i="131"/>
  <c r="AF233" i="132"/>
  <c r="AF122" i="133"/>
  <c r="AG268" i="132"/>
  <c r="AG267" i="132" s="1"/>
  <c r="G129" i="21"/>
  <c r="AF60" i="131"/>
  <c r="AG192" i="132"/>
  <c r="AE233" i="132"/>
  <c r="AG233" i="132" s="1"/>
  <c r="AE91" i="132"/>
  <c r="AG278" i="133"/>
  <c r="AG33" i="133"/>
  <c r="N126" i="21"/>
  <c r="J342" i="93"/>
  <c r="AF152" i="131"/>
  <c r="AF199" i="131"/>
  <c r="P152" i="133"/>
  <c r="O250" i="133"/>
  <c r="O218" i="133" s="1"/>
  <c r="P128" i="133"/>
  <c r="AE278" i="133"/>
  <c r="P33" i="133"/>
  <c r="R401" i="93"/>
  <c r="AG252" i="133"/>
  <c r="AG152" i="133"/>
  <c r="AF205" i="133"/>
  <c r="AF191" i="133"/>
  <c r="AG27" i="133"/>
  <c r="P146" i="133"/>
  <c r="AF278" i="133"/>
  <c r="AF277" i="133" s="1"/>
  <c r="AG219" i="133"/>
  <c r="AF10" i="133"/>
  <c r="AG140" i="133"/>
  <c r="AF198" i="133"/>
  <c r="P219" i="133"/>
  <c r="P122" i="133"/>
  <c r="AG10" i="133"/>
  <c r="AD9" i="133"/>
  <c r="AF146" i="133"/>
  <c r="AG110" i="133"/>
  <c r="AD250" i="133"/>
  <c r="P110" i="133"/>
  <c r="AF134" i="133"/>
  <c r="AF192" i="132"/>
  <c r="AF191" i="132" s="1"/>
  <c r="AF203" i="131"/>
  <c r="AF170" i="131"/>
  <c r="AG154" i="131"/>
  <c r="AD41" i="131"/>
  <c r="AG186" i="131"/>
  <c r="AF82" i="131"/>
  <c r="P199" i="131"/>
  <c r="AI51" i="130"/>
  <c r="P51" i="130"/>
  <c r="P44" i="129"/>
  <c r="P9" i="129" s="1"/>
  <c r="AF45" i="129"/>
  <c r="O63" i="129"/>
  <c r="AD9" i="129"/>
  <c r="H361" i="92"/>
  <c r="H369" i="92" s="1"/>
  <c r="H393" i="93"/>
  <c r="H401" i="93" s="1"/>
  <c r="V76" i="107"/>
  <c r="Q401" i="93"/>
  <c r="O357" i="92"/>
  <c r="K342" i="104"/>
  <c r="F403" i="93"/>
  <c r="F405" i="93" s="1"/>
  <c r="F371" i="92"/>
  <c r="N365" i="92"/>
  <c r="O401" i="93"/>
  <c r="F369" i="92"/>
  <c r="V395" i="93"/>
  <c r="U401" i="93"/>
  <c r="T401" i="93"/>
  <c r="K331" i="100"/>
  <c r="U341" i="92"/>
  <c r="V393" i="93"/>
  <c r="D393" i="93"/>
  <c r="D401" i="93" s="1"/>
  <c r="V331" i="100"/>
  <c r="D361" i="92"/>
  <c r="D396" i="93"/>
  <c r="J396" i="93" s="1"/>
  <c r="D364" i="92"/>
  <c r="V396" i="93"/>
  <c r="S401" i="93"/>
  <c r="W67" i="96"/>
  <c r="B361" i="92"/>
  <c r="B369" i="92" s="1"/>
  <c r="L9" i="92"/>
  <c r="L341" i="92" s="1"/>
  <c r="V67" i="96"/>
  <c r="B393" i="93"/>
  <c r="B401" i="93" s="1"/>
  <c r="Z10" i="93"/>
  <c r="P401" i="93"/>
  <c r="L10" i="93"/>
  <c r="L342" i="93" s="1"/>
  <c r="W10" i="93"/>
  <c r="W342" i="93" s="1"/>
  <c r="U342" i="93"/>
  <c r="B342" i="93"/>
  <c r="M401" i="93"/>
  <c r="J341" i="92"/>
  <c r="N363" i="92"/>
  <c r="W9" i="92"/>
  <c r="W341" i="92" s="1"/>
  <c r="AG10" i="134"/>
  <c r="AG15" i="134" s="1"/>
  <c r="P15" i="134"/>
  <c r="AF190" i="133"/>
  <c r="AG171" i="133"/>
  <c r="AG170" i="133" s="1"/>
  <c r="AG134" i="133"/>
  <c r="AF273" i="133"/>
  <c r="AF250" i="133" s="1"/>
  <c r="AF218" i="133" s="1"/>
  <c r="AG264" i="132"/>
  <c r="AG263" i="132" s="1"/>
  <c r="AE263" i="132"/>
  <c r="AE252" i="132" s="1"/>
  <c r="AE222" i="132"/>
  <c r="AE221" i="132" s="1"/>
  <c r="AD221" i="132"/>
  <c r="AG158" i="133"/>
  <c r="AE230" i="132"/>
  <c r="P265" i="133"/>
  <c r="AG26" i="133"/>
  <c r="AG9" i="133" s="1"/>
  <c r="AE240" i="132"/>
  <c r="AE239" i="132" s="1"/>
  <c r="AD239" i="132"/>
  <c r="AC300" i="132"/>
  <c r="AD218" i="133"/>
  <c r="AG90" i="133"/>
  <c r="AG294" i="132"/>
  <c r="AG293" i="132" s="1"/>
  <c r="P293" i="132"/>
  <c r="P279" i="132" s="1"/>
  <c r="AF152" i="133"/>
  <c r="AG20" i="133"/>
  <c r="AG19" i="133" s="1"/>
  <c r="P186" i="132"/>
  <c r="AF186" i="132"/>
  <c r="AF185" i="132" s="1"/>
  <c r="O185" i="132"/>
  <c r="AD91" i="132"/>
  <c r="P198" i="133"/>
  <c r="P134" i="133"/>
  <c r="P47" i="132"/>
  <c r="P46" i="132" s="1"/>
  <c r="AG48" i="132"/>
  <c r="AG47" i="132" s="1"/>
  <c r="AG46" i="132" s="1"/>
  <c r="AE273" i="133"/>
  <c r="AE250" i="133" s="1"/>
  <c r="AE218" i="133" s="1"/>
  <c r="AG274" i="133"/>
  <c r="AF124" i="132"/>
  <c r="AF123" i="132" s="1"/>
  <c r="O123" i="132"/>
  <c r="P124" i="132"/>
  <c r="AF26" i="133"/>
  <c r="AF9" i="133" s="1"/>
  <c r="AG266" i="133"/>
  <c r="AG265" i="133" s="1"/>
  <c r="P26" i="133"/>
  <c r="Z300" i="132"/>
  <c r="AG215" i="132"/>
  <c r="AG214" i="132" s="1"/>
  <c r="AG207" i="132"/>
  <c r="AG206" i="132" s="1"/>
  <c r="AG11" i="132"/>
  <c r="AG10" i="132" s="1"/>
  <c r="AF130" i="132"/>
  <c r="AF129" i="132" s="1"/>
  <c r="P130" i="132"/>
  <c r="O129" i="132"/>
  <c r="AG198" i="133"/>
  <c r="AF47" i="132"/>
  <c r="AF46" i="132" s="1"/>
  <c r="AG70" i="133"/>
  <c r="AG65" i="133" s="1"/>
  <c r="P65" i="133"/>
  <c r="P10" i="133"/>
  <c r="P9" i="133" s="1"/>
  <c r="AG228" i="133"/>
  <c r="AG287" i="132"/>
  <c r="AG286" i="132" s="1"/>
  <c r="AD190" i="133"/>
  <c r="AG252" i="132"/>
  <c r="P40" i="132"/>
  <c r="AG41" i="132"/>
  <c r="AG40" i="132" s="1"/>
  <c r="P118" i="132"/>
  <c r="AF118" i="132"/>
  <c r="AF117" i="132" s="1"/>
  <c r="O117" i="132"/>
  <c r="P188" i="132"/>
  <c r="AG190" i="132"/>
  <c r="AG188" i="132" s="1"/>
  <c r="AF93" i="132"/>
  <c r="AF92" i="132" s="1"/>
  <c r="P93" i="132"/>
  <c r="O92" i="132"/>
  <c r="P10" i="132"/>
  <c r="AG275" i="133"/>
  <c r="P273" i="133"/>
  <c r="P250" i="133" s="1"/>
  <c r="P218" i="133" s="1"/>
  <c r="AF100" i="132"/>
  <c r="AF99" i="132" s="1"/>
  <c r="P100" i="132"/>
  <c r="O99" i="132"/>
  <c r="AG128" i="133"/>
  <c r="P252" i="132"/>
  <c r="N91" i="132"/>
  <c r="N300" i="132" s="1"/>
  <c r="P116" i="133"/>
  <c r="AG117" i="133"/>
  <c r="AG116" i="133" s="1"/>
  <c r="AF106" i="132"/>
  <c r="AF105" i="132" s="1"/>
  <c r="P106" i="132"/>
  <c r="O105" i="132"/>
  <c r="K300" i="132"/>
  <c r="AF222" i="132"/>
  <c r="AF221" i="132" s="1"/>
  <c r="O221" i="132"/>
  <c r="P222" i="132"/>
  <c r="AF116" i="133"/>
  <c r="AD191" i="132"/>
  <c r="AF27" i="132"/>
  <c r="AF26" i="132" s="1"/>
  <c r="O26" i="132"/>
  <c r="P27" i="132"/>
  <c r="AF170" i="133"/>
  <c r="AF158" i="133"/>
  <c r="AG56" i="133"/>
  <c r="AG46" i="133" s="1"/>
  <c r="P46" i="133"/>
  <c r="AF234" i="132"/>
  <c r="AF230" i="132" s="1"/>
  <c r="P234" i="132"/>
  <c r="O230" i="132"/>
  <c r="AG181" i="133"/>
  <c r="P176" i="133"/>
  <c r="AE158" i="133"/>
  <c r="AG205" i="133"/>
  <c r="AG35" i="132"/>
  <c r="P33" i="132"/>
  <c r="AF20" i="132"/>
  <c r="AF19" i="132" s="1"/>
  <c r="AF9" i="132" s="1"/>
  <c r="O19" i="132"/>
  <c r="O9" i="132" s="1"/>
  <c r="P20" i="132"/>
  <c r="AG277" i="133"/>
  <c r="AF176" i="133"/>
  <c r="AG105" i="133"/>
  <c r="AG104" i="133" s="1"/>
  <c r="P104" i="133"/>
  <c r="P199" i="132"/>
  <c r="P191" i="132" s="1"/>
  <c r="AF252" i="132"/>
  <c r="P205" i="133"/>
  <c r="AG191" i="133"/>
  <c r="AE277" i="133"/>
  <c r="AE176" i="133"/>
  <c r="AG178" i="133"/>
  <c r="AG176" i="133" s="1"/>
  <c r="AF104" i="133"/>
  <c r="AG199" i="132"/>
  <c r="AG191" i="132" s="1"/>
  <c r="AF240" i="132"/>
  <c r="AF239" i="132" s="1"/>
  <c r="O239" i="132"/>
  <c r="P240" i="132"/>
  <c r="AE33" i="132"/>
  <c r="AE9" i="132" s="1"/>
  <c r="AG34" i="132"/>
  <c r="P191" i="133"/>
  <c r="AD89" i="133"/>
  <c r="Z222" i="131"/>
  <c r="AE42" i="131"/>
  <c r="AG43" i="131"/>
  <c r="AG42" i="131" s="1"/>
  <c r="AG61" i="131"/>
  <c r="AG60" i="131" s="1"/>
  <c r="AE60" i="131"/>
  <c r="AF8" i="131"/>
  <c r="O73" i="131"/>
  <c r="AG106" i="131"/>
  <c r="AG104" i="131" s="1"/>
  <c r="AE104" i="131"/>
  <c r="AG75" i="131"/>
  <c r="AG74" i="131" s="1"/>
  <c r="AE74" i="131"/>
  <c r="AE9" i="131"/>
  <c r="AG10" i="131"/>
  <c r="AG9" i="131" s="1"/>
  <c r="AE186" i="131"/>
  <c r="AF74" i="131"/>
  <c r="P186" i="131"/>
  <c r="AE125" i="131"/>
  <c r="AE146" i="131"/>
  <c r="AG90" i="131"/>
  <c r="AG89" i="131" s="1"/>
  <c r="AE89" i="131"/>
  <c r="AE199" i="131"/>
  <c r="AG200" i="131"/>
  <c r="AG199" i="131" s="1"/>
  <c r="AG17" i="131"/>
  <c r="AG16" i="131" s="1"/>
  <c r="AE16" i="131"/>
  <c r="AF118" i="131"/>
  <c r="AE30" i="131"/>
  <c r="AG31" i="131"/>
  <c r="AG30" i="131" s="1"/>
  <c r="AG119" i="131"/>
  <c r="AG118" i="131" s="1"/>
  <c r="AE118" i="131"/>
  <c r="AG83" i="131"/>
  <c r="AG82" i="131" s="1"/>
  <c r="AE82" i="131"/>
  <c r="AG194" i="131"/>
  <c r="P191" i="131"/>
  <c r="AG125" i="131"/>
  <c r="AE170" i="131"/>
  <c r="AG171" i="131"/>
  <c r="AG170" i="131" s="1"/>
  <c r="AE23" i="131"/>
  <c r="AG24" i="131"/>
  <c r="AG23" i="131" s="1"/>
  <c r="AF191" i="131"/>
  <c r="AF185" i="131" s="1"/>
  <c r="AF151" i="131" s="1"/>
  <c r="AD185" i="131"/>
  <c r="P152" i="131"/>
  <c r="AG198" i="131"/>
  <c r="P195" i="131"/>
  <c r="AD8" i="131"/>
  <c r="AF195" i="131"/>
  <c r="AG145" i="131"/>
  <c r="AG144" i="131" s="1"/>
  <c r="AE144" i="131"/>
  <c r="AD151" i="131"/>
  <c r="AE203" i="131"/>
  <c r="AG204" i="131"/>
  <c r="AG203" i="131" s="1"/>
  <c r="AE191" i="131"/>
  <c r="AG192" i="131"/>
  <c r="AE195" i="131"/>
  <c r="AG196" i="131"/>
  <c r="AE152" i="131"/>
  <c r="AE207" i="131"/>
  <c r="AG208" i="131"/>
  <c r="AG207" i="131" s="1"/>
  <c r="AE111" i="131"/>
  <c r="AG112" i="131"/>
  <c r="AG111" i="131" s="1"/>
  <c r="AG152" i="131"/>
  <c r="P146" i="131"/>
  <c r="AG147" i="131"/>
  <c r="AG146" i="131" s="1"/>
  <c r="AD73" i="131"/>
  <c r="P97" i="131"/>
  <c r="P73" i="131" s="1"/>
  <c r="O185" i="131"/>
  <c r="O151" i="131" s="1"/>
  <c r="AE211" i="131"/>
  <c r="AD63" i="129"/>
  <c r="P63" i="129"/>
  <c r="AF27" i="129"/>
  <c r="AF26" i="129" s="1"/>
  <c r="AE26" i="129"/>
  <c r="O51" i="130"/>
  <c r="AF20" i="129"/>
  <c r="AF19" i="129" s="1"/>
  <c r="AE19" i="129"/>
  <c r="AF34" i="129"/>
  <c r="AF33" i="129" s="1"/>
  <c r="AE33" i="129"/>
  <c r="I403" i="93"/>
  <c r="I405" i="93" s="1"/>
  <c r="I371" i="92"/>
  <c r="V342" i="93"/>
  <c r="G371" i="92"/>
  <c r="G403" i="93"/>
  <c r="G405" i="93" s="1"/>
  <c r="E371" i="92"/>
  <c r="E403" i="93"/>
  <c r="E401" i="93"/>
  <c r="E369" i="92"/>
  <c r="N357" i="92"/>
  <c r="J395" i="93"/>
  <c r="V341" i="92"/>
  <c r="M342" i="93"/>
  <c r="K342" i="93"/>
  <c r="K341" i="92"/>
  <c r="C403" i="93"/>
  <c r="C371" i="92"/>
  <c r="C401" i="93"/>
  <c r="M341" i="92"/>
  <c r="B341" i="92"/>
  <c r="I125" i="21"/>
  <c r="I128" i="21"/>
  <c r="I127" i="21"/>
  <c r="N128" i="21"/>
  <c r="N129" i="21" s="1"/>
  <c r="E129" i="21"/>
  <c r="P129" i="21"/>
  <c r="Q126" i="21"/>
  <c r="N127" i="21"/>
  <c r="F129" i="21"/>
  <c r="P125" i="21"/>
  <c r="Q123" i="21"/>
  <c r="N125" i="21"/>
  <c r="Q124" i="21"/>
  <c r="H129" i="21"/>
  <c r="Q122" i="21"/>
  <c r="C129" i="21"/>
  <c r="K129" i="21"/>
  <c r="D98" i="21"/>
  <c r="E98" i="21"/>
  <c r="F98" i="21"/>
  <c r="G98" i="21"/>
  <c r="H98" i="21"/>
  <c r="D99" i="21"/>
  <c r="E99" i="21"/>
  <c r="F99" i="21"/>
  <c r="G99" i="21"/>
  <c r="H99" i="21"/>
  <c r="D100" i="21"/>
  <c r="E100" i="21"/>
  <c r="F100" i="21"/>
  <c r="G100" i="21"/>
  <c r="H100" i="21"/>
  <c r="L98" i="21"/>
  <c r="L99" i="21"/>
  <c r="L100" i="21"/>
  <c r="O98" i="21"/>
  <c r="O99" i="21"/>
  <c r="O100" i="21"/>
  <c r="O65" i="30"/>
  <c r="M65" i="30"/>
  <c r="L65" i="30"/>
  <c r="K65" i="30"/>
  <c r="J65" i="30"/>
  <c r="H65" i="30"/>
  <c r="G65" i="30"/>
  <c r="F65" i="30"/>
  <c r="E65" i="30"/>
  <c r="D65" i="30"/>
  <c r="C65" i="30"/>
  <c r="P64" i="30"/>
  <c r="N64" i="30"/>
  <c r="Q64" i="30" s="1"/>
  <c r="I64" i="30"/>
  <c r="P63" i="30"/>
  <c r="Q63" i="30" s="1"/>
  <c r="N63" i="30"/>
  <c r="I63" i="30"/>
  <c r="P62" i="30"/>
  <c r="N62" i="30"/>
  <c r="I62" i="30"/>
  <c r="Q62" i="30" s="1"/>
  <c r="P61" i="30"/>
  <c r="N61" i="30"/>
  <c r="I61" i="30"/>
  <c r="Q61" i="30" s="1"/>
  <c r="P60" i="30"/>
  <c r="N60" i="30"/>
  <c r="I60" i="30"/>
  <c r="O57" i="30"/>
  <c r="M57" i="30"/>
  <c r="L57" i="30"/>
  <c r="K57" i="30"/>
  <c r="J57" i="30"/>
  <c r="H57" i="30"/>
  <c r="G57" i="30"/>
  <c r="F57" i="30"/>
  <c r="E57" i="30"/>
  <c r="D57" i="30"/>
  <c r="C57" i="30"/>
  <c r="P56" i="30"/>
  <c r="N56" i="30"/>
  <c r="I56" i="30"/>
  <c r="P55" i="30"/>
  <c r="N55" i="30"/>
  <c r="I55" i="30"/>
  <c r="P54" i="30"/>
  <c r="Q54" i="30" s="1"/>
  <c r="N54" i="30"/>
  <c r="I54" i="30"/>
  <c r="I57" i="30" s="1"/>
  <c r="O51" i="30"/>
  <c r="M51" i="30"/>
  <c r="L51" i="30"/>
  <c r="K51" i="30"/>
  <c r="J51" i="30"/>
  <c r="H51" i="30"/>
  <c r="G51" i="30"/>
  <c r="F51" i="30"/>
  <c r="E51" i="30"/>
  <c r="D51" i="30"/>
  <c r="C51" i="30"/>
  <c r="P50" i="30"/>
  <c r="N50" i="30"/>
  <c r="I50" i="30"/>
  <c r="P49" i="30"/>
  <c r="Q49" i="30" s="1"/>
  <c r="N49" i="30"/>
  <c r="I49" i="30"/>
  <c r="P48" i="30"/>
  <c r="P51" i="30" s="1"/>
  <c r="N48" i="30"/>
  <c r="N51" i="30" s="1"/>
  <c r="I48" i="30"/>
  <c r="O45" i="30"/>
  <c r="M45" i="30"/>
  <c r="L45" i="30"/>
  <c r="K45" i="30"/>
  <c r="J45" i="30"/>
  <c r="H45" i="30"/>
  <c r="G45" i="30"/>
  <c r="F45" i="30"/>
  <c r="E45" i="30"/>
  <c r="D45" i="30"/>
  <c r="C45" i="30"/>
  <c r="P44" i="30"/>
  <c r="N44" i="30"/>
  <c r="I44" i="30"/>
  <c r="Q44" i="30" s="1"/>
  <c r="P43" i="30"/>
  <c r="N43" i="30"/>
  <c r="I43" i="30"/>
  <c r="P42" i="30"/>
  <c r="N42" i="30"/>
  <c r="I42" i="30"/>
  <c r="P41" i="30"/>
  <c r="N41" i="30"/>
  <c r="I41" i="30"/>
  <c r="P40" i="30"/>
  <c r="N40" i="30"/>
  <c r="I40" i="30"/>
  <c r="P39" i="30"/>
  <c r="N39" i="30"/>
  <c r="I39" i="30"/>
  <c r="P38" i="30"/>
  <c r="Q38" i="30" s="1"/>
  <c r="N38" i="30"/>
  <c r="I38" i="30"/>
  <c r="P37" i="30"/>
  <c r="N37" i="30"/>
  <c r="I37" i="30"/>
  <c r="O34" i="30"/>
  <c r="M34" i="30"/>
  <c r="L34" i="30"/>
  <c r="K34" i="30"/>
  <c r="J34" i="30"/>
  <c r="H34" i="30"/>
  <c r="G34" i="30"/>
  <c r="F34" i="30"/>
  <c r="E34" i="30"/>
  <c r="D34" i="30"/>
  <c r="C34" i="30"/>
  <c r="P33" i="30"/>
  <c r="N33" i="30"/>
  <c r="I33" i="30"/>
  <c r="P32" i="30"/>
  <c r="N32" i="30"/>
  <c r="I32" i="30"/>
  <c r="P31" i="30"/>
  <c r="N31" i="30"/>
  <c r="I31" i="30"/>
  <c r="P30" i="30"/>
  <c r="Q30" i="30" s="1"/>
  <c r="N30" i="30"/>
  <c r="I30" i="30"/>
  <c r="P29" i="30"/>
  <c r="N29" i="30"/>
  <c r="I29" i="30"/>
  <c r="P28" i="30"/>
  <c r="N28" i="30"/>
  <c r="I28" i="30"/>
  <c r="P27" i="30"/>
  <c r="N27" i="30"/>
  <c r="Q27" i="30" s="1"/>
  <c r="I27" i="30"/>
  <c r="P26" i="30"/>
  <c r="N26" i="30"/>
  <c r="I26" i="30"/>
  <c r="P25" i="30"/>
  <c r="N25" i="30"/>
  <c r="I25" i="30"/>
  <c r="P24" i="30"/>
  <c r="N24" i="30"/>
  <c r="I24" i="30"/>
  <c r="P23" i="30"/>
  <c r="N23" i="30"/>
  <c r="I23" i="30"/>
  <c r="P22" i="30"/>
  <c r="N22" i="30"/>
  <c r="I22" i="30"/>
  <c r="O19" i="30"/>
  <c r="M19" i="30"/>
  <c r="L19" i="30"/>
  <c r="K19" i="30"/>
  <c r="J19" i="30"/>
  <c r="H19" i="30"/>
  <c r="G19" i="30"/>
  <c r="F19" i="30"/>
  <c r="E19" i="30"/>
  <c r="D19" i="30"/>
  <c r="C19" i="30"/>
  <c r="P18" i="30"/>
  <c r="N18" i="30"/>
  <c r="Q18" i="30" s="1"/>
  <c r="I18" i="30"/>
  <c r="P17" i="30"/>
  <c r="N17" i="30"/>
  <c r="I17" i="30"/>
  <c r="P16" i="30"/>
  <c r="Q16" i="30" s="1"/>
  <c r="N16" i="30"/>
  <c r="I16" i="30"/>
  <c r="P15" i="30"/>
  <c r="N15" i="30"/>
  <c r="I15" i="30"/>
  <c r="Q15" i="30" s="1"/>
  <c r="P14" i="30"/>
  <c r="N14" i="30"/>
  <c r="I14" i="30"/>
  <c r="Q14" i="30" s="1"/>
  <c r="P13" i="30"/>
  <c r="N13" i="30"/>
  <c r="I13" i="30"/>
  <c r="P12" i="30"/>
  <c r="N12" i="30"/>
  <c r="I12" i="30"/>
  <c r="P11" i="30"/>
  <c r="N11" i="30"/>
  <c r="I11" i="30"/>
  <c r="P10" i="30"/>
  <c r="Q10" i="30" s="1"/>
  <c r="N10" i="30"/>
  <c r="I10" i="30"/>
  <c r="P9" i="30"/>
  <c r="N9" i="30"/>
  <c r="I9" i="30"/>
  <c r="P8" i="30"/>
  <c r="N8" i="30"/>
  <c r="Q8" i="30" s="1"/>
  <c r="I8" i="30"/>
  <c r="P7" i="30"/>
  <c r="N7" i="30"/>
  <c r="I7" i="30"/>
  <c r="Q28" i="30" l="1"/>
  <c r="I34" i="30"/>
  <c r="Q29" i="30"/>
  <c r="P19" i="30"/>
  <c r="P34" i="30"/>
  <c r="Q33" i="30"/>
  <c r="P45" i="30"/>
  <c r="Q42" i="30"/>
  <c r="N57" i="30"/>
  <c r="Q13" i="30"/>
  <c r="Q26" i="30"/>
  <c r="N45" i="30"/>
  <c r="Q40" i="30"/>
  <c r="I51" i="30"/>
  <c r="Q43" i="30"/>
  <c r="Q50" i="30"/>
  <c r="I65" i="30"/>
  <c r="Q23" i="30"/>
  <c r="Q31" i="30"/>
  <c r="P57" i="30"/>
  <c r="N65" i="30"/>
  <c r="AE41" i="131"/>
  <c r="Q11" i="30"/>
  <c r="Q7" i="30"/>
  <c r="Q41" i="30"/>
  <c r="P65" i="30"/>
  <c r="Q9" i="30"/>
  <c r="Q24" i="30"/>
  <c r="N19" i="30"/>
  <c r="N34" i="30"/>
  <c r="I45" i="30"/>
  <c r="Q12" i="30"/>
  <c r="Q17" i="30"/>
  <c r="Q25" i="30"/>
  <c r="Q32" i="30"/>
  <c r="Q39" i="30"/>
  <c r="Q56" i="30"/>
  <c r="P190" i="133"/>
  <c r="AF41" i="131"/>
  <c r="AE89" i="133"/>
  <c r="AE288" i="133" s="1"/>
  <c r="P89" i="133"/>
  <c r="AG190" i="133"/>
  <c r="AF89" i="133"/>
  <c r="AF288" i="133" s="1"/>
  <c r="AG33" i="132"/>
  <c r="AG41" i="131"/>
  <c r="AG195" i="131"/>
  <c r="AF73" i="131"/>
  <c r="O222" i="131"/>
  <c r="AG191" i="131"/>
  <c r="AF9" i="129"/>
  <c r="AE63" i="129"/>
  <c r="AF63" i="129"/>
  <c r="J393" i="93"/>
  <c r="H403" i="93"/>
  <c r="H405" i="93" s="1"/>
  <c r="H371" i="92"/>
  <c r="V401" i="93"/>
  <c r="V402" i="93" s="1"/>
  <c r="D369" i="92"/>
  <c r="N364" i="92"/>
  <c r="D371" i="92"/>
  <c r="D403" i="93"/>
  <c r="D405" i="93" s="1"/>
  <c r="N361" i="92"/>
  <c r="B403" i="93"/>
  <c r="B405" i="93" s="1"/>
  <c r="B371" i="92"/>
  <c r="N371" i="92" s="1"/>
  <c r="E405" i="93"/>
  <c r="C405" i="93"/>
  <c r="AG20" i="132"/>
  <c r="AG19" i="132" s="1"/>
  <c r="P19" i="132"/>
  <c r="AG27" i="132"/>
  <c r="AG26" i="132" s="1"/>
  <c r="P26" i="132"/>
  <c r="O91" i="132"/>
  <c r="AG89" i="133"/>
  <c r="P99" i="132"/>
  <c r="AG100" i="132"/>
  <c r="AG99" i="132" s="1"/>
  <c r="P92" i="132"/>
  <c r="AG93" i="132"/>
  <c r="AG92" i="132" s="1"/>
  <c r="AD220" i="132"/>
  <c r="AD300" i="132" s="1"/>
  <c r="AG234" i="132"/>
  <c r="AG230" i="132" s="1"/>
  <c r="P230" i="132"/>
  <c r="AF91" i="132"/>
  <c r="AG273" i="133"/>
  <c r="AG250" i="133" s="1"/>
  <c r="AG218" i="133" s="1"/>
  <c r="AE220" i="132"/>
  <c r="AE300" i="132" s="1"/>
  <c r="P185" i="132"/>
  <c r="AG186" i="132"/>
  <c r="AG185" i="132" s="1"/>
  <c r="P105" i="132"/>
  <c r="AG106" i="132"/>
  <c r="AG105" i="132" s="1"/>
  <c r="AG279" i="132"/>
  <c r="AG240" i="132"/>
  <c r="AG239" i="132" s="1"/>
  <c r="P239" i="132"/>
  <c r="AG222" i="132"/>
  <c r="AG221" i="132" s="1"/>
  <c r="P221" i="132"/>
  <c r="P129" i="132"/>
  <c r="AG130" i="132"/>
  <c r="AG129" i="132" s="1"/>
  <c r="O220" i="132"/>
  <c r="P288" i="133"/>
  <c r="AF220" i="132"/>
  <c r="P117" i="132"/>
  <c r="AG118" i="132"/>
  <c r="AG117" i="132" s="1"/>
  <c r="AG124" i="132"/>
  <c r="AG123" i="132" s="1"/>
  <c r="P123" i="132"/>
  <c r="AE8" i="131"/>
  <c r="AE73" i="131"/>
  <c r="AG73" i="131"/>
  <c r="P185" i="131"/>
  <c r="P151" i="131" s="1"/>
  <c r="P222" i="131" s="1"/>
  <c r="AD222" i="131"/>
  <c r="AE185" i="131"/>
  <c r="AE151" i="131" s="1"/>
  <c r="AG8" i="131"/>
  <c r="AE9" i="129"/>
  <c r="J401" i="93"/>
  <c r="Q128" i="21"/>
  <c r="R127" i="21" s="1"/>
  <c r="R123" i="21"/>
  <c r="I129" i="21"/>
  <c r="Q127" i="21"/>
  <c r="R122" i="21"/>
  <c r="Q125" i="21"/>
  <c r="R124" i="21"/>
  <c r="Q57" i="30"/>
  <c r="R57" i="30" s="1"/>
  <c r="R56" i="30"/>
  <c r="Q19" i="30"/>
  <c r="R19" i="30" s="1"/>
  <c r="Q22" i="30"/>
  <c r="Q55" i="30"/>
  <c r="Q60" i="30"/>
  <c r="I19" i="30"/>
  <c r="Q37" i="30"/>
  <c r="Q48" i="30"/>
  <c r="R125" i="21" l="1"/>
  <c r="P220" i="132"/>
  <c r="AG9" i="132"/>
  <c r="AG185" i="131"/>
  <c r="AG151" i="131" s="1"/>
  <c r="AG288" i="133"/>
  <c r="AF300" i="132"/>
  <c r="P9" i="132"/>
  <c r="N369" i="92"/>
  <c r="J403" i="93"/>
  <c r="J405" i="93" s="1"/>
  <c r="AG91" i="132"/>
  <c r="P91" i="132"/>
  <c r="AG220" i="132"/>
  <c r="O300" i="132"/>
  <c r="AE222" i="131"/>
  <c r="R128" i="21"/>
  <c r="R129" i="21" s="1"/>
  <c r="Q129" i="21"/>
  <c r="R126" i="21"/>
  <c r="R7" i="30"/>
  <c r="R11" i="30"/>
  <c r="Q45" i="30"/>
  <c r="R37" i="30"/>
  <c r="R8" i="30"/>
  <c r="R14" i="30"/>
  <c r="R54" i="30"/>
  <c r="R15" i="30"/>
  <c r="R9" i="30"/>
  <c r="Q51" i="30"/>
  <c r="R48" i="30" s="1"/>
  <c r="Q65" i="30"/>
  <c r="R60" i="30" s="1"/>
  <c r="R55" i="30"/>
  <c r="R18" i="30"/>
  <c r="R16" i="30"/>
  <c r="R17" i="30"/>
  <c r="Q34" i="30"/>
  <c r="R22" i="30"/>
  <c r="R12" i="30"/>
  <c r="R13" i="30"/>
  <c r="R10" i="30"/>
  <c r="F101" i="33"/>
  <c r="E101" i="33"/>
  <c r="D101" i="33"/>
  <c r="C101" i="33"/>
  <c r="B101" i="33"/>
  <c r="J100" i="33"/>
  <c r="I100" i="33"/>
  <c r="H100" i="33"/>
  <c r="G100" i="33"/>
  <c r="J99" i="33"/>
  <c r="I99" i="33"/>
  <c r="H99" i="33"/>
  <c r="G99" i="33"/>
  <c r="J98" i="33"/>
  <c r="I98" i="33"/>
  <c r="H98" i="33"/>
  <c r="G98" i="33"/>
  <c r="J97" i="33"/>
  <c r="I97" i="33"/>
  <c r="H97" i="33"/>
  <c r="G97" i="33"/>
  <c r="J96" i="33"/>
  <c r="I96" i="33"/>
  <c r="H96" i="33"/>
  <c r="G96" i="33"/>
  <c r="J95" i="33"/>
  <c r="I95" i="33"/>
  <c r="H95" i="33"/>
  <c r="G95" i="33"/>
  <c r="J94" i="33"/>
  <c r="I94" i="33"/>
  <c r="H94" i="33"/>
  <c r="G94" i="33"/>
  <c r="J93" i="33"/>
  <c r="I93" i="33"/>
  <c r="H93" i="33"/>
  <c r="G93" i="33"/>
  <c r="J92" i="33"/>
  <c r="I92" i="33"/>
  <c r="H92" i="33"/>
  <c r="G92" i="33"/>
  <c r="J91" i="33"/>
  <c r="I91" i="33"/>
  <c r="H91" i="33"/>
  <c r="G91" i="33"/>
  <c r="J90" i="33"/>
  <c r="I90" i="33"/>
  <c r="H90" i="33"/>
  <c r="G90" i="33"/>
  <c r="J89" i="33"/>
  <c r="I89" i="33"/>
  <c r="H89" i="33"/>
  <c r="G89" i="33"/>
  <c r="J88" i="33"/>
  <c r="I88" i="33"/>
  <c r="H88" i="33"/>
  <c r="G88" i="33"/>
  <c r="J87" i="33"/>
  <c r="I87" i="33"/>
  <c r="H87" i="33"/>
  <c r="G87" i="33"/>
  <c r="J85" i="33"/>
  <c r="I85" i="33"/>
  <c r="H85" i="33"/>
  <c r="G85" i="33"/>
  <c r="J84" i="33"/>
  <c r="I84" i="33"/>
  <c r="H84" i="33"/>
  <c r="G84" i="33"/>
  <c r="J83" i="33"/>
  <c r="I83" i="33"/>
  <c r="H83" i="33"/>
  <c r="G83" i="33"/>
  <c r="J82" i="33"/>
  <c r="I82" i="33"/>
  <c r="H82" i="33"/>
  <c r="G82" i="33"/>
  <c r="J81" i="33"/>
  <c r="I81" i="33"/>
  <c r="H81" i="33"/>
  <c r="G81" i="33"/>
  <c r="J80" i="33"/>
  <c r="I80" i="33"/>
  <c r="H80" i="33"/>
  <c r="G80" i="33"/>
  <c r="F77" i="33"/>
  <c r="E77" i="33"/>
  <c r="D77" i="33"/>
  <c r="C77" i="33"/>
  <c r="B77" i="33"/>
  <c r="J76" i="33"/>
  <c r="I76" i="33"/>
  <c r="H76" i="33"/>
  <c r="G76" i="33"/>
  <c r="J75" i="33"/>
  <c r="I75" i="33"/>
  <c r="H75" i="33"/>
  <c r="G75" i="33"/>
  <c r="J74" i="33"/>
  <c r="I74" i="33"/>
  <c r="H74" i="33"/>
  <c r="G74" i="33"/>
  <c r="J73" i="33"/>
  <c r="I73" i="33"/>
  <c r="H73" i="33"/>
  <c r="G73" i="33"/>
  <c r="J72" i="33"/>
  <c r="I72" i="33"/>
  <c r="H72" i="33"/>
  <c r="G72" i="33"/>
  <c r="J71" i="33"/>
  <c r="I71" i="33"/>
  <c r="H71" i="33"/>
  <c r="G71" i="33"/>
  <c r="J70" i="33"/>
  <c r="I70" i="33"/>
  <c r="H70" i="33"/>
  <c r="G70" i="33"/>
  <c r="J69" i="33"/>
  <c r="I69" i="33"/>
  <c r="H69" i="33"/>
  <c r="G69" i="33"/>
  <c r="J68" i="33"/>
  <c r="I68" i="33"/>
  <c r="H68" i="33"/>
  <c r="G68" i="33"/>
  <c r="J67" i="33"/>
  <c r="I67" i="33"/>
  <c r="H67" i="33"/>
  <c r="G67" i="33"/>
  <c r="J66" i="33"/>
  <c r="I66" i="33"/>
  <c r="H66" i="33"/>
  <c r="G66" i="33"/>
  <c r="J65" i="33"/>
  <c r="I65" i="33"/>
  <c r="H65" i="33"/>
  <c r="G65" i="33"/>
  <c r="J64" i="33"/>
  <c r="I64" i="33"/>
  <c r="H64" i="33"/>
  <c r="G64" i="33"/>
  <c r="J63" i="33"/>
  <c r="I63" i="33"/>
  <c r="H63" i="33"/>
  <c r="G63" i="33"/>
  <c r="J61" i="33"/>
  <c r="I61" i="33"/>
  <c r="H61" i="33"/>
  <c r="G61" i="33"/>
  <c r="J60" i="33"/>
  <c r="I60" i="33"/>
  <c r="H60" i="33"/>
  <c r="G60" i="33"/>
  <c r="J59" i="33"/>
  <c r="I59" i="33"/>
  <c r="H59" i="33"/>
  <c r="G59" i="33"/>
  <c r="J58" i="33"/>
  <c r="I58" i="33"/>
  <c r="H58" i="33"/>
  <c r="G58" i="33"/>
  <c r="J57" i="33"/>
  <c r="I57" i="33"/>
  <c r="H57" i="33"/>
  <c r="G57" i="33"/>
  <c r="J56" i="33"/>
  <c r="I56" i="33"/>
  <c r="H56" i="33"/>
  <c r="G56" i="33"/>
  <c r="F53" i="33"/>
  <c r="E53" i="33"/>
  <c r="D53" i="33"/>
  <c r="C53" i="33"/>
  <c r="B53" i="33"/>
  <c r="J52" i="33"/>
  <c r="I52" i="33"/>
  <c r="H52" i="33"/>
  <c r="G52" i="33"/>
  <c r="J51" i="33"/>
  <c r="I51" i="33"/>
  <c r="H51" i="33"/>
  <c r="G51" i="33"/>
  <c r="J50" i="33"/>
  <c r="I50" i="33"/>
  <c r="H50" i="33"/>
  <c r="G50" i="33"/>
  <c r="J49" i="33"/>
  <c r="I49" i="33"/>
  <c r="H49" i="33"/>
  <c r="G49" i="33"/>
  <c r="J48" i="33"/>
  <c r="I48" i="33"/>
  <c r="H48" i="33"/>
  <c r="G48" i="33"/>
  <c r="J47" i="33"/>
  <c r="I47" i="33"/>
  <c r="H47" i="33"/>
  <c r="G47" i="33"/>
  <c r="J46" i="33"/>
  <c r="I46" i="33"/>
  <c r="H46" i="33"/>
  <c r="G46" i="33"/>
  <c r="J45" i="33"/>
  <c r="I45" i="33"/>
  <c r="H45" i="33"/>
  <c r="G45" i="33"/>
  <c r="J44" i="33"/>
  <c r="I44" i="33"/>
  <c r="H44" i="33"/>
  <c r="G44" i="33"/>
  <c r="J43" i="33"/>
  <c r="I43" i="33"/>
  <c r="H43" i="33"/>
  <c r="G43" i="33"/>
  <c r="J42" i="33"/>
  <c r="I42" i="33"/>
  <c r="H42" i="33"/>
  <c r="G42" i="33"/>
  <c r="J41" i="33"/>
  <c r="I41" i="33"/>
  <c r="H41" i="33"/>
  <c r="G41" i="33"/>
  <c r="J40" i="33"/>
  <c r="I40" i="33"/>
  <c r="H40" i="33"/>
  <c r="G40" i="33"/>
  <c r="J39" i="33"/>
  <c r="I39" i="33"/>
  <c r="H39" i="33"/>
  <c r="G39" i="33"/>
  <c r="J37" i="33"/>
  <c r="I37" i="33"/>
  <c r="H37" i="33"/>
  <c r="G37" i="33"/>
  <c r="J36" i="33"/>
  <c r="I36" i="33"/>
  <c r="H36" i="33"/>
  <c r="G36" i="33"/>
  <c r="J35" i="33"/>
  <c r="I35" i="33"/>
  <c r="H35" i="33"/>
  <c r="G35" i="33"/>
  <c r="J34" i="33"/>
  <c r="I34" i="33"/>
  <c r="H34" i="33"/>
  <c r="G34" i="33"/>
  <c r="J33" i="33"/>
  <c r="I33" i="33"/>
  <c r="H33" i="33"/>
  <c r="G33" i="33"/>
  <c r="J32" i="33"/>
  <c r="I32" i="33"/>
  <c r="H32" i="33"/>
  <c r="G32" i="33"/>
  <c r="G9" i="33"/>
  <c r="H9" i="33"/>
  <c r="I9" i="33"/>
  <c r="J9" i="33"/>
  <c r="G10" i="33"/>
  <c r="H10" i="33"/>
  <c r="I10" i="33"/>
  <c r="J10" i="33"/>
  <c r="G11" i="33"/>
  <c r="H11" i="33"/>
  <c r="I11" i="33"/>
  <c r="J11" i="33"/>
  <c r="G12" i="33"/>
  <c r="H12" i="33"/>
  <c r="I12" i="33"/>
  <c r="J12" i="33"/>
  <c r="G13" i="33"/>
  <c r="H13" i="33"/>
  <c r="I13" i="33"/>
  <c r="J13" i="33"/>
  <c r="G15" i="33"/>
  <c r="H15" i="33"/>
  <c r="I15" i="33"/>
  <c r="J15" i="33"/>
  <c r="G16" i="33"/>
  <c r="H16" i="33"/>
  <c r="I16" i="33"/>
  <c r="J16" i="33"/>
  <c r="G17" i="33"/>
  <c r="H17" i="33"/>
  <c r="I17" i="33"/>
  <c r="J17" i="33"/>
  <c r="G18" i="33"/>
  <c r="H18" i="33"/>
  <c r="I18" i="33"/>
  <c r="J18" i="33"/>
  <c r="G19" i="33"/>
  <c r="H19" i="33"/>
  <c r="I19" i="33"/>
  <c r="J19" i="33"/>
  <c r="G20" i="33"/>
  <c r="H20" i="33"/>
  <c r="I20" i="33"/>
  <c r="J20" i="33"/>
  <c r="G21" i="33"/>
  <c r="H21" i="33"/>
  <c r="I21" i="33"/>
  <c r="J21" i="33"/>
  <c r="G22" i="33"/>
  <c r="H22" i="33"/>
  <c r="I22" i="33"/>
  <c r="J22" i="33"/>
  <c r="G23" i="33"/>
  <c r="H23" i="33"/>
  <c r="I23" i="33"/>
  <c r="J23" i="33"/>
  <c r="G24" i="33"/>
  <c r="H24" i="33"/>
  <c r="I24" i="33"/>
  <c r="J24" i="33"/>
  <c r="G25" i="33"/>
  <c r="H25" i="33"/>
  <c r="I25" i="33"/>
  <c r="J25" i="33"/>
  <c r="G26" i="33"/>
  <c r="H26" i="33"/>
  <c r="I26" i="33"/>
  <c r="J26" i="33"/>
  <c r="G27" i="33"/>
  <c r="H27" i="33"/>
  <c r="I27" i="33"/>
  <c r="J27" i="33"/>
  <c r="G28" i="33"/>
  <c r="H28" i="33"/>
  <c r="I28" i="33"/>
  <c r="J28" i="33"/>
  <c r="F29" i="33"/>
  <c r="E29" i="33"/>
  <c r="D29" i="33"/>
  <c r="C29" i="33"/>
  <c r="B29" i="33"/>
  <c r="P138" i="21"/>
  <c r="P137" i="21"/>
  <c r="P136" i="21"/>
  <c r="O142" i="21"/>
  <c r="P142" i="21" s="1"/>
  <c r="O141" i="21"/>
  <c r="P141" i="21" s="1"/>
  <c r="O140" i="21"/>
  <c r="P140" i="21" s="1"/>
  <c r="M142" i="21"/>
  <c r="L142" i="21"/>
  <c r="K142" i="21"/>
  <c r="J142" i="21"/>
  <c r="M141" i="21"/>
  <c r="L141" i="21"/>
  <c r="K141" i="21"/>
  <c r="J141" i="21"/>
  <c r="M140" i="21"/>
  <c r="L140" i="21"/>
  <c r="K140" i="21"/>
  <c r="J140" i="21"/>
  <c r="H142" i="21"/>
  <c r="G142" i="21"/>
  <c r="F142" i="21"/>
  <c r="E142" i="21"/>
  <c r="D142" i="21"/>
  <c r="C142" i="21"/>
  <c r="H141" i="21"/>
  <c r="G141" i="21"/>
  <c r="F141" i="21"/>
  <c r="E141" i="21"/>
  <c r="D141" i="21"/>
  <c r="C141" i="21"/>
  <c r="H140" i="21"/>
  <c r="G140" i="21"/>
  <c r="F140" i="21"/>
  <c r="E140" i="21"/>
  <c r="D140" i="21"/>
  <c r="C140" i="21"/>
  <c r="P114" i="21"/>
  <c r="P113" i="21"/>
  <c r="P112" i="21"/>
  <c r="M114" i="21"/>
  <c r="L114" i="21"/>
  <c r="K114" i="21"/>
  <c r="J114" i="21"/>
  <c r="M113" i="21"/>
  <c r="L113" i="21"/>
  <c r="K113" i="21"/>
  <c r="J113" i="21"/>
  <c r="M112" i="21"/>
  <c r="L112" i="21"/>
  <c r="K112" i="21"/>
  <c r="J112" i="21"/>
  <c r="H114" i="21"/>
  <c r="G114" i="21"/>
  <c r="F114" i="21"/>
  <c r="E114" i="21"/>
  <c r="D114" i="21"/>
  <c r="C114" i="21"/>
  <c r="H113" i="21"/>
  <c r="G113" i="21"/>
  <c r="F113" i="21"/>
  <c r="E113" i="21"/>
  <c r="D113" i="21"/>
  <c r="C113" i="21"/>
  <c r="H112" i="21"/>
  <c r="G112" i="21"/>
  <c r="F112" i="21"/>
  <c r="E112" i="21"/>
  <c r="D112" i="21"/>
  <c r="C112" i="21"/>
  <c r="P96" i="21"/>
  <c r="P95" i="21"/>
  <c r="P94" i="21"/>
  <c r="P100" i="21"/>
  <c r="P99" i="21"/>
  <c r="P98" i="21"/>
  <c r="M100" i="21"/>
  <c r="K100" i="21"/>
  <c r="J100" i="21"/>
  <c r="M99" i="21"/>
  <c r="K99" i="21"/>
  <c r="J99" i="21"/>
  <c r="M98" i="21"/>
  <c r="K98" i="21"/>
  <c r="J98" i="21"/>
  <c r="C100" i="21"/>
  <c r="C99" i="21"/>
  <c r="C98" i="21"/>
  <c r="L74" i="21"/>
  <c r="L73" i="21"/>
  <c r="L72" i="21"/>
  <c r="O74" i="21"/>
  <c r="O73" i="21"/>
  <c r="O72" i="21"/>
  <c r="M74" i="21"/>
  <c r="M73" i="21"/>
  <c r="M72" i="21"/>
  <c r="K74" i="21"/>
  <c r="J74" i="21"/>
  <c r="K73" i="21"/>
  <c r="J73" i="21"/>
  <c r="K72" i="21"/>
  <c r="J72" i="21"/>
  <c r="H74" i="21"/>
  <c r="G74" i="21"/>
  <c r="F74" i="21"/>
  <c r="E74" i="21"/>
  <c r="D74" i="21"/>
  <c r="C74" i="21"/>
  <c r="H73" i="21"/>
  <c r="G73" i="21"/>
  <c r="F73" i="21"/>
  <c r="E73" i="21"/>
  <c r="D73" i="21"/>
  <c r="C73" i="21"/>
  <c r="H72" i="21"/>
  <c r="G72" i="21"/>
  <c r="F72" i="21"/>
  <c r="E72" i="21"/>
  <c r="D72" i="21"/>
  <c r="C72" i="21"/>
  <c r="O139" i="21"/>
  <c r="M139" i="21"/>
  <c r="L139" i="21"/>
  <c r="K139" i="21"/>
  <c r="J139" i="21"/>
  <c r="H139" i="21"/>
  <c r="G139" i="21"/>
  <c r="F139" i="21"/>
  <c r="E139" i="21"/>
  <c r="D139" i="21"/>
  <c r="C139" i="21"/>
  <c r="N138" i="21"/>
  <c r="I138" i="21"/>
  <c r="N137" i="21"/>
  <c r="I137" i="21"/>
  <c r="N136" i="21"/>
  <c r="I136" i="21"/>
  <c r="O135" i="21"/>
  <c r="M135" i="21"/>
  <c r="L135" i="21"/>
  <c r="K135" i="21"/>
  <c r="J135" i="21"/>
  <c r="H135" i="21"/>
  <c r="G135" i="21"/>
  <c r="F135" i="21"/>
  <c r="E135" i="21"/>
  <c r="D135" i="21"/>
  <c r="C135" i="21"/>
  <c r="P134" i="21"/>
  <c r="N134" i="21"/>
  <c r="I134" i="21"/>
  <c r="P133" i="21"/>
  <c r="N133" i="21"/>
  <c r="I133" i="21"/>
  <c r="P132" i="21"/>
  <c r="N132" i="21"/>
  <c r="I132" i="21"/>
  <c r="O121" i="21"/>
  <c r="M121" i="21"/>
  <c r="L121" i="21"/>
  <c r="K121" i="21"/>
  <c r="J121" i="21"/>
  <c r="H121" i="21"/>
  <c r="G121" i="21"/>
  <c r="F121" i="21"/>
  <c r="E121" i="21"/>
  <c r="D121" i="21"/>
  <c r="C121" i="21"/>
  <c r="P120" i="21"/>
  <c r="N120" i="21"/>
  <c r="P119" i="21"/>
  <c r="N119" i="21"/>
  <c r="P118" i="21"/>
  <c r="N118" i="21"/>
  <c r="O111" i="21"/>
  <c r="M111" i="21"/>
  <c r="L111" i="21"/>
  <c r="K111" i="21"/>
  <c r="J111" i="21"/>
  <c r="H111" i="21"/>
  <c r="G111" i="21"/>
  <c r="F111" i="21"/>
  <c r="E111" i="21"/>
  <c r="D111" i="21"/>
  <c r="C111" i="21"/>
  <c r="P110" i="21"/>
  <c r="N110" i="21"/>
  <c r="I110" i="21"/>
  <c r="P109" i="21"/>
  <c r="N109" i="21"/>
  <c r="I109" i="21"/>
  <c r="P108" i="21"/>
  <c r="N108" i="21"/>
  <c r="I108" i="21"/>
  <c r="O107" i="21"/>
  <c r="M107" i="21"/>
  <c r="L107" i="21"/>
  <c r="K107" i="21"/>
  <c r="J107" i="21"/>
  <c r="H107" i="21"/>
  <c r="G107" i="21"/>
  <c r="F107" i="21"/>
  <c r="E107" i="21"/>
  <c r="D107" i="21"/>
  <c r="C107" i="21"/>
  <c r="P106" i="21"/>
  <c r="N106" i="21"/>
  <c r="I106" i="21"/>
  <c r="P105" i="21"/>
  <c r="N105" i="21"/>
  <c r="I105" i="21"/>
  <c r="P104" i="21"/>
  <c r="N104" i="21"/>
  <c r="I104" i="21"/>
  <c r="O97" i="21"/>
  <c r="M97" i="21"/>
  <c r="L97" i="21"/>
  <c r="K97" i="21"/>
  <c r="J97" i="21"/>
  <c r="H97" i="21"/>
  <c r="G97" i="21"/>
  <c r="F97" i="21"/>
  <c r="E97" i="21"/>
  <c r="D97" i="21"/>
  <c r="C97" i="21"/>
  <c r="N96" i="21"/>
  <c r="I96" i="21"/>
  <c r="N95" i="21"/>
  <c r="I95" i="21"/>
  <c r="N94" i="21"/>
  <c r="I94" i="21"/>
  <c r="O93" i="21"/>
  <c r="M93" i="21"/>
  <c r="L93" i="21"/>
  <c r="K93" i="21"/>
  <c r="J93" i="21"/>
  <c r="H93" i="21"/>
  <c r="G93" i="21"/>
  <c r="F93" i="21"/>
  <c r="E93" i="21"/>
  <c r="D93" i="21"/>
  <c r="C93" i="21"/>
  <c r="P92" i="21"/>
  <c r="N92" i="21"/>
  <c r="I92" i="21"/>
  <c r="P91" i="21"/>
  <c r="N91" i="21"/>
  <c r="I91" i="21"/>
  <c r="P90" i="21"/>
  <c r="N90" i="21"/>
  <c r="I90" i="21"/>
  <c r="O89" i="21"/>
  <c r="M89" i="21"/>
  <c r="L89" i="21"/>
  <c r="K89" i="21"/>
  <c r="J89" i="21"/>
  <c r="H89" i="21"/>
  <c r="G89" i="21"/>
  <c r="F89" i="21"/>
  <c r="E89" i="21"/>
  <c r="D89" i="21"/>
  <c r="C89" i="21"/>
  <c r="P88" i="21"/>
  <c r="N88" i="21"/>
  <c r="I88" i="21"/>
  <c r="P87" i="21"/>
  <c r="N87" i="21"/>
  <c r="I87" i="21"/>
  <c r="P86" i="21"/>
  <c r="N86" i="21"/>
  <c r="I86" i="21"/>
  <c r="O85" i="21"/>
  <c r="M85" i="21"/>
  <c r="L85" i="21"/>
  <c r="K85" i="21"/>
  <c r="J85" i="21"/>
  <c r="H85" i="21"/>
  <c r="G85" i="21"/>
  <c r="F85" i="21"/>
  <c r="E85" i="21"/>
  <c r="D85" i="21"/>
  <c r="C85" i="21"/>
  <c r="P84" i="21"/>
  <c r="N84" i="21"/>
  <c r="I84" i="21"/>
  <c r="P83" i="21"/>
  <c r="N83" i="21"/>
  <c r="I83" i="21"/>
  <c r="P82" i="21"/>
  <c r="N82" i="21"/>
  <c r="I82" i="21"/>
  <c r="O81" i="21"/>
  <c r="M81" i="21"/>
  <c r="L81" i="21"/>
  <c r="K81" i="21"/>
  <c r="J81" i="21"/>
  <c r="H81" i="21"/>
  <c r="G81" i="21"/>
  <c r="F81" i="21"/>
  <c r="E81" i="21"/>
  <c r="D81" i="21"/>
  <c r="C81" i="21"/>
  <c r="P80" i="21"/>
  <c r="N80" i="21"/>
  <c r="I80" i="21"/>
  <c r="P79" i="21"/>
  <c r="N79" i="21"/>
  <c r="I79" i="21"/>
  <c r="P78" i="21"/>
  <c r="N78" i="21"/>
  <c r="I78" i="21"/>
  <c r="O71" i="21"/>
  <c r="M71" i="21"/>
  <c r="L71" i="21"/>
  <c r="K71" i="21"/>
  <c r="J71" i="21"/>
  <c r="H71" i="21"/>
  <c r="G71" i="21"/>
  <c r="F71" i="21"/>
  <c r="E71" i="21"/>
  <c r="D71" i="21"/>
  <c r="C71" i="21"/>
  <c r="P70" i="21"/>
  <c r="N70" i="21"/>
  <c r="I70" i="21"/>
  <c r="P69" i="21"/>
  <c r="N69" i="21"/>
  <c r="I69" i="21"/>
  <c r="P68" i="21"/>
  <c r="N68" i="21"/>
  <c r="I68" i="21"/>
  <c r="O67" i="21"/>
  <c r="M67" i="21"/>
  <c r="L67" i="21"/>
  <c r="K67" i="21"/>
  <c r="J67" i="21"/>
  <c r="H67" i="21"/>
  <c r="G67" i="21"/>
  <c r="F67" i="21"/>
  <c r="E67" i="21"/>
  <c r="D67" i="21"/>
  <c r="C67" i="21"/>
  <c r="P66" i="21"/>
  <c r="N66" i="21"/>
  <c r="I66" i="21"/>
  <c r="P65" i="21"/>
  <c r="N65" i="21"/>
  <c r="I65" i="21"/>
  <c r="P64" i="21"/>
  <c r="N64" i="21"/>
  <c r="I64" i="21"/>
  <c r="O63" i="21"/>
  <c r="M63" i="21"/>
  <c r="L63" i="21"/>
  <c r="K63" i="21"/>
  <c r="J63" i="21"/>
  <c r="H63" i="21"/>
  <c r="G63" i="21"/>
  <c r="F63" i="21"/>
  <c r="E63" i="21"/>
  <c r="D63" i="21"/>
  <c r="C63" i="21"/>
  <c r="P62" i="21"/>
  <c r="N62" i="21"/>
  <c r="I62" i="21"/>
  <c r="P61" i="21"/>
  <c r="N61" i="21"/>
  <c r="I61" i="21"/>
  <c r="P60" i="21"/>
  <c r="N60" i="21"/>
  <c r="I60" i="21"/>
  <c r="O59" i="21"/>
  <c r="M59" i="21"/>
  <c r="L59" i="21"/>
  <c r="K59" i="21"/>
  <c r="J59" i="21"/>
  <c r="H59" i="21"/>
  <c r="G59" i="21"/>
  <c r="F59" i="21"/>
  <c r="E59" i="21"/>
  <c r="D59" i="21"/>
  <c r="C59" i="21"/>
  <c r="P58" i="21"/>
  <c r="N58" i="21"/>
  <c r="I58" i="21"/>
  <c r="P57" i="21"/>
  <c r="N57" i="21"/>
  <c r="I57" i="21"/>
  <c r="P56" i="21"/>
  <c r="N56" i="21"/>
  <c r="I56" i="21"/>
  <c r="O55" i="21"/>
  <c r="M55" i="21"/>
  <c r="L55" i="21"/>
  <c r="K55" i="21"/>
  <c r="J55" i="21"/>
  <c r="H55" i="21"/>
  <c r="G55" i="21"/>
  <c r="F55" i="21"/>
  <c r="E55" i="21"/>
  <c r="D55" i="21"/>
  <c r="C55" i="21"/>
  <c r="P54" i="21"/>
  <c r="N54" i="21"/>
  <c r="I54" i="21"/>
  <c r="P53" i="21"/>
  <c r="N53" i="21"/>
  <c r="I53" i="21"/>
  <c r="P52" i="21"/>
  <c r="N52" i="21"/>
  <c r="I52" i="21"/>
  <c r="O51" i="21"/>
  <c r="M51" i="21"/>
  <c r="L51" i="21"/>
  <c r="K51" i="21"/>
  <c r="J51" i="21"/>
  <c r="H51" i="21"/>
  <c r="G51" i="21"/>
  <c r="F51" i="21"/>
  <c r="E51" i="21"/>
  <c r="D51" i="21"/>
  <c r="C51" i="21"/>
  <c r="P50" i="21"/>
  <c r="N50" i="21"/>
  <c r="I50" i="21"/>
  <c r="P49" i="21"/>
  <c r="N49" i="21"/>
  <c r="I49" i="21"/>
  <c r="P48" i="21"/>
  <c r="N48" i="21"/>
  <c r="I48" i="21"/>
  <c r="O47" i="21"/>
  <c r="M47" i="21"/>
  <c r="L47" i="21"/>
  <c r="K47" i="21"/>
  <c r="J47" i="21"/>
  <c r="H47" i="21"/>
  <c r="G47" i="21"/>
  <c r="F47" i="21"/>
  <c r="E47" i="21"/>
  <c r="D47" i="21"/>
  <c r="C47" i="21"/>
  <c r="P46" i="21"/>
  <c r="N46" i="21"/>
  <c r="I46" i="21"/>
  <c r="P45" i="21"/>
  <c r="N45" i="21"/>
  <c r="I45" i="21"/>
  <c r="P44" i="21"/>
  <c r="N44" i="21"/>
  <c r="I44" i="21"/>
  <c r="O40" i="21"/>
  <c r="O39" i="21"/>
  <c r="O38" i="21"/>
  <c r="M40" i="21"/>
  <c r="L40" i="21"/>
  <c r="K40" i="21"/>
  <c r="J40" i="21"/>
  <c r="M39" i="21"/>
  <c r="L39" i="21"/>
  <c r="K39" i="21"/>
  <c r="J39" i="21"/>
  <c r="M38" i="21"/>
  <c r="L38" i="21"/>
  <c r="K38" i="21"/>
  <c r="J38" i="21"/>
  <c r="H40" i="21"/>
  <c r="G40" i="21"/>
  <c r="F40" i="21"/>
  <c r="E40" i="21"/>
  <c r="D40" i="21"/>
  <c r="C40" i="21"/>
  <c r="H39" i="21"/>
  <c r="G39" i="21"/>
  <c r="F39" i="21"/>
  <c r="E39" i="21"/>
  <c r="D39" i="21"/>
  <c r="C39" i="21"/>
  <c r="H38" i="21"/>
  <c r="G38" i="21"/>
  <c r="F38" i="21"/>
  <c r="E38" i="21"/>
  <c r="C38" i="21"/>
  <c r="D38" i="21"/>
  <c r="I6" i="21"/>
  <c r="I7" i="21"/>
  <c r="I8" i="21"/>
  <c r="O37" i="21"/>
  <c r="M37" i="21"/>
  <c r="L37" i="21"/>
  <c r="K37" i="21"/>
  <c r="J37" i="21"/>
  <c r="H37" i="21"/>
  <c r="G37" i="21"/>
  <c r="F37" i="21"/>
  <c r="E37" i="21"/>
  <c r="D37" i="21"/>
  <c r="C37" i="21"/>
  <c r="P36" i="21"/>
  <c r="N36" i="21"/>
  <c r="I36" i="21"/>
  <c r="P35" i="21"/>
  <c r="N35" i="21"/>
  <c r="I35" i="21"/>
  <c r="P34" i="21"/>
  <c r="N34" i="21"/>
  <c r="I34" i="21"/>
  <c r="O33" i="21"/>
  <c r="M33" i="21"/>
  <c r="L33" i="21"/>
  <c r="K33" i="21"/>
  <c r="J33" i="21"/>
  <c r="H33" i="21"/>
  <c r="G33" i="21"/>
  <c r="F33" i="21"/>
  <c r="E33" i="21"/>
  <c r="D33" i="21"/>
  <c r="C33" i="21"/>
  <c r="P32" i="21"/>
  <c r="N32" i="21"/>
  <c r="I32" i="21"/>
  <c r="P31" i="21"/>
  <c r="N31" i="21"/>
  <c r="I31" i="21"/>
  <c r="P30" i="21"/>
  <c r="N30" i="21"/>
  <c r="I30" i="21"/>
  <c r="O29" i="21"/>
  <c r="M29" i="21"/>
  <c r="L29" i="21"/>
  <c r="K29" i="21"/>
  <c r="J29" i="21"/>
  <c r="H29" i="21"/>
  <c r="G29" i="21"/>
  <c r="F29" i="21"/>
  <c r="E29" i="21"/>
  <c r="D29" i="21"/>
  <c r="C29" i="21"/>
  <c r="P28" i="21"/>
  <c r="N28" i="21"/>
  <c r="I28" i="21"/>
  <c r="P27" i="21"/>
  <c r="N27" i="21"/>
  <c r="I27" i="21"/>
  <c r="P26" i="21"/>
  <c r="N26" i="21"/>
  <c r="I26" i="21"/>
  <c r="O25" i="21"/>
  <c r="M25" i="21"/>
  <c r="L25" i="21"/>
  <c r="K25" i="21"/>
  <c r="J25" i="21"/>
  <c r="H25" i="21"/>
  <c r="G25" i="21"/>
  <c r="F25" i="21"/>
  <c r="E25" i="21"/>
  <c r="D25" i="21"/>
  <c r="C25" i="21"/>
  <c r="P24" i="21"/>
  <c r="N24" i="21"/>
  <c r="I24" i="21"/>
  <c r="P23" i="21"/>
  <c r="N23" i="21"/>
  <c r="I23" i="21"/>
  <c r="P22" i="21"/>
  <c r="N22" i="21"/>
  <c r="I22" i="21"/>
  <c r="O21" i="21"/>
  <c r="M21" i="21"/>
  <c r="L21" i="21"/>
  <c r="K21" i="21"/>
  <c r="J21" i="21"/>
  <c r="H21" i="21"/>
  <c r="G21" i="21"/>
  <c r="F21" i="21"/>
  <c r="E21" i="21"/>
  <c r="D21" i="21"/>
  <c r="C21" i="21"/>
  <c r="P20" i="21"/>
  <c r="N20" i="21"/>
  <c r="I20" i="21"/>
  <c r="P19" i="21"/>
  <c r="N19" i="21"/>
  <c r="I19" i="21"/>
  <c r="P18" i="21"/>
  <c r="N18" i="21"/>
  <c r="I18" i="21"/>
  <c r="O17" i="21"/>
  <c r="M17" i="21"/>
  <c r="L17" i="21"/>
  <c r="K17" i="21"/>
  <c r="J17" i="21"/>
  <c r="H17" i="21"/>
  <c r="G17" i="21"/>
  <c r="F17" i="21"/>
  <c r="E17" i="21"/>
  <c r="D17" i="21"/>
  <c r="C17" i="21"/>
  <c r="P16" i="21"/>
  <c r="N16" i="21"/>
  <c r="I16" i="21"/>
  <c r="P15" i="21"/>
  <c r="N15" i="21"/>
  <c r="I15" i="21"/>
  <c r="P14" i="21"/>
  <c r="N14" i="21"/>
  <c r="I14" i="21"/>
  <c r="O13" i="21"/>
  <c r="M13" i="21"/>
  <c r="L13" i="21"/>
  <c r="K13" i="21"/>
  <c r="J13" i="21"/>
  <c r="H13" i="21"/>
  <c r="G13" i="21"/>
  <c r="F13" i="21"/>
  <c r="E13" i="21"/>
  <c r="D13" i="21"/>
  <c r="C13" i="21"/>
  <c r="P12" i="21"/>
  <c r="N12" i="21"/>
  <c r="I12" i="21"/>
  <c r="P11" i="21"/>
  <c r="N11" i="21"/>
  <c r="I11" i="21"/>
  <c r="P10" i="21"/>
  <c r="N10" i="21"/>
  <c r="I10" i="21"/>
  <c r="O9" i="21"/>
  <c r="M9" i="21"/>
  <c r="L9" i="21"/>
  <c r="K9" i="21"/>
  <c r="J9" i="21"/>
  <c r="H9" i="21"/>
  <c r="G9" i="21"/>
  <c r="F9" i="21"/>
  <c r="E9" i="21"/>
  <c r="D9" i="21"/>
  <c r="C9" i="21"/>
  <c r="P8" i="21"/>
  <c r="N8" i="21"/>
  <c r="P7" i="21"/>
  <c r="N7" i="21"/>
  <c r="P6" i="21"/>
  <c r="N6" i="21"/>
  <c r="O32" i="9"/>
  <c r="O29" i="9"/>
  <c r="O27" i="9"/>
  <c r="O25" i="9"/>
  <c r="O23" i="9"/>
  <c r="O49" i="9"/>
  <c r="O46" i="9"/>
  <c r="O44" i="9"/>
  <c r="O42" i="9"/>
  <c r="O40" i="9"/>
  <c r="O66" i="9"/>
  <c r="O63" i="9"/>
  <c r="O61" i="9"/>
  <c r="O70" i="9" s="1"/>
  <c r="O59" i="9"/>
  <c r="O57" i="9"/>
  <c r="O83" i="9"/>
  <c r="O80" i="9"/>
  <c r="O78" i="9"/>
  <c r="O76" i="9"/>
  <c r="O74" i="9"/>
  <c r="M83" i="9"/>
  <c r="M80" i="9"/>
  <c r="M78" i="9"/>
  <c r="M76" i="9"/>
  <c r="M74" i="9"/>
  <c r="M66" i="9"/>
  <c r="M63" i="9"/>
  <c r="M61" i="9"/>
  <c r="M59" i="9"/>
  <c r="M57" i="9"/>
  <c r="M49" i="9"/>
  <c r="M46" i="9"/>
  <c r="M44" i="9"/>
  <c r="M42" i="9"/>
  <c r="M40" i="9"/>
  <c r="M32" i="9"/>
  <c r="M29" i="9"/>
  <c r="M27" i="9"/>
  <c r="M25" i="9"/>
  <c r="M23" i="9"/>
  <c r="N104" i="9"/>
  <c r="L104" i="9"/>
  <c r="K104" i="9"/>
  <c r="J104" i="9"/>
  <c r="I104" i="9"/>
  <c r="G104" i="9"/>
  <c r="F104" i="9"/>
  <c r="E104" i="9"/>
  <c r="D104" i="9"/>
  <c r="C104" i="9"/>
  <c r="B104" i="9"/>
  <c r="O100" i="9"/>
  <c r="M100" i="9"/>
  <c r="H100" i="9"/>
  <c r="O97" i="9"/>
  <c r="M97" i="9"/>
  <c r="H97" i="9"/>
  <c r="O95" i="9"/>
  <c r="M95" i="9"/>
  <c r="H95" i="9"/>
  <c r="O93" i="9"/>
  <c r="M93" i="9"/>
  <c r="H93" i="9"/>
  <c r="O91" i="9"/>
  <c r="M91" i="9"/>
  <c r="H91" i="9"/>
  <c r="N87" i="9"/>
  <c r="L87" i="9"/>
  <c r="K87" i="9"/>
  <c r="J87" i="9"/>
  <c r="I87" i="9"/>
  <c r="G87" i="9"/>
  <c r="F87" i="9"/>
  <c r="E87" i="9"/>
  <c r="D87" i="9"/>
  <c r="C87" i="9"/>
  <c r="B87" i="9"/>
  <c r="H83" i="9"/>
  <c r="H80" i="9"/>
  <c r="H78" i="9"/>
  <c r="H76" i="9"/>
  <c r="H74" i="9"/>
  <c r="N70" i="9"/>
  <c r="L70" i="9"/>
  <c r="K70" i="9"/>
  <c r="J70" i="9"/>
  <c r="I70" i="9"/>
  <c r="G70" i="9"/>
  <c r="F70" i="9"/>
  <c r="E70" i="9"/>
  <c r="D70" i="9"/>
  <c r="C70" i="9"/>
  <c r="B70" i="9"/>
  <c r="H66" i="9"/>
  <c r="H63" i="9"/>
  <c r="H61" i="9"/>
  <c r="H59" i="9"/>
  <c r="H57" i="9"/>
  <c r="N53" i="9"/>
  <c r="L53" i="9"/>
  <c r="K53" i="9"/>
  <c r="J53" i="9"/>
  <c r="I53" i="9"/>
  <c r="G53" i="9"/>
  <c r="F53" i="9"/>
  <c r="E53" i="9"/>
  <c r="D53" i="9"/>
  <c r="C53" i="9"/>
  <c r="B53" i="9"/>
  <c r="H49" i="9"/>
  <c r="H46" i="9"/>
  <c r="P44" i="9"/>
  <c r="H44" i="9"/>
  <c r="H42" i="9"/>
  <c r="H40" i="9"/>
  <c r="N36" i="9"/>
  <c r="L36" i="9"/>
  <c r="K36" i="9"/>
  <c r="J36" i="9"/>
  <c r="I36" i="9"/>
  <c r="G36" i="9"/>
  <c r="F36" i="9"/>
  <c r="E36" i="9"/>
  <c r="D36" i="9"/>
  <c r="C36" i="9"/>
  <c r="B36" i="9"/>
  <c r="H32" i="9"/>
  <c r="H29" i="9"/>
  <c r="H27" i="9"/>
  <c r="H25" i="9"/>
  <c r="H23" i="9"/>
  <c r="O15" i="9"/>
  <c r="O12" i="9"/>
  <c r="O10" i="9"/>
  <c r="O8" i="9"/>
  <c r="M15" i="9"/>
  <c r="M12" i="9"/>
  <c r="M10" i="9"/>
  <c r="M8" i="9"/>
  <c r="H15" i="9"/>
  <c r="H12" i="9"/>
  <c r="H10" i="9"/>
  <c r="H8" i="9"/>
  <c r="O6" i="9"/>
  <c r="M6" i="9"/>
  <c r="H6" i="9"/>
  <c r="N19" i="9"/>
  <c r="L19" i="9"/>
  <c r="K19" i="9"/>
  <c r="J19" i="9"/>
  <c r="I19" i="9"/>
  <c r="G19" i="9"/>
  <c r="F19" i="9"/>
  <c r="E19" i="9"/>
  <c r="D19" i="9"/>
  <c r="C19" i="9"/>
  <c r="B19" i="9"/>
  <c r="D31" i="76"/>
  <c r="C31" i="76"/>
  <c r="B31" i="76"/>
  <c r="D21" i="76"/>
  <c r="C21" i="76"/>
  <c r="B21" i="76"/>
  <c r="D11" i="76"/>
  <c r="C11" i="76"/>
  <c r="B11" i="76"/>
  <c r="P100" i="9" l="1"/>
  <c r="P63" i="9"/>
  <c r="P27" i="9"/>
  <c r="H70" i="9"/>
  <c r="P73" i="21"/>
  <c r="P300" i="132"/>
  <c r="AG300" i="132"/>
  <c r="J53" i="33"/>
  <c r="J101" i="33"/>
  <c r="I9" i="21"/>
  <c r="N17" i="21"/>
  <c r="Q18" i="21"/>
  <c r="P95" i="9"/>
  <c r="P74" i="9"/>
  <c r="M70" i="9"/>
  <c r="P66" i="9"/>
  <c r="P49" i="9"/>
  <c r="O53" i="9"/>
  <c r="P42" i="9"/>
  <c r="P32" i="9"/>
  <c r="O36" i="9"/>
  <c r="M53" i="9"/>
  <c r="R65" i="30"/>
  <c r="R61" i="30"/>
  <c r="R63" i="30"/>
  <c r="R64" i="30"/>
  <c r="R62" i="30"/>
  <c r="R45" i="30"/>
  <c r="R38" i="30"/>
  <c r="R42" i="30"/>
  <c r="R44" i="30"/>
  <c r="R43" i="30"/>
  <c r="R40" i="30"/>
  <c r="R50" i="30"/>
  <c r="R39" i="30"/>
  <c r="R41" i="30"/>
  <c r="R34" i="30"/>
  <c r="R25" i="30"/>
  <c r="R33" i="30"/>
  <c r="R31" i="30"/>
  <c r="R27" i="30"/>
  <c r="R26" i="30"/>
  <c r="R32" i="30"/>
  <c r="R30" i="30"/>
  <c r="R24" i="30"/>
  <c r="R23" i="30"/>
  <c r="R29" i="30"/>
  <c r="R28" i="30"/>
  <c r="R51" i="30"/>
  <c r="R49" i="30"/>
  <c r="J29" i="33"/>
  <c r="I53" i="33"/>
  <c r="J77" i="33"/>
  <c r="G29" i="33"/>
  <c r="H77" i="33"/>
  <c r="G53" i="33"/>
  <c r="H29" i="33"/>
  <c r="I101" i="33"/>
  <c r="G101" i="33"/>
  <c r="I77" i="33"/>
  <c r="G77" i="33"/>
  <c r="H53" i="33"/>
  <c r="H101" i="33"/>
  <c r="I29" i="33"/>
  <c r="I99" i="21"/>
  <c r="N99" i="21"/>
  <c r="N100" i="21"/>
  <c r="P55" i="21"/>
  <c r="P71" i="21"/>
  <c r="Q7" i="21"/>
  <c r="P51" i="21"/>
  <c r="I98" i="21"/>
  <c r="P74" i="21"/>
  <c r="N98" i="21"/>
  <c r="I100" i="21"/>
  <c r="F75" i="21"/>
  <c r="N135" i="21"/>
  <c r="P67" i="21"/>
  <c r="J75" i="21"/>
  <c r="Q119" i="21"/>
  <c r="M75" i="21"/>
  <c r="N93" i="21"/>
  <c r="N59" i="21"/>
  <c r="P89" i="21"/>
  <c r="N121" i="21"/>
  <c r="I93" i="21"/>
  <c r="Q105" i="21"/>
  <c r="Q92" i="21"/>
  <c r="D143" i="21"/>
  <c r="M143" i="21"/>
  <c r="I17" i="21"/>
  <c r="K41" i="21"/>
  <c r="P72" i="21"/>
  <c r="P93" i="21"/>
  <c r="N107" i="21"/>
  <c r="I63" i="21"/>
  <c r="N111" i="21"/>
  <c r="J115" i="21"/>
  <c r="I121" i="21"/>
  <c r="Q19" i="21"/>
  <c r="Q86" i="21"/>
  <c r="Q95" i="21"/>
  <c r="P111" i="21"/>
  <c r="K115" i="21"/>
  <c r="I97" i="21"/>
  <c r="G101" i="21"/>
  <c r="N21" i="21"/>
  <c r="N37" i="21"/>
  <c r="P81" i="21"/>
  <c r="N97" i="21"/>
  <c r="H101" i="21"/>
  <c r="I107" i="21"/>
  <c r="Q137" i="21"/>
  <c r="F143" i="21"/>
  <c r="N47" i="21"/>
  <c r="N63" i="21"/>
  <c r="Q87" i="21"/>
  <c r="I112" i="21"/>
  <c r="E115" i="21"/>
  <c r="O115" i="21"/>
  <c r="I135" i="21"/>
  <c r="Q106" i="21"/>
  <c r="N85" i="21"/>
  <c r="Q134" i="21"/>
  <c r="Q138" i="21"/>
  <c r="N72" i="21"/>
  <c r="N141" i="21"/>
  <c r="L115" i="21"/>
  <c r="L101" i="21"/>
  <c r="Q64" i="21"/>
  <c r="I73" i="21"/>
  <c r="D75" i="21"/>
  <c r="I72" i="21"/>
  <c r="N73" i="21"/>
  <c r="I74" i="21"/>
  <c r="Q45" i="21"/>
  <c r="Q50" i="21"/>
  <c r="Q56" i="21"/>
  <c r="Q58" i="21"/>
  <c r="E75" i="21"/>
  <c r="O75" i="21"/>
  <c r="Q83" i="21"/>
  <c r="Q91" i="21"/>
  <c r="D101" i="21"/>
  <c r="M101" i="21"/>
  <c r="N113" i="21"/>
  <c r="F115" i="21"/>
  <c r="I139" i="21"/>
  <c r="K143" i="21"/>
  <c r="G143" i="21"/>
  <c r="Q48" i="21"/>
  <c r="Q53" i="21"/>
  <c r="Q61" i="21"/>
  <c r="Q69" i="21"/>
  <c r="Q78" i="21"/>
  <c r="I85" i="21"/>
  <c r="I89" i="21"/>
  <c r="E101" i="21"/>
  <c r="O101" i="21"/>
  <c r="Q104" i="21"/>
  <c r="Q109" i="21"/>
  <c r="G115" i="21"/>
  <c r="Q133" i="21"/>
  <c r="N139" i="21"/>
  <c r="I141" i="21"/>
  <c r="H143" i="21"/>
  <c r="P39" i="21"/>
  <c r="I71" i="21"/>
  <c r="F101" i="21"/>
  <c r="I111" i="21"/>
  <c r="I113" i="21"/>
  <c r="H115" i="21"/>
  <c r="J143" i="21"/>
  <c r="P38" i="21"/>
  <c r="G75" i="21"/>
  <c r="J41" i="21"/>
  <c r="Q44" i="21"/>
  <c r="Q49" i="21"/>
  <c r="Q54" i="21"/>
  <c r="Q70" i="21"/>
  <c r="H75" i="21"/>
  <c r="Q79" i="21"/>
  <c r="Q84" i="21"/>
  <c r="P115" i="21"/>
  <c r="Q110" i="21"/>
  <c r="Q136" i="21"/>
  <c r="N140" i="21"/>
  <c r="I142" i="21"/>
  <c r="L143" i="21"/>
  <c r="Q62" i="21"/>
  <c r="N67" i="21"/>
  <c r="Q15" i="21"/>
  <c r="P21" i="21"/>
  <c r="N25" i="21"/>
  <c r="P29" i="21"/>
  <c r="N33" i="21"/>
  <c r="P40" i="21"/>
  <c r="I47" i="21"/>
  <c r="I51" i="21"/>
  <c r="Q57" i="21"/>
  <c r="Q60" i="21"/>
  <c r="Q65" i="21"/>
  <c r="K75" i="21"/>
  <c r="I81" i="21"/>
  <c r="Q82" i="21"/>
  <c r="Q90" i="21"/>
  <c r="Q96" i="21"/>
  <c r="J101" i="21"/>
  <c r="N112" i="21"/>
  <c r="I114" i="21"/>
  <c r="I55" i="21"/>
  <c r="Q31" i="21"/>
  <c r="M41" i="21"/>
  <c r="Q52" i="21"/>
  <c r="I59" i="21"/>
  <c r="I67" i="21"/>
  <c r="Q68" i="21"/>
  <c r="L75" i="21"/>
  <c r="N81" i="21"/>
  <c r="N89" i="21"/>
  <c r="Q94" i="21"/>
  <c r="K101" i="21"/>
  <c r="Q108" i="21"/>
  <c r="D115" i="21"/>
  <c r="M115" i="21"/>
  <c r="Q118" i="21"/>
  <c r="Q120" i="21"/>
  <c r="Q132" i="21"/>
  <c r="I140" i="21"/>
  <c r="E143" i="21"/>
  <c r="O143" i="21"/>
  <c r="C143" i="21"/>
  <c r="P135" i="21"/>
  <c r="N142" i="21"/>
  <c r="P139" i="21"/>
  <c r="P121" i="21"/>
  <c r="C115" i="21"/>
  <c r="P107" i="21"/>
  <c r="N114" i="21"/>
  <c r="Q88" i="21"/>
  <c r="C101" i="21"/>
  <c r="P85" i="21"/>
  <c r="Q80" i="21"/>
  <c r="P97" i="21"/>
  <c r="N55" i="21"/>
  <c r="P63" i="21"/>
  <c r="Q66" i="21"/>
  <c r="C75" i="21"/>
  <c r="N51" i="21"/>
  <c r="P59" i="21"/>
  <c r="N74" i="21"/>
  <c r="P47" i="21"/>
  <c r="N71" i="21"/>
  <c r="Q46" i="21"/>
  <c r="N38" i="21"/>
  <c r="L41" i="21"/>
  <c r="Q32" i="21"/>
  <c r="E41" i="21"/>
  <c r="Q24" i="21"/>
  <c r="F41" i="21"/>
  <c r="H41" i="21"/>
  <c r="Q26" i="21"/>
  <c r="I38" i="21"/>
  <c r="D41" i="21"/>
  <c r="G41" i="21"/>
  <c r="N39" i="21"/>
  <c r="I40" i="21"/>
  <c r="I39" i="21"/>
  <c r="C41" i="21"/>
  <c r="N40" i="21"/>
  <c r="O41" i="21"/>
  <c r="I33" i="21"/>
  <c r="N29" i="21"/>
  <c r="Q22" i="21"/>
  <c r="Q14" i="21"/>
  <c r="N13" i="21"/>
  <c r="Q10" i="21"/>
  <c r="Q8" i="21"/>
  <c r="Q11" i="21"/>
  <c r="Q30" i="21"/>
  <c r="I13" i="21"/>
  <c r="Q16" i="21"/>
  <c r="I21" i="21"/>
  <c r="Q6" i="21"/>
  <c r="Q28" i="21"/>
  <c r="Q36" i="21"/>
  <c r="P13" i="21"/>
  <c r="P25" i="21"/>
  <c r="I29" i="21"/>
  <c r="Q34" i="21"/>
  <c r="I37" i="21"/>
  <c r="N9" i="21"/>
  <c r="Q20" i="21"/>
  <c r="I25" i="21"/>
  <c r="Q27" i="21"/>
  <c r="Q35" i="21"/>
  <c r="P37" i="21"/>
  <c r="P17" i="21"/>
  <c r="P9" i="21"/>
  <c r="Q12" i="21"/>
  <c r="Q23" i="21"/>
  <c r="P33" i="21"/>
  <c r="P29" i="9"/>
  <c r="P76" i="9"/>
  <c r="M87" i="9"/>
  <c r="M36" i="9"/>
  <c r="P83" i="9"/>
  <c r="O104" i="9"/>
  <c r="P97" i="9"/>
  <c r="M104" i="9"/>
  <c r="P93" i="9"/>
  <c r="H104" i="9"/>
  <c r="P46" i="9"/>
  <c r="P80" i="9"/>
  <c r="H87" i="9"/>
  <c r="P78" i="9"/>
  <c r="P61" i="9"/>
  <c r="P57" i="9"/>
  <c r="P59" i="9"/>
  <c r="H53" i="9"/>
  <c r="P25" i="9"/>
  <c r="H36" i="9"/>
  <c r="P91" i="9"/>
  <c r="O87" i="9"/>
  <c r="P40" i="9"/>
  <c r="P23" i="9"/>
  <c r="P6" i="9"/>
  <c r="P8" i="9"/>
  <c r="P10" i="9"/>
  <c r="P12" i="9"/>
  <c r="P15" i="9"/>
  <c r="H19" i="9"/>
  <c r="O19" i="9"/>
  <c r="M19" i="9"/>
  <c r="P75" i="21" l="1"/>
  <c r="Q98" i="21"/>
  <c r="P41" i="21"/>
  <c r="R31" i="21"/>
  <c r="Q121" i="21"/>
  <c r="I101" i="21"/>
  <c r="Q135" i="21"/>
  <c r="I143" i="21"/>
  <c r="R92" i="21"/>
  <c r="R45" i="21"/>
  <c r="Q139" i="21"/>
  <c r="Q141" i="21"/>
  <c r="Q107" i="21"/>
  <c r="R32" i="21"/>
  <c r="R118" i="21"/>
  <c r="I115" i="21"/>
  <c r="N115" i="21"/>
  <c r="R138" i="21"/>
  <c r="N143" i="21"/>
  <c r="R132" i="21"/>
  <c r="Q99" i="21"/>
  <c r="R96" i="21"/>
  <c r="R84" i="21"/>
  <c r="P101" i="21"/>
  <c r="Q97" i="21"/>
  <c r="R105" i="21"/>
  <c r="Q111" i="21"/>
  <c r="R106" i="21"/>
  <c r="Q112" i="21"/>
  <c r="Q85" i="21"/>
  <c r="Q93" i="21"/>
  <c r="R23" i="21"/>
  <c r="R20" i="21"/>
  <c r="Q100" i="21"/>
  <c r="Q72" i="21"/>
  <c r="R119" i="21"/>
  <c r="R86" i="21"/>
  <c r="R134" i="21"/>
  <c r="R82" i="21"/>
  <c r="R136" i="21"/>
  <c r="R104" i="21"/>
  <c r="R69" i="21"/>
  <c r="Q113" i="21"/>
  <c r="R50" i="21"/>
  <c r="R27" i="21"/>
  <c r="R68" i="21"/>
  <c r="R90" i="21"/>
  <c r="R78" i="21"/>
  <c r="R108" i="21"/>
  <c r="Q38" i="21"/>
  <c r="R94" i="21"/>
  <c r="R52" i="21"/>
  <c r="R56" i="21"/>
  <c r="Q73" i="21"/>
  <c r="Q142" i="21"/>
  <c r="Q140" i="21"/>
  <c r="N101" i="21"/>
  <c r="R70" i="21"/>
  <c r="Q71" i="21"/>
  <c r="R65" i="21"/>
  <c r="R60" i="21"/>
  <c r="Q63" i="21"/>
  <c r="R62" i="21"/>
  <c r="R57" i="21"/>
  <c r="R53" i="21"/>
  <c r="Q55" i="21"/>
  <c r="R54" i="21"/>
  <c r="I75" i="21"/>
  <c r="R48" i="21"/>
  <c r="R49" i="21"/>
  <c r="Q51" i="21"/>
  <c r="Q74" i="21"/>
  <c r="N75" i="21"/>
  <c r="Q33" i="21"/>
  <c r="Q59" i="21"/>
  <c r="R58" i="21"/>
  <c r="R91" i="21"/>
  <c r="R137" i="21"/>
  <c r="Q9" i="21"/>
  <c r="R8" i="21"/>
  <c r="R95" i="21"/>
  <c r="R120" i="21"/>
  <c r="R83" i="21"/>
  <c r="R35" i="21"/>
  <c r="R6" i="21"/>
  <c r="R109" i="21"/>
  <c r="P143" i="21"/>
  <c r="R61" i="21"/>
  <c r="R110" i="21"/>
  <c r="R133" i="21"/>
  <c r="R7" i="21"/>
  <c r="Q114" i="21"/>
  <c r="R80" i="21"/>
  <c r="Q81" i="21"/>
  <c r="R79" i="21"/>
  <c r="R87" i="21"/>
  <c r="R88" i="21"/>
  <c r="Q89" i="21"/>
  <c r="R46" i="21"/>
  <c r="Q47" i="21"/>
  <c r="R66" i="21"/>
  <c r="Q67" i="21"/>
  <c r="R44" i="21"/>
  <c r="R64" i="21"/>
  <c r="Q39" i="21"/>
  <c r="Q40" i="21"/>
  <c r="R14" i="21"/>
  <c r="I41" i="21"/>
  <c r="N41" i="21"/>
  <c r="R34" i="21"/>
  <c r="Q37" i="21"/>
  <c r="R36" i="21"/>
  <c r="R30" i="21"/>
  <c r="R28" i="21"/>
  <c r="R26" i="21"/>
  <c r="Q29" i="21"/>
  <c r="Q17" i="21"/>
  <c r="R15" i="21"/>
  <c r="R16" i="21"/>
  <c r="R11" i="21"/>
  <c r="Q21" i="21"/>
  <c r="R18" i="21"/>
  <c r="R19" i="21"/>
  <c r="R12" i="21"/>
  <c r="Q13" i="21"/>
  <c r="R22" i="21"/>
  <c r="R10" i="21"/>
  <c r="Q25" i="21"/>
  <c r="R24" i="21"/>
  <c r="P87" i="9"/>
  <c r="P70" i="9"/>
  <c r="P104" i="9"/>
  <c r="P53" i="9"/>
  <c r="Q46" i="9" s="1"/>
  <c r="P36" i="9"/>
  <c r="Q29" i="9" s="1"/>
  <c r="P19" i="9"/>
  <c r="Q23" i="9" l="1"/>
  <c r="Q25" i="9"/>
  <c r="Q34" i="9"/>
  <c r="Q33" i="9"/>
  <c r="Q32" i="9"/>
  <c r="Q31" i="9"/>
  <c r="Q36" i="9"/>
  <c r="Q27" i="9"/>
  <c r="Q51" i="9"/>
  <c r="Q50" i="9"/>
  <c r="Q49" i="9"/>
  <c r="Q48" i="9"/>
  <c r="Q53" i="9"/>
  <c r="Q42" i="9"/>
  <c r="Q44" i="9"/>
  <c r="Q40" i="9"/>
  <c r="Q68" i="9"/>
  <c r="Q67" i="9"/>
  <c r="Q66" i="9"/>
  <c r="Q65" i="9"/>
  <c r="Q63" i="9"/>
  <c r="Q61" i="9"/>
  <c r="Q70" i="9"/>
  <c r="Q59" i="9"/>
  <c r="Q57" i="9"/>
  <c r="Q85" i="9"/>
  <c r="Q84" i="9"/>
  <c r="Q83" i="9"/>
  <c r="Q82" i="9"/>
  <c r="Q80" i="9"/>
  <c r="Q78" i="9"/>
  <c r="Q76" i="9"/>
  <c r="Q87" i="9"/>
  <c r="Q74" i="9"/>
  <c r="Q102" i="9"/>
  <c r="Q101" i="9"/>
  <c r="Q100" i="9"/>
  <c r="Q99" i="9"/>
  <c r="Q97" i="9"/>
  <c r="Q104" i="9"/>
  <c r="Q95" i="9"/>
  <c r="Q91" i="9"/>
  <c r="Q93" i="9"/>
  <c r="R21" i="21"/>
  <c r="R33" i="21"/>
  <c r="R47" i="21"/>
  <c r="R85" i="21"/>
  <c r="Q143" i="21"/>
  <c r="R139" i="21"/>
  <c r="R93" i="21"/>
  <c r="R71" i="21"/>
  <c r="R121" i="21"/>
  <c r="R97" i="21"/>
  <c r="R51" i="21"/>
  <c r="R142" i="21"/>
  <c r="R107" i="21"/>
  <c r="R25" i="21"/>
  <c r="R37" i="21"/>
  <c r="R135" i="21"/>
  <c r="R59" i="21"/>
  <c r="R99" i="21"/>
  <c r="Q101" i="21"/>
  <c r="R98" i="21"/>
  <c r="R113" i="21"/>
  <c r="R55" i="21"/>
  <c r="R111" i="21"/>
  <c r="R29" i="21"/>
  <c r="R100" i="21"/>
  <c r="R67" i="21"/>
  <c r="R72" i="21"/>
  <c r="R81" i="21"/>
  <c r="R141" i="21"/>
  <c r="R140" i="21"/>
  <c r="R39" i="21"/>
  <c r="R63" i="21"/>
  <c r="Q75" i="21"/>
  <c r="R74" i="21"/>
  <c r="R73" i="21"/>
  <c r="R38" i="21"/>
  <c r="R89" i="21"/>
  <c r="R9" i="21"/>
  <c r="R114" i="21"/>
  <c r="Q115" i="21"/>
  <c r="R112" i="21"/>
  <c r="Q41" i="21"/>
  <c r="R40" i="21"/>
  <c r="R13" i="21"/>
  <c r="R17" i="21"/>
  <c r="Q17" i="9"/>
  <c r="Q19" i="9"/>
  <c r="Q8" i="9"/>
  <c r="Q14" i="9"/>
  <c r="Q16" i="9"/>
  <c r="Q6" i="9"/>
  <c r="Q10" i="9"/>
  <c r="Q15" i="9"/>
  <c r="Q12" i="9"/>
  <c r="R115" i="21" l="1"/>
  <c r="R143" i="21"/>
  <c r="R101" i="21"/>
  <c r="R41" i="21"/>
  <c r="R75" i="21"/>
  <c r="D50" i="70" l="1"/>
  <c r="D45" i="70"/>
  <c r="D33" i="70"/>
  <c r="D28" i="70"/>
  <c r="D52" i="70" l="1"/>
  <c r="D35" i="70"/>
  <c r="C50" i="70"/>
  <c r="B50" i="70"/>
  <c r="C45" i="70"/>
  <c r="B45" i="70"/>
  <c r="C33" i="70"/>
  <c r="B33" i="70"/>
  <c r="C28" i="70"/>
  <c r="B28" i="70"/>
  <c r="C16" i="70"/>
  <c r="D16" i="70"/>
  <c r="C11" i="70"/>
  <c r="D11" i="70"/>
  <c r="C4" i="70"/>
  <c r="D4" i="70"/>
  <c r="B16" i="70"/>
  <c r="B11" i="70"/>
  <c r="B4" i="70"/>
  <c r="B18" i="70" s="1"/>
  <c r="D18" i="70" l="1"/>
  <c r="C18" i="70"/>
  <c r="C52" i="70"/>
  <c r="B52" i="70"/>
  <c r="B35" i="70"/>
  <c r="C35" i="70"/>
  <c r="B13" i="73"/>
  <c r="B19" i="73"/>
  <c r="B22" i="73" s="1"/>
  <c r="D13" i="73"/>
  <c r="D22" i="73" s="1"/>
  <c r="C13" i="73"/>
  <c r="C22" i="73" s="1"/>
  <c r="C7" i="73"/>
  <c r="D7" i="73"/>
  <c r="B7" i="7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pcuba</author>
    <author>ESQUIVEL PRIETO Elizabeth Jacqueline</author>
    <author>usuario</author>
  </authors>
  <commentList>
    <comment ref="D3" authorId="0" shapeId="0" xr:uid="{00000000-0006-0000-0100-000001000000}">
      <text>
        <r>
          <rPr>
            <sz val="8"/>
            <color indexed="81"/>
            <rFont val="Tahoma"/>
            <family val="2"/>
          </rPr>
          <t xml:space="preserve">
Nombre del Indicador</t>
        </r>
      </text>
    </comment>
    <comment ref="E5" authorId="1" shapeId="0" xr:uid="{00000000-0006-0000-0100-000002000000}">
      <text>
        <r>
          <rPr>
            <b/>
            <sz val="9"/>
            <color indexed="81"/>
            <rFont val="Tahoma"/>
            <family val="2"/>
          </rPr>
          <t>Año 2017</t>
        </r>
      </text>
    </comment>
    <comment ref="E6" authorId="1" shapeId="0" xr:uid="{00000000-0006-0000-0100-000003000000}">
      <text>
        <r>
          <rPr>
            <b/>
            <sz val="9"/>
            <color indexed="81"/>
            <rFont val="Tahoma"/>
            <family val="2"/>
          </rPr>
          <t>Año 2017</t>
        </r>
      </text>
    </comment>
    <comment ref="E7" authorId="1" shapeId="0" xr:uid="{00000000-0006-0000-0100-000004000000}">
      <text>
        <r>
          <rPr>
            <b/>
            <sz val="9"/>
            <color indexed="81"/>
            <rFont val="Tahoma"/>
            <family val="2"/>
          </rPr>
          <t>Año 2017</t>
        </r>
      </text>
    </comment>
    <comment ref="E8" authorId="1" shapeId="0" xr:uid="{00000000-0006-0000-0100-000005000000}">
      <text>
        <r>
          <rPr>
            <b/>
            <sz val="9"/>
            <color indexed="81"/>
            <rFont val="Tahoma"/>
            <family val="2"/>
          </rPr>
          <t>Año 2017</t>
        </r>
      </text>
    </comment>
    <comment ref="E9" authorId="1" shapeId="0" xr:uid="{00000000-0006-0000-0100-000006000000}">
      <text>
        <r>
          <rPr>
            <b/>
            <sz val="9"/>
            <color indexed="81"/>
            <rFont val="Tahoma"/>
            <family val="2"/>
          </rPr>
          <t>Año 2017</t>
        </r>
      </text>
    </comment>
    <comment ref="E10" authorId="1" shapeId="0" xr:uid="{00000000-0006-0000-0100-000007000000}">
      <text>
        <r>
          <rPr>
            <b/>
            <sz val="9"/>
            <color indexed="81"/>
            <rFont val="Tahoma"/>
            <family val="2"/>
          </rPr>
          <t>Año 2017</t>
        </r>
      </text>
    </comment>
    <comment ref="E11" authorId="1" shapeId="0" xr:uid="{00000000-0006-0000-0100-000008000000}">
      <text>
        <r>
          <rPr>
            <b/>
            <sz val="9"/>
            <color indexed="81"/>
            <rFont val="Tahoma"/>
            <family val="2"/>
          </rPr>
          <t>Año 2017</t>
        </r>
      </text>
    </comment>
    <comment ref="E12" authorId="1" shapeId="0" xr:uid="{00000000-0006-0000-0100-000009000000}">
      <text>
        <r>
          <rPr>
            <b/>
            <sz val="9"/>
            <color indexed="81"/>
            <rFont val="Tahoma"/>
            <family val="2"/>
          </rPr>
          <t>Año 2017</t>
        </r>
      </text>
    </comment>
    <comment ref="E13" authorId="1" shapeId="0" xr:uid="{00000000-0006-0000-0100-00000A000000}">
      <text>
        <r>
          <rPr>
            <b/>
            <sz val="9"/>
            <color indexed="81"/>
            <rFont val="Tahoma"/>
            <family val="2"/>
          </rPr>
          <t>Año 2017</t>
        </r>
      </text>
    </comment>
    <comment ref="E14" authorId="1" shapeId="0" xr:uid="{00000000-0006-0000-0100-00000B000000}">
      <text>
        <r>
          <rPr>
            <b/>
            <sz val="9"/>
            <color indexed="81"/>
            <rFont val="Tahoma"/>
            <family val="2"/>
          </rPr>
          <t>Año 2017</t>
        </r>
      </text>
    </comment>
    <comment ref="E15" authorId="1" shapeId="0" xr:uid="{00000000-0006-0000-0100-00000C000000}">
      <text>
        <r>
          <rPr>
            <b/>
            <sz val="9"/>
            <color indexed="81"/>
            <rFont val="Tahoma"/>
            <family val="2"/>
          </rPr>
          <t>Año 2019</t>
        </r>
      </text>
    </comment>
    <comment ref="E16" authorId="1" shapeId="0" xr:uid="{00000000-0006-0000-0100-00000D000000}">
      <text>
        <r>
          <rPr>
            <b/>
            <sz val="9"/>
            <color indexed="81"/>
            <rFont val="Tahoma"/>
            <family val="2"/>
          </rPr>
          <t>Año 2019</t>
        </r>
      </text>
    </comment>
    <comment ref="E17" authorId="1" shapeId="0" xr:uid="{00000000-0006-0000-0100-00000E000000}">
      <text>
        <r>
          <rPr>
            <b/>
            <sz val="9"/>
            <color indexed="81"/>
            <rFont val="Tahoma"/>
            <family val="2"/>
          </rPr>
          <t xml:space="preserve">Año 2018
</t>
        </r>
      </text>
    </comment>
    <comment ref="E19" authorId="1" shapeId="0" xr:uid="{00000000-0006-0000-0100-00000F000000}">
      <text>
        <r>
          <rPr>
            <b/>
            <sz val="9"/>
            <color indexed="81"/>
            <rFont val="Tahoma"/>
            <family val="2"/>
          </rPr>
          <t>Año 2011</t>
        </r>
      </text>
    </comment>
    <comment ref="E20" authorId="1" shapeId="0" xr:uid="{00000000-0006-0000-0100-000010000000}">
      <text>
        <r>
          <rPr>
            <b/>
            <sz val="9"/>
            <color indexed="81"/>
            <rFont val="Tahoma"/>
            <family val="2"/>
          </rPr>
          <t>2017</t>
        </r>
      </text>
    </comment>
    <comment ref="E21" authorId="1" shapeId="0" xr:uid="{00000000-0006-0000-0100-000011000000}">
      <text>
        <r>
          <rPr>
            <b/>
            <sz val="9"/>
            <color indexed="81"/>
            <rFont val="Tahoma"/>
            <family val="2"/>
          </rPr>
          <t>2017</t>
        </r>
      </text>
    </comment>
    <comment ref="E22" authorId="1" shapeId="0" xr:uid="{00000000-0006-0000-0100-000012000000}">
      <text>
        <r>
          <rPr>
            <b/>
            <sz val="9"/>
            <color indexed="81"/>
            <rFont val="Tahoma"/>
            <family val="2"/>
          </rPr>
          <t>2017</t>
        </r>
      </text>
    </comment>
    <comment ref="E23" authorId="1" shapeId="0" xr:uid="{00000000-0006-0000-0100-000013000000}">
      <text>
        <r>
          <rPr>
            <b/>
            <sz val="9"/>
            <color indexed="81"/>
            <rFont val="Tahoma"/>
            <family val="2"/>
          </rPr>
          <t>2017</t>
        </r>
      </text>
    </comment>
    <comment ref="E24" authorId="1" shapeId="0" xr:uid="{00000000-0006-0000-0100-000014000000}">
      <text>
        <r>
          <rPr>
            <b/>
            <sz val="9"/>
            <color indexed="81"/>
            <rFont val="Tahoma"/>
            <family val="2"/>
          </rPr>
          <t>2017</t>
        </r>
      </text>
    </comment>
    <comment ref="E25" authorId="1" shapeId="0" xr:uid="{00000000-0006-0000-0100-000015000000}">
      <text>
        <r>
          <rPr>
            <b/>
            <sz val="9"/>
            <color indexed="81"/>
            <rFont val="Tahoma"/>
            <family val="2"/>
          </rPr>
          <t>2017</t>
        </r>
      </text>
    </comment>
    <comment ref="E26" authorId="2" shapeId="0" xr:uid="{00000000-0006-0000-0100-000016000000}">
      <text>
        <r>
          <rPr>
            <b/>
            <sz val="9"/>
            <color indexed="81"/>
            <rFont val="Tahoma"/>
            <family val="2"/>
          </rPr>
          <t>2019</t>
        </r>
      </text>
    </comment>
    <comment ref="E27" authorId="2" shapeId="0" xr:uid="{00000000-0006-0000-0100-000017000000}">
      <text>
        <r>
          <rPr>
            <b/>
            <sz val="9"/>
            <color indexed="81"/>
            <rFont val="Tahoma"/>
            <family val="2"/>
          </rPr>
          <t>2019</t>
        </r>
      </text>
    </comment>
    <comment ref="E28" authorId="2" shapeId="0" xr:uid="{00000000-0006-0000-0100-000018000000}">
      <text>
        <r>
          <rPr>
            <b/>
            <sz val="9"/>
            <color indexed="81"/>
            <rFont val="Tahoma"/>
            <family val="2"/>
          </rPr>
          <t>2019</t>
        </r>
      </text>
    </comment>
    <comment ref="E29" authorId="2" shapeId="0" xr:uid="{00000000-0006-0000-0100-000019000000}">
      <text>
        <r>
          <rPr>
            <b/>
            <sz val="9"/>
            <color indexed="81"/>
            <rFont val="Tahoma"/>
            <family val="2"/>
          </rPr>
          <t>2019</t>
        </r>
      </text>
    </comment>
    <comment ref="E30" authorId="2" shapeId="0" xr:uid="{00000000-0006-0000-0100-00001A000000}">
      <text>
        <r>
          <rPr>
            <b/>
            <sz val="9"/>
            <color indexed="81"/>
            <rFont val="Tahoma"/>
            <family val="2"/>
          </rPr>
          <t>2019</t>
        </r>
      </text>
    </comment>
    <comment ref="E31" authorId="1" shapeId="0" xr:uid="{00000000-0006-0000-0100-00001B000000}">
      <text>
        <r>
          <rPr>
            <b/>
            <sz val="9"/>
            <color indexed="81"/>
            <rFont val="Tahoma"/>
            <family val="2"/>
          </rPr>
          <t>2018</t>
        </r>
      </text>
    </comment>
    <comment ref="E32" authorId="1" shapeId="0" xr:uid="{00000000-0006-0000-0100-00001C000000}">
      <text>
        <r>
          <rPr>
            <b/>
            <sz val="9"/>
            <color indexed="81"/>
            <rFont val="Tahoma"/>
            <family val="2"/>
          </rPr>
          <t>2018</t>
        </r>
      </text>
    </comment>
    <comment ref="E33" authorId="1" shapeId="0" xr:uid="{00000000-0006-0000-0100-00001D000000}">
      <text>
        <r>
          <rPr>
            <b/>
            <sz val="9"/>
            <color indexed="81"/>
            <rFont val="Tahoma"/>
            <family val="2"/>
          </rPr>
          <t>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TuSoft</author>
  </authors>
  <commentList>
    <comment ref="B7" authorId="0" shapeId="0" xr:uid="{00000000-0006-0000-1D00-000001000000}">
      <text>
        <r>
          <rPr>
            <sz val="9"/>
            <color indexed="81"/>
            <rFont val="Tahoma"/>
            <family val="2"/>
          </rPr>
          <t>4655 Admin
1719 Salud
1062 Magis
8225 Militar
3015 Tropa</t>
        </r>
      </text>
    </comment>
    <comment ref="D7" authorId="0" shapeId="0" xr:uid="{00000000-0006-0000-1D00-000002000000}">
      <text>
        <r>
          <rPr>
            <sz val="9"/>
            <color indexed="81"/>
            <rFont val="Tahoma"/>
            <family val="2"/>
          </rPr>
          <t>4655 Admi
1062 Magis
1719 Salud
8259 Milit
2372 Tropa</t>
        </r>
      </text>
    </comment>
    <comment ref="F7" authorId="0" shapeId="0" xr:uid="{00000000-0006-0000-1D00-000003000000}">
      <text>
        <r>
          <rPr>
            <sz val="9"/>
            <color indexed="81"/>
            <rFont val="Tahoma"/>
            <family val="2"/>
          </rPr>
          <t>4488 Admin
1062 Magis
1719 Salud
7941 Milit
2500 Tropa</t>
        </r>
      </text>
    </comment>
    <comment ref="B12" authorId="0" shapeId="0" xr:uid="{00000000-0006-0000-1D00-000004000000}">
      <text>
        <r>
          <rPr>
            <sz val="9"/>
            <color indexed="81"/>
            <rFont val="Tahoma"/>
            <family val="2"/>
          </rPr>
          <t>4655 Admin
1719 Salud
1062 Magis
8225 Militar</t>
        </r>
      </text>
    </comment>
    <comment ref="D12" authorId="0" shapeId="0" xr:uid="{00000000-0006-0000-1D00-000005000000}">
      <text>
        <r>
          <rPr>
            <sz val="9"/>
            <color indexed="81"/>
            <rFont val="Tahoma"/>
            <family val="2"/>
          </rPr>
          <t xml:space="preserve">4655 Admi
1062 Magis
1719 Salud
8259 Milit
</t>
        </r>
      </text>
    </comment>
    <comment ref="F12" authorId="0" shapeId="0" xr:uid="{00000000-0006-0000-1D00-000006000000}">
      <text>
        <r>
          <rPr>
            <sz val="9"/>
            <color indexed="81"/>
            <rFont val="Tahoma"/>
            <family val="2"/>
          </rPr>
          <t>4488 Admin
1062 Magis
1719 Salud
7941 Milit
72  Internos</t>
        </r>
      </text>
    </comment>
    <comment ref="B16" authorId="0" shapeId="0" xr:uid="{00000000-0006-0000-1D00-000007000000}">
      <text>
        <r>
          <rPr>
            <sz val="9"/>
            <color indexed="81"/>
            <rFont val="Tahoma"/>
            <family val="2"/>
          </rPr>
          <t>4655 Admin
1719 Salud
1062 Magis
8225 Militar
1249 cadet y alu</t>
        </r>
      </text>
    </comment>
    <comment ref="D16" authorId="0" shapeId="0" xr:uid="{00000000-0006-0000-1D00-000008000000}">
      <text>
        <r>
          <rPr>
            <sz val="9"/>
            <color indexed="81"/>
            <rFont val="Tahoma"/>
            <family val="2"/>
          </rPr>
          <t>4655 Admi
1062 Magis
1719 Salud
8259 Milit
1118 cade y alu</t>
        </r>
      </text>
    </comment>
    <comment ref="F16" authorId="0" shapeId="0" xr:uid="{00000000-0006-0000-1D00-000009000000}">
      <text>
        <r>
          <rPr>
            <sz val="9"/>
            <color indexed="81"/>
            <rFont val="Tahoma"/>
            <family val="2"/>
          </rPr>
          <t>4488 Admin
1062 Magis
1683 Salud
7941 Milit
936  Cadet alu</t>
        </r>
      </text>
    </comment>
    <comment ref="B20" authorId="0" shapeId="0" xr:uid="{00000000-0006-0000-1D00-00000A000000}">
      <text>
        <r>
          <rPr>
            <sz val="9"/>
            <color indexed="81"/>
            <rFont val="Tahoma"/>
            <family val="2"/>
          </rPr>
          <t>4638 Admin</t>
        </r>
      </text>
    </comment>
    <comment ref="D20" authorId="0" shapeId="0" xr:uid="{00000000-0006-0000-1D00-00000B000000}">
      <text>
        <r>
          <rPr>
            <sz val="9"/>
            <color indexed="81"/>
            <rFont val="Tahoma"/>
            <family val="2"/>
          </rPr>
          <t>4638 Admin</t>
        </r>
      </text>
    </comment>
    <comment ref="F20" authorId="0" shapeId="0" xr:uid="{00000000-0006-0000-1D00-00000C000000}">
      <text>
        <r>
          <rPr>
            <sz val="9"/>
            <color indexed="81"/>
            <rFont val="Tahoma"/>
            <family val="2"/>
          </rPr>
          <t>4488 Admin</t>
        </r>
      </text>
    </comment>
  </commentList>
</comments>
</file>

<file path=xl/sharedStrings.xml><?xml version="1.0" encoding="utf-8"?>
<sst xmlns="http://schemas.openxmlformats.org/spreadsheetml/2006/main" count="37232" uniqueCount="9596">
  <si>
    <t>TOTAL</t>
  </si>
  <si>
    <t>RECURSOS PUBLICOS</t>
  </si>
  <si>
    <t>MONTO</t>
  </si>
  <si>
    <t>F-8</t>
  </si>
  <si>
    <t>PROFESIONALES</t>
  </si>
  <si>
    <t>TECNICOS</t>
  </si>
  <si>
    <t>AUXILIARES</t>
  </si>
  <si>
    <t>DIRECTIVOS/FUNCIONARIOS</t>
  </si>
  <si>
    <t>FUENTE DE FINANCIAMIENTO</t>
  </si>
  <si>
    <t xml:space="preserve"> REMUNERATIVA</t>
  </si>
  <si>
    <t>CATEGORIA</t>
  </si>
  <si>
    <t>PEA</t>
  </si>
  <si>
    <t>F-1</t>
  </si>
  <si>
    <t>SPA</t>
  </si>
  <si>
    <t>SPE</t>
  </si>
  <si>
    <t>STA</t>
  </si>
  <si>
    <t>STE</t>
  </si>
  <si>
    <t>SAA</t>
  </si>
  <si>
    <t>SAE</t>
  </si>
  <si>
    <t>S/.</t>
  </si>
  <si>
    <t>Est. %</t>
  </si>
  <si>
    <t>EST. %</t>
  </si>
  <si>
    <t>GASTOS CORRIENTES */</t>
  </si>
  <si>
    <t>TOTAL (A)</t>
  </si>
  <si>
    <t>OTROS</t>
  </si>
  <si>
    <t>COSTO ANUAL</t>
  </si>
  <si>
    <t>OBLIGACIONES DEL EMPLEADOR (CARGAS SOCIALES)</t>
  </si>
  <si>
    <t>GASTOS VARIABLES Y OCASIONALES</t>
  </si>
  <si>
    <t>TRANSFERENCIAS CAFAE</t>
  </si>
  <si>
    <t>RUBROS</t>
  </si>
  <si>
    <t>NUEVOS SOLES</t>
  </si>
  <si>
    <t>CONSULTORIAS</t>
  </si>
  <si>
    <t>1. RECURSOS ORDINARIOS</t>
  </si>
  <si>
    <t>2. RECURSOS DIRECTAM. RECAUD.</t>
  </si>
  <si>
    <t>4. DONACIONES Y TRANSFERENCIAS</t>
  </si>
  <si>
    <t>5. RECURSOS DETERMINADOS</t>
  </si>
  <si>
    <t xml:space="preserve">    - CANON  Y  SOBRECANON, REGALIAS</t>
  </si>
  <si>
    <t xml:space="preserve">       Y PARTICIPACIONES</t>
  </si>
  <si>
    <t>TOTAL    (*)</t>
  </si>
  <si>
    <t>OTROS (ESPECIFICAR) (**)</t>
  </si>
  <si>
    <t>(PIA) = Presupuesto Institucional de Apertura</t>
  </si>
  <si>
    <t>NIVELES REMUNERATIVOS</t>
  </si>
  <si>
    <t>(1)</t>
  </si>
  <si>
    <t>(2)</t>
  </si>
  <si>
    <t>(3)</t>
  </si>
  <si>
    <t>(4)</t>
  </si>
  <si>
    <t>(5)</t>
  </si>
  <si>
    <t>(6)</t>
  </si>
  <si>
    <t>CARRERA ADMINISTRATIVA</t>
  </si>
  <si>
    <t>……</t>
  </si>
  <si>
    <t>ASISTENCIALES NO PROFESIONALES DE LA SALUD</t>
  </si>
  <si>
    <t>LEY DEL PROFESORADO</t>
  </si>
  <si>
    <t>CARRERA MEDICA Y PROFESIONALES  DE LA SALUD</t>
  </si>
  <si>
    <t>CARRERA JUDICIAL</t>
  </si>
  <si>
    <t>LEY UNIVERSITARIA</t>
  </si>
  <si>
    <t>LEY DEL SERVICIO DIPLOMATICO</t>
  </si>
  <si>
    <t>PERSONAL MILITAR Y POLICIAL</t>
  </si>
  <si>
    <t xml:space="preserve">OBREROS </t>
  </si>
  <si>
    <t>SERUMISTAS</t>
  </si>
  <si>
    <t xml:space="preserve">     ANIMADORES</t>
  </si>
  <si>
    <t xml:space="preserve">     ………….</t>
  </si>
  <si>
    <t xml:space="preserve">    INTERNOS DE MEDICINA HUMANA Y ODONTOLOGIA</t>
  </si>
  <si>
    <t xml:space="preserve">    SERVICIOS NO PERSONAL </t>
  </si>
  <si>
    <t xml:space="preserve">    PROYECTOS DE INVERSION</t>
  </si>
  <si>
    <t>NOTAS</t>
  </si>
  <si>
    <t xml:space="preserve">(1) PEA: </t>
  </si>
  <si>
    <t xml:space="preserve">(2) REMUNERACION: </t>
  </si>
  <si>
    <t xml:space="preserve">SE CONSIGNARA LA REMUNERACION MENSUAL PROMEDIO DE UN SERVIDOR EN CADA NIVEL DE LA CARRERA PUBLICA SEGUN CORRESPONDA </t>
  </si>
  <si>
    <t xml:space="preserve">(3) CAFAE: </t>
  </si>
  <si>
    <t xml:space="preserve">SE CONSIGNARA EL  INCENTIVO LABORAL  MENSUAL PROMEDIO QUE POR DISPOSICION EXPRESA SE LE OTORGUE A UN SERVIDOR EN CADA NIVEL SEGUN CORRESPONDA </t>
  </si>
  <si>
    <t xml:space="preserve">(4) AETA: </t>
  </si>
  <si>
    <t xml:space="preserve">SOLO APLICABLE AL SECTOR SALUD. SE CONSIGNARA LA ASIGNACION EXTRAORDINARIA POR TRABAJO ASISTENCIAL  MENSUAL PROMEDIO DE UN SERVIDOR EN CADA NIVEL </t>
  </si>
  <si>
    <t xml:space="preserve">SEGUN CORRESPONDA </t>
  </si>
  <si>
    <t xml:space="preserve">(5) OTROS BENEFICIOS - ASIGNACION MENSUAL </t>
  </si>
  <si>
    <t xml:space="preserve">RUBROS ANTERIORES . EN HOJA INDEPENDIENTES SE DETALLARA CADA CONCEPTO Y MONTO, ASI COMO LA DISPOSICION EXPRESA QUE LOS AUTORICE Y LA PERIODICIDAD CON QUE </t>
  </si>
  <si>
    <t xml:space="preserve">SE OTORGA . DEBERA DETALLAR POR CADA CONCEPTO ASI COMO LA DISPOSICION EXPRESA QUE LOS AUTORICE Y LA PERIODICIDAD CON QUE SE OTORGA (MENSUAL, BIMENSUAL, </t>
  </si>
  <si>
    <t>TRIMESTRAL , CUATRIMENSUAL)</t>
  </si>
  <si>
    <t>(7)</t>
  </si>
  <si>
    <t>ADQUISICIONES/CONTRATACIONES/OBRAS</t>
  </si>
  <si>
    <t>FECHA PROG. CONV.</t>
  </si>
  <si>
    <t xml:space="preserve">    - OTROS (ESPECIFICAR)</t>
  </si>
  <si>
    <t>TOTAL SECTOR</t>
  </si>
  <si>
    <t>PROYECTO</t>
  </si>
  <si>
    <t>CODIGO SNIP</t>
  </si>
  <si>
    <t>TIPO DE PROCESO DE SELECCIÓN</t>
  </si>
  <si>
    <t>ADQUISICIÓN</t>
  </si>
  <si>
    <t>OBSERVACIONES</t>
  </si>
  <si>
    <t>ESTADO DEL PROCESO</t>
  </si>
  <si>
    <t>PART. %</t>
  </si>
  <si>
    <t>SERVICIO DE DEUDA</t>
  </si>
  <si>
    <t>(**) PNUD, BONOS, etc.</t>
  </si>
  <si>
    <t>TIPO DE CONTRATO</t>
  </si>
  <si>
    <t>…</t>
  </si>
  <si>
    <t>PLIEGO</t>
  </si>
  <si>
    <t>UNIDAD EJECUTORA</t>
  </si>
  <si>
    <t>FUNCIÓN DESEMPEÑADA</t>
  </si>
  <si>
    <t>SUB TOTAL GASTOS CORRIENTES</t>
  </si>
  <si>
    <t>SUB TOTAL GASTOS DE CAPITAL</t>
  </si>
  <si>
    <t>SUB TOTAL SERVICIO DE DEUDA</t>
  </si>
  <si>
    <t>GASTOS DE CAPITAL</t>
  </si>
  <si>
    <t>1: Reserva de Contingencia</t>
  </si>
  <si>
    <t>2: Personal y Obligaciones Sociales</t>
  </si>
  <si>
    <t>3: Pensiones y Prestaciones Sociales</t>
  </si>
  <si>
    <t>4: Bienes y Servicios</t>
  </si>
  <si>
    <t>5: Donaciones y Transferencias</t>
  </si>
  <si>
    <t>6: Otros Gastos</t>
  </si>
  <si>
    <t>7: Donaciones y Transferencias</t>
  </si>
  <si>
    <t>8: Otros Gastos</t>
  </si>
  <si>
    <t>9: Adquisiciones de Activos No Financieros</t>
  </si>
  <si>
    <t>10: Adquisiciones de Activos Financieros</t>
  </si>
  <si>
    <t>11: Servicio de la Deuda</t>
  </si>
  <si>
    <t>GASTOS CORRIENTES</t>
  </si>
  <si>
    <t>TRIMESTRAL , CUATRIMENSUAL  O SIN PERIODICIDAD)</t>
  </si>
  <si>
    <t>(8)</t>
  </si>
  <si>
    <t>SUB TOTAL OTROS BENEFICIOS ... (no, mensuales, monto anual)</t>
  </si>
  <si>
    <t xml:space="preserve">CONTRAPRESTACIÓN MENSUAL </t>
  </si>
  <si>
    <t>FUNCIONES</t>
  </si>
  <si>
    <t>PPTO (PIA)</t>
  </si>
  <si>
    <t>Decreto Legislativo 728 (Regimen Privado)</t>
  </si>
  <si>
    <t>DNI</t>
  </si>
  <si>
    <t>Apellidos y Nombres</t>
  </si>
  <si>
    <t>Numero de contratos o renovaciones</t>
  </si>
  <si>
    <t>Meses Ejecutados</t>
  </si>
  <si>
    <t>Monto Ejecutado</t>
  </si>
  <si>
    <t>Titulo Profesióonal, Técncio o Capacitación Ocupacional</t>
  </si>
  <si>
    <t>Fuente de Información</t>
  </si>
  <si>
    <t>7: Donaciones y Transferencias (de capital)</t>
  </si>
  <si>
    <t>5: Donaciones y Transferencias (corrientes)</t>
  </si>
  <si>
    <t>6: Otros Gastos (corrientes)</t>
  </si>
  <si>
    <t>8: Otros Gastos (de capital)</t>
  </si>
  <si>
    <t>TOTAL GASTOS UNIDAD EJECUTORA / ENTIDAD PÚBLICA</t>
  </si>
  <si>
    <t>CONTRATANTE</t>
  </si>
  <si>
    <t>CONTRATADO</t>
  </si>
  <si>
    <t>COSTO TOTAL EN PLANILLAS (*)</t>
  </si>
  <si>
    <t>Profesión</t>
  </si>
  <si>
    <t>Grado Academico</t>
  </si>
  <si>
    <t>PEA / Beneficiarios</t>
  </si>
  <si>
    <t>REMUNERACION MENSUAL (cada persona)</t>
  </si>
  <si>
    <t>CAFAE MENSUL (cada persona)</t>
  </si>
  <si>
    <t>AETA MENSUAL (cada persona)</t>
  </si>
  <si>
    <t>OTROS INGRESOS MENSUAL (cada persona)</t>
  </si>
  <si>
    <t>SUB TOTAL INGRESOS MENSUALES (cada persona)</t>
  </si>
  <si>
    <t>AGUINALDOS, GRAFICACIONES Y ESCOLARIDAD (anual cada persona)</t>
  </si>
  <si>
    <r>
      <rPr>
        <b/>
        <sz val="9"/>
        <rFont val="Arial"/>
        <family val="2"/>
      </rPr>
      <t xml:space="preserve">LAS COLUMNAS COMO SEAN NECESARIAS, </t>
    </r>
    <r>
      <rPr>
        <sz val="9"/>
        <rFont val="Arial"/>
        <family val="2"/>
      </rPr>
      <t xml:space="preserve">SE CONSIGNARA LOS OTROS BENEFICIOS - ASIGNACIONES MENSUALES PERIODICOS  DE UN SERVIDOR EN CADA NIVEL SEGÚN CORRESPONDA NO CONSIGNADO EN LOS </t>
    </r>
  </si>
  <si>
    <r>
      <rPr>
        <b/>
        <sz val="9"/>
        <rFont val="Arial"/>
        <family val="2"/>
      </rPr>
      <t xml:space="preserve">LAS COLUMNAS COMO SEAN NECESARIAS, </t>
    </r>
    <r>
      <rPr>
        <sz val="9"/>
        <rFont val="Arial"/>
        <family val="2"/>
      </rPr>
      <t xml:space="preserve">SE CONSIGNARA LOS OTROS BENEFICIOS - ASIGNACIONES PERIODICOS O NO PERIODICAS DE UN SERVIDOR EN CADA NIVEL SEGÚN CORRESPONDA NO CONSIGNADO EN LOS </t>
    </r>
  </si>
  <si>
    <t>(9)</t>
  </si>
  <si>
    <t>TOTAL INGRESO ANUAL PEA</t>
  </si>
  <si>
    <t>TOTAL INGRESOS ANUAL POR PERSONA</t>
  </si>
  <si>
    <t>MONTO ANUAL</t>
  </si>
  <si>
    <t>(10)</t>
  </si>
  <si>
    <t>DIFERENCIA INGRESO ANUAL PEA</t>
  </si>
  <si>
    <t xml:space="preserve">DIFERENCIA INGRESO ANUAL POR PERSONAL </t>
  </si>
  <si>
    <t>SE CONSIGNARA EL NUMERO TOTAL DE PERSONAL ACTIVO ( NOMBRADO Y CONTRATADO) SEGÚN EL PRESUPUESTO ANILITOCO DE PERSONAL (PAP) APROBADO</t>
  </si>
  <si>
    <t>(**) Recursos Públicos / Recursos Ordinarios / Recursos Directamente Recaudados / Donaciones  y  Transferencias / Operaciones Oficiales de Crédito/ Recursos Determinados</t>
  </si>
  <si>
    <t>FECHA DE SUSCRIPCION DEL CONTRATO</t>
  </si>
  <si>
    <t>FECHA DE VENCIMIENTO DEL PLAZO</t>
  </si>
  <si>
    <t>PLAZO DE EJEUCION DE OBRAS</t>
  </si>
  <si>
    <t>AMPLIACION DE PLAZO</t>
  </si>
  <si>
    <t>FECHA DE VENCIMIENTO DE PLAZO</t>
  </si>
  <si>
    <t>FECHA DE ENTREGA</t>
  </si>
  <si>
    <t>FECHA DE CONFORMIDAD DE OBRA</t>
  </si>
  <si>
    <t>VESTUARIO</t>
  </si>
  <si>
    <t>BONOS POR FUNCION JURIDICCIONAL Y FISCAL</t>
  </si>
  <si>
    <t>ESCOLARIDAD, AGUINALDO Y GRATIFICACIONES</t>
  </si>
  <si>
    <t>BONIFICACIÓN EXTRAORDINARIA (INACEPTACIÓN DE GRATIFICACIONES)</t>
  </si>
  <si>
    <t>DIETAS</t>
  </si>
  <si>
    <t>RETRIBUCIONES EN BIENES</t>
  </si>
  <si>
    <t>MOVILIDAD PARA TRASLADO DE TRABAJADORES</t>
  </si>
  <si>
    <t>PRODUCTIVIDAD</t>
  </si>
  <si>
    <t>SEGUROS (ESPECIFICAR)</t>
  </si>
  <si>
    <t>GASTOS POR ESTACIONAMIENTO DE VEHICULOS</t>
  </si>
  <si>
    <t>DIETA DE DIRECTORIO</t>
  </si>
  <si>
    <t>OTROS INGRESOS NO MENSUALES 
(anual cada personal)</t>
  </si>
  <si>
    <t>INCENTIVOS O PRODUCTIVIDAD (cada persona)</t>
  </si>
  <si>
    <t>MOVILIDAD</t>
  </si>
  <si>
    <t>RACIONAMIENTO</t>
  </si>
  <si>
    <t>BONOS</t>
  </si>
  <si>
    <t>(10) SUB TOTAL</t>
  </si>
  <si>
    <t>SUMATORIA DE LAS COLUMNAS (2), (3), (4), (5), (6), (7), (8), (9)</t>
  </si>
  <si>
    <t>(11) AGUINALDOS, GRAFICACIONES Y ESCOLARIDAD</t>
  </si>
  <si>
    <t>(12) OTROS BENEFICIOS - ASIGNACION ANUAL</t>
  </si>
  <si>
    <t>(11)</t>
  </si>
  <si>
    <t>(12)</t>
  </si>
  <si>
    <t xml:space="preserve">MULTIMPLACIÓN DE LA COLUMNA (10) POR 12 (MESES) Y AL RESULTADO SE SUMA LA COLUMNA (13) </t>
  </si>
  <si>
    <t>(13)</t>
  </si>
  <si>
    <t>(14)</t>
  </si>
  <si>
    <t>(15)</t>
  </si>
  <si>
    <t>(14) TOTAL INGRESOS ANUAL POR PERSONA</t>
  </si>
  <si>
    <t>(15) TOTAL ANUAL PEA</t>
  </si>
  <si>
    <t>(13) SUB TOTAL OTROS BENEFICIOS</t>
  </si>
  <si>
    <t>SUMATORIA DE LAS COLUMNAS (11) Y (12)</t>
  </si>
  <si>
    <t>MULTIPLICACIÓN DEL A COMUNTA (1) POR LA COLUMNA (14)</t>
  </si>
  <si>
    <t>CONTRATISTA (RUC y Denominacion)</t>
  </si>
  <si>
    <t>MODALIDAD</t>
  </si>
  <si>
    <t>NUMERO DEL PROCESO</t>
  </si>
  <si>
    <t>PROGRAMAS SOCIALES</t>
  </si>
  <si>
    <t>JUNTOS</t>
  </si>
  <si>
    <t>SAMU</t>
  </si>
  <si>
    <t>SMN</t>
  </si>
  <si>
    <t>Mortalidad Materna</t>
  </si>
  <si>
    <t>Mortalidad Neonatal</t>
  </si>
  <si>
    <t>II.  GESTACIÓN</t>
  </si>
  <si>
    <t>PAN</t>
  </si>
  <si>
    <t>CUNA MAS</t>
  </si>
  <si>
    <t>Desnutrición Cronica</t>
  </si>
  <si>
    <t>Mortalidad Infantil</t>
  </si>
  <si>
    <t>Desarrollo cognitivo, lenguaje, socioemocional y motor</t>
  </si>
  <si>
    <t>PELA</t>
  </si>
  <si>
    <t>Logros de aprendizaje</t>
  </si>
  <si>
    <t>Cobertura escolar</t>
  </si>
  <si>
    <t>PELA Primaria</t>
  </si>
  <si>
    <t>PELA Secundaria</t>
  </si>
  <si>
    <t>Logros de aprindizaje</t>
  </si>
  <si>
    <t>Deserción escolar</t>
  </si>
  <si>
    <t>Jovenes a la obra</t>
  </si>
  <si>
    <t>Beca 18</t>
  </si>
  <si>
    <t>Acceso a la educación superior de calidad</t>
  </si>
  <si>
    <t>Educacion pertienente para el mercado laboral</t>
  </si>
  <si>
    <t>Pensión 65</t>
  </si>
  <si>
    <t>Asegurar las condiciones básicas para la subsistencia</t>
  </si>
  <si>
    <t>III.  De 0 a 2 AÑOS</t>
  </si>
  <si>
    <t>IV. DE 3 A 5 AÑOS</t>
  </si>
  <si>
    <t>V. DE 6 A 12 AÑOS</t>
  </si>
  <si>
    <t>VI. DE 13 A 17 AÑOS</t>
  </si>
  <si>
    <t>VII. DE 17 A 24 AÑOS</t>
  </si>
  <si>
    <t>VIII. DE 65 A MAS</t>
  </si>
  <si>
    <t>I.  DE GESTANTES A NIÑOS DE HASTA 14 AÑOS</t>
  </si>
  <si>
    <t>BENEFICIARIOS</t>
  </si>
  <si>
    <t>PRESUPUESTO PIA</t>
  </si>
  <si>
    <t>PRESUPUESTO PIM</t>
  </si>
  <si>
    <t>MONTO PRESUPUESTADO (*)</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</si>
  <si>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</si>
  <si>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</si>
  <si>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</si>
  <si>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</si>
  <si>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</si>
  <si>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</si>
  <si>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</si>
  <si>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</si>
  <si>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</si>
  <si>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CAFAE MENSUAL (cada persona)</t>
  </si>
  <si>
    <t>Linea Base</t>
  </si>
  <si>
    <t>Responsable</t>
  </si>
  <si>
    <t>Proyectado</t>
  </si>
  <si>
    <t>Meta</t>
  </si>
  <si>
    <t>UNIDADES EJECUTORAS O ENTIDADES PÚBLICAS ADSCRITAS AL SECTOR</t>
  </si>
  <si>
    <t>RESERVA DE CONTINGENCIA</t>
  </si>
  <si>
    <t>PERSONAL Y OBLIGAC. SOC.</t>
  </si>
  <si>
    <t>PENSIONES Y PREST. SOC.</t>
  </si>
  <si>
    <t>BIENES Y SERVICIOS</t>
  </si>
  <si>
    <t>DONACIONES TRANSFER.</t>
  </si>
  <si>
    <t>OTROS GASTOS</t>
  </si>
  <si>
    <t>SUB TOTAL GASTO CTE</t>
  </si>
  <si>
    <t>DONACIONES Y TRANSFER,</t>
  </si>
  <si>
    <t>ADQUIS. ACT. NO FINANC.</t>
  </si>
  <si>
    <t>ADQUIS. ACT. FINANC.</t>
  </si>
  <si>
    <t>SUB TOTAL GASTOS CAP.</t>
  </si>
  <si>
    <t xml:space="preserve">SERVICIO DE DEUDA </t>
  </si>
  <si>
    <t>SUB TOTAL SER. DEUDA</t>
  </si>
  <si>
    <t>Ley 30057 
(Ley del Servicio Civil)</t>
  </si>
  <si>
    <t>PLIEGOS DEL SECTOR O GOBIERNO REGIONAL</t>
  </si>
  <si>
    <t>PLIEGO O ENTIDAD DEL SECTOR</t>
  </si>
  <si>
    <t>Nombre del Indicador</t>
  </si>
  <si>
    <t>OES.01</t>
  </si>
  <si>
    <t>Objetivo Estrategico Institucional
(Código y Enunciado)</t>
  </si>
  <si>
    <t>Objetivo Estrategico Sectorial
(Código)</t>
  </si>
  <si>
    <t>Decreto Legislativo 1057 (Contrato Administrativo de Servicios</t>
  </si>
  <si>
    <t>(**) Incluye el monto pagado por otras entidades al personal que presta servidos en el Sector o Gobierno Regional</t>
  </si>
  <si>
    <t>Decreto Legislativo 1024 (Gerentes Públicos) (**)</t>
  </si>
  <si>
    <t>Ley 25650 (Fondo de Apoyo Generencial) (**)</t>
  </si>
  <si>
    <t>Ley 29806 (Personal Altamente Calificado) (**)</t>
  </si>
  <si>
    <t xml:space="preserve">(***) Detallar el marco legal </t>
  </si>
  <si>
    <t>Otros Servidores (especificar) (**) (***)</t>
  </si>
  <si>
    <t>(*) Incluye GRATIFICACIONES, CAFAE, PNUD, BONOS, PRODUCTIVIDAD, HORAS EXTRAS, GUARDIAS, AETAS, etc.</t>
  </si>
  <si>
    <t xml:space="preserve">Total </t>
  </si>
  <si>
    <t>S/ (****)</t>
  </si>
  <si>
    <t>S/ Anual (****)</t>
  </si>
  <si>
    <t>Practicantes (***)</t>
  </si>
  <si>
    <t>(****) Proyectado</t>
  </si>
  <si>
    <t>ARRENDATARIO</t>
  </si>
  <si>
    <t>ARRENDADOR</t>
  </si>
  <si>
    <t>DNI O PARTIDA REGISTRAL</t>
  </si>
  <si>
    <t>Apellidos y Nombres o Denominación</t>
  </si>
  <si>
    <t>INMUEBLE</t>
  </si>
  <si>
    <t>CONTRATO</t>
  </si>
  <si>
    <t>VIGENCIA DEL CONTRATO</t>
  </si>
  <si>
    <t>MONTO MENSUAL</t>
  </si>
  <si>
    <t>BIEN PROPIO DE TERCEROS O AJENO</t>
  </si>
  <si>
    <t>PARTIDA REGISTRAL DE INCRIPCION DE PROPIEDAD</t>
  </si>
  <si>
    <t>METROS CUADRADOS</t>
  </si>
  <si>
    <t>COCHERAS</t>
  </si>
  <si>
    <t xml:space="preserve">FORMA DE PAGO (MENSUAL O ANUAL) Y FECHA DE PAGO </t>
  </si>
  <si>
    <t>PIA TOTAL S/</t>
  </si>
  <si>
    <t>PIM TOTAL S/</t>
  </si>
  <si>
    <t>EJECUCIÓN TOTAL S/</t>
  </si>
  <si>
    <t>2019 (*)</t>
  </si>
  <si>
    <t>1: Acciones Centrales (AC)</t>
  </si>
  <si>
    <t>2: Asignaciones Presupuestarias que No Resultan en Productos (APNP)</t>
  </si>
  <si>
    <t>3: Programas Presupuestales</t>
  </si>
  <si>
    <t>PIA
POR CATEGORIA PRESUPUESTAL</t>
  </si>
  <si>
    <t>PIM
POR CATEGORIA PRESUPUESTAL</t>
  </si>
  <si>
    <t>EJECUCIÓN
POR CATEGORIA PRESUPUESTAL</t>
  </si>
  <si>
    <t>PIA
POR PROGRAMA PRESUPUESTAL</t>
  </si>
  <si>
    <t>PIM
POR PROGRAMA PRESUPUESTAL</t>
  </si>
  <si>
    <t>EJECUCIÓN
POR PROGRAMA PRESUPUESTAL</t>
  </si>
  <si>
    <t>FORMATO 01: INDICADORES DE GESTIÓN SEGÚN OBJETIVOS ESTRATÉGICOS INSTITUCIONALES AL 2021</t>
  </si>
  <si>
    <t>Proyecto 2020</t>
  </si>
  <si>
    <t>DIferencia 
(2019-2020)</t>
  </si>
  <si>
    <t>DIferencia 
(2018-2019)</t>
  </si>
  <si>
    <t>Estimado 2019 (**)</t>
  </si>
  <si>
    <t>Decreto Legislativo 276 (Regimen Público)</t>
  </si>
  <si>
    <t>VARIACION 2019-2020</t>
  </si>
  <si>
    <t>2019 (PIA)</t>
  </si>
  <si>
    <t>(*) DEBE COINCIDIR CON LOS MONTOS ASIGNADOS EN LA GENERICA 1. PERSONAL Y OBLIGACIONES SOCIALES CONSIDERADAS EN EL PRESUPUESTO</t>
  </si>
  <si>
    <t>INGRESOS PERSONAL PRESUPUESTO 2019</t>
  </si>
  <si>
    <t>TOTAL INGRESO ANUAL PEA (Proyección al 31 de diciembre de  2019)</t>
  </si>
  <si>
    <t>TOTAL INGRESO ANUAL PEA (Proyección al 31 de diciembre de 2020)</t>
  </si>
  <si>
    <t>(*) Una línea por cada año fiscal, consignado en monto presupuestado por cada año presupuestal</t>
  </si>
  <si>
    <t>PERSONA JURIDICA (RUC)</t>
  </si>
  <si>
    <t>PERSONA NATURAL (DNI)</t>
  </si>
  <si>
    <t>MONEDA</t>
  </si>
  <si>
    <t>FECHA DE APERTURA</t>
  </si>
  <si>
    <t>CUENTA</t>
  </si>
  <si>
    <t>BANCO / INSTITUCIÓN FINANCIERA</t>
  </si>
  <si>
    <t>CUENTAS BANCARIAS</t>
  </si>
  <si>
    <t>ESPECIFICACIONES RECURSOS PUBLICOS</t>
  </si>
  <si>
    <t>SALDO 2018 (*)</t>
  </si>
  <si>
    <t>SALDO 2019 (**)</t>
  </si>
  <si>
    <t>ÍNDICE DE FORMATOS</t>
  </si>
  <si>
    <t>INDICADORES DE GESTIÓN SEGÚN OBJETIVOS ESTRATÉGICOS INSTITUCIONALES AL 2021</t>
  </si>
  <si>
    <t>FORMATO Nº 1:</t>
  </si>
  <si>
    <t>FORMATO Nº 2:</t>
  </si>
  <si>
    <t>FORMATO Nº 3:</t>
  </si>
  <si>
    <t>FORMATO Nº 4:</t>
  </si>
  <si>
    <t>FORMATO Nº 5:</t>
  </si>
  <si>
    <t>FORMATO Nº 6:</t>
  </si>
  <si>
    <t>FORMATO Nº 7:</t>
  </si>
  <si>
    <t>FORMATO Nº 8:</t>
  </si>
  <si>
    <t>FORMATO Nº 9:</t>
  </si>
  <si>
    <t>FORMATO Nº 10:</t>
  </si>
  <si>
    <t>FORMATO Nº 11:</t>
  </si>
  <si>
    <t>FORMATO Nº 12:</t>
  </si>
  <si>
    <t>FORMATO Nº 13:</t>
  </si>
  <si>
    <t>FORMATO Nº 14:</t>
  </si>
  <si>
    <t>FORMATO Nº 15:</t>
  </si>
  <si>
    <t>FORMATO Nº 16:</t>
  </si>
  <si>
    <t>FORMATO Nº 17:</t>
  </si>
  <si>
    <t>FORMATO Nº 18:</t>
  </si>
  <si>
    <t>INDICADORES INSTITUCIONALES</t>
  </si>
  <si>
    <t>DISTRIBUCIÓN DEL GASTO</t>
  </si>
  <si>
    <t>GASTOS DE PERSONAL</t>
  </si>
  <si>
    <t>GASTOS EN BIENES Y SERVICIOS</t>
  </si>
  <si>
    <t>MINDEF</t>
  </si>
  <si>
    <t>001. ADMINISTRACION GENERAL</t>
  </si>
  <si>
    <t>002. COMANDO CONJUNTO DE LAS FUERZAS ARMADAS</t>
  </si>
  <si>
    <t>003. EJERCITO PERUANO</t>
  </si>
  <si>
    <t>004. MARINA DE GUERRA DEL PERU</t>
  </si>
  <si>
    <t>005. FUERZA AEREA DEL PERU</t>
  </si>
  <si>
    <t>006. COMISION NACIONAL DE INVESTIGACION Y DESARROLLO AEROESPACIAL</t>
  </si>
  <si>
    <t>008. ESCUELA NACIONAL DE MARINA MERCANTE</t>
  </si>
  <si>
    <t>009. OFICINA PREVISIONAL DE LAS FUERZAS ARMADAS</t>
  </si>
  <si>
    <t>INDECI</t>
  </si>
  <si>
    <t>001. INDECI - INSTITUTO NACIONAL DE DEFENSA CIVIL</t>
  </si>
  <si>
    <t>CENEPRED</t>
  </si>
  <si>
    <t>001. CENTRO NACIONAL DE ESTIMACION, PREVENCION Y REDUCCION DEL RIESGO DE DESASTRES</t>
  </si>
  <si>
    <t>IGN</t>
  </si>
  <si>
    <t>001. INSTITUTO GEOGRAFICO NACIONAL</t>
  </si>
  <si>
    <t>ACFFAA</t>
  </si>
  <si>
    <t>001. AGENCIA DE COMPRAS DE LAS FUERZAS ARMADAS</t>
  </si>
  <si>
    <t>RECURSOS ORDINARIOS</t>
  </si>
  <si>
    <t>RECURSOS DIRECTAMENTE RECAUDADOS</t>
  </si>
  <si>
    <t>RECURSOS DETERMINADOS</t>
  </si>
  <si>
    <t>TODA FUENTE DE FINANCIAMIENTO</t>
  </si>
  <si>
    <t>DONACIONES Y TRANSFERENCIAS</t>
  </si>
  <si>
    <t>RECURSOS POR OPERACIONES OFICIALES DE CREDITO</t>
  </si>
  <si>
    <t>0031. REDUCCION DEL TRAFICO ILICITO DE DROGAS</t>
  </si>
  <si>
    <t>0032. LUCHA CONTRA EL TERRORISMO</t>
  </si>
  <si>
    <t>0068. REDUCCION DE VULNERABILIDAD Y ATENCION DE EMERGENCIAS POR DESASTRES</t>
  </si>
  <si>
    <t>0074. GESTION INTEGRADA Y EFECTIVA DEL CONTROL DE OFERTA DE DROGAS EN EL PERU</t>
  </si>
  <si>
    <t>0128. REDUCCION DE LA MINERIA ILEGAL</t>
  </si>
  <si>
    <t>0135. MEJORA DE LAS CAPACIDADES MILITARES PARA LA DEFENSA Y EL DESARROLLO NACIONAL</t>
  </si>
  <si>
    <t>0137. DESARROLLO DE LA CIENCIA, TECNOLOGIA E INNOVACION TECNOLOGICA</t>
  </si>
  <si>
    <t>SECTOR 26: DEFENSA</t>
  </si>
  <si>
    <t>3.- RECURSOS OPERACIONES OFICIALES DE CREDITO</t>
  </si>
  <si>
    <t>PLIEGO 026: MINISTERIO DE DEFENSA</t>
  </si>
  <si>
    <t>PLIEGO 006: INSTITUTO NACIONAL DE DEFENSA CIVIL</t>
  </si>
  <si>
    <t>PLIEGO 025: CENTRO NACIONAL DE ESTIMACION, PREVENCION Y REDUCCION DEL RIESGO DE DESASTRES</t>
  </si>
  <si>
    <t>PLIEGO 332: INSTITUTO GEOGRAFICO NACIONAL</t>
  </si>
  <si>
    <t>PLIEGO 335: AGENCIA DE COMPRAS DE LAS FUERZAS ARMADAS</t>
  </si>
  <si>
    <t>03. PLANEAMIENTO, GESTION Y RESERVA DE CONTINGENCIA</t>
  </si>
  <si>
    <t>04. DEFENSA Y SEGURIDAD NACIONAL</t>
  </si>
  <si>
    <t>05. ORDEN PUBLICO Y SEGURIDAD</t>
  </si>
  <si>
    <t>13. MINERIA</t>
  </si>
  <si>
    <t>20. SALUD</t>
  </si>
  <si>
    <t>22. EDUCACION</t>
  </si>
  <si>
    <t>24. PREVISION SOCIAL</t>
  </si>
  <si>
    <t>25. DEUDA PUBLICA</t>
  </si>
  <si>
    <t>Var. %  (2019-2018)</t>
  </si>
  <si>
    <t xml:space="preserve"> ALIMENTOS Y BEBIDAS</t>
  </si>
  <si>
    <t xml:space="preserve"> ALQUILERES DE MUEBLES E INMUEBLES</t>
  </si>
  <si>
    <t xml:space="preserve"> COMBUSTIBLES, CARBURANTES, LUBRICANTES Y AFINES</t>
  </si>
  <si>
    <t xml:space="preserve"> COMPRA DE OTROS BIENES</t>
  </si>
  <si>
    <t xml:space="preserve"> CONTRATO ADMINISTRATIVO DE SERVICIOS</t>
  </si>
  <si>
    <t xml:space="preserve"> ENSERES</t>
  </si>
  <si>
    <t xml:space="preserve"> MATERIALES Y  UTILES</t>
  </si>
  <si>
    <t xml:space="preserve"> MATERIALES Y UTILES DE ENSEÑANZA</t>
  </si>
  <si>
    <t xml:space="preserve"> MUNICIONES,  EXPLOSIVOS Y SIMILARES</t>
  </si>
  <si>
    <t xml:space="preserve"> REPUESTOS Y ACCESORIOS</t>
  </si>
  <si>
    <t xml:space="preserve"> SERVICIO DE MANTENIMIENTO, ACONDICIONAMIENTO Y  REPARACIONES</t>
  </si>
  <si>
    <t xml:space="preserve"> SERVICIOS ADMINISTRATIVOS, FINANCIEROS Y DE SEGUROS</t>
  </si>
  <si>
    <t xml:space="preserve"> SERVICIOS BASICOS, COMUNICACIONES, PUBLICIDAD Y DIFUSION</t>
  </si>
  <si>
    <t xml:space="preserve"> SERVICIOS DE LIMPIEZA, SEGURIDAD Y VIGILANCIA</t>
  </si>
  <si>
    <t xml:space="preserve"> SERVICIOS PROFESIONALES Y TECNICOS</t>
  </si>
  <si>
    <t xml:space="preserve"> SUMINISTROS MEDICOS</t>
  </si>
  <si>
    <t xml:space="preserve"> SUMINISTROS PARA MANTENIMIENTO Y REPARACION</t>
  </si>
  <si>
    <t xml:space="preserve"> SUMINISTROS PARA USO AGROPECUARIO, FORESTAL Y VETERINARIO</t>
  </si>
  <si>
    <t xml:space="preserve"> VESTUARIOS Y TEXTILES</t>
  </si>
  <si>
    <t xml:space="preserve"> VIAJES</t>
  </si>
  <si>
    <t>TODA FUENTE DE FINANCIEMIENTO</t>
  </si>
  <si>
    <t>EJECUTORA 002 - CCFFAA</t>
  </si>
  <si>
    <t>EJECUTORA 001 - MINDEF</t>
  </si>
  <si>
    <t>EJECUTORA 003 - EP</t>
  </si>
  <si>
    <t>EJECUTORA 004 - MGP</t>
  </si>
  <si>
    <t>DISTRIBUCIÓN DEL PRESUPUESTO POR CATEGORÍA PRESUPUESTAL 2019, 2020 Y PROYECTO 2021</t>
  </si>
  <si>
    <t>DISTRIBUCIÓN DEL PRESUPUESTO POR FUENTE DE FINANCIAMIENTO 2019, 2020 Y PROYECTO 2021</t>
  </si>
  <si>
    <t>DISTRIBUCIÓN DEL GASTO POR UNIDADES EJECUTORAS / ENTIDAD PÚBLICA Y FUENTES DE FINANCIAMIENTO - PROYECTO 2021</t>
  </si>
  <si>
    <t>DISTRIBUCIÓN DEL PRESUPUESTO POR PROGRAMA PRESUPUESTAL 2019, 2020 Y 2021</t>
  </si>
  <si>
    <t>PROGRAMAS SOCIALES PRIORIZADOS SEGÚN EL CICLO DE VIDA POR FUENTE DE FINANCIAMIENTO 2019, 2020 Y PROYECTO 2021</t>
  </si>
  <si>
    <t>RESUMEN POR GRUPO GENÉRICO Y FUENTES DE FINANCIAMIENTO PROYECTO 2021</t>
  </si>
  <si>
    <t>RESUMEN DE PRESUPUESTO POR FUNCIONES PIA 2019, 2020 Y PROYECTO 2021</t>
  </si>
  <si>
    <t>COMPARATIVO DEL NÚMERO DE PLAZAS EN EL PRESUPUESTO 2019, 2020 Y PROYECTO 2021</t>
  </si>
  <si>
    <t>INFORMACIÓN DE REMUNERACIONES Y NÚMERO DE PLAZAS - PRESUPUESTO 2019, 2020 Y PROYECTO 2021</t>
  </si>
  <si>
    <t>INGRESOS MENSUALES POR PERIODO DEL PERSONAL ACTIVO -  COMPARATIVO PRESUPUESTO 2019, 2020 Y PROYECTO 2021</t>
  </si>
  <si>
    <t>ASIGNACIÓN DE BIENES Y SERVICIOS - COMPARATIVO PRESUPUESTO 2019, 2020 Y PROYECTO 2021</t>
  </si>
  <si>
    <t>CONTRATOS DE OBRAS SUSCRITOS EN LOS AÑOS 2019 Y 2020</t>
  </si>
  <si>
    <t>PRINCIPALES ADQUISICIONES DE BIENES Y SERVICIOS - PRESUPUESTO 2019, 2020 Y PROYECTO 2021</t>
  </si>
  <si>
    <t>DETALLE DE CONSULTORIAS PERSONAS JURÍDICAS Y NATURALES - PRESUPUESTO 2019, 2020 Y PROYECTO 2021</t>
  </si>
  <si>
    <t>TESORERIA - RESUMEN POR GRUPO GENERICO Y FUENTES DE FINANCIAMIENTO 2019 Y 2020</t>
  </si>
  <si>
    <t>NOMBRES E INGRESOS MENSUALES DEL PERSONAL CONTRATADO FUERA DEL PAP EN LOS AÑOS FISCALES 2019 Y 2020</t>
  </si>
  <si>
    <t>ALQUILER DE INMUEBLES EN LOS AÑOS FISCALES 2019 Y 2020</t>
  </si>
  <si>
    <t>2020 (*)</t>
  </si>
  <si>
    <t>2021 (**)</t>
  </si>
  <si>
    <t>(*) Proyección al 31/12/2020</t>
  </si>
  <si>
    <t>(**) Proyecto 2021</t>
  </si>
  <si>
    <t>FORMATO 02: DISTRIBUCIÓN DEL PRESUPUESTO POR CATEGORÍA PRESUPUESTAL 2019, 2020 Y PROYECTO 2021</t>
  </si>
  <si>
    <t>FORMATO 03: DISTRIBUCIÓN DEL PRESUPUESTO POR FUENTE DE FINANCIAMIENTO 2019, 2020 Y PROYECTO 2021</t>
  </si>
  <si>
    <t>FORMATO 04: DISTRIBUCIÓN DEL GASTO POR UNIDADES EJECUTORAS / ENTIDAD PÚBLICA Y FUENTES DE FINANCIAMIENTO - PROYECTO 2021</t>
  </si>
  <si>
    <t>FORMATO 05: DISTRIBUCIÓN DEL PRESUPUESTO POR PROGRAMA PRESUPUESTAL 2019, 2020 Y 2021</t>
  </si>
  <si>
    <t>FORMATO 06: PROGRAMAS SOCIALES PRIORIZADOS SEGÚN EL CICLO DE VIDA POR FUENTE DE FINANCIAMIENTO 2019, 2020 Y PROYECTO 2021</t>
  </si>
  <si>
    <t>(*) Al 30 de junio de 2020</t>
  </si>
  <si>
    <t>(**) Estimado al 31 de diciembre de 2020</t>
  </si>
  <si>
    <t>FORMATO 07: RESUMEN POR GRUPO GENÉRICO Y FUENTES DE FINANCIAMIENTO PROYECTO 2021</t>
  </si>
  <si>
    <t>GASTO CORRIENTE 2021</t>
  </si>
  <si>
    <t>GASTO CAPITAL 2021</t>
  </si>
  <si>
    <t>SERVICIO DE DEUDA 2021</t>
  </si>
  <si>
    <t>FORMATO 08: RESUMEN DE PRESUPUESTO POR FUNCIONES PIA 2019, 2020 Y PROYECTO 2021</t>
  </si>
  <si>
    <t>2020 (JUNIO)</t>
  </si>
  <si>
    <t>PROYECCIÓN 2021 (JUNIO)</t>
  </si>
  <si>
    <t>FORMATO 09: COMPARATIVO DEL NÚMERO DE PLAZAS EN EL PRESUPUESTO  2020 Y PROYECTO 2021</t>
  </si>
  <si>
    <t>FORMATO 10: INFORMACIÓN DE REMUNERACIONES Y NÚMERO DE PLAZAS - PRESUPUESTO 2019, 2020 Y PROYECTO 2021</t>
  </si>
  <si>
    <t>2020 (PIA)</t>
  </si>
  <si>
    <t>2021  (PROYECTO)</t>
  </si>
  <si>
    <t>INGRESOS PERSONAL PRESUPUESTO 2020</t>
  </si>
  <si>
    <t>DIFERENCIA 
(2019 -2020)</t>
  </si>
  <si>
    <t>PROYECTO 2021</t>
  </si>
  <si>
    <t>FORMATO 11: INGRESOS MENSUALES POR PERIODO DEL PERSONAL ACTIVO -  COMPARATIVO PRESUPUESTO 2019, 2020 Y PROYECTO 2021</t>
  </si>
  <si>
    <t>FORMATO 12: ASIGNACIÓN DE BIENES Y SERVICIOS - COMPARATIVO PRESUPUESTO 2019, 2020 Y PROYECTO 2021</t>
  </si>
  <si>
    <t>PPTO 2020
(PIM 30 JUNIO)</t>
  </si>
  <si>
    <t>(*) DEBE COINCIDIR CON LOS MONTOS ASIGNADOS EN LA GENERICA 3. BIENES Y SERVICIOS CONSIDERADAS EN EL PRESUPUESTO 2019 - 2020 - 2021</t>
  </si>
  <si>
    <t>FORMATO 13: CONTRATOS DE OBRAS SUSCRITOS EN LOS AÑOS 2019 Y 2020</t>
  </si>
  <si>
    <t>FORMATO 14: PRINCIPALES ADQUISICIONES DE BIENES Y SERVICIOS - PRESUPUESTO 2019, 2020 Y PROYECTO 2021</t>
  </si>
  <si>
    <t>FORMATO 15: DETALLE DE CONSULTORIAS PERSONAS JURÍDICAS Y NATURALES - PRESUPUESTO 2019 Y 2020</t>
  </si>
  <si>
    <t>FORMATO 16: TESORERIA - RESUMEN POR GRUPO GENERICO Y FUENTES DE FINANCIAMIENTO 2019 Y 2020</t>
  </si>
  <si>
    <t>FORMATO 17: NOMBRES E INGRESOS MENSUALES DEL PERSONAL CONTRATADO FUERA DEL PAP EN LOS AÑOS FISCALES 2019 Y 2020</t>
  </si>
  <si>
    <t>FORMATO 18: ALQUILER DE INMUEBLES EN LOS AÑOS FISCALES 2019 Y 2020</t>
  </si>
  <si>
    <t>(*) Saldo al 31 de Diciembre de 2019</t>
  </si>
  <si>
    <t>(**) Saldo al 30 de Junio de 2020</t>
  </si>
  <si>
    <t>(*) EL PRODUCTO QUE SE ADQUIERE</t>
  </si>
  <si>
    <t>(**) LA ESPECIALIDAD TOMANDO ENCUENTA HACIENDO REFERENCIA UNA O MAS DE LAS 25 FUNCIONES DEL CLASIFICADOR FUNCIONAL PROGRAMATICO</t>
  </si>
  <si>
    <t xml:space="preserve"> LOCACIÓN DE SERVICIOS RELACIONADAS AL ROL DE LA ENTIDAD</t>
  </si>
  <si>
    <t>PPTO 2019
 (PIM)</t>
  </si>
  <si>
    <t>PPTO 2019
(PIA)</t>
  </si>
  <si>
    <t>PPTO 2020
(PIA)</t>
  </si>
  <si>
    <t>Variación %
(2020-2021)</t>
  </si>
  <si>
    <t>Diferencia PIA
(2020-2021)</t>
  </si>
  <si>
    <t>Variación %
(2019-2020)</t>
  </si>
  <si>
    <t>Diferencia PIA
(2019-2020)</t>
  </si>
  <si>
    <t>PPTO 2021
(PROYECTO)</t>
  </si>
  <si>
    <t>EJECUCIÓN 2019</t>
  </si>
  <si>
    <t>EJECUCIÓN 2020 (*)</t>
  </si>
  <si>
    <t>(*) = Al 30 de junio de 2020</t>
  </si>
  <si>
    <t>PPTO 2019
(AL 31/12)</t>
  </si>
  <si>
    <t>PPTO 2020
(AL 30/06)</t>
  </si>
  <si>
    <t>PPTO 2020
(PROY 31/12)</t>
  </si>
  <si>
    <t>EJECUCIÓN
S/</t>
  </si>
  <si>
    <t>TIPO DE
ESTUDIO Y/O
INFORME (*)</t>
  </si>
  <si>
    <t>ESPECIALIDAD
(**)</t>
  </si>
  <si>
    <t>12</t>
  </si>
  <si>
    <t>3</t>
  </si>
  <si>
    <t>TÉCNICO</t>
  </si>
  <si>
    <t>SECRETARIADO EJECUTIVO</t>
  </si>
  <si>
    <t>ZARATE NICOLINI Mary Milagros</t>
  </si>
  <si>
    <t>40933828</t>
  </si>
  <si>
    <t>SECRETARIA</t>
  </si>
  <si>
    <t>CAS</t>
  </si>
  <si>
    <t>00</t>
  </si>
  <si>
    <t>001 MINDEF-OGA</t>
  </si>
  <si>
    <t>BACHILLER</t>
  </si>
  <si>
    <t>DERECHO</t>
  </si>
  <si>
    <t>YANAYACO GIRÓN Zaira del Pilar</t>
  </si>
  <si>
    <t>45238598</t>
  </si>
  <si>
    <t>ABOGADO</t>
  </si>
  <si>
    <t>VIRREYRA SALAS Rosa María</t>
  </si>
  <si>
    <t>06773212</t>
  </si>
  <si>
    <t>ESPECIALISTA EN PROYECTOS DE INVERSIÓN PÚBLICA Y SEGUIMIENTO DE METAS E INDICADORES</t>
  </si>
  <si>
    <t>ECONOMÍA</t>
  </si>
  <si>
    <t>VILLÓN ANGELES Laura Licet</t>
  </si>
  <si>
    <t>32408264</t>
  </si>
  <si>
    <t>ESPECIALISTA III</t>
  </si>
  <si>
    <t>CONTABILIDAD</t>
  </si>
  <si>
    <t>VILLENA LARA Celia Maria</t>
  </si>
  <si>
    <t>06178200</t>
  </si>
  <si>
    <t>DIRECTORA DE CONTABILIDAD</t>
  </si>
  <si>
    <t>VILLAVICENCIO ROMERO Juan Fortunato</t>
  </si>
  <si>
    <t>32490847</t>
  </si>
  <si>
    <t>ESPECIALISTA INTEGRADOR CONTABLE</t>
  </si>
  <si>
    <t>INGENIERÍA CIVIL</t>
  </si>
  <si>
    <t xml:space="preserve">VILLAVICENCIO ALVARADO Selene </t>
  </si>
  <si>
    <t>40426037</t>
  </si>
  <si>
    <t>PROFESIONAL ESPECIALISTA EN CONTROL GUBERNAMENTAL</t>
  </si>
  <si>
    <t>ARQUITECTURA</t>
  </si>
  <si>
    <t>VILLANUEVA GUIO José Amador</t>
  </si>
  <si>
    <t>25458672</t>
  </si>
  <si>
    <t xml:space="preserve">PROFESIONAL </t>
  </si>
  <si>
    <t>CIENCIAS MILITARES</t>
  </si>
  <si>
    <t>VILLANUEVA BARDALES Jorge Isaac</t>
  </si>
  <si>
    <t>43337353</t>
  </si>
  <si>
    <t>DOCENTE PRINCIPAL - FACILITADOR</t>
  </si>
  <si>
    <t>VILELA CARBAJAL Jorge Eduardo</t>
  </si>
  <si>
    <t>02898247</t>
  </si>
  <si>
    <t>ESPECIALISTA LEGAL</t>
  </si>
  <si>
    <t>VILCHEZ TARABAY Jorge Luis</t>
  </si>
  <si>
    <t>70433083</t>
  </si>
  <si>
    <t>ADMINISTRACIÓN</t>
  </si>
  <si>
    <t>VILCHEZ MONTALVAN Miguel Ángel</t>
  </si>
  <si>
    <t>07238499</t>
  </si>
  <si>
    <t>DIRECTOR DE SISTEMA ADMINISTRATIVO I</t>
  </si>
  <si>
    <t>ESTUDIANTE</t>
  </si>
  <si>
    <t>REDES Y COMUNICACIONES</t>
  </si>
  <si>
    <t>VILCA CERECIDA Jorge Luis</t>
  </si>
  <si>
    <t>42742530</t>
  </si>
  <si>
    <t>OPERADOR DE EQUIPOS MULTIFUNCIONALES</t>
  </si>
  <si>
    <t>RELACIONISTA INDUSTRIAL</t>
  </si>
  <si>
    <t>VERCELLI ESPINOZA Oscar Humberto</t>
  </si>
  <si>
    <t>06699317</t>
  </si>
  <si>
    <t>ESPECIALISTA III EN MODERNIZACIÓN DE LA GESTIÓN PÚBLICA</t>
  </si>
  <si>
    <t>8</t>
  </si>
  <si>
    <t>ESPECIALISTA EN MODERNIZACIÓN DE LA GESTIÓN PÚBLICA</t>
  </si>
  <si>
    <t xml:space="preserve"> ESTUDIANTE </t>
  </si>
  <si>
    <t>VERA GUERRERO Marta María</t>
  </si>
  <si>
    <t>06222600</t>
  </si>
  <si>
    <t>APOYO TÉCNICO EN PLANEAMIENTO Y NORMATIVIDAD DE TI</t>
  </si>
  <si>
    <t>4</t>
  </si>
  <si>
    <t>2</t>
  </si>
  <si>
    <t>VELIT SANCHEZ Luis Enrique</t>
  </si>
  <si>
    <t>09672109</t>
  </si>
  <si>
    <t>ASESOR II</t>
  </si>
  <si>
    <t>VELA ALATRISTA Julio Ernesto</t>
  </si>
  <si>
    <t>07803244</t>
  </si>
  <si>
    <t>PROFESIONAL</t>
  </si>
  <si>
    <t>TURISMO Y HOTELERIA</t>
  </si>
  <si>
    <t>VEGA VILLAGARAY Jeison Santiago</t>
  </si>
  <si>
    <t>42507032</t>
  </si>
  <si>
    <t>PROFESIONAL TÉCNICO</t>
  </si>
  <si>
    <t>VÁSQUEZ VELASCO Katia Aurora</t>
  </si>
  <si>
    <t>43557576</t>
  </si>
  <si>
    <t>TÉCNICO EN ARCHIVO</t>
  </si>
  <si>
    <t>VÁSQUEZ TORREL María Elizabeth</t>
  </si>
  <si>
    <t>09419123</t>
  </si>
  <si>
    <t>ESPECIALISTA EN TESORERÍA</t>
  </si>
  <si>
    <t>VÁSQUEZ RONCEROS Carlos Zemir</t>
  </si>
  <si>
    <t>25535142</t>
  </si>
  <si>
    <t>TÉCNICO ADMINISTRATIVO</t>
  </si>
  <si>
    <t>10</t>
  </si>
  <si>
    <t>VASQUEZ OSORIO Giovana Flor</t>
  </si>
  <si>
    <t>25834381</t>
  </si>
  <si>
    <t>ASESORA</t>
  </si>
  <si>
    <t>VARGAS VELA VDA. DE VALLE  Miroslava</t>
  </si>
  <si>
    <t>10003405</t>
  </si>
  <si>
    <t>COORDINADOR ADMINISTRATIVO</t>
  </si>
  <si>
    <t>INGENIERÍA DE SISTEMAS</t>
  </si>
  <si>
    <t>VARGAS PEREYRA Hernan Ronald</t>
  </si>
  <si>
    <t>08179975</t>
  </si>
  <si>
    <t>ANALISTA PROGRAMADOR DE SISTEMAS</t>
  </si>
  <si>
    <t xml:space="preserve">VALLE VILLAROEL Cinthya </t>
  </si>
  <si>
    <t>40211395</t>
  </si>
  <si>
    <t>VALENTIN FLORES Ronald Freddy</t>
  </si>
  <si>
    <t>43976556</t>
  </si>
  <si>
    <t>ESPECIALISTA CONTABLE PARA CONTROL PREVIO</t>
  </si>
  <si>
    <t>MAGISTER</t>
  </si>
  <si>
    <t>VALENCIA TORRES Wilfredo Manuel</t>
  </si>
  <si>
    <t>43280438</t>
  </si>
  <si>
    <t>VALDIVIA RODRÍGUEZ Shintia Ivett</t>
  </si>
  <si>
    <t>43540570</t>
  </si>
  <si>
    <t>ASISTENTE ADMINISTRATIVO</t>
  </si>
  <si>
    <t>ADMINISTRACIÓN DE NEGOCIOS INTERNACIONALES</t>
  </si>
  <si>
    <t>VALDIVIA  ALDANA Cesar Raul</t>
  </si>
  <si>
    <t>43036292</t>
  </si>
  <si>
    <t>ANALISTA EN ARCHIVO</t>
  </si>
  <si>
    <t>VALDEZ POMAREDA Julio Cesar</t>
  </si>
  <si>
    <t>43328715</t>
  </si>
  <si>
    <t>ASESOR III</t>
  </si>
  <si>
    <t>ELECTRÓNICA</t>
  </si>
  <si>
    <t xml:space="preserve">URBANO ESCALANTE Tommy </t>
  </si>
  <si>
    <t>41938500</t>
  </si>
  <si>
    <t>EMPLEADO CIVIL PARA HACERSE CARGO DEL MANTENIMIENTO MENOR DE LA INFRAESTRUCTURA Y DE LA MOVILIDAD DEL ITOT</t>
  </si>
  <si>
    <t>TUME DIAZ Luis Alberto</t>
  </si>
  <si>
    <t>42244356</t>
  </si>
  <si>
    <t>AUXILIAR</t>
  </si>
  <si>
    <t>SECUNDARIA COMPLETA</t>
  </si>
  <si>
    <t>TUESTA MONCAYO Jorge Demetrio</t>
  </si>
  <si>
    <t>06351886</t>
  </si>
  <si>
    <t>CHOFER</t>
  </si>
  <si>
    <t>TUCO CALIZAYA Wilson Fredy</t>
  </si>
  <si>
    <t>43672795</t>
  </si>
  <si>
    <t>TRELLES VIZQUERRA Javier Hernan</t>
  </si>
  <si>
    <t>09582258</t>
  </si>
  <si>
    <t>TOVAR URBINA Borman Hander</t>
  </si>
  <si>
    <t>10161978</t>
  </si>
  <si>
    <t>TORRES SALAS María Martina</t>
  </si>
  <si>
    <t>10474333</t>
  </si>
  <si>
    <t>COORDINADOR DE PLANEAMIENTO</t>
  </si>
  <si>
    <t>EDUCACIÓN</t>
  </si>
  <si>
    <t>TORIBIO MENDOZA Juan Carlos</t>
  </si>
  <si>
    <t>09001010</t>
  </si>
  <si>
    <t>DOCENTE TUTOR PARA LA CARRERA DE ELECTRÓNICA INDUSTRIAL DEL DEPARTAMENTO DE ÁREAS ACADÉMICAS</t>
  </si>
  <si>
    <t>INGENIERÍA EN TELECOMUNICACIONES Y REDES</t>
  </si>
  <si>
    <t>TITO OSORIO Christian Jesús</t>
  </si>
  <si>
    <t>73258927</t>
  </si>
  <si>
    <t>TÉCNICO INFORMÁTICO ESPECIALISTA</t>
  </si>
  <si>
    <t>TERREROS ORE Amalia Elizabeth</t>
  </si>
  <si>
    <t>40083454</t>
  </si>
  <si>
    <t>ABOGADO ESPECIALISTA EN MATERIA CIVIL Y PROCESAL CIVIL</t>
  </si>
  <si>
    <t>MEDICINA</t>
  </si>
  <si>
    <t xml:space="preserve">TELLO TELLO Marisa </t>
  </si>
  <si>
    <t>10547885</t>
  </si>
  <si>
    <t>MÉDICO PROCURADOR</t>
  </si>
  <si>
    <t>COMPUTACIÓN</t>
  </si>
  <si>
    <t>TELLO CHOCCARE Robert Lado</t>
  </si>
  <si>
    <t>40605722</t>
  </si>
  <si>
    <t>PROFESIONAL TÉCNICO PARA EL TALLER DE LA CARRERA DE COMPUTACIÓN E INFORMÁTICA DEL DEPARTAMENTO DE LABORATORIOS Y TALLERES</t>
  </si>
  <si>
    <t>TAMAYO AMPUERO Sandor Walter</t>
  </si>
  <si>
    <t>44067172</t>
  </si>
  <si>
    <t>TAFUR VILCAPUMA Carolina</t>
  </si>
  <si>
    <t>45939774</t>
  </si>
  <si>
    <t>PROFESIONAL PARA AUDITORÍA GUBERNAMENTAL</t>
  </si>
  <si>
    <t>MECÁNICA AUTOMOTRIZ</t>
  </si>
  <si>
    <t>SURCO GRANADOS Luis Ignacio</t>
  </si>
  <si>
    <t>43269067</t>
  </si>
  <si>
    <t>DOCENTE</t>
  </si>
  <si>
    <t>SECRETARIA EJECUTIVA</t>
  </si>
  <si>
    <t>SOTOMARINO CACERES Maritza</t>
  </si>
  <si>
    <t>08270839</t>
  </si>
  <si>
    <t>SECRETARIA IV</t>
  </si>
  <si>
    <t>1</t>
  </si>
  <si>
    <t>SOTO CASTAGNOLA Augusto Anibal</t>
  </si>
  <si>
    <t>06671037</t>
  </si>
  <si>
    <t>INSPECTOR GENERAL</t>
  </si>
  <si>
    <t>SOTELO ORTIZ José Rubén</t>
  </si>
  <si>
    <t>06861217</t>
  </si>
  <si>
    <t>ESPECIALISTA EN FINANZAS</t>
  </si>
  <si>
    <t>FUERZA AÉREA DEL PERÚ</t>
  </si>
  <si>
    <t>SOLIS CARBAJAL Silvia Karina</t>
  </si>
  <si>
    <t>43608953</t>
  </si>
  <si>
    <t>SOLIS AGURTO Manuel Guillermo</t>
  </si>
  <si>
    <t>43293000</t>
  </si>
  <si>
    <t>SIUSE CALIXTO Mercedes Susana</t>
  </si>
  <si>
    <t>72547958</t>
  </si>
  <si>
    <t xml:space="preserve">TÉCNICO EN PLANEAMIENTO </t>
  </si>
  <si>
    <t>SILVA CABREJO Luis Guillermo Martín</t>
  </si>
  <si>
    <t>43617702</t>
  </si>
  <si>
    <t xml:space="preserve">ASESOR II </t>
  </si>
  <si>
    <t>SILVA CABREJO Luis Guillermo</t>
  </si>
  <si>
    <t>DOCENTE PRINCIPAL - FACILITADOR ACADÉMICO EN TEMAS DE EJÉRCITO DEL PERÚ</t>
  </si>
  <si>
    <t>SIERRA MEDINA Jessica Esperanza</t>
  </si>
  <si>
    <t>10091675</t>
  </si>
  <si>
    <t>ESPECIALISTA I EN PRESUPUESTO</t>
  </si>
  <si>
    <t>6</t>
  </si>
  <si>
    <t>INGENIERÍA GEOLOGA</t>
  </si>
  <si>
    <t>SEMINARIO ADRIANZEN Luis Carlos</t>
  </si>
  <si>
    <t>44313063</t>
  </si>
  <si>
    <t xml:space="preserve">DOCENTE TUTOR PARA LA CARRERA DE TOPOGRAFIA </t>
  </si>
  <si>
    <t>SCOTT CARDENAS Walter Javier</t>
  </si>
  <si>
    <t>43695850</t>
  </si>
  <si>
    <t>ANALISTA III</t>
  </si>
  <si>
    <t>SARMIENTO MEZA Eulogio Lizandro</t>
  </si>
  <si>
    <t>43438544</t>
  </si>
  <si>
    <t xml:space="preserve">ESPECIALISTA EN EDUCACIÓN </t>
  </si>
  <si>
    <t>SANTA CRUZ BRAVO  Silvana Janet</t>
  </si>
  <si>
    <t>48586107</t>
  </si>
  <si>
    <t>ESPECIALISTA EN PROCESOS Y SIMPLIFICACIÓN ADMINISTRATIVA</t>
  </si>
  <si>
    <t>SANDOVAL CHECA Raquel Maricela</t>
  </si>
  <si>
    <t>40122435</t>
  </si>
  <si>
    <t>ESPECIALISTA II EN PLANEAMIENTO</t>
  </si>
  <si>
    <t>INGENIERÍA INDUSTRIAL</t>
  </si>
  <si>
    <t>SANCHEZ GONZALEZ Fernando Javier</t>
  </si>
  <si>
    <t>47786686</t>
  </si>
  <si>
    <t>ANALISTA II EN GESTIÓN DE SEGURIDAD Y SALUD EN EL TRABAJO</t>
  </si>
  <si>
    <t>SÁNCHEZ DEBERNARDI Mario César</t>
  </si>
  <si>
    <t>08787500</t>
  </si>
  <si>
    <t>ANALISTA II - DOCENTE PRINCIPAL FACILITADOR ACADÉMICO EN TEMAS DE LA MARINA  DE GUERRA DEL PERÚ</t>
  </si>
  <si>
    <t>SANCHEZ DEBERNARDI Mario César</t>
  </si>
  <si>
    <t xml:space="preserve"> -----------------------</t>
  </si>
  <si>
    <t xml:space="preserve">SÁNCHEZ  Arcadio Juan </t>
  </si>
  <si>
    <t>10425251</t>
  </si>
  <si>
    <t>SALDAÑA ZAMORA Wenddy Vanessa</t>
  </si>
  <si>
    <t>70933043</t>
  </si>
  <si>
    <t>ANALISTA II</t>
  </si>
  <si>
    <t>EGRESADO DE PERIODISMO</t>
  </si>
  <si>
    <t>SALDAÑA ALVARADO Luis Enrique</t>
  </si>
  <si>
    <t>10798446</t>
  </si>
  <si>
    <t>FOTÓGRAFO</t>
  </si>
  <si>
    <t>SALCEDO ROMAN Magali</t>
  </si>
  <si>
    <t>41004787</t>
  </si>
  <si>
    <t>SALCEDO MANSILLA Jorge Manuel</t>
  </si>
  <si>
    <t>10145260</t>
  </si>
  <si>
    <t>SALCEDO ALIAGA María Isabel</t>
  </si>
  <si>
    <t>20020572</t>
  </si>
  <si>
    <t>ESPECIALISTA EN PLANEAMIENTO</t>
  </si>
  <si>
    <t xml:space="preserve">SALAZAR LEÓN Karina </t>
  </si>
  <si>
    <t>40370555</t>
  </si>
  <si>
    <t>ESPECIALISTA EN CONTROL GUBERNAMENTAL</t>
  </si>
  <si>
    <t xml:space="preserve">MAGISTER EN GESTIÓN PÚBLICA </t>
  </si>
  <si>
    <t xml:space="preserve">SALAS REYNAGA Josfer </t>
  </si>
  <si>
    <t>10215349</t>
  </si>
  <si>
    <t>COORDINADOR PARA LA DIRECCIÓN GENERAL DE RECURSOS HUMANOS</t>
  </si>
  <si>
    <t>COORDINADOR DE PRESUPUESTO PARA LA DIRECCIÓN GENERAL DE RECURSOS HUMANOS</t>
  </si>
  <si>
    <t>BIÓLOGO</t>
  </si>
  <si>
    <t>SAGASTEGUI ALVAREZ Rose Mary</t>
  </si>
  <si>
    <t>09865962</t>
  </si>
  <si>
    <t>PROFESIONAL BIÓLOGO</t>
  </si>
  <si>
    <t>RUIZ VARGAS Ever Benildo</t>
  </si>
  <si>
    <t>15856595</t>
  </si>
  <si>
    <t>(PROCURADOR ADJUNTO)</t>
  </si>
  <si>
    <t>RUIZ SANTA MARIA Marcos Domingo</t>
  </si>
  <si>
    <t>07628945</t>
  </si>
  <si>
    <t>ESPECIALISTA JURÍDICO</t>
  </si>
  <si>
    <t>RUIZ CASTRO Anthony Manuel</t>
  </si>
  <si>
    <t>47482000</t>
  </si>
  <si>
    <t xml:space="preserve">RUCOBA MELENDEZ Mario </t>
  </si>
  <si>
    <t>07732775</t>
  </si>
  <si>
    <t>RUBIO GUARDERAS Tomasa Mercedes</t>
  </si>
  <si>
    <t>16688347</t>
  </si>
  <si>
    <t>SECRETARIA V</t>
  </si>
  <si>
    <t>ROSARIO GUAYLUPO José Martín</t>
  </si>
  <si>
    <t>25772168</t>
  </si>
  <si>
    <t>ESPECIALISTA GESTIÓN DE LA CALIDAD</t>
  </si>
  <si>
    <t xml:space="preserve">ROSALES PÉREZ Flor </t>
  </si>
  <si>
    <t>42405604</t>
  </si>
  <si>
    <t>INGENIERO INDUSTRIAL</t>
  </si>
  <si>
    <t>RONCAGLIOLO GOYTIZOLO Julio Oswaldo</t>
  </si>
  <si>
    <t>42836098</t>
  </si>
  <si>
    <t>LICENCIADO</t>
  </si>
  <si>
    <t>ROMERO VON BANCELS Carlos Javier</t>
  </si>
  <si>
    <t>43593321</t>
  </si>
  <si>
    <t>ROMERO OHAMA Cesar Jhonny</t>
  </si>
  <si>
    <t>07663530</t>
  </si>
  <si>
    <t>ROMANI PALOMINO Johan Pedro</t>
  </si>
  <si>
    <t>42794979</t>
  </si>
  <si>
    <t xml:space="preserve">DOCENTE TUTOR PARA LA CARRERA DE ANALISIS DE SISTEMAS </t>
  </si>
  <si>
    <t>ROJAS CHILET Gabriel Enrique</t>
  </si>
  <si>
    <t>43319287</t>
  </si>
  <si>
    <t>DOCENTE PRINCIPAL, FACILITADOR ACADÉMICO EN TEMS DE LA FUERZA AÉREA DEL PERÚ</t>
  </si>
  <si>
    <t>0</t>
  </si>
  <si>
    <t>CIENCIAS DE LA ADMINISTRACIÓN AEROESPACIAL</t>
  </si>
  <si>
    <t>PROFESIONAL PARA EJERCER LABORES DE DIRECTOR DE INVESTIGACIÓN, CIENCIA, TECNOLOGÍA E INDUSTRIA PARA LA DEFENSA - DICTID</t>
  </si>
  <si>
    <t>RODRIGUEZ SILVA Antonio Benedicto</t>
  </si>
  <si>
    <t>43890342</t>
  </si>
  <si>
    <t>ADMINISTRACIÓN Y MERCADOTECNIA</t>
  </si>
  <si>
    <t>RODRIGUEZ RECARTE Rodolfo Rafael</t>
  </si>
  <si>
    <t>07549490</t>
  </si>
  <si>
    <t>TÉCNICO III</t>
  </si>
  <si>
    <t>RODRIGUEZ DURAND Maria Beatriz</t>
  </si>
  <si>
    <t>10494980</t>
  </si>
  <si>
    <t>SECRETARIA EJECUTIVA IV</t>
  </si>
  <si>
    <t>RODRIGUEZ CONTRERAS Fernando Alfredo</t>
  </si>
  <si>
    <t>43612969</t>
  </si>
  <si>
    <t>ESPECIALISTA</t>
  </si>
  <si>
    <t>RIXI IZARRA Johnny  William</t>
  </si>
  <si>
    <t>22412686</t>
  </si>
  <si>
    <t>ESPECIALISTA I - PROFESIONAL EN CONTROL GUBERNAMENTAL</t>
  </si>
  <si>
    <t>ESTADÍSTICA</t>
  </si>
  <si>
    <t>RIVERA JIMENEZ Omar Rolando</t>
  </si>
  <si>
    <t>10778202</t>
  </si>
  <si>
    <t>PROFESIONAL ESPECIALISTA ESTADISTICO</t>
  </si>
  <si>
    <t>INDUSTRIAS ALIMENTARIAS</t>
  </si>
  <si>
    <t>RIOFRIO CORREA Sonia Hoberdina</t>
  </si>
  <si>
    <t>45329539</t>
  </si>
  <si>
    <t>TÉCNICO EN INDUSTRIAS ALIMENTARIAS</t>
  </si>
  <si>
    <t>RÍMAC ESTRELLA Maribel Janeth</t>
  </si>
  <si>
    <t>41792973</t>
  </si>
  <si>
    <t xml:space="preserve">RICALDI RODRIGUEZ Juan </t>
  </si>
  <si>
    <t>20051345</t>
  </si>
  <si>
    <t>PROFESIONAL PARA LA SECRETARIA GENERAL</t>
  </si>
  <si>
    <t>REYES VERA Lola Luz</t>
  </si>
  <si>
    <t>07960567</t>
  </si>
  <si>
    <t>PUBLICIDAD</t>
  </si>
  <si>
    <t>REYES LOYOLA Karelin Vanessa</t>
  </si>
  <si>
    <t>43945733</t>
  </si>
  <si>
    <t>TÉCNICO PARA LA OFICINA DE IMAGEN</t>
  </si>
  <si>
    <t>RENGIFO PINCHI Marlon Mayer</t>
  </si>
  <si>
    <t>40584157</t>
  </si>
  <si>
    <t>ESPECIALISTA II</t>
  </si>
  <si>
    <t>RENGIFO ALVILDO Sandra Elizabeth</t>
  </si>
  <si>
    <t>43888295</t>
  </si>
  <si>
    <t>RAMOS VARGAS LUIS ANTONIO</t>
  </si>
  <si>
    <t>43668319</t>
  </si>
  <si>
    <t>RAMOS CRUZ Marco Antonio</t>
  </si>
  <si>
    <t>42819054</t>
  </si>
  <si>
    <t>SECRETARIO GENERAL</t>
  </si>
  <si>
    <t xml:space="preserve">RAMIREZ VELA Guillermo </t>
  </si>
  <si>
    <t>09761070</t>
  </si>
  <si>
    <t>5</t>
  </si>
  <si>
    <t>RAMIREZ SALINAS Luis Miguel</t>
  </si>
  <si>
    <t>15724918</t>
  </si>
  <si>
    <t>ESPECIALISTA EN GESTIÓN ESTRATEGICA</t>
  </si>
  <si>
    <t>RAMIREZ ENCISO Renzo Alonso</t>
  </si>
  <si>
    <t>44030437</t>
  </si>
  <si>
    <t>7</t>
  </si>
  <si>
    <t>RAMIREZ COCHACHIN Marco Antonio</t>
  </si>
  <si>
    <t>10644192</t>
  </si>
  <si>
    <t>TÉCNICO INFORMÁTICO</t>
  </si>
  <si>
    <t>TELEOPERADORA</t>
  </si>
  <si>
    <t>QUISPE NIETO Angie Xiomara</t>
  </si>
  <si>
    <t>46324123</t>
  </si>
  <si>
    <t>TELEOPERADORA TELEFÓNICO</t>
  </si>
  <si>
    <t>QUISPE CABEZUDO Elvira Rosa</t>
  </si>
  <si>
    <t>21463746</t>
  </si>
  <si>
    <t>ESPECIALISTA EN DERECHO ADMINISTRATIVO</t>
  </si>
  <si>
    <t>QUINTANILLA PINO Mario Luis</t>
  </si>
  <si>
    <t>07644944</t>
  </si>
  <si>
    <t>ESPECIALISTA LEGAL EN MATERIA DE SEGURIDAD Y DEFENSA NACIONAL</t>
  </si>
  <si>
    <t>QUINTANA MENESES John Arturo</t>
  </si>
  <si>
    <t>15737470</t>
  </si>
  <si>
    <t>PROFESIONAL EN AUDITORIA</t>
  </si>
  <si>
    <t>COMUNICACIÓN</t>
  </si>
  <si>
    <t>QUIHUE HUYHUA Ulises</t>
  </si>
  <si>
    <t>10329912</t>
  </si>
  <si>
    <t>DIRECTOR DE SISTEMA ADMINISTRATIVO SISTEMA I</t>
  </si>
  <si>
    <t>COMUNICADOR SOCIAL</t>
  </si>
  <si>
    <t>PRINCIPE CCOLQUUE Jose Luis</t>
  </si>
  <si>
    <t>10880685</t>
  </si>
  <si>
    <t>PRADO INOCENTE Alfredo David</t>
  </si>
  <si>
    <t>10881992</t>
  </si>
  <si>
    <t>ABOGADO ESPECIALISTA EN GESTIÓN PÚBLICA</t>
  </si>
  <si>
    <t>PRADA BALDERA Edgar Wilmer</t>
  </si>
  <si>
    <t>10609777</t>
  </si>
  <si>
    <t>PORTILLO CARRILLO Guillermo Augusto</t>
  </si>
  <si>
    <t>43792929</t>
  </si>
  <si>
    <t>ASESOR</t>
  </si>
  <si>
    <t>PONCE FILIOS Rojer Wilfredo</t>
  </si>
  <si>
    <t>09505371</t>
  </si>
  <si>
    <t>CHOFER - MECÁNICO AUTOMOTRIZ</t>
  </si>
  <si>
    <t>POMA TAVARA Jorge</t>
  </si>
  <si>
    <t>03685972</t>
  </si>
  <si>
    <t>ESPECIALISTA III EN PROGRAMACIÓN Y SEGUIMIENTO DE INVERSIONES</t>
  </si>
  <si>
    <t>ESPECIALISTA  EN PROGRAMACIÓN Y SEGUIMIENTO DE INVERSIONES</t>
  </si>
  <si>
    <t>POLO QUIROZ Alessandra Stefany</t>
  </si>
  <si>
    <t>46355552</t>
  </si>
  <si>
    <t>ANALISTA III - PROFESIONAL ADMINISTRATIVO</t>
  </si>
  <si>
    <t>PINEDA BECERRA Jorge Guillermo</t>
  </si>
  <si>
    <t>06788284</t>
  </si>
  <si>
    <t xml:space="preserve">PEREA PEÑA Leydi Paola </t>
  </si>
  <si>
    <t>44020303</t>
  </si>
  <si>
    <t xml:space="preserve">PEÑA DE SILVA Maria Luisa </t>
  </si>
  <si>
    <t>25690718</t>
  </si>
  <si>
    <t>TRADUCCIÓN</t>
  </si>
  <si>
    <t>PEÑA CASTRO Miguel Angel</t>
  </si>
  <si>
    <t>40638839</t>
  </si>
  <si>
    <t>ESPECIALISTA EN TRADUCCIÓN</t>
  </si>
  <si>
    <t>ARCHIVO</t>
  </si>
  <si>
    <t>PAUCAR CHUMPITAZ Pablo César Alexander</t>
  </si>
  <si>
    <t>09826261</t>
  </si>
  <si>
    <t>TÉCNICO II PARA COORDINADOR DE ARCHIVO</t>
  </si>
  <si>
    <t>MARKETING Y GESTIÓN COMERCIAL</t>
  </si>
  <si>
    <t>PAUCAR BOZA Percy Rene</t>
  </si>
  <si>
    <t>80632900</t>
  </si>
  <si>
    <t>(ESPECIALISTA) COMUNICADOR</t>
  </si>
  <si>
    <t>COMPUTACIÓN E INFORMÁTICA</t>
  </si>
  <si>
    <t>PARRA HUIZA Mónica Rocío</t>
  </si>
  <si>
    <t>41140051</t>
  </si>
  <si>
    <t>INGENIERÍA FORESTAL</t>
  </si>
  <si>
    <t>PARRA BARREDA Oscar Angel</t>
  </si>
  <si>
    <t>42047549</t>
  </si>
  <si>
    <t>DOCENTE TUTOR</t>
  </si>
  <si>
    <t>PARIONA AYLLON Norma Irene</t>
  </si>
  <si>
    <t>07451875</t>
  </si>
  <si>
    <t xml:space="preserve">PARDAVÉ LIVIA Percy </t>
  </si>
  <si>
    <t>43934691</t>
  </si>
  <si>
    <t>PANTIGOSO FLORES Katherine Nancy</t>
  </si>
  <si>
    <t>40223257</t>
  </si>
  <si>
    <t>PROFESIONAL ESPECIALISTA EN PRESUPUESTO III</t>
  </si>
  <si>
    <t>PROFESIONAL ESPECIALISTA EN PLANEAMIENTO</t>
  </si>
  <si>
    <t>PANIZO ARRIAGA Graciela Estela</t>
  </si>
  <si>
    <t>09645957</t>
  </si>
  <si>
    <t>PALOMINO SALDIVAR Fredy Augusto</t>
  </si>
  <si>
    <t>43538509</t>
  </si>
  <si>
    <t>DOCENTE AUXILIAR</t>
  </si>
  <si>
    <t>INDUSTRIAS ALIMENTARIAS Y NUTRICIÓN</t>
  </si>
  <si>
    <t xml:space="preserve">PALOMINO AYALA Nelva Yil </t>
  </si>
  <si>
    <t>42775063</t>
  </si>
  <si>
    <t xml:space="preserve">DOCENTE TUTOR EN LA CARRERA PROFESIONAL DE INDUSTRIAS ALIMENTARIAS </t>
  </si>
  <si>
    <t>PALACIOS SATURNO Jussylyny Alexandra</t>
  </si>
  <si>
    <t>44129335</t>
  </si>
  <si>
    <t>ABOGADO - ESPECIALISTA</t>
  </si>
  <si>
    <t xml:space="preserve">PADILLA PAJUELO Rosmery </t>
  </si>
  <si>
    <t>41553309</t>
  </si>
  <si>
    <t>PACHECO YAÑEZ Augusto Fernando</t>
  </si>
  <si>
    <t>43315331</t>
  </si>
  <si>
    <t>ESPECIALISTA EN PLANEAMIENTO ESTRATEGICO</t>
  </si>
  <si>
    <t xml:space="preserve">OROSCO BRICEÑO Alex Anibal </t>
  </si>
  <si>
    <t>48063432</t>
  </si>
  <si>
    <t>PROFESIONAL EN CONTROL GUBERNAMENTAL</t>
  </si>
  <si>
    <t xml:space="preserve">ORDUÑA PAREDES Arcenio </t>
  </si>
  <si>
    <t>23819450</t>
  </si>
  <si>
    <t>ECONOMISTA</t>
  </si>
  <si>
    <t xml:space="preserve">OLIVA SALAZAR Edison </t>
  </si>
  <si>
    <t>09706948</t>
  </si>
  <si>
    <t>INGENIERA DE SISTEMAS</t>
  </si>
  <si>
    <t>OLIVA GONZALEZ Paola Victoria</t>
  </si>
  <si>
    <t>43596498</t>
  </si>
  <si>
    <t>PROFESIONAL ADMINISTRADOR DE BASES DE DATOS</t>
  </si>
  <si>
    <t>OLANO CHUMBES Gladys Josefina</t>
  </si>
  <si>
    <t>07701288</t>
  </si>
  <si>
    <t>ESPECIALISTA EN CONTABILIDAD III</t>
  </si>
  <si>
    <t>OCHOA HERNANDEZ Luis Enrique</t>
  </si>
  <si>
    <t>09622423</t>
  </si>
  <si>
    <t>ESPECIALISTA I EN CONTROL DE ASISTENCIA</t>
  </si>
  <si>
    <t>TECNÓLOGO MÉDICO</t>
  </si>
  <si>
    <t>NEYRA LANDA Katia Clotilde</t>
  </si>
  <si>
    <t>09311244</t>
  </si>
  <si>
    <t>NAVARRO ZAMORA Nestor Manuel</t>
  </si>
  <si>
    <t>08155723</t>
  </si>
  <si>
    <t>RELACIONISTA PÚBLICO</t>
  </si>
  <si>
    <t>PSICOLOGÍA</t>
  </si>
  <si>
    <t>MORENO TREJO Ana Emperatriz</t>
  </si>
  <si>
    <t>09298395</t>
  </si>
  <si>
    <t>TÉCNICO ESPECIALISTA EN ASUNTOS INTERNACIONALES</t>
  </si>
  <si>
    <t xml:space="preserve">MORENO CHINCHAY Maria </t>
  </si>
  <si>
    <t>07701347</t>
  </si>
  <si>
    <t>ESPECIALISTA EN PROTOCOLO</t>
  </si>
  <si>
    <t>MORALES LOYOLA Julio José Arturo</t>
  </si>
  <si>
    <t>80639585</t>
  </si>
  <si>
    <t>COORDINADOR GENERAL  PARA LA DIRECCIÓN DE PERSONAL CIVIL</t>
  </si>
  <si>
    <t xml:space="preserve">MORALES BRAVO Mauricio </t>
  </si>
  <si>
    <t>06898358</t>
  </si>
  <si>
    <t>JEFE DE LA CARRERA DE MECÁNICA AUTOMOTRIZ</t>
  </si>
  <si>
    <t>ESTUDIANTE DE CONTABILIDAD</t>
  </si>
  <si>
    <t>MORALES AGUIRRE Jose Manuel</t>
  </si>
  <si>
    <t>47250014</t>
  </si>
  <si>
    <t>ASISTENTE CONTABLE</t>
  </si>
  <si>
    <t>MONTERO PURIZACA Shirly Veronica</t>
  </si>
  <si>
    <t>03691987</t>
  </si>
  <si>
    <t>ESPECIALISTA EN EDUCACIÓN</t>
  </si>
  <si>
    <t>MOLLESACA QUISPE German</t>
  </si>
  <si>
    <t>07382723</t>
  </si>
  <si>
    <t>DOCENTE TUTOR PARA LA CARRERA DE MECÁNICA AUTOMOTRIZ</t>
  </si>
  <si>
    <t>MICHELENA PADILLA Elsa Paola</t>
  </si>
  <si>
    <t>46042906</t>
  </si>
  <si>
    <t>MEZA LÓPEZ Marco Antonio</t>
  </si>
  <si>
    <t>32613111</t>
  </si>
  <si>
    <t>SECRETARIO PARA EL DESPACHO EPISCOPAL DEL OBISPADO CASTRENSE DEL PERÚ</t>
  </si>
  <si>
    <t>PROFESIONAL TÉCNICO EN ELECTRÓNICA</t>
  </si>
  <si>
    <t xml:space="preserve">MENESES PAUCAR Pavel </t>
  </si>
  <si>
    <t>42123821</t>
  </si>
  <si>
    <t>MENDEZ VILLEGAS Braulio Hernán</t>
  </si>
  <si>
    <t>08735624</t>
  </si>
  <si>
    <t>MENACHO CUYA William Ysmael</t>
  </si>
  <si>
    <t>40119283</t>
  </si>
  <si>
    <t>MEJIA CAMPOS Claudia Elizabeth</t>
  </si>
  <si>
    <t>45256637</t>
  </si>
  <si>
    <t>ABOGADO - ESPECIALISTA II</t>
  </si>
  <si>
    <t>ABOGADO - ESPECIALISTA III</t>
  </si>
  <si>
    <t>MEDRANO VILLEGAS Jaime Enrique</t>
  </si>
  <si>
    <t>08859720</t>
  </si>
  <si>
    <t>ESPECIALISTA EN PLANIFICACIÓN II</t>
  </si>
  <si>
    <t>MAYTA REATEGUI Diana Soledad</t>
  </si>
  <si>
    <t>03668290</t>
  </si>
  <si>
    <t>DOCENTE ESPECIALISTA</t>
  </si>
  <si>
    <t>MAYHUIRE VIVERO Vladimir Wilmer</t>
  </si>
  <si>
    <t>72094698</t>
  </si>
  <si>
    <t>PERIODISMO</t>
  </si>
  <si>
    <t>MASIAS GUILLEN Carmen Sofia</t>
  </si>
  <si>
    <t>07482111</t>
  </si>
  <si>
    <t>COMUNICADOR</t>
  </si>
  <si>
    <t>MARTINEZ RIVADENEIRA Sally</t>
  </si>
  <si>
    <t>06650015</t>
  </si>
  <si>
    <t>INGENIERIA EN INDUSTRIAS ALIMENTARIAS</t>
  </si>
  <si>
    <t>MARTINEZ COLONIO Migda Susy</t>
  </si>
  <si>
    <t>46050039</t>
  </si>
  <si>
    <t>TÉCNICO DE ADMINISTRATIVO</t>
  </si>
  <si>
    <t>MARQUINA PINTADO Miguel Ángel</t>
  </si>
  <si>
    <t>09913098</t>
  </si>
  <si>
    <t>MARQUEZ CARUSSO Cesar Apolinario</t>
  </si>
  <si>
    <t>07177845</t>
  </si>
  <si>
    <t>MANRIQUE SOLAR Edgard Abel</t>
  </si>
  <si>
    <t>43285618</t>
  </si>
  <si>
    <t>MALLQUI ESPEJO Ivan Ademir</t>
  </si>
  <si>
    <t>46355088</t>
  </si>
  <si>
    <t>MALLMA PEÑA Jorge Gustavo</t>
  </si>
  <si>
    <t>70070295</t>
  </si>
  <si>
    <t>ANALISTA III - PROFESIONAL EN MECÁNICA DE PRODUCCIÓN</t>
  </si>
  <si>
    <t>9</t>
  </si>
  <si>
    <t>MALDONADO TINCO Sandra Monica</t>
  </si>
  <si>
    <t>41947801</t>
  </si>
  <si>
    <t>MALDONADO SÁNCHEZ Edgard</t>
  </si>
  <si>
    <t>41350113</t>
  </si>
  <si>
    <t>LABORATORIO</t>
  </si>
  <si>
    <t>MALDONADO ESPINOZA Sebastian Mauro</t>
  </si>
  <si>
    <t>16132006</t>
  </si>
  <si>
    <t>TÉCNICO EN LABORATORIO CLÍNICO</t>
  </si>
  <si>
    <t>MALAGA EGO-AGUIRRE David Francisco</t>
  </si>
  <si>
    <t>06470823</t>
  </si>
  <si>
    <t xml:space="preserve">DIRECTOR GENERAL </t>
  </si>
  <si>
    <t>LUZURIAGA CORTAVARRIA Juan Guillermo</t>
  </si>
  <si>
    <t>09859700</t>
  </si>
  <si>
    <t>LUQUE LUQUE Edwin Elmer</t>
  </si>
  <si>
    <t>43284405</t>
  </si>
  <si>
    <t>ESPECIALISTA I EN DERECHO PROCESAL</t>
  </si>
  <si>
    <t>LUJÁN NEYRA Elsa María Gloria</t>
  </si>
  <si>
    <t>25484994</t>
  </si>
  <si>
    <t>PROFESIONAL EN PSICOLOGÍA</t>
  </si>
  <si>
    <t>LUCIANO POMA Liliana Cecilia</t>
  </si>
  <si>
    <t>09617741</t>
  </si>
  <si>
    <t>ESPECIALISTA EN RECURSOS HUMANOS</t>
  </si>
  <si>
    <t xml:space="preserve">LUCANO PRADO Bidvay </t>
  </si>
  <si>
    <t>42667743</t>
  </si>
  <si>
    <t>LOZANO AGÜERO Nayade Lina</t>
  </si>
  <si>
    <t>40628028</t>
  </si>
  <si>
    <t>ANALISTA DE PROYECTOS</t>
  </si>
  <si>
    <t>CIENCIAS DE LA ADMINISTRACION AEROESPACIAL</t>
  </si>
  <si>
    <t>LOZADA  MALDONADO Wolker Helmer</t>
  </si>
  <si>
    <t>43576027</t>
  </si>
  <si>
    <t>DIRECTOR DE SISTEMA ADMINISTRATIVO II</t>
  </si>
  <si>
    <t>LOZADA  LEDESMA Patricia Jesus</t>
  </si>
  <si>
    <t>25565694</t>
  </si>
  <si>
    <t>LÓPEZ MORALES Mariana Gabriela</t>
  </si>
  <si>
    <t>44513620</t>
  </si>
  <si>
    <t>COORDINADORA DE PLANEAMIENTO</t>
  </si>
  <si>
    <t>LÓPEZ FARRO José luis</t>
  </si>
  <si>
    <t>06039952</t>
  </si>
  <si>
    <t>ABOGADO ESPECIALISTA EN MATERIA PENAL Y PROCESAL PENAL</t>
  </si>
  <si>
    <t>LLONTOP SILVA Jenniffer Yohani</t>
  </si>
  <si>
    <t>45142402</t>
  </si>
  <si>
    <t>ANALISTA I EN DERECHO LABORAL</t>
  </si>
  <si>
    <t>LLONTOP SEBASTIANI Cesar Segundo</t>
  </si>
  <si>
    <t>42808630</t>
  </si>
  <si>
    <t>LIMAS VALVERDE Lidia Janet</t>
  </si>
  <si>
    <t>41034688</t>
  </si>
  <si>
    <t xml:space="preserve">ESPECIALISTA EN PRESUPUESTO </t>
  </si>
  <si>
    <t>LEÓN RABINES GIRONDA Humberto Fredy</t>
  </si>
  <si>
    <t>43464903</t>
  </si>
  <si>
    <t>LEIVA CHILCON Rosita Yovani</t>
  </si>
  <si>
    <t>45873921</t>
  </si>
  <si>
    <t>LEDESMA REBAZA Eloy Humberto</t>
  </si>
  <si>
    <t>42808856</t>
  </si>
  <si>
    <t>LAZO RAMOS Javier Ivan</t>
  </si>
  <si>
    <t>20033864</t>
  </si>
  <si>
    <t>LAURO LEON Marisol Milagros</t>
  </si>
  <si>
    <t>40586028</t>
  </si>
  <si>
    <t xml:space="preserve">LANDEO RUIZ Keen </t>
  </si>
  <si>
    <t>10150260</t>
  </si>
  <si>
    <t>PROFESIONAL TÉCNICO EN MECÁNICA AUTOMOTRIZ</t>
  </si>
  <si>
    <t>DOCENTE TUTOR EN LA CARRERA MECÁNICA AUTOMOTRIZ</t>
  </si>
  <si>
    <t>LANDA NEYRA Sonia Isabel</t>
  </si>
  <si>
    <t>09375441</t>
  </si>
  <si>
    <t>PROFESIONAL CON AMPLIO DOMINO EN INTERPRETACIÓN Y TRADUCCIÓN EN EL IDIOMA FRANCÉS, ESPECIALISTA EN RELACIONES INTERNACIONALES</t>
  </si>
  <si>
    <t>KLEPATZKY REYNA Marco Antonio</t>
  </si>
  <si>
    <t>43346410</t>
  </si>
  <si>
    <t>JULCA RAMÍREZ Jorge Ignacio</t>
  </si>
  <si>
    <t>09272120</t>
  </si>
  <si>
    <t>PROCURADOR PÚBLICO</t>
  </si>
  <si>
    <t xml:space="preserve"> DERECHO</t>
  </si>
  <si>
    <t>JOAQUIN SANCHEZ Juan Flavio</t>
  </si>
  <si>
    <t>07679121</t>
  </si>
  <si>
    <t>BACHILLER EN DERECHO</t>
  </si>
  <si>
    <t>JINES DE LA CRUZ Maruja Maria</t>
  </si>
  <si>
    <t>46807458</t>
  </si>
  <si>
    <t>IZQUIERDO GARCIA Roberto James</t>
  </si>
  <si>
    <t>10585615</t>
  </si>
  <si>
    <t>ESPECIALISTA EN PROGRAMACIÓN Y SEGUIMIENTO DE INVERSIONES</t>
  </si>
  <si>
    <t>INGA VENEGAS Frank Jonathan</t>
  </si>
  <si>
    <t>72937534</t>
  </si>
  <si>
    <t xml:space="preserve"> SEGURIDAD Y PROTECCIÓN DE INSTALACIONES</t>
  </si>
  <si>
    <t xml:space="preserve">IDME CHAMBI Tomas </t>
  </si>
  <si>
    <t>06829498</t>
  </si>
  <si>
    <t>PERSONAL DE SEGURIDAD</t>
  </si>
  <si>
    <t>PROFESIONAL TÉCNICO EN MECÁNICA DE AUTOMOTRIZ</t>
  </si>
  <si>
    <t>HURTADO ELGUERA Eduardo Jerson</t>
  </si>
  <si>
    <t>42268698</t>
  </si>
  <si>
    <t>GEOGRAFÍA</t>
  </si>
  <si>
    <t>HUERTA OBREGON Enrique Walabonzo</t>
  </si>
  <si>
    <t>46549629</t>
  </si>
  <si>
    <t>HUAYTA SALAZAR Jesús Antonio</t>
  </si>
  <si>
    <t>73524231</t>
  </si>
  <si>
    <t>APOYO ADMINISTRATIVO</t>
  </si>
  <si>
    <t>HUARACA RAMOS Olimpida Ediberta</t>
  </si>
  <si>
    <t>20982211</t>
  </si>
  <si>
    <t xml:space="preserve">PROFESIONAL PEDAGÓGICO PARA LA OFICINA DE PROGRAMACIÓN Y SUPERVISIÓN </t>
  </si>
  <si>
    <t>HUAPAYA LIZARRAGA Carla Alejandra</t>
  </si>
  <si>
    <t>40962768</t>
  </si>
  <si>
    <t>INGENIERÍA ELECTRONICA</t>
  </si>
  <si>
    <t>HUAMÁN HURTADO Carlos Enrique</t>
  </si>
  <si>
    <t>09518936</t>
  </si>
  <si>
    <t>TÉCNICO ESPECIALISTA</t>
  </si>
  <si>
    <t>HOYOS ALTAMIRANO Reida Aurora</t>
  </si>
  <si>
    <t>07598025</t>
  </si>
  <si>
    <t>HOBISPO VILLACAMPA Ana Valeria</t>
  </si>
  <si>
    <t>46832977</t>
  </si>
  <si>
    <t>ESPECIALISTA LEGAL EN ASUNTOS INTERNACIONALES</t>
  </si>
  <si>
    <t>EN CONTABILIDAD</t>
  </si>
  <si>
    <t>HINOJOSA VIGIL Cristhian Omar</t>
  </si>
  <si>
    <t>40481488</t>
  </si>
  <si>
    <t>HIDALGO CALLE Jorge Alberto</t>
  </si>
  <si>
    <t>43310433</t>
  </si>
  <si>
    <t>ESPECIALISTA I</t>
  </si>
  <si>
    <t>HERRERA MOSCOSO Alfredo Anibal</t>
  </si>
  <si>
    <t>09902445</t>
  </si>
  <si>
    <t>HERNANDO GONZÁLEZ José María</t>
  </si>
  <si>
    <t>48435393</t>
  </si>
  <si>
    <t>ASESOR I</t>
  </si>
  <si>
    <t>HERNÁNDEZ YERÉN Humberto Gustavo</t>
  </si>
  <si>
    <t>20585893</t>
  </si>
  <si>
    <t>ESPECIALISTA CONTABLE</t>
  </si>
  <si>
    <t>CIENCIAS DE LA COMUNICACIÓN</t>
  </si>
  <si>
    <t>HERNÁNDEZ TORO Jhaqueline Madame</t>
  </si>
  <si>
    <t>41910876</t>
  </si>
  <si>
    <t>GUZMÁN NAVARRO Demetrio Abraham</t>
  </si>
  <si>
    <t>06130433</t>
  </si>
  <si>
    <t>BACHILLER EN ADMINISTRACIÓN</t>
  </si>
  <si>
    <t>GUTIÉRREZ ÑIQUE Carmen Rosa</t>
  </si>
  <si>
    <t>80273672</t>
  </si>
  <si>
    <t>SECRETARIA III</t>
  </si>
  <si>
    <t>GUTIERREZ MIRANDA Gisella Cecilia</t>
  </si>
  <si>
    <t>09895453</t>
  </si>
  <si>
    <t>ESPECIALISTA EN PRESUPUESTO</t>
  </si>
  <si>
    <t>GUTIERREZ GUEVARA Carmen Aracelli</t>
  </si>
  <si>
    <t>07875790</t>
  </si>
  <si>
    <t>GUILLEN  CALDAS Pascal Einstein</t>
  </si>
  <si>
    <t>09903013</t>
  </si>
  <si>
    <t>GUERRERO REÁTEGUI Frenchy Ligia</t>
  </si>
  <si>
    <t>44768561</t>
  </si>
  <si>
    <t xml:space="preserve">GUERRA MONTENEGRO Guillermo </t>
  </si>
  <si>
    <t>10076864</t>
  </si>
  <si>
    <t>GUERRA MARQUEZ Gladys</t>
  </si>
  <si>
    <t>40808602</t>
  </si>
  <si>
    <t>GUERRA CASTILLO  Danniska Giulianna</t>
  </si>
  <si>
    <t>46439345</t>
  </si>
  <si>
    <t>ANALISTA III - ESPECIALISTA EN CONTRATACIONES</t>
  </si>
  <si>
    <t>GONZALES PACHECO Oliver Ignacio</t>
  </si>
  <si>
    <t>31664827</t>
  </si>
  <si>
    <t>GONZALES AYALA Miguel Angel</t>
  </si>
  <si>
    <t>42183463</t>
  </si>
  <si>
    <t>GOMEZ VALDIVIA Jose Enrique</t>
  </si>
  <si>
    <t>06202984</t>
  </si>
  <si>
    <t>PROFESIONAL PARA AUDITORÍA</t>
  </si>
  <si>
    <t>GOMEZ DEL PRADO Monica Patricia</t>
  </si>
  <si>
    <t>06643403</t>
  </si>
  <si>
    <t>GERUNDAS ASTO Juan Carlos</t>
  </si>
  <si>
    <t>44533714</t>
  </si>
  <si>
    <t>DOCENTE TUTOR PARA LA CARRERA DE MANTENIMIENTO DE MAQUINARIAS</t>
  </si>
  <si>
    <t>GERONIMO MAYOR Cesar Antonio</t>
  </si>
  <si>
    <t>07455414</t>
  </si>
  <si>
    <t>GARCIA WESTPHALEN Luis Enrique</t>
  </si>
  <si>
    <t>10264558</t>
  </si>
  <si>
    <t xml:space="preserve">COORDINADOR PARA LA UNIDAD DE COORDINACIÓN DE DEFENSA LEGAL </t>
  </si>
  <si>
    <t>GARCIA VELIZ Mario Jesús</t>
  </si>
  <si>
    <t>06048381</t>
  </si>
  <si>
    <t>PROFESIONAL EN SISTEMAS CONTABLES Y TESORERIA</t>
  </si>
  <si>
    <t>LICENCIADA EN PERIODISMO</t>
  </si>
  <si>
    <t>GARCIA GUTIERRES Karla Aracelli</t>
  </si>
  <si>
    <t>43781154</t>
  </si>
  <si>
    <t>COORDINADORA DE REDES SOCIALES</t>
  </si>
  <si>
    <t>GARCIA GUERRA Nancy Jennyfer</t>
  </si>
  <si>
    <t>41241045</t>
  </si>
  <si>
    <t>GARCÍA CÁCERES Miguel Angel</t>
  </si>
  <si>
    <t>06224616</t>
  </si>
  <si>
    <t>GAMBOA GUTIERREZ Roberth Vidal</t>
  </si>
  <si>
    <t>18113548</t>
  </si>
  <si>
    <t xml:space="preserve">TÉCNICO ESPECIALISTA EN EJECUCIÓN DE PAGOS SIAF </t>
  </si>
  <si>
    <t>GALLARDO OLIVET Oscar Wilfredo</t>
  </si>
  <si>
    <t>40817239</t>
  </si>
  <si>
    <t>INGENIERO DE COMPUTACIÓN Y SISTEMAS</t>
  </si>
  <si>
    <t>GAITÁN CARRANZA Eddi Daniel</t>
  </si>
  <si>
    <t>80522771</t>
  </si>
  <si>
    <t>FFAA</t>
  </si>
  <si>
    <t>FLORES TUESTA Victor Arnulfo</t>
  </si>
  <si>
    <t>09872011</t>
  </si>
  <si>
    <t>ASESOR TÉCNICO DOCENTE</t>
  </si>
  <si>
    <t>FLORES SANTOS Lauro Cecilio</t>
  </si>
  <si>
    <t>43866734</t>
  </si>
  <si>
    <t>DOCENTE ESPECIALISTA EN ADMISIÓN</t>
  </si>
  <si>
    <t>ENFERMERÍA</t>
  </si>
  <si>
    <t xml:space="preserve">FLORES POZO Antonia </t>
  </si>
  <si>
    <t>28284262</t>
  </si>
  <si>
    <t>FLORES LOPEZ Elva Grimalda</t>
  </si>
  <si>
    <t>10123040</t>
  </si>
  <si>
    <t>ESPECIALISTA EN EVALUACIÓN Y ESTADÍSTICA</t>
  </si>
  <si>
    <t>FLORES HUAMÁN Luisa Gisell</t>
  </si>
  <si>
    <t>21545351</t>
  </si>
  <si>
    <t>LICENCIADA EN CIENCIAS DE LA COMUNICACIÓN</t>
  </si>
  <si>
    <t>FLORES ALBINO Ethel Margarita</t>
  </si>
  <si>
    <t>09926379</t>
  </si>
  <si>
    <t>JEFA DE LA OFICINA GENERAL DE PRENSA PROTOCOLO Y RR.PP</t>
  </si>
  <si>
    <t>FERRER REYES Pedro Gabriel Ricardo</t>
  </si>
  <si>
    <t>43385820</t>
  </si>
  <si>
    <t>APOYO TÉCNICO INFORMÁTICO</t>
  </si>
  <si>
    <t>FERNÁNDEZ MONJA Blanca Ismelda</t>
  </si>
  <si>
    <t>16699558</t>
  </si>
  <si>
    <t xml:space="preserve">ESPECIALISTA EN PRESUPUESTO III </t>
  </si>
  <si>
    <t>FERNÁNDEZ LARREA Ysabel</t>
  </si>
  <si>
    <t>10220816</t>
  </si>
  <si>
    <t>FERNÁNDEZ GAVIOLA Juan Alberto</t>
  </si>
  <si>
    <t>07752191</t>
  </si>
  <si>
    <t>FELIX ALBERTO Emilio Marcelino</t>
  </si>
  <si>
    <t>08873989</t>
  </si>
  <si>
    <t xml:space="preserve">DOCENTE TUTOR PARA LA CARRERA DE ELECTRÓNICA INDUSTRIAL </t>
  </si>
  <si>
    <t>FEBRERO CABREJOS Eduardo Alfonso</t>
  </si>
  <si>
    <t>06771869</t>
  </si>
  <si>
    <t xml:space="preserve">FASANANDO CHUJANDAMA Mario </t>
  </si>
  <si>
    <t>06069005</t>
  </si>
  <si>
    <t>ABOGADO ESPECIALISTAS EN MATERIA CONSTITUCIONAL Y PROCESAL CONSTITUCIONAL</t>
  </si>
  <si>
    <t>FALLA ZAMORA Gloria Estefania</t>
  </si>
  <si>
    <t>72428570</t>
  </si>
  <si>
    <t>ANALISTA  I EN GESTIÓN DE RECURSOS HUMANOS</t>
  </si>
  <si>
    <t>ANALISTA EN RECURSOS HUMANOS</t>
  </si>
  <si>
    <t>ESQUIVEL PRIETO Elizabeth Jacqueline</t>
  </si>
  <si>
    <t>42836178</t>
  </si>
  <si>
    <t>BACHILER EN PERIODISMO</t>
  </si>
  <si>
    <t>ESPINOZA MIRANDA Yusseli Isvelia</t>
  </si>
  <si>
    <t>72385992</t>
  </si>
  <si>
    <t>PROFESIONAL EN COMUNICACIÓN DIGITAL</t>
  </si>
  <si>
    <t>ESPINOZA GARCIA Noelia Milagros</t>
  </si>
  <si>
    <t>40140307</t>
  </si>
  <si>
    <t xml:space="preserve">ESPECIALISTA 2 - PROFESIONAL EN CONTABILIDAD </t>
  </si>
  <si>
    <t>ESPILCO BARRERA Maribel Pilar</t>
  </si>
  <si>
    <t>10361958</t>
  </si>
  <si>
    <t>ESPECIALISTA EN PLANIFICACIÓN III</t>
  </si>
  <si>
    <t>ESLADO  CARDENAS Judith Eugenia</t>
  </si>
  <si>
    <t>21297960</t>
  </si>
  <si>
    <t>DURAND HUILLCA Raul Irving</t>
  </si>
  <si>
    <t>45201994</t>
  </si>
  <si>
    <t>DURAND ANDRADE Jose Federico</t>
  </si>
  <si>
    <t>10636396</t>
  </si>
  <si>
    <t>APOYO TÉCNICO EN ALMACÉN</t>
  </si>
  <si>
    <t>TÉCNICO EN ALMACÉN</t>
  </si>
  <si>
    <t xml:space="preserve">DÍAZ HERRERA Yrene </t>
  </si>
  <si>
    <t>10288620</t>
  </si>
  <si>
    <t>ESPECIALISTA EN GESTIÓN DE RECURSOS HUMANOS</t>
  </si>
  <si>
    <t>CIENCIAS ADMINISTRATIVAS</t>
  </si>
  <si>
    <t>DÍAZ ESPÍRITU Silvia Mercedes</t>
  </si>
  <si>
    <t>06866476</t>
  </si>
  <si>
    <t>ASISTENTE ADMINISTRATIVO - RESPONSABLE DE  CAJA CHICA</t>
  </si>
  <si>
    <t xml:space="preserve">DÍAZ DELGADO Rosario Del Carmen </t>
  </si>
  <si>
    <t>42460111</t>
  </si>
  <si>
    <t>ESPECIALISTA II EN GESTIÓN DE LA COMPENSACIÓN</t>
  </si>
  <si>
    <t>ESPECIALISTA I EN GESTIÓN DE LA COMPENSACIÓN</t>
  </si>
  <si>
    <t>DIAZ CHUNGA Ciro Alonso</t>
  </si>
  <si>
    <t>08114418</t>
  </si>
  <si>
    <t>PROFESIONAL DEL ÁREA ACADÉMICA DE MECÁNICA AUTOMOTRIZ</t>
  </si>
  <si>
    <t>DELGADO ARENAS Tomas Julian</t>
  </si>
  <si>
    <t>42881375</t>
  </si>
  <si>
    <t>MECÁNICA DE PRODUCCIÓN</t>
  </si>
  <si>
    <t>DEL CARPIO TAFUR Oscar Edgaro Jairo</t>
  </si>
  <si>
    <t>10797191</t>
  </si>
  <si>
    <t xml:space="preserve">DOCENTE TUTOR PARA LA CARRERA DE MECÁNICA DE PRODUCCIÓN </t>
  </si>
  <si>
    <t>DEL AGUILA SOTELO Cesar Gabriel</t>
  </si>
  <si>
    <t>42809689</t>
  </si>
  <si>
    <t>DE LA CRUZ ROJAS Jorge Willams</t>
  </si>
  <si>
    <t>07445287</t>
  </si>
  <si>
    <t>TÉCNICO EN INFORMÁTICA  ESPECIALISTA</t>
  </si>
  <si>
    <t>MATEMÁTICO</t>
  </si>
  <si>
    <t>DE LA CRUZ ARAMBURU Francisco</t>
  </si>
  <si>
    <t>25782824</t>
  </si>
  <si>
    <t>ESPECIALISTA III EN PLANEAMIENTO</t>
  </si>
  <si>
    <t>DE LA BORDA RAMIREZ Gloria Cristina</t>
  </si>
  <si>
    <t>09953259</t>
  </si>
  <si>
    <t>BACHILLER EN PSICOLOGÍA</t>
  </si>
  <si>
    <t>CUETO ZAPATA Jaime Luis</t>
  </si>
  <si>
    <t>08259950</t>
  </si>
  <si>
    <t>GESTIÓN PÚBLICA</t>
  </si>
  <si>
    <t>CUBAS REYES Ennio Gonzalo</t>
  </si>
  <si>
    <t>06937129</t>
  </si>
  <si>
    <t>ESPECIALISTA II EN PROCESOS Y SIMPLIFICACIÓN ADMINISTRATIVA</t>
  </si>
  <si>
    <t>CRISOSTOMO VALENCIA Roberto Jesús</t>
  </si>
  <si>
    <t>26695080</t>
  </si>
  <si>
    <t>CRIBILLERO CARRIÓN Mario Fernando</t>
  </si>
  <si>
    <t>70130669</t>
  </si>
  <si>
    <t>CORTEZ VASQUEZ Jessica Grissel</t>
  </si>
  <si>
    <t>40707630</t>
  </si>
  <si>
    <t xml:space="preserve">DOCENTE TUTOR PARA LA CARRERA DE ADMINISTRACIÓN HOTELERA </t>
  </si>
  <si>
    <t>CORIA DE LA CRUZ Francisco Sergio</t>
  </si>
  <si>
    <t>08998553</t>
  </si>
  <si>
    <t>CORDOVA MENDEZ Mirtha Cecilia</t>
  </si>
  <si>
    <t>09083894</t>
  </si>
  <si>
    <t>CONDORI MANDUJANO Roger Michel</t>
  </si>
  <si>
    <t>43430036</t>
  </si>
  <si>
    <t>TÉCNICO I ADMINISTRATIVO</t>
  </si>
  <si>
    <t xml:space="preserve">CONDORI ACHO Andrea Alejandra </t>
  </si>
  <si>
    <t>47516014</t>
  </si>
  <si>
    <t>ANALISTA LEGAL II</t>
  </si>
  <si>
    <t xml:space="preserve">COHAYLA ESCUDERO Emilio </t>
  </si>
  <si>
    <t>04430858</t>
  </si>
  <si>
    <t>CISNEROS SÁNCHEZ Vanessa Carola</t>
  </si>
  <si>
    <t>07883728</t>
  </si>
  <si>
    <t>INGENIERÍA EN COMPUTACIÓN E INFORMÁTICA</t>
  </si>
  <si>
    <t>CIEZA DELGADO Hilber Alexander</t>
  </si>
  <si>
    <t>40973729</t>
  </si>
  <si>
    <t>ESPECIALISTA EN PROGRAMACIÓN Y ANALISIS DE INFORMACIÓN DE INVERSIONES</t>
  </si>
  <si>
    <t>ABOGADA</t>
  </si>
  <si>
    <t>CHUMBE RODRIGUEZ Maria Cecilia</t>
  </si>
  <si>
    <t>40679291</t>
  </si>
  <si>
    <t>DIRECTORA DE SISTEMA ADMINISTRATIVO II</t>
  </si>
  <si>
    <t>CHULLO VILLAGARAY Williams Alfonso</t>
  </si>
  <si>
    <t>43605675</t>
  </si>
  <si>
    <t xml:space="preserve">DOCENTE TUTOR PARA LA CARRERA DE COMPUTACIÓN E INFORMÁTICA </t>
  </si>
  <si>
    <t>CHIRA CAVERO Rosa Johana</t>
  </si>
  <si>
    <t>43707539</t>
  </si>
  <si>
    <t>CHINCHAY VELASCO Kira Samantha</t>
  </si>
  <si>
    <t>42565919</t>
  </si>
  <si>
    <t>ARTE</t>
  </si>
  <si>
    <t>CHICO YACTAYO Eliana Marina</t>
  </si>
  <si>
    <t>42761425</t>
  </si>
  <si>
    <t>ANALISTA II EN GESTIÓN DE RECURSOS HUMANOS</t>
  </si>
  <si>
    <t>PROFESIONAL PARA ARCHIVO Y LEGAJOS</t>
  </si>
  <si>
    <t>CHAVEZ ORDINOLA Liliana Tomasa</t>
  </si>
  <si>
    <t>40888578</t>
  </si>
  <si>
    <t>PROFESIONAL PARA LA JEFATURA DE LA CARRERA DE MANTENIMIENTO E MAQUINARIA</t>
  </si>
  <si>
    <t>CHÁVEZ CASTILLO Daniel Enrique</t>
  </si>
  <si>
    <t>43896006</t>
  </si>
  <si>
    <t>COORDINADOR DE PRESUPUESTO</t>
  </si>
  <si>
    <t>CHAVEZ BEJAR María Alejandra Stephanie</t>
  </si>
  <si>
    <t>43903538</t>
  </si>
  <si>
    <t xml:space="preserve">CHÁVEZ ALARCÓN Jorge </t>
  </si>
  <si>
    <t>43081433</t>
  </si>
  <si>
    <t>INGENIERÍA DE MINAS</t>
  </si>
  <si>
    <t>CHARA TORVISCO Melchor Victor</t>
  </si>
  <si>
    <t>22096879</t>
  </si>
  <si>
    <t xml:space="preserve">DOCENTE TUTOR PARA LA CARRERA PROFESIONAL TÉCNICA DE EXPLOTACIÓN MINERA </t>
  </si>
  <si>
    <t xml:space="preserve">CHAMPI RURUSH Alcides </t>
  </si>
  <si>
    <t>40038030</t>
  </si>
  <si>
    <t>CERNA DE LUCIO Rosa Cecilia</t>
  </si>
  <si>
    <t>42779530</t>
  </si>
  <si>
    <t>ABOGADA ESPECIALISTA EN DERECHO CONSTITUCIONAL</t>
  </si>
  <si>
    <t>CCAPA CHUCTAYA Alfredo Noel</t>
  </si>
  <si>
    <t>42821312</t>
  </si>
  <si>
    <t>CCAMA ROJAS Jacinto Eleodoro</t>
  </si>
  <si>
    <t>01559544</t>
  </si>
  <si>
    <t>GUARDIANÍA</t>
  </si>
  <si>
    <t>CCALA QUISPE Julio Cesar</t>
  </si>
  <si>
    <t>42943101</t>
  </si>
  <si>
    <t>BIBLIOTECOLOGÍA</t>
  </si>
  <si>
    <t>CCAJAVILCA GAVILAN Urbana</t>
  </si>
  <si>
    <t>80269875</t>
  </si>
  <si>
    <t>TÉCNICO EN BIBLIOTECOLOGÍA</t>
  </si>
  <si>
    <t>CAVERO MARTÍNEZ Pamela Lourdes</t>
  </si>
  <si>
    <t>44541423</t>
  </si>
  <si>
    <t>PROFESIONAL ABOGADO EN LA DIRECCIÓN DE ABASTECIMIENTO</t>
  </si>
  <si>
    <t>CASTRO VILELA Kemberly Brenda</t>
  </si>
  <si>
    <t>46498834</t>
  </si>
  <si>
    <t xml:space="preserve">BACHILLER </t>
  </si>
  <si>
    <t>CASTILLO YARLEQUÉ Javier Francisco</t>
  </si>
  <si>
    <t>09949422</t>
  </si>
  <si>
    <t>PROFESIONAL INFORMÁTICO ESPECIALISTA</t>
  </si>
  <si>
    <t>CASTILLO MIRANDA Carlos Alfredo</t>
  </si>
  <si>
    <t>25826781</t>
  </si>
  <si>
    <t>PROFESIONAL ESPECIALISTA III EN DOCTRINA, PLANEAMIENTO EDUCATIVO Y PRESUPUESTO EDUCATIVO</t>
  </si>
  <si>
    <t xml:space="preserve">CASTILLA BENDAYAN Carlos Arturo </t>
  </si>
  <si>
    <t>40750892</t>
  </si>
  <si>
    <t>DIRECTOR DE INVESTIGACIÓN</t>
  </si>
  <si>
    <t>CASTAÑEDA HUERTO José Starsky</t>
  </si>
  <si>
    <t>41324908</t>
  </si>
  <si>
    <t>CASSANA ZUÑIGA Manuel Cristobal</t>
  </si>
  <si>
    <t>09485586</t>
  </si>
  <si>
    <t>TÉCNICO EN CONTABILIDAD</t>
  </si>
  <si>
    <t>CARRASCO SOLF Juan Jose</t>
  </si>
  <si>
    <t>41364994</t>
  </si>
  <si>
    <t>TECNICO II - ANALISTA EN GESTIÓN DEL EMPLEO</t>
  </si>
  <si>
    <t>ANALISTA EN GESTIÓN DEL EMPLEO</t>
  </si>
  <si>
    <t>CARRANZA JULÓN Jenny Abigail</t>
  </si>
  <si>
    <t>46984674</t>
  </si>
  <si>
    <t>ANALISTA EN CONTROL PATRIMONIAL</t>
  </si>
  <si>
    <t>CARPIO MONTALVAN Martin Omar</t>
  </si>
  <si>
    <t>43701261</t>
  </si>
  <si>
    <t>ASISTENTE LEGAL</t>
  </si>
  <si>
    <t>CARDOZA LLONTOP Wilson Gerardo</t>
  </si>
  <si>
    <t>17629183</t>
  </si>
  <si>
    <t>CARDÓ VELIT Jorge</t>
  </si>
  <si>
    <t>09387079</t>
  </si>
  <si>
    <t>DOCTOR</t>
  </si>
  <si>
    <t>GOBIERNO Y POLÍTICAS PÚBLICAS</t>
  </si>
  <si>
    <t>CARDICH PULGAR Jorge Luis</t>
  </si>
  <si>
    <t>03885820</t>
  </si>
  <si>
    <t>DIRECTOR ACADÉMICO</t>
  </si>
  <si>
    <t>CARDENAS SERNA Dennisse Stephanie</t>
  </si>
  <si>
    <t>41878695</t>
  </si>
  <si>
    <t>ABOGADO - ANALISTA III</t>
  </si>
  <si>
    <t>CARBAJAL VALDIVIA Adolfo Gustavo</t>
  </si>
  <si>
    <t>43332846</t>
  </si>
  <si>
    <t>CARBAJAL CARRILLO Jessica Giovanna</t>
  </si>
  <si>
    <t>09914250</t>
  </si>
  <si>
    <t>DIRECTORA DE SISTEMA ADMINISTRATIVO I</t>
  </si>
  <si>
    <t>CANTUARIAS BENDEZU Jorge Adolfo</t>
  </si>
  <si>
    <t>06109498</t>
  </si>
  <si>
    <t>ANALISTA ADMINISTRATIVO EN ALMACÉN</t>
  </si>
  <si>
    <t>CAMPOS ALVA Delia Mariela</t>
  </si>
  <si>
    <t>43599278</t>
  </si>
  <si>
    <t>HISTORIADOR</t>
  </si>
  <si>
    <t>CAMARGO SANTOS Juan Jesús</t>
  </si>
  <si>
    <t>41218195</t>
  </si>
  <si>
    <t>TÉCNICO I PARA ARCHIVO</t>
  </si>
  <si>
    <t>CAMACHO HERRERA Erika Elena</t>
  </si>
  <si>
    <t>15992735</t>
  </si>
  <si>
    <t xml:space="preserve">CALVO JARA Celestino </t>
  </si>
  <si>
    <t>23879371</t>
  </si>
  <si>
    <t>CALLA ALVITES Verónica Jackeline</t>
  </si>
  <si>
    <t>41861266</t>
  </si>
  <si>
    <t>CALDERON GARCIA Diana Milushka</t>
  </si>
  <si>
    <t>43189514</t>
  </si>
  <si>
    <t>PSICÓLOGO</t>
  </si>
  <si>
    <t xml:space="preserve">CALDERÓN GAMARRA Walter </t>
  </si>
  <si>
    <t>45462253</t>
  </si>
  <si>
    <t xml:space="preserve">ESPECIALISTA III </t>
  </si>
  <si>
    <t>ESPECIALISTA II EN GESTIÓN DE RECURSOS HUMANOS</t>
  </si>
  <si>
    <t>CALDERÓN COLÁN Mercedes Vanessa</t>
  </si>
  <si>
    <t>47911287</t>
  </si>
  <si>
    <t>ASISTENTE DE AUDITORÍA</t>
  </si>
  <si>
    <t>CALDAS GUERRA Giovanna Patricia</t>
  </si>
  <si>
    <t>10171278</t>
  </si>
  <si>
    <t>AUDITOR</t>
  </si>
  <si>
    <t>CAHUA RAMOS Victor Hugo</t>
  </si>
  <si>
    <t>10751889</t>
  </si>
  <si>
    <t>CACHAY VILCA BALTAZAR</t>
  </si>
  <si>
    <t>10681043</t>
  </si>
  <si>
    <t>ASESOR EN ASUNTOS ADMINISTRATIVOS</t>
  </si>
  <si>
    <t>CÁCERES VALENCIA Tania Ivy</t>
  </si>
  <si>
    <t>07972051</t>
  </si>
  <si>
    <t xml:space="preserve">CACERES POMARROSA DE IDME Georgina </t>
  </si>
  <si>
    <t>07968172</t>
  </si>
  <si>
    <t>PERSONAL DE SERVICIOS GENERALES</t>
  </si>
  <si>
    <t>CABREJOS CARMONA Milagros del Rosario</t>
  </si>
  <si>
    <t>07531807</t>
  </si>
  <si>
    <t>BUSTAMANTE ALBUJAR Jorge Roman</t>
  </si>
  <si>
    <t>43289837</t>
  </si>
  <si>
    <t>JEFE DE GABINETE DEL DESPACHO MINISTERIAL</t>
  </si>
  <si>
    <t>LICENCIADA</t>
  </si>
  <si>
    <t>BRINGAS RUIZ  Zenaida Rosario</t>
  </si>
  <si>
    <t>42537607</t>
  </si>
  <si>
    <t>TÉCNICO I - PROFESIONAL EN CONTROL GUBERNAMENTAL</t>
  </si>
  <si>
    <t>BONILLA FERREYRA Victor Rolando</t>
  </si>
  <si>
    <t>43396961</t>
  </si>
  <si>
    <t>ESPECIALISTA LOGÍSTICO</t>
  </si>
  <si>
    <t>BERNARDO RIVA AGÜERO  Marilu</t>
  </si>
  <si>
    <t>22475717</t>
  </si>
  <si>
    <t>BACHILLER EN CIENCIAS ECONÓMICAS</t>
  </si>
  <si>
    <t>BENITES OCAMPO Ronald Percy</t>
  </si>
  <si>
    <t>00252369</t>
  </si>
  <si>
    <t>TÉCNICO EN CONTROL PATRIMONIAL</t>
  </si>
  <si>
    <t>BENITES LAURENTE Luz María del Rosario</t>
  </si>
  <si>
    <t>70031469</t>
  </si>
  <si>
    <t xml:space="preserve">BAXTER ROJAS Sandra </t>
  </si>
  <si>
    <t>41235726</t>
  </si>
  <si>
    <t>BASURTO GUERRERO Delina Magali</t>
  </si>
  <si>
    <t>42148044</t>
  </si>
  <si>
    <t>BARTRA CHOCLOTT Eduardo</t>
  </si>
  <si>
    <t>42098145</t>
  </si>
  <si>
    <t>BARRUETO PAREDES Brenda Licet</t>
  </si>
  <si>
    <t>42385471</t>
  </si>
  <si>
    <t>ESPECIALISTA EN CIENCIAS ECONÓMICAS</t>
  </si>
  <si>
    <t>BARRENECHEA  VARGAS Gisella Betty</t>
  </si>
  <si>
    <t>09896807</t>
  </si>
  <si>
    <t>PROFESIONAL EN ADQUISICIONES DE BIENES Y SERVICIOS</t>
  </si>
  <si>
    <t>BARDALES ALVAREZ Juan Carlos</t>
  </si>
  <si>
    <t>41705568</t>
  </si>
  <si>
    <t xml:space="preserve">ESTUDIANTE </t>
  </si>
  <si>
    <t xml:space="preserve">BALABARCA FLORES Carmen </t>
  </si>
  <si>
    <t>42534307</t>
  </si>
  <si>
    <t>OPERADOR DE MESA DE AYUDA</t>
  </si>
  <si>
    <t>BACA GARCÍA Lizeth Claudia</t>
  </si>
  <si>
    <t>46191638</t>
  </si>
  <si>
    <t>AUTERO VILLAGARCIA Juan Luis</t>
  </si>
  <si>
    <t>09456683</t>
  </si>
  <si>
    <t>ARIZA VELASQUEZ Pedro Adrian</t>
  </si>
  <si>
    <t>09452598</t>
  </si>
  <si>
    <t>BIBLIOTECÓLOGO</t>
  </si>
  <si>
    <t>LICENCIADO EN HISTORIA</t>
  </si>
  <si>
    <t>ARANDA TORRES Patricio Raúl</t>
  </si>
  <si>
    <t>09337970</t>
  </si>
  <si>
    <t>COORDINADOR PARLAMENTARIO</t>
  </si>
  <si>
    <t>COMUNICACIÓN AUDIOVISUAL</t>
  </si>
  <si>
    <t>AOKI FLORES Christian Alberto</t>
  </si>
  <si>
    <t>06782171</t>
  </si>
  <si>
    <t>CAMARÓGRAFO</t>
  </si>
  <si>
    <t>ANTEZANA COLLINS Mack</t>
  </si>
  <si>
    <t>43362787</t>
  </si>
  <si>
    <t>PROFESIONAL EN CONTRATACIONES DEL ESTADO</t>
  </si>
  <si>
    <t>ANGULO CABANILLAS Ricardo Alcides</t>
  </si>
  <si>
    <t>43576019</t>
  </si>
  <si>
    <t>ANGLAS CASTAÑEDA Rosa Elvira</t>
  </si>
  <si>
    <t>09232328</t>
  </si>
  <si>
    <t>AUXILIAR - APOYO TÉCNICO</t>
  </si>
  <si>
    <t>ANDAMAYO VARGAS Magali Madeleni</t>
  </si>
  <si>
    <t>42712094</t>
  </si>
  <si>
    <t>LICENCIADA EN ENFERMERIA</t>
  </si>
  <si>
    <t>ANCA SARMIENTO Valeriano Teodoro</t>
  </si>
  <si>
    <t>09654246</t>
  </si>
  <si>
    <t>ESPECIALISTA III EN EDUCACIÓN BÁSICA, SUPERIOR Y CALIDAD EN GESTIÓN EDUCATIVA</t>
  </si>
  <si>
    <t>AMES VALVERDE Jaime Rolando</t>
  </si>
  <si>
    <t>10690802</t>
  </si>
  <si>
    <t>ESPECIALISTA EN ADMINISTRACIÓN Y SOPORTE INFORMÁTICO</t>
  </si>
  <si>
    <t xml:space="preserve">ALVAREZ GRIJALVA Edith </t>
  </si>
  <si>
    <t>40872879</t>
  </si>
  <si>
    <t>ALVAREZ AMARILLO LÓPEZ MOISÉS PABLO</t>
  </si>
  <si>
    <t>40831661</t>
  </si>
  <si>
    <t>ALVARADO LUI Marcel Bilgai</t>
  </si>
  <si>
    <t>15422956</t>
  </si>
  <si>
    <t>ALONZO LAURA Martin Eusebio</t>
  </si>
  <si>
    <t>09799082</t>
  </si>
  <si>
    <t>DOCENTE ESPECIALISTA EN PROGRAMACIÓN</t>
  </si>
  <si>
    <t>ALFARO NAZARET Cattia Jannet</t>
  </si>
  <si>
    <t>31682382</t>
  </si>
  <si>
    <t xml:space="preserve">ESPECIALISTA EN PRESUPUESTO  </t>
  </si>
  <si>
    <t>ALCANTARA ESPINOZA Victor Luis</t>
  </si>
  <si>
    <t>25688049</t>
  </si>
  <si>
    <t>TÉCNICO EN CONTRATACIONES</t>
  </si>
  <si>
    <t>ALARCÓN ROSADO Walter Benito</t>
  </si>
  <si>
    <t>43370853</t>
  </si>
  <si>
    <t>AGUIRRE LOPEZ Herlinda Melissa</t>
  </si>
  <si>
    <t>45517379</t>
  </si>
  <si>
    <t>ESPECIALISTA DE PROYECTOS</t>
  </si>
  <si>
    <t>AGUILAR PAJUELO Maruja Isabel</t>
  </si>
  <si>
    <t>08677774</t>
  </si>
  <si>
    <t>ABOGADA ESPECIALISTA EN DERECHO LABORAL</t>
  </si>
  <si>
    <t>AGUILAR DOLORIER Enrique Angel</t>
  </si>
  <si>
    <t>43297573</t>
  </si>
  <si>
    <t>AGUILAR BARREDA Victor Manuel</t>
  </si>
  <si>
    <t>07261206</t>
  </si>
  <si>
    <t>AGUILAR ALVARADO Carmela Natalia</t>
  </si>
  <si>
    <t>06763722</t>
  </si>
  <si>
    <t>ADRIANZEN CUELLAR Maria Lucila</t>
  </si>
  <si>
    <t>17800564</t>
  </si>
  <si>
    <t>TRABAJO SOCIAL</t>
  </si>
  <si>
    <t xml:space="preserve">ACUÑA DOMINGUEZ Patricia </t>
  </si>
  <si>
    <t>07859365</t>
  </si>
  <si>
    <t>ASISTENTA SOCIAL</t>
  </si>
  <si>
    <t>ABURTO PEÑA Juan Jim</t>
  </si>
  <si>
    <t>10725636</t>
  </si>
  <si>
    <t>ABUGATTAS OLIVARES Ricardo Salomón</t>
  </si>
  <si>
    <t>06781899</t>
  </si>
  <si>
    <t>BACHILLER EN DERECHO Y CIENCIA POLÍTICA</t>
  </si>
  <si>
    <t>ZEGARRA BELLINA IDALIA YORDANKA</t>
  </si>
  <si>
    <t>ASESORA DE LA JEFATURA DE GABINETE DEL DESPACHO MINISTERIAL</t>
  </si>
  <si>
    <t>FAG</t>
  </si>
  <si>
    <t xml:space="preserve">BACHILLER EN DERECHO </t>
  </si>
  <si>
    <t>VÁSQUEZ OSORIO GIOVANA FLOR</t>
  </si>
  <si>
    <t xml:space="preserve">ASESORA DE SECRETARÍA GENERAL </t>
  </si>
  <si>
    <t>LICENCIADO EN CIENCIAS DE LA ADMINISTRACIÓN AEROESPACIAL</t>
  </si>
  <si>
    <t>BACHILLER EN CIENCIAS DE LA ADMINISTRACIÓN AEROESPACIAL</t>
  </si>
  <si>
    <t xml:space="preserve"> SOLÍS IPARRAGUIRRE LUIS ALBERTO</t>
  </si>
  <si>
    <t>00370087</t>
  </si>
  <si>
    <t xml:space="preserve">DIRECTOR DE ENLACE ADMINISTRATIVO </t>
  </si>
  <si>
    <t>CONTADOR</t>
  </si>
  <si>
    <t xml:space="preserve"> - BACHILLER EN CONTABILIDAD
 - ,MAGISTER EN ADMINISTRACIÓN CON MENCIÓN EN GERENCIA EMPRESARIAL</t>
  </si>
  <si>
    <t>SALVADOR CHAUPIS JUAN ROBERTO</t>
  </si>
  <si>
    <t>08844842</t>
  </si>
  <si>
    <t xml:space="preserve">ABOGADO </t>
  </si>
  <si>
    <t>BACHILLER EN CIENCIA POLÍTICA</t>
  </si>
  <si>
    <t>RODRIGUEZ MACKAY MIGUEL ANGEL</t>
  </si>
  <si>
    <t>07853721</t>
  </si>
  <si>
    <t>CONSULTOR DE LA JEFATURA DE GABINETE DEL DESPACHO MINISTERIAL</t>
  </si>
  <si>
    <t>ASESOR DEL DESPACHO VICEMINISTERIAL DE RECURSOS PARA LA DEFENSA</t>
  </si>
  <si>
    <t>LICENCIADO EN CIENCIAS MILITARES CON MENCIÓN INGENIERÍA</t>
  </si>
  <si>
    <t>BACHILLER EN CIENCIAS MILITARES CON MENCIÓN EN INGENIERÍA</t>
  </si>
  <si>
    <t>RIOS SOUZA JOSÉ MANUEL</t>
  </si>
  <si>
    <t>CONSULTOR DE GABINETE DEL DESPACHO MINISTERIAL</t>
  </si>
  <si>
    <t>LICENCIADO EN CIENCIAS MILITARES</t>
  </si>
  <si>
    <t>BACHILLER EN CIENCIAS MILITARES</t>
  </si>
  <si>
    <t>QUEVEDO ULLOA ALEJANDRO MIGUEL</t>
  </si>
  <si>
    <t>CONSULTOR DE INSPECTORÍA GENERAL</t>
  </si>
  <si>
    <t>PIEDRA NUÑEZ LUZ MARÍA</t>
  </si>
  <si>
    <t>33591281</t>
  </si>
  <si>
    <t>CONSULTORA DEL GABINETE DEL DESPACHO MINISTERIAL</t>
  </si>
  <si>
    <t>-</t>
  </si>
  <si>
    <t>PALACIOS ROSSI CARLOS ENRIQUE</t>
  </si>
  <si>
    <t>03885530</t>
  </si>
  <si>
    <t xml:space="preserve">COORDINADOR EJECUTIVO DE LA UNDIAD FUNCIONAL DE INTEGRIDAD INSTITUCIONAL </t>
  </si>
  <si>
    <t>NAVARRO MERINO LUIS ENRIQUE</t>
  </si>
  <si>
    <t>PROCURADOR PÚBLICO ADJUNTO</t>
  </si>
  <si>
    <t>MAGÍSTER EN ADMINISTRACIÓN ESTRATÉGICA DE EMPRESAS</t>
  </si>
  <si>
    <t xml:space="preserve">ABOGADA </t>
  </si>
  <si>
    <t>MONTOYA FARACH FARYDEE</t>
  </si>
  <si>
    <t>CONSULTORA DE LA JEFATURA DE GABINETE DEL DESPACHO MINISTERIAL</t>
  </si>
  <si>
    <t>ASESORA DEL DESPACHO VICEMINISTERIAL DE RECURSOS PARA LA DEFENSA</t>
  </si>
  <si>
    <t xml:space="preserve"> -  LICENCIADO EN CIENCIAS MILITARES CON MENCIÓN EN INGENIERÍA 
 -  INGENIERO EN SISTEMAS E INFORMÁTICA</t>
  </si>
  <si>
    <t xml:space="preserve"> - BACHILLER EN CIENCIAS MILITARES CON MENCIÓN EN INGENIERÍA
 - BACHILLER EN INGENIERÍA DE SISTEMAS E INFORMÁTICA</t>
  </si>
  <si>
    <t xml:space="preserve"> -  CIENCIAS MILITARES
 -  INGENIERÍA DE SISTEMAS</t>
  </si>
  <si>
    <t>MONTERO LIMAS LUIS ALBERTO</t>
  </si>
  <si>
    <t>LIC. EN CIENCIAS MILITARES CON MENCIÓN EN INGENIERÍA</t>
  </si>
  <si>
    <t>LIC. EN CIENCIAS MILITARES</t>
  </si>
  <si>
    <t>IBAÑEZ VASQUEZ RUBEN</t>
  </si>
  <si>
    <t>31659915</t>
  </si>
  <si>
    <t>ASESOR DE LA DIRECCION GENERAL DE POLÍTICA Y ESTRATEGIA</t>
  </si>
  <si>
    <t xml:space="preserve"> - LICENCIADO EN CIENCIAS MILITARES 
 - ABOGADO</t>
  </si>
  <si>
    <t xml:space="preserve"> - BACHILLER EN DERECHO
- BACHILLER EN CIENCIAS MILITARES</t>
  </si>
  <si>
    <t xml:space="preserve"> - DERECHO
 - BACHILLER EN CIENCIAS MILITARES</t>
  </si>
  <si>
    <t>GUTIERREZ GAMBETTA LUIS MIGUEL</t>
  </si>
  <si>
    <t>ASESOR DE LA DIRECCIÓN GENERAL PREVISIONAL DE LAS FUERZAS ARMADAS</t>
  </si>
  <si>
    <t>LICENCIADO EN CIENCIAS MILITARES CON MENCIÓN EN INGENIERÍA</t>
  </si>
  <si>
    <t xml:space="preserve">BACHILLER EN CIENCIAS MILITARES  </t>
  </si>
  <si>
    <t>GUERRA BEDRIÑANA ALBINO FERNANDO</t>
  </si>
  <si>
    <t>LICENCIADO EN CIENCIAS MARÍTIMAS NAVALES</t>
  </si>
  <si>
    <t>BACHILLER EN CIENCIAS MARÍTIMO NAVALES</t>
  </si>
  <si>
    <t>CIENCIAS  MARÍTIMAS NAVALES</t>
  </si>
  <si>
    <t>FERNANDEZ DAVILA FERNANDEZ DAVILA OSCAR JORGE</t>
  </si>
  <si>
    <t>ASESOR II DEL DESPACHO VICEMINISTERIAL DE RECURSOS PARA LA DEFENSA</t>
  </si>
  <si>
    <t>LICENCIADA EN ADMINISTRACIÓN</t>
  </si>
  <si>
    <t>ENRIQUEZ MELENDEZ ANA CECILIA</t>
  </si>
  <si>
    <t>CONSULTORA DE LA DIRECCION DE BIENESTAR</t>
  </si>
  <si>
    <t>CUENTAS VASQUEZ HENRY ALBERTO</t>
  </si>
  <si>
    <t>08066279</t>
  </si>
  <si>
    <t>ASESOR DE LA JEFATURA DE GABINETE DEL DESPACHO MINISTERIAL</t>
  </si>
  <si>
    <t>BACHILLER EN DERECHO Y CIENCIAS POLI</t>
  </si>
  <si>
    <t>CARDÓ VELIT JORGE</t>
  </si>
  <si>
    <t>ASESOR DE SECRETARÍA GENERAL</t>
  </si>
  <si>
    <t>MAGÍSTER EN ADMINISTRACIÓN DE NEGOCIOS GLOBALES</t>
  </si>
  <si>
    <t>CAMACHO MIRANDA NINOSKA</t>
  </si>
  <si>
    <t>CONSULTORA UGESIDENA</t>
  </si>
  <si>
    <t>CONSULTORA DESPACHO MINISTERIAL</t>
  </si>
  <si>
    <t>ASESORA DE LA UNIDAD FUNCIONAL DE FORTALECIMIENTO Y GESTIÓN DEL SISTEMA DE DEFENSA NACIONAL DEPENDIENTE DEL VICEMINISTERIO DE POLÍTICAS PARA LA DEFENSA (UGESIDENA)</t>
  </si>
  <si>
    <t>BUSTAMANTE ALBÚJAR JORGE ROMAN</t>
  </si>
  <si>
    <t>BACHILLER EN INGENIERÍA INDUSTRIAL</t>
  </si>
  <si>
    <t>ALVARADO GONZALES JOSE LUIS</t>
  </si>
  <si>
    <t>10184374</t>
  </si>
  <si>
    <t>ASESOR DEL DESPACHO VICEMINISTERIAL DE POLÍTICAS PARA LA DEFENSA</t>
  </si>
  <si>
    <t xml:space="preserve"> - DOCTOR EN ADMINISTRACIÓN
 - DOCTOR EN DESARROLLO Y SEGURIDAD ESTRATÉGICA
 - MAESTRO EN CIENCIAS MILITARES, PLANEAMIENTO ESTRATÉGICO Y TOMA DE DECISIONES.
 - MAESTRO EN ADMINISTRACIÓN</t>
  </si>
  <si>
    <t>CIENCIAS MILITARES CON MENCION EN INGENIERÍA</t>
  </si>
  <si>
    <t>ASTUDILLO CHÁVEZ WALTER ENRIQUE</t>
  </si>
  <si>
    <t>43590210</t>
  </si>
  <si>
    <t>DIRECTOR GENERAL DE EDUCACIÓN Y DOCTRINA</t>
  </si>
  <si>
    <t xml:space="preserve">ALVAREZ AMARILLO LÓPEZ MOISES PABLO </t>
  </si>
  <si>
    <t>CONSULTOR DE SECRETARÍA GENERAL</t>
  </si>
  <si>
    <t>AÑO FISCAL 2020 (*)</t>
  </si>
  <si>
    <t>AÑO FISCAL 2019</t>
  </si>
  <si>
    <t xml:space="preserve">UNIDAD EJECUTORA: 001  MINISTERIO DE DEFENSA OGA </t>
  </si>
  <si>
    <t>PLIEGO: 026 MINISTERIO DE DEFENSA</t>
  </si>
  <si>
    <t>SECTOR o GOB. REGIONAL: 26 DEFENSA</t>
  </si>
  <si>
    <t>MENSUAL</t>
  </si>
  <si>
    <t>PROFECIONAL</t>
  </si>
  <si>
    <t>SUPERIOR</t>
  </si>
  <si>
    <t>GESTION PUBLICA</t>
  </si>
  <si>
    <t>SILVA MONTALVO WALTER</t>
  </si>
  <si>
    <t>SNP</t>
  </si>
  <si>
    <t>RO</t>
  </si>
  <si>
    <t>002 CCFFAA</t>
  </si>
  <si>
    <t>TECNICO</t>
  </si>
  <si>
    <t xml:space="preserve">YUPANQUI TAPIA ALONSO </t>
  </si>
  <si>
    <t>09728719</t>
  </si>
  <si>
    <t>TECNICO EN ADMINISTRACION</t>
  </si>
  <si>
    <t>CONTROL DE BIENES</t>
  </si>
  <si>
    <t>MENDOZA DIAZ JOSE SANTOS</t>
  </si>
  <si>
    <t>ASESOR ANALISTA</t>
  </si>
  <si>
    <t>HERNANDEZ CAMPOS JUAN EDUARDO</t>
  </si>
  <si>
    <t>ADMINISTRATIVO</t>
  </si>
  <si>
    <t>PERIODISTA</t>
  </si>
  <si>
    <t>GRANADOS  RAMOS KELLY</t>
  </si>
  <si>
    <t>MELLAN VASQUEZ FEDERICO</t>
  </si>
  <si>
    <t>QWISTGAARD SUAREZ JOSE</t>
  </si>
  <si>
    <t xml:space="preserve">ANDONAYRE HERNANDEZ JULIO </t>
  </si>
  <si>
    <t>SILVA CHAPARRO EVER EUSEBIO</t>
  </si>
  <si>
    <t>08841659</t>
  </si>
  <si>
    <t>TECNICO EN CONTRATACIONES</t>
  </si>
  <si>
    <t>SANTAMARIA CAMPOS MAURO</t>
  </si>
  <si>
    <t>TECNICA EN CONTRATACIONES</t>
  </si>
  <si>
    <t>CARPINTERO</t>
  </si>
  <si>
    <t>PECHO VILLALOBOS EVERTH</t>
  </si>
  <si>
    <t>TECNICO CHOFER</t>
  </si>
  <si>
    <t>PECHO VILLALOBOS CARLOS</t>
  </si>
  <si>
    <t>PECHO VILLALOBOS RICARDO</t>
  </si>
  <si>
    <t>ALMACENERO</t>
  </si>
  <si>
    <t>TECNICA EN ADMINISTRACION</t>
  </si>
  <si>
    <t>BARDALES LANGA GLUDI</t>
  </si>
  <si>
    <t>6 MESES</t>
  </si>
  <si>
    <t>ANALISTA EN INTEGRIDAD</t>
  </si>
  <si>
    <t>TISZA BALLENAS MIRTHA LUZ</t>
  </si>
  <si>
    <t>07605117</t>
  </si>
  <si>
    <t>INGENIERO</t>
  </si>
  <si>
    <t>ALEGRIA AYERVE ROBERTO</t>
  </si>
  <si>
    <t>ESPECIALISTA GESTION AMBIENTAL</t>
  </si>
  <si>
    <t xml:space="preserve">ALICIA GONZALEZ IBAÑEZ </t>
  </si>
  <si>
    <t>07881993</t>
  </si>
  <si>
    <t>CARRASCO LLAVILLA SERGIO PIERRE</t>
  </si>
  <si>
    <t>ANALISTA EN ACTIVIDADES DE AANN</t>
  </si>
  <si>
    <t>GOMEZ PEDRAZA JOSE</t>
  </si>
  <si>
    <t>ABOGADO AANN</t>
  </si>
  <si>
    <t>PANTALEON GOMEZ DIONICIO</t>
  </si>
  <si>
    <t>ALFREDO OLAYA COTERA</t>
  </si>
  <si>
    <t>06689724</t>
  </si>
  <si>
    <t xml:space="preserve">SANCHEZ INOCENCIO CRISTIAN </t>
  </si>
  <si>
    <t>AUXILIAR CONTABLE</t>
  </si>
  <si>
    <t>TCO ALMACEN</t>
  </si>
  <si>
    <t>CAPILLO FERNANDEZ FERNADO</t>
  </si>
  <si>
    <t>08068762</t>
  </si>
  <si>
    <t>CIERRE DE INVENTARIO</t>
  </si>
  <si>
    <t>TECNICO CONTABLE</t>
  </si>
  <si>
    <t>SANCHEZ HUAMAN RICARDO JESUS</t>
  </si>
  <si>
    <t>COMPRAS DE DONACIONES Y TRANFERENCIA</t>
  </si>
  <si>
    <t>TCO INFORMATICO</t>
  </si>
  <si>
    <t>ORDINOLA OSORIO JHERSON</t>
  </si>
  <si>
    <t>ATENCIONES Y COMPRAS COEN VRAE (032)</t>
  </si>
  <si>
    <t>ADMINISTRACION</t>
  </si>
  <si>
    <t>CONTRERAS CARAZAS DAYAN</t>
  </si>
  <si>
    <t>CHAVEZ ROMO JULIO</t>
  </si>
  <si>
    <t>PERSONAL DE LIMPIEZA</t>
  </si>
  <si>
    <t>NO TIENE</t>
  </si>
  <si>
    <t>LIMPIEZA</t>
  </si>
  <si>
    <t>ARIAS RUFINO EDYTA</t>
  </si>
  <si>
    <t>TELLO ARAUJO VICTORIA ALEJANDRA</t>
  </si>
  <si>
    <t>RIOS ABAD ERLA</t>
  </si>
  <si>
    <t>ORTEGA COTRINA LUIS</t>
  </si>
  <si>
    <t>MALDONADO GOMEZ JANET DUNI</t>
  </si>
  <si>
    <t>FLORES RIVERA ALCIRA</t>
  </si>
  <si>
    <t>FERNANDEZ MAMANI JAVIER</t>
  </si>
  <si>
    <t>DEL RISCO MACHICO JACKELINNE</t>
  </si>
  <si>
    <t>CARRION PUSARI GIOVANIA</t>
  </si>
  <si>
    <t>BARRIGA ARRAYA MILAGROS</t>
  </si>
  <si>
    <t>BACA RUBIO MARIA</t>
  </si>
  <si>
    <t>09611771</t>
  </si>
  <si>
    <t>ARIAS RUFINA EDITA</t>
  </si>
  <si>
    <t>VILLACORTA GONZALES CRISS ELIZABETH</t>
  </si>
  <si>
    <t>PROF EJEC PPT</t>
  </si>
  <si>
    <t>PANTALEÓN DIONICIO DENIS SATURNINO</t>
  </si>
  <si>
    <t>GOMEZ PEDRAZA JOSÉ DAVID</t>
  </si>
  <si>
    <t>ANALISTA</t>
  </si>
  <si>
    <t>MENDOZA DÍAZ JOSÉ SANTOS</t>
  </si>
  <si>
    <t>SANCHEZ HUAMAN RICARDO JESÚS</t>
  </si>
  <si>
    <t>ASIST LOG</t>
  </si>
  <si>
    <t>ORDINOLA OSORIO JHERSON ROBERTO</t>
  </si>
  <si>
    <t>ASIST ADMTVO I</t>
  </si>
  <si>
    <t>REYES GUTIERREZ STEFANNY CAROLINA</t>
  </si>
  <si>
    <t>AUX ADMTVO II</t>
  </si>
  <si>
    <t>SANCHEZ INOCENCIO CRISTIAN BRAULIO</t>
  </si>
  <si>
    <t>AUX ADMTVO I</t>
  </si>
  <si>
    <t>CHAVEZ ROMO JULIO JORGE</t>
  </si>
  <si>
    <t>OPERARIO</t>
  </si>
  <si>
    <t xml:space="preserve">MILITAR (R) </t>
  </si>
  <si>
    <t>MAGGINO LEIVA FELIX JESÚS</t>
  </si>
  <si>
    <t>CALDERÓN CHIRINOS MARÍA DEL CARMEN</t>
  </si>
  <si>
    <t>JEFE UNIDAD</t>
  </si>
  <si>
    <t>SANTAMARÍA CAMPOS MAURO GUILLERMO</t>
  </si>
  <si>
    <t>SALAS PACHECO LUIS EDUARDO</t>
  </si>
  <si>
    <t>ANDONAIRE HERNÁNDEZ JULIO CESAR</t>
  </si>
  <si>
    <t>EVARISTO ALVARADO EDSSON CLEMENTE</t>
  </si>
  <si>
    <t>HERNÁNDEZ CAMPOS JUAN EDUARDO</t>
  </si>
  <si>
    <t>SÁNCHEZ MERCADO OLENKA MILAGROS CAROLYN</t>
  </si>
  <si>
    <t>PECHO VILLALOBOS CARLOS FRANCISCO</t>
  </si>
  <si>
    <t>CHOFER 3</t>
  </si>
  <si>
    <t>ANGULO VÁSQUEZ JULIO CESAR</t>
  </si>
  <si>
    <t>CHOFER 2</t>
  </si>
  <si>
    <t>DÍAZ FLORENCIO RICARDO</t>
  </si>
  <si>
    <t>CHOFER 1</t>
  </si>
  <si>
    <t>GRANADOS RAMOS KELLY ARACELI</t>
  </si>
  <si>
    <t>AUX PERIODISMO</t>
  </si>
  <si>
    <t>YUPANQUI TAPIA ALONSO HERMÓGENES</t>
  </si>
  <si>
    <t>AUX ADMTVO</t>
  </si>
  <si>
    <t>ORBEZO CIUIRLIZZA YULIA DANITZA</t>
  </si>
  <si>
    <t>ASISTENTE</t>
  </si>
  <si>
    <t>ROSALES CARO ISAAC JHONNY</t>
  </si>
  <si>
    <t>LANCHO MARTÍNEZ CARLOS ONILO</t>
  </si>
  <si>
    <t>ASIST ADMTVO</t>
  </si>
  <si>
    <t>INGENIERO DE SISTEMAS</t>
  </si>
  <si>
    <t xml:space="preserve">INGENIERO DE SISTEMAS </t>
  </si>
  <si>
    <t>JIMÉNEZ JARA ÁNIKA LISSET</t>
  </si>
  <si>
    <t>MAYTA ZAMORA JOSÉ DANIEL</t>
  </si>
  <si>
    <t>HUIRSE TORRES JORGE LEONIDAS</t>
  </si>
  <si>
    <t>TECNICO ADMINISTRATIVO</t>
  </si>
  <si>
    <t>GUEVARA VILLALOBOS LOURDES MARIANELLA</t>
  </si>
  <si>
    <t>TCO CONTROL PATRIM</t>
  </si>
  <si>
    <t>BACHILLER EN CIENCIAS CONTABLES Y FINANCIERAS</t>
  </si>
  <si>
    <t>CONTADOR PUBLICO</t>
  </si>
  <si>
    <t>SILVA CRISÓSTOMO OLGA LUCILA</t>
  </si>
  <si>
    <t>BACHILLER EN CONTABILIDAD</t>
  </si>
  <si>
    <t>HERRERA JÁUREGUI RICARDO ALFREDO</t>
  </si>
  <si>
    <t>CONTADOR PÚBLICO</t>
  </si>
  <si>
    <t>MAGISTER EN GESTION PUBLICA</t>
  </si>
  <si>
    <t>FIGUEROA HERNÁNDEZ JOSÉ ANTONIO</t>
  </si>
  <si>
    <t>CHAVEZ YGUÍA JOSÉ LUIS</t>
  </si>
  <si>
    <t>CALDAS DÍAZ WILLIAM</t>
  </si>
  <si>
    <t>TÉCNICO TRIBUT</t>
  </si>
  <si>
    <t>MAESTRO EN CIENCIAS MILITARES</t>
  </si>
  <si>
    <t>ROJAS MERINO LUIS DOMINGO</t>
  </si>
  <si>
    <t>VALVERDE SEVILLANO JORGE EDWARD</t>
  </si>
  <si>
    <t>SALAZAR CÓRDOVA MAGALY NANCY</t>
  </si>
  <si>
    <t>SUPERVISOR</t>
  </si>
  <si>
    <t>CISNEROS LA ROSA FELIPE JORGE ABELARDO</t>
  </si>
  <si>
    <t>GALARRETA MORENO ROSA ELENA</t>
  </si>
  <si>
    <t>ASISTENTE ADMTVO</t>
  </si>
  <si>
    <t>GÓMEZ COLLAZOS RUTH ASTRID</t>
  </si>
  <si>
    <t>QUISPE CORNEJO NANCY PILAR</t>
  </si>
  <si>
    <t>ALBUJAR PAICO GUSTAVO</t>
  </si>
  <si>
    <t>PACHECO ANICAMA MARIELA CARLOTA</t>
  </si>
  <si>
    <t>MAITA CASACHAHUA MARIBEL LUISA</t>
  </si>
  <si>
    <t>MAGISTER EN GESTIÓN PÚBLICA</t>
  </si>
  <si>
    <t>AGUIRRE CHUMBES RUBÉN AUGUSTO</t>
  </si>
  <si>
    <t>JEFE DE COMISION</t>
  </si>
  <si>
    <t>ZAMALLOA MIRANDA FRANCISCO</t>
  </si>
  <si>
    <t>LICENCIADO EN CIENCIAS DE LA COMUNICACIÓN</t>
  </si>
  <si>
    <t>JORDÁN DELGADO OMAR ALBERTO</t>
  </si>
  <si>
    <t>MAESTRO EN ADMINISTRACIÓN</t>
  </si>
  <si>
    <t>LÓPEZ DEL AGUILA WINDER ARMANDO</t>
  </si>
  <si>
    <t>TECNICO EN ADMINISTRACIÓN</t>
  </si>
  <si>
    <t>SAAVEDRA CHUMBE MARCOS LEOPOLDO</t>
  </si>
  <si>
    <t>ASESOR GEST DOCUMENT</t>
  </si>
  <si>
    <t>LICENCIADO EN ECONOMÌA</t>
  </si>
  <si>
    <t>MAGISTER EN CIENCIA POLÍTICA</t>
  </si>
  <si>
    <t>ERNAÚ ROJAS JOSÉ RAMÓN</t>
  </si>
  <si>
    <t>PINTOR</t>
  </si>
  <si>
    <t>MORALES RETTO PAULO CESAR</t>
  </si>
  <si>
    <t>TECNICO ELECTRICISTA</t>
  </si>
  <si>
    <t>CARCASI MAMANI ROEL</t>
  </si>
  <si>
    <t>TÉCNICO ELECTRICISTA</t>
  </si>
  <si>
    <t>TÉCNICO EN DISEÑO GRAFICO</t>
  </si>
  <si>
    <t>REVOLLAR PAREDES RICARDO</t>
  </si>
  <si>
    <t>DIAGRAMADOR GRÁFICO</t>
  </si>
  <si>
    <t xml:space="preserve">LICENCIADO EN CIENCIAS MARITIMAS NAVALES </t>
  </si>
  <si>
    <t xml:space="preserve">MAGISTER EN ESTRATEGIA MARITIMA </t>
  </si>
  <si>
    <t>MARTINEZ ENRIQUEZ LUIS ROBERTO</t>
  </si>
  <si>
    <t>TÈNICO ADMINISTRATIVO</t>
  </si>
  <si>
    <t>JÁUREGUI TRIGOSO EIMAR IBONY</t>
  </si>
  <si>
    <t>TCO ADMTVO LOG Y CONT</t>
  </si>
  <si>
    <t>MORENO ANGELES JOSE TORIBIO</t>
  </si>
  <si>
    <t>ASES ADM PC</t>
  </si>
  <si>
    <t>BACHILLER EN INGENIERÌA CIVIL</t>
  </si>
  <si>
    <t>INGENIERO CIVIL</t>
  </si>
  <si>
    <t>URQUIZO SOLIS GARI ENRIQUE</t>
  </si>
  <si>
    <t>ASES OPNS MIL TERR</t>
  </si>
  <si>
    <t>INGENIERO DE SISTEMAS E INFORMÀTICA</t>
  </si>
  <si>
    <t>ALEGRÍA AYERVE ROBERTO ALEXANDER</t>
  </si>
  <si>
    <t>PAREJA PUENTE DE LA VEGA JOSE GABRIEL</t>
  </si>
  <si>
    <t>ASES PROD INTLG 2</t>
  </si>
  <si>
    <t>TORERO PINEDO PAULINA DE LA CRUZ</t>
  </si>
  <si>
    <t>ASIST LOGIST</t>
  </si>
  <si>
    <t>NOA TORRES CESAR ANTONIO</t>
  </si>
  <si>
    <t>ESP CONT Y ADQ Y SEG</t>
  </si>
  <si>
    <t>QUISPE ESCATE ARACELLI MARISOL</t>
  </si>
  <si>
    <t>ASIST CONTAB 2</t>
  </si>
  <si>
    <t>SARMIENTO PALOMINO YENNI ROSSI</t>
  </si>
  <si>
    <t>ANALIST-ASIST CONTAB</t>
  </si>
  <si>
    <t>ANGELES PEÑA DAMER ELADIO</t>
  </si>
  <si>
    <t>CONTADOR GENERAL</t>
  </si>
  <si>
    <t>LINARES Y FUENTES JUAN PABEL</t>
  </si>
  <si>
    <t>ASISTENTE DE GENERANCIA</t>
  </si>
  <si>
    <t>LOAYZA MARIÑO MIRIAM HELIANA</t>
  </si>
  <si>
    <t>ASISTENTE GERENCIA</t>
  </si>
  <si>
    <t>FALCÓN CAMACHO OSCAR JOSE</t>
  </si>
  <si>
    <t>UNIDAD EJECUTORA: 002  COMANDO CONJUNTO DE LAS FUERZAS ARMADAS</t>
  </si>
  <si>
    <t xml:space="preserve">TECNICO </t>
  </si>
  <si>
    <t>ZUÑIGA PACHECO, JACKELYNE KAREN</t>
  </si>
  <si>
    <t>40699524</t>
  </si>
  <si>
    <t>OPERADOR DE EQUIPO DE IMPRESIONES</t>
  </si>
  <si>
    <t>09 RDR</t>
  </si>
  <si>
    <t>003: EJERCITO PERUANO</t>
  </si>
  <si>
    <t>ZEA CHOTON ALEXIS ARTURO</t>
  </si>
  <si>
    <t>40040168</t>
  </si>
  <si>
    <t>ASISTENTE DE COSTOS Y PRESUPUESTOS</t>
  </si>
  <si>
    <t>003: EJÉRCITO PERUANO</t>
  </si>
  <si>
    <t>ZAVALETA BOLIVAR, HECTOR ENRIQUE</t>
  </si>
  <si>
    <t>10812558</t>
  </si>
  <si>
    <t>TECNICO EN TRADUCCION IDIOMAS</t>
  </si>
  <si>
    <t>ZAVALA RIVERA, EGDA.</t>
  </si>
  <si>
    <t>08475638</t>
  </si>
  <si>
    <t>00 RO</t>
  </si>
  <si>
    <t>ZAMBRANO ORTIZ, ELMER MARCIAL</t>
  </si>
  <si>
    <t>09820493</t>
  </si>
  <si>
    <t>ZAMBRANO CHARCA, EDWIN ALEXANDER</t>
  </si>
  <si>
    <t>42303038</t>
  </si>
  <si>
    <t>TECNICO EN COMPUTACION E INFORMATICA</t>
  </si>
  <si>
    <t>YARANGA ESPINO, MARCELINA</t>
  </si>
  <si>
    <t>09596227</t>
  </si>
  <si>
    <t>TECNICO EN ENFERMERIA</t>
  </si>
  <si>
    <t xml:space="preserve">AUXILIAR </t>
  </si>
  <si>
    <t>WALDE MENDES, CARMEN</t>
  </si>
  <si>
    <t>06846099</t>
  </si>
  <si>
    <t>AUXILIAR DE NUTRICION</t>
  </si>
  <si>
    <t>VILLOSLADA VELEZMORO, ROMMY ELIZABETH</t>
  </si>
  <si>
    <t>19208856</t>
  </si>
  <si>
    <t>ARCHIVERO</t>
  </si>
  <si>
    <t>VILLEGAS PEÑA VICTOR MILTON</t>
  </si>
  <si>
    <t>09998262</t>
  </si>
  <si>
    <t>TECNICO DENTAL</t>
  </si>
  <si>
    <t>VILLASANTE CHOQUEHUANCA, MICHEL</t>
  </si>
  <si>
    <t>40419942</t>
  </si>
  <si>
    <t>TECNICO EN COMPUTACION</t>
  </si>
  <si>
    <t>VILLAR MAYTA WALTER</t>
  </si>
  <si>
    <t>07928438</t>
  </si>
  <si>
    <t>ANALISTA DE PRESUPUESTO</t>
  </si>
  <si>
    <t>VILLACORTA MOSQUEDA JOSEFA</t>
  </si>
  <si>
    <t>09081268</t>
  </si>
  <si>
    <t>TECNICO EN LABORATORIO</t>
  </si>
  <si>
    <t>VIDAL REYES, JANET SILVA</t>
  </si>
  <si>
    <t>09746978</t>
  </si>
  <si>
    <t>AUXILIAR ADMINISTRATIVO</t>
  </si>
  <si>
    <t>VERTIZ BURGOS SANDRA LORENA</t>
  </si>
  <si>
    <t>08573691</t>
  </si>
  <si>
    <t>AUXILIAR DE CONTABILIDAD</t>
  </si>
  <si>
    <t>VERGIU ROJAS, MARIA ANGELICA</t>
  </si>
  <si>
    <t>00204018</t>
  </si>
  <si>
    <t>AUXILIAR DE LAVANDERIA</t>
  </si>
  <si>
    <t>VERA HUAMANI KATTY MELISSA</t>
  </si>
  <si>
    <t>45061861</t>
  </si>
  <si>
    <t>ANALISTA PROGRAMADOR JAVA</t>
  </si>
  <si>
    <t>VERA GUERRA, EDGAR</t>
  </si>
  <si>
    <t>41603831</t>
  </si>
  <si>
    <t>TRABAJADOR DE SERVICIOS</t>
  </si>
  <si>
    <t>VERA BENITES, VANIA LISBETH</t>
  </si>
  <si>
    <t>45215741</t>
  </si>
  <si>
    <t>OPERADOR PAD</t>
  </si>
  <si>
    <t>VEINTEMILLA QUINTEROS ALBERTO</t>
  </si>
  <si>
    <t>40360135</t>
  </si>
  <si>
    <t>VASQUEZ  VERA, RICHARD</t>
  </si>
  <si>
    <t>42234045</t>
  </si>
  <si>
    <t>DIGITADOR PAD</t>
  </si>
  <si>
    <t>VASQUEZ PEDRAZA, CIRILO</t>
  </si>
  <si>
    <t>07046458</t>
  </si>
  <si>
    <t>GASFITERO</t>
  </si>
  <si>
    <t>VASQUEZ GUERRERO, LEONARDO</t>
  </si>
  <si>
    <t>06952575</t>
  </si>
  <si>
    <t>AUXILIAR DE LABORATORIO</t>
  </si>
  <si>
    <t>VASQUEZ GONZALES FAVIANA YSABEL</t>
  </si>
  <si>
    <t>73539410</t>
  </si>
  <si>
    <t>VALDEZ RAMOS MARIA HISAVEL</t>
  </si>
  <si>
    <t>44950848</t>
  </si>
  <si>
    <t>OFICINISTA</t>
  </si>
  <si>
    <t>VALDERRAMA CRUZ, JULIA</t>
  </si>
  <si>
    <t>40009986</t>
  </si>
  <si>
    <t>CAJERO</t>
  </si>
  <si>
    <t>URBINA MONTEZA, HELMER ANTONIO</t>
  </si>
  <si>
    <t>43305891</t>
  </si>
  <si>
    <t>ANALISTA DE SISTEMAS</t>
  </si>
  <si>
    <t>UGAZ LOPEZ, LAURA YAGNINET</t>
  </si>
  <si>
    <t>18172463</t>
  </si>
  <si>
    <t>TUYA GOMEZ DIANA OLINDA</t>
  </si>
  <si>
    <t>40802054</t>
  </si>
  <si>
    <t>AUXILIAR DE ENFERMERIA</t>
  </si>
  <si>
    <t>TORRES UCHULLA, JENNY BERTHA</t>
  </si>
  <si>
    <t>09066489</t>
  </si>
  <si>
    <t>TORRES SHUÑA JULIETA</t>
  </si>
  <si>
    <t>05416872</t>
  </si>
  <si>
    <t>TORRES DEL MAR, ROLANDO</t>
  </si>
  <si>
    <t>10714635</t>
  </si>
  <si>
    <t xml:space="preserve">TORRES BARRIOS, GIULIANA NADILIZ </t>
  </si>
  <si>
    <t>40184252</t>
  </si>
  <si>
    <t>ANALISTA DE PLANEAMIENTO</t>
  </si>
  <si>
    <t>TICLLAS PEREZ JUANA RAQUEL</t>
  </si>
  <si>
    <t>06212133</t>
  </si>
  <si>
    <t>TEJADA VERANO, ISIDRO</t>
  </si>
  <si>
    <t>06128786</t>
  </si>
  <si>
    <t>ASESOR LEGAL</t>
  </si>
  <si>
    <t>TAKAHASHI SANCHEZ MILAGROS CONCEPCION</t>
  </si>
  <si>
    <t>15359153</t>
  </si>
  <si>
    <t>AUXILIAR DENTAL</t>
  </si>
  <si>
    <t>TAFUR ZORRILLA, MARLENE YESICA</t>
  </si>
  <si>
    <t>09909557</t>
  </si>
  <si>
    <t>TECNICO EN FARMACIA</t>
  </si>
  <si>
    <t>TACCORA TURPO, REYNALDO</t>
  </si>
  <si>
    <t>41155106</t>
  </si>
  <si>
    <t>SUAREZ DEYRA JORGE ANDRES</t>
  </si>
  <si>
    <t>03642258</t>
  </si>
  <si>
    <t>ARTESANO</t>
  </si>
  <si>
    <t>SOTELO GUTIERREZ, TONY RICARDO</t>
  </si>
  <si>
    <t>41108751</t>
  </si>
  <si>
    <t>JARDINERO</t>
  </si>
  <si>
    <t>SILVA NIZAMA MARIA ESTHER</t>
  </si>
  <si>
    <t>02878908</t>
  </si>
  <si>
    <t>SANCHEZ ENCINAS DEYSI</t>
  </si>
  <si>
    <t>05365975</t>
  </si>
  <si>
    <t>SANCHEZ  DIESTRA DE ESPINOZA, ROXANA MICAELA</t>
  </si>
  <si>
    <t>09833601</t>
  </si>
  <si>
    <t>ANALISTA CONTABLE</t>
  </si>
  <si>
    <t>SALAZAR VALENZUELA CARLOS ENRIQUE</t>
  </si>
  <si>
    <t>44330586</t>
  </si>
  <si>
    <t>SALAZAR RIOS, MIGUEL ANGEL</t>
  </si>
  <si>
    <t>44038432</t>
  </si>
  <si>
    <t>VIGILANTE</t>
  </si>
  <si>
    <t>SALAZAR COLONIA, ANGEL RAUL</t>
  </si>
  <si>
    <t>42533678</t>
  </si>
  <si>
    <t>PANADERO</t>
  </si>
  <si>
    <t>SAAVEDRA RICSE NOE ISRAEL</t>
  </si>
  <si>
    <t>10792219</t>
  </si>
  <si>
    <t>ALBAÑIL</t>
  </si>
  <si>
    <t>SAAVEDRA ALVARADO DE NEYRA, MARCIA YANINA</t>
  </si>
  <si>
    <t>25731349</t>
  </si>
  <si>
    <t>RUIZ GARCIA, GLADYS MILAGROS</t>
  </si>
  <si>
    <t>07565874</t>
  </si>
  <si>
    <t>ROSALES CONTRERAS, INES ROSARIO</t>
  </si>
  <si>
    <t>41765159</t>
  </si>
  <si>
    <t>ROJAS HUACCHA, MARIZA NERY</t>
  </si>
  <si>
    <t>10331841</t>
  </si>
  <si>
    <t>ROJAS FLORES, HILDA</t>
  </si>
  <si>
    <t>10227700</t>
  </si>
  <si>
    <t>ROJAS CHUQUIZUTA, GRIMALDO</t>
  </si>
  <si>
    <t>45483789</t>
  </si>
  <si>
    <t>RODRIGUEZ RIOJA DE RUMRILL, SHANOON</t>
  </si>
  <si>
    <t>40005489</t>
  </si>
  <si>
    <t>RIVERA HIDALGO PAMELA</t>
  </si>
  <si>
    <t>43055213</t>
  </si>
  <si>
    <t>RIOS RAMOS, HUGO VICTOR</t>
  </si>
  <si>
    <t>40179314</t>
  </si>
  <si>
    <t>REYES TORRES, LUIS ENRIQUE</t>
  </si>
  <si>
    <t>10530260</t>
  </si>
  <si>
    <t>OPERADOR DE MESA DE PARTES</t>
  </si>
  <si>
    <t>REYES OCHOA, YVETTE XENIA CECILIA</t>
  </si>
  <si>
    <t>40075888</t>
  </si>
  <si>
    <t>REMIGIO SAENZ, ROMULO</t>
  </si>
  <si>
    <t>08943128</t>
  </si>
  <si>
    <t>REBAZA GARCIA NORMA PATRICIA</t>
  </si>
  <si>
    <t>09325972</t>
  </si>
  <si>
    <t>REATEGUI SALCEDO ROMILTON</t>
  </si>
  <si>
    <t>05269062</t>
  </si>
  <si>
    <t>REATEGUI CHAVEZ KATHERINE MARGARET</t>
  </si>
  <si>
    <t>05349576</t>
  </si>
  <si>
    <t>RAMOS VARGAS, CESAR AUGUSTO</t>
  </si>
  <si>
    <t>00372505</t>
  </si>
  <si>
    <t>AUXILIAR DE LIMPIEZA</t>
  </si>
  <si>
    <t>RAMOS MENDOZA MAGALY GABY</t>
  </si>
  <si>
    <t>10456971</t>
  </si>
  <si>
    <t>RAMIREZ VEGA DE GARAY, ASUNCION VERONICA</t>
  </si>
  <si>
    <t>07397326</t>
  </si>
  <si>
    <t xml:space="preserve">RAMIREZ NUÑEZ MAYCI RUTH </t>
  </si>
  <si>
    <t>42717365</t>
  </si>
  <si>
    <t>RAMIREZ LURITA, LUZMILA  DORA</t>
  </si>
  <si>
    <t>07011553</t>
  </si>
  <si>
    <t>RAMIREZ CELI JULIO CESAR</t>
  </si>
  <si>
    <t>40569791</t>
  </si>
  <si>
    <t>Profesional Administrativo</t>
  </si>
  <si>
    <t>QUISPE TAFUR, ANA MARIA</t>
  </si>
  <si>
    <t>40865318</t>
  </si>
  <si>
    <t>QUIROZ ESTRADA,  RAUL LUIS</t>
  </si>
  <si>
    <t>09045700</t>
  </si>
  <si>
    <t>OPERADOR DE CALDEROS</t>
  </si>
  <si>
    <t>QUINTANA CARBAJAL, HULGER JARLER</t>
  </si>
  <si>
    <t>47213912</t>
  </si>
  <si>
    <t>OPERARIO DE LIMPIEZA</t>
  </si>
  <si>
    <t>PUMALLANQUI HUAMANI, ARISTIDES</t>
  </si>
  <si>
    <t>20574240</t>
  </si>
  <si>
    <t>PRINCIPE PACHECO, EDUARDO ALFREDO</t>
  </si>
  <si>
    <t>44448644</t>
  </si>
  <si>
    <t>PRADO FERNANDEZ, CARLOS ENRIQUE</t>
  </si>
  <si>
    <t>07484587</t>
  </si>
  <si>
    <t>PONCE RODRIGUEZ ROSA MARIA</t>
  </si>
  <si>
    <t>09585445</t>
  </si>
  <si>
    <t>PONCE GUTIERREZ, LYSZET SAYDA</t>
  </si>
  <si>
    <t>09628001</t>
  </si>
  <si>
    <t>PIO OCHOA, ELIZABETH</t>
  </si>
  <si>
    <t>06668134</t>
  </si>
  <si>
    <t>TECNICO EN ARCHIVO</t>
  </si>
  <si>
    <t>PINTO CHAVARRIA, YOLANDA EMPERATRIZ</t>
  </si>
  <si>
    <t>09349715</t>
  </si>
  <si>
    <t>PINEDO PINEDO, VICTOR DAVID ANTONY</t>
  </si>
  <si>
    <t>45837191</t>
  </si>
  <si>
    <t>PEREZ SERPA, JENNY ANGELICA</t>
  </si>
  <si>
    <t>09611886</t>
  </si>
  <si>
    <t>PEREZ AGUILAR, JUAN JAVIER</t>
  </si>
  <si>
    <t>32829633</t>
  </si>
  <si>
    <t>PEREA MIJAHUANCA, GLEDDY FRANCESCA</t>
  </si>
  <si>
    <t>44855618</t>
  </si>
  <si>
    <t>PAZ VALDIVIA, MARIA ANGELICA</t>
  </si>
  <si>
    <t>08362395</t>
  </si>
  <si>
    <t>PARREÑO MARCAS, LUCY SAYURI</t>
  </si>
  <si>
    <t>10584597</t>
  </si>
  <si>
    <t>PALOMINO CASTILLO, GISELLA JAQUELINE</t>
  </si>
  <si>
    <t>41514243</t>
  </si>
  <si>
    <t>PALACIOS URIBE LUCIA EVELIA</t>
  </si>
  <si>
    <t>21432211</t>
  </si>
  <si>
    <t>ESPECIALISTA EN ABASTECIMIENTO</t>
  </si>
  <si>
    <t>PADILLA PEREZ, CESAR EDUARDO</t>
  </si>
  <si>
    <t>08511550</t>
  </si>
  <si>
    <t>PACHARI REYNA, ADOLFO GARI</t>
  </si>
  <si>
    <t>08793720</t>
  </si>
  <si>
    <t>TRABAJADOR DE MANTENIMIENTO</t>
  </si>
  <si>
    <t>OSORIO URIBE, JESSICA PILAR</t>
  </si>
  <si>
    <t>42858794</t>
  </si>
  <si>
    <t>OROSCO MEDINA, BETTY BEATRIZ</t>
  </si>
  <si>
    <t>03639954</t>
  </si>
  <si>
    <t>ORELLANA DELGADO MARIA TAKIA</t>
  </si>
  <si>
    <t>29415468</t>
  </si>
  <si>
    <t>ORBEGOSO FLORES KARINA ELIZABETH</t>
  </si>
  <si>
    <t>42657054</t>
  </si>
  <si>
    <t>NUTRICIONISTA</t>
  </si>
  <si>
    <t>ORBEGOSO ANDRADE, YVANNA PAULETTE</t>
  </si>
  <si>
    <t>09938536</t>
  </si>
  <si>
    <t>OLORTEGUI PEÑA DENNIS JAMES</t>
  </si>
  <si>
    <t>40417048</t>
  </si>
  <si>
    <t>AUXILIAR DE COMPUTACION E INFORMATICA</t>
  </si>
  <si>
    <t>OLIVENCIA UCEDA, MIRIAN ELIZABETH</t>
  </si>
  <si>
    <t>07727029</t>
  </si>
  <si>
    <t>NUÑEZ RENGIFO CLAUDIA MILUSKA</t>
  </si>
  <si>
    <t>46446484</t>
  </si>
  <si>
    <t xml:space="preserve">TÉCNICO </t>
  </si>
  <si>
    <t>NOLASCO SANCHEZ OLGA ESTHER</t>
  </si>
  <si>
    <t>10817691</t>
  </si>
  <si>
    <t>MADRE SUSTITUTA</t>
  </si>
  <si>
    <t>NINATAYPE CACLLA, LUIS CIRIACO</t>
  </si>
  <si>
    <t>40044329</t>
  </si>
  <si>
    <t>NINAHUAMAN HURTADO, DAVID OLIVER</t>
  </si>
  <si>
    <t>45048483</t>
  </si>
  <si>
    <t>ANALISTA PROGRAMADOR I</t>
  </si>
  <si>
    <t>NIETO BONIFACIO, RAFAEL ROGELIO</t>
  </si>
  <si>
    <t>09736474</t>
  </si>
  <si>
    <t>NEGRON ANGULO DE ASMAT, LOURDES</t>
  </si>
  <si>
    <t>09998133</t>
  </si>
  <si>
    <t>AUXILIAR DE SERVICIOS</t>
  </si>
  <si>
    <t>NAVARRO CHAVEZ EXCEL JOB</t>
  </si>
  <si>
    <t>70315370</t>
  </si>
  <si>
    <t>TECNICO EN SISTEMAS OPERATIVOS PAD I</t>
  </si>
  <si>
    <t>MURRUGARRA VILLANUEVA , JUANA ROSA</t>
  </si>
  <si>
    <t>06853246</t>
  </si>
  <si>
    <t>MOYA HERAS ADRIAN HUMBERTO</t>
  </si>
  <si>
    <t>44201518</t>
  </si>
  <si>
    <t>TRABAJADOR DE SERVICIOS I</t>
  </si>
  <si>
    <t>MOSCOSO JAIME DE PAZ, SILVIA</t>
  </si>
  <si>
    <t>40773509</t>
  </si>
  <si>
    <t>MORALES CUYO, GENNY VIKI</t>
  </si>
  <si>
    <t>09535746</t>
  </si>
  <si>
    <t>MORALES CUARESMA, JUAN CARLOS</t>
  </si>
  <si>
    <t>44577667</t>
  </si>
  <si>
    <t>MORALES CHANCAN, ALBERTO</t>
  </si>
  <si>
    <t>08712000</t>
  </si>
  <si>
    <t>AUXILIAR DE ALBAÑIL</t>
  </si>
  <si>
    <t>MORA BERMUDEZ, MARTIN ALBERTO</t>
  </si>
  <si>
    <t>09679757</t>
  </si>
  <si>
    <t>MONTERO  MADRID, CHARITO ARACELI</t>
  </si>
  <si>
    <t>02867763</t>
  </si>
  <si>
    <t>MONSALVE PUENTE, MONICA</t>
  </si>
  <si>
    <t>17539789</t>
  </si>
  <si>
    <t>MIRANDA GRADOS VICTORIA FELICIA</t>
  </si>
  <si>
    <t>46115932</t>
  </si>
  <si>
    <t>MIMBELA LARREA CARLOS MARTIN</t>
  </si>
  <si>
    <t>16679650</t>
  </si>
  <si>
    <t>MIANO HUATALCHO MILUSKA ALEXIA</t>
  </si>
  <si>
    <t>43421687</t>
  </si>
  <si>
    <t>SECRETARIA/O</t>
  </si>
  <si>
    <t>MEZA OTAZO, NANCY ELENA</t>
  </si>
  <si>
    <t>09353099</t>
  </si>
  <si>
    <t>MENDOZA BELLO, JACQUELINE LORENA</t>
  </si>
  <si>
    <t>42457869</t>
  </si>
  <si>
    <t>MELGAREJO MENA, EUMILA</t>
  </si>
  <si>
    <t>40951298</t>
  </si>
  <si>
    <t>MEJIA ULFE, NELLY ESPERANZA</t>
  </si>
  <si>
    <t>07942842</t>
  </si>
  <si>
    <t>MEDINA ROSALES, ELSIE</t>
  </si>
  <si>
    <t>00226860</t>
  </si>
  <si>
    <t>COCINERO</t>
  </si>
  <si>
    <t>MATIAS COYOTOPA JOSE LUIS</t>
  </si>
  <si>
    <t>09413166</t>
  </si>
  <si>
    <t>ASISTENTE DE ECONOMIA</t>
  </si>
  <si>
    <t>MARTEL PARIONA, FELICIANA</t>
  </si>
  <si>
    <t>09931721</t>
  </si>
  <si>
    <t>MARCAS LEON, LUCILA</t>
  </si>
  <si>
    <t>07039108</t>
  </si>
  <si>
    <t>MANIHUARI VASQUEZ CRISTIAN WILLY</t>
  </si>
  <si>
    <t>46164693</t>
  </si>
  <si>
    <t>VIGILANTE I</t>
  </si>
  <si>
    <t>MANCILLA GARCIA, LILIAN NATIVIDAD</t>
  </si>
  <si>
    <t>25472122</t>
  </si>
  <si>
    <t>MALLMA VELIZ, FRANK DAVID</t>
  </si>
  <si>
    <t>43041783</t>
  </si>
  <si>
    <t>MAGUIÑA TAIPE KATHERIN ROSSI</t>
  </si>
  <si>
    <t>44774215</t>
  </si>
  <si>
    <t>LUYO RIERA, KELLY PATRICIA</t>
  </si>
  <si>
    <t>41817318</t>
  </si>
  <si>
    <t>LOPEZ RIVERA GIOVANA PATRICIA</t>
  </si>
  <si>
    <t>09609483</t>
  </si>
  <si>
    <t>MADRE GUIA</t>
  </si>
  <si>
    <t>LOAYZA DELGADO, ROCIO DEL CARMEN</t>
  </si>
  <si>
    <t>09614937</t>
  </si>
  <si>
    <t>LLACTAS SULLCAPUMA, BILMA ROCIO</t>
  </si>
  <si>
    <t>46998261</t>
  </si>
  <si>
    <t>LINARES CHU, MILCA</t>
  </si>
  <si>
    <t>05379252</t>
  </si>
  <si>
    <t>LERMO HUAMAN KEIDY CELIA</t>
  </si>
  <si>
    <t>42051902</t>
  </si>
  <si>
    <t>LAZO AYZANOA, SILVIA NORMA</t>
  </si>
  <si>
    <t>09792717</t>
  </si>
  <si>
    <t>LADD HUARACHI ENRIQUE RAFAEL</t>
  </si>
  <si>
    <t>06757091</t>
  </si>
  <si>
    <t>HUARCAYA ALIAGA VERONICA</t>
  </si>
  <si>
    <t>42769619</t>
  </si>
  <si>
    <t>HUAMANI LARA, TEODORA MARIA</t>
  </si>
  <si>
    <t>06625991</t>
  </si>
  <si>
    <t>HUAMANHORQUE MERINO, LUIS FELIPE</t>
  </si>
  <si>
    <t>09984417</t>
  </si>
  <si>
    <t>HUACACHI ESPINOZA, ROSA ESTELA</t>
  </si>
  <si>
    <t>09687460</t>
  </si>
  <si>
    <t>HILARIO PEREZ, LUIS MERCEDES</t>
  </si>
  <si>
    <t>18019979</t>
  </si>
  <si>
    <t>HERRERA YACCHI, MARIBEL JANET</t>
  </si>
  <si>
    <t>06781397</t>
  </si>
  <si>
    <t>HERNÁNDEZ LÓPEZ, GIOVANA LIZETTE</t>
  </si>
  <si>
    <t>07501408</t>
  </si>
  <si>
    <t>HENOSTROZA CAMONES FLOR MARCELINA</t>
  </si>
  <si>
    <t>42151597</t>
  </si>
  <si>
    <t>GUTIERREZ VALDERRAMA ANA MARIA</t>
  </si>
  <si>
    <t>29452756</t>
  </si>
  <si>
    <t>GUTIERREZ   GUILLEN , CLAUDIO GIOVANI</t>
  </si>
  <si>
    <t>40670611</t>
  </si>
  <si>
    <t>MAYORDOMO</t>
  </si>
  <si>
    <t>GUERRA FIGUEROA ROSARIO VERONICA</t>
  </si>
  <si>
    <t>40175958</t>
  </si>
  <si>
    <t>GORDILLO MAMANI, JESUS</t>
  </si>
  <si>
    <t>42400609</t>
  </si>
  <si>
    <t>ELECTRICISTA</t>
  </si>
  <si>
    <t>GELDRES MORALES VICTORIA LUZ</t>
  </si>
  <si>
    <t>08205972</t>
  </si>
  <si>
    <t>GARCIA UBILLUS, MARIA DEL ROSARIO</t>
  </si>
  <si>
    <t>08745890</t>
  </si>
  <si>
    <t>GARCIA TORRES, MARIA LUISA</t>
  </si>
  <si>
    <t>41180647</t>
  </si>
  <si>
    <t>GARCIA PALACIOS JESSICA CLARIBEL</t>
  </si>
  <si>
    <t>02873623</t>
  </si>
  <si>
    <t>GARAY GONZALES, BETSY LUZ</t>
  </si>
  <si>
    <t>25766766</t>
  </si>
  <si>
    <t>GAMBOA RONDINEL MARIO</t>
  </si>
  <si>
    <t>43319839</t>
  </si>
  <si>
    <t>GALVEZ HUAYLLASCO DEJO SUSANA</t>
  </si>
  <si>
    <t>07587075</t>
  </si>
  <si>
    <t>GALLEGOS PARDO LILIANA</t>
  </si>
  <si>
    <t>21868296</t>
  </si>
  <si>
    <t>MEDICO</t>
  </si>
  <si>
    <t>GABRIEL SILVA, ELCIRA</t>
  </si>
  <si>
    <t>10594629</t>
  </si>
  <si>
    <t>FUENTES MAYURI, JONATHAN WILFREDO</t>
  </si>
  <si>
    <t>43904934</t>
  </si>
  <si>
    <t>FRETEL OCAS, GEORGE YEISON</t>
  </si>
  <si>
    <t>45064984</t>
  </si>
  <si>
    <t>FLORES PASQUEL GUILLERMO ISRAEL</t>
  </si>
  <si>
    <t>41200091</t>
  </si>
  <si>
    <t>FERNANDEZ RISCO DEYSI ROSMERY</t>
  </si>
  <si>
    <t>18217519</t>
  </si>
  <si>
    <t>FERNANDEZ IMAN, BETTY LISSET</t>
  </si>
  <si>
    <t>42386946</t>
  </si>
  <si>
    <t>FELIX HERNANDEZ, MANUEL ERNESTO</t>
  </si>
  <si>
    <t>06981074</t>
  </si>
  <si>
    <t>FASANANDO SIFUENTES ANDREA KATERINE</t>
  </si>
  <si>
    <t>46084823</t>
  </si>
  <si>
    <t>FARIAS MORAN, SEGUNDO ROBIN</t>
  </si>
  <si>
    <t>41614287</t>
  </si>
  <si>
    <t>FACHIN CORONADO VIVIANA SMITH</t>
  </si>
  <si>
    <t>40848823</t>
  </si>
  <si>
    <t>ESCUDERO WHU REYNAGA, ALEXIS</t>
  </si>
  <si>
    <t>40609937</t>
  </si>
  <si>
    <t>ESCOBEDO MORET, GISELLA PAOLA</t>
  </si>
  <si>
    <t>07757740</t>
  </si>
  <si>
    <t>ESCOBEDO HUANCHO NORLI NANCI</t>
  </si>
  <si>
    <t>05369272</t>
  </si>
  <si>
    <t>ENRIQUEZ LOPEZ, ROCIO  CAROL</t>
  </si>
  <si>
    <t>43066340</t>
  </si>
  <si>
    <t>ENCINAS CHUFFANG PEGGY VIVEKA</t>
  </si>
  <si>
    <t>41636874</t>
  </si>
  <si>
    <t xml:space="preserve">DIONISIO AGUILAR, INGRID NATALY </t>
  </si>
  <si>
    <t>42087146</t>
  </si>
  <si>
    <t>DIESTRA PEÑA, CARMEN ROSA</t>
  </si>
  <si>
    <t>09737272</t>
  </si>
  <si>
    <t>DELGADO VIERA JENNI ISABEL</t>
  </si>
  <si>
    <t>42003127</t>
  </si>
  <si>
    <t>DELGADO  HUAMAN , JONATHAN GIOVANNI</t>
  </si>
  <si>
    <t>42412044</t>
  </si>
  <si>
    <t>DE LA CRUZ  AVILA, SANTOS ABELARDO</t>
  </si>
  <si>
    <t>08682371</t>
  </si>
  <si>
    <t>DANIEL LEIVA BUSTIOS Angel Werner</t>
  </si>
  <si>
    <t>46566874</t>
  </si>
  <si>
    <t>DAMIAN SANDOVAL ELIZABETH PRISCILA</t>
  </si>
  <si>
    <t>47507524</t>
  </si>
  <si>
    <t>CUTIPA YUNGA, SANTIAGO APOLINEO</t>
  </si>
  <si>
    <t>29675053</t>
  </si>
  <si>
    <t>CUISANO COLONIA LUIS ENRIQUE</t>
  </si>
  <si>
    <t>44800843</t>
  </si>
  <si>
    <t>CUEVA COLLANTES GUISELLA VANESSA</t>
  </si>
  <si>
    <t>42765830</t>
  </si>
  <si>
    <t>MADRE CUIDADORA</t>
  </si>
  <si>
    <t>CRUZ ASPAJO DE GÓMEZ, SONIA</t>
  </si>
  <si>
    <t>08498050</t>
  </si>
  <si>
    <t>CONTRERAS TORRE, DORIS CARINA</t>
  </si>
  <si>
    <t>44047664</t>
  </si>
  <si>
    <t>CONTRERAS BLANCAS JENNIFER ESTHER</t>
  </si>
  <si>
    <t>45423683</t>
  </si>
  <si>
    <t>COCHACHI MAMANI, MILAGROS VICTORIA</t>
  </si>
  <si>
    <t>40563518</t>
  </si>
  <si>
    <t>CHUNGA ANTON, FLOR MARIA</t>
  </si>
  <si>
    <t>25753347</t>
  </si>
  <si>
    <t>CHUMBIAUCA LEVANO, TAHIS ARLINE</t>
  </si>
  <si>
    <t>40116724</t>
  </si>
  <si>
    <t>CHOQUE ZUELA, BARLSMON GERARDO</t>
  </si>
  <si>
    <t>00461478</t>
  </si>
  <si>
    <t>AUXILIAR AGROPECUARIO</t>
  </si>
  <si>
    <t>CHOQUE QUISPE EVELYN ORIETA</t>
  </si>
  <si>
    <t>40368388</t>
  </si>
  <si>
    <t>CHERO MILART, JUAN CRUZ</t>
  </si>
  <si>
    <t>02776695</t>
  </si>
  <si>
    <t>TECNICO EN SERVICIOS GENERALES</t>
  </si>
  <si>
    <t>CHAVEZ LOBO, ROQUE FAUSTINO</t>
  </si>
  <si>
    <t>21840457</t>
  </si>
  <si>
    <t>CHAVARRIA MARIN, WALTER TOLENTINO</t>
  </si>
  <si>
    <t>07027846</t>
  </si>
  <si>
    <t>CHAFLOQUE CORNEJO, CARLOS ALBERTO</t>
  </si>
  <si>
    <t>41411999</t>
  </si>
  <si>
    <t>CHAFLOQUE BALLENA, MARIBEL</t>
  </si>
  <si>
    <t>40674930</t>
  </si>
  <si>
    <t>CCANQQUERE QUISPE, VICTOR</t>
  </si>
  <si>
    <t>06676143</t>
  </si>
  <si>
    <t>CCALLOCUNTO PINTADO, JORGE LUIS</t>
  </si>
  <si>
    <t>25751263</t>
  </si>
  <si>
    <t>CASTRO LOPEZ, ROSA MARIA</t>
  </si>
  <si>
    <t>08682261</t>
  </si>
  <si>
    <t>CASTILLO ROJAS, EDUARDO JAVIER</t>
  </si>
  <si>
    <t>44828594</t>
  </si>
  <si>
    <t>CASTILLO ESPINOZA, ENRIQUE</t>
  </si>
  <si>
    <t>07041513</t>
  </si>
  <si>
    <t>CASTILLO CAMPOS KARITO LIZETH</t>
  </si>
  <si>
    <t>47601842</t>
  </si>
  <si>
    <t>CARTAGENA PILCO MARIEL NATIVIDAD</t>
  </si>
  <si>
    <t>44971509</t>
  </si>
  <si>
    <t>CARDOZA VIVAS CECILIA DEL SOCORRO</t>
  </si>
  <si>
    <t>42265841</t>
  </si>
  <si>
    <t>CARDENAS PONCE KARLA PATRICIA</t>
  </si>
  <si>
    <t>43405835</t>
  </si>
  <si>
    <t>CAMPOS MONTANI MARTHA ELENA</t>
  </si>
  <si>
    <t>06754423</t>
  </si>
  <si>
    <t>CAMPOS LOZANO,  RAUL</t>
  </si>
  <si>
    <t>05212986</t>
  </si>
  <si>
    <t>CALDAS DIAZ, LOURDES VERONICA</t>
  </si>
  <si>
    <t>44263079</t>
  </si>
  <si>
    <t>CADILLO ALVAREZ, FORTUNATA ELVIRA</t>
  </si>
  <si>
    <t>06997553</t>
  </si>
  <si>
    <t>CACYA OCAÑA RINA JOVITA</t>
  </si>
  <si>
    <t>42551453</t>
  </si>
  <si>
    <t>CABRERA  MAGALLANES, MARLENE DORIS</t>
  </si>
  <si>
    <t>08393365</t>
  </si>
  <si>
    <t>CABANILLAS HUMERES FREDY</t>
  </si>
  <si>
    <t>07477510</t>
  </si>
  <si>
    <t>PROGRAMADOR DE SISTEMAS PAD II</t>
  </si>
  <si>
    <t>CABALLERO GUILLEN MIGUEL ANGEL</t>
  </si>
  <si>
    <t>44168948</t>
  </si>
  <si>
    <t>BRAVO LOZANO DAVID GIOVANI</t>
  </si>
  <si>
    <t>16693024</t>
  </si>
  <si>
    <t>BERNABE CESPEDES, LOURDES LEONOR</t>
  </si>
  <si>
    <t>09708029</t>
  </si>
  <si>
    <t>BENDEZU MOYA MILUSKA MARIELLA</t>
  </si>
  <si>
    <t>09852608</t>
  </si>
  <si>
    <t>BAUTISTA PRADO, VICTOR</t>
  </si>
  <si>
    <t>06906854</t>
  </si>
  <si>
    <t>BAUTISTA CHAVEZ, ELY ISABEL</t>
  </si>
  <si>
    <t>41210445</t>
  </si>
  <si>
    <t>AUXILIAR DE SECRETARIA</t>
  </si>
  <si>
    <t>BARNETT ARMEBIANCHI ROBERTO FRANKLIN</t>
  </si>
  <si>
    <t>42594122</t>
  </si>
  <si>
    <t>BARBOZA CRESPO, AURELIA</t>
  </si>
  <si>
    <t>28587597</t>
  </si>
  <si>
    <t>BAHAMONDE ARPI, PAULA CRISTINA</t>
  </si>
  <si>
    <t>08369917</t>
  </si>
  <si>
    <t>AVELINO TIMOTEO, NATIVIDAD</t>
  </si>
  <si>
    <t>09658976</t>
  </si>
  <si>
    <t>AVALOS JARA, ROCIO JULIA</t>
  </si>
  <si>
    <t>09349138</t>
  </si>
  <si>
    <t>ARREDONDO PALMA, JANET ROXANA</t>
  </si>
  <si>
    <t>10880846</t>
  </si>
  <si>
    <t xml:space="preserve">AROTINCO YUCRA VILMA URSULA </t>
  </si>
  <si>
    <t>43091110</t>
  </si>
  <si>
    <t>ARGOTE DE LOS RIOS, ALVARO GERMAN</t>
  </si>
  <si>
    <t>09128614</t>
  </si>
  <si>
    <t>ARCATA MAMANI, FLORENTINO</t>
  </si>
  <si>
    <t>00459115</t>
  </si>
  <si>
    <t>ARANGO QUISPE ALEX RAFAEL</t>
  </si>
  <si>
    <t>41884969</t>
  </si>
  <si>
    <t>TECNICO EN PRESUPUESTO</t>
  </si>
  <si>
    <t>ANGULO VARGAS, KARIN JHANETTE</t>
  </si>
  <si>
    <t>33819518</t>
  </si>
  <si>
    <t>ANDRADE ROMERO, JANETH ARMINDA</t>
  </si>
  <si>
    <t>08682151</t>
  </si>
  <si>
    <t>ANDIA AGUEDO GABRIELA ISABEL</t>
  </si>
  <si>
    <t>42954843</t>
  </si>
  <si>
    <t>AMASIFUEN TELLO, LAURO</t>
  </si>
  <si>
    <t>05247264</t>
  </si>
  <si>
    <t>ALPACCA CHARA MARIA VICTORIA</t>
  </si>
  <si>
    <t>10764208</t>
  </si>
  <si>
    <t>ALMEYDA SANCHEZ JOSE LUIS</t>
  </si>
  <si>
    <t>41295161</t>
  </si>
  <si>
    <t>ALHUAY ALHUAY, HIGINIO</t>
  </si>
  <si>
    <t>04303223</t>
  </si>
  <si>
    <t>ALENDEZ HURTADO, FLORENTINA</t>
  </si>
  <si>
    <t>08919810</t>
  </si>
  <si>
    <t>ALEJO AGUILAR, CARMEN  ROSA</t>
  </si>
  <si>
    <t>08142181</t>
  </si>
  <si>
    <t>ALARCON  MORALES, ROSSANA MARTHA</t>
  </si>
  <si>
    <t>10280678</t>
  </si>
  <si>
    <t>ALARCON ESPINOZA GIANNINA CAROLINA</t>
  </si>
  <si>
    <t>44037027</t>
  </si>
  <si>
    <t>ACUÑA CORDOVA, GREGORIO</t>
  </si>
  <si>
    <t>08370139</t>
  </si>
  <si>
    <t>ABANTO ZAMORA, JORGE ARTURO</t>
  </si>
  <si>
    <t>06143132</t>
  </si>
  <si>
    <t>FOTOGRAFO</t>
  </si>
  <si>
    <t>ABANTO RIOS TEODOCIO</t>
  </si>
  <si>
    <t>06629286</t>
  </si>
  <si>
    <t>ENTRENADOR</t>
  </si>
  <si>
    <t>UNIDAD EJECUTORA: 003 EJÉRCITO PERUANO</t>
  </si>
  <si>
    <t>PLIEGO: 026 MINISTEREIO DE DEFENSA</t>
  </si>
  <si>
    <t>TELECOMUNICACION</t>
  </si>
  <si>
    <t>SANCHEZ DIAZ LUZMILA JOHANNA</t>
  </si>
  <si>
    <t>46914058</t>
  </si>
  <si>
    <t>ANALISTA EN TELECOMUNICACIONES</t>
  </si>
  <si>
    <t>004: MGP</t>
  </si>
  <si>
    <t>HERRERA CARPIO MOISES ANTHONY</t>
  </si>
  <si>
    <t>40776131</t>
  </si>
  <si>
    <t>ASISTENTE EN GESTIÓN DE PROCESOS EDUCATIVOS</t>
  </si>
  <si>
    <t>DEVOLUCIONES AL TESORO PUBLICO T-6</t>
  </si>
  <si>
    <t>ANALISTA SISTEMA DE GESTION</t>
  </si>
  <si>
    <t>NUREÑA SILVA MILAGROS DENISSE</t>
  </si>
  <si>
    <t>45579177</t>
  </si>
  <si>
    <t>ANALISTA EN SISTEMA DE GESTIÓN INTEGRADA</t>
  </si>
  <si>
    <t>PAUCARCAJA LEDESMA MAYRA ALEJANDRA</t>
  </si>
  <si>
    <t>45244230</t>
  </si>
  <si>
    <t>ASISTENTE EN INGENIERÍA GEOGRÁFICA II</t>
  </si>
  <si>
    <t>GARRIDO CORNEJO MANUEL AUGUSTO</t>
  </si>
  <si>
    <t>43314339</t>
  </si>
  <si>
    <t>ENCARGADO DE LAS CARTAS NÁUTICAS ESTRATÉGICAS Y CLASIFICADAS DEL COMANDO OPERACIONAL MARÍTIMO (COMA), EN EL ÁMBITO DE LA SEGURIDAD NACIONAL</t>
  </si>
  <si>
    <t>TECNICA BÁSICA EN SECRETARIADO EJECUTIVO COMPUTARIZADO</t>
  </si>
  <si>
    <t>TECNICO EN INGENIERIA</t>
  </si>
  <si>
    <t>GRADOS ALLAUCA ELIANA BEATRIZ</t>
  </si>
  <si>
    <t xml:space="preserve">TECNICO ESPECIALIZADO EN SISTEMAS </t>
  </si>
  <si>
    <t>HANDAL MORALES JUAN CARLOS CRUZ</t>
  </si>
  <si>
    <t>ANALISTA DE ESTRUCTURAS DE SISTEMAS</t>
  </si>
  <si>
    <t>TITULO PROFESIONAL DE ABOGADO</t>
  </si>
  <si>
    <t>VASQUEZ FIGUEROA MILENA LUCRECIA</t>
  </si>
  <si>
    <t>ESPECIALISTA EN DERECHO MARÍTIMO INTERNACIONAL</t>
  </si>
  <si>
    <t>INGENIERO NAVAL</t>
  </si>
  <si>
    <t>GRANDA VALENCIA ANTONIO AUGUSTO</t>
  </si>
  <si>
    <t>ESPECIALISTA EN INGENIERÍA NAVAL</t>
  </si>
  <si>
    <t>CIENCIAS MARITIMAS NAVALES</t>
  </si>
  <si>
    <t>VERA TUDELA DE LA GALA WALTER REYNALDO</t>
  </si>
  <si>
    <t>EXPERTO EN SINIESTROS ACUÁTICOS</t>
  </si>
  <si>
    <t>DOCTOR PHILOSOPHIAE EN CIENCIAS POLÍTICAS</t>
  </si>
  <si>
    <t>BLYDAL  CARL JOHAN</t>
  </si>
  <si>
    <t>000876227</t>
  </si>
  <si>
    <t>EXPERTO EN GESTIÓN DE INVESTIGACIÓN POLÍTICA Y SOCIAL</t>
  </si>
  <si>
    <t>INGENIERO PESQUERO</t>
  </si>
  <si>
    <t>JACINTO ALZAMORA MARIA MILAGROS</t>
  </si>
  <si>
    <t>ASISTENTE DE GESTIÓN DE ASEGURAMIENTO DE LA CALIDAD</t>
  </si>
  <si>
    <t>VILLALOBOS SMITH ROBERTO ANGEL</t>
  </si>
  <si>
    <t>COORDINADOR DE LA BRIGADA DE SANEAMIENTO</t>
  </si>
  <si>
    <t>BLANCO DE OCSAS DOLORES OLINDA</t>
  </si>
  <si>
    <t>OPERARIO DE PREPARACIÓN Y TRATAMIENTO DE ÁREAS VERDES</t>
  </si>
  <si>
    <t>BACHILLER EN INGENIERIA GEOGRÁFICA</t>
  </si>
  <si>
    <t>BRAVO GALAN CARLOS GREGORIO</t>
  </si>
  <si>
    <t>ENCARGADO DE TELEDETECCIÓN, SIMULACIÓN MEDIANTE MODELOS DE ELEVACIÓN DIGITAL Y SISTEMAS DE INFORMACIÓN GEOGRÁFICA (SIG)</t>
  </si>
  <si>
    <t>MARTINEZ VIVAS EVELIN JANET</t>
  </si>
  <si>
    <t>AUXILIAR CONTABLE EN RENDICIONES DE CUENTA</t>
  </si>
  <si>
    <t xml:space="preserve">CORNEJO LEON FELIPE </t>
  </si>
  <si>
    <t>AUXILIAR DE MANIOBRAS DE UNIDADES NAVALES</t>
  </si>
  <si>
    <t>CHAUCA HOYOS ROBERTO FRANKO</t>
  </si>
  <si>
    <t>QUISPE FLORES MARISOL KARINA</t>
  </si>
  <si>
    <t>41110042</t>
  </si>
  <si>
    <t>ASISTENTE EN INGENIERÍA GEOGRÁFICA I</t>
  </si>
  <si>
    <t>GEOCIENCIAS</t>
  </si>
  <si>
    <t>HERBOZO JIMENEZ GERARDO MANUEL</t>
  </si>
  <si>
    <t>40726173</t>
  </si>
  <si>
    <t>EXPERTO II EN GEOCIENCIAS</t>
  </si>
  <si>
    <t>TECNICO EN PRONOSTICO AMAZONIA</t>
  </si>
  <si>
    <t>PAREDES ORIHUELA DANIEL ENRIQUE</t>
  </si>
  <si>
    <t>TÉCNICO ESPECIALISTA EN PRONÓSTICOS DE LA AMAZONÍA PERUANA</t>
  </si>
  <si>
    <t>INGENIERO AMBIENTAL</t>
  </si>
  <si>
    <t>GASTELU TORRES FRESSYHA DEL CARMEN</t>
  </si>
  <si>
    <t>ANALISTA EN GESTIÓN DE CALIDAD Y AMBIENTAL</t>
  </si>
  <si>
    <t>INGENIERO EN MECÁNICA DE FLUIDOS</t>
  </si>
  <si>
    <t>RAMOS ORLANDINO CARMELA CRISTHY</t>
  </si>
  <si>
    <t>INGENIERO MECÁNICO DE FLUIDOS</t>
  </si>
  <si>
    <t>GUZMAN ZORRILLA EMANUEL JESUS</t>
  </si>
  <si>
    <t xml:space="preserve">PROGRAMA DE ADMINISTRACIÓN DE NEGOCIOS </t>
  </si>
  <si>
    <t>ALBURQUEQUE MUÑOZ DAVID ALFONSO</t>
  </si>
  <si>
    <t>AUXILIAR FINANCIERO</t>
  </si>
  <si>
    <t xml:space="preserve">LICENCIADO EN CIENCIAS MARÍTIMAS NAVALES </t>
  </si>
  <si>
    <t>SALAZAR RODRIGUEZ ERIC WENCES</t>
  </si>
  <si>
    <t>DOCENTE EN GESTIÓN EDUCATIVA DEL PROGRAMA DE SEGUNDA ESPECIALIDAD DE HIDROGRAFÍA Y NAVEGACIÓN Y OTROS PROGRAMAS ACADÉMICOS</t>
  </si>
  <si>
    <t>LICENCIADA EN DERECHO</t>
  </si>
  <si>
    <t>TOLENTINO QUISPE JANET ESTEFANIA</t>
  </si>
  <si>
    <t>ANALISTA EN CONTRATACIONES Y ADQUISICIONES</t>
  </si>
  <si>
    <t>BACHILLER EN CIENCIAS MARÍTIMAS NAVALES</t>
  </si>
  <si>
    <t>GASTELO SUAREZ CARLOS JOSE</t>
  </si>
  <si>
    <t xml:space="preserve">ESPECIALISTA DE MANIOBRAS DE LAS UNIDADES NAVALES </t>
  </si>
  <si>
    <t>LICENCIADA EN EDUCACION</t>
  </si>
  <si>
    <t>GARCIA ACOSTA SONIA RAQUEL</t>
  </si>
  <si>
    <t>VASQUEZ VILLANO GUISSEPPE ARTURO</t>
  </si>
  <si>
    <t>TÉCNICO ESPECIALISTA EN PRONÓSTICOS DE LA AMAZONÍA</t>
  </si>
  <si>
    <t>LARRIEGA VIGIL CESAR ARMANDO</t>
  </si>
  <si>
    <t>43521759</t>
  </si>
  <si>
    <t>ASESOR I EN NORMATIVA DE ESTADO RECTOR DE PUERTO DE LA AUTORIDAD MARÍTIMA</t>
  </si>
  <si>
    <t>TITULO PROFESIONAL DE INGENIERO MECANICO DE FLUIDOS</t>
  </si>
  <si>
    <t>ARMAS IPANAQUE VLADIMIR ALEXIS</t>
  </si>
  <si>
    <t xml:space="preserve">INGENIERO EN MECÁNICA DE FLUIDOS </t>
  </si>
  <si>
    <t xml:space="preserve">VILLANUEVA ANGELES ERASMO </t>
  </si>
  <si>
    <t>ESPECIALISTA EN GESTIÓN DE PROYECTOS DE RECAUDACIONES</t>
  </si>
  <si>
    <t>ESCUELA BASICA DE HIDROGRAFIA</t>
  </si>
  <si>
    <t>VALLADARES MONCADA LUIS MIGUEL</t>
  </si>
  <si>
    <t>ASISTENTE TÉCNICO EN MANEJO DE INFORMACIÓN HIDRO-OCEANOGRÁFICA Y METEOROLÓGICA EN EL ÁMBITO DE LA  SEGURIDAD NACIONAL</t>
  </si>
  <si>
    <t>MORENO LEON JORGE FRANCISCO</t>
  </si>
  <si>
    <t>ASESOR DE PROYECTOS DE INVERSIÓN PÚBLICA</t>
  </si>
  <si>
    <t>ESPECIALISTA EN CARTAS NAUTICAS</t>
  </si>
  <si>
    <t>VILCA RUIZ VERM LESTER</t>
  </si>
  <si>
    <t>43953878</t>
  </si>
  <si>
    <t>ASISTENTE EN CARTAS NÁUTICAS ELECTRÓNICAS</t>
  </si>
  <si>
    <t>MAGISTER EN INFORMÁTICA</t>
  </si>
  <si>
    <t>HINOJOSA LOPEZ MANUEL GILBERTO</t>
  </si>
  <si>
    <t>ASESOR MARÍTIMO EN ASUNTOS INTERNACIONALES VINCULADAS A LA OMI</t>
  </si>
  <si>
    <t>BRITO ZEGARRA CARLOS AUGUSTO</t>
  </si>
  <si>
    <t>OFICIAL SUPERVISOR DEL ESTADO RECTOR DE PUERTO DE LA AUTORIDAD MARÍTIMA</t>
  </si>
  <si>
    <t>LEON MORI PEDRO PABLO</t>
  </si>
  <si>
    <t>ASISTENTE DE FISCALIZACIÓN FINANCIERA</t>
  </si>
  <si>
    <t>CHAMOCHUMBI CABANILLAS DANIEL ALBERTO</t>
  </si>
  <si>
    <t>ASESOR I EN FORMACIÓN NAVAL</t>
  </si>
  <si>
    <t>GALVEZ ABAD DANNY YULISSA</t>
  </si>
  <si>
    <t>MEJIA BASURCO MOISES SOCRATES</t>
  </si>
  <si>
    <t>ESPECIALISTA EN PROCESOS DE GESTIÓN EDUCATIVA</t>
  </si>
  <si>
    <t xml:space="preserve">LUNA SALVATIERRA GABRIELA </t>
  </si>
  <si>
    <t>INGENIERO GEOGRÁFICO - A</t>
  </si>
  <si>
    <t>INGENIERO GEÓGRAFO</t>
  </si>
  <si>
    <t>GARCIA OBREGON OSCAR PASCUAL</t>
  </si>
  <si>
    <t>41202443</t>
  </si>
  <si>
    <t>ANALISTA EN CARTOGRAFÍA</t>
  </si>
  <si>
    <t xml:space="preserve">GALAN AMAYA ROLANDO </t>
  </si>
  <si>
    <t>SUPERVISOR DE MUELLE</t>
  </si>
  <si>
    <t>NAVARRO CUADROS FRANCISCO JOSE TADEO JUAN</t>
  </si>
  <si>
    <t>ASESOR I EN DOCTRINA NAVAL</t>
  </si>
  <si>
    <t>MORA LANGA MARTHA MONICA</t>
  </si>
  <si>
    <t>GESTOR ADMINISTRATIVO</t>
  </si>
  <si>
    <t>DIPLOMADO EN CONTRATACIONES DEL ESTADO</t>
  </si>
  <si>
    <t>TENICO EN CONTRATACIONES</t>
  </si>
  <si>
    <t>SILVA GUERRERO HERNAN FREDY</t>
  </si>
  <si>
    <t>TÉCNICO EN CONTRATACIONES EN EL ÁMBITO DE LA SEGURIDAD NACIONAL</t>
  </si>
  <si>
    <t>GUTIERREZ DIAZ VICTORIA MERCEDES</t>
  </si>
  <si>
    <t>BACHILLER EN INGENIERÍA GEOGRÁFICA I</t>
  </si>
  <si>
    <t>CABRERA HOLGUIN CECILIA PATRICIA</t>
  </si>
  <si>
    <t>41599764</t>
  </si>
  <si>
    <t>ANALISTA EN GESTIÓN AMBIENTAL</t>
  </si>
  <si>
    <t>MANTILLA TAKURY YASMIN DEL ROSARIO</t>
  </si>
  <si>
    <t>72314190</t>
  </si>
  <si>
    <t>AUXILIAR EN ATENCIÓN AL CLIENTE</t>
  </si>
  <si>
    <t>CRUZ LEMA FABIOLA ALEXANDRA</t>
  </si>
  <si>
    <t>71655836</t>
  </si>
  <si>
    <t>ONCOY NIEVES EDWARD JAMES</t>
  </si>
  <si>
    <t>70772121</t>
  </si>
  <si>
    <t>ASISTENTE INFORMÁTICO</t>
  </si>
  <si>
    <t>COMPILADOR CARTOGRAFICO</t>
  </si>
  <si>
    <t>GUTIERREZ ARROYO IOSSIF VLADIMIR</t>
  </si>
  <si>
    <t>COMPILADOR CARTOGRÁFICO</t>
  </si>
  <si>
    <t>VILLAFUERTE BORJAS CRISTHIAM JUSTO</t>
  </si>
  <si>
    <t>OFICIAL ALBAÑIL Y JARDINERO</t>
  </si>
  <si>
    <t>GARRIDO CABRERA CARLOS AUGUSTO</t>
  </si>
  <si>
    <t>ASESOR I EN CIENCIAS HUMANAS</t>
  </si>
  <si>
    <t xml:space="preserve">HUAPAYA GAMARRA LILIANA </t>
  </si>
  <si>
    <t>TÉCNICO EN ENFERMERÍA</t>
  </si>
  <si>
    <t>TÉCNICO EN DISEÑO PUBLICITARIO</t>
  </si>
  <si>
    <t>TORRES CHAGUA LAURA ISABEL</t>
  </si>
  <si>
    <t>ENCARGADO TÉCNICO DE CORRECCIONES GRÁFICAS DE CARTAS Y PUBLICACIONES NÁUTICAS NACIONALES Y EXTRANJERAS</t>
  </si>
  <si>
    <t>SARAZU COTRINA JUAN JOSE</t>
  </si>
  <si>
    <t>ASISTENTE EN INGENIERÍA MECÁNICA DE FLUIDOS</t>
  </si>
  <si>
    <t>LINGAN PADILLA JULIO ALBERTO</t>
  </si>
  <si>
    <t>ANALISTA JURÍDICO</t>
  </si>
  <si>
    <t>TÉCNICO EN ABASTECIMIENTO</t>
  </si>
  <si>
    <t>SUMALAVE GARCIA WALTER RICHARD</t>
  </si>
  <si>
    <t>TÉCNICO EN ABASTECIMIENTO EN EL ÁMBITO DE LA SEGURIDAD NACIONAL</t>
  </si>
  <si>
    <t>TÍTULO PROFESIONAL DE INGENIERO DE COMPUTACÓN Y SISTEMAS</t>
  </si>
  <si>
    <t>CAMPOS ULLOA OMAR ALFREDO</t>
  </si>
  <si>
    <t>ENCARGADO DEL ANÁLISIS Y DESARROLLO EN APLICACIONES . NET Y ASP CON BASE DE DATOS ORACLE 11G, CON SU FUNCIONALIDAD DE DATOS ESPACIALES.</t>
  </si>
  <si>
    <t xml:space="preserve">CACERES CALDERON ANDREA </t>
  </si>
  <si>
    <t>TÉCNICO EN CARTOGRAFÍA</t>
  </si>
  <si>
    <t>CARTOGRAFO</t>
  </si>
  <si>
    <t>43313339</t>
  </si>
  <si>
    <t>PROFESIONAL TECNICO EN ADMINISTRACION DE NEGOCIOS INTERNACIONALES</t>
  </si>
  <si>
    <t>ARIZACA HONORIO EDY MARTIN</t>
  </si>
  <si>
    <t>ASISTENTE DE PROCEDIMIENTOS DE SELECCIÓN</t>
  </si>
  <si>
    <t>INGENIERIA DE COMPUTACIÓN Y SISTEMAS</t>
  </si>
  <si>
    <t>OCHOA SANCHEZ PAUL CHRISTIAN</t>
  </si>
  <si>
    <t>SARAVIA GARCIA MANUEL AUGUSTO</t>
  </si>
  <si>
    <t>ASESOR EN GESTIÓN EDUCATIVA</t>
  </si>
  <si>
    <t>CASTILLO CARDENAS SHEYLLA KOSETH</t>
  </si>
  <si>
    <t>ASISTENTE EN REDACCIÓN Y DISEÑO PUBLICITARIO</t>
  </si>
  <si>
    <t>BIBLIOTECOLOGIA</t>
  </si>
  <si>
    <t>VIVAS MONTES LOURDES ALICIA</t>
  </si>
  <si>
    <t>ASISTENTE DE BIBLIOTECOLOGÍA</t>
  </si>
  <si>
    <t>HUARINGA GARRAGATE ANGEL ARTURO</t>
  </si>
  <si>
    <t>OPERADOR EN MANTENIMIENTO</t>
  </si>
  <si>
    <t>LICENCIADO EN SOCIOLOGÍA EDUCATIVA</t>
  </si>
  <si>
    <t>LESCANO LOPEZ GALIA SUSANA</t>
  </si>
  <si>
    <t>ASESOR I EN INVESTIGACIÓN Y DESARROLLO TECNOLÓGICO</t>
  </si>
  <si>
    <t>BACHILLER EN TRADUCCIÓN E INTERPRETACIÓN</t>
  </si>
  <si>
    <t>TRADUCTOR</t>
  </si>
  <si>
    <t>TERUYA KAMEKO SAORI GISELLA</t>
  </si>
  <si>
    <t>ASISTENTE EN TRADUCCIÓN Y TRANSCRIPCIÓN</t>
  </si>
  <si>
    <t xml:space="preserve">SANCHEZ AQUIJE LUZANGELA </t>
  </si>
  <si>
    <t>ASISTENTE EN GESTIÓN AMBIENTAL</t>
  </si>
  <si>
    <t xml:space="preserve">YARLEQUE LOPEZ LUCIO </t>
  </si>
  <si>
    <t>TÉCNICO ESPECIALISTA DE PESQUERÍA</t>
  </si>
  <si>
    <t>TECNICO EN ABASTECIMIENTO</t>
  </si>
  <si>
    <t>VARGAS ATOCHE EDWIN JOSE</t>
  </si>
  <si>
    <t>TÉCNICO ESPECIALISTA EN ABASTECIMIENTO</t>
  </si>
  <si>
    <t>EGRESADO EN ELECTRÓNICA</t>
  </si>
  <si>
    <t>TECNICO ELECTRONICO</t>
  </si>
  <si>
    <t>PAREDES ENRIQUEZ RICARDO MARTIN</t>
  </si>
  <si>
    <t>TÉCNICO ELECTRÓNICO</t>
  </si>
  <si>
    <t>MAGISTER EN ESTRATEGIA MARÍTIMA</t>
  </si>
  <si>
    <t>MORENO GONZALES CARLOS ENRIQUE</t>
  </si>
  <si>
    <t>ESPECIALISTA EN EL ÁREA DE EQUIPOS DE AYUDAS A LA NAVEGACIÓN MARÍTIMA Y LACUSTRE EN EL ÁMBITO DE LA SEGURIDAD NACIONAL</t>
  </si>
  <si>
    <t xml:space="preserve">ENCALADA CHINGA MARLON </t>
  </si>
  <si>
    <t>ANALISTA DE GESTIÓN DE LA CALIDAD Y SGCS BASC</t>
  </si>
  <si>
    <t>ROMERO CHUNGA CAROLINA DEL ROSARIO</t>
  </si>
  <si>
    <t>TÉCNICO ESPECIALISTA CONTABLE</t>
  </si>
  <si>
    <t>FERNANDEZ CARDENAS JESUS MANUEL JOSE</t>
  </si>
  <si>
    <t>SOPORTE, REPARACIÓN, MANTENIMIENTO DE EQUIPOS DE CÓMPUTO Y EQUIPOS DE NAVEGACIÓN</t>
  </si>
  <si>
    <t>VALDEZ HUAMAN JAIME ARTURO</t>
  </si>
  <si>
    <t>ESPECIALISTA EN LÍMITES Y FRONTERAS EN EL ÁMBITO DE LA SEGURIDAD NACIONAL</t>
  </si>
  <si>
    <t>TÉCNICO BÁSICO DE FURRIELES (SECRETARIO ADMINISTRATIVO)</t>
  </si>
  <si>
    <t>NEVADO PINEDO JOSE CARLOS</t>
  </si>
  <si>
    <t>ASISTENTE TÉCNICO EN CONTRATACIONES DEL ESTADO EN EL ÁMBITO DE LA  SEGURIDAD NACIONAL</t>
  </si>
  <si>
    <t>PRADO QUISPE LUIS ALBERTO</t>
  </si>
  <si>
    <t>ASISTENTE PROFESIONAL EN CONTRATACÓN PÚBLICA EN EL ÁMBITO DE LA SEGURIDAD NACIONAL</t>
  </si>
  <si>
    <t>TECNICO SUPERIOR</t>
  </si>
  <si>
    <t>CERVANTES ORMEÑO ALBERTO JORGE</t>
  </si>
  <si>
    <t>ENCARGADO TÉCNICO EN NAVEGACIÓN Y SUPERVISOR DE CORRECCIONES CARTOGRÁFICAS EN EL ÁMBITO DE LA SEGURIDAD NACIONAL</t>
  </si>
  <si>
    <t xml:space="preserve">DEL AGUILA CELIZ ALICIA </t>
  </si>
  <si>
    <t>QUINTANA MARSANO JAIME MIGUEL</t>
  </si>
  <si>
    <t>ASESOR  EN ASUNTOS MARÍTIMOS NACIONALES E INTERNACIONALES</t>
  </si>
  <si>
    <t>TITULO PROFESIONAL CONTADOR PÚBLICO</t>
  </si>
  <si>
    <t>IPANAQUE ALARCON MARLENY ERCILIA</t>
  </si>
  <si>
    <t>MOQUILLAZA CHIHUA ROLANDO HERNAN</t>
  </si>
  <si>
    <t>RAMIREZ ROSAS JORGE LUIS</t>
  </si>
  <si>
    <t>ARELLANO BOCANGEL CARMEN GIOVANA</t>
  </si>
  <si>
    <t>ASESOR LEGAL Y FINANCIERO</t>
  </si>
  <si>
    <t>TÉCNICO NIVEL OPERATIVO PRENSISTA OFFSET</t>
  </si>
  <si>
    <t>TACZA LOYOLA GRACIELA EVA</t>
  </si>
  <si>
    <t>ENCARGADO TÉCNICO NIVEL OPERATIVO PRENSISTA OFFSET</t>
  </si>
  <si>
    <t>TECNICO EN DIBUJO ARQUITECTÓNICO</t>
  </si>
  <si>
    <t>TECNICO EN DIBUJO</t>
  </si>
  <si>
    <t>SILVA FLORES VICTOR HUMBERTO</t>
  </si>
  <si>
    <t>ENCARGADO DE LA ELABORACIÓN DE CARTAS NÁUTICAS DIGITALES, DESDE LA BASE DE DATOS.</t>
  </si>
  <si>
    <t>RUIZ NAVARRO CARLOS EULOGIO</t>
  </si>
  <si>
    <t>OPERADOR DE GASFITERÍA INDUSTRIAL</t>
  </si>
  <si>
    <t>CASTILLO FIESTAS MARIA GENARA</t>
  </si>
  <si>
    <t>AGUILA PALOMINO JOSE GERARDO</t>
  </si>
  <si>
    <t>AUXILIAR DE SISTEMA KARDEX</t>
  </si>
  <si>
    <t>PROFESIONAL TECNICO EN ELECTRÓNICA</t>
  </si>
  <si>
    <t>LUNA VILLA FERNANDO LUIS</t>
  </si>
  <si>
    <t>IMPLEMENTACIÓN Y ANÁLISIS DE INFRAESTRUCTURA, POLÍTICAS EN SEGURIDAD FORENSE PARA EVITAR LA PROPAGACIÓN DE SPAM MASIVO EN EL SISTEMA INFORMÁTICO</t>
  </si>
  <si>
    <t>LÓPEZ PFUYO JUAN JAVIER</t>
  </si>
  <si>
    <t>09651432</t>
  </si>
  <si>
    <t>ANALISTA EN CARTAS NÁUTICAS</t>
  </si>
  <si>
    <t>CARTAS NAUTICAS</t>
  </si>
  <si>
    <t>FERNANDEZ ESPINOZA MILAGROS CONSUELO</t>
  </si>
  <si>
    <t>ENCARGADO DE LA ACTUALIZACIÓN Y CORRECCIÓN DE CARTAS NÁUTICAS</t>
  </si>
  <si>
    <t>CAVERO TOLEDO NELLY ESTHER</t>
  </si>
  <si>
    <t xml:space="preserve">PALACIOS MAZA HUGO </t>
  </si>
  <si>
    <t>OPERADOR DE LIMPIEZA</t>
  </si>
  <si>
    <t xml:space="preserve">MENDOZA CESPEDES FEDERICO </t>
  </si>
  <si>
    <t>03483164</t>
  </si>
  <si>
    <t>AUXILIAR EN ALBAÑILERÍA</t>
  </si>
  <si>
    <t xml:space="preserve">JULIAN MONTERO ERWIN </t>
  </si>
  <si>
    <t xml:space="preserve">SUPERVISOR DE MUELLE </t>
  </si>
  <si>
    <t>CHAPILLIQUEN PALACIOS SANTOS TEODORO</t>
  </si>
  <si>
    <t>CASTILLO CASTILLO MIGUEL ANGEL</t>
  </si>
  <si>
    <t>TITULO PROFESIONAL DE CONTADOR PÚBLICO</t>
  </si>
  <si>
    <t>SEMINARIO OJEDA RUBY DEL ROSARIO</t>
  </si>
  <si>
    <t>02 RDR</t>
  </si>
  <si>
    <t>HUAMAN LOPEZ WILLIAM NICOLAS</t>
  </si>
  <si>
    <t>08547152</t>
  </si>
  <si>
    <t xml:space="preserve">Médico Especialista en el Área de Medicina Intensiva </t>
  </si>
  <si>
    <t>VARIOS</t>
  </si>
  <si>
    <t>Extornos al Tesoro Público</t>
  </si>
  <si>
    <t>Devoluciones x al Tesoro Público con T6</t>
  </si>
  <si>
    <t>TORRES CARUZZO EVA CANDY</t>
  </si>
  <si>
    <t>22510030</t>
  </si>
  <si>
    <t>Auditor</t>
  </si>
  <si>
    <t xml:space="preserve">LOPEZ SUASNABAR MELINA </t>
  </si>
  <si>
    <t>41831355</t>
  </si>
  <si>
    <t xml:space="preserve">Médico Especialista en el Área de Medicina Interna </t>
  </si>
  <si>
    <t>MÉDICO CIRUJANO</t>
  </si>
  <si>
    <t>WENZEL FERRADAS JULIO ALBERTO</t>
  </si>
  <si>
    <t>09344915</t>
  </si>
  <si>
    <t>Médico especialista en el área de pediatría</t>
  </si>
  <si>
    <t>ENFERMERA</t>
  </si>
  <si>
    <t xml:space="preserve">VALQUI LEONARDO ROCIO </t>
  </si>
  <si>
    <t>45480085</t>
  </si>
  <si>
    <t xml:space="preserve">Enfermera(o) </t>
  </si>
  <si>
    <t>VILLALOBOS SILVA PATRICIA GIULIANA</t>
  </si>
  <si>
    <t>70020901</t>
  </si>
  <si>
    <t>CASAVERDE DIAZ MELANIE YOHANA</t>
  </si>
  <si>
    <t>71014472</t>
  </si>
  <si>
    <t>RUIZ CERDA JUAN MIGUEL</t>
  </si>
  <si>
    <t>44553440</t>
  </si>
  <si>
    <t>QUISPE LLONTOP JACKELINE KAREN</t>
  </si>
  <si>
    <t>73543093</t>
  </si>
  <si>
    <t>Enfermera(o) General</t>
  </si>
  <si>
    <t>RAFAEL SUAREZ KATERINI ESTEFANY</t>
  </si>
  <si>
    <t>73613225</t>
  </si>
  <si>
    <t>EGOAVIL CALIZAYA JOHANA EVELYN</t>
  </si>
  <si>
    <t>46860200</t>
  </si>
  <si>
    <t>LINO AGUILAR MILAGROS STEFANY</t>
  </si>
  <si>
    <t>72173059</t>
  </si>
  <si>
    <t xml:space="preserve">CARRION RONDAN STEFANI </t>
  </si>
  <si>
    <t>47435923</t>
  </si>
  <si>
    <t>REQUEJO JULON LEIDY LISBETH</t>
  </si>
  <si>
    <t>70035430</t>
  </si>
  <si>
    <t>ACUÑA BERAUN MARIA ELENA</t>
  </si>
  <si>
    <t>48463904</t>
  </si>
  <si>
    <t xml:space="preserve">INJANTE CANCHO ROSANGELA </t>
  </si>
  <si>
    <t>41866734</t>
  </si>
  <si>
    <t>QUILCA HUAMANI ANGIE STEFANY</t>
  </si>
  <si>
    <t>72916848</t>
  </si>
  <si>
    <t>ZAVALETA PESANTES ALLYN OSWALDO</t>
  </si>
  <si>
    <t>17871600</t>
  </si>
  <si>
    <t>AMESQUITA GUILLEN GRACE GRACIELA</t>
  </si>
  <si>
    <t>43070596</t>
  </si>
  <si>
    <t>SAMANEZ PEREZ JORGE MAURO</t>
  </si>
  <si>
    <t>41410102</t>
  </si>
  <si>
    <t>Médico Especialista en el Área de Medicina Interna</t>
  </si>
  <si>
    <t>PACHAS HUANACUNI MONICA PAOLA</t>
  </si>
  <si>
    <t>47303240</t>
  </si>
  <si>
    <t>DEL RIO GARAY MARIELENA PAMELA</t>
  </si>
  <si>
    <t>47995786</t>
  </si>
  <si>
    <t>MORALES ARGANDOÑA MARIA BELEN</t>
  </si>
  <si>
    <t>70582149</t>
  </si>
  <si>
    <t>CUYA CACERES MARIA ANGELICA</t>
  </si>
  <si>
    <t>42911409</t>
  </si>
  <si>
    <t>ARAUCO DE PAZ ROMMY GABRIELA</t>
  </si>
  <si>
    <t>40292773</t>
  </si>
  <si>
    <t>SOTO TRUJILLO SANDRA EULALIA</t>
  </si>
  <si>
    <t>48165763</t>
  </si>
  <si>
    <t>LOAYZA SALAZAR VANESSA LISSETTE</t>
  </si>
  <si>
    <t>41849701</t>
  </si>
  <si>
    <t>Médico Especialista en el Área de Neumología</t>
  </si>
  <si>
    <t>QUEZADA VALVERDE DIANA CAROLINA</t>
  </si>
  <si>
    <t>44162165</t>
  </si>
  <si>
    <t>ENFERMERA (O)</t>
  </si>
  <si>
    <t>FUENTES HERNANDEZ ALFONSO HERMINIO EMANUELLE</t>
  </si>
  <si>
    <t>47052479</t>
  </si>
  <si>
    <t>ORTEGA GARAY HEYDY YUVITZA</t>
  </si>
  <si>
    <t>46649910</t>
  </si>
  <si>
    <t>LONGA VIA JULY MILAGRITO</t>
  </si>
  <si>
    <t>46441350</t>
  </si>
  <si>
    <t>CARHUAJULCA SAAVEDRA ANGELA MILAGROS</t>
  </si>
  <si>
    <t>73184490</t>
  </si>
  <si>
    <t>CAMPOS GONZALES PAMELA ISABEL</t>
  </si>
  <si>
    <t>47343666</t>
  </si>
  <si>
    <t>SUCARI ZEGARRA LIZET NORITH</t>
  </si>
  <si>
    <t>43445587</t>
  </si>
  <si>
    <t>CALERO SANDOVAL DE MORÁN CYNTHIA NELLY</t>
  </si>
  <si>
    <t>41993767</t>
  </si>
  <si>
    <t>MURGUIA OBANDO CINDY MILAGROS</t>
  </si>
  <si>
    <t>45508289</t>
  </si>
  <si>
    <t xml:space="preserve">ARRIBASPLATA ESCARCENA VICTORIA </t>
  </si>
  <si>
    <t>45541240</t>
  </si>
  <si>
    <t xml:space="preserve">QUISPE MORAN ZAIDA </t>
  </si>
  <si>
    <t>44100312</t>
  </si>
  <si>
    <t>MORENO CUBA FATIMA DEL ROSARIO</t>
  </si>
  <si>
    <t>47250414</t>
  </si>
  <si>
    <t>ANCHANTE HUAMAN JENNY AZUCENA</t>
  </si>
  <si>
    <t>40225768</t>
  </si>
  <si>
    <t>ROBLES MUCHA ELIANA MELINA</t>
  </si>
  <si>
    <t>40144074</t>
  </si>
  <si>
    <t xml:space="preserve">Enfermera(o) Especialista en Cuidados Intensivos </t>
  </si>
  <si>
    <t>ALARCÓN PARRA CARLA PATRICIA</t>
  </si>
  <si>
    <t>45367830</t>
  </si>
  <si>
    <t>Médico Especialista en el Área de Medicina Intensiva</t>
  </si>
  <si>
    <t>RUIZ ROJAS LISSETTE DEL ROSARIO</t>
  </si>
  <si>
    <t>44670205</t>
  </si>
  <si>
    <t>ROSALES ANDIA CINDY ANABEL</t>
  </si>
  <si>
    <t>47591095</t>
  </si>
  <si>
    <t>RAMIREZ RENGIFO INGRID NATALY</t>
  </si>
  <si>
    <t>42586522</t>
  </si>
  <si>
    <t>PALOMINO ROJAS EDDY EDSON</t>
  </si>
  <si>
    <t>46164195</t>
  </si>
  <si>
    <t>ENFERMERA (O) ESPECIALISTA EN CUIDADOS INTENSIVOS</t>
  </si>
  <si>
    <t>OSORIO CASTRO AILEEN CANDY</t>
  </si>
  <si>
    <t>43014944</t>
  </si>
  <si>
    <t>OLIVOS CUETO TATIANA MELISSA</t>
  </si>
  <si>
    <t>44826659</t>
  </si>
  <si>
    <t>MALLQUI BENAVENTE SARA GUADALUPE</t>
  </si>
  <si>
    <t>70068186</t>
  </si>
  <si>
    <t>LUCHO FARROMEQUE MARIA HEIDY</t>
  </si>
  <si>
    <t>40452434</t>
  </si>
  <si>
    <t>LLANQUE FRAQUITA JONATHAN MANUEL</t>
  </si>
  <si>
    <t>42566081</t>
  </si>
  <si>
    <t>LLANOS GRADOS JHEYRA MISSIEL</t>
  </si>
  <si>
    <t>72134204</t>
  </si>
  <si>
    <t xml:space="preserve">HERVIAS CANTA PAOLA </t>
  </si>
  <si>
    <t>70024429</t>
  </si>
  <si>
    <t xml:space="preserve">CHAVEZ GARAY ZONIA </t>
  </si>
  <si>
    <t>40558798</t>
  </si>
  <si>
    <t>BUSTAMANTE GUERRERO JHORDAN ACXELL</t>
  </si>
  <si>
    <t>72161147</t>
  </si>
  <si>
    <t>BARRIOS CUZCANO SILVIA GERALDINE</t>
  </si>
  <si>
    <t>46248921</t>
  </si>
  <si>
    <t xml:space="preserve">BACILIO SEDANO SAMUEL </t>
  </si>
  <si>
    <t>20051614</t>
  </si>
  <si>
    <t>Médico Especialista en Medicina de Emergencias y Desastres</t>
  </si>
  <si>
    <t>JIMENEZ SUCA PATTY LUZ</t>
  </si>
  <si>
    <t>44520718</t>
  </si>
  <si>
    <t>HUAMANI VEGA JOSEP DANILO</t>
  </si>
  <si>
    <t>43942185</t>
  </si>
  <si>
    <t>HARSTER FERNÁNDEZ CABERO EVA FERNANDA</t>
  </si>
  <si>
    <t>70394370</t>
  </si>
  <si>
    <t xml:space="preserve">GIBAJA ACOSTA LIZBETH </t>
  </si>
  <si>
    <t>47174260</t>
  </si>
  <si>
    <t>MEDICO CIRUJANO</t>
  </si>
  <si>
    <t>ABARCA DEL CARPIO RITA CAROLINA</t>
  </si>
  <si>
    <t>43265751</t>
  </si>
  <si>
    <t>Médico Especialista en el Área de Geriatría</t>
  </si>
  <si>
    <t>ISLA GONZALES JENNY ISABEL</t>
  </si>
  <si>
    <t>71541319</t>
  </si>
  <si>
    <t>Técnico en Enfermería</t>
  </si>
  <si>
    <t>BOULANGGER EZETA BRIGITTE ELIZABETH</t>
  </si>
  <si>
    <t>72916573</t>
  </si>
  <si>
    <t>Auxiliar de Educación</t>
  </si>
  <si>
    <t>ARREGLISTA MUSICAL</t>
  </si>
  <si>
    <t>VARGAS GUEVARA LUIS ENRIQUE</t>
  </si>
  <si>
    <t>80255079</t>
  </si>
  <si>
    <t>Arreglista Musical</t>
  </si>
  <si>
    <t>VERTIZ BARRANTES MARIA ESTEFANY</t>
  </si>
  <si>
    <t>42095503</t>
  </si>
  <si>
    <t>Médico Especialista en el área de Pediatría</t>
  </si>
  <si>
    <t xml:space="preserve">LUNA LAZO JACQUELINE </t>
  </si>
  <si>
    <t>44582795</t>
  </si>
  <si>
    <t>Licenciada en Enfermería</t>
  </si>
  <si>
    <t xml:space="preserve">ARCOS PANTOJA FLOR DE MARIA </t>
  </si>
  <si>
    <t>21859782</t>
  </si>
  <si>
    <t>LICENCIADO EN PSICOLOGIA</t>
  </si>
  <si>
    <t>PSICOLOGO</t>
  </si>
  <si>
    <t>CONTRERAS NAVARRO GISSELLA MAGALI</t>
  </si>
  <si>
    <t>40597370</t>
  </si>
  <si>
    <t>Psicólogo</t>
  </si>
  <si>
    <t>JESFEN CORNELIO KARIM DIANA</t>
  </si>
  <si>
    <t>40751720</t>
  </si>
  <si>
    <t>Auxiliar de Sistema Administrativo</t>
  </si>
  <si>
    <t>CHAVEZ MATA CECILIA EDELMIRA</t>
  </si>
  <si>
    <t>07268083</t>
  </si>
  <si>
    <t>VALDIVIA VILLANUEVA KAREN LIZET</t>
  </si>
  <si>
    <t>40538172</t>
  </si>
  <si>
    <t>Auxiliar de Enfermería Dental</t>
  </si>
  <si>
    <t>ESPINOZA PEÑA MELISSA ROSANNA</t>
  </si>
  <si>
    <t>46192914</t>
  </si>
  <si>
    <t>IPANAQUE QUIROZ CARMEN ROSA</t>
  </si>
  <si>
    <t>42409527</t>
  </si>
  <si>
    <t>INGENIERO ELECTRICISTA</t>
  </si>
  <si>
    <t>MUÑOZ MALDONADO GUADALUPE HILDA</t>
  </si>
  <si>
    <t>Gestor Educativo en Ingeniería y Coordinación de Cubierta</t>
  </si>
  <si>
    <t>RIQUELME NUÑEZ JOSE ANTONIO</t>
  </si>
  <si>
    <t>Auditor Sénior (Encargado)</t>
  </si>
  <si>
    <t xml:space="preserve">SUNCION GARCIA BETY </t>
  </si>
  <si>
    <t>Auxiliar de Enfermería</t>
  </si>
  <si>
    <t xml:space="preserve">TAPIA PORRAS DE RODRIGUEZ GRACIELA </t>
  </si>
  <si>
    <t>Oficinista</t>
  </si>
  <si>
    <t>DIAZ ORJEDA JOSE LUIS ANGEL</t>
  </si>
  <si>
    <t>MILLONES NORIEGA CARLOS MANUEL</t>
  </si>
  <si>
    <t>Especialista en Sistemas Informáticos</t>
  </si>
  <si>
    <t>LICENCIADO EN DERECHO</t>
  </si>
  <si>
    <t>VALDIVIEZO MAYORGA FRANCIS IVANNA</t>
  </si>
  <si>
    <t>Asistente en Auditoría</t>
  </si>
  <si>
    <t>PROFESIONAL TÉCNICO EN ENFERMERÍA TÉCNICA</t>
  </si>
  <si>
    <t>UCHUYA PACO JAZMIN MARGOT</t>
  </si>
  <si>
    <t>BACA ALARCON ROSA CAROLINA</t>
  </si>
  <si>
    <t>CRUZ ZAPATA LIGIA MAVEL</t>
  </si>
  <si>
    <t>TITULO PROFESIONAL DE CIRUJANO DENTISTA</t>
  </si>
  <si>
    <t>CIRUJANO DENTISTA</t>
  </si>
  <si>
    <t>CANALES GALARZA RUBBY WELLA</t>
  </si>
  <si>
    <t>Cirujano Dentista</t>
  </si>
  <si>
    <t>MEJIA GONZALO JOSE PABLO</t>
  </si>
  <si>
    <t>Experto en Gestión de Programas de Segunda Especialidad Profesional</t>
  </si>
  <si>
    <t>PUENTE ARNAO TIRAVANTI JAVIER ANDRÉS</t>
  </si>
  <si>
    <t>07878160</t>
  </si>
  <si>
    <t>Médico Especialista en el área de Ginecología</t>
  </si>
  <si>
    <t>BERECHE SIESQUEN MAGGALLY ROCIO</t>
  </si>
  <si>
    <t>Médico Especialista en el Área de Radiología</t>
  </si>
  <si>
    <t>AYALA REYES GUZMAN JACK</t>
  </si>
  <si>
    <t>25698268</t>
  </si>
  <si>
    <t>Trabajador de Servicios (Vigilancia)</t>
  </si>
  <si>
    <t>QUIÑE DE MIRANDA ROXANA BALTAZARA</t>
  </si>
  <si>
    <t>Operario de Limpieza</t>
  </si>
  <si>
    <t>TITULO DE ESPECIALISTA EN INFANTERÍA DE MARINA</t>
  </si>
  <si>
    <t>INFANTERIA</t>
  </si>
  <si>
    <t>RETO GAMBOA EDMUNDO ELENO</t>
  </si>
  <si>
    <t>Tecnico Especializado en sistemas mecánicos de Vehículos tácticos</t>
  </si>
  <si>
    <t>TÉCNICO DE MARINA DE GUERRA</t>
  </si>
  <si>
    <t xml:space="preserve">PACHECO POCCO EPIFANIO </t>
  </si>
  <si>
    <t>Técnico Especialista en Sistema Electrónico y Comunicaciones</t>
  </si>
  <si>
    <t xml:space="preserve">CARRILLO BECERRA FERNANDO </t>
  </si>
  <si>
    <t>Jardinero</t>
  </si>
  <si>
    <t>FACUNDO LOPEZ LUZ MAGALY</t>
  </si>
  <si>
    <t>40585471</t>
  </si>
  <si>
    <t>Especialista en Recursos Humanos</t>
  </si>
  <si>
    <t>TITULO PROFESIONAL DE ECONOMISTA</t>
  </si>
  <si>
    <t>GONZALEZ HINOSTROZA AUGUSTO GENARO</t>
  </si>
  <si>
    <t>Encargado de Formulación en Ejecución Presupuestal</t>
  </si>
  <si>
    <t>VERA MONTOYA RAFAEL EDUARDO</t>
  </si>
  <si>
    <t>Experto en Gestión del Programa de Alto Mando Naval</t>
  </si>
  <si>
    <t>IRIGOYEN NORIEGA JUAN MIGUEL EDUARDO</t>
  </si>
  <si>
    <t>Experto en Gestión del Programa de Comando y Estado Mayor</t>
  </si>
  <si>
    <t>INGENIERIA ELECTRICA</t>
  </si>
  <si>
    <t>RAMIREZ BARRERA ROBERT STWARD</t>
  </si>
  <si>
    <t>Especialista en Ingeniería Electrónica de Unidades Navales</t>
  </si>
  <si>
    <t>RUBIN DE CELIS AGRADA NELLY MERCEDES</t>
  </si>
  <si>
    <t>Abogado</t>
  </si>
  <si>
    <t>JIMENEZ CORNEJO JUAN FRANCISCO</t>
  </si>
  <si>
    <t>Especialista en Racionalización</t>
  </si>
  <si>
    <t>LICENCIADO EN GESTIÓN</t>
  </si>
  <si>
    <t>SOTO MUÑANTE SAID GANDOLFO</t>
  </si>
  <si>
    <t>Especialista en Procesos y Mejora de la Calidad</t>
  </si>
  <si>
    <t>SALINAS VILLAORDUÑA LUZ ELIZABETH</t>
  </si>
  <si>
    <t>GARAY FUERTES MARIA ISABEL</t>
  </si>
  <si>
    <t>Técnico en Farmacia</t>
  </si>
  <si>
    <t xml:space="preserve">GUEVARA VALENCIA AYLEN </t>
  </si>
  <si>
    <t>SILVA BASADUR LUIS ANTONIO</t>
  </si>
  <si>
    <t xml:space="preserve">ORTIZ MORANTE CHRISTIAN </t>
  </si>
  <si>
    <t>Médico Especialista en el área de Nefrología</t>
  </si>
  <si>
    <t>GAMIO ARIAS CARLA MARIELA</t>
  </si>
  <si>
    <t>Médico Especialista en el área de Gastroenterología</t>
  </si>
  <si>
    <t>LANDA ABAD MAURO SAMUEL</t>
  </si>
  <si>
    <t>Especialista en Gestión de Procesos de Certificación y Titulación</t>
  </si>
  <si>
    <t>SAENZ BUSTAMANTE SOFIA MABEL</t>
  </si>
  <si>
    <t>Médico Especialista  en el Área de Endocrinología</t>
  </si>
  <si>
    <t>CASTRO VIACAVA GUIDA ALICIA</t>
  </si>
  <si>
    <t>Médico Especialista en el Área de Geriatra</t>
  </si>
  <si>
    <t>INGENIERO MECÁNICO</t>
  </si>
  <si>
    <t>VALLADARES SAMANIEGO CESAR ALBERTO</t>
  </si>
  <si>
    <t>Asesor técnico de equipos auxiliares de las unidades navales</t>
  </si>
  <si>
    <t>QUISPE LEON JANNET MAGALY</t>
  </si>
  <si>
    <t>Auxiliar de Nutrición</t>
  </si>
  <si>
    <t>LICENCIADO EN TECNOLOGÍA MÉDICA</t>
  </si>
  <si>
    <t>TECNOLOGO MEDICO</t>
  </si>
  <si>
    <t>VALLE CHAVEZ MARIA LUISA</t>
  </si>
  <si>
    <t>Tecnólogo Médico (Terapia Física y Rehabilitación)</t>
  </si>
  <si>
    <t>MOREYRA SOTO NELLY GLADYS DEL CARMEN</t>
  </si>
  <si>
    <t>MOTTA QUIJANDRIA MAGALLY MARINA</t>
  </si>
  <si>
    <t>MORALES BENITES ELENA DEL SOCORRO</t>
  </si>
  <si>
    <t>MERINO TABOADA ANDREA SOFIA</t>
  </si>
  <si>
    <t>RAMIREZ MIRANDA ANGELICA MARIBEL</t>
  </si>
  <si>
    <t>SANDOVAL SAAVEDRA LADY VANESSA</t>
  </si>
  <si>
    <t>BARRANTES QUIÑONES ROCIO DEL PILAR</t>
  </si>
  <si>
    <t xml:space="preserve">CADENAS GARCIA MARIELA </t>
  </si>
  <si>
    <t>VARA LOPEZ FLOR VIOLETA</t>
  </si>
  <si>
    <t>LOPEZ ANTICONA CARMEN EVELYN</t>
  </si>
  <si>
    <t>SALDARRIAGA TALLEDO PATRICIA LYSETTE</t>
  </si>
  <si>
    <t>FARIAS GARCIA MARYORI CELINDA</t>
  </si>
  <si>
    <t xml:space="preserve">DE LA CRUZ FERNANDEZ EDITH </t>
  </si>
  <si>
    <t>VILLAGOMEZ CHANG LIZ MARIBEL</t>
  </si>
  <si>
    <t>PACHECO VASQUEZ DALIRA MILAGROS</t>
  </si>
  <si>
    <t>MAESTRO EN POLÍTICA MARÍTIMA</t>
  </si>
  <si>
    <t>VINATEA CAMERE MARIO ENRIQUE</t>
  </si>
  <si>
    <t>Experto en Gestión de Extensión Universitaria y Proyección Social</t>
  </si>
  <si>
    <t xml:space="preserve">MOLINA MANZANILLA ALFREDO </t>
  </si>
  <si>
    <t>Técnico Especialista en Logística y Control de Archivo General</t>
  </si>
  <si>
    <t>DIAZ VILLEGAS GREGORY MISHELL</t>
  </si>
  <si>
    <t>TECNICO MARINA DE GUERRA</t>
  </si>
  <si>
    <t>ECHEGARAY SANCHEZ FERMIN ANGEL</t>
  </si>
  <si>
    <t>Tecnico Especializado en secretaría administrativa</t>
  </si>
  <si>
    <t>DIEGUEZ VARGAS VERONICA LILY</t>
  </si>
  <si>
    <t>Especialista en Sistemas de Información</t>
  </si>
  <si>
    <t>TUBILLA SANCHEZ KAREM DEL PILAR LISSETE</t>
  </si>
  <si>
    <t>SALAS BENAVIDES NELLY AMANDA</t>
  </si>
  <si>
    <t>FALCON ESTELA EDITH FRIDA</t>
  </si>
  <si>
    <t>Auxiliar de Farmacia</t>
  </si>
  <si>
    <t>TECNICO DOCUMENTARIO</t>
  </si>
  <si>
    <t xml:space="preserve">TEODORO SALAS JUAN </t>
  </si>
  <si>
    <t>Técnico Especialista en Gestión Documentaria</t>
  </si>
  <si>
    <t>CABALLERO LANDAVERY NITA ZULMA</t>
  </si>
  <si>
    <t>Licenciada en Obstetricia</t>
  </si>
  <si>
    <t>CAVERO PAULINO KELLY MARITZA</t>
  </si>
  <si>
    <t>PROFESIONAL TÉCNICO EN TÉCNICA EN FISIOTERAPIA Y REHANILITACIÓN</t>
  </si>
  <si>
    <t>TECNICO TERAPISTA</t>
  </si>
  <si>
    <t>MORALES OLIVARES NOELIA MILAGROS</t>
  </si>
  <si>
    <t>Técnico en Terapia Física</t>
  </si>
  <si>
    <t>GAMARRA MANCO CARLA GIULLIANA</t>
  </si>
  <si>
    <t xml:space="preserve">MANTILLA RAMIREZ AMANDA </t>
  </si>
  <si>
    <t>RELACIONES PUBLICAS</t>
  </si>
  <si>
    <t>CHAVEZ HERRERA JENNY DOLORES</t>
  </si>
  <si>
    <t>Apoyo en el Área de Imagen Institucional y Relaciones Públicas</t>
  </si>
  <si>
    <t>TECNICO EN GUIA OFICIAL DE TURISMO</t>
  </si>
  <si>
    <t>GUIA</t>
  </si>
  <si>
    <t>FERIA MORE DAMARIS MARIA</t>
  </si>
  <si>
    <t>Guía de Museo</t>
  </si>
  <si>
    <t>PEÑA MAYORGA CLAUDIA XIMENA</t>
  </si>
  <si>
    <t>Médico Especialista en el área de Medicina Intensiva</t>
  </si>
  <si>
    <t>LLERENA MIÑAN VICTOR ILICH</t>
  </si>
  <si>
    <t>Médico Especialiste en el área de Infectología</t>
  </si>
  <si>
    <t>CUMPEN CRIBILLERO MARIA LUCINDA</t>
  </si>
  <si>
    <t xml:space="preserve">Auxiliar de Nutrición </t>
  </si>
  <si>
    <t>BACHILLER EN CIENCIAS CON MENCION EN INGENIERÍA INDUSTRIAL</t>
  </si>
  <si>
    <t>GUTIERREZ BARRIGA GINA MEERLY</t>
  </si>
  <si>
    <t>Especialista en Costos y Presupuesto</t>
  </si>
  <si>
    <t>CRUZADO GONZALES HERMES VALENTIN</t>
  </si>
  <si>
    <t>45884847</t>
  </si>
  <si>
    <t>Operador Vigilante</t>
  </si>
  <si>
    <t xml:space="preserve">ESPINOZA ROBLES DORA </t>
  </si>
  <si>
    <t>46735596</t>
  </si>
  <si>
    <t>Licenciado(a) en Enfermería</t>
  </si>
  <si>
    <t>CALAGUA MOJOROVICH RICARDO NICOLAS</t>
  </si>
  <si>
    <t>45745986</t>
  </si>
  <si>
    <t>Abogado Especialista en Contrataciones del Estado</t>
  </si>
  <si>
    <t>COLOMA DIEZ CANSECO JOSE LUIS</t>
  </si>
  <si>
    <t>43360365</t>
  </si>
  <si>
    <t>Asesor Experto en inversión, defensa y seguridad nacional</t>
  </si>
  <si>
    <t>HUAPAYA CENTENO JULIO CESAR</t>
  </si>
  <si>
    <t>Especialista en Proyectos de Inversión Pública</t>
  </si>
  <si>
    <t>ADMINISTRADOR</t>
  </si>
  <si>
    <t>RUEDA GARCIA FELIX YOSHUA</t>
  </si>
  <si>
    <t>Asistente de Presupuesto para el Aplicativo Informático AIRHSP y MCPP</t>
  </si>
  <si>
    <t>SALVATIERRA PEÑA OSCAR MANUEL</t>
  </si>
  <si>
    <t>Técnico especialista en análisis de armas y ejercicios de tiro de las unidades navales  en el ámbito de la seguridad nacional</t>
  </si>
  <si>
    <t>COMBE GARCIA PEDRO HERNAN</t>
  </si>
  <si>
    <t>Asesor en Gestión Operativa y Administrativa</t>
  </si>
  <si>
    <t>CASTRO PEREZ GUILLERMO JORGE</t>
  </si>
  <si>
    <t>HINOSTROZA ALBERTO SADITH NOEMI</t>
  </si>
  <si>
    <t xml:space="preserve">GUIZADO GUTIERREZ DE CASAS JUDITH </t>
  </si>
  <si>
    <t xml:space="preserve">VILLANUEVA DOMINGUEZ ELENA </t>
  </si>
  <si>
    <t>Trabajador de servicios (Limpieza) / Operador de Limpieza</t>
  </si>
  <si>
    <t>ARISTA LINARES ROMA GEORGINA</t>
  </si>
  <si>
    <t xml:space="preserve">MANZANEDO TORIBIO DOMITILA </t>
  </si>
  <si>
    <t>SARMIENTO TABOADA YAZZURY VANESSA</t>
  </si>
  <si>
    <t>PARRALES DONAYRE ROCÍO MILUSKA</t>
  </si>
  <si>
    <t>Médico Especialista en el Área Gastroenterología</t>
  </si>
  <si>
    <t>GONZALES MATTOS JEANETTE ALLISON</t>
  </si>
  <si>
    <t>10710593</t>
  </si>
  <si>
    <t>Cirujano Dentista Especialista en el área de Rehabilitación Oral</t>
  </si>
  <si>
    <t xml:space="preserve">CHAVEZ PALOMO MARILU </t>
  </si>
  <si>
    <t>BACHILLER EN ADMINISTRACIÓN DE EMPRESAS</t>
  </si>
  <si>
    <t>VILLALTA LOPEZ ULISES DAVID</t>
  </si>
  <si>
    <t>Asistente de Fiscalización Administrativa y Financiera</t>
  </si>
  <si>
    <t xml:space="preserve">CAMACHO TELLO SUSANA </t>
  </si>
  <si>
    <t>Asesor Legal</t>
  </si>
  <si>
    <t>MENDEZ MARTOS JAHAIRA MARIA ISABEL</t>
  </si>
  <si>
    <t>Abogado I</t>
  </si>
  <si>
    <t>MANSILLA RODRIGUEZ MOISES WILLIAN</t>
  </si>
  <si>
    <t>Docente en Ingeniería Eléctrica</t>
  </si>
  <si>
    <t>BACHILLER EN CIENCIAS DE LA COMUNICACIÓN</t>
  </si>
  <si>
    <t>LIZARRAGA ZAMBRANO JUAN PABLO</t>
  </si>
  <si>
    <t>Especialista en Producción de Audiovisuales</t>
  </si>
  <si>
    <t>VASQUEZ DE LA BORDA MARIA ANGELA</t>
  </si>
  <si>
    <t>CARDOSO CASTAÑEDA FANY EVA</t>
  </si>
  <si>
    <t>AGUIRRE RODRIGUEZ ROSARIO DEL CARMEN</t>
  </si>
  <si>
    <t>RAMIREZ ROJAS DE BECERRA MARTHA VALENTINA</t>
  </si>
  <si>
    <t>ZANABRIA LUDEÑA BEATRIZ LIZBETH</t>
  </si>
  <si>
    <t xml:space="preserve">SANTA CRUZ SANCHEZ GREY </t>
  </si>
  <si>
    <t>Auxiliar Sistema Administrativo</t>
  </si>
  <si>
    <t>QUISPE LEON YACKELINE LEYDI</t>
  </si>
  <si>
    <t xml:space="preserve">Auxiliar de Nutrición (Cocinero) </t>
  </si>
  <si>
    <t>LA TORRE MORALES LIA ISABEL</t>
  </si>
  <si>
    <t>LICENCIADO EN COMUNICACIÓN</t>
  </si>
  <si>
    <t>CAUTI CHAVEZ ALBERTO RAY</t>
  </si>
  <si>
    <t>Especialista en Comunicación Social</t>
  </si>
  <si>
    <t>LEON PALOMINO CLAUDIA SOPHIA</t>
  </si>
  <si>
    <t>Médico Especialista en el área de Cardiología</t>
  </si>
  <si>
    <t xml:space="preserve">LICENCIADO EN ESTADÍSTICO </t>
  </si>
  <si>
    <t>ESTADISTICO</t>
  </si>
  <si>
    <t>RODRIGUEZ SAENZ LILIA DIGNA</t>
  </si>
  <si>
    <t>Estadístico</t>
  </si>
  <si>
    <t>TITULO PROFESIONAL DE INGENIERO</t>
  </si>
  <si>
    <t>HUANACHIN OSORIO JOSE ALBERTO</t>
  </si>
  <si>
    <t>Gestor Educativo y Coordinador de Proyectos de Investigación</t>
  </si>
  <si>
    <t>BACHILLER EN INGENIERÍA DE COMPUTACIÓN Y SISTEMAS</t>
  </si>
  <si>
    <t>NARVAEZ GARCIA ROBIN RODOLFO</t>
  </si>
  <si>
    <t xml:space="preserve">Especialista de software para proyectos de desarrollo tecnológico en las unidades navales </t>
  </si>
  <si>
    <t>YNOQUIO HERRERA CARLOS VLADIMIR</t>
  </si>
  <si>
    <t>LICENCIADO EN NUTRICIÓN</t>
  </si>
  <si>
    <t xml:space="preserve">CALDERON BERNAL RITA DEL CARMEN </t>
  </si>
  <si>
    <t>Licenciada en Nutrición</t>
  </si>
  <si>
    <t xml:space="preserve">MAGISTER EN INGENIERIA DE CONTROL Y AUTOMATIZACIÓN </t>
  </si>
  <si>
    <t>GONZALES LECAROS SERGIO NICOLAS</t>
  </si>
  <si>
    <t>Asesor I en Sistemas de Control de Propulsión de las Unidades Navales</t>
  </si>
  <si>
    <t>CARDENAS GRADOS JORGE DEMETRIO MANUEL</t>
  </si>
  <si>
    <t>Especialista en Gestión de Procesos Académicos</t>
  </si>
  <si>
    <t>SERNA CRUZ MARIEL IVETTE</t>
  </si>
  <si>
    <t>HUALLANCA DE LA CRUZ DE INGA KATIA DEL PILAR</t>
  </si>
  <si>
    <t>CHAVEZ DE LA CRUZ JEISSY KATHERINE</t>
  </si>
  <si>
    <t>Tecnólogo Médico en Radiología</t>
  </si>
  <si>
    <t>ARIMANA SUAREZ JESSICA MILAGROS</t>
  </si>
  <si>
    <t>COLLADO PACHECO STEPHANIE ZENAIDA</t>
  </si>
  <si>
    <t>MILLA SAAVEDRA DENESI ANTHUANE</t>
  </si>
  <si>
    <t xml:space="preserve">VALENZUELA RODRIGUEZ BLANCA </t>
  </si>
  <si>
    <t>VIDAL PACHECO GAMBOA JORGE LUIS</t>
  </si>
  <si>
    <t>Asesor I en Ingeniería Naval</t>
  </si>
  <si>
    <t>RAMON ARRIETA MIGUEL ANGEL</t>
  </si>
  <si>
    <t>Técnico Especializado en Sistemas</t>
  </si>
  <si>
    <t>PROGRAMADOR</t>
  </si>
  <si>
    <t>MANRIQUE AYALA RICHARD MICHAELL</t>
  </si>
  <si>
    <t>Especialista Programador de Software para Proyectos de Desarrollo Tecnológico</t>
  </si>
  <si>
    <t>CARRION CASTRO ALBERTO ENRIQUE</t>
  </si>
  <si>
    <t>Especialista en Disciplinas Deportivas</t>
  </si>
  <si>
    <t>CABELLO LOPEZ AUGUSTO ELMER</t>
  </si>
  <si>
    <t>Especialista en Infraestructura de Plataformas Navales</t>
  </si>
  <si>
    <t>NOAIN RENGIFO KATY ZORINA</t>
  </si>
  <si>
    <t xml:space="preserve">MARTINEZ BARRANTES KETTY </t>
  </si>
  <si>
    <t>Trabajador de Servicios (Limpieza)</t>
  </si>
  <si>
    <t xml:space="preserve">VEGA GOYCOCHEA DE ZETA DOLY </t>
  </si>
  <si>
    <t>CHIROQUE ADRIANZEN WALTER MIGUEL</t>
  </si>
  <si>
    <t xml:space="preserve">ODAR SANCHEZ DE DOMINGUEZ SONIA </t>
  </si>
  <si>
    <t xml:space="preserve">RAMIREZ CABUDIVO MARITZA </t>
  </si>
  <si>
    <t xml:space="preserve">VILLACORTA VALDIVIEZO DARBIN </t>
  </si>
  <si>
    <t>Trabajador de servicios (vigilante)</t>
  </si>
  <si>
    <t>ROMERO TORRES EMILIANO LADISLAO</t>
  </si>
  <si>
    <t>Especialista en Gestión de Investigación Tecnológica Naval</t>
  </si>
  <si>
    <t>DAVILA JAHNSEN JUAN MANUEL</t>
  </si>
  <si>
    <t>Especialista de Diseño de Estructura</t>
  </si>
  <si>
    <t xml:space="preserve">BUENDIA MATAMOROS GUSTAVO </t>
  </si>
  <si>
    <t xml:space="preserve">Especialista en electrónica para proyectos de desarrollo tecnológico en las unidades navales </t>
  </si>
  <si>
    <t>FINANZAS</t>
  </si>
  <si>
    <t>HUAMAN VALENCIA HECTOR GUILLERMO</t>
  </si>
  <si>
    <t>Especialista  en Proyectos de Inversión Pública 2</t>
  </si>
  <si>
    <t>LICENCIADO EN EDUCACION</t>
  </si>
  <si>
    <t xml:space="preserve">BONILLA BELLO VILMA </t>
  </si>
  <si>
    <t>07478344</t>
  </si>
  <si>
    <t>Gestor Educativo en Ingeniería Informática y Coordinación de Soporte</t>
  </si>
  <si>
    <t>CASTRO PEREZ LUIS HERMOGENES</t>
  </si>
  <si>
    <t>42169378</t>
  </si>
  <si>
    <t>ARZOLA RIVERA CARLOS ALFONSO</t>
  </si>
  <si>
    <t>41341535</t>
  </si>
  <si>
    <t>Médico (Medicina General)</t>
  </si>
  <si>
    <t>HERRERA JAUREGUI FELIPE SANTIAGO</t>
  </si>
  <si>
    <t>25850473</t>
  </si>
  <si>
    <t>Experto en Auditoría</t>
  </si>
  <si>
    <t xml:space="preserve">AGUILAR RENGIFO NORITH </t>
  </si>
  <si>
    <t>08272892</t>
  </si>
  <si>
    <t>SALAZAR VIDAL GERALDINE ROSARIO</t>
  </si>
  <si>
    <t>Auxiliar de despacho aduanero</t>
  </si>
  <si>
    <t>PINILLOS RODRIGUEZ MARIO GERMAN RICARDO</t>
  </si>
  <si>
    <t>Experto en Contrainteligencia en el Marco de la Seguridad Nacional</t>
  </si>
  <si>
    <t>DIAZ SANCHEZ BRENDA ELENA</t>
  </si>
  <si>
    <t>LINDO SAMANAMUD NANCY ELIZABETH</t>
  </si>
  <si>
    <t>GILBONIO ACEVEDO BRIZA PAMELA</t>
  </si>
  <si>
    <t>ATAMARI CARDENAS MARIO JESUS</t>
  </si>
  <si>
    <t>Auxiliar de Nutrición (Panadero)</t>
  </si>
  <si>
    <t>MALAVER FLORES SUSANA VICTORIA</t>
  </si>
  <si>
    <t>Auxiliar de Nutrición (Cocinero)</t>
  </si>
  <si>
    <t>DAVILA RODRIGUEZ CARMEN LIDIA</t>
  </si>
  <si>
    <t>ROMAN ROBLEDO JULIET CYNTHIA</t>
  </si>
  <si>
    <t>PROFESIONAL DE QUÍMICO FARMACÉUTICO</t>
  </si>
  <si>
    <t>QUIMICO FARMACEUTICO</t>
  </si>
  <si>
    <t>ALATA CAYCHO GLADYS JULIANA</t>
  </si>
  <si>
    <t>Químico Farmacéutico</t>
  </si>
  <si>
    <t>MARTINEZ CARDENAS MIGUEL ANGEL</t>
  </si>
  <si>
    <t>Trabajador de Servicios (Vigilante)</t>
  </si>
  <si>
    <t>GARCIA TRUJILLO JUAN CARLOS</t>
  </si>
  <si>
    <t>ESCOBEDO LLANOS DE AGUILAR MAGDA CAROLA</t>
  </si>
  <si>
    <t>MANRIQUE PEREZ SILVIA ANGELICA</t>
  </si>
  <si>
    <t>AVILA PAJUELO CARMEN PILAR</t>
  </si>
  <si>
    <t>HUAPAYA PORRAS BETSY MELISSA</t>
  </si>
  <si>
    <t>VALDERRAMA NUÑEZ MAGALY SUNALLY</t>
  </si>
  <si>
    <t xml:space="preserve">VEGA SEVEDON JULISSA </t>
  </si>
  <si>
    <t>GUERREROS VASQUEZ YRIS LUISA</t>
  </si>
  <si>
    <t>FLORES CHUMPITAZ JAKLINS LESLIE</t>
  </si>
  <si>
    <t>BLAS ABANTO AURELIO HELI</t>
  </si>
  <si>
    <t>POMA PALMA ROSA ISABEL</t>
  </si>
  <si>
    <t xml:space="preserve">VILLAFUERTE CRUZATE FLOR DE JESUS </t>
  </si>
  <si>
    <t>SAKUMA DELGADO ENRIQUE ANDRES</t>
  </si>
  <si>
    <t xml:space="preserve">GRANDIN YENGLE JORGE </t>
  </si>
  <si>
    <t>INGENIERO ELECTRÓNICO</t>
  </si>
  <si>
    <t>PEZO VARGAS JAIME DARIO</t>
  </si>
  <si>
    <t>Especialista para proyectos de desarrollo tecnológico y asesoramiento en reingeniería de los equipos de las unidades navales</t>
  </si>
  <si>
    <t>CASTRO REYES PABLO CESAR</t>
  </si>
  <si>
    <t>25799213</t>
  </si>
  <si>
    <t>COMPUTACION EN INFORMATICA</t>
  </si>
  <si>
    <t>INFORMATICA</t>
  </si>
  <si>
    <t>HONORIO LAYZA ALEX DANIEL</t>
  </si>
  <si>
    <t>Técnico de Taller (Cómputo)</t>
  </si>
  <si>
    <t>LAGUNA ROJAS MIGUEL ANGEL</t>
  </si>
  <si>
    <t>Operador de Limpieza</t>
  </si>
  <si>
    <t xml:space="preserve">VILLACORTA OCAMPO WALQUER </t>
  </si>
  <si>
    <t xml:space="preserve">Operario de Limpieza </t>
  </si>
  <si>
    <t xml:space="preserve">ROMERO GARCIA GALINDO </t>
  </si>
  <si>
    <t>OLIVARES SOLIS SHEYLA EVELYN</t>
  </si>
  <si>
    <t>Licenciado en Enfermería</t>
  </si>
  <si>
    <t>RIOS TRUJILLO JESUS GUILLERMO</t>
  </si>
  <si>
    <t xml:space="preserve">OSORES JURADO CESAR </t>
  </si>
  <si>
    <t>Auxiliar Agropecuario (Jardinero)</t>
  </si>
  <si>
    <t>HUACO . GODOFREDO MARTIN</t>
  </si>
  <si>
    <t>ESPINOZA DIOSES CRISTHIAN DANIEL</t>
  </si>
  <si>
    <t>LICENCIADA EN EDUCACIÓN ESPECIALIDAD EN LENGUA Y LITERATURA</t>
  </si>
  <si>
    <t>MATIAS PACHAS DE NAVARRO GLADYS LIBIA</t>
  </si>
  <si>
    <t>Docente en Gestión de la Calidad, Autoevaluación y Acreditación Educativa</t>
  </si>
  <si>
    <t>TÍTULO DE PRÁCTICO MARITIMO EXPERTO</t>
  </si>
  <si>
    <t>GALVEZ GAVEGLIO PEDRO NICOLAS TADEO</t>
  </si>
  <si>
    <t>41568812</t>
  </si>
  <si>
    <t>Especialista en ejecutar los procedimientos en las maniobras de las unidades navales dentro del ámbito de la Seguridad Nacional</t>
  </si>
  <si>
    <t>PRIETO MELENDEZ OSCAR ESTUARDO</t>
  </si>
  <si>
    <t>Docente en Gestión Educativa para la investigación académica en el área de Seguridad de defensa en Operaciones navales y ciberespacio del Centro de Investigación y Generación del Conocimiento</t>
  </si>
  <si>
    <t>TITULO PROFESIONAL DE INGENIERO CIVIL</t>
  </si>
  <si>
    <t>VAELLA CARRION DANTE EFRAIN</t>
  </si>
  <si>
    <t>MEJIA BASURCO LUIS ALBERTO</t>
  </si>
  <si>
    <t xml:space="preserve">Especialista en Inversión Publica en Defensa y Seguridad Nacional </t>
  </si>
  <si>
    <t>PUESCAS MOSCOL SANTIAGO ANTONIO</t>
  </si>
  <si>
    <t>Asesor de Presupuesto y Gestión Pública</t>
  </si>
  <si>
    <t>LICENCIADO EN HISTORIA Y GESTIÓN CULTURAL</t>
  </si>
  <si>
    <t>ROSAS VALLEBUONA LEONARDO ANTONIO</t>
  </si>
  <si>
    <t>Director de Museo</t>
  </si>
  <si>
    <t>LUNA AUBRY FELIX RAFAEL</t>
  </si>
  <si>
    <t>Docente en Gestión Educativa para la supervisión y coordinación de actividades académicas de la División de Diplomaturas y Educación Virtual</t>
  </si>
  <si>
    <t>HORRUITINER QUIROZ LUIS FELIPE</t>
  </si>
  <si>
    <t>Experto en Inteligencia en la Colección de Información en el Marco de la Seguridad Nacional</t>
  </si>
  <si>
    <t>GARCES GHILARDI JORGE GUILLERMO</t>
  </si>
  <si>
    <t>Experto en Contrainteligencia en el Ámbito de la Seguridad Nacional</t>
  </si>
  <si>
    <t>PINTO DEL POZO JORGE HERNAN</t>
  </si>
  <si>
    <t>Experto en Gestión y Administración de Recursos Especiales en el Marco de la Seguridad Nacional</t>
  </si>
  <si>
    <t>PALOMINO MASCO JOEL FERNANDO</t>
  </si>
  <si>
    <t>Gestor Educativo en Investigación y Proyectos de Ingeniería Electrónica</t>
  </si>
  <si>
    <t>MAESTRÍA EN MÚSICA</t>
  </si>
  <si>
    <t>MUSICO</t>
  </si>
  <si>
    <t>DIAZ JIMENEZ JORGE ALEJANDRO</t>
  </si>
  <si>
    <t>001554908</t>
  </si>
  <si>
    <t>Asesor Musical</t>
  </si>
  <si>
    <t>BRAVO MARTINEZ ALDO ORLANDO</t>
  </si>
  <si>
    <t>Docente en Gestión Educativa en el Área de Gestión Educativa en la Dirección General de Educación de la Marina</t>
  </si>
  <si>
    <t>RAMOS RAYGADA MANUEL ALEJANDRO</t>
  </si>
  <si>
    <t>Asesor en Gestión Educativa</t>
  </si>
  <si>
    <t>AYMA QUIRITA VICTOR ANDRES</t>
  </si>
  <si>
    <t>Experto en Desarrollo Tecnológico</t>
  </si>
  <si>
    <t xml:space="preserve">DEL AGUILA CANAYO JULIETH </t>
  </si>
  <si>
    <t>Asistente Administrativo</t>
  </si>
  <si>
    <t>FLORES LA TORRE BETHANIA ZASHA</t>
  </si>
  <si>
    <t>Encargado del Control previo simultáneo de la gestión económica y financiera</t>
  </si>
  <si>
    <t>ARISTA PIZARRO PALOMA ISABEL</t>
  </si>
  <si>
    <t>GAMARRA ELIAS CARLOS ENRIQUE</t>
  </si>
  <si>
    <t>Asesor II en Intereses Marítimos</t>
  </si>
  <si>
    <t>CARDENAS SERNA DENNISSE STEPHANIE</t>
  </si>
  <si>
    <t>BONILLA HERMOZA ROSSANA GIULIANA</t>
  </si>
  <si>
    <t>TÍTULO PROFESIONAL DE LICENCIADO EN ADMINISTRACIÓN</t>
  </si>
  <si>
    <t>DULANTO FAVERIO IVAN JORGE</t>
  </si>
  <si>
    <t>Especialista en Actividades de control de la gestión administrativa económica y financiera de seguridad nacional en los asuntos militares, operacionales y disciplinarios</t>
  </si>
  <si>
    <t>PILLCO MENDOZA RONALD JORGE</t>
  </si>
  <si>
    <t xml:space="preserve">Personal de Seguridad </t>
  </si>
  <si>
    <t>HUAMAN GUTIERREZ ZORINA MABEL</t>
  </si>
  <si>
    <t>Técnico Especialista en Recursos Humanos</t>
  </si>
  <si>
    <t>JAUREGUI DE LA CRUZ ALEXIS SUELEN</t>
  </si>
  <si>
    <t>CASTRO RAMIREZ JOSE MARTIN</t>
  </si>
  <si>
    <t>Especialista en Ejecución de Obras</t>
  </si>
  <si>
    <t>ODONTOLOGO</t>
  </si>
  <si>
    <t xml:space="preserve">GARRIDO MATICORENA ERIKA </t>
  </si>
  <si>
    <t xml:space="preserve">CAMUS BUSTAMANTE ALFREDO </t>
  </si>
  <si>
    <t>Médico Especialista en el área de Endocrinología</t>
  </si>
  <si>
    <t xml:space="preserve">ALVARADO GARAZATUA PABLO </t>
  </si>
  <si>
    <t>Cirujano Dentista especialista en cirugía buco maxilofacial</t>
  </si>
  <si>
    <t xml:space="preserve">LLATA ROSADO ABEL </t>
  </si>
  <si>
    <t>Analista de Control de Calidad del Banco de Sangre</t>
  </si>
  <si>
    <t>SANDOVAL VARGAS PATRICIA FABIOLA</t>
  </si>
  <si>
    <t xml:space="preserve">VALDIVIA PAIVA DE OJEDA SILVIA </t>
  </si>
  <si>
    <t>PROFESIONAL TÉCNICO EN PRÓTESIS DENTAL</t>
  </si>
  <si>
    <t>TECNICO EN PROTESIS</t>
  </si>
  <si>
    <t>ROMERO CUADROS ABRAHAM MOISES</t>
  </si>
  <si>
    <t>Técnico Especializado en Protesis Dental</t>
  </si>
  <si>
    <t xml:space="preserve">DIAZ TORERO PEDRO </t>
  </si>
  <si>
    <t>Analista en Convenios Educativos</t>
  </si>
  <si>
    <t>CHAPOÑAN NEYRA JUAN MANUEL</t>
  </si>
  <si>
    <t>USUCACHI CONDORI LUZ MARINA</t>
  </si>
  <si>
    <t>Auxiliar de Nutrición (Cocina)</t>
  </si>
  <si>
    <t>PALOMINO JIMENEZ JORGE RAUL</t>
  </si>
  <si>
    <t>COCHACHIN MIRANDA JUAN ALBERTO</t>
  </si>
  <si>
    <t>LICENCIADA EN ARQUEOLOGÍA</t>
  </si>
  <si>
    <t>ARQUEOLOGO</t>
  </si>
  <si>
    <t>RODRIGUEZ HURTADO JUDITH ANA</t>
  </si>
  <si>
    <t>Museólogo</t>
  </si>
  <si>
    <t>TAN GALVEZ WALTHER JOAO</t>
  </si>
  <si>
    <t>DIAZ SAAVEDRA CAROLINA LEONOR</t>
  </si>
  <si>
    <t>Ingeniero de Sistemas</t>
  </si>
  <si>
    <t>TITULO DE ESPECIALISTA EN PROCESO DE DATOS</t>
  </si>
  <si>
    <t>LUCERO GUEVARA DELICIA ESMERALDA</t>
  </si>
  <si>
    <t>Especialista de Sistemas de Software</t>
  </si>
  <si>
    <t>TECNICO EN CONTROL DE TIRO</t>
  </si>
  <si>
    <t>GALINDO TASAYCO FREDY JAIME</t>
  </si>
  <si>
    <t>Técnico especialista en reparación del sistema de control de tiro de las unidades navales submarinas en el ámbito de la seguridad nacional</t>
  </si>
  <si>
    <t>ANTAYHUA CHAMPI EVELYN ROCIO</t>
  </si>
  <si>
    <t>Orientador al Usuario</t>
  </si>
  <si>
    <t xml:space="preserve">REATEGUI SIFUENTES MARISOL </t>
  </si>
  <si>
    <t>Especialista en Gestión Pública</t>
  </si>
  <si>
    <t>OSADA MOCHIZUKI JOSE ANTONIO</t>
  </si>
  <si>
    <t>Especialista en Sistemas Electrónicos</t>
  </si>
  <si>
    <t>PILCO PILCO MARY SABEL</t>
  </si>
  <si>
    <t>CORDERO RETAMOZO FELIX SANDRO</t>
  </si>
  <si>
    <t>VENTURA ISIDRO LUZ ANGELICA</t>
  </si>
  <si>
    <t xml:space="preserve">SUAREZ CRUZ JANETH </t>
  </si>
  <si>
    <t xml:space="preserve">Especialista para la Implementación de la Ley del Servicio Civil </t>
  </si>
  <si>
    <t>TITULO DE ESPECIALISTA EN RADIOLOGIA BUCAL Y MAXILO FACIAL</t>
  </si>
  <si>
    <t>CHAVEZ TUÑON EILEEN LORENA</t>
  </si>
  <si>
    <t>Cirujano Dentista especialista en radiología oral y maxilofacial</t>
  </si>
  <si>
    <t>ROMERO MAMANI YNMA RENEE</t>
  </si>
  <si>
    <t xml:space="preserve">ROJAS RUGEL EDDY </t>
  </si>
  <si>
    <t>Licenciado en Neuropsicología</t>
  </si>
  <si>
    <t>ALATA CAYCHO JENNY KATHERINE</t>
  </si>
  <si>
    <t>CHAVEZ DEMARINI JOEL ORLANDO</t>
  </si>
  <si>
    <t>LICENCIATURA EN COMPOSICIÓN CON MEDIOS ELECTROACÚSTICOS</t>
  </si>
  <si>
    <t>MUSICOLOGO</t>
  </si>
  <si>
    <t>AHON VARGAS JUAN ENRIQUE</t>
  </si>
  <si>
    <t>LINDO SANTAMARIA ISRAEL OMAR</t>
  </si>
  <si>
    <t>Técnico en Prótesis Dental</t>
  </si>
  <si>
    <t>RUIZ CRUZ SUSAN LIZETH</t>
  </si>
  <si>
    <t>70192284</t>
  </si>
  <si>
    <t>VERDI TARAZONA EVELYNG LLOSELI</t>
  </si>
  <si>
    <t xml:space="preserve">LOPEZ PRETTEL KATTY </t>
  </si>
  <si>
    <t>PAZ CALDAS PAOLA MILAGROS</t>
  </si>
  <si>
    <t>Tecnólogo Médico en Audición y Lenguaje</t>
  </si>
  <si>
    <t>MEZA QUEZADA JUSTY JAROL</t>
  </si>
  <si>
    <t>DIAZ ZULOETA HOYOS EVELYN LAURA</t>
  </si>
  <si>
    <t>Psicologo</t>
  </si>
  <si>
    <t>ELCORROBARRUTIA JIMENEZ MADDY ADISSON</t>
  </si>
  <si>
    <t>TÉCNICO EN PODOLOGÍA</t>
  </si>
  <si>
    <t>RENTERIA MENDOZA MARIA VIOLETA</t>
  </si>
  <si>
    <t>Auxiliar en Podología</t>
  </si>
  <si>
    <t xml:space="preserve">RAMOS RODRIGUEZ GUILLERMO </t>
  </si>
  <si>
    <t>Técnico especialista en sistemas y equipos de almacenamiento y reabastecimiento de combustible y lubricantes de las unidades navales y aeronavales en el ámbito de la seguridad nacional</t>
  </si>
  <si>
    <t>MENDOZA RIVERA DENISE EDITH</t>
  </si>
  <si>
    <t>OVALLE GARCIA JANETT FELICITA</t>
  </si>
  <si>
    <t>VERGARAY BARDALES GLORIA ESTELA</t>
  </si>
  <si>
    <t>TAFUR MORALES OSCAR DAVID</t>
  </si>
  <si>
    <t>Asistente Funerario</t>
  </si>
  <si>
    <t>RAMOS CHAVEZ SOFIA HAYDEE</t>
  </si>
  <si>
    <t>62884339</t>
  </si>
  <si>
    <t>PORRAS FLORES NELLY ANTONIETA</t>
  </si>
  <si>
    <t>16644691</t>
  </si>
  <si>
    <t>ZAVALA YAÑEZ VICTOR HUGO</t>
  </si>
  <si>
    <t>Artesano (Pintor)</t>
  </si>
  <si>
    <t>VALLES BACCA DERLLY ESTHER</t>
  </si>
  <si>
    <t>JURADO LENGUA WENDY LUCERO</t>
  </si>
  <si>
    <t>GARCIA SILVA DIANA DELIA</t>
  </si>
  <si>
    <t>RIVAS GALLOSO PAUL HARRY</t>
  </si>
  <si>
    <t xml:space="preserve">Especialista en programación para proyectos de desarrollo tecnológico en las unidades navales </t>
  </si>
  <si>
    <t xml:space="preserve">SANCHEZ IDROGO MARLENE </t>
  </si>
  <si>
    <t>MEDINA TENORIO RUTH NOEMI</t>
  </si>
  <si>
    <t>41783218</t>
  </si>
  <si>
    <t xml:space="preserve">CHICHIPE GOMEZ MAXIMINO </t>
  </si>
  <si>
    <t>PARIONA RAMIREZ LEONARDA ANGELICA</t>
  </si>
  <si>
    <t>TERAPISTA</t>
  </si>
  <si>
    <t xml:space="preserve">ITO RIVERA HAYDEE </t>
  </si>
  <si>
    <t>Tecnólogo Médico en Terapia Fíaica y Rehabilitación</t>
  </si>
  <si>
    <t>ORDERIQUE MOGOLLON MIGUEL ANGEL</t>
  </si>
  <si>
    <t>Tecnólogo Médico en Laboratorio Clínico</t>
  </si>
  <si>
    <t>EVANGELISTA ONSEHUAY LUZ MARIA</t>
  </si>
  <si>
    <t>TUANAMA TAPULLIMA SEGUNDO JAIME</t>
  </si>
  <si>
    <t xml:space="preserve">YNFANTE CHAVARRY MARLENE </t>
  </si>
  <si>
    <t>TITULO PROFESIONAL DE LICENCIADO EN NUTRICIÒN HUMANA</t>
  </si>
  <si>
    <t>ELIAS PASACHE CARLOS JAVIER</t>
  </si>
  <si>
    <t>Licenciado en Nutrición</t>
  </si>
  <si>
    <t>DIAZ CHARA EDITH SANDY</t>
  </si>
  <si>
    <t>47664407</t>
  </si>
  <si>
    <t>Tecnólogo Médico en Terapia Física y Rehabilitación</t>
  </si>
  <si>
    <t>PAYANO NEGRON CARLOS ALEXANDER</t>
  </si>
  <si>
    <t>43356726</t>
  </si>
  <si>
    <t>Asesor II en Presupuesto Público</t>
  </si>
  <si>
    <t>LICENCIADO EN EDUCACIÓN</t>
  </si>
  <si>
    <t>HUALLAQUISPE PIMENTEL JOHANA CAROL</t>
  </si>
  <si>
    <t>Docente - Fisica</t>
  </si>
  <si>
    <t>CIRUJANO DENTISTA EN REHABILITACION ORAL</t>
  </si>
  <si>
    <t>URDAY GUTIERREZ YUL BERLING</t>
  </si>
  <si>
    <t>Cirujano Dentista especialista en rehabilitación oral</t>
  </si>
  <si>
    <t>RAMON BALDEON MARIA ISABEL</t>
  </si>
  <si>
    <t>PAREDES ALVA DANIEL ARTURO</t>
  </si>
  <si>
    <t>40734927</t>
  </si>
  <si>
    <t xml:space="preserve">BAZAN AYQUIPA MONICA </t>
  </si>
  <si>
    <t>CORDOVA GODOY JESUS ALEXANDER</t>
  </si>
  <si>
    <t>MAGÍSTER EN PSICOLOGÍA EDUCATIVA</t>
  </si>
  <si>
    <t>DEPAZ CASAS GISSELLA JESUS DEL ROCIO</t>
  </si>
  <si>
    <t>45679789</t>
  </si>
  <si>
    <t>Docente - Educacion Inicial</t>
  </si>
  <si>
    <t>HUAPAYA VASQUEZ GISSELA ANGELICA</t>
  </si>
  <si>
    <t>ALVITRES BOCANEGRA DE LLANOS ERICA SANDRA</t>
  </si>
  <si>
    <t>40101385</t>
  </si>
  <si>
    <t>PROFESIONAL PROFESOR EN ARTES PLÁSTICAS</t>
  </si>
  <si>
    <t>AMBIA MARTINEZ SONIA MARIA</t>
  </si>
  <si>
    <t>Docente - Artes Platicas</t>
  </si>
  <si>
    <t>SECRETARIO ADMINISTRATIVO</t>
  </si>
  <si>
    <t>CALIXTO ARANA AUGUSTO MANUEL</t>
  </si>
  <si>
    <t>Técnico Especialista en Archivo Judicial</t>
  </si>
  <si>
    <t>VASQUEZ CERNA ROSA MARIA</t>
  </si>
  <si>
    <t>Médico en Medicina General</t>
  </si>
  <si>
    <t xml:space="preserve">HUAMAN SARANGO RAFAEL </t>
  </si>
  <si>
    <t>Operario para Mantenimiento de áreas verdes</t>
  </si>
  <si>
    <t>SALINAS CORCUERA OSCAR GUILLERMO</t>
  </si>
  <si>
    <t>Especialista en Doctrina Naval para la Seguridad y Defensa Nacional</t>
  </si>
  <si>
    <t>VILCA URDIALES LUCIOLA DARLENE</t>
  </si>
  <si>
    <t>SARRIA PUERTAS VICTOR HUGO</t>
  </si>
  <si>
    <t>Asesor I en Ciencias Básicas</t>
  </si>
  <si>
    <t>ROJAS GALARZA FREDY CELSO</t>
  </si>
  <si>
    <t>Docente (Matemática)</t>
  </si>
  <si>
    <t>ADMINISTRACION DE EMPRESAS</t>
  </si>
  <si>
    <t>MURILLO ZUÑE VANIA ROCÍO</t>
  </si>
  <si>
    <t>Asistente en Proceso Presupuestario y Regímenes de Pensiones</t>
  </si>
  <si>
    <t>LICENCIADO EN HISTORIA Y SOCIOLOGÍA</t>
  </si>
  <si>
    <t>HISTORIA</t>
  </si>
  <si>
    <t>GUERRERO VARAS JERKA MILAGROS</t>
  </si>
  <si>
    <t>Director de Museo Naval</t>
  </si>
  <si>
    <t>LUNA HUERTA ROYSER BENDJEDID</t>
  </si>
  <si>
    <t>Asistente Legal</t>
  </si>
  <si>
    <t>DIAZ AÑAZCO JOSE LUIS</t>
  </si>
  <si>
    <t>Abogado Sénior</t>
  </si>
  <si>
    <t>SERPA BELLO CESAR ELESBAN</t>
  </si>
  <si>
    <t>Asesor I en Calidad Total e Innovación</t>
  </si>
  <si>
    <t>INGA BACA VICTORIA MILAGROS</t>
  </si>
  <si>
    <t>MAGUIÑA TORRES DE LAZO LUZ VICTORIA</t>
  </si>
  <si>
    <t xml:space="preserve">MENDOZA VELASQUEZ NILA </t>
  </si>
  <si>
    <t>Especialista en Psicologia Organizacional</t>
  </si>
  <si>
    <t>MOSTACERO MENDOZA YURI RICHARD</t>
  </si>
  <si>
    <t>CAFFERATA ESCUDERO JOSE SERGIO</t>
  </si>
  <si>
    <t>Especialista en Trámites Administrativos</t>
  </si>
  <si>
    <t>BARRANTES LUQUE DE MORA DANSY ROSANGELA</t>
  </si>
  <si>
    <t>41433658</t>
  </si>
  <si>
    <t>INFORMATICO</t>
  </si>
  <si>
    <t>ROJAS ORRILLO OSCAR ENRIQUE</t>
  </si>
  <si>
    <t>43418843</t>
  </si>
  <si>
    <t>LICENCIADO EN EDUCACIÓN PRIMARIA</t>
  </si>
  <si>
    <t>RAMIREZ ALVARADO YESSICA MATILDE</t>
  </si>
  <si>
    <t>45834602</t>
  </si>
  <si>
    <t>Docente - Primaria</t>
  </si>
  <si>
    <t>BACHILLER EN SOCIOLOGIA</t>
  </si>
  <si>
    <t>SOCIOLOGO</t>
  </si>
  <si>
    <t>SANCHEZ RAMIREZ GERZON HERMENEJILDO</t>
  </si>
  <si>
    <t>Asistente en Realidad Social</t>
  </si>
  <si>
    <t>MONTERO QUINCHO BRAULIO EDGAR</t>
  </si>
  <si>
    <t>YABAR ACUÑA FRANCISCO JOSE BENIGNO</t>
  </si>
  <si>
    <t>CHIARELLA CABALLERO ANDRES ALBERTO</t>
  </si>
  <si>
    <t>Asesor en Política Marítima</t>
  </si>
  <si>
    <t>PORTOCARRERO PEÑAFIEL JORGE RAUL</t>
  </si>
  <si>
    <t>Asesor en Gestión Pública</t>
  </si>
  <si>
    <t>VELASQUEZ ALFARO MERCEDES ROSA</t>
  </si>
  <si>
    <t>08118724</t>
  </si>
  <si>
    <t>Mantenimiento II</t>
  </si>
  <si>
    <t>FARRO CHUICA CARLOS ALBERTO</t>
  </si>
  <si>
    <t>DISEÑADOR WEB</t>
  </si>
  <si>
    <t>DISEÑADOR</t>
  </si>
  <si>
    <t>PALOMINO ALVARADO LUIS ANTONIO</t>
  </si>
  <si>
    <t>Técnico Programador de Sistemas</t>
  </si>
  <si>
    <t>PEREZ ROMAN EDUARDO ANTONIO</t>
  </si>
  <si>
    <t>Experto en Gestión de Juegos de Guerra y de Manejo de Crisis</t>
  </si>
  <si>
    <t>DEL RISCO OLIVARES JAIME EDUARDO</t>
  </si>
  <si>
    <t>Especialista en Organización, Reglamentos y Estándares del material para la Seguridad y Defensa Nacional</t>
  </si>
  <si>
    <t>RODRIGUEZ LOPEZ TEDDY MARTIN</t>
  </si>
  <si>
    <t>ESCOBAR TRELLES ROXANA MARLENE</t>
  </si>
  <si>
    <t>RODRIGUEZ ASTI JOHN ROLANDO</t>
  </si>
  <si>
    <t>Analista en Historia General</t>
  </si>
  <si>
    <t>VALENCIA DELGADILLO STEFANI GRACIELA</t>
  </si>
  <si>
    <t xml:space="preserve">SARAVIA TORRES MARLENE </t>
  </si>
  <si>
    <t>CUECHE QUISPE CARMEN ROSA</t>
  </si>
  <si>
    <t xml:space="preserve">ARREGUI ATAYUPANQUI RUTH </t>
  </si>
  <si>
    <t>CARPIO GUICHARD ANA ESTER</t>
  </si>
  <si>
    <t>OPERADOR DE EQUIPO ELECTRONICO</t>
  </si>
  <si>
    <t xml:space="preserve">YAUCE BANCES GREGORIO </t>
  </si>
  <si>
    <t>07530354</t>
  </si>
  <si>
    <t>Técnico Especialista en la reparación de equipos y/o sistemas electrónicos de unidades submarinas en el ámbito de la seguridad nacional</t>
  </si>
  <si>
    <t>TITULO DE ESPECIALISTA EN ARTILLERIA</t>
  </si>
  <si>
    <t>ARTILLERO</t>
  </si>
  <si>
    <t>CHAVEZ RONDON NICOLAS MIGUEL ANGEL</t>
  </si>
  <si>
    <t>Técnico Especializado en Sistemas de Armas Navales</t>
  </si>
  <si>
    <t>TECNICO EN COMPUTO</t>
  </si>
  <si>
    <t>RIVERA YATACO JUAN MANUEL</t>
  </si>
  <si>
    <t>Técnico Especialista en Administración de Base de Datos</t>
  </si>
  <si>
    <t>SANTAMARIA CRUZ FIDEL VICTOR MANUEL</t>
  </si>
  <si>
    <t>Asesor en Planeamiento Estratégico</t>
  </si>
  <si>
    <t>ZAPATER INJOQUE JUAN MIGUEL</t>
  </si>
  <si>
    <t xml:space="preserve">Asesor I en Ciencias Navales y Entrenamiento </t>
  </si>
  <si>
    <t>PUCLLAS . CARMEN VICTORIA</t>
  </si>
  <si>
    <t>GARCIA TRUJILLO OSCAR RAUL</t>
  </si>
  <si>
    <t>Personal de Seguridad</t>
  </si>
  <si>
    <t>MORALES SAAVEDRA DORA VIOLETA</t>
  </si>
  <si>
    <t>SOTO AGREDA NIDIA YANINA</t>
  </si>
  <si>
    <t>BASILIO RODRIGUEZ SUSY AMANDA</t>
  </si>
  <si>
    <t>AUXILIAR DE ENFERMERÍA DENTAL</t>
  </si>
  <si>
    <t>PAJUELO CALDERON IRIS YANINA</t>
  </si>
  <si>
    <t>Especialista en Contrataciones del Estado</t>
  </si>
  <si>
    <t>CUHELLO SAAVEDRA AGUEDA LUZ</t>
  </si>
  <si>
    <t>AUXILIAR DE EDUCACIÓN</t>
  </si>
  <si>
    <t>BONILLA GAMARRA FIORELLA ROCIO</t>
  </si>
  <si>
    <t>Licienciada en Nutrición</t>
  </si>
  <si>
    <t>VILLALOBOS AYAUCAN CARMEN LUISA</t>
  </si>
  <si>
    <t>TRUJILLO PALMA CECILIA DEL PILAR</t>
  </si>
  <si>
    <t>PUMA LIBON DORIS MARIBEL</t>
  </si>
  <si>
    <t>GUILLEN FARFAN ZAIDA YASMIN</t>
  </si>
  <si>
    <t>DIAZ GARCIA AMELIA RITA</t>
  </si>
  <si>
    <t>AYALA CCORIMANYA CARINA YSABEL</t>
  </si>
  <si>
    <t>ORTIZ BELLIDO EVA ROSA</t>
  </si>
  <si>
    <t>QUISPE DE LA CRUZ EDINSON ISAIAS</t>
  </si>
  <si>
    <t>RODRIGUEZ AMPUERO URSULA MILAGROS</t>
  </si>
  <si>
    <t>HUALLPA QUISPE MARIA CARMEN</t>
  </si>
  <si>
    <t>CHAVEZ AGURTO NORMA YOLANDA</t>
  </si>
  <si>
    <t>CANDELA SULCA JUAN ESTEBAN</t>
  </si>
  <si>
    <t>Técnico especialista en reparación del sistema de control de tiro de las unidades navales (Fragata Misilera) en el ámbito de la seguridad nacional</t>
  </si>
  <si>
    <t>PROFESIONAL TÉCNICO EN COMUNICACIÓN AUDIVISUAL</t>
  </si>
  <si>
    <t>ALARCON RIVERA DANNY DAVID</t>
  </si>
  <si>
    <t>Asistente de Producción de Audiovisuales</t>
  </si>
  <si>
    <t>TITULO DE ESPECIALISTA EN ELECTRÓNICA</t>
  </si>
  <si>
    <t>ELECTRONICO</t>
  </si>
  <si>
    <t>LLENQUE FIESTAS JOSE ENRIQUE</t>
  </si>
  <si>
    <t>Técnico especialista en sistemas de guerra electrónica y sensores de las unidades navales de superficie en el ámbito de la seguridad nacional</t>
  </si>
  <si>
    <t xml:space="preserve">BARRIENTOS ECHENIQUE GISELLA </t>
  </si>
  <si>
    <t xml:space="preserve">CASTILLO PEREZ MAXIMILIANO </t>
  </si>
  <si>
    <t>Técnico especialista en reparación del sistema de control de tiro de las unidades navales (corbeta misilera) en el ámbito de la seguridad nacional</t>
  </si>
  <si>
    <t>VERA GUZMAN JOSE FERNANDO</t>
  </si>
  <si>
    <t>Experto en Planeamiento en el Marco de la Seguridad Nacional</t>
  </si>
  <si>
    <t>RIOS RODRIGUEZ LUIS ANTONIO</t>
  </si>
  <si>
    <t>Experto de Inteligencia en Procesos de Producción e Inteligencia Estratégica en el Marco de la Seguridad Nacional</t>
  </si>
  <si>
    <t>TÍTULO DE PROFESIONAL TÉCNICO EN SECRETARIO ADMINISTRATIVO</t>
  </si>
  <si>
    <t>RANGEL FLORES ALBERTO GONZALO</t>
  </si>
  <si>
    <t>Supervisor en gestión documentaria de la Oficina de Planes, Programas y Presupuesto</t>
  </si>
  <si>
    <t>CABALLERO INFANTE TORIBIO ALFONSO</t>
  </si>
  <si>
    <t>RODRIGUEZ TARAZONA GLORIA VIRGINIA</t>
  </si>
  <si>
    <t xml:space="preserve">RODRIGUEZ KELLEY JUAN </t>
  </si>
  <si>
    <t>Experto en Política y Relaciones Internacionales para Seguridad y Defensa</t>
  </si>
  <si>
    <t xml:space="preserve">CARDENAS RAMIREZ IRIS </t>
  </si>
  <si>
    <t>Auxiliar de Secretaría</t>
  </si>
  <si>
    <t>MEZARINA PACHAS FERNANDO ARNALDO</t>
  </si>
  <si>
    <t>Técnico Especializado en Sistemas de Sonares Navales</t>
  </si>
  <si>
    <t>ZAMBRANO CHAVARRI JULIO CESAR</t>
  </si>
  <si>
    <t>Asesor I en Grados y Títulos</t>
  </si>
  <si>
    <t>VILLAR MOLINA CARLOS ALFONSO</t>
  </si>
  <si>
    <t>Asesor I en Ingeniería y Armas</t>
  </si>
  <si>
    <t>PROFESIONAL TECNICO EN FISIOTERAPIA Y REHABILITACION</t>
  </si>
  <si>
    <t>DEL CASTILLO TORRES MARIA MAGDALENA</t>
  </si>
  <si>
    <t xml:space="preserve">PECEROS ZAVALA ELIZABETH </t>
  </si>
  <si>
    <t>AUXILIAR EN PRÓTESIS DENTAL</t>
  </si>
  <si>
    <t>BETETA ESPINOZA LIZ MARINA</t>
  </si>
  <si>
    <t xml:space="preserve">INCA AMANCA GLADYS </t>
  </si>
  <si>
    <t>ROJAS CHACON ANDRE PAOLO</t>
  </si>
  <si>
    <t>70495381</t>
  </si>
  <si>
    <t>Analista en Programación y Aplicaciones</t>
  </si>
  <si>
    <t>ZARAUZ CHAVEZ EDUARDO ROBERTO ALONSO</t>
  </si>
  <si>
    <t>Docente en Gestión Educativa para la conducción de programas académicos de la División de Maestrías</t>
  </si>
  <si>
    <t>MESTANZA OSTOLAZA PAOLO CARLOS</t>
  </si>
  <si>
    <t>PONCE CHAVEZ RAUL EDGARDO</t>
  </si>
  <si>
    <t>Experto en Gestión de Acreditación y Certificación de la Calidad Educativa</t>
  </si>
  <si>
    <t>DIAZ NIERI JORGE LUIS PEDRO</t>
  </si>
  <si>
    <t>Asesor de Procesos de Calidad Educativa Militar</t>
  </si>
  <si>
    <t xml:space="preserve">TAVARA AREVALO FRANCISCO </t>
  </si>
  <si>
    <t>Técnico Especializado en Contrataciones del Estado y Seguridad Nacional</t>
  </si>
  <si>
    <t>ELECTRONICA</t>
  </si>
  <si>
    <t>TECNICO EN CAPACITACION</t>
  </si>
  <si>
    <t>GUZMAN CHAVEZ ALBERTO ESTEBAN</t>
  </si>
  <si>
    <t xml:space="preserve">Especialista en Normatividad de Logística Militar </t>
  </si>
  <si>
    <t>BROUSSET BARRIOS JORGE VICTOR</t>
  </si>
  <si>
    <t>Asesor en Realidad Marítima</t>
  </si>
  <si>
    <t>Técnico Especializado en Sistemas de Radares</t>
  </si>
  <si>
    <t xml:space="preserve">VERGARA ALDAVE ESTALIN </t>
  </si>
  <si>
    <t>NAVARRETE PEÑALOZA ORLANDO PASTOR</t>
  </si>
  <si>
    <t>Técnico Especialista en Sistema Electrónico Naval</t>
  </si>
  <si>
    <t xml:space="preserve">ESPINAL PAZ DARIO </t>
  </si>
  <si>
    <t>LLERENA FREITAS SHEYLA JEANETTE</t>
  </si>
  <si>
    <t>Recepcionista</t>
  </si>
  <si>
    <t xml:space="preserve">SULLCARAYME HUAMAN PROSPERO </t>
  </si>
  <si>
    <t>CHUMACERO FIGUEROA JHON BORIS</t>
  </si>
  <si>
    <t>PARI QUISPE YENNIFER EUGENIA</t>
  </si>
  <si>
    <t>MENDOZA CASTILLO MARGARITA EDUARDA</t>
  </si>
  <si>
    <t>GUEVARA ALVAREZ ERNESTO ARMANDO</t>
  </si>
  <si>
    <t xml:space="preserve">Especialista en ingeniería industrial para proyectos de desarrollo tecnológico en las unidades navales </t>
  </si>
  <si>
    <t>ESPECIALISTA EN TURBINAS</t>
  </si>
  <si>
    <t xml:space="preserve">ANCCO LOZA HUMBERTO </t>
  </si>
  <si>
    <t>Técnico especialista en turbinar a gas, sistemas y equipos de las unidades navales en el ámbito de la seguridad nacional</t>
  </si>
  <si>
    <t>CHAVEZ-QUIROZ PACHECO JOSE MARIA ALBERTO DEMETRIO BENIGNO</t>
  </si>
  <si>
    <t>Experto en Inteligencia sobre Amenazas no Convencionales en el Marco de la Seguridad Nacional</t>
  </si>
  <si>
    <t xml:space="preserve">BUGARIN NUÑEZ FRANCISCO </t>
  </si>
  <si>
    <t>Especialista de Comercio exterior</t>
  </si>
  <si>
    <t>FLORES LEANDRO CARLOS ALBERTO</t>
  </si>
  <si>
    <t>Encargado de Almacén</t>
  </si>
  <si>
    <t>PROFESIONAL TÉCNICO EN INTELIGENCIA</t>
  </si>
  <si>
    <t>TECNICO EN TRADUCCION</t>
  </si>
  <si>
    <t>DELGADO POLAR MANUEL ROBERTO</t>
  </si>
  <si>
    <t>Técnico Especialista en Traducción en el Marco de la Seguridad Nacional</t>
  </si>
  <si>
    <t>BACHILLER EN CIENCIAS CON MENCIÓN EN INGENIERÍA ELÉCTRICA</t>
  </si>
  <si>
    <t>ESCAJADILLO LARA JORGE EDUARDO</t>
  </si>
  <si>
    <t xml:space="preserve">Especialista en armas submarinas </t>
  </si>
  <si>
    <t>INGENIERIA DE SISTEMAS</t>
  </si>
  <si>
    <t>LOAYZA LOPEZ CAROL SOFIA</t>
  </si>
  <si>
    <t>Especialista en Formulación presupuestal</t>
  </si>
  <si>
    <t>TEC.ECONOM.</t>
  </si>
  <si>
    <t xml:space="preserve">RUIZ CHAMPA GIANCARLO </t>
  </si>
  <si>
    <t>25862551</t>
  </si>
  <si>
    <t>Especialista en rendiciones de cuenta</t>
  </si>
  <si>
    <t>LEMA OSORES CARLOS ATTILIO ROBERTO</t>
  </si>
  <si>
    <t>Asesor en Intereses Marítimos</t>
  </si>
  <si>
    <t>NUÑEZ MONTOYA JORGE ALBERTO</t>
  </si>
  <si>
    <t>Asesor II en Comunicación Institucional</t>
  </si>
  <si>
    <t>IDAÑEZ MARREROS LEONEL MARTIN ANTONIO</t>
  </si>
  <si>
    <t>Auxiliar de Lavandería</t>
  </si>
  <si>
    <t>SANCHEZ ESPARTA MELINA GERLIND</t>
  </si>
  <si>
    <t>NAVARRO AGUILAR SILVIA PATRICIA</t>
  </si>
  <si>
    <t>MEJIA BRAVO MANUEL JESUS</t>
  </si>
  <si>
    <t>Asistente de Seguridad</t>
  </si>
  <si>
    <t>JARES DOLORIER ROSARIO JACQUELINE</t>
  </si>
  <si>
    <t>TORO SALAZAR ANGELICA MARLENE</t>
  </si>
  <si>
    <t>07475223</t>
  </si>
  <si>
    <t>SILVA UBALDO MAURO ANIBAL</t>
  </si>
  <si>
    <t>Docente en el Área de Matemática I</t>
  </si>
  <si>
    <t>BACHILLER EN CIENCIAS CON MENCION EN INGENIERIA MECANICA</t>
  </si>
  <si>
    <t>DE LA TORRE RAMOS JAIME EDUARDO</t>
  </si>
  <si>
    <t>Analista en Ingeniería Mecánica Eléctrica</t>
  </si>
  <si>
    <t xml:space="preserve">MAGALLANES RODRIGUEZ EVELYN </t>
  </si>
  <si>
    <t>LAZO PEINADO LUIS CARLOS</t>
  </si>
  <si>
    <t>Especialista en Presupuesto</t>
  </si>
  <si>
    <t xml:space="preserve">CORDOVA CAMACHO MOISES </t>
  </si>
  <si>
    <t>Asesor I en Racionalización</t>
  </si>
  <si>
    <t>FLORES HERRERA MANUEL JESUS</t>
  </si>
  <si>
    <t>Técnico Especialista de Marcha Sincronizada</t>
  </si>
  <si>
    <t>LICENCIADO EN EDUCACIÓN SECUNDARIA</t>
  </si>
  <si>
    <t>VISURRAGA AGUERO JESUS MOISES</t>
  </si>
  <si>
    <t>40601263</t>
  </si>
  <si>
    <t>Docente en el Área de Ingeniería de Sistemas</t>
  </si>
  <si>
    <t>OTERO BOCANEGRA PAOLA CYNTHIA</t>
  </si>
  <si>
    <t>AVALOS RAMIREZ CLORINDA YSABEL</t>
  </si>
  <si>
    <t>Orientador al usuario</t>
  </si>
  <si>
    <t>CONTTI ROJAS LUCIO ALBERTO</t>
  </si>
  <si>
    <t>Técnico Especializado en Clasificación de Archivo y Seguridad Nacional</t>
  </si>
  <si>
    <t xml:space="preserve">CORTEZ OSORIO JACKELINE </t>
  </si>
  <si>
    <t>Analista de Sistemas</t>
  </si>
  <si>
    <t xml:space="preserve">OQUESO ZUÑIGA ESTEBAN </t>
  </si>
  <si>
    <t>FLORES CASTRO JOSE JONATHAN</t>
  </si>
  <si>
    <t>Médico Especialista en el Área de Medicina General</t>
  </si>
  <si>
    <t>UNIDAD EJECUTORA: 004 MARINA DE GUERRA DEL PERÚ</t>
  </si>
  <si>
    <t>01</t>
  </si>
  <si>
    <t>Auxiliares</t>
  </si>
  <si>
    <t>LIMASCCA CUEVA RICARDO DALMER</t>
  </si>
  <si>
    <t>005 FAP</t>
  </si>
  <si>
    <t>Tecnicos</t>
  </si>
  <si>
    <t>SOLIS ISLA, CHRISTIAN JUNIOR</t>
  </si>
  <si>
    <t>42280308</t>
  </si>
  <si>
    <t>PROFESOR TITULAR</t>
  </si>
  <si>
    <t>Profesionales</t>
  </si>
  <si>
    <t>CANDELA CAMPOVERDE MARITA LISSETH</t>
  </si>
  <si>
    <t>46479661</t>
  </si>
  <si>
    <t>AUXILIAR DE SISTEMAS ADMINISTRATIVO</t>
  </si>
  <si>
    <t>GUEVARA DIAZ GUADALUPE</t>
  </si>
  <si>
    <t>70985014</t>
  </si>
  <si>
    <t>TERRAZAS RODRIGUEZ ANIBAL</t>
  </si>
  <si>
    <t>07294434</t>
  </si>
  <si>
    <t>MILLA ALVAREZ ANTHONY ITALO</t>
  </si>
  <si>
    <t>72151895</t>
  </si>
  <si>
    <t>RIOFRIO ANCAJIMA EDUARD ENRIQUE</t>
  </si>
  <si>
    <t>03689962</t>
  </si>
  <si>
    <t>HERRERA PACHECO CRISTIAN ABEL</t>
  </si>
  <si>
    <t>70124762</t>
  </si>
  <si>
    <t>PEÑA PINEDA HECTOR MANUEL</t>
  </si>
  <si>
    <t>70152714</t>
  </si>
  <si>
    <t>PANTOJA BARBOZA JUAN ENRIQUE</t>
  </si>
  <si>
    <t>17424332</t>
  </si>
  <si>
    <t>PEREZ MARTINEZ GERRARDO RUFINO</t>
  </si>
  <si>
    <t>80043766</t>
  </si>
  <si>
    <t>GOMEZ DE LA CRUZ ALEXANDER AMADEO</t>
  </si>
  <si>
    <t>41489233</t>
  </si>
  <si>
    <t>TECN. TRATA CONSERVAC DE AERONAVES</t>
  </si>
  <si>
    <t>AMAT Y LEON VILLANUEVA YASSER LUIS HO</t>
  </si>
  <si>
    <t>07639319</t>
  </si>
  <si>
    <t>MECANICO DE AERONAVES</t>
  </si>
  <si>
    <t>RODRIGUEZ MONTENEGRO ISAAC SAMUEL</t>
  </si>
  <si>
    <t>70458433</t>
  </si>
  <si>
    <t>INGA PANAIFO CRISTIAN ARMANDO</t>
  </si>
  <si>
    <t>43456459</t>
  </si>
  <si>
    <t>ARANDA ALVARADO MARCO IVAN</t>
  </si>
  <si>
    <t>73606182</t>
  </si>
  <si>
    <t>FLORES TOLEDO LUIS HERNAN</t>
  </si>
  <si>
    <t>42557033</t>
  </si>
  <si>
    <t>CISNEROS MANIHUARI BLITNER</t>
  </si>
  <si>
    <t>46207146</t>
  </si>
  <si>
    <t>TICONA FASABI DENNIS JHON</t>
  </si>
  <si>
    <t>42402269</t>
  </si>
  <si>
    <t>NECOCHEA ESCATE CARLOS JESUS</t>
  </si>
  <si>
    <t>75334821</t>
  </si>
  <si>
    <t>SAPALLANAY VILLASANTE NORKA ALESKA MERCEDES</t>
  </si>
  <si>
    <t>76433310</t>
  </si>
  <si>
    <t>SAPALLANAY VILLASANTE BRYAN EDUARDO</t>
  </si>
  <si>
    <t>TECNICO AGROPECUARIO JARDINERO</t>
  </si>
  <si>
    <t>HUAYAMA GUTIERREZ CRISTHIL</t>
  </si>
  <si>
    <t>HERNANDEZ GARCIA HUMBERTO DANIEL</t>
  </si>
  <si>
    <t>DELGADO ZULUETA PABLO</t>
  </si>
  <si>
    <t>41912029</t>
  </si>
  <si>
    <t>COCA PEÑA LUIS ADRIAN</t>
  </si>
  <si>
    <t>CUBA YOVERA ALEXANDER ROBERTO</t>
  </si>
  <si>
    <t>PEÑA PINEDA FRANK JOSUE</t>
  </si>
  <si>
    <t>SANCHEZ TORRES ANDY LUIGUI</t>
  </si>
  <si>
    <t>FLORES ZAFRA JAMES STUART</t>
  </si>
  <si>
    <t>MECANICO DE MOTORES</t>
  </si>
  <si>
    <t>CARRANZA CAPILLO BILY ANGEL</t>
  </si>
  <si>
    <t>BELLIDO ESCRIBA JOEL LIMBER</t>
  </si>
  <si>
    <t>ARTESANO GASFITERO</t>
  </si>
  <si>
    <t>ARONE QUISPE LUIS ANGEL</t>
  </si>
  <si>
    <t>ARTESANO PINTOR</t>
  </si>
  <si>
    <t>LOPEZ PORTILLO JUAN MIGUEL</t>
  </si>
  <si>
    <t>AUXILIAR AGROPECUARIO JARDINERO</t>
  </si>
  <si>
    <t>LA TORRE RAMOS JUAN BAUTISTA</t>
  </si>
  <si>
    <t>PEÑA ACHO ADALBERTA</t>
  </si>
  <si>
    <t>VIDAL TORRES CARLOS KENYI</t>
  </si>
  <si>
    <t>FARROÑAN PORROA SANDY JHOSELYN</t>
  </si>
  <si>
    <t>47371418</t>
  </si>
  <si>
    <t>ALMANZA MACHACA PAUL MARIO</t>
  </si>
  <si>
    <t>75197825</t>
  </si>
  <si>
    <t>MECANICO DE ESTRUCTURAS AERONAUTICAS</t>
  </si>
  <si>
    <t>RODAS MONTOYA JOSE ANTONIO</t>
  </si>
  <si>
    <t>43633016</t>
  </si>
  <si>
    <t>HONG CHAMBER ENRIQUE LUIS</t>
  </si>
  <si>
    <t>43447755</t>
  </si>
  <si>
    <t>CUADROS VILA CARLOS ALBERTO</t>
  </si>
  <si>
    <t>07869432</t>
  </si>
  <si>
    <t>GUERRA PERALTA EDUARDO EDILBERTO</t>
  </si>
  <si>
    <t>43573158</t>
  </si>
  <si>
    <t>MARTELL RODRIGUEZ ANTONIO ALEJANDRO</t>
  </si>
  <si>
    <t>43319291</t>
  </si>
  <si>
    <t>HUAMACHUMO TORRES INES</t>
  </si>
  <si>
    <t>09261539</t>
  </si>
  <si>
    <t>QUISPE CORDOVA EMILIA ZORAIDA</t>
  </si>
  <si>
    <t>08567134</t>
  </si>
  <si>
    <t>CAHUACHI ARIRAMA ROYDER JEFERSON</t>
  </si>
  <si>
    <t>76020179</t>
  </si>
  <si>
    <t>FLORES YUPANQUI MARIA ELENA</t>
  </si>
  <si>
    <t>10101437</t>
  </si>
  <si>
    <t>ZAPATA MARTINEZ YONY JAVIER</t>
  </si>
  <si>
    <t>42005902</t>
  </si>
  <si>
    <t>DOCENTE DE ESCUELA SUPERIOR I</t>
  </si>
  <si>
    <t>MINAYA TORRES CARLOS ENRIQUE</t>
  </si>
  <si>
    <t>06312309</t>
  </si>
  <si>
    <t>PICCIOTTI LOPEZ SUSANA CAROLINA</t>
  </si>
  <si>
    <t>43180980</t>
  </si>
  <si>
    <t>DOCENTE TECNICO</t>
  </si>
  <si>
    <t>SOLORZANO PIMENTEL MARIO PEDRO</t>
  </si>
  <si>
    <t>43573774</t>
  </si>
  <si>
    <t>MONTERO SOTO BLAS</t>
  </si>
  <si>
    <t>09487951</t>
  </si>
  <si>
    <t>ALATA FELIX JANE WILDA</t>
  </si>
  <si>
    <t>09479558</t>
  </si>
  <si>
    <t>OLAECHEA LOPEZ ROSA AMELIA</t>
  </si>
  <si>
    <t>06061450</t>
  </si>
  <si>
    <t>NAPAN SALDIVAR MARI EUGENIA</t>
  </si>
  <si>
    <t>09283750</t>
  </si>
  <si>
    <t>OLAYA ULLOA IVETTE ISABEL</t>
  </si>
  <si>
    <t>25330271</t>
  </si>
  <si>
    <t>PELUQUERO</t>
  </si>
  <si>
    <t>JORGE TAYPE ELSA PATRICIA</t>
  </si>
  <si>
    <t>43506955</t>
  </si>
  <si>
    <t>SUAREZ SANTARIA JUAN CARLOS</t>
  </si>
  <si>
    <t>48514869</t>
  </si>
  <si>
    <t>ARANA MARTINEZ MARIA SARA</t>
  </si>
  <si>
    <t>42833302</t>
  </si>
  <si>
    <t>TRANSCRIPTOR PAD</t>
  </si>
  <si>
    <t>MENDOZA VIDAL JORGE PAOLO</t>
  </si>
  <si>
    <t>42200213</t>
  </si>
  <si>
    <t>TTITO LLANOS PAUL TORIBIO</t>
  </si>
  <si>
    <t>40960525</t>
  </si>
  <si>
    <t>CHIRINOS CHOQUE SAUL ADRIAN</t>
  </si>
  <si>
    <t>47649760</t>
  </si>
  <si>
    <t>AUXILIAR DE PUBLICACIONES</t>
  </si>
  <si>
    <t>BALLON CARRANZA CESAR AUGUSTO</t>
  </si>
  <si>
    <t>06411032</t>
  </si>
  <si>
    <t>TELLO MENDOZA MARTHA BLANCA</t>
  </si>
  <si>
    <t>07082738</t>
  </si>
  <si>
    <t>FONSECA PUERTAS JAIME ESTEBAN</t>
  </si>
  <si>
    <t>05275553</t>
  </si>
  <si>
    <t>LAURA LEFONCIO ROBERTO CARLOS</t>
  </si>
  <si>
    <t>42248420</t>
  </si>
  <si>
    <t>MELENDEZ ALVARADO GRACE KELLY</t>
  </si>
  <si>
    <t>42333281</t>
  </si>
  <si>
    <t>CRISOSTOMO ARANGO ALICIA MARLENI</t>
  </si>
  <si>
    <t>43613702</t>
  </si>
  <si>
    <t>YARANGA PAREDES JUAN CARLOS</t>
  </si>
  <si>
    <t>43618050</t>
  </si>
  <si>
    <t>FERNANDEZ VALLEJOS JOSE MANUEL</t>
  </si>
  <si>
    <t>41359529</t>
  </si>
  <si>
    <t>SANCHEZ ROSAS NORMA VICTORIA</t>
  </si>
  <si>
    <t>07125914</t>
  </si>
  <si>
    <t>MONTERO SOTO JOSE OSWALDO</t>
  </si>
  <si>
    <t>10325373</t>
  </si>
  <si>
    <t>CORTEZ MIÑOPE LUIS ANTONIO</t>
  </si>
  <si>
    <t>40290572</t>
  </si>
  <si>
    <t>MONTELUIS MONTELUIS CLIVER</t>
  </si>
  <si>
    <t>45085151</t>
  </si>
  <si>
    <t>TICONA FASABI TOMMY ANTHONY</t>
  </si>
  <si>
    <t>45458524</t>
  </si>
  <si>
    <t>BECERRA RUIZ MATILDE SOLEDAD</t>
  </si>
  <si>
    <t>25562171</t>
  </si>
  <si>
    <t>MIRANDA CASTILLO RICARDO ALEXIS</t>
  </si>
  <si>
    <t>45291917</t>
  </si>
  <si>
    <t>APAZA QUISPE OLGA</t>
  </si>
  <si>
    <t>46256368</t>
  </si>
  <si>
    <t>ECHEVARRIA CABRERA LUIS BELTRAN</t>
  </si>
  <si>
    <t>07326351</t>
  </si>
  <si>
    <t>CANELO ANAMPA JOSE LUIS</t>
  </si>
  <si>
    <t>21787010</t>
  </si>
  <si>
    <t>SANCHEZ ZARATE RANAUN ARTURO</t>
  </si>
  <si>
    <t>05239483</t>
  </si>
  <si>
    <t>PINEDO TORRES TEDY</t>
  </si>
  <si>
    <t>41732794</t>
  </si>
  <si>
    <t>SASTRE</t>
  </si>
  <si>
    <t>CHU ARMAS LUISA AMELIA</t>
  </si>
  <si>
    <t>05249337</t>
  </si>
  <si>
    <t>VELASQUEZ ALTAMIRANO ANSELMA ROSA</t>
  </si>
  <si>
    <t>17407169</t>
  </si>
  <si>
    <t>AGAPI ARANGO EDGAR RICARDO</t>
  </si>
  <si>
    <t>09986311</t>
  </si>
  <si>
    <t>VENTURA RODRIGUEZ BRAULIO ROONEL</t>
  </si>
  <si>
    <t>45503755</t>
  </si>
  <si>
    <t>SOLORZANO ZAVALA JORGE ROLANDO</t>
  </si>
  <si>
    <t>08666665</t>
  </si>
  <si>
    <t>NUÑEZ CORONADO  SEGUNDO GERARDO</t>
  </si>
  <si>
    <t>02676491</t>
  </si>
  <si>
    <t>OPERADOR DE EQUIPO MECANICO</t>
  </si>
  <si>
    <t>CORNEJO ANTAY JHONY FERNANDO</t>
  </si>
  <si>
    <t>44843784</t>
  </si>
  <si>
    <t>QUIÑONEZ CUYA JOSE LUIS</t>
  </si>
  <si>
    <t>06714120</t>
  </si>
  <si>
    <t>CUBAS PUYO THALIA SAMANTHA</t>
  </si>
  <si>
    <t>MORALES AMACIFUEN MANUEL</t>
  </si>
  <si>
    <t>01114082</t>
  </si>
  <si>
    <t>ASENCIOS JAULLA ELMER OSWALDO</t>
  </si>
  <si>
    <t>09631828</t>
  </si>
  <si>
    <t>MEDICO AUDITOR</t>
  </si>
  <si>
    <t>Profesionales de la Salud</t>
  </si>
  <si>
    <t>MOLINA COSTA CAMILA</t>
  </si>
  <si>
    <t>45207521</t>
  </si>
  <si>
    <t>MEJIA CUZCANO, JHONNY ARMANDO</t>
  </si>
  <si>
    <t>10328844</t>
  </si>
  <si>
    <t>ACUÑA SILVA JORGE LUIS</t>
  </si>
  <si>
    <t>43430163</t>
  </si>
  <si>
    <t>VEGA MELENDEZ EDGAR OSWALDO</t>
  </si>
  <si>
    <t>00424312</t>
  </si>
  <si>
    <t>RACCHUMI ANDRADE, PABLO EDGARDO</t>
  </si>
  <si>
    <t>17431864</t>
  </si>
  <si>
    <t>RODRIGUEZ RAMIREZ, CESAR AUGUSTO</t>
  </si>
  <si>
    <t>09328905</t>
  </si>
  <si>
    <t>CARRILLO CASTAÑEDA CESAR MANUEL</t>
  </si>
  <si>
    <t>07381159</t>
  </si>
  <si>
    <t>PANDURO HURTADO VDA. DE FERNANDEZ VIVIAN DEL CARMEN</t>
  </si>
  <si>
    <t>05383790</t>
  </si>
  <si>
    <t>TECNICO EN CONTABILIDAD</t>
  </si>
  <si>
    <t>SALAZAR CASTIILLO HUMBERTO EDWIN</t>
  </si>
  <si>
    <t>TECNICO EN PSICOLOGIA I</t>
  </si>
  <si>
    <t>GODOY DIOS ELIANA LIZET</t>
  </si>
  <si>
    <t>LIÑAN REATEGUI FIORELLA IVANA</t>
  </si>
  <si>
    <t>PARDO DE LA CRUZ RICHARD CHRISTIAN</t>
  </si>
  <si>
    <t>CHUMPITAZ SALAMANCA EDUAAR ENRIQUE</t>
  </si>
  <si>
    <t>MEDICO I</t>
  </si>
  <si>
    <t>GARCIA GARCIA ELMIRA DORELLY</t>
  </si>
  <si>
    <t>FLORES PEREZ DANIEL ENRIQUE</t>
  </si>
  <si>
    <t>06108826</t>
  </si>
  <si>
    <t>AUDITOR SUPERVISOR</t>
  </si>
  <si>
    <t>CONCHS MIER ALAND FABRICIO</t>
  </si>
  <si>
    <t>40350811</t>
  </si>
  <si>
    <t>ENTRENADOR DEPORTIVO</t>
  </si>
  <si>
    <t>SAAVEDRA LOZANO ROY KELLY</t>
  </si>
  <si>
    <t>41362224</t>
  </si>
  <si>
    <t>ARESTEGUI MAMANI PAULINO MARCOS</t>
  </si>
  <si>
    <t>80188506</t>
  </si>
  <si>
    <t>TICONA TAMARA MARIO LUCIO</t>
  </si>
  <si>
    <t>06006776</t>
  </si>
  <si>
    <t>COTILLO ANTUNEZ, SONIA HONORATA</t>
  </si>
  <si>
    <t>07187077</t>
  </si>
  <si>
    <t>INGENIERO MECANICO ELECTRICISTA</t>
  </si>
  <si>
    <t>KAPUSTYANSKYY VALERIY</t>
  </si>
  <si>
    <t>000429921</t>
  </si>
  <si>
    <t>GAVRYLIUK VOLODYMYR</t>
  </si>
  <si>
    <t>000190686</t>
  </si>
  <si>
    <t>INSTRUCTOR</t>
  </si>
  <si>
    <t>RUIZ RINCON ROBERTO JOSE</t>
  </si>
  <si>
    <t>42319809</t>
  </si>
  <si>
    <t>CARRILLO BUSTAMANTE RICARDO GENE</t>
  </si>
  <si>
    <t>02661365</t>
  </si>
  <si>
    <t>SKRINJARIC AYUNI MIRKO</t>
  </si>
  <si>
    <t>16762816</t>
  </si>
  <si>
    <t>ASIN ARGOTE NICANOR ENRIQUE</t>
  </si>
  <si>
    <t>43659286</t>
  </si>
  <si>
    <t>GAMARRA CABALLERO GINA MARGOT</t>
  </si>
  <si>
    <t>20021563</t>
  </si>
  <si>
    <t>MIRAVAL AYRA CROY TONI</t>
  </si>
  <si>
    <t>77274944</t>
  </si>
  <si>
    <t>ROMAN CAMARGO LUIS ALBERTO</t>
  </si>
  <si>
    <t>40740748</t>
  </si>
  <si>
    <t>ASESOR DOCENTE</t>
  </si>
  <si>
    <t>CRUZ COLUMBUS  MARIA LINDA</t>
  </si>
  <si>
    <t>08803673</t>
  </si>
  <si>
    <t>ENFERMERA/O</t>
  </si>
  <si>
    <t>MAURICIO GUERRERO LEYLA IZAMAR</t>
  </si>
  <si>
    <t>47646207</t>
  </si>
  <si>
    <t>CELIS GARCIA ERIKA MABEL</t>
  </si>
  <si>
    <t>10811743</t>
  </si>
  <si>
    <t>HERRERA RODRIGUEZ MILUSKA KATHERINE</t>
  </si>
  <si>
    <t>44772647</t>
  </si>
  <si>
    <t>RAMOS GARCIA JULIO JOHAN AARON</t>
  </si>
  <si>
    <t>72733362</t>
  </si>
  <si>
    <t>MARTEL QUISPE  JOSE LUIS</t>
  </si>
  <si>
    <t>70980195</t>
  </si>
  <si>
    <t>CORNETERO MARTINEZ, CRISTHIAN GERMAN</t>
  </si>
  <si>
    <t>10707959</t>
  </si>
  <si>
    <t>YZANOTEGUI YNGA, JEFFERSON EMILIO</t>
  </si>
  <si>
    <t>46426850</t>
  </si>
  <si>
    <t>PATILLA MUNIVE JHELIN</t>
  </si>
  <si>
    <t>46101580</t>
  </si>
  <si>
    <t>ZAMORA VELASQUEZ JULY</t>
  </si>
  <si>
    <t>40711168</t>
  </si>
  <si>
    <t>GUEVARA BADILLO, LUIS ALBERTO</t>
  </si>
  <si>
    <t>07940941</t>
  </si>
  <si>
    <t>LIPA GUZMAN CYNTHIA BENILDA</t>
  </si>
  <si>
    <t>46927743</t>
  </si>
  <si>
    <t>CHAVEZ BUSTAMANTE RAMIRO CESAR</t>
  </si>
  <si>
    <t>41511074</t>
  </si>
  <si>
    <t>NUÑEZ RODENAS ROSALIE ROXANA</t>
  </si>
  <si>
    <t>45612520</t>
  </si>
  <si>
    <t>ESPECIALISTA EN PROYECTOS</t>
  </si>
  <si>
    <t>CASTAÑEDA POMEZ OMAR GUSTAVO</t>
  </si>
  <si>
    <t>21523194</t>
  </si>
  <si>
    <t>LOAYZA MENDEZ KAREN JESUS</t>
  </si>
  <si>
    <t>40723675</t>
  </si>
  <si>
    <t>VIZCARRA CHAVEZ ISKRA LEONOR</t>
  </si>
  <si>
    <t>42156830</t>
  </si>
  <si>
    <t>MAMANI GUILLERMO ABDIEL</t>
  </si>
  <si>
    <t>45022374</t>
  </si>
  <si>
    <t>ARAUJO BECERRA KARLA CECILIA-BAJA</t>
  </si>
  <si>
    <t>41341562</t>
  </si>
  <si>
    <t>BRAVO ROJAS LIZBETT LIDIA</t>
  </si>
  <si>
    <t>42104484</t>
  </si>
  <si>
    <t>ZAPATA CANCHO VIVIANO RAUL</t>
  </si>
  <si>
    <t>40087645</t>
  </si>
  <si>
    <t>MINAYA BELLIDO GIALINA LEYSDANIA</t>
  </si>
  <si>
    <t>72193442</t>
  </si>
  <si>
    <t>MEDICO GINECO-OBSTETRA</t>
  </si>
  <si>
    <t>HUERTA VALDIVIA MONICA CONNIE</t>
  </si>
  <si>
    <t>29412181</t>
  </si>
  <si>
    <t>TABOADA HERMOZA ERIKA</t>
  </si>
  <si>
    <t>09783069</t>
  </si>
  <si>
    <t>ZULOAGA CASTAÑEDA OSCAR RICARDO</t>
  </si>
  <si>
    <t>09414313</t>
  </si>
  <si>
    <t>VALERIO AMBROCIO JEHER GILDER</t>
  </si>
  <si>
    <t>41619530</t>
  </si>
  <si>
    <t>INGENIERO ELECTRONICO</t>
  </si>
  <si>
    <t>CARRASCO VALDERRAMA ALAN OMAR</t>
  </si>
  <si>
    <t>40717083</t>
  </si>
  <si>
    <t>CARBAJAL CASTRO JOSSELIN JAZMIN</t>
  </si>
  <si>
    <t>75097516</t>
  </si>
  <si>
    <t>QUISPE CCOLLANA DE MORANTE GLADYS MARINA</t>
  </si>
  <si>
    <t>09059269</t>
  </si>
  <si>
    <t xml:space="preserve">TAMAY CAMPOS KARINA ARACELY </t>
  </si>
  <si>
    <t>42348338</t>
  </si>
  <si>
    <t>RETAMOZO URQUEAGA, RUVINA</t>
  </si>
  <si>
    <t>47655232</t>
  </si>
  <si>
    <t>CANTARO RUIZ YESSICA</t>
  </si>
  <si>
    <t>42276174</t>
  </si>
  <si>
    <t>AYALA REYES  ELBER JAIME</t>
  </si>
  <si>
    <t>08962927</t>
  </si>
  <si>
    <t>TECNICO EN TRATAMIENTO Y CONSERVACION AERONA</t>
  </si>
  <si>
    <t>ARCE ESCALANTE ANDRES SALOMON</t>
  </si>
  <si>
    <t>43598326</t>
  </si>
  <si>
    <t>DIAZ TERRONES GILMER SABINO</t>
  </si>
  <si>
    <t>07755868</t>
  </si>
  <si>
    <t>MALARA NEYRA EDMUNDO ARCADIO</t>
  </si>
  <si>
    <t>43347524</t>
  </si>
  <si>
    <t>GARCIA CASTILLO ALFONSO LUIS</t>
  </si>
  <si>
    <t>45007407</t>
  </si>
  <si>
    <t>PROGRAMADOR DE SISTEMAS PAD</t>
  </si>
  <si>
    <t>ESCAJADILLO TOLEDO  LENIN</t>
  </si>
  <si>
    <t>44385388</t>
  </si>
  <si>
    <t>CAMACHO LEON LUIS FRANCISCO</t>
  </si>
  <si>
    <t>43321803</t>
  </si>
  <si>
    <t>ALVAREZ VENEGAS JESSICA VICTORIA</t>
  </si>
  <si>
    <t>45551592</t>
  </si>
  <si>
    <t>ESPINOZA TAPIA JUAN CARLOS</t>
  </si>
  <si>
    <t>43336101</t>
  </si>
  <si>
    <t>YOVERA ESPIL DE DUEÑAS MARIA JULIA</t>
  </si>
  <si>
    <t>16673367</t>
  </si>
  <si>
    <t>TORRES GONZALES ROBERTO ALEJANDRO</t>
  </si>
  <si>
    <t>43880214</t>
  </si>
  <si>
    <t>CHANAME RODRIGUEZ CHRISTIAN ALEJANDRO</t>
  </si>
  <si>
    <t>09878452</t>
  </si>
  <si>
    <t>CASAS AGUIRRE URSULA MARIELA</t>
  </si>
  <si>
    <t>41612935</t>
  </si>
  <si>
    <t>TECNOLOGO MEDICO EN LAB. 
CLINICO Y ANATOMIA PATOLOGICA</t>
  </si>
  <si>
    <t>MUÑOZ MEGO DUNAWAY DANELI</t>
  </si>
  <si>
    <t>40647672</t>
  </si>
  <si>
    <t>ROJAS FIGUEROA  ERIKA ELIZABETH</t>
  </si>
  <si>
    <t>10796132</t>
  </si>
  <si>
    <t>MEDICO RADIOLOGO</t>
  </si>
  <si>
    <t>QUISPE PEREZ, LILIANA DENISSE</t>
  </si>
  <si>
    <t>40966508</t>
  </si>
  <si>
    <t>VEGA WONG PAMELA ALICIA</t>
  </si>
  <si>
    <t>41786513</t>
  </si>
  <si>
    <t>TELLO TREJO ROOSBELTH</t>
  </si>
  <si>
    <t>09114851</t>
  </si>
  <si>
    <t>LUJAN CAMPOS JUAN JOSE</t>
  </si>
  <si>
    <t>TECNICO EN ESTADISTICA</t>
  </si>
  <si>
    <t>RAMIREZ PARIMANGO LIZ SANDRA</t>
  </si>
  <si>
    <t>40824671</t>
  </si>
  <si>
    <t>DIAZ VASQUEZ ROBLEDO ANCELMO</t>
  </si>
  <si>
    <t>43514112</t>
  </si>
  <si>
    <t>BERNILLA CERDA CARMEN PILAR</t>
  </si>
  <si>
    <t>40086260</t>
  </si>
  <si>
    <t>SANCHO DEXTRE JUAN ELOY</t>
  </si>
  <si>
    <t>43635049</t>
  </si>
  <si>
    <t>LLAMAS NIETO JESSICA GIOVANA</t>
  </si>
  <si>
    <t>42820059</t>
  </si>
  <si>
    <t>SANDOVAL BARRETO  GENESIS JUSSARA</t>
  </si>
  <si>
    <t>70280966</t>
  </si>
  <si>
    <t>ASTE LUNA MARIA GRACIELA ELVIRA</t>
  </si>
  <si>
    <t>48631538</t>
  </si>
  <si>
    <t>TECNOLOGO MEDICO EN LAB. CLINICO Y ANATOMIA PATOLOGICA</t>
  </si>
  <si>
    <t>LANDA ANDRADE JOSE SAMUEL</t>
  </si>
  <si>
    <t>09351671</t>
  </si>
  <si>
    <t>MEDICO NEUROLOGO</t>
  </si>
  <si>
    <t>GONZALEZ MUJICA JESSICA ROSA</t>
  </si>
  <si>
    <t>10340692</t>
  </si>
  <si>
    <t>MORE CARRILLO  RITA MILAGROS</t>
  </si>
  <si>
    <t>43406017</t>
  </si>
  <si>
    <t>HUAMAN MORETO NILDA FANY</t>
  </si>
  <si>
    <t>46088664</t>
  </si>
  <si>
    <t>ECHEVARRIA GUADALUPE MIRIAN</t>
  </si>
  <si>
    <t>41727643</t>
  </si>
  <si>
    <t>EFECTO HUARCA KATHERINE GERALDINE</t>
  </si>
  <si>
    <t>46254314</t>
  </si>
  <si>
    <t>RAMIREZ CARRION LOURDES MARISOL</t>
  </si>
  <si>
    <t>31644264</t>
  </si>
  <si>
    <t>PEREZ QUISPE PABLO</t>
  </si>
  <si>
    <t>44597702</t>
  </si>
  <si>
    <t>CORONADO SUAREZ JOSE AUGUSTO</t>
  </si>
  <si>
    <t>41318363</t>
  </si>
  <si>
    <t>ASESOR TECNICO</t>
  </si>
  <si>
    <t>CAMPAÑA MARTINO DAVID CRUZ</t>
  </si>
  <si>
    <t>08459437</t>
  </si>
  <si>
    <t>ACUÑA MORENO ELIZABETH MARLENI</t>
  </si>
  <si>
    <t>10389236</t>
  </si>
  <si>
    <t>SAIRE FARFAN ADELA</t>
  </si>
  <si>
    <t>09716160</t>
  </si>
  <si>
    <t>CARRILLO MANCHEGO MARLENI ROSA</t>
  </si>
  <si>
    <t>41768974</t>
  </si>
  <si>
    <t>MERGE ISAIAS CARMEN REBECA</t>
  </si>
  <si>
    <t>41821910</t>
  </si>
  <si>
    <t>NUÑEZ ROJAS JUAN MANUEL</t>
  </si>
  <si>
    <t>16798751</t>
  </si>
  <si>
    <t>GARCIA  QUISPE MIRIAN GINA</t>
  </si>
  <si>
    <t>07635963</t>
  </si>
  <si>
    <t>AYALA SANCHEZ ANA SOFIA</t>
  </si>
  <si>
    <t>10831227</t>
  </si>
  <si>
    <t>CUNIBERTTI LOZANO MIRIAN</t>
  </si>
  <si>
    <t>41506262</t>
  </si>
  <si>
    <t>MEDICO HEMATOLOGO CLINICO</t>
  </si>
  <si>
    <t>MENDOZA BARRENECHEA, CLAUDIA RUTH</t>
  </si>
  <si>
    <t>10137942</t>
  </si>
  <si>
    <t>MECANICO</t>
  </si>
  <si>
    <t>MAMANI PARISUAÑA PEDRO CLEVER</t>
  </si>
  <si>
    <t>43156475</t>
  </si>
  <si>
    <t>ATENCIO HEREDIA JHENNY TRINIDAD</t>
  </si>
  <si>
    <t>10077031</t>
  </si>
  <si>
    <t>CANARIO GAMARRA GONZALO</t>
  </si>
  <si>
    <t>45924150</t>
  </si>
  <si>
    <t>OROZCO RAMIREZ LUDOMILIA NEREYDA</t>
  </si>
  <si>
    <t>02828638</t>
  </si>
  <si>
    <t>BEDREGAL ESCOBEDO, BARBARA</t>
  </si>
  <si>
    <t>41892266</t>
  </si>
  <si>
    <t>OPERADOR DE EQUIPO CINE Y TV</t>
  </si>
  <si>
    <t>PESANTES VARGAS JORGE LUIS</t>
  </si>
  <si>
    <t>07120089</t>
  </si>
  <si>
    <t>RAMIREZ SARMIENTO WILSON HERNAN</t>
  </si>
  <si>
    <t>40748929</t>
  </si>
  <si>
    <t>PADILLA SOPLIN CARLOS EDUARDO</t>
  </si>
  <si>
    <t>40110898</t>
  </si>
  <si>
    <t>RODRIGUEZ BACA DAVID EDUARDO</t>
  </si>
  <si>
    <t>40417915</t>
  </si>
  <si>
    <t>VERGARA FASANANDO GUILLERMO ROBERTO</t>
  </si>
  <si>
    <t>41746272</t>
  </si>
  <si>
    <t>LOYOLA ARELLAN DE BLAS MARIA TERESA</t>
  </si>
  <si>
    <t>08580320</t>
  </si>
  <si>
    <t>TECNOLOGO MEDICO EN RADIOLOGIA</t>
  </si>
  <si>
    <t xml:space="preserve">LLONTOP FENCO FREDY ROLANDO </t>
  </si>
  <si>
    <t>06435955</t>
  </si>
  <si>
    <t>MACHUCA ISLA JORGE</t>
  </si>
  <si>
    <t>09378115</t>
  </si>
  <si>
    <t>RUIZ PARIONA CARLOS ALBERTO</t>
  </si>
  <si>
    <t>41889413</t>
  </si>
  <si>
    <t>CHAVEZ QUISPE JUAN JOSE</t>
  </si>
  <si>
    <t>42115324</t>
  </si>
  <si>
    <t>ESCALON PORTILLA JUNIOR JORGE</t>
  </si>
  <si>
    <t>45119532</t>
  </si>
  <si>
    <t>GUEVARA ALEJANDRO NORMA</t>
  </si>
  <si>
    <t>09596514</t>
  </si>
  <si>
    <t>MENDOZA RAMOS ROBBY EDWARD</t>
  </si>
  <si>
    <t>42032339</t>
  </si>
  <si>
    <t>TINEO ORREAGA KARITO GRISELDA</t>
  </si>
  <si>
    <t>40302157</t>
  </si>
  <si>
    <t>METEREOLOGO</t>
  </si>
  <si>
    <t>SOLIS HUATUCO MARIO BERNARDO</t>
  </si>
  <si>
    <t>20659693</t>
  </si>
  <si>
    <t>POLO VILLANUEVA MARCO ALFREDO</t>
  </si>
  <si>
    <t>09607988</t>
  </si>
  <si>
    <t>SOTO TORRES PAUL WILBER</t>
  </si>
  <si>
    <t>09387868</t>
  </si>
  <si>
    <t>CURI ARCE JULIO HUMBERTO</t>
  </si>
  <si>
    <t>10139099</t>
  </si>
  <si>
    <t>AUXILIAR DE TERAPISTA</t>
  </si>
  <si>
    <t>CARRASCO ROJAS MARIA VIOLETA</t>
  </si>
  <si>
    <t>41794867</t>
  </si>
  <si>
    <t>ROMERO CARRANZA CINTHIA VANESSA</t>
  </si>
  <si>
    <t>43298089</t>
  </si>
  <si>
    <t>HUARACA GOMEZ, CRISTHIAN PRESLEY</t>
  </si>
  <si>
    <t>70018559</t>
  </si>
  <si>
    <t>CRUZ TOCTO MONICA ANTONELLA</t>
  </si>
  <si>
    <t>44185272</t>
  </si>
  <si>
    <t>MORAN BEJARANO MIRIAM ROSANA</t>
  </si>
  <si>
    <t>06275960</t>
  </si>
  <si>
    <t>ALEJOS VILLAVICENCIO ARMANDO RICARDO</t>
  </si>
  <si>
    <t>45828823</t>
  </si>
  <si>
    <t>FLORES CANESILLAS JACKELINE RUTH</t>
  </si>
  <si>
    <t>80644902</t>
  </si>
  <si>
    <t>VIERA RAMOS VERONICA MARGARITA</t>
  </si>
  <si>
    <t>09976471</t>
  </si>
  <si>
    <t>BACA QUISPE LUZ MARIA</t>
  </si>
  <si>
    <t>06785528</t>
  </si>
  <si>
    <t>VIVANCO YLIZARBE ELENA</t>
  </si>
  <si>
    <t>06660180</t>
  </si>
  <si>
    <t>VILLANUEVA BOCANEGRA VICTOR ALEJANDRO</t>
  </si>
  <si>
    <t>41809604</t>
  </si>
  <si>
    <t>VEGA GUTIERREZ MARIELA</t>
  </si>
  <si>
    <t>08197178</t>
  </si>
  <si>
    <t>VARGAS SUCAPUCA JULIA</t>
  </si>
  <si>
    <t>10085012</t>
  </si>
  <si>
    <t>TORRES ORTIZ PAULO EDO</t>
  </si>
  <si>
    <t>07005077</t>
  </si>
  <si>
    <t>TARAPAQUI  TANTALLA EMPERATRIZ</t>
  </si>
  <si>
    <t>08789666</t>
  </si>
  <si>
    <t>SEMINARIO MOROCHO HERMINIO</t>
  </si>
  <si>
    <t>07844511</t>
  </si>
  <si>
    <t>SANCHEZ MEDINA SSUGEY KELA</t>
  </si>
  <si>
    <t>29713205</t>
  </si>
  <si>
    <t>SALINAS RISSI ALFREDO</t>
  </si>
  <si>
    <t>08995649</t>
  </si>
  <si>
    <t>AUXILIAR DE LABORATORIO CLINICO</t>
  </si>
  <si>
    <t>PEÑA GUERRA JUAN MANUEL</t>
  </si>
  <si>
    <t>30571751</t>
  </si>
  <si>
    <t>AUXILIAR DE SANEAMIENTO I</t>
  </si>
  <si>
    <t>PEBE HUAMAN EDISON RUDY</t>
  </si>
  <si>
    <t>40077361</t>
  </si>
  <si>
    <t>PAREDES RAMIREZ JUAN ANTONIO</t>
  </si>
  <si>
    <t>10387493</t>
  </si>
  <si>
    <t>PALPA PEREZ FLOR</t>
  </si>
  <si>
    <t>09508863</t>
  </si>
  <si>
    <t>OLARTE MENDEZ CARMEN ROSA</t>
  </si>
  <si>
    <t>06668056</t>
  </si>
  <si>
    <t>OCHOA ESPINOZA PAUL</t>
  </si>
  <si>
    <t>43080013</t>
  </si>
  <si>
    <t>MARTINEZ BAEZ JAIME JUVENCIO</t>
  </si>
  <si>
    <t>09265391</t>
  </si>
  <si>
    <t>MAMANI CONDORI MARIA ELENA</t>
  </si>
  <si>
    <t>40775837</t>
  </si>
  <si>
    <t>LUNA CORDOVA HECTOR</t>
  </si>
  <si>
    <t>06547643</t>
  </si>
  <si>
    <t>JIMENEZ CORNEJO JOSE LUIS</t>
  </si>
  <si>
    <t>40488625</t>
  </si>
  <si>
    <t xml:space="preserve">HUAMAN AVALOS  JOSE EDUARDO  </t>
  </si>
  <si>
    <t>42427226</t>
  </si>
  <si>
    <t>HERRERA UGAZ CESAR AUGUSTO</t>
  </si>
  <si>
    <t>08237068</t>
  </si>
  <si>
    <t>HERRERA FIGUEROA LUIS ITALO</t>
  </si>
  <si>
    <t>09590682</t>
  </si>
  <si>
    <t>FRIAS MANAY DANNY ALEXIS</t>
  </si>
  <si>
    <t>41113024</t>
  </si>
  <si>
    <t>FERRE  VILLANUEVA  MARCO ANTONIO</t>
  </si>
  <si>
    <t>10751891</t>
  </si>
  <si>
    <t>FERNANDEZ VILCAHUAMAN CARLOS ALBERTO</t>
  </si>
  <si>
    <t>10354826</t>
  </si>
  <si>
    <t>FERNANDEZ URBANO GUSTAVO EMILIANO</t>
  </si>
  <si>
    <t>07052761</t>
  </si>
  <si>
    <t>EVANGELISTA  SEVILLANO JULIA</t>
  </si>
  <si>
    <t>08969870</t>
  </si>
  <si>
    <t>CONDORI ARIAS DE HIZO MARILU HAYDEE</t>
  </si>
  <si>
    <t>06130857</t>
  </si>
  <si>
    <t>CHUNGA URIBE AIDA MARLENY</t>
  </si>
  <si>
    <t>25564053</t>
  </si>
  <si>
    <t>OPERADOR DE CENTRAL TELEFONICA</t>
  </si>
  <si>
    <t>CHOSEC ROSADO PATRICIA CELINA</t>
  </si>
  <si>
    <t>09518235</t>
  </si>
  <si>
    <t>CANALES TAVARA ANGEL RAYMUNDO</t>
  </si>
  <si>
    <t>06208470</t>
  </si>
  <si>
    <t>CANALES MACHUCA VENTURA ANACLETA</t>
  </si>
  <si>
    <t>10369662</t>
  </si>
  <si>
    <t>ASMAT MENDEZ WALTER JOSE</t>
  </si>
  <si>
    <t>45949644</t>
  </si>
  <si>
    <t>FLORES PRADO, JUAN CARLOS</t>
  </si>
  <si>
    <t>06127279</t>
  </si>
  <si>
    <t>CORDOVA CASTILLO, NAYLA ELIANA</t>
  </si>
  <si>
    <t>10324822</t>
  </si>
  <si>
    <t>AGUILAR CARRANZA ANTONIO</t>
  </si>
  <si>
    <t>16728933</t>
  </si>
  <si>
    <t>RODRIGUEZ SOSA MIGUEL ANGEL OSWALDO JOSE</t>
  </si>
  <si>
    <t>10471480</t>
  </si>
  <si>
    <t>CAPILLO HUAYA  ANA MARIA</t>
  </si>
  <si>
    <t>05322160</t>
  </si>
  <si>
    <t>BERNAOLA ESPINO JORGE LUIS</t>
  </si>
  <si>
    <t>22280596</t>
  </si>
  <si>
    <t>BASURTO GUERRERO DELINA MAGAL</t>
  </si>
  <si>
    <t>GRIJALVA ESLAVA FELIPE CHRISTIAN</t>
  </si>
  <si>
    <t>10552787</t>
  </si>
  <si>
    <t>ROJAS MONDRAGON JUAN EDUARDO</t>
  </si>
  <si>
    <t>09431314</t>
  </si>
  <si>
    <t>CHONATE TORRES JESSENIA JEANNETTE</t>
  </si>
  <si>
    <t>10303793</t>
  </si>
  <si>
    <t>DOMINGUEZ MONDRAGON MEDARDO JOEL</t>
  </si>
  <si>
    <t>43839292</t>
  </si>
  <si>
    <t>CARDENAS PEÑA ITALA SHABAT</t>
  </si>
  <si>
    <t>42066351</t>
  </si>
  <si>
    <t>ESPECIALISTA EN CONTABILIDAD</t>
  </si>
  <si>
    <t xml:space="preserve">ROSALES MELENDEZ HUGO CARLOS </t>
  </si>
  <si>
    <t>32907884</t>
  </si>
  <si>
    <t>WONG PINTO MOISES EUGENIO</t>
  </si>
  <si>
    <t>10317928</t>
  </si>
  <si>
    <t>ROMERO RAMIREZ YESSICA LIBIA</t>
  </si>
  <si>
    <t>40531981</t>
  </si>
  <si>
    <t>HERNANDEZ RIVERA DANTE WALTER</t>
  </si>
  <si>
    <t>02787995</t>
  </si>
  <si>
    <t>CORNEJO MONTALVAN JESSICA DEL MILAGRO</t>
  </si>
  <si>
    <t>42002923</t>
  </si>
  <si>
    <t xml:space="preserve">CONSUELO DE LA CRUZ JAIME ENRIQUE </t>
  </si>
  <si>
    <t>09893238</t>
  </si>
  <si>
    <t xml:space="preserve">HURTADO MAHUANCA GLADYS LUISA </t>
  </si>
  <si>
    <t>40712740</t>
  </si>
  <si>
    <t>SOTO QUIÑONES ELIZABETH</t>
  </si>
  <si>
    <t>41874816</t>
  </si>
  <si>
    <t xml:space="preserve">SANTANDER ESPETIA ESTHER YSABEL  </t>
  </si>
  <si>
    <t>25816923</t>
  </si>
  <si>
    <t>SCHROTH CARRASCO ENRIQUE FORTUNATO</t>
  </si>
  <si>
    <t>07784958</t>
  </si>
  <si>
    <t xml:space="preserve">YATACO MUNAYCO MARIA ZULM    </t>
  </si>
  <si>
    <t>21819964</t>
  </si>
  <si>
    <t>TECNICO LEGAL</t>
  </si>
  <si>
    <t>MENDOZA VALLADOLID FERMIN AGUSTIN</t>
  </si>
  <si>
    <t>07516003</t>
  </si>
  <si>
    <t>BACA GALVEZ MERCEDES  ELIZABETH</t>
  </si>
  <si>
    <t>08234185</t>
  </si>
  <si>
    <t>CURASI GARATE LOURDES EMILIANA-BAJA</t>
  </si>
  <si>
    <t>MONCADA CHAVEZ, GABRIELA MILAGROS</t>
  </si>
  <si>
    <t>07214946</t>
  </si>
  <si>
    <t>BRAVO CONDOR, ELENA ELIZABETH</t>
  </si>
  <si>
    <t>UNIDAD EJECUTORA: 005 FUERZA AÉREA DEL PERÚ</t>
  </si>
  <si>
    <t>TITULO</t>
  </si>
  <si>
    <t>ARMAS CASO, DARIO</t>
  </si>
  <si>
    <t>006 CONIDA</t>
  </si>
  <si>
    <t>BARRUETO PLAZA, EGARDO JAIME</t>
  </si>
  <si>
    <t>CONTADORA</t>
  </si>
  <si>
    <t>CISNEROS ARANGO YOLANDA</t>
  </si>
  <si>
    <t>DONAYRE CHOQUE EVELYN</t>
  </si>
  <si>
    <t>ELESPURU TRIGOSO DE PALOMINO MARLLORY LUZ</t>
  </si>
  <si>
    <t>42145076</t>
  </si>
  <si>
    <t>MANTENIMIENTO</t>
  </si>
  <si>
    <t>ESPINDOLA  MILLA ARMANDO</t>
  </si>
  <si>
    <t>41961186</t>
  </si>
  <si>
    <t>BACH. FISICA</t>
  </si>
  <si>
    <t>FLORES HEREÑA FERNANDA</t>
  </si>
  <si>
    <t>MACHUCA BAZAN MARCO JOAO</t>
  </si>
  <si>
    <t>INVESTIGADOR</t>
  </si>
  <si>
    <t>MALPARTIDA SIXE, LIDELMA</t>
  </si>
  <si>
    <t>SEGURIDAD</t>
  </si>
  <si>
    <t>PARI LOPEZ MARTIN</t>
  </si>
  <si>
    <t>ASIST. MARKETIN</t>
  </si>
  <si>
    <t xml:space="preserve">PAUCAR BOZA PERCY RENE </t>
  </si>
  <si>
    <t>80632900,</t>
  </si>
  <si>
    <t>TELLO VASQUEZ, RONALD</t>
  </si>
  <si>
    <t>LOGISTICO</t>
  </si>
  <si>
    <t>VERAMENDI RAMOS JUAN JESUS</t>
  </si>
  <si>
    <t>VIVEROS LLUCAPALLA, ELVIS</t>
  </si>
  <si>
    <t>ZARATE  CHAMORRO, ROY EDGAR</t>
  </si>
  <si>
    <t>CCOÑAS RAMOS EDSON DAVID</t>
  </si>
  <si>
    <t>47081611</t>
  </si>
  <si>
    <t>ESPINOZA ROJAS ISABEL CATERINE</t>
  </si>
  <si>
    <t>MANENIMIENTO</t>
  </si>
  <si>
    <t>MORA ZAVALA EDUARDO ENRIQUE</t>
  </si>
  <si>
    <t>O9936993</t>
  </si>
  <si>
    <t>MORE CASTRO FEDRA NURY</t>
  </si>
  <si>
    <t>COCINERA</t>
  </si>
  <si>
    <t>RAMOS CHAVEZ ALEX</t>
  </si>
  <si>
    <t>RAMOS CHAVEZ RONALD DIEGO</t>
  </si>
  <si>
    <t>VALERIO CHILE ENRIQUE AMADEO</t>
  </si>
  <si>
    <t>VILCA AVARISTO SONIA</t>
  </si>
  <si>
    <t>44762349</t>
  </si>
  <si>
    <t>VILCA SOLIS ARTEMIA</t>
  </si>
  <si>
    <t>MEZA  SILVA VICTOR HUGO</t>
  </si>
  <si>
    <t xml:space="preserve"> MARTINEZ GUIZADO SOLEDAD TERESA</t>
  </si>
  <si>
    <t>COELLO FABABA JOSE CARLOS</t>
  </si>
  <si>
    <t>47442611</t>
  </si>
  <si>
    <t>RUEDA AVALOS DE GARCIA ANELIDA</t>
  </si>
  <si>
    <t>07896553</t>
  </si>
  <si>
    <t>PUPPI SALINAS JULISA</t>
  </si>
  <si>
    <t xml:space="preserve">BIZARRO ORTÍZ VIRGILIO JUSTINIANO </t>
  </si>
  <si>
    <t>PANTIGOSO BARRIENTOS DONATO WILFREDO</t>
  </si>
  <si>
    <t xml:space="preserve">ROBLES LIVIA EDWARD JOHN </t>
  </si>
  <si>
    <t>ROSALES SAIHUA CESAR</t>
  </si>
  <si>
    <t>ING. INFORMAT</t>
  </si>
  <si>
    <t>CANALES  IDONE JULY</t>
  </si>
  <si>
    <t>BARROS RODRIGUEZ JOSSELIN</t>
  </si>
  <si>
    <t>BECERRA CABANILLAS, ANTHONY</t>
  </si>
  <si>
    <t>HUERTA FIRMA RONNY MICHAEL</t>
  </si>
  <si>
    <t>ING. GEOGRAFA</t>
  </si>
  <si>
    <t>QUINTANA ORTIZ JESUS</t>
  </si>
  <si>
    <t>AISTENTE</t>
  </si>
  <si>
    <t>QUISPE MANCCO CYNTHIA ANTONIA</t>
  </si>
  <si>
    <t>FISICO</t>
  </si>
  <si>
    <t>VEGA MARTINEZ JUAN SANTIAGO</t>
  </si>
  <si>
    <t>CARDENAS SOLANO MICHAEL ANTONY</t>
  </si>
  <si>
    <t>NAVAS HINOSTROZA AYRTON MIGUEL</t>
  </si>
  <si>
    <t>AIRE ACOND.</t>
  </si>
  <si>
    <t>CARLOS AUGUSTO CIRILO MATA</t>
  </si>
  <si>
    <t>CASTRO  MONJA HERMOGENES</t>
  </si>
  <si>
    <t xml:space="preserve">CASTRO MONJA  JULIO </t>
  </si>
  <si>
    <t>TITULADO</t>
  </si>
  <si>
    <t>CHUMPITAZ LUJAN JAVIER</t>
  </si>
  <si>
    <t>43013537</t>
  </si>
  <si>
    <t>JUAREZ ORTIZ VLADIMIR ALFONSO</t>
  </si>
  <si>
    <t>MACHACA AYALA PABLO JHOMAR</t>
  </si>
  <si>
    <t>MORENO SANTILLAN RODOLFO</t>
  </si>
  <si>
    <t>NAVARRETE SOTOMAYOR VANESSA</t>
  </si>
  <si>
    <t>RODRIGUEZ PALACIOS MERCEDES AURORA</t>
  </si>
  <si>
    <t>SAMANES CARDENAS JORGE ENRIQUE</t>
  </si>
  <si>
    <t>IGNACIO VILCA JENSEN JOSUE</t>
  </si>
  <si>
    <t>FISICA</t>
  </si>
  <si>
    <t xml:space="preserve">OTINIANO ORMACHEA LUIS </t>
  </si>
  <si>
    <t>ADMNISTRACION</t>
  </si>
  <si>
    <t>GONZALES VALDIVIA HORTENCIA VANESSA</t>
  </si>
  <si>
    <t>ADMINISTRADORA</t>
  </si>
  <si>
    <t>PADILLA CASANA, EDUARDO</t>
  </si>
  <si>
    <t>ANGELES ROMERO  MIRTHA ASTERIA</t>
  </si>
  <si>
    <t>32385317</t>
  </si>
  <si>
    <t xml:space="preserve">LICENCIADO </t>
  </si>
  <si>
    <t>ARANZAES MARIO LORENZO</t>
  </si>
  <si>
    <t>CUBAS CUBAS ROGER</t>
  </si>
  <si>
    <t>ING. MEC ELECT</t>
  </si>
  <si>
    <t>SANCHEZ PEREZ JHOOLER HIPOLITO</t>
  </si>
  <si>
    <t>QUIMICO</t>
  </si>
  <si>
    <t>UGARTE TITO NERY</t>
  </si>
  <si>
    <t>ING. MECANICO</t>
  </si>
  <si>
    <t xml:space="preserve">ZAVALAGA TEJADA MARCELINO RAUL </t>
  </si>
  <si>
    <t>O6154713</t>
  </si>
  <si>
    <t>ING. QUIMICO</t>
  </si>
  <si>
    <t>CAVERO OVIEDO SERGIO</t>
  </si>
  <si>
    <t>DIRECTOR</t>
  </si>
  <si>
    <t>POMAYAY POMAYAY VIRGINIA</t>
  </si>
  <si>
    <t>SANCHEZ RUTTI ROSA MARIA</t>
  </si>
  <si>
    <t>40498847</t>
  </si>
  <si>
    <t>ZAPATA TEJADA JESUS YHONATHAN</t>
  </si>
  <si>
    <t>ING. INDUSTRIAL</t>
  </si>
  <si>
    <t>ZAVALETA MEZA EDUARDO YLDEFONSO</t>
  </si>
  <si>
    <t>ARDILES VAGAS ANGEL</t>
  </si>
  <si>
    <t>CABALLERO HARO WILDER HANS</t>
  </si>
  <si>
    <t>09913586</t>
  </si>
  <si>
    <t>CANALES RIMACHI LIZANDRO</t>
  </si>
  <si>
    <t xml:space="preserve">ESPECIALISTA </t>
  </si>
  <si>
    <t xml:space="preserve">INGENIERO </t>
  </si>
  <si>
    <t>CHAVEZ ESPIRITU TULIO</t>
  </si>
  <si>
    <t>ECHE LLENQUE JOSE CARLOS</t>
  </si>
  <si>
    <t>10710458</t>
  </si>
  <si>
    <t>NEYRA MERCADO JUAN  JOSE</t>
  </si>
  <si>
    <t>ING. AERONAUTICO</t>
  </si>
  <si>
    <t>VILLANUEVA JIMENEZ MARCELL</t>
  </si>
  <si>
    <t>VILLANUEVA PONCE PEDRO LUIS</t>
  </si>
  <si>
    <t>VILLON  REINOSO CARMEN</t>
  </si>
  <si>
    <t>ING. ELECTRIC</t>
  </si>
  <si>
    <t>DAVILA CATALDO WILFREDO</t>
  </si>
  <si>
    <t>ING. SISTEMAS</t>
  </si>
  <si>
    <t>GOMEZ BORDA MARIO</t>
  </si>
  <si>
    <t>MEZA QUISPE ERICK GREGORIO</t>
  </si>
  <si>
    <t>ALCANTARA MOLINA ROSA GLADYS</t>
  </si>
  <si>
    <t>09162989</t>
  </si>
  <si>
    <t>CALLE BUSTINZA FREDDY ARTURO</t>
  </si>
  <si>
    <t>40597085</t>
  </si>
  <si>
    <t>CONDE LAPAS FRANCISCO</t>
  </si>
  <si>
    <t>FLORES RAMIREZ RICARDO ARTURO</t>
  </si>
  <si>
    <t>41848855</t>
  </si>
  <si>
    <t>ING. ELECTRON</t>
  </si>
  <si>
    <t>RAMIREZ PAZOS JOSE LUIS</t>
  </si>
  <si>
    <t>ROBLES HIDALGO ALFREDO</t>
  </si>
  <si>
    <t>07914357</t>
  </si>
  <si>
    <t>CALLIRGOS VALDIVIA ERIKA</t>
  </si>
  <si>
    <t>DIRECTORA</t>
  </si>
  <si>
    <t>DELGADO  VALENZUELA MARCO ANTONIO</t>
  </si>
  <si>
    <t>DELGADO GUEVARA HENRRI</t>
  </si>
  <si>
    <t>DELGADO PABLO ALEX RICARDO</t>
  </si>
  <si>
    <t>PEREA TAMAYO ROBERT</t>
  </si>
  <si>
    <t>PASAPERA  GONZALES JOSE JESUS</t>
  </si>
  <si>
    <t>VIDAL VALDIVIESO MIGUEL ANGEL</t>
  </si>
  <si>
    <t>DIRECTOR TEC.</t>
  </si>
  <si>
    <t>HENRIQUEZ CAMACHO GUSTAVO</t>
  </si>
  <si>
    <t>BINASCO PERALES AUGUSTO ENEIQUE</t>
  </si>
  <si>
    <t>UNIDAD EJECUTORA: 006 COMISION NACIONAL DE INVESTIGACIÓN Y DESARROLLO AEROESPACIAL</t>
  </si>
  <si>
    <t>06</t>
  </si>
  <si>
    <t>02</t>
  </si>
  <si>
    <t>05</t>
  </si>
  <si>
    <t>ZURITA VERA CARMEN</t>
  </si>
  <si>
    <t>25786565</t>
  </si>
  <si>
    <t>009 ENAMM</t>
  </si>
  <si>
    <t>08</t>
  </si>
  <si>
    <t>03</t>
  </si>
  <si>
    <t>ZUÑIGA IRRARAZABAL LINDA</t>
  </si>
  <si>
    <t>42395694</t>
  </si>
  <si>
    <t>04</t>
  </si>
  <si>
    <t>VEGA ABURTO EDUARDO</t>
  </si>
  <si>
    <t>25419373</t>
  </si>
  <si>
    <t>TASAYCO CONDOR MELISSA YOVANA</t>
  </si>
  <si>
    <t>21885172</t>
  </si>
  <si>
    <t>09</t>
  </si>
  <si>
    <t>TAPIA BERNILLA JOSE</t>
  </si>
  <si>
    <t>73187302</t>
  </si>
  <si>
    <t>07</t>
  </si>
  <si>
    <t>RUIZ MELCHOR CHRISTIAN JOEL</t>
  </si>
  <si>
    <t>47759035</t>
  </si>
  <si>
    <t>AUDIVISUALES</t>
  </si>
  <si>
    <t>ROLDAN ANCASI FERNANDO</t>
  </si>
  <si>
    <t>10072972</t>
  </si>
  <si>
    <t>AUDIOVISUALES</t>
  </si>
  <si>
    <t>REGALADO MEDINA LEONET LISSETH</t>
  </si>
  <si>
    <t>47142874</t>
  </si>
  <si>
    <t>SERVICIO</t>
  </si>
  <si>
    <t>RAMOS VASQUEZ GLADYS ROSSANA</t>
  </si>
  <si>
    <t>25860432</t>
  </si>
  <si>
    <t>LIMPIEZA Y MANTENIMIENTO</t>
  </si>
  <si>
    <t>AYUDANTE DE COCINA</t>
  </si>
  <si>
    <t>RAMOS RAMIREZ FRANK ANTHONY</t>
  </si>
  <si>
    <t>46533017</t>
  </si>
  <si>
    <t>QUEZADA MARINO RICHARD STEVEN</t>
  </si>
  <si>
    <t>42048163</t>
  </si>
  <si>
    <t>OFICIAL MERCANTE</t>
  </si>
  <si>
    <t>PRADA RIVERA MARLENE VICTORIA</t>
  </si>
  <si>
    <t>44765107</t>
  </si>
  <si>
    <t>PINEDA DAVILA DIANA CAROLINA</t>
  </si>
  <si>
    <t>44810994</t>
  </si>
  <si>
    <t>PAREDES ESPINALES LILI ANA</t>
  </si>
  <si>
    <t>44170956</t>
  </si>
  <si>
    <t>CAMARERO</t>
  </si>
  <si>
    <t>PANDURO VILLACREZ STEFANY NOEMY</t>
  </si>
  <si>
    <t>70432822</t>
  </si>
  <si>
    <t>ORTEGA PALOMINO RAFAEL JOSE</t>
  </si>
  <si>
    <t>40324649</t>
  </si>
  <si>
    <t>ORTEGA PALOMINO CARLOS</t>
  </si>
  <si>
    <t>42789250</t>
  </si>
  <si>
    <t xml:space="preserve">ONTON ALMIRON RUTHY ROSALYN </t>
  </si>
  <si>
    <t>40907953</t>
  </si>
  <si>
    <t>OLIVARES SIMON HOLLIVER TEODOSIO</t>
  </si>
  <si>
    <t>44508840</t>
  </si>
  <si>
    <t>MURO ZEVILLA LUZ CRISTINA</t>
  </si>
  <si>
    <t>48018981</t>
  </si>
  <si>
    <t>MUÑOZ DIONICIO AILIN YASMIN</t>
  </si>
  <si>
    <t>JEFE PRE ENAMM</t>
  </si>
  <si>
    <t>MOSCOSO CUSIHUALLPA DE ZUÑIGA NORMA ELIZABETH</t>
  </si>
  <si>
    <t>29311794</t>
  </si>
  <si>
    <t>COMUNICADORA SOCIAL</t>
  </si>
  <si>
    <t>CONTABLE</t>
  </si>
  <si>
    <t>MORALES ESPINOZA FERMIN</t>
  </si>
  <si>
    <t>08500694</t>
  </si>
  <si>
    <t>PROCESOS DEL PAC</t>
  </si>
  <si>
    <t>MORA BAZALAR JUAN FERNANDO</t>
  </si>
  <si>
    <t>25670271</t>
  </si>
  <si>
    <t>ASITENTE EN  -DIRCAP</t>
  </si>
  <si>
    <t>MONTOYA MOTTA JAIME SERAPIO</t>
  </si>
  <si>
    <t>07229592</t>
  </si>
  <si>
    <t>MENDOZA QUIJANO LUIS ENRIQUE</t>
  </si>
  <si>
    <t>25423335</t>
  </si>
  <si>
    <t>ODONTOLOGA</t>
  </si>
  <si>
    <t>MATTA REYES MARIA ELENA</t>
  </si>
  <si>
    <t>40360470</t>
  </si>
  <si>
    <t>LLERENA HERRERA FAVIO</t>
  </si>
  <si>
    <t>ASISTENTE JURIDICO</t>
  </si>
  <si>
    <t>CARTERO</t>
  </si>
  <si>
    <t>JAMBO GUEVARA LUIS ALBERTO</t>
  </si>
  <si>
    <t>CAPACITACION</t>
  </si>
  <si>
    <t>ISIDRO ESPINOZA SAMUEL</t>
  </si>
  <si>
    <t>MARINO DE GUERRA</t>
  </si>
  <si>
    <t>HINOSTROZA SALAZAR ARTURO JASON</t>
  </si>
  <si>
    <t>HIJAR RIVERA JOSÉ ORLANDO</t>
  </si>
  <si>
    <t>41916908</t>
  </si>
  <si>
    <t xml:space="preserve">SEGURIDAD </t>
  </si>
  <si>
    <t>GUZMAN VILLADEZA ROLAN</t>
  </si>
  <si>
    <t>45937353</t>
  </si>
  <si>
    <t>DOCENTE INGLES</t>
  </si>
  <si>
    <t>GONZALES RIVAS MARIA ELENA</t>
  </si>
  <si>
    <t>09071346</t>
  </si>
  <si>
    <t>ENSEÑAÑZA DE IDIOMA INGLES</t>
  </si>
  <si>
    <t>GONZALES SUSANIBAR SILVIA CRISTINA</t>
  </si>
  <si>
    <t>JEFE.OF.IDIOMAS</t>
  </si>
  <si>
    <t>GARRIDO ZAPATA PEDRO PABLO</t>
  </si>
  <si>
    <t>25719467</t>
  </si>
  <si>
    <t>GARCIA ZAVALA CHRISTIAN EDWIN</t>
  </si>
  <si>
    <t>25860669</t>
  </si>
  <si>
    <t>ADM. MARITIMA</t>
  </si>
  <si>
    <t>MARINO MERCANTE</t>
  </si>
  <si>
    <t>ESPINOZA HERRERA LUIS ENRIQUE</t>
  </si>
  <si>
    <t>25563278</t>
  </si>
  <si>
    <t>DURAND CARRERA MIGUEL ENRIQUE</t>
  </si>
  <si>
    <t>48181625</t>
  </si>
  <si>
    <t>CUEVA ITUSACA CARMEN JULIA</t>
  </si>
  <si>
    <t>25847035</t>
  </si>
  <si>
    <t>PROGRAMA PUENTE</t>
  </si>
  <si>
    <t>CHUQUISUTA VIVAS LUIS ALBERTO</t>
  </si>
  <si>
    <t>45118621</t>
  </si>
  <si>
    <t>CHERRES CASTRO ELISABETH ESMIDIA</t>
  </si>
  <si>
    <t>25841992</t>
  </si>
  <si>
    <t>CHAMANA ESPINOZA SANDRO HERBEHT</t>
  </si>
  <si>
    <t>74066532</t>
  </si>
  <si>
    <t>CASTILLO ORUNA ALLYSON DEL PILAR</t>
  </si>
  <si>
    <t>CASTILLO DÍAS EDGAR SMITH</t>
  </si>
  <si>
    <t>42052750</t>
  </si>
  <si>
    <t>CARMELINO SANDOVAL CLAUDIA</t>
  </si>
  <si>
    <t>JEFE DE OFICINA DE RELACIONES PUBLICAS</t>
  </si>
  <si>
    <t>CARBAJAL VALERA DAVID RICARDO</t>
  </si>
  <si>
    <t>07917613</t>
  </si>
  <si>
    <t>CALVERA LEON JULIO RICARDO</t>
  </si>
  <si>
    <t>40181537</t>
  </si>
  <si>
    <t>CALERO HUAMANCIZA JOHN ANIBAL</t>
  </si>
  <si>
    <t>43322133</t>
  </si>
  <si>
    <t xml:space="preserve">CABRERA REYES ALONSO MIGUEL </t>
  </si>
  <si>
    <t>46668138</t>
  </si>
  <si>
    <t>BOCANGEL MACEDO MARIA INES ELVIRA</t>
  </si>
  <si>
    <t>25839574</t>
  </si>
  <si>
    <t>BENITES PAICO EDGAR GERARDO</t>
  </si>
  <si>
    <t>17562480</t>
  </si>
  <si>
    <t>AYUDANTE COCINA</t>
  </si>
  <si>
    <t>BASTOS PANDURO PRISCILA CAROLINA</t>
  </si>
  <si>
    <t>BARRIOS COBEÑAS MARIVEL</t>
  </si>
  <si>
    <t>25542490</t>
  </si>
  <si>
    <t>BARRIOS COBEÑAS AGUSTÍN RICKY</t>
  </si>
  <si>
    <t>25496694</t>
  </si>
  <si>
    <t>ESPEC. TRIBUTACION</t>
  </si>
  <si>
    <t>AYLLON CANDELA KIEL ANGEL</t>
  </si>
  <si>
    <t>ASTETE GRIJALVA LINCOLN ERNESTO</t>
  </si>
  <si>
    <t>09231674</t>
  </si>
  <si>
    <t>AUXILIAR DE MANTENIMIENTO</t>
  </si>
  <si>
    <t>ARROYO DEXTRE LILIANA</t>
  </si>
  <si>
    <t>ARRIETA FIESTAS VILMA MARIA</t>
  </si>
  <si>
    <t>08744907</t>
  </si>
  <si>
    <t>ARAUJO RODRIGUEZ VANESSA</t>
  </si>
  <si>
    <t>48014678</t>
  </si>
  <si>
    <t>ANGELDONIS  VIZARRETA NINNOSKA</t>
  </si>
  <si>
    <t>JEFE DE PERSONAL</t>
  </si>
  <si>
    <t>SISTEMAS</t>
  </si>
  <si>
    <t>ANAYA VERAMENDI JOHN BLADEMIR</t>
  </si>
  <si>
    <t>31672415</t>
  </si>
  <si>
    <t>JEFE DE INFORMATICA</t>
  </si>
  <si>
    <t>ALVIAREZ GUERRERO MARIANA</t>
  </si>
  <si>
    <t>ENFERMERO</t>
  </si>
  <si>
    <t xml:space="preserve">ALMEYDA NAVARRO SILENE </t>
  </si>
  <si>
    <t>08155537</t>
  </si>
  <si>
    <t>INGENIERO SISTEMAS</t>
  </si>
  <si>
    <t>ACUÑA VELASQUEZ RICHARD HAROLD</t>
  </si>
  <si>
    <t>40422385</t>
  </si>
  <si>
    <t>PLATAFORMA VIRTUAL</t>
  </si>
  <si>
    <t xml:space="preserve">UNIDAD EJECUTORA: 008 ESCUELA NACIONAL DE MARINA MERCANTE </t>
  </si>
  <si>
    <t>Auxiliar Administrativo</t>
  </si>
  <si>
    <t>Tecnico Administrativo</t>
  </si>
  <si>
    <t xml:space="preserve">009 OPREFA </t>
  </si>
  <si>
    <t>Digitador</t>
  </si>
  <si>
    <t>Especialista Informatica</t>
  </si>
  <si>
    <t>Logistica</t>
  </si>
  <si>
    <t>Analista</t>
  </si>
  <si>
    <t xml:space="preserve">Profesional </t>
  </si>
  <si>
    <t>Egresada de Secretaria</t>
  </si>
  <si>
    <t>Joanicce Ysabel Tello Salazar</t>
  </si>
  <si>
    <t>Secretaria de Enlace Administrativo</t>
  </si>
  <si>
    <t>Economista</t>
  </si>
  <si>
    <t>Economía</t>
  </si>
  <si>
    <t>Clemente Edwin Espinoza Mansilla</t>
  </si>
  <si>
    <t>09250592</t>
  </si>
  <si>
    <t>Jefe de Planificación y Modernización</t>
  </si>
  <si>
    <t>Segura Sullón Victor Manuel</t>
  </si>
  <si>
    <t>07319966</t>
  </si>
  <si>
    <t>Profesional de la DGEPREV</t>
  </si>
  <si>
    <t>Lic. Administración</t>
  </si>
  <si>
    <t xml:space="preserve">Administración </t>
  </si>
  <si>
    <t>Rivera Cubillas Jorge Arturo</t>
  </si>
  <si>
    <t>09999287</t>
  </si>
  <si>
    <t>Técnico en Logística</t>
  </si>
  <si>
    <t>Bachiller</t>
  </si>
  <si>
    <t>Ing. Sistemas</t>
  </si>
  <si>
    <t>John Alí Marín Sánchez</t>
  </si>
  <si>
    <t>Analista Programador</t>
  </si>
  <si>
    <t>Ing. de Sistemas</t>
  </si>
  <si>
    <t>Perez Otero Julio Giancarlo</t>
  </si>
  <si>
    <t>Analista en Sistemas</t>
  </si>
  <si>
    <t>Suzano Aviles Pedro</t>
  </si>
  <si>
    <t>07256867 </t>
  </si>
  <si>
    <t>Laynes Segovia Polet Antuanne</t>
  </si>
  <si>
    <t>73033979</t>
  </si>
  <si>
    <t>Castillo Olivares Daniela</t>
  </si>
  <si>
    <t>Espinoza Chávez Jhemelin Shanna</t>
  </si>
  <si>
    <t>45820128 </t>
  </si>
  <si>
    <t>Técnico en Computación</t>
  </si>
  <si>
    <t xml:space="preserve">Montalvo Hernández Jorge Luis </t>
  </si>
  <si>
    <t>Lic. Educación</t>
  </si>
  <si>
    <t>Educación</t>
  </si>
  <si>
    <t>Velasquez Fernandez Sandra María</t>
  </si>
  <si>
    <t>40679492</t>
  </si>
  <si>
    <t>Digitadora</t>
  </si>
  <si>
    <t>Contador</t>
  </si>
  <si>
    <t>Contabilidad</t>
  </si>
  <si>
    <t>Velarde López Hernan</t>
  </si>
  <si>
    <t>09533749 </t>
  </si>
  <si>
    <t>Ing, Industrial</t>
  </si>
  <si>
    <t>Ing. Industrial</t>
  </si>
  <si>
    <t>Soto Benavente Antonio Myjail</t>
  </si>
  <si>
    <t>23979843</t>
  </si>
  <si>
    <t>Silva Pasache Segundo Martín</t>
  </si>
  <si>
    <t>02859986</t>
  </si>
  <si>
    <t>Seguil Marín Mary Luz</t>
  </si>
  <si>
    <t>063761139</t>
  </si>
  <si>
    <t>Técnico en Contabilidad</t>
  </si>
  <si>
    <t>Sistemas</t>
  </si>
  <si>
    <t>Santillán Zarate Erick david</t>
  </si>
  <si>
    <t>45019827</t>
  </si>
  <si>
    <t>Ramirez Dios de Cacho Carola Milagros</t>
  </si>
  <si>
    <t>02867045</t>
  </si>
  <si>
    <t>Especialista en Informática</t>
  </si>
  <si>
    <t>Padilla Marin Alex Percy</t>
  </si>
  <si>
    <t>22499020</t>
  </si>
  <si>
    <t>Especialista en Logística</t>
  </si>
  <si>
    <t>Administración</t>
  </si>
  <si>
    <t>Navarro Cabrera Silvia Lisette</t>
  </si>
  <si>
    <t>43340508</t>
  </si>
  <si>
    <t>Técnico Administrativo</t>
  </si>
  <si>
    <t xml:space="preserve">Miranda Gonzalez Alejandro Martín </t>
  </si>
  <si>
    <t>40867051</t>
  </si>
  <si>
    <t>Jefe de Tesorería</t>
  </si>
  <si>
    <t>Abogada</t>
  </si>
  <si>
    <t>Derecho</t>
  </si>
  <si>
    <t>Mera Chocce Jenny</t>
  </si>
  <si>
    <t>06800562</t>
  </si>
  <si>
    <t>Jefa de Recursos Humanos</t>
  </si>
  <si>
    <t>Administradora</t>
  </si>
  <si>
    <t xml:space="preserve">Martinez Gabaldoni de Junchaya Elva J. </t>
  </si>
  <si>
    <t>09088454</t>
  </si>
  <si>
    <t>Jefa de Tesorería</t>
  </si>
  <si>
    <t>Secretaria</t>
  </si>
  <si>
    <t>Manrique Silva Luz Beatriz</t>
  </si>
  <si>
    <t>07230117 </t>
  </si>
  <si>
    <t>Secretaria de la Dirección General</t>
  </si>
  <si>
    <t>Lic. en Educación</t>
  </si>
  <si>
    <t>Jara Lora Vicky Olivia</t>
  </si>
  <si>
    <t>41563420 </t>
  </si>
  <si>
    <t xml:space="preserve">García Adrianzen Jhinia Luz </t>
  </si>
  <si>
    <t>45922503 </t>
  </si>
  <si>
    <t>Técnico en Diseño Gráfico</t>
  </si>
  <si>
    <t>Flores Huapaya Rogelio Jesús</t>
  </si>
  <si>
    <t>43002618 </t>
  </si>
  <si>
    <t>Diseñador Gráfico</t>
  </si>
  <si>
    <t>Técnico en Computación e Informática</t>
  </si>
  <si>
    <t xml:space="preserve">Cuzcano Soriano César </t>
  </si>
  <si>
    <t>41157822 </t>
  </si>
  <si>
    <t>Técnico en Informática</t>
  </si>
  <si>
    <t>Estudios de Ofimática</t>
  </si>
  <si>
    <t>Cardenas Matios Christian Rodolfo</t>
  </si>
  <si>
    <t>73743389 </t>
  </si>
  <si>
    <t>Carbajal Tuero Olga Marlene</t>
  </si>
  <si>
    <t>40030760 </t>
  </si>
  <si>
    <t>Asistente de Presupuesto</t>
  </si>
  <si>
    <t>Cabello Avalos Ana María</t>
  </si>
  <si>
    <t>08637395</t>
  </si>
  <si>
    <t>Asistente de Contabilidad</t>
  </si>
  <si>
    <t>Amarillo Raqui Leonardo Iván</t>
  </si>
  <si>
    <t>40611208 </t>
  </si>
  <si>
    <t>Araujo Fernández Marco Antonio</t>
  </si>
  <si>
    <t>07883962 </t>
  </si>
  <si>
    <t>Alvarez Campos Ruth Angélica</t>
  </si>
  <si>
    <t>40278566 </t>
  </si>
  <si>
    <t xml:space="preserve">UNIDAD EJECUTORA: 009 OFICINA PREVISIONAL DE LAS FUERZAS ARMADAS  </t>
  </si>
  <si>
    <t>Militar en Retiro</t>
  </si>
  <si>
    <t>Zúñiga Escudero Ibo Enrique</t>
  </si>
  <si>
    <t>09387824</t>
  </si>
  <si>
    <t>Encargado de Bienes Patrimoniales</t>
  </si>
  <si>
    <t>335 ACFFAA</t>
  </si>
  <si>
    <t xml:space="preserve">Zegarra Rivera Wuendy Vanessa </t>
  </si>
  <si>
    <t>42801473</t>
  </si>
  <si>
    <t>Especialista en Gestión de procesos administrativos</t>
  </si>
  <si>
    <t>Licenciado</t>
  </si>
  <si>
    <t>Militar</t>
  </si>
  <si>
    <t>Zegarra Ruffner Álvaro Alain</t>
  </si>
  <si>
    <t>27844791</t>
  </si>
  <si>
    <t>Analista en Catalogación</t>
  </si>
  <si>
    <t>Egresada</t>
  </si>
  <si>
    <t>Bachiller en Derecho y Ciencias Politicas</t>
  </si>
  <si>
    <t>Zapata Vela Aisa D'Liz</t>
  </si>
  <si>
    <t>72809506</t>
  </si>
  <si>
    <t>Ingeniero Industrial</t>
  </si>
  <si>
    <t>Yovera Flores Alejandro</t>
  </si>
  <si>
    <t>02753453</t>
  </si>
  <si>
    <t xml:space="preserve">Chofer </t>
  </si>
  <si>
    <t>Ingeniero de Sistemas e Informática</t>
  </si>
  <si>
    <t>Yrupailla Díaz Ronald Smith</t>
  </si>
  <si>
    <t>70126385</t>
  </si>
  <si>
    <t>Secundaria Completa</t>
  </si>
  <si>
    <t>Vílchez Rivera Ricardo</t>
  </si>
  <si>
    <t>40749712</t>
  </si>
  <si>
    <t>Técnico</t>
  </si>
  <si>
    <t>Técnico Electónico</t>
  </si>
  <si>
    <t>Vilca Cerecida Johnny Iván</t>
  </si>
  <si>
    <t>10679094</t>
  </si>
  <si>
    <t>Auxiliar de mesa de partes</t>
  </si>
  <si>
    <t>Vegas Valencia Verónica Andrea Lorena</t>
  </si>
  <si>
    <t>43826585</t>
  </si>
  <si>
    <t>Analista Legal en Contrataciones del Estado</t>
  </si>
  <si>
    <t>Vega Regalado Marco Antonio</t>
  </si>
  <si>
    <t>08061712</t>
  </si>
  <si>
    <t>Valenzuela Gálvez Gerardo Manuel</t>
  </si>
  <si>
    <t>46715465</t>
  </si>
  <si>
    <t>Valerio Atuncar Alberto</t>
  </si>
  <si>
    <t>43575502</t>
  </si>
  <si>
    <t>Técnico en Contrataciones  al Extranjero</t>
  </si>
  <si>
    <t>Contador Público</t>
  </si>
  <si>
    <t>Velarde Yañez Juan Alfredo</t>
  </si>
  <si>
    <t>08104597</t>
  </si>
  <si>
    <t>Especialista en Cotrol Previo</t>
  </si>
  <si>
    <t>Ingeniero</t>
  </si>
  <si>
    <t>Ingeniero Electrónico</t>
  </si>
  <si>
    <t>Tapia Díaz Vicente Raúl</t>
  </si>
  <si>
    <t>29411221</t>
  </si>
  <si>
    <t>Jefe de la Oficina de Informática</t>
  </si>
  <si>
    <t>Tamayo Campos Jesùs Martìn</t>
  </si>
  <si>
    <t>43418580</t>
  </si>
  <si>
    <t>Asesor I</t>
  </si>
  <si>
    <t>Tafur Mendoza Michael Martin</t>
  </si>
  <si>
    <t>Especialista en Contrataciones / Sub Director (e) de Estudios de Mercado Nacional</t>
  </si>
  <si>
    <t>Suarez Criollo Timoteo Orestes</t>
  </si>
  <si>
    <t>42744654</t>
  </si>
  <si>
    <t xml:space="preserve">Licenciada </t>
  </si>
  <si>
    <t>Licenciada en Gestión y Alta Dirección</t>
  </si>
  <si>
    <t>Sifuentes Aceijas Leyla Azucena</t>
  </si>
  <si>
    <t>43550246</t>
  </si>
  <si>
    <t>Jefe de la Oficina de Planeamiento y Presupuesto</t>
  </si>
  <si>
    <t>Psicóloga</t>
  </si>
  <si>
    <t>Segura Yturregui Amalia Melissa</t>
  </si>
  <si>
    <t>43658538</t>
  </si>
  <si>
    <t>Especialista en Desarrollo Organizacional</t>
  </si>
  <si>
    <t>Saucedo Pizarro Erika Marisol</t>
  </si>
  <si>
    <t>10351032</t>
  </si>
  <si>
    <t>Técnico en Secretariado Ejecutivo</t>
  </si>
  <si>
    <t>Sánchez Rodríguez Katherine Estephany</t>
  </si>
  <si>
    <t>46843112</t>
  </si>
  <si>
    <t>Sánchez Paucar Carola Milagro</t>
  </si>
  <si>
    <t>10287793</t>
  </si>
  <si>
    <t>Analista de Planeamiento Presupuesto y Racionalización/ Jefe de Racionalización ( e )</t>
  </si>
  <si>
    <t>Ecomista</t>
  </si>
  <si>
    <t>Sandoval Checa Raquel Maricela</t>
  </si>
  <si>
    <t>Especialista en Planeamiento Estrategico</t>
  </si>
  <si>
    <t>Salinas Espinoza Héctor</t>
  </si>
  <si>
    <t>40702085</t>
  </si>
  <si>
    <t>Jefe de la Oficina de Asesoria Jurídica</t>
  </si>
  <si>
    <t>Militar - Abastecimiento</t>
  </si>
  <si>
    <t>Salas Asencios Rigoberto</t>
  </si>
  <si>
    <t>43847220</t>
  </si>
  <si>
    <t>Técnico en Estudios de Mercado Extranjero</t>
  </si>
  <si>
    <t>Ruiz Eldredge Pastor Sergio Yvanof</t>
  </si>
  <si>
    <t>40676906</t>
  </si>
  <si>
    <t>Especialista en Catalogación</t>
  </si>
  <si>
    <t>Estudiante</t>
  </si>
  <si>
    <t>Rojas Murillo Carlos Ernesto</t>
  </si>
  <si>
    <t>08160305</t>
  </si>
  <si>
    <t>Técnico en Contrataciones del Estado</t>
  </si>
  <si>
    <t>Rodríguez Peña Talia Lisseth</t>
  </si>
  <si>
    <t>41483330</t>
  </si>
  <si>
    <t xml:space="preserve">Licenciado </t>
  </si>
  <si>
    <t>Administrador</t>
  </si>
  <si>
    <t>Rivera Burgos Luis Felipe</t>
  </si>
  <si>
    <t>41188368</t>
  </si>
  <si>
    <t>Ingeniero Sistemas de Armamento</t>
  </si>
  <si>
    <t>Rios Lituma Francisco Jose</t>
  </si>
  <si>
    <t>07773225</t>
  </si>
  <si>
    <t>Administrador de Empresas</t>
  </si>
  <si>
    <t>Revilla Delgado Friorella Franchezca</t>
  </si>
  <si>
    <t>42813569</t>
  </si>
  <si>
    <t>Especialista en contrataciones del Estado</t>
  </si>
  <si>
    <t>Técnico en Administración</t>
  </si>
  <si>
    <t>Reyna Marcos Gisela Dessiree</t>
  </si>
  <si>
    <t>47907545</t>
  </si>
  <si>
    <t>Ramos Cabrera Diego Rodolfo</t>
  </si>
  <si>
    <t>43662339</t>
  </si>
  <si>
    <t>Especialista en Seguridad</t>
  </si>
  <si>
    <t>Ingeniero Mecanico</t>
  </si>
  <si>
    <t>Quiñones Díaz Héctor Aurelio</t>
  </si>
  <si>
    <t>06797891</t>
  </si>
  <si>
    <t>Especialista en Planeamiento y Desarrollo</t>
  </si>
  <si>
    <t xml:space="preserve">Economista </t>
  </si>
  <si>
    <t>Pereira Espinoza Silvia Alejandra</t>
  </si>
  <si>
    <t>46546083</t>
  </si>
  <si>
    <t>Analista en Planeamiento Estratégico</t>
  </si>
  <si>
    <t>Paz Cárdenas Juan Carlos</t>
  </si>
  <si>
    <t>06707293</t>
  </si>
  <si>
    <t>Jefe de la Oficina General de Administración</t>
  </si>
  <si>
    <t>Paredes Silva Jorge Luis</t>
  </si>
  <si>
    <t>43661334</t>
  </si>
  <si>
    <t>Director de la Dirección de Procesos de Compras</t>
  </si>
  <si>
    <t>Licenciado en Gestión de RRHH</t>
  </si>
  <si>
    <t>Paredes Casaverde Christian Alexis</t>
  </si>
  <si>
    <t>70149947</t>
  </si>
  <si>
    <t>Analista de Recursos Humanos</t>
  </si>
  <si>
    <t xml:space="preserve">Ingeniero de Sistemas  </t>
  </si>
  <si>
    <t>Palomares Chávez Delia Nadia</t>
  </si>
  <si>
    <t>43010103</t>
  </si>
  <si>
    <t>Especialista en SIGA</t>
  </si>
  <si>
    <t>43010102</t>
  </si>
  <si>
    <t>Analsta en SIGA</t>
  </si>
  <si>
    <t>Palma Jara Orlando</t>
  </si>
  <si>
    <t>09924605</t>
  </si>
  <si>
    <t>Especialista en Control Previo</t>
  </si>
  <si>
    <t>Palacios Lloclla Hedilberto Hilario</t>
  </si>
  <si>
    <t>07050650</t>
  </si>
  <si>
    <t>Analista en Auditoría</t>
  </si>
  <si>
    <t>Licenciado en Educación</t>
  </si>
  <si>
    <t>Docente</t>
  </si>
  <si>
    <t>Oropeza Estrada Pedro Carlos</t>
  </si>
  <si>
    <t>07769263</t>
  </si>
  <si>
    <t>Auxiliar en Mantenimiento</t>
  </si>
  <si>
    <t>Navarro Monroy Héctor Fernando</t>
  </si>
  <si>
    <t>42956452</t>
  </si>
  <si>
    <t>Administradora de Negocios Internacionales</t>
  </si>
  <si>
    <t>Narvaéz Alvarez Mayra Alejandra</t>
  </si>
  <si>
    <t>72379542</t>
  </si>
  <si>
    <t>Asistente de Catalogación</t>
  </si>
  <si>
    <t>Miyashita Izela Margot</t>
  </si>
  <si>
    <t>41752355</t>
  </si>
  <si>
    <t xml:space="preserve">Especialista Legal  </t>
  </si>
  <si>
    <t>Mendez Villegas Braulio Hernán</t>
  </si>
  <si>
    <t>Especialista en Contrataciones</t>
  </si>
  <si>
    <t>Mendez Flores Pablo Alberto</t>
  </si>
  <si>
    <t>45419136</t>
  </si>
  <si>
    <t>Primaria Incompleta</t>
  </si>
  <si>
    <t>Marcas Huacles Honorata</t>
  </si>
  <si>
    <t>40392505</t>
  </si>
  <si>
    <t>Auxiliar en servicios generales</t>
  </si>
  <si>
    <t xml:space="preserve">Administradora de Negocios </t>
  </si>
  <si>
    <t>Manrrique Castro Mariella</t>
  </si>
  <si>
    <t>40614354</t>
  </si>
  <si>
    <t xml:space="preserve">Técnico Administrativo </t>
  </si>
  <si>
    <t xml:space="preserve">Militar en Retiro - Mecánico de Aeronaves </t>
  </si>
  <si>
    <t>Maica Carpio José Eduardo</t>
  </si>
  <si>
    <t>03891719</t>
  </si>
  <si>
    <t>Técnico en Catalogación</t>
  </si>
  <si>
    <t>Ingeniero Mecánico</t>
  </si>
  <si>
    <t>Lozano Salazar Jorge Luis</t>
  </si>
  <si>
    <t>06301514</t>
  </si>
  <si>
    <t>Especialista en Control de Calidad / Sub Director ( e ) de Estudios de Mercado Extranjero</t>
  </si>
  <si>
    <t>Llanos Alvarado Belen Analy</t>
  </si>
  <si>
    <t>47482005</t>
  </si>
  <si>
    <t>Analista Legal</t>
  </si>
  <si>
    <t>León Ramos Cherly Francis</t>
  </si>
  <si>
    <t>45482365</t>
  </si>
  <si>
    <t>León De La Cruz Jorge Luis</t>
  </si>
  <si>
    <t>07466599</t>
  </si>
  <si>
    <t>Ingeniera Administrativa</t>
  </si>
  <si>
    <t>Larenas Aguilar Sara Noemi</t>
  </si>
  <si>
    <t>25663072</t>
  </si>
  <si>
    <t>Comuncadora</t>
  </si>
  <si>
    <t>Comunicadora Social</t>
  </si>
  <si>
    <t>Jimenez Jimenez Diana Cristel</t>
  </si>
  <si>
    <t>45500331</t>
  </si>
  <si>
    <t>Especialista en comunicaciones e imagen Institucional</t>
  </si>
  <si>
    <t>Jauregui Gamboa Marisol Susan</t>
  </si>
  <si>
    <t>43310911</t>
  </si>
  <si>
    <t xml:space="preserve">Abogado </t>
  </si>
  <si>
    <t>Huarcaya Revilla Luis Alberto</t>
  </si>
  <si>
    <t>23856772</t>
  </si>
  <si>
    <t>Secretario General</t>
  </si>
  <si>
    <t xml:space="preserve">Huamán Camones Susan Inés </t>
  </si>
  <si>
    <t>45630916</t>
  </si>
  <si>
    <t xml:space="preserve">Ingeniero  </t>
  </si>
  <si>
    <t>Huaquisto Alatrista Victor</t>
  </si>
  <si>
    <t>10761564</t>
  </si>
  <si>
    <t>Técnico en Redes y Comunicaciones</t>
  </si>
  <si>
    <t>Hidalgo Correa O Briand Dimas</t>
  </si>
  <si>
    <t>42151282</t>
  </si>
  <si>
    <t>Licenciado en Ciencias de la Comunicación</t>
  </si>
  <si>
    <t>Hernandez Torres Cesar Luis</t>
  </si>
  <si>
    <t>40182715</t>
  </si>
  <si>
    <t>Gómez De La Torre Arteta Verónica María</t>
  </si>
  <si>
    <t>29529946</t>
  </si>
  <si>
    <t>Asistente Administrativo de Logistica</t>
  </si>
  <si>
    <t>Gómez Aldana Luis Carlos</t>
  </si>
  <si>
    <t>70789168</t>
  </si>
  <si>
    <t xml:space="preserve">Analista Legal  </t>
  </si>
  <si>
    <t>Gil Cortez Juan Carlos</t>
  </si>
  <si>
    <t>07566055</t>
  </si>
  <si>
    <t>Técnico en Contrataciones</t>
  </si>
  <si>
    <t>Técnico en Abastecimiento/MILITAR EN RETIRO</t>
  </si>
  <si>
    <t>Gavilán Medrano Antonino</t>
  </si>
  <si>
    <t>43524548</t>
  </si>
  <si>
    <t>Técnico en Registro de Proveedores</t>
  </si>
  <si>
    <t>García Távara Erika Elizabeth</t>
  </si>
  <si>
    <t>05644135</t>
  </si>
  <si>
    <t>Tesorero</t>
  </si>
  <si>
    <t>García Gonzáles Sergio</t>
  </si>
  <si>
    <t>01158191</t>
  </si>
  <si>
    <t>Tecnico</t>
  </si>
  <si>
    <t>Garay Rios Lourdes Paola</t>
  </si>
  <si>
    <t>09878811</t>
  </si>
  <si>
    <t>Administradora Industrial</t>
  </si>
  <si>
    <t>Ferrer Cruz Elizabeth Magaly</t>
  </si>
  <si>
    <t>70837255</t>
  </si>
  <si>
    <t>Tecnico en Procesos y Calidad</t>
  </si>
  <si>
    <t>Fernández Reyes Verna Wilfredo</t>
  </si>
  <si>
    <t>40654360</t>
  </si>
  <si>
    <t>Analista en Contrataciones del Estado</t>
  </si>
  <si>
    <t>Félix Herrera Claudia Gissella</t>
  </si>
  <si>
    <t>42760653</t>
  </si>
  <si>
    <t>Administrador de Empresas/ Ingeniero Industrial</t>
  </si>
  <si>
    <t>Felipa Moreno Kenneth Hernán</t>
  </si>
  <si>
    <t>43183314</t>
  </si>
  <si>
    <t>Espinoza Araujo Andy Nikol</t>
  </si>
  <si>
    <t>45419341</t>
  </si>
  <si>
    <t>Ingeniero  Industrial</t>
  </si>
  <si>
    <t>Duran Vizarraga Jaime Luis</t>
  </si>
  <si>
    <t>06142439</t>
  </si>
  <si>
    <t>Especialista en Monitoreo y Reporte de Indicadores de Medición</t>
  </si>
  <si>
    <t>Diestra Saenz Renzo Omar</t>
  </si>
  <si>
    <t>40388390</t>
  </si>
  <si>
    <t>Del Castillo Alegre Angel Velez</t>
  </si>
  <si>
    <t>31606212</t>
  </si>
  <si>
    <t>Ingeniería Industrial</t>
  </si>
  <si>
    <t>De la Cruz Morales Juan Eduardo</t>
  </si>
  <si>
    <t>07353177</t>
  </si>
  <si>
    <t>Córdova Villacis Lludy</t>
  </si>
  <si>
    <t>05407561</t>
  </si>
  <si>
    <t>Choquehuanca Beltrán Angela Abania</t>
  </si>
  <si>
    <t>43292554</t>
  </si>
  <si>
    <t>Analista en Contrataciones</t>
  </si>
  <si>
    <t>Técnica en Computación</t>
  </si>
  <si>
    <t>Chinchay Luna Veridhska Poolet</t>
  </si>
  <si>
    <t>45646994</t>
  </si>
  <si>
    <t>Asistente de Planeamiento y Presupuesto</t>
  </si>
  <si>
    <t>Cárdenas Álcazar Angel Arnaldo</t>
  </si>
  <si>
    <t>09797345</t>
  </si>
  <si>
    <t>Campos Cabrera Víctor Hugo</t>
  </si>
  <si>
    <t>44049811</t>
  </si>
  <si>
    <t>Titulo</t>
  </si>
  <si>
    <t>Ingeniera Informática</t>
  </si>
  <si>
    <t>Cabrera Bustamante Ana Lucia</t>
  </si>
  <si>
    <t>40819700</t>
  </si>
  <si>
    <t>Especialista en Capacitación</t>
  </si>
  <si>
    <t>Bertolotti Zúñiga Italo Giuliano</t>
  </si>
  <si>
    <t>08605869</t>
  </si>
  <si>
    <t>Especialista En Presupuesto Y logistica</t>
  </si>
  <si>
    <t>Administrador Industrial</t>
  </si>
  <si>
    <t>Bances Dávila Alex Humberto</t>
  </si>
  <si>
    <t>40943258</t>
  </si>
  <si>
    <t>Técnico en Bienes Patrimoniales</t>
  </si>
  <si>
    <t>Bachiller en Administración</t>
  </si>
  <si>
    <t xml:space="preserve">Militar en Retiro </t>
  </si>
  <si>
    <t>Ballesteros Valencia Víctor Manuel</t>
  </si>
  <si>
    <t>43486894</t>
  </si>
  <si>
    <t>Director de la Dirección de Catalogación</t>
  </si>
  <si>
    <t>Baldeón Solizonquehua Judit Tamara</t>
  </si>
  <si>
    <t>09785004</t>
  </si>
  <si>
    <t>Bailon Ortiz Dalia Soraya</t>
  </si>
  <si>
    <t>25638197</t>
  </si>
  <si>
    <t>Azurín Zevallos Gerardo</t>
  </si>
  <si>
    <t>43444306</t>
  </si>
  <si>
    <t>Ingienieria Industrial</t>
  </si>
  <si>
    <t>Atocha Huapaya Mercedes Judith</t>
  </si>
  <si>
    <t>42818489</t>
  </si>
  <si>
    <t>Álvarez Rodríguez Arturo Orlando</t>
  </si>
  <si>
    <t>09163639</t>
  </si>
  <si>
    <t>Director de Procesos de Compras</t>
  </si>
  <si>
    <t>Contador Publico</t>
  </si>
  <si>
    <t>Aguilar Ticona Yuvitza Milagros</t>
  </si>
  <si>
    <t>41247790</t>
  </si>
  <si>
    <t>Aguilar Montejo Luis Orlando</t>
  </si>
  <si>
    <t>42758821</t>
  </si>
  <si>
    <t>Técnico en Electricidad</t>
  </si>
  <si>
    <t>Abanto Santacruz Rafael</t>
  </si>
  <si>
    <t>19259548</t>
  </si>
  <si>
    <t>Asistente en Servicios Generales</t>
  </si>
  <si>
    <t>PLIEGO: 335 AGENCIA DE COMPRAS DE LAS FUERZAS ARMADAS</t>
  </si>
  <si>
    <t xml:space="preserve">TOTAL </t>
  </si>
  <si>
    <t>BACHILLER  EN  GEOGRAFIA</t>
  </si>
  <si>
    <t>ASISTENTE DE PROCESOS</t>
  </si>
  <si>
    <t>RODRIGUEZ  ROCCA KATHERNE DORIS</t>
  </si>
  <si>
    <t>DEFENSA Y SEGURIDAD</t>
  </si>
  <si>
    <t>001: IGN</t>
  </si>
  <si>
    <t>5TO SECUNDARIA</t>
  </si>
  <si>
    <t>ORTEGA  CERNA  CLEVER  ALEXANDER</t>
  </si>
  <si>
    <t>009 RDR</t>
  </si>
  <si>
    <t>BACHILLER ADMINIST. EMPRESAS</t>
  </si>
  <si>
    <t xml:space="preserve">ASISTENTE </t>
  </si>
  <si>
    <t>JIMENEZ TARAZONA MARY  INES</t>
  </si>
  <si>
    <t>ING. CIVIL</t>
  </si>
  <si>
    <t>LUZA ORTEGA LILYAN</t>
  </si>
  <si>
    <t>BACHILLER GEOGRAFIA</t>
  </si>
  <si>
    <t>RAMIREZ LAURENTE  MARILYN  ROSSI</t>
  </si>
  <si>
    <t>BRAÑEZ  CAMPOS  LEONARDO A.</t>
  </si>
  <si>
    <t>MAYLLE GAMARRA FRANKLIN</t>
  </si>
  <si>
    <t>BACHILLER GEOGRAFA</t>
  </si>
  <si>
    <t>ANAYA ROA DIEGO</t>
  </si>
  <si>
    <t>ALTAMIRANO SOLORZANO VERONICA</t>
  </si>
  <si>
    <t>LUYO CHUNG  WILLIAM ROBERTO</t>
  </si>
  <si>
    <t>07553491</t>
  </si>
  <si>
    <t>BACHILLER CIENC.ADMINISTRATIVAS</t>
  </si>
  <si>
    <t>VIVANCO CIPRIAN  ISABEL</t>
  </si>
  <si>
    <t>BACHILLER DE SISTEMAS</t>
  </si>
  <si>
    <t>QUISPE ESPINOZA CHRISTIAN</t>
  </si>
  <si>
    <t>75496981</t>
  </si>
  <si>
    <t>INGENIERA GEOGRAFA</t>
  </si>
  <si>
    <t>VALENZUELA CASTRO MARIA</t>
  </si>
  <si>
    <t>ESPECIALISTA PATRIMONO</t>
  </si>
  <si>
    <t>ESTRADA SOLARI GIACARLA</t>
  </si>
  <si>
    <t>41499303</t>
  </si>
  <si>
    <t>BACHILLER EN ECONOMIA</t>
  </si>
  <si>
    <t>AUXILIAR DE PLANEAMIENTO</t>
  </si>
  <si>
    <t>NIETO AYALA RONEL</t>
  </si>
  <si>
    <t>73227496</t>
  </si>
  <si>
    <t>INGENIERO GEOGRAFO</t>
  </si>
  <si>
    <t>LEXEQUIAS CABRERA HUGO</t>
  </si>
  <si>
    <t>43615363</t>
  </si>
  <si>
    <t>BACHILLER BIBLI</t>
  </si>
  <si>
    <t>BIBLIOTECOLOGA</t>
  </si>
  <si>
    <t>MOSCOSO NEYRA VIRGINIA</t>
  </si>
  <si>
    <t>09648143</t>
  </si>
  <si>
    <t>MAYHUA ZANABRIA ALIPIO</t>
  </si>
  <si>
    <t>45713341</t>
  </si>
  <si>
    <t>TCO BASICO</t>
  </si>
  <si>
    <t>BROCCA SOSA JHONATAN</t>
  </si>
  <si>
    <t>BANCHILLER CONTABILIDAD</t>
  </si>
  <si>
    <t>TCO. ADMNISTRATIVO</t>
  </si>
  <si>
    <t>BARRETO FLORES SOL</t>
  </si>
  <si>
    <t>QUISPE ESPINOZA ANTHONY</t>
  </si>
  <si>
    <t>47282065</t>
  </si>
  <si>
    <t>INGENIERA CIVIL</t>
  </si>
  <si>
    <t>SILVA CELESTINO CLARI</t>
  </si>
  <si>
    <t>46815794</t>
  </si>
  <si>
    <t>BACHILLER EN SISTEMAS</t>
  </si>
  <si>
    <t>SOPORTE TECNICO</t>
  </si>
  <si>
    <t>ZAVALETA ANTON Jesus</t>
  </si>
  <si>
    <t>COMPUTACION E INFORMATICA</t>
  </si>
  <si>
    <t>VILLAFUERTE VELASQUEZ Dulia</t>
  </si>
  <si>
    <t>INGENIERA AMBIENTAL</t>
  </si>
  <si>
    <t>PROGRAMADOR DE GEOPORTAL</t>
  </si>
  <si>
    <t>RAMIREZ CAIRAMPOMA Rudy</t>
  </si>
  <si>
    <t>INGENIERIA GEOGRAFO</t>
  </si>
  <si>
    <t>HUANCARE MEDINA Guido</t>
  </si>
  <si>
    <t>SERVICIOS GENERALES</t>
  </si>
  <si>
    <t>DAMACIO SIMON Marcelina</t>
  </si>
  <si>
    <t>DELGADO LOPEZ Fernando</t>
  </si>
  <si>
    <t>AMBROCIO MONTOYA Edwin</t>
  </si>
  <si>
    <t>MOZO</t>
  </si>
  <si>
    <t>AGUI CUENCA Daniel</t>
  </si>
  <si>
    <t>QUEA HUAQUI Paulina</t>
  </si>
  <si>
    <t>07208894</t>
  </si>
  <si>
    <t>BACHILLER ING. COMERCIAL</t>
  </si>
  <si>
    <t>ASISTENTE DE TESORERIA</t>
  </si>
  <si>
    <t>ORIHUELA MIRANDA Sindy</t>
  </si>
  <si>
    <t>TCO ADMINISTRACION</t>
  </si>
  <si>
    <t>QUIROZ ROJAS Estefany Isabel</t>
  </si>
  <si>
    <t>CONTRERAS YACILA Susan Stefany</t>
  </si>
  <si>
    <t>BALDERA SUCLUPE Luz Esther</t>
  </si>
  <si>
    <t>SARO YOTONI Karina</t>
  </si>
  <si>
    <t>43629308</t>
  </si>
  <si>
    <t>SANDOVAL PRADO Olga</t>
  </si>
  <si>
    <t>08579347</t>
  </si>
  <si>
    <t>HUAMANI LAYME FLORA Luisa</t>
  </si>
  <si>
    <t>MONTALVO TORRES Roxana</t>
  </si>
  <si>
    <t>SANDOVAL PRADO Jenny</t>
  </si>
  <si>
    <t>10070068</t>
  </si>
  <si>
    <t>BACHILLER EN  GEOGRAFA</t>
  </si>
  <si>
    <t>ROJAS CALCINA Diana Carolina</t>
  </si>
  <si>
    <t>ESPECIALISTA TECNICO</t>
  </si>
  <si>
    <t>HUARANCA OLIVARES Maribel</t>
  </si>
  <si>
    <t>10082084</t>
  </si>
  <si>
    <t>QUINTANA CARBAJAL Jossy</t>
  </si>
  <si>
    <t>QUIÑONES ROMERO Fidel</t>
  </si>
  <si>
    <t>ADMINISTRADOR DE REDES</t>
  </si>
  <si>
    <t>SANDOVAL ESPINOZA Erick</t>
  </si>
  <si>
    <t>ESQUECHE NAVARRO Renzo Rogger</t>
  </si>
  <si>
    <t>AGUI CUENCA Danny</t>
  </si>
  <si>
    <t>YAGUA MERMA Milagros Daysi</t>
  </si>
  <si>
    <t>ADMINISTRADOR DE EMPRESAS</t>
  </si>
  <si>
    <t>CAJERA</t>
  </si>
  <si>
    <t>LEGUIA MORANTE Loly Geannina</t>
  </si>
  <si>
    <t>ADMINISTRADOR DE TURISMO Y HOTELERIA</t>
  </si>
  <si>
    <t>ANDRES NAVARRO Jhonatan</t>
  </si>
  <si>
    <t>ANTROPOLOGIA  SOCIAL</t>
  </si>
  <si>
    <t>RODRIGUEZ ACOSTA ROMEL</t>
  </si>
  <si>
    <t>CABEZAS BARRIENTOS Jorge</t>
  </si>
  <si>
    <t>QUINTANA CUEVA Jonathan</t>
  </si>
  <si>
    <t>GUILLEN CCOICA Lido Pablo</t>
  </si>
  <si>
    <t xml:space="preserve">CONTADOR </t>
  </si>
  <si>
    <t>TUÑOQUE PAICO WILMER</t>
  </si>
  <si>
    <t>43307861</t>
  </si>
  <si>
    <t>COLCHADO LASTRES Alejandro</t>
  </si>
  <si>
    <t>09020421</t>
  </si>
  <si>
    <t>REVISOR DE CONTROL DE CALIDAD</t>
  </si>
  <si>
    <t>CHAVEZ ARQQUE Yene Carmen</t>
  </si>
  <si>
    <t>ESPECIALISTA EN CARTOGRAFIA</t>
  </si>
  <si>
    <t>MENDOZA DEL AGUILA Mario</t>
  </si>
  <si>
    <t>CHACÓN  RODRIGUEZ Rossmery</t>
  </si>
  <si>
    <t>CASAPIA ARMENDARIZ Rosa</t>
  </si>
  <si>
    <t>CARMELINO BOCANEGRA Jose</t>
  </si>
  <si>
    <t>06074261</t>
  </si>
  <si>
    <t>ESPECIALISTA EN COMUNICACIÓN ORGANIZACIONAL</t>
  </si>
  <si>
    <t>ESCALANTE SIFUENTE Lady</t>
  </si>
  <si>
    <t>41002580</t>
  </si>
  <si>
    <t>DIAZ GARCIA Ysidora</t>
  </si>
  <si>
    <t>06896564</t>
  </si>
  <si>
    <t>JEFE DE PRESUPUESTO</t>
  </si>
  <si>
    <t>ROMERO MUÑOZ Rocio</t>
  </si>
  <si>
    <t>07757067</t>
  </si>
  <si>
    <t>BANCHON ALVAREZ Jorge</t>
  </si>
  <si>
    <t>08028207</t>
  </si>
  <si>
    <t>PLIEGO: 332:  INSTITUTO  GEOGRÁFICO  NACIONAL</t>
  </si>
  <si>
    <t>MG ECONOMIA</t>
  </si>
  <si>
    <t>ECONOMIA/CIENCIAS MARITIMO NAVALES</t>
  </si>
  <si>
    <t>VASQUEZ ALVARADO RAUL LUIS ESTEBAN</t>
  </si>
  <si>
    <t>43316611</t>
  </si>
  <si>
    <t>001410. CENEPRED</t>
  </si>
  <si>
    <t>MAGISTER EN ESTRATEGIA MARITIMA/ MAGISTER EN POLITICA MARITIMA/LICENCIADO EN CIENCIAS MARITIMAS NAVALES</t>
  </si>
  <si>
    <t>CIENCIAS MARITIMO NAVALES</t>
  </si>
  <si>
    <t>ROMANI SEMINARIO FELIX EDUARDO</t>
  </si>
  <si>
    <t>43330970</t>
  </si>
  <si>
    <t>Director de la Direccion de Gestión de Procesos</t>
  </si>
  <si>
    <t>INGENIERO AMBIENTAL Y SANITARIO</t>
  </si>
  <si>
    <t>TITULADA</t>
  </si>
  <si>
    <t>INGENIERIA AMBIENTAL</t>
  </si>
  <si>
    <t>REYES GUTIERREZ KATHERINE LIZETH</t>
  </si>
  <si>
    <t>46569882</t>
  </si>
  <si>
    <t>Analista en Sistemas de Información Geográfica</t>
  </si>
  <si>
    <t>ARQUITECTA</t>
  </si>
  <si>
    <t>MONTOYA JARA KELLY</t>
  </si>
  <si>
    <t>41473348</t>
  </si>
  <si>
    <t>Especialista en Planicación Urbana</t>
  </si>
  <si>
    <t>ESTRATEGIA MARITIMA</t>
  </si>
  <si>
    <t>LÓPEZ OLMOS ROLANDO ENRIQUE</t>
  </si>
  <si>
    <t>43407956</t>
  </si>
  <si>
    <t>Jefe de la Oficina de Cooperación y Relaciones Internacionales</t>
  </si>
  <si>
    <t>MG. ECONOMIA/MG CIENCIAS POLITICAS GOBERNABILIDAD/LICENCIADO EN CIENCIAS MARITIMAS NAVALES/MAGISTER EN ESTRATEGIA MARITIMA</t>
  </si>
  <si>
    <t>GIOVANNINI Y FREIRE WLADIMIRO</t>
  </si>
  <si>
    <t>43568578</t>
  </si>
  <si>
    <t>Jefe de CENEPRED</t>
  </si>
  <si>
    <t>INGENIERIA INDUSTRIAL</t>
  </si>
  <si>
    <t>ALARCON PALMA JOHAN YADIR</t>
  </si>
  <si>
    <t>43924472</t>
  </si>
  <si>
    <t>Asistente Logístico</t>
  </si>
  <si>
    <t>ACEVEDO GALVEZ RAFAEL ANGEL</t>
  </si>
  <si>
    <t>43310075</t>
  </si>
  <si>
    <t>Asesor en Gestión Administrativa</t>
  </si>
  <si>
    <t>INGENIERIA GEOGRAFICA</t>
  </si>
  <si>
    <t>VILCHEZ CACEDA LUIS ALBERTO</t>
  </si>
  <si>
    <t>09864655</t>
  </si>
  <si>
    <t>Especialista en Análisis Territorial</t>
  </si>
  <si>
    <t>VASQUEZ ARRESE MARIELLA</t>
  </si>
  <si>
    <t>45370717</t>
  </si>
  <si>
    <t>Especialista en Seguimiento</t>
  </si>
  <si>
    <t>VALERO LAZARO KIKO HENRY</t>
  </si>
  <si>
    <t>42138630</t>
  </si>
  <si>
    <t>SALAZAR LIÑAN JORGE LUIS</t>
  </si>
  <si>
    <t>25796807</t>
  </si>
  <si>
    <t>Apoyo Administrativo</t>
  </si>
  <si>
    <t>QUISPE CASTRO JAVIER RICARDO</t>
  </si>
  <si>
    <t>10260756</t>
  </si>
  <si>
    <t>Coordinador de Enlace Regional de San Martin</t>
  </si>
  <si>
    <t>QUIROZ GUILLEN CLAUDIA DIANA</t>
  </si>
  <si>
    <t>44312364</t>
  </si>
  <si>
    <t>PLASENCIA AMAYA FRANKLIN</t>
  </si>
  <si>
    <t>10643254</t>
  </si>
  <si>
    <t>ING. ELECTRONICO</t>
  </si>
  <si>
    <t>INGENIERIA ELECTRONICA</t>
  </si>
  <si>
    <t>PILLCO VALENZUELA WILBER</t>
  </si>
  <si>
    <t>09662274</t>
  </si>
  <si>
    <t>Encargado de Almacén y Patrimonio</t>
  </si>
  <si>
    <t>OSPINO RICALDI JULISSA ROCIO DEL CARMEN</t>
  </si>
  <si>
    <t>44418067</t>
  </si>
  <si>
    <t>LIC. EN CIENCIAS DE LA COMUNICACIÓN</t>
  </si>
  <si>
    <t>ORTEGA TRUJILLO JHONY</t>
  </si>
  <si>
    <t>41897761</t>
  </si>
  <si>
    <t>ARQUITECTO</t>
  </si>
  <si>
    <t>LLANCARI ARROYO ANDY CELMER</t>
  </si>
  <si>
    <t>44766407</t>
  </si>
  <si>
    <t>Especialista en Asistencia Técnica</t>
  </si>
  <si>
    <t>GEOGRAFO</t>
  </si>
  <si>
    <t>GEOGRAFIA</t>
  </si>
  <si>
    <t>ESPINOZA CENTURION WALTER MARK</t>
  </si>
  <si>
    <t>42414504</t>
  </si>
  <si>
    <t>Asistente en Archivo</t>
  </si>
  <si>
    <t>DAVILA LLIMPE TANIA ALEJANDRINA</t>
  </si>
  <si>
    <t>47211348</t>
  </si>
  <si>
    <t>ESTUDIANTE DE ADMINISTRACION</t>
  </si>
  <si>
    <t>CASTRO LOPEZ GIOVANNI GIANCARLO</t>
  </si>
  <si>
    <t>45747851</t>
  </si>
  <si>
    <t>INGENIERIA CIVIL</t>
  </si>
  <si>
    <t>AREVALO GONZALEZ MELIDA DEL SOCORRO</t>
  </si>
  <si>
    <t>48273554</t>
  </si>
  <si>
    <t>Especialista en Gestión Pública y Gestión de Riesgo</t>
  </si>
  <si>
    <t>ALEDO UEMA LAURA NOELIA</t>
  </si>
  <si>
    <t>46455251</t>
  </si>
  <si>
    <t>Diseñador de Materiales Educativos</t>
  </si>
  <si>
    <t>ECONOMIA</t>
  </si>
  <si>
    <t>ACUÑA TRUJILLO ALEJANDRO SEVERO</t>
  </si>
  <si>
    <t>42905802</t>
  </si>
  <si>
    <t>VASQUEZ LOAIZA JOSE AUGUSTO</t>
  </si>
  <si>
    <t>44095471</t>
  </si>
  <si>
    <t>Coordinador de Enlace Regional de Ayacucho</t>
  </si>
  <si>
    <t>INGENIERA DE SISTEMAS / GESTION PUBLICA</t>
  </si>
  <si>
    <t>SANES VALDIVIA PATRICIA</t>
  </si>
  <si>
    <t>09312378</t>
  </si>
  <si>
    <t>EGRESADO</t>
  </si>
  <si>
    <t>VILLA MARATUECH MARIA MERCEDES</t>
  </si>
  <si>
    <t>47416890</t>
  </si>
  <si>
    <t>ROJAS VILLAVICENCIO DANERY HELEIN APRIL</t>
  </si>
  <si>
    <t>46886156</t>
  </si>
  <si>
    <t>Asistente en Recursos Humanos</t>
  </si>
  <si>
    <t>BACHILLER EN CIENCIAS MARITIMO NAVALES</t>
  </si>
  <si>
    <t>NAVARRO SOBREVILLA JOSE LUIS</t>
  </si>
  <si>
    <t>20046184</t>
  </si>
  <si>
    <t>CONTADORA PÚBLICA</t>
  </si>
  <si>
    <t>CIENCIAS CONTABLES Y FINANCIERAS</t>
  </si>
  <si>
    <t>INOÑAN VALDIVIEZO MAGDA ARIANET</t>
  </si>
  <si>
    <t>48116675</t>
  </si>
  <si>
    <t>ELECTRICIDAD</t>
  </si>
  <si>
    <t>ANTAYHUA FALCON CLINIO ANDRES</t>
  </si>
  <si>
    <t>08989024</t>
  </si>
  <si>
    <t>Chofer</t>
  </si>
  <si>
    <t>MECANICO DE AVIONES</t>
  </si>
  <si>
    <t>MECANICA DE AVIONES</t>
  </si>
  <si>
    <t>ALMESTAR LIRA JORGE LUIS</t>
  </si>
  <si>
    <t>21865497</t>
  </si>
  <si>
    <t>INGENIERO AGRONOMO</t>
  </si>
  <si>
    <t>AGRONOMIA</t>
  </si>
  <si>
    <t>ZAVALA AGUIRRE JOSE ANTONIO</t>
  </si>
  <si>
    <t>19841696</t>
  </si>
  <si>
    <t>Director de la Dirección de Monitoreo, Seguimiento y Evaluación</t>
  </si>
  <si>
    <t>LICENCIADO EN EDUCACION ESPECIALIDAD: MATEMATICA E INFORMATICA</t>
  </si>
  <si>
    <t>CIENCIAS DE LA EDUCACION / MATEMATICA E INFORMATICA</t>
  </si>
  <si>
    <t>ZAPATA APESTEGUI ANTONIO FRANCISCO</t>
  </si>
  <si>
    <t>43323157</t>
  </si>
  <si>
    <t>ZAMBRANO GONZALES ALFREDO ADRIAN</t>
  </si>
  <si>
    <t>40466374</t>
  </si>
  <si>
    <t>Subdirector de la Gestión de la Información</t>
  </si>
  <si>
    <t>VILLANUEVA AGÜERO ENRIQUE GEOVANI</t>
  </si>
  <si>
    <t>08801291</t>
  </si>
  <si>
    <t xml:space="preserve">Especialista en Gestión de Riesgo de Desastres </t>
  </si>
  <si>
    <t>COMPUTACION</t>
  </si>
  <si>
    <t>VILELA ALBAN HUGO WILFREDO JR.</t>
  </si>
  <si>
    <t>40898474</t>
  </si>
  <si>
    <t>Asistente Informático</t>
  </si>
  <si>
    <t>INGENIERIA GEOGRAFICA / MEDIO AMBIENTE Y RECURSOS NATURALES</t>
  </si>
  <si>
    <t>VILA GODOY GERALDINE</t>
  </si>
  <si>
    <t>47871364</t>
  </si>
  <si>
    <t>VARGAS SANTACRUZ REYNERIO</t>
  </si>
  <si>
    <t>27258717</t>
  </si>
  <si>
    <t>Ingeniero Geógrafo</t>
  </si>
  <si>
    <t>VALENCIA OYOLA JESUS DANIEL</t>
  </si>
  <si>
    <t>16687550</t>
  </si>
  <si>
    <t>Especialista en Planificación</t>
  </si>
  <si>
    <t>TOLEDO BENDEZU JUAN LUIS</t>
  </si>
  <si>
    <t>09354983</t>
  </si>
  <si>
    <t xml:space="preserve">Especialista en Capacitación </t>
  </si>
  <si>
    <t>INGENIERO DE COMPUTACION Y SISTEMAS</t>
  </si>
  <si>
    <t>INGENIERIA DE COMPUTACION Y SISTEMAS</t>
  </si>
  <si>
    <t>TICONA LUNA CARLOS ARMANDO</t>
  </si>
  <si>
    <t>18207546</t>
  </si>
  <si>
    <t>DERECHO Y CIENCIAS POLÍTICAS</t>
  </si>
  <si>
    <t>SARA FALCON ERICK RONALD</t>
  </si>
  <si>
    <t>47377445</t>
  </si>
  <si>
    <t>Especialista Legal</t>
  </si>
  <si>
    <t>INGENIERO INFORMATICO Y DE SISTEMAS</t>
  </si>
  <si>
    <t>INGENIERIA DE INFORMATICA Y SISTEMAS</t>
  </si>
  <si>
    <t>SANCHEZ SUAREZ MIGUEL ANGEL</t>
  </si>
  <si>
    <t>16803793</t>
  </si>
  <si>
    <t>Programador GIS</t>
  </si>
  <si>
    <t>RUIZ ADARMES MIGUEL ANGEL</t>
  </si>
  <si>
    <t>09156149</t>
  </si>
  <si>
    <t>RUIZ DIAZ MIGUEL BENITO</t>
  </si>
  <si>
    <t>42249837</t>
  </si>
  <si>
    <t>Asistente Administrativo de Mesa de Partes</t>
  </si>
  <si>
    <t>ROMERO SAAVEDRA ERICK ENRIQUE</t>
  </si>
  <si>
    <t>40151899</t>
  </si>
  <si>
    <t>TECNICO EN DISEÑO GRAFICO</t>
  </si>
  <si>
    <t>DISEÑO GRAFICO</t>
  </si>
  <si>
    <t>ROMERO PINEDO JOANNA KAROL</t>
  </si>
  <si>
    <t>42502551</t>
  </si>
  <si>
    <t>Diseñador Web</t>
  </si>
  <si>
    <t>INGENIERO AMBIENTAL / DOCTORA EN CIENCIAS AMBIENTALES</t>
  </si>
  <si>
    <t>INGENIERIA AMBIENTAL  / CIENCIAS AMBIENTALES</t>
  </si>
  <si>
    <t>RODRIGUEZ ANAYA ROSA DEIFILIA</t>
  </si>
  <si>
    <t>31621486</t>
  </si>
  <si>
    <t>Coordinador de Enlace Regional de Ancash</t>
  </si>
  <si>
    <t xml:space="preserve">CONTADOR PUBLICO / MAESTRA EN TRIBUTACIÓN </t>
  </si>
  <si>
    <t>CONTABILIDAD / TRIBUTACION</t>
  </si>
  <si>
    <t>ROBLES ROJAS ELIZABETH</t>
  </si>
  <si>
    <t>09969842</t>
  </si>
  <si>
    <t>Especialista de Tesorería</t>
  </si>
  <si>
    <t>RIOS PEREZ ASTHLEY CECILIA CARLOTA</t>
  </si>
  <si>
    <t>46035158</t>
  </si>
  <si>
    <t>RAMOS BERNAL ROSA MARYLUZ</t>
  </si>
  <si>
    <t>43578193</t>
  </si>
  <si>
    <t>QUISPE ARAPA HUGO</t>
  </si>
  <si>
    <t>42535937</t>
  </si>
  <si>
    <t>NGENIERIA DE SISTEMAS</t>
  </si>
  <si>
    <t>QUINA ARAMAYO VANESSA MARITZA</t>
  </si>
  <si>
    <t>41667552</t>
  </si>
  <si>
    <t>Especialista en Evaluación</t>
  </si>
  <si>
    <t>PORTUGUEZ BARRIENTOS EDUARDO JAVIER</t>
  </si>
  <si>
    <t>10075903</t>
  </si>
  <si>
    <t>Especialista en Geomática</t>
  </si>
  <si>
    <t>DERECHO Y CIENCIAS POLITICAS</t>
  </si>
  <si>
    <t>PINILLOS CHUNGA JAVIER JUAN</t>
  </si>
  <si>
    <t>07717565</t>
  </si>
  <si>
    <t>Jefe de la Oficina de Asesoría JurÍdica</t>
  </si>
  <si>
    <t>Especialista en Almacén y Control Patrimonial</t>
  </si>
  <si>
    <t>DERECHO Y CIENCIA POLITICA</t>
  </si>
  <si>
    <t>PEREZ LEON IBAÑEZ JENNY EDELWEISS ROCIO</t>
  </si>
  <si>
    <t>40333291</t>
  </si>
  <si>
    <t>PEREZ TIPULA FELIPE EDUARDO</t>
  </si>
  <si>
    <t>42626207</t>
  </si>
  <si>
    <t>CIENCIAS ECONOMICAS</t>
  </si>
  <si>
    <t>PEREZ TIJERO IVONE CAROLINA</t>
  </si>
  <si>
    <t>45076275</t>
  </si>
  <si>
    <t>ESTUDIANTE ADMINISTRACION</t>
  </si>
  <si>
    <t>PEREYRA FRANCO JORGE LUIS</t>
  </si>
  <si>
    <t>45438139</t>
  </si>
  <si>
    <t>PAREDES JORDAN LUCIANO EDUARDO</t>
  </si>
  <si>
    <t>43370824</t>
  </si>
  <si>
    <t>Especialista en CapacitacIón</t>
  </si>
  <si>
    <t>INGENIERO EN INDUSTRIAS ALIMENTARIAS</t>
  </si>
  <si>
    <t>PALACIOS RAMOS EDNA VERA</t>
  </si>
  <si>
    <t>31649146</t>
  </si>
  <si>
    <t>CONTADOR PUBLICO / MAESTRA EN GESTIÓN PÚBLICA</t>
  </si>
  <si>
    <t>CONTABILIDAD / GESTIÓN PÚBLICA</t>
  </si>
  <si>
    <t>PALACIOS HUARACA EDITH LUCIA</t>
  </si>
  <si>
    <t>43862460</t>
  </si>
  <si>
    <t>Especialista en Contabilidad</t>
  </si>
  <si>
    <t>PAEZ CASTILLO EDUARDO ALONSO</t>
  </si>
  <si>
    <t>10301465</t>
  </si>
  <si>
    <t>Ingeniero de Computación y Sistemas</t>
  </si>
  <si>
    <t>INGENIERIA INFORMATICA Y DE SISTEMAS</t>
  </si>
  <si>
    <t>OTERO MORE JUAN FRANCISCO</t>
  </si>
  <si>
    <t>16719474</t>
  </si>
  <si>
    <t>LICENCIADO EN PERIODISMO</t>
  </si>
  <si>
    <t>OLORTEGUI AZATO ALIYAMA JARUMI</t>
  </si>
  <si>
    <t>09921539</t>
  </si>
  <si>
    <t>OLARTE RISCO LUIS ANTONIO</t>
  </si>
  <si>
    <t>44246268</t>
  </si>
  <si>
    <t>Especialista en Seguimiento y Evaluación</t>
  </si>
  <si>
    <t>OCHOA FLORES LETTI GUISELL</t>
  </si>
  <si>
    <t>44650566</t>
  </si>
  <si>
    <t>BACHILLER EN INGENIERIA GEOGRAFICA</t>
  </si>
  <si>
    <t>OBREGON ACEVEDO CHRISNA KARINA</t>
  </si>
  <si>
    <t>10465226</t>
  </si>
  <si>
    <t>Especialista en Sistemas de Información Geográfica</t>
  </si>
  <si>
    <t>BACHILLER EN CIENCIAS MARITIMO NAVALES/MAG CIENCIAS EMPRESARIALES Y RRHH</t>
  </si>
  <si>
    <t>CIENCIAS MARITIMO NAVALES / ADMINISTRACION</t>
  </si>
  <si>
    <t>Especialista en Logistica</t>
  </si>
  <si>
    <t>CONTABILIDAD Y FINANZAS</t>
  </si>
  <si>
    <t>NAVARRO REMUZGO JHON PAUL</t>
  </si>
  <si>
    <t>40246154</t>
  </si>
  <si>
    <t>ING GEOGRAFO / MG CIENCIAS AMBIENTALES</t>
  </si>
  <si>
    <t>INGENIERIA INDUSTRIAL /  CIENCIAS AMBIENTALES</t>
  </si>
  <si>
    <t>MONTERO CHIRITO JUAN CARLOS</t>
  </si>
  <si>
    <t>09493599</t>
  </si>
  <si>
    <t>Subdirector de Políticas y Planes</t>
  </si>
  <si>
    <t>SECRETARIADO ADMINISTRATIVO</t>
  </si>
  <si>
    <t>SECRETARIADO</t>
  </si>
  <si>
    <t>MENDOZA VASQUEZ MARIA SUSANA</t>
  </si>
  <si>
    <t>41591322</t>
  </si>
  <si>
    <t>Asistente Administrativa</t>
  </si>
  <si>
    <t>INGENIERO ELECTRICISTA/MAG EN REALIDAD Y DESARROLLO NACIONAL</t>
  </si>
  <si>
    <t>INGENIERIA ELECTRICA / EALIDAD NACIONAL, DEFENSA Y DESARROLLO</t>
  </si>
  <si>
    <t>MENDOZA HUAMAN WILLIAM</t>
  </si>
  <si>
    <t>23944993</t>
  </si>
  <si>
    <t>Coordinador de Enlace Regional de Cusco</t>
  </si>
  <si>
    <t>ABOGADA /SEGUNDA ESPECIALIDAD EN DERECHO REGISTRAL/ SEGUNDA ESPECIALIDAD EN DERECHO ADMINISTRATIVO / MASTER EN DERECHO EMPRESARIAL</t>
  </si>
  <si>
    <t>DERECHO / DERECHO EMPRESARIAL/DERECHO ADMINISTRATIVO / DERECHO REGISTRAL</t>
  </si>
  <si>
    <t>MELENDEZ LAZARO MARIA TERESA</t>
  </si>
  <si>
    <t>32110885</t>
  </si>
  <si>
    <t>Especialista en control Gubernamental</t>
  </si>
  <si>
    <t>INGENIERO GEÓLOGO</t>
  </si>
  <si>
    <t>GEOLOGIA</t>
  </si>
  <si>
    <t>MEDINA RENGIFO JUVENAL</t>
  </si>
  <si>
    <t>07841745</t>
  </si>
  <si>
    <t>MASANA GARCIA MARIA MERCEDES DE GUADALUPE</t>
  </si>
  <si>
    <t>08201939</t>
  </si>
  <si>
    <t>Directora de la Dirección de Gestión de Procesos</t>
  </si>
  <si>
    <t>MARTINEZ LANAZCA MARLENE YOANI</t>
  </si>
  <si>
    <t>20020339</t>
  </si>
  <si>
    <t>Asistente en Monitoreo</t>
  </si>
  <si>
    <t>LICENCIADO EN ADMINISTRACIÓN/ MAGISTER EN ADMINISTRACION ESTRATEGICA DE EMPRESAS</t>
  </si>
  <si>
    <t>CIENCIAS ADMINISTRATIVAS / ADMINISTRACION ESTRATEGICA DE EMPRESAS</t>
  </si>
  <si>
    <t>LOPEZ TORRES PAEZ MONICA PATRICIA</t>
  </si>
  <si>
    <t>10300878</t>
  </si>
  <si>
    <t>Secretaria General</t>
  </si>
  <si>
    <t>LESCANO DIAZ ROSARIO ODELI</t>
  </si>
  <si>
    <t>15726811</t>
  </si>
  <si>
    <t>BACHILLER EN ING. INDUSTRIAL / TECNICO EN COMPUTACION</t>
  </si>
  <si>
    <t>LERMO SANTOS JHONNY EDUARDO</t>
  </si>
  <si>
    <t>08417052</t>
  </si>
  <si>
    <t>LENGUA CALLE CARLOS IGNACIO</t>
  </si>
  <si>
    <t>07947351</t>
  </si>
  <si>
    <t>Jefe de Planeamiento y Presupuesto</t>
  </si>
  <si>
    <t>CIENCIAS ECONOMIA</t>
  </si>
  <si>
    <t>JUAREZ MARTINEZ ELMER YVAN</t>
  </si>
  <si>
    <t>16710436</t>
  </si>
  <si>
    <t>INGENIERA METEOROLOGA</t>
  </si>
  <si>
    <t>CIENCIAS - METEOROLOGÍA</t>
  </si>
  <si>
    <t>JAIMES ESPINOZA ENA MARIA</t>
  </si>
  <si>
    <t>08409892</t>
  </si>
  <si>
    <t>Subdirectora de Normas y Lineamientos</t>
  </si>
  <si>
    <t>INGENIERO INFORMATICO Y DE SISTEMAS/ EN CIENCIAS DE LA GEOINFORMACIÓN Y OBSERVACIÓN DE LA TIERRA, MENCIÓN: INFORMACIÓN DE TIERRAS PARA LA PLANIFICACIÓN DEL TERRITORIO</t>
  </si>
  <si>
    <t>INFORMATICA Y DE SISTEMAS / CIENCIAS DE LA GEOINFORMACIÓN Y OBSERVACIÓN DE LA TIERRA</t>
  </si>
  <si>
    <t>HUAMANI AGUILAR RENE</t>
  </si>
  <si>
    <t>41930187</t>
  </si>
  <si>
    <t>Especialista en Modelos y Simulación</t>
  </si>
  <si>
    <t>CIENCIAS FINANCIERAS Y CONTABLES</t>
  </si>
  <si>
    <t>HIJAR HIDALGO CASILDO ASDRUBAL</t>
  </si>
  <si>
    <t>08041659</t>
  </si>
  <si>
    <t>Supervisor en control Gubernamental</t>
  </si>
  <si>
    <t>LICENCIADA EN TURISMO Y HOTELERIA</t>
  </si>
  <si>
    <t>GUTIERREZ TRUJILLO MAGNA ROSA</t>
  </si>
  <si>
    <t>42079881</t>
  </si>
  <si>
    <t>Especialista Administrativo</t>
  </si>
  <si>
    <t>GUILLENA DIAZ CARLOS ENRIQUE</t>
  </si>
  <si>
    <t>01151639</t>
  </si>
  <si>
    <t>TECNICO EN COMPUTACION E INFORMATICA / ESTUDIANTE ING DEL SOFTWARE</t>
  </si>
  <si>
    <t>GARCIA ESTOFANERO HENRRY RAUL</t>
  </si>
  <si>
    <t>43550602</t>
  </si>
  <si>
    <t>Asistente en Planillas</t>
  </si>
  <si>
    <t>LICENCIADA TRABAJADORA SOCIAL</t>
  </si>
  <si>
    <t>SERVICIO SOCIAL</t>
  </si>
  <si>
    <t>GALLO MELENDEZ LUZ MARIELLA</t>
  </si>
  <si>
    <t>02818987</t>
  </si>
  <si>
    <t>Coordinador de Enlace Regional de Piura</t>
  </si>
  <si>
    <t>FLORES VILA MARYCRUZ</t>
  </si>
  <si>
    <t>10227027</t>
  </si>
  <si>
    <t>Profesional para la elaboración de Normatividad</t>
  </si>
  <si>
    <t>TECNICO EN ADMINISTRACION Y TURISMO</t>
  </si>
  <si>
    <t>ADMINISTRACION Y TURISMO</t>
  </si>
  <si>
    <t>ESCAPA CHECCO MARCOS ALEXANDER</t>
  </si>
  <si>
    <t>42951368</t>
  </si>
  <si>
    <t>Asistente para la Plataforma Virtual de Capacitaciones</t>
  </si>
  <si>
    <t>EPIQUIEN RIVERA JOSE LUIS</t>
  </si>
  <si>
    <t>41030561</t>
  </si>
  <si>
    <t>Especialista en Cartografía y Teledetección</t>
  </si>
  <si>
    <t>CIENCIAS DE LA COMUNICACION</t>
  </si>
  <si>
    <t>DEL CARPIO ROJAS RITA MASSIEL</t>
  </si>
  <si>
    <t>44813338</t>
  </si>
  <si>
    <t>GEOGRAFO / MAGÍSTER EN GEOGRAFÍA Y GEOMÁTICA</t>
  </si>
  <si>
    <t>GEOGRAFIA Y GEOMÁTICA</t>
  </si>
  <si>
    <t>CUISANO MARREROS VLADIMIR RICHARD</t>
  </si>
  <si>
    <t>45866553</t>
  </si>
  <si>
    <t>PSICOLOGIA</t>
  </si>
  <si>
    <t>CORAL POMA ENA ELICIA</t>
  </si>
  <si>
    <t>09391600</t>
  </si>
  <si>
    <t>Directora de la Dirección Fortalecimiento y Asistencia Técnica</t>
  </si>
  <si>
    <t>INGENIERIA CIVIL/EGRESADO EN MAESTRIA EN ECONOMIA</t>
  </si>
  <si>
    <t>CONDORI HUACHO NELSON MARCELINO</t>
  </si>
  <si>
    <t>04409148</t>
  </si>
  <si>
    <t>Coordinador de Enlace Regional de Arequipa</t>
  </si>
  <si>
    <t>CONDEZO CELIS MAYRA NATALI</t>
  </si>
  <si>
    <t>46667143</t>
  </si>
  <si>
    <t>TECNICO EN COMPUTACIÓN</t>
  </si>
  <si>
    <t>CHAPIAMA BANCHO DANNY DEYVIS</t>
  </si>
  <si>
    <t>45323071</t>
  </si>
  <si>
    <t>INGENIERO MECANICO DE FLUIDOS</t>
  </si>
  <si>
    <t>INGENIERIA MECANICA DE FLUIDOS</t>
  </si>
  <si>
    <t>CHAHUA JANAMPA JHON ELVIS</t>
  </si>
  <si>
    <t>46480292</t>
  </si>
  <si>
    <t>Especialista en Evaluación de Impacto de Desastres</t>
  </si>
  <si>
    <t>LICENCIADA EN ADMINISTRACION Y NEGOCIOS INTERNACIONALES</t>
  </si>
  <si>
    <t>ADMINISTRACION Y NEGOCIOS INTERNACIONALES</t>
  </si>
  <si>
    <t>CHAFLOQUE SOTOMAYOR YINDY FRANCHESCA</t>
  </si>
  <si>
    <t>45173197</t>
  </si>
  <si>
    <t>CELIS GOMEZ MARYSUSSAN DISA'</t>
  </si>
  <si>
    <t>43274905</t>
  </si>
  <si>
    <t>ESTUDIOS DE PSICOLOGIA</t>
  </si>
  <si>
    <t>CASIMIRO ESPINOZA SONIA MARISOL</t>
  </si>
  <si>
    <t>10118654</t>
  </si>
  <si>
    <t>INGENIERO GEOLOGICO</t>
  </si>
  <si>
    <t>INGENIERIA GEOLOGICA</t>
  </si>
  <si>
    <t>CARRILLO ELIZALDE ROBERTH PAUL</t>
  </si>
  <si>
    <t>45815629</t>
  </si>
  <si>
    <t>Especialista en Metodología de Evaluación de Riesgo</t>
  </si>
  <si>
    <t>AGRONOMO</t>
  </si>
  <si>
    <t>CARDENAS VARGAS RUBEN</t>
  </si>
  <si>
    <t>23261462</t>
  </si>
  <si>
    <t>CARBAJAL LICAS SANDRA</t>
  </si>
  <si>
    <t>10705022</t>
  </si>
  <si>
    <t>CAMPOS MARTINEZ CATHERINE FRESCIA</t>
  </si>
  <si>
    <t>70066258</t>
  </si>
  <si>
    <t>TECNICO ANALISTA DE SISTEMAS</t>
  </si>
  <si>
    <t>ANALISTA EN SISTEMAS</t>
  </si>
  <si>
    <t>CADENAS ORTIZ BERTHA JESUS</t>
  </si>
  <si>
    <t>10200894</t>
  </si>
  <si>
    <t>BACHILLER EN CIENCIAS ADMINISTRATIVAS</t>
  </si>
  <si>
    <t>CABRERA PALACIOS GHILDRED MILENA</t>
  </si>
  <si>
    <t>09465641</t>
  </si>
  <si>
    <t>BORJA MALLQUI AMELIA HAYDE</t>
  </si>
  <si>
    <t>46618975</t>
  </si>
  <si>
    <t>BARBARAN TARAZONA NESTOR JHON</t>
  </si>
  <si>
    <t>44188532</t>
  </si>
  <si>
    <t>LICENCIADO EN ARTE Y DISEÑO EMPRESARIAL</t>
  </si>
  <si>
    <t>ARTE Y DISEÑO EMPRESARIAL</t>
  </si>
  <si>
    <t>ALFARO PERALTILLA RENATO IVAN</t>
  </si>
  <si>
    <t>42128829</t>
  </si>
  <si>
    <t>INGENIERO ZOOTECNIA/MG. ECONOMIA - GERENCIA AGROPECUARIA/ DR INGENIERÍA DE PROYECTOS</t>
  </si>
  <si>
    <t>CIENCIAS - ZOOTECNIA/ECONOMIA CON MENCION EN GERENCIA AGROPECUARIA/INGENIERÍA DE PROYECTOS</t>
  </si>
  <si>
    <t>ALATA OLIVARES NEIL SANDRO</t>
  </si>
  <si>
    <t>08684439</t>
  </si>
  <si>
    <t>Profesional para el Desarrollo de Metodologías</t>
  </si>
  <si>
    <t>AGUIRRE GONZALO OSCAR MANUEL</t>
  </si>
  <si>
    <t>20117452</t>
  </si>
  <si>
    <t>PLIEGO: 025. CENTRO NACIONAL DE ESTIMACIÓN, PREVENCIÓN Y REDUCCIÓN DEL RIESGO DE DESASTRES (CENEPRED)</t>
  </si>
  <si>
    <t>CIENCIAS PUBLICITARIAS</t>
  </si>
  <si>
    <t>TITULADO(A)</t>
  </si>
  <si>
    <t>ZEGARRA MELENDEZ STEPHANIE DAYANA</t>
  </si>
  <si>
    <t>70864229</t>
  </si>
  <si>
    <t>ESPECIALISTA DEL MÓDULO DE PRENSA</t>
  </si>
  <si>
    <t>0009-INDECI</t>
  </si>
  <si>
    <t>ZEA JARA LUIS ALBERTO</t>
  </si>
  <si>
    <t>70550229</t>
  </si>
  <si>
    <t>ZARATE ROSALES, WALTER SANTOS</t>
  </si>
  <si>
    <t>00256418</t>
  </si>
  <si>
    <t>INGENIERÍA DE SOFTWARE</t>
  </si>
  <si>
    <t>LICENCIADO(A)</t>
  </si>
  <si>
    <t>INGENIERO DE SOFTWARE</t>
  </si>
  <si>
    <t>ZACARÍAS SÁNCHEZ DIEGO SEBASTIÁN</t>
  </si>
  <si>
    <t>70310116</t>
  </si>
  <si>
    <t>ANALISTA PROGRAMADOR PLATAFORMA INDECI</t>
  </si>
  <si>
    <t>MECANICA AUTOMOTRIZ</t>
  </si>
  <si>
    <t>YUPANQUI ESPINOZA MIDWARD WILLY</t>
  </si>
  <si>
    <t>04426400</t>
  </si>
  <si>
    <t>OPERADOR, MANTENIMIENTO Y CUSTODIO VEHICULAR</t>
  </si>
  <si>
    <t>EGRESADO(A)</t>
  </si>
  <si>
    <t>YEPEZ AYMA RAFAEL ENRIQUE</t>
  </si>
  <si>
    <t>76824762</t>
  </si>
  <si>
    <t>ASISTENTE TECNICO EN GESTION DEL RIESGO DE DESASTRES</t>
  </si>
  <si>
    <t>YARLAQUE CABRERA MARCO ANTONIO</t>
  </si>
  <si>
    <t>16400364</t>
  </si>
  <si>
    <t>ESPECIALISTA EN GRD</t>
  </si>
  <si>
    <t xml:space="preserve">YARINGAÑO ÑAUPARI ROSABEL PAULINA </t>
  </si>
  <si>
    <t>43743393</t>
  </si>
  <si>
    <t>INGENIERIA EN COMPUTACION Y SISTEMAS</t>
  </si>
  <si>
    <t>YAN CARRANZA FREDDY</t>
  </si>
  <si>
    <t>41461779</t>
  </si>
  <si>
    <t>JEFE DE OFICINA</t>
  </si>
  <si>
    <t>YAMASAKI KOIZUMI MIGUEL</t>
  </si>
  <si>
    <t>43289764</t>
  </si>
  <si>
    <t>COORDINADOR DE OPERACIONES</t>
  </si>
  <si>
    <t>INGENIERO ZOOTECNISTA</t>
  </si>
  <si>
    <t>VIVAS VIVAS PITTER LUIS</t>
  </si>
  <si>
    <t>16281761</t>
  </si>
  <si>
    <t xml:space="preserve">VILLOSLADA CASTILLO VICTOR ABEL </t>
  </si>
  <si>
    <t>40273161</t>
  </si>
  <si>
    <t>ASISTENTE DE ALMACEN</t>
  </si>
  <si>
    <t>VILLASANA RIOS FRANCISCO</t>
  </si>
  <si>
    <t>41050419</t>
  </si>
  <si>
    <t>ABOGADO/A</t>
  </si>
  <si>
    <t>VILLALOBOS BECERRA ALEJANDRO ATILIO</t>
  </si>
  <si>
    <t>07855416</t>
  </si>
  <si>
    <t>VILAVILA LOPEZ ALEXIS RIDO</t>
  </si>
  <si>
    <t>04816862</t>
  </si>
  <si>
    <t>BACHILLER EN ADMINISTRACION</t>
  </si>
  <si>
    <t>VILA SANTOS DALIA LUZ</t>
  </si>
  <si>
    <t>44893412</t>
  </si>
  <si>
    <t>VILA NAVARRO SEVERO</t>
  </si>
  <si>
    <t>09849080</t>
  </si>
  <si>
    <t>OPERADOR Y CUSTODIO VEHICULAR</t>
  </si>
  <si>
    <t>VICUÑA OLIVERA KARINA ELI</t>
  </si>
  <si>
    <t>23862143</t>
  </si>
  <si>
    <t xml:space="preserve">RESPONSABLE LOGISTICA </t>
  </si>
  <si>
    <t>MAESTRO(A)</t>
  </si>
  <si>
    <t>VERGARA CABADA RUDITH MARIA</t>
  </si>
  <si>
    <t>32984943</t>
  </si>
  <si>
    <t>JEFE DE COMISION DE OCI</t>
  </si>
  <si>
    <t>VERANO DIAZ JORGE RICARDO</t>
  </si>
  <si>
    <t>40574782</t>
  </si>
  <si>
    <t>ANALISTA EN PLANEAMIENTO</t>
  </si>
  <si>
    <t>VERA RAMOS, ANA MARIA</t>
  </si>
  <si>
    <t>45070966</t>
  </si>
  <si>
    <t>AUXILIAR ALMACENERO</t>
  </si>
  <si>
    <t>VELASQUEZ PORTELLA FABRICIO ERIK</t>
  </si>
  <si>
    <t>09383435</t>
  </si>
  <si>
    <t>DIRECTOR DDI</t>
  </si>
  <si>
    <t>CIENCIAS SOCIALES CON MENCION EN ANTROPOLOGIA</t>
  </si>
  <si>
    <t>VELASQUEZ LANDMANN MARCEL ESTUARDO</t>
  </si>
  <si>
    <t>10796562</t>
  </si>
  <si>
    <t>VELASQUEZ JAVE HECTOR FERNANDO</t>
  </si>
  <si>
    <t>43612749</t>
  </si>
  <si>
    <t>ESPECIALISTA EN GESTIÓN DEL RIESGO DE DESASTRES</t>
  </si>
  <si>
    <t>VELASQUEZ GARCIA JORGE ANTONIO</t>
  </si>
  <si>
    <t>09455914</t>
  </si>
  <si>
    <t>DIRECTOR(A) DDI</t>
  </si>
  <si>
    <t>VARGAS MACHUCA VILLAFUERTE MIGUEL ANGEL</t>
  </si>
  <si>
    <t>43586248</t>
  </si>
  <si>
    <t>ESPECIALISTA EN MONITOREO, SEGUIMIENTO Y EVALUACION EN LA GESTION REACTIVA</t>
  </si>
  <si>
    <t>VARGAS LAULATE TERESA DENNY</t>
  </si>
  <si>
    <t>45467252</t>
  </si>
  <si>
    <t>ASISTENTE PROFESIONAL ADMINISTRATIVO</t>
  </si>
  <si>
    <t>INGENIERO GEOGRAFICO</t>
  </si>
  <si>
    <t>VALENZUELA RAMIREZ MARIO</t>
  </si>
  <si>
    <t>07641205</t>
  </si>
  <si>
    <t>ESPEC. EN GRD</t>
  </si>
  <si>
    <t>VALENTIN SOTELO MARIELA</t>
  </si>
  <si>
    <t>47451753</t>
  </si>
  <si>
    <t>ANALISTA DE CONTABILIDAD</t>
  </si>
  <si>
    <t>ESPECIALISTA PROFESIONAL EN CONTABILIDAD</t>
  </si>
  <si>
    <t>VALENCIA CENTTY JOSE LUIS</t>
  </si>
  <si>
    <t>29402984</t>
  </si>
  <si>
    <t>VALENCIA BARRIOS JOSE LUIS</t>
  </si>
  <si>
    <t>29581559</t>
  </si>
  <si>
    <t>LICENCIADO EN CIENCIA POLITICA</t>
  </si>
  <si>
    <t>LIC. EN CIENCIA POLITICA</t>
  </si>
  <si>
    <t>VALDIVIA VERA DEAN CHRISTIAN</t>
  </si>
  <si>
    <t>10605095</t>
  </si>
  <si>
    <t>ASESOR DE ALTA DIRECCIÓN</t>
  </si>
  <si>
    <t>VALDERA SANTAMARIA JANCARLO ANGEL CESAR RAUL</t>
  </si>
  <si>
    <t>46216851</t>
  </si>
  <si>
    <t>ANALISTA EN GESTION DE RIESGO DE DESASTRES</t>
  </si>
  <si>
    <t>USTO LAUPA VERONICA</t>
  </si>
  <si>
    <t>45385439</t>
  </si>
  <si>
    <t>TÉCNICO EN TESORERÍA</t>
  </si>
  <si>
    <t>INGENIERÍA CIVIL Y ARQUITECTURA</t>
  </si>
  <si>
    <t>URETA CASTRO MELBIN CANONES</t>
  </si>
  <si>
    <t>80073728</t>
  </si>
  <si>
    <t>ESPECIALISTA EN EVALUACIÓN, SEGUIMIENTO Y MONITOREO</t>
  </si>
  <si>
    <t>URCARIEGUI REYES JUAN CARLOS</t>
  </si>
  <si>
    <t>44060108</t>
  </si>
  <si>
    <t>ESPECIALISTA EN RELACIONES INTERINSTITUCIONALES</t>
  </si>
  <si>
    <t>UBILLUS TORRES, RAUL FERNANDO</t>
  </si>
  <si>
    <t>19915120</t>
  </si>
  <si>
    <t>ESPECIALISTA EN EVALUACION, SEGUIMIENTO Y MONITOREO</t>
  </si>
  <si>
    <t>SUBOFICIAL DE TERCERA MECANICO ELECTRÓNICO</t>
  </si>
  <si>
    <t>TULLUME GONZALES MANUEL</t>
  </si>
  <si>
    <t>09189268</t>
  </si>
  <si>
    <t>ING. INFORMATICO Y DE SISTEMAS</t>
  </si>
  <si>
    <t>TTITO REYES ROBERT</t>
  </si>
  <si>
    <t>41997130</t>
  </si>
  <si>
    <t>ASISTENTE DE UNIDAD DE RESPUESTA</t>
  </si>
  <si>
    <t>CIENCIA POLÍTICA</t>
  </si>
  <si>
    <t>POLITÓLOGO</t>
  </si>
  <si>
    <t>TTITO COCHACHI THOMAS ALONSO ANDRÉ</t>
  </si>
  <si>
    <t>72878699</t>
  </si>
  <si>
    <t>ANALISTA EN INVESTIGACIÓN</t>
  </si>
  <si>
    <t>SECRETARIA EN INFORMATICA</t>
  </si>
  <si>
    <t>SECRETARIADO EN INFORMATICA</t>
  </si>
  <si>
    <t>TORRES SILVA ANA JESSICA NOELIA</t>
  </si>
  <si>
    <t>40573694</t>
  </si>
  <si>
    <t>TORRES PEREYRA DAVID JESUS</t>
  </si>
  <si>
    <t>06964149</t>
  </si>
  <si>
    <t>ASISTENTE DE AUDITORIA</t>
  </si>
  <si>
    <t>TORRES PAUCAR RENE DAVID</t>
  </si>
  <si>
    <t>40688042</t>
  </si>
  <si>
    <t>TOCTO FLORES KATHERIN JHUDITH</t>
  </si>
  <si>
    <t>73216569</t>
  </si>
  <si>
    <t>SECRETARIA EJECUTIVA ESPAÑOL Y ETIQUETA SECRETARIAL</t>
  </si>
  <si>
    <t>TELLO RUEDA, CONSUELO BEATRIZ</t>
  </si>
  <si>
    <t>09526119</t>
  </si>
  <si>
    <t>TELLO RAMOS JESSENIA ERIKA</t>
  </si>
  <si>
    <t>10194207</t>
  </si>
  <si>
    <t>ECOLOGIA</t>
  </si>
  <si>
    <t>TELLO MANRIQUE DIANA DEL CARMEN</t>
  </si>
  <si>
    <t>47143863</t>
  </si>
  <si>
    <t>ANALISTA AMBIENTAL Y CLIMATICO</t>
  </si>
  <si>
    <t>TRADUCCION</t>
  </si>
  <si>
    <t>TAVARA REATEGUI CLAUDIA BEATRIZ</t>
  </si>
  <si>
    <t>09670364</t>
  </si>
  <si>
    <t>ANALISTA ESPECIALIZADO EN LOGISTICA</t>
  </si>
  <si>
    <t>TAPULLIMA NUVE ROGELIO</t>
  </si>
  <si>
    <t>05380082</t>
  </si>
  <si>
    <t>COMUNICACIONES</t>
  </si>
  <si>
    <t>TAPIA HUAMBACHANO NANCY CLAUDIA CECILIA</t>
  </si>
  <si>
    <t>70432146</t>
  </si>
  <si>
    <t>ASISTENTE PARA CAMPAÑAS DE COMUNICACIÓN SOCIAL</t>
  </si>
  <si>
    <t>INGENIERO ELETRÓNICO</t>
  </si>
  <si>
    <t>TANTALEAN DEL AGUILA MARCO ANTONIO</t>
  </si>
  <si>
    <t>07715645</t>
  </si>
  <si>
    <t>INGERNIERO DE COMPUTACIÓN Y SISTEMAS</t>
  </si>
  <si>
    <t>TANANTA CARCAMO SERGIO FIDEL</t>
  </si>
  <si>
    <t>40788565</t>
  </si>
  <si>
    <t>ANALISTA LOGÍSTICO</t>
  </si>
  <si>
    <t>TAIPE SALCEDO BERNABE EDUARDO</t>
  </si>
  <si>
    <t>03883154</t>
  </si>
  <si>
    <t xml:space="preserve">SUTTA VALDERRAMA MARCO JESUS </t>
  </si>
  <si>
    <t>23889595</t>
  </si>
  <si>
    <t xml:space="preserve">OPERADOR Y CUSTODIO VEHICULAR </t>
  </si>
  <si>
    <t xml:space="preserve">SURICHAQUI GUTIERREZ MERCEDES </t>
  </si>
  <si>
    <t>73053694</t>
  </si>
  <si>
    <t>INGENIERO ANALISTA DE VERIFICACIÓN Y EVALUACION</t>
  </si>
  <si>
    <t>SURICHAQUI GUTIERREZ MERCEDES</t>
  </si>
  <si>
    <t>INGENIERO ANALISTA EN VERIFICACIÓN, EVALUACIÓN Y SEGUIMIENTO</t>
  </si>
  <si>
    <t>SUMARRIBA HIDALGO PAMELA</t>
  </si>
  <si>
    <t xml:space="preserve"> 42116804</t>
  </si>
  <si>
    <t>ASISTENTE DE BIENESTAR</t>
  </si>
  <si>
    <t>SOTO IGNACIO DORIS YOLANDA</t>
  </si>
  <si>
    <t>10044914</t>
  </si>
  <si>
    <t>ASISTENTE EN GESTIÓN DOCUMENTAL</t>
  </si>
  <si>
    <t>DIRECCIÓN Y DISEÑO PUBLICITARIO</t>
  </si>
  <si>
    <t>SOTO ARROYO FRANKLIN</t>
  </si>
  <si>
    <t>63594809</t>
  </si>
  <si>
    <t>AUXILIAR DE DISEÑO</t>
  </si>
  <si>
    <t>ADMINISTRACION DE BANCA Y FINANZAS</t>
  </si>
  <si>
    <t>SOSA GAMARRA CARMEN LEDA</t>
  </si>
  <si>
    <t>10545437</t>
  </si>
  <si>
    <t>ANALISTA DE DATOS</t>
  </si>
  <si>
    <t>ADMINISTRACION Y SISTEMAS</t>
  </si>
  <si>
    <t xml:space="preserve">SOSA CAMPOS JULIO CESAR </t>
  </si>
  <si>
    <t>41042325</t>
  </si>
  <si>
    <t>CIENCIAS ECONÓMICAS Y FINANCIERAS</t>
  </si>
  <si>
    <t>SORIA BUSTAMANTE DANIEL</t>
  </si>
  <si>
    <t>41634768</t>
  </si>
  <si>
    <t>ANALISTA DE PRESUPUESTO PÚBLICO</t>
  </si>
  <si>
    <t>CERTIFICACIÓN PARA CAJEROS</t>
  </si>
  <si>
    <t>SOPLA SAJAMI ANYELO</t>
  </si>
  <si>
    <t>47189095</t>
  </si>
  <si>
    <t>TÉCNICO ADMINISTRATIVO EN GESTIÓN DEL RIESGO DE DESASTRE</t>
  </si>
  <si>
    <t>SOLORZANO FLOR VICTOR EFRAIN</t>
  </si>
  <si>
    <t>04641059</t>
  </si>
  <si>
    <t>SOLIS  GRANADOS, KETTY JANET</t>
  </si>
  <si>
    <t>31682834</t>
  </si>
  <si>
    <t>INTEGRADOR CONTABLE</t>
  </si>
  <si>
    <t>QUIMICA INDUSTRIAL</t>
  </si>
  <si>
    <t>SOLANO ORTIZ CESAR AGUSTO</t>
  </si>
  <si>
    <t>17921534</t>
  </si>
  <si>
    <t>APOYO EN ARCHIVO DOCUMENTAL DE LEGAJOS DE PERSONAL</t>
  </si>
  <si>
    <t>SILVA  FERNANDEZ WILLIAMS STEVE</t>
  </si>
  <si>
    <t>41495022</t>
  </si>
  <si>
    <t>SIFUENTES VILCHEZ WILLIAM GUILLERMO</t>
  </si>
  <si>
    <t>46057253</t>
  </si>
  <si>
    <t>CIENCIAS MILITARES/LIC. ADMINISTRACION/MG. ADMINISTRACION/MG.EN GEST. Y DESARROLL.O</t>
  </si>
  <si>
    <t xml:space="preserve">SIERRA SANJINEZ CÉSAR AUGUSTO </t>
  </si>
  <si>
    <t>43331791</t>
  </si>
  <si>
    <t>SERRANO ZULOAGA ARTURO BENIGNO</t>
  </si>
  <si>
    <t>41108038</t>
  </si>
  <si>
    <t>ANALISTA EN GESTIÓN DEL RIESGO DE DESASTRES</t>
  </si>
  <si>
    <t>CIENCIAS AGRARIAS</t>
  </si>
  <si>
    <t xml:space="preserve">SEMINARIO NAVARRO MARITZA DEL ROSARIO </t>
  </si>
  <si>
    <t>76280417</t>
  </si>
  <si>
    <t>LIC CIENCIAS MILITARES</t>
  </si>
  <si>
    <t>SEIJAS DEL CASTILLO RICARDO</t>
  </si>
  <si>
    <t>43295646</t>
  </si>
  <si>
    <t>ASESOR DE ALTA DIRECCION</t>
  </si>
  <si>
    <t>LICENCIADO EN  CIENCIAS MILITARES / ING. CIVIL</t>
  </si>
  <si>
    <t>INGENIERL CIVIL / LIC CIENCIAS MILITARES</t>
  </si>
  <si>
    <t>SEGURA TTITO ERIC</t>
  </si>
  <si>
    <t>43453471</t>
  </si>
  <si>
    <t>SAUCEDO TERRONES ISABEL MARGOT</t>
  </si>
  <si>
    <t>19257843</t>
  </si>
  <si>
    <t>SANTOS CHECALLA CARLOS ALBERTO</t>
  </si>
  <si>
    <t>41336918</t>
  </si>
  <si>
    <t>SANCHEZ PERALES MARITZA DEL CARMEN MILAGROS</t>
  </si>
  <si>
    <t>07254352</t>
  </si>
  <si>
    <t>COORDINADOR DE MATERIALES OPERATIVOS</t>
  </si>
  <si>
    <t>SAMANAMÚ ZILBERT DELMAR AMARU</t>
  </si>
  <si>
    <t>46287865</t>
  </si>
  <si>
    <t>ANALISTA DE DATOS DE LA GESTIÓN REACTIVA DE DESASTRES</t>
  </si>
  <si>
    <t>SALCEDO RODRIGUEZ MAGNO</t>
  </si>
  <si>
    <t>10108724</t>
  </si>
  <si>
    <t>COORDINADOR DE ASISTENCIA HUMANITARIA Y MOVILIZACIÓN</t>
  </si>
  <si>
    <t>SALAZAR ROSAS RENZO FABRICIO</t>
  </si>
  <si>
    <t>77334504</t>
  </si>
  <si>
    <t>ASISTENTE DE INVENTARIO</t>
  </si>
  <si>
    <t>SALAZAR CHAVEZ VICTOR SERGIO</t>
  </si>
  <si>
    <t>40685063</t>
  </si>
  <si>
    <t>ADMINISTRADOR(A)</t>
  </si>
  <si>
    <t>SALAS ALFARO FREDDY</t>
  </si>
  <si>
    <t>10136695</t>
  </si>
  <si>
    <t>SAENZ YAYA JORGE ENRIQUE</t>
  </si>
  <si>
    <t>06092887</t>
  </si>
  <si>
    <t>ESPEC. EN SUPERVISIÓN DE LA INFORMACIÓN ESTADÍSTICA</t>
  </si>
  <si>
    <t>CIENCIAS CONTABLES</t>
  </si>
  <si>
    <t>BACHILLER EN CIENCIAS CONTABLES</t>
  </si>
  <si>
    <t>SACHA CHAHUAYO JUAN ELIAS</t>
  </si>
  <si>
    <t>45254150</t>
  </si>
  <si>
    <t>ASISTENTE ADMINISTRATIVO I</t>
  </si>
  <si>
    <t>EDUCACION</t>
  </si>
  <si>
    <t>SAAVEDRA VALDIVIEZO JORGE ALFREDO</t>
  </si>
  <si>
    <t>45778140</t>
  </si>
  <si>
    <t>RUIZ TENAZOA JANCARLO</t>
  </si>
  <si>
    <t>41829284</t>
  </si>
  <si>
    <t>RESPONSABLE ADMINISTRATIVO</t>
  </si>
  <si>
    <t>RUIZ PAHUACHO JUBER RENATO</t>
  </si>
  <si>
    <t>07658317</t>
  </si>
  <si>
    <t>EGRD IV - ANALISIS OPERACIONAL Y ATENCION DE EMERGENCIAS</t>
  </si>
  <si>
    <t>ADMINISTRACIÓN DE EMPRESAS</t>
  </si>
  <si>
    <t>RUIZ GARCIA KEVIN MANUEL</t>
  </si>
  <si>
    <t>47600280</t>
  </si>
  <si>
    <t>ANALISTA DE RECURSOS HUMANOS</t>
  </si>
  <si>
    <t xml:space="preserve">ROSSI REBAZA DE EGUSQUIZA KRISTHI ANGGELA </t>
  </si>
  <si>
    <t>41464120</t>
  </si>
  <si>
    <t>ROSAS PEÑA CARLOS DANIEL</t>
  </si>
  <si>
    <t>25707928</t>
  </si>
  <si>
    <t>AUXILIAR DE ALMACEN</t>
  </si>
  <si>
    <t>ROQUE SULCA GIANCARLO</t>
  </si>
  <si>
    <t>40733818</t>
  </si>
  <si>
    <t>OPERADOR INFORMATICO DE ALMACENES</t>
  </si>
  <si>
    <t>INGENIERO AGRICOLA</t>
  </si>
  <si>
    <t>ROMERO JESUS VICTORINO SABINO</t>
  </si>
  <si>
    <t>07422870</t>
  </si>
  <si>
    <t>ESPEC. EN GRD III</t>
  </si>
  <si>
    <t>ROMERO CABANILLAS HILMER</t>
  </si>
  <si>
    <t>40799147</t>
  </si>
  <si>
    <t>LIC. EN CIENCIAS MILITARES/ MG. EN ADMINISTRACION/DR. EN CIENCIA POLITICA Y RRII</t>
  </si>
  <si>
    <t>ROLLERI ALVARADO GINO MARIO MARTIN</t>
  </si>
  <si>
    <t>43604601</t>
  </si>
  <si>
    <t>ROJAS RODRIGUEZ MIRTHA</t>
  </si>
  <si>
    <t>73327195</t>
  </si>
  <si>
    <t>RADIO COMUNICACIONES</t>
  </si>
  <si>
    <t>ROJAS RAFAEL CARLOS ANTONIO</t>
  </si>
  <si>
    <t>43081479</t>
  </si>
  <si>
    <t>TECNICO EN SOPORTE DE COMUNICACIONES</t>
  </si>
  <si>
    <t>INSTALACIONES ELECTRICAS</t>
  </si>
  <si>
    <t>TECNICO EN INSTALACIONES ELECTRICAS</t>
  </si>
  <si>
    <t>ROJAS PRADO JUAN MIGUEL</t>
  </si>
  <si>
    <t>09471007</t>
  </si>
  <si>
    <t>TECNICO EN MANTENIMIENTO DE BIENES MUEBLES</t>
  </si>
  <si>
    <t>CIENCIA TETEOROLOGIA</t>
  </si>
  <si>
    <t>ROJAS CUYO JAKIE STEFANIE</t>
  </si>
  <si>
    <t>45784517</t>
  </si>
  <si>
    <t>ANALISTA EN FENÒMENOS METEOROLÒGICOS</t>
  </si>
  <si>
    <t>ROJAS CANALES MIGUEL ANGEL</t>
  </si>
  <si>
    <t>07433273</t>
  </si>
  <si>
    <t>ESPECIALISTA EN BIENES DE AYUDA HUMANITARIA</t>
  </si>
  <si>
    <t>INGENIERO DE INDUSTRIAS ALIMENTARIAS</t>
  </si>
  <si>
    <t>INGENIERA DE INDUSTRIAS ALIMENTARIAS</t>
  </si>
  <si>
    <t>ROJAS ALCANTARA MARIA ISABEL</t>
  </si>
  <si>
    <t>40231215</t>
  </si>
  <si>
    <t>ESPECIALISTA ADMINISTRATIVO EN ALMACENES</t>
  </si>
  <si>
    <t>RODRIGUEZ RUIZ LUIS RICARDO</t>
  </si>
  <si>
    <t>29462198</t>
  </si>
  <si>
    <t>RODRIGUEZ PUELL ABRAHAM WILLIAM</t>
  </si>
  <si>
    <t>43413435</t>
  </si>
  <si>
    <t>RODRIGUEZ FRANCIA WILLMAN</t>
  </si>
  <si>
    <t>09133327</t>
  </si>
  <si>
    <t>CONDUCTOR DE UNIDAD MÓVIL</t>
  </si>
  <si>
    <t xml:space="preserve">COMPUTACION </t>
  </si>
  <si>
    <t>EGRESADO EN COMPUTACIÓN</t>
  </si>
  <si>
    <t>RODRIGUEZ CAHUANA JUAN CARLOS</t>
  </si>
  <si>
    <t>40577535</t>
  </si>
  <si>
    <t>TEC. ADMINIST. LEGAL</t>
  </si>
  <si>
    <t>RODRIGO GARCIA LUIS JORGE</t>
  </si>
  <si>
    <t>09392731</t>
  </si>
  <si>
    <t>MAYOR GENERAL FAP</t>
  </si>
  <si>
    <t>ROBLES MONTOYA, JOSE HIGINIO</t>
  </si>
  <si>
    <t>06289352</t>
  </si>
  <si>
    <t>RIVERO LUQUE YESSENIA MARITZA</t>
  </si>
  <si>
    <t>45560070</t>
  </si>
  <si>
    <t>ABOGADO PARA CONTROL PATRIMONIAL</t>
  </si>
  <si>
    <t>INGENIERO QUIMICO  / ING. CIVIL</t>
  </si>
  <si>
    <t>ING. QUIMICO  / ING. CIVIL</t>
  </si>
  <si>
    <t>RIVERA MAROCHO JOSE ALBERTO</t>
  </si>
  <si>
    <t>31045500</t>
  </si>
  <si>
    <t>LICENCIADO EN ADMINISTRACION</t>
  </si>
  <si>
    <t>RIVERA HUAMAN JUAN RODOLFO</t>
  </si>
  <si>
    <t>07509586</t>
  </si>
  <si>
    <t>RIVERA ALIAGA CARLOS MANUEL</t>
  </si>
  <si>
    <t>10002521</t>
  </si>
  <si>
    <t>ESPECIALISTA ADMINISTRATIVO</t>
  </si>
  <si>
    <t>RIOS MARTINEZ ANA CAROLA</t>
  </si>
  <si>
    <t>10808535</t>
  </si>
  <si>
    <t>REYNA RIOS RAQUEL</t>
  </si>
  <si>
    <t>01134897</t>
  </si>
  <si>
    <t>REYES MORALES RODA HERMINA DEL PILAR</t>
  </si>
  <si>
    <t>40669161</t>
  </si>
  <si>
    <t>BACHILLER EN MATEMATICA</t>
  </si>
  <si>
    <t>REQUE VELASQUEZ JOSE CLAUDIO</t>
  </si>
  <si>
    <t>41939487</t>
  </si>
  <si>
    <t>TECNICO LOGISTICO</t>
  </si>
  <si>
    <t xml:space="preserve"> DE ANALISTA PROGRAMADOR</t>
  </si>
  <si>
    <t>TEC. ANALISTA PROGRAMADOR DE SISTEMAS</t>
  </si>
  <si>
    <t>REJAS PINTO, JAVIER ORLANDO</t>
  </si>
  <si>
    <t>00517801</t>
  </si>
  <si>
    <t>RAYMUNDO CURAY DULCE PRISCILA</t>
  </si>
  <si>
    <t>47592855</t>
  </si>
  <si>
    <t>ANALISTA EN GESTIÓN ADMINISTRATIVA Y ALMACENES</t>
  </si>
  <si>
    <t>RAMOS URBINA DIEGO ARMANDO JAREK</t>
  </si>
  <si>
    <t>44542293</t>
  </si>
  <si>
    <t>OPERADOR EN EL MODULO DE OPERACIONES</t>
  </si>
  <si>
    <t>RAMOS CAMPOS JUDITH ANTONIA</t>
  </si>
  <si>
    <t>22502966</t>
  </si>
  <si>
    <t>RAMIREZ SOTOMAYOR DORIS LEONOR</t>
  </si>
  <si>
    <t>07687149</t>
  </si>
  <si>
    <t>RAMIREZ ROMERO JONATHAN BRAYAN</t>
  </si>
  <si>
    <t>43825372</t>
  </si>
  <si>
    <t>RAMIREZ ALVARADO DION DAVI</t>
  </si>
  <si>
    <t>42612182</t>
  </si>
  <si>
    <t>ASISTENTE DE ALMACÉN</t>
  </si>
  <si>
    <t>INGENIERO EMBIENTAL</t>
  </si>
  <si>
    <t>QUITO BRONCANO SILVESTRE ALLENDE</t>
  </si>
  <si>
    <t>32033655</t>
  </si>
  <si>
    <t>QUISPEALAYA ARMAS, NORMA MARIA</t>
  </si>
  <si>
    <t>23272670</t>
  </si>
  <si>
    <t>QUISPE LEON GIULIANA YANNETT</t>
  </si>
  <si>
    <t>45970433</t>
  </si>
  <si>
    <t>ESPECIALISTA EN CONTRATACIONES</t>
  </si>
  <si>
    <t>SECUNDARIA COMPLETA / AUXILIAR DE CONTABILIDAD</t>
  </si>
  <si>
    <t>QUISPE JIMENEZ ALBERTO TEODORO</t>
  </si>
  <si>
    <t>02293327</t>
  </si>
  <si>
    <t>QUISPE HUALLA WALTER</t>
  </si>
  <si>
    <t>23964885</t>
  </si>
  <si>
    <t>ESPECIALISTA EN GESTIÓN DEL RIESGO DE DESASTRE</t>
  </si>
  <si>
    <t>QUISPE GOYCOCHEA CESAR AUGUSTO</t>
  </si>
  <si>
    <t>29718012</t>
  </si>
  <si>
    <t>QUISPE FARFAN ERWIN MARIO</t>
  </si>
  <si>
    <t>23849909</t>
  </si>
  <si>
    <t>QUIROZ SILVA JOSE ANTONIO</t>
  </si>
  <si>
    <t>08984130</t>
  </si>
  <si>
    <t>QUIROZ MIRANDA SARA ELENA</t>
  </si>
  <si>
    <t>06872448</t>
  </si>
  <si>
    <t>ESPEC. EN GRD IV</t>
  </si>
  <si>
    <t xml:space="preserve">QUINTANA BARRIOS LUIS ALFREDO </t>
  </si>
  <si>
    <t>06230443</t>
  </si>
  <si>
    <t>CIENCIAS ECONOMICA</t>
  </si>
  <si>
    <t>QUICHIZ RAMIREZ JOSE MIGUEL</t>
  </si>
  <si>
    <t>44045555</t>
  </si>
  <si>
    <t>OPERADOR DEL MODULO DE LOGÍSTICA</t>
  </si>
  <si>
    <t>ASISTENTE EN SEGUIMIENTO Y MONITOREO</t>
  </si>
  <si>
    <t>QUESQUEN MANRIQUE MERLYN ISABEL</t>
  </si>
  <si>
    <t>73194268</t>
  </si>
  <si>
    <t>QUELOPANA BOHORQUEZ EDUARDO ANTONIO</t>
  </si>
  <si>
    <t>09455811</t>
  </si>
  <si>
    <t>COMPUTACIÓN E INFORMATICA</t>
  </si>
  <si>
    <t>PRADO SILVERA CESAR</t>
  </si>
  <si>
    <t>09363851</t>
  </si>
  <si>
    <t>TECNICO ESPECIALIZADO EN ALMACENES</t>
  </si>
  <si>
    <t>POZZI FLORES WEIDER</t>
  </si>
  <si>
    <t>10198540</t>
  </si>
  <si>
    <t>AUDITOR  II</t>
  </si>
  <si>
    <t>POTOKAR ORIHUELA PATRICIA ELIZABETH</t>
  </si>
  <si>
    <t>46486699</t>
  </si>
  <si>
    <t>ABOGADA EN CONTRATACIONES PUBLICAS</t>
  </si>
  <si>
    <t>PORTUGAL QUEVEDO, JULIO ROBERTO</t>
  </si>
  <si>
    <t>43639248</t>
  </si>
  <si>
    <t>ESPECIALISTA EN POLITICAS Y PLANES EN LA GESTION REACTIVA</t>
  </si>
  <si>
    <t>ARQUITECTA(O)</t>
  </si>
  <si>
    <t>PORTUGAL GARCIA VILMA PAOLA</t>
  </si>
  <si>
    <t>40262475</t>
  </si>
  <si>
    <t>PONCE CASAS ROCIO STEFFANY</t>
  </si>
  <si>
    <t>45897028</t>
  </si>
  <si>
    <t>BACHILLER EN PERIODISMO</t>
  </si>
  <si>
    <t>ESPECIALISTA DEL MODULO DE PRENSA</t>
  </si>
  <si>
    <t>PINTO DE LA CRUZ JUAN JOSE</t>
  </si>
  <si>
    <t>43026079</t>
  </si>
  <si>
    <t>LIC. CIENCIAS MARITIMAS NAVALES</t>
  </si>
  <si>
    <t>PINILLOS DE ORBEGOSO CARLOS ALFONSO</t>
  </si>
  <si>
    <t>43450128</t>
  </si>
  <si>
    <t>INGENIERO ESTADISTICO E INFORMATICO</t>
  </si>
  <si>
    <t>PINEDO TORRES RONY</t>
  </si>
  <si>
    <t>09558258</t>
  </si>
  <si>
    <t>TÉCNICO ESPECIALIZADO EN PROCESOS DE EVALUACIÓN Y SEGUIMIENTO PRESUPUESTAL</t>
  </si>
  <si>
    <t>AUXILIAR CONTABLE  - NO TITULADO</t>
  </si>
  <si>
    <t>PINEDO MORALES PERCY</t>
  </si>
  <si>
    <t>42191928</t>
  </si>
  <si>
    <t>AUXILIAR DE LOGISTA Y OPERADOR DE COMUNICACIONES</t>
  </si>
  <si>
    <t>INGENIERO MECANICA ELECTRICA</t>
  </si>
  <si>
    <t>ING. MECANICO ELECTRICISTA</t>
  </si>
  <si>
    <t>PINEDA ANCO, FRANCK DEYVI</t>
  </si>
  <si>
    <t>46643986</t>
  </si>
  <si>
    <t>ESPECIALISTA EN GESTION DEL RIESGO DE DESASTRES</t>
  </si>
  <si>
    <t>PICHILINGUE SIME CARLOS ALEJANDRO</t>
  </si>
  <si>
    <t>46434375</t>
  </si>
  <si>
    <t>ANALISTA  EN  GRD</t>
  </si>
  <si>
    <t>PEZO TRUJILLO ELEODORA</t>
  </si>
  <si>
    <t>09481245</t>
  </si>
  <si>
    <t>GIRADORA</t>
  </si>
  <si>
    <t>ABASTECIMIENTO</t>
  </si>
  <si>
    <t>PEREZ MORALES NELSON DANILO</t>
  </si>
  <si>
    <t>43315588</t>
  </si>
  <si>
    <t>CORONEL DEL EJERCITO</t>
  </si>
  <si>
    <t>PEREZ LEAL ORISON</t>
  </si>
  <si>
    <t>07943814</t>
  </si>
  <si>
    <t>PEREZ DUARTE JAVIER ALEXIS</t>
  </si>
  <si>
    <t>41735741</t>
  </si>
  <si>
    <t>ESPECIALISTA EN FORMULACIÓN DE FICHAS TÉCNICAS</t>
  </si>
  <si>
    <t>INGENIERO DE SISTEMAS Y COMPUTACIÓN</t>
  </si>
  <si>
    <t>PEREZ DETQUIZAN FELIPE HUMBERTO</t>
  </si>
  <si>
    <t>41951315</t>
  </si>
  <si>
    <t xml:space="preserve"> ELECTRICIDAD</t>
  </si>
  <si>
    <t>PEREZ DERTIANO JESUS ENRIQUE</t>
  </si>
  <si>
    <t>18076624</t>
  </si>
  <si>
    <t>APOYO EN MANTENIMIENTO</t>
  </si>
  <si>
    <t>PEREZ CHAVEZ MIGUEL ANGEL</t>
  </si>
  <si>
    <t>43329026</t>
  </si>
  <si>
    <t>ESPECIALISTA EN MONITOREO, SEGUIMIENTO Y EVALUACIÒN.</t>
  </si>
  <si>
    <t>PEREA MORENO WILLIAMS</t>
  </si>
  <si>
    <t>05357773</t>
  </si>
  <si>
    <t>ESPECIALISTA DEL MÓDULO DE OPERACIONES</t>
  </si>
  <si>
    <t>PEÑARRIETA MARIGORDA ALFREDO</t>
  </si>
  <si>
    <t>42851392</t>
  </si>
  <si>
    <t xml:space="preserve">SECRETARIADO EJECUTIVO </t>
  </si>
  <si>
    <t>PAZ CAMACHO BEATRIZ</t>
  </si>
  <si>
    <t>23836310</t>
  </si>
  <si>
    <t xml:space="preserve">SECRETARIA </t>
  </si>
  <si>
    <t>PAYANO COCHACHI LUIS KENYO</t>
  </si>
  <si>
    <t>46636814</t>
  </si>
  <si>
    <t>PATRICIO PEREZ NARDA GIULIANA</t>
  </si>
  <si>
    <t>45964793</t>
  </si>
  <si>
    <t>LICENCIADA EN GEOGRAFIA</t>
  </si>
  <si>
    <t>GEOGRAFA</t>
  </si>
  <si>
    <t>PASSUNI PINEDA SILVIA YANINA</t>
  </si>
  <si>
    <t>41285511</t>
  </si>
  <si>
    <t xml:space="preserve">ESPEC. EN GRD IV GEOGRAFO </t>
  </si>
  <si>
    <t>PAREJA PINTO LOURDES DEL ROSARIO</t>
  </si>
  <si>
    <t>08598582</t>
  </si>
  <si>
    <t>ARQUITECTURA Y URBANISMO</t>
  </si>
  <si>
    <t>PAREDES LEVEAU JOHAN</t>
  </si>
  <si>
    <t>46042073</t>
  </si>
  <si>
    <t>ESPECIALISTA EN ARQUITECTURA PARA LA FORMULACION DE PROYECTOS DE INVERSION PUBLICA</t>
  </si>
  <si>
    <t>PAREDES HUAPAYA JORGE FRANCISCO</t>
  </si>
  <si>
    <t>40808476</t>
  </si>
  <si>
    <t>TECNICO ESPECIALIZADO EN ALMACEN</t>
  </si>
  <si>
    <t>PANEZ TORRES MATT JHONN</t>
  </si>
  <si>
    <t>44827188</t>
  </si>
  <si>
    <t>PAMPAMALLCO CHOQUE JAVIER SANTIAGO</t>
  </si>
  <si>
    <t>01318072</t>
  </si>
  <si>
    <t>PALOMINO VASQUEZ JAQUELY</t>
  </si>
  <si>
    <t>40861203</t>
  </si>
  <si>
    <t>PALOMINO MONTALVAN GRACIELA</t>
  </si>
  <si>
    <t>40827560</t>
  </si>
  <si>
    <t>ANALISTA DE BIENESTAR SOCIAL</t>
  </si>
  <si>
    <t xml:space="preserve">PALOMINO CARDENAS JORGE LUIS </t>
  </si>
  <si>
    <t>45003913</t>
  </si>
  <si>
    <t>PALOMINO CARDENAS JORGE LUIS</t>
  </si>
  <si>
    <t>TÉCNICO ADMINISTRATIVO - OPERADOR DE RADIO</t>
  </si>
  <si>
    <t>INGENIERO (A) AGRONOMO</t>
  </si>
  <si>
    <t>PALOMARES QUINTANILLA ELIZABETH JENNY</t>
  </si>
  <si>
    <t>20061158</t>
  </si>
  <si>
    <t>PALO AHUMADA JOSE CARLOS</t>
  </si>
  <si>
    <t>46314463</t>
  </si>
  <si>
    <t>ANALISTA LEGAL</t>
  </si>
  <si>
    <t>LICENCIADA EN COMUNICACIÓN</t>
  </si>
  <si>
    <t>PALACIOS ROMERO CATHERINE</t>
  </si>
  <si>
    <t>45826751</t>
  </si>
  <si>
    <t>ANALISTA EN GESTION REACTIVA</t>
  </si>
  <si>
    <t>INGENIERO ALIMENTARIA</t>
  </si>
  <si>
    <t>ING. INDUSTRIAS ALIOMENTARIAS</t>
  </si>
  <si>
    <t>PALACIOS MORENO, GASTON JEAN PIERRE</t>
  </si>
  <si>
    <t>70652790</t>
  </si>
  <si>
    <t>ANALISTA EN PROCESOS DE LA GESTION REACTIVA</t>
  </si>
  <si>
    <t>PADILLA ROJAS MAGLIO FRANCISCO</t>
  </si>
  <si>
    <t>07902326</t>
  </si>
  <si>
    <t xml:space="preserve"> SECRETARIO ADMINISTRATIVO</t>
  </si>
  <si>
    <t>ESPECIALISTA EN SECRETARIO ADMINISTRATIVO</t>
  </si>
  <si>
    <t>PADILLA MUÑOZ WALTER</t>
  </si>
  <si>
    <t>44781469</t>
  </si>
  <si>
    <t>PACHECO MASUDA OMAR RICARDO</t>
  </si>
  <si>
    <t>45036949</t>
  </si>
  <si>
    <t>TELECOMUNICACIONES</t>
  </si>
  <si>
    <t>TELECOMUNICADOR</t>
  </si>
  <si>
    <t>PACHAS MUCHOTRIGO ANGEL RAUL</t>
  </si>
  <si>
    <t>43804564</t>
  </si>
  <si>
    <t>ANALISTA DEL MODULO DE INTEROPERABILIDAD</t>
  </si>
  <si>
    <t>MECANICO DE COMUNICACIONES</t>
  </si>
  <si>
    <t>ESPECIALISTA EN SOPORTE  DE EQUIPOS DE RADIO PARA LAS COMUNICACIONES DE EMERGENCIA.</t>
  </si>
  <si>
    <t>OSORIO RAMIREZ OMAR OLIVER</t>
  </si>
  <si>
    <t>42616976</t>
  </si>
  <si>
    <t>ASISTENTE EN COOPERACIÓN INTERNACIONAL</t>
  </si>
  <si>
    <t>INGENIERO FORESTAL Y DEL MEDIO AMBIENTE</t>
  </si>
  <si>
    <t>ORTIZ SAAVEDRA OSCAR MIGUEL</t>
  </si>
  <si>
    <t>43681856</t>
  </si>
  <si>
    <t>ORTIZ MENDEZ JOSUE BERNARDO</t>
  </si>
  <si>
    <t>48018011</t>
  </si>
  <si>
    <t>TÉCNICO ADMINISTRATIVO(A) EN GESTIÓN DEL RIESGO DE DESASTRE</t>
  </si>
  <si>
    <t>ORTIZ MENDEZ JOSE LUIS</t>
  </si>
  <si>
    <t>09875430</t>
  </si>
  <si>
    <t>IMGENIERIA FORESTAL Y DEL MEDIO AMBIENTE</t>
  </si>
  <si>
    <t>ORTIZ GARCIA JORGE LUIS</t>
  </si>
  <si>
    <t>00250891</t>
  </si>
  <si>
    <t>CORONEL EP ( R )</t>
  </si>
  <si>
    <t>ORTEGA TORRES EDGAR FORTUNATO</t>
  </si>
  <si>
    <t>09455328</t>
  </si>
  <si>
    <t>ORELLANA PEREZ ELBER</t>
  </si>
  <si>
    <t>28602547</t>
  </si>
  <si>
    <t>ESPECIALISTA EN PROYECTOS DE INVERSIÓN PÚBLICA</t>
  </si>
  <si>
    <t>ORE HERRERA OSCAR MANUEL</t>
  </si>
  <si>
    <t>21528814</t>
  </si>
  <si>
    <t>ESPEC. EN GRD - RESPUESTA</t>
  </si>
  <si>
    <t>ORDOÑEZ TORRES, VANIA</t>
  </si>
  <si>
    <t>46115782</t>
  </si>
  <si>
    <t>CIENCIAS SOCIALES: HISTORIA</t>
  </si>
  <si>
    <t>CIENCIAS SOCIALES- HISTORI</t>
  </si>
  <si>
    <t>OLORTEGUI SOLIS SHEILA SABINA</t>
  </si>
  <si>
    <t>10797351</t>
  </si>
  <si>
    <t>OLIVA TORRES CRISTIAN PAUL</t>
  </si>
  <si>
    <t>40485512</t>
  </si>
  <si>
    <t>ÑUÑUVERO CUEVA OLENKA DIONETH</t>
  </si>
  <si>
    <t>71439855</t>
  </si>
  <si>
    <t>NEYRA MUÑOZ LUIS ALBERTO</t>
  </si>
  <si>
    <t>43299356</t>
  </si>
  <si>
    <t>CONTABILIDAD COMPUTARIZADA</t>
  </si>
  <si>
    <t>NAPURI GUZMAN CESAR AUGUSTO</t>
  </si>
  <si>
    <t>06672836</t>
  </si>
  <si>
    <t>TECNICO ESPECIALIZADO EN SEGUROS GENERALES</t>
  </si>
  <si>
    <t>NACARINO RODRIGUEZ CARLOS WALTER</t>
  </si>
  <si>
    <t>43664858</t>
  </si>
  <si>
    <t>PRIMARIA COMPLETA</t>
  </si>
  <si>
    <t>MUÑOZ SANCHEZ ROSA AMELIA</t>
  </si>
  <si>
    <t>41675685</t>
  </si>
  <si>
    <t>TEC. DE MANT. Y   APOYO ADMIN.</t>
  </si>
  <si>
    <t>MUÑOZ DELGADO MARGARITA</t>
  </si>
  <si>
    <t>43309446</t>
  </si>
  <si>
    <t>ESPECIALISTA EN RELACIONES PUBLICAS</t>
  </si>
  <si>
    <t>MUÑA LOPEZ PIKER</t>
  </si>
  <si>
    <t>44417810</t>
  </si>
  <si>
    <t>INGENIERIO INFORMATICO Y SISTEMAS</t>
  </si>
  <si>
    <t>INGENIERIA DE SISTEMAS E INFORMATICA</t>
  </si>
  <si>
    <t>MUNARES HURTADO ALFREDO MAXIMO</t>
  </si>
  <si>
    <t>09051320</t>
  </si>
  <si>
    <t>ESPECIALISTA EN DESARROLLO DE SISTEMAS</t>
  </si>
  <si>
    <t>MULATILLO MENDOZA JESUS ALEXANDER</t>
  </si>
  <si>
    <t>41121956</t>
  </si>
  <si>
    <t>APOYO AL MÓDULO DE OPERACIONES</t>
  </si>
  <si>
    <t>MORON HUAMAN DANIEL GUSTAVO</t>
  </si>
  <si>
    <t>70239999</t>
  </si>
  <si>
    <t>INGENIERO GEOGRAFICA AMBIENTAL</t>
  </si>
  <si>
    <t>ING. GEOGRAFO</t>
  </si>
  <si>
    <t>MORENO TAPIA, MARCO ANDRES</t>
  </si>
  <si>
    <t>44583626</t>
  </si>
  <si>
    <t>ESPECIALISTA EN REDUCCION DE VULNERABILIDAD EN LA GESTION REACTIVA</t>
  </si>
  <si>
    <t xml:space="preserve">MORALES NEYRA JOEL STEVEN </t>
  </si>
  <si>
    <t>70334386</t>
  </si>
  <si>
    <t>MORALES GAGO FABRICIO FRANCO</t>
  </si>
  <si>
    <t>46109297</t>
  </si>
  <si>
    <t>ANALISTA DE BIENES DE AYUDA HUMANITARIA</t>
  </si>
  <si>
    <t>MORALES DURAND HUGO CHARLES</t>
  </si>
  <si>
    <t>09031783</t>
  </si>
  <si>
    <t>MORALES CORNEJO ABEL JESUS</t>
  </si>
  <si>
    <t>47139038</t>
  </si>
  <si>
    <t>ASISTENTE DE CONTENIDO AUDI</t>
  </si>
  <si>
    <t>MORALES AYALA WILDER NILTON</t>
  </si>
  <si>
    <t>43909219</t>
  </si>
  <si>
    <t>MONTES CHIRA THALITA CUNNY</t>
  </si>
  <si>
    <t>74167986</t>
  </si>
  <si>
    <t>MONTERO PURIZACA SHIRLY VERÓNICA</t>
  </si>
  <si>
    <t>COORDINADORA DE LA DIRECCIÓN DE DESARROLLO Y FORTALECIMIENTO DE CAPACIDADES HUMANAS</t>
  </si>
  <si>
    <t>COMERCIO Y NEGOCIOS INTERNACIONALES</t>
  </si>
  <si>
    <t>MONTENEGRO HERRERA, JOSE ARMANDO</t>
  </si>
  <si>
    <t>45048553</t>
  </si>
  <si>
    <t>ANALISTA EN SEGUIMIENTO Y MONITOREO</t>
  </si>
  <si>
    <t>ESTADISTICA</t>
  </si>
  <si>
    <t>MONTENEGRO CANARIO SANTIAGO SALVADOR</t>
  </si>
  <si>
    <t>10336395</t>
  </si>
  <si>
    <t>ESPEC. EN APLICACIONES ESTADISTICAS DE LA GESTIÓN REACTIVA</t>
  </si>
  <si>
    <t>MOLINARI PORTAL CARLOS NARCIZO</t>
  </si>
  <si>
    <t>06778198</t>
  </si>
  <si>
    <t>CIENCIAS CONTABLES Y FINANZAS CORPORATIVAS</t>
  </si>
  <si>
    <t>BACH. EN CONTABILIDAD</t>
  </si>
  <si>
    <t>MOLINA CAYO, GUIDO ENRIQUE</t>
  </si>
  <si>
    <t>45940479</t>
  </si>
  <si>
    <t>MOGROVEJO FLORES ANDRES JAIME</t>
  </si>
  <si>
    <t>45410905</t>
  </si>
  <si>
    <t>MISAHUAMAN HUARIPATA RUTH NOEMI</t>
  </si>
  <si>
    <t>43756231</t>
  </si>
  <si>
    <t>MIRANDA HUAMAN CARLOS ALFONSO</t>
  </si>
  <si>
    <t>41225548</t>
  </si>
  <si>
    <t>ANALISTA EN PROGRAMACION Y PRESUPUESTO</t>
  </si>
  <si>
    <t>MIRANDA GOMEZ LEONARD ANTONIO</t>
  </si>
  <si>
    <t>08887915</t>
  </si>
  <si>
    <t>MINAYA MEDINA, CARLA MARIA</t>
  </si>
  <si>
    <t>45697539</t>
  </si>
  <si>
    <t>MILUTINOVICH MOLINA STEVEN</t>
  </si>
  <si>
    <t>47595621</t>
  </si>
  <si>
    <t xml:space="preserve"> ELECTRICISTA INSTALADOREDIFICACIONES</t>
  </si>
  <si>
    <t>TECNICO ELECTRICISTA INSTALADOR EN EDIFICACIONES</t>
  </si>
  <si>
    <t xml:space="preserve">MILIAN REQUEJO LUIS ODAR </t>
  </si>
  <si>
    <t>43114650</t>
  </si>
  <si>
    <t>OPERADOR TÉCNICO ELECTRICISTA</t>
  </si>
  <si>
    <t>MICHAELSEN QUISPE PEDRO</t>
  </si>
  <si>
    <t>04435466</t>
  </si>
  <si>
    <t>INGENIERÌA DE INFORMATICA Y SISTEMAS</t>
  </si>
  <si>
    <t>MICHA CARDENAS YANINA JACKELINE</t>
  </si>
  <si>
    <t>40253387</t>
  </si>
  <si>
    <t>ESPECIALISTA EN SOPORTE DE SISTEMAS INFORMÁTICOS Y PROCESOS.</t>
  </si>
  <si>
    <t>MERCADO VALERA JANET ROXANA</t>
  </si>
  <si>
    <t>42218979</t>
  </si>
  <si>
    <t>MENDOZA VEGA BRYAN NELSON</t>
  </si>
  <si>
    <t>72529990</t>
  </si>
  <si>
    <t>MENDOZA MACEDO GIMES</t>
  </si>
  <si>
    <t>44235804</t>
  </si>
  <si>
    <t>ESPECIALISTA EN MODULO DE SOPORTE TECNICO ADMINISTRATIVO</t>
  </si>
  <si>
    <t>ESPEC. EN FORMULACIÓN DE PROYECTOS</t>
  </si>
  <si>
    <t>LIC. CIENCIAS ADMINISTRATIVAS</t>
  </si>
  <si>
    <t>MENDOZA JARAMILLO YASEMINI GUILIANA</t>
  </si>
  <si>
    <t>03491490</t>
  </si>
  <si>
    <t xml:space="preserve">SECUNDARIA COMPLETA  </t>
  </si>
  <si>
    <t xml:space="preserve">MENDOZA CASILLAS JESUS MANUEL </t>
  </si>
  <si>
    <t>29481626</t>
  </si>
  <si>
    <t>CONDUCTOR</t>
  </si>
  <si>
    <t>MENDOZA BARRUETO GABRIELA ALEXANDRA</t>
  </si>
  <si>
    <t>71200202</t>
  </si>
  <si>
    <t>MEJIA MEJIA EMILIO GONZALO</t>
  </si>
  <si>
    <t>40590165</t>
  </si>
  <si>
    <t>ESPECIALISTA EN EL MÓDULO EVALUADOR</t>
  </si>
  <si>
    <t>INGENIERO GEOLOGICA</t>
  </si>
  <si>
    <t>ING. GEOLOGO</t>
  </si>
  <si>
    <t>MEDINA ORDOÑEZ MARIO JESÚS</t>
  </si>
  <si>
    <t>46395397</t>
  </si>
  <si>
    <t>INGENIERO AUXILIAR EN VERIFICACIÓN, EVALUACIÓN Y SEGUIMIENTO</t>
  </si>
  <si>
    <t>MEDINA ORDOÑEZ MARIO JESUS</t>
  </si>
  <si>
    <t>MEDINA CHANGRA JAVIER RAUL</t>
  </si>
  <si>
    <t>09931434</t>
  </si>
  <si>
    <t>TÉCNICO DEL MÓDULO DE PRENSA</t>
  </si>
  <si>
    <t>MAZA RAMOS VICTOR JULIO</t>
  </si>
  <si>
    <t>43294126</t>
  </si>
  <si>
    <t>MAYTA CHOQUE JULIAN</t>
  </si>
  <si>
    <t>01320384</t>
  </si>
  <si>
    <t>MATEO MANSILLA CESAR AUGUSTO</t>
  </si>
  <si>
    <t>09850393</t>
  </si>
  <si>
    <t>TECN.EN GESTION/ESPECIAL. TRAM.DOCUMENT.</t>
  </si>
  <si>
    <t>MATAMOROS QUISPE, EDGAR</t>
  </si>
  <si>
    <t>47335376</t>
  </si>
  <si>
    <t xml:space="preserve">MARTOS MARIN WALTER </t>
  </si>
  <si>
    <t>44691676</t>
  </si>
  <si>
    <t>ANALISTA EN COMUNICACIÓN EDUCATIVA</t>
  </si>
  <si>
    <t>MARTINEZ VARGAS ELMER ALBERTO</t>
  </si>
  <si>
    <t>43305886</t>
  </si>
  <si>
    <t>MARTINEZ MARTINEZ JORGE LUIS</t>
  </si>
  <si>
    <t>40740831</t>
  </si>
  <si>
    <t xml:space="preserve">ALMACENERO </t>
  </si>
  <si>
    <t>SECRETARIA EJECUTIVO COMPUTARIZADO</t>
  </si>
  <si>
    <t>SECRETARIADO EJECUTIVO COMPUTARIZADO</t>
  </si>
  <si>
    <t>MARTINEZ CONDEMARIN PAOLA</t>
  </si>
  <si>
    <t>10720002</t>
  </si>
  <si>
    <t xml:space="preserve"> ELECTRONICO</t>
  </si>
  <si>
    <t>MARTEL FLORES ROBERT DANIEL</t>
  </si>
  <si>
    <t>80291032</t>
  </si>
  <si>
    <t>OPERADOR DE COMUNICACIONES</t>
  </si>
  <si>
    <t xml:space="preserve">MARISCAL QUIROZ JUAN MARTÍN </t>
  </si>
  <si>
    <t>43747476</t>
  </si>
  <si>
    <t>COORDINADOR(A) DE GESTIÓN OPERATIVA</t>
  </si>
  <si>
    <t>MANTILLA ÑIQUE JAVIER ALEXANDER</t>
  </si>
  <si>
    <t>47978027</t>
  </si>
  <si>
    <t>ESPECIALISTA DEL MÓDULO DE SOPORTE TÉCNICO ADMINISTRATIVO</t>
  </si>
  <si>
    <t>MAMANI HUARACHA RICHARD</t>
  </si>
  <si>
    <t>40855353</t>
  </si>
  <si>
    <t>TECNICO EN COMPUTACION - BASICO</t>
  </si>
  <si>
    <t>MAMANI CHOQUEHUANCA PLINIO CARLOS</t>
  </si>
  <si>
    <t>41717566</t>
  </si>
  <si>
    <t>MALQUI GONZALEZ JHERSON ERIK</t>
  </si>
  <si>
    <t>70549087</t>
  </si>
  <si>
    <t>ASISTENTE EN PROGRAMACIÓN Y DESARROLLO</t>
  </si>
  <si>
    <t>MALLMA ROSALES BRIYEDA KATIA</t>
  </si>
  <si>
    <t>70114092</t>
  </si>
  <si>
    <t>MACARLUPU ESCOLASTICO MARIA DEL ROSARIO</t>
  </si>
  <si>
    <t>19859866</t>
  </si>
  <si>
    <t>SO 2  TCO.INFANTERIA</t>
  </si>
  <si>
    <t xml:space="preserve">MAC LEAN PEREZ JOSE ANTONIO </t>
  </si>
  <si>
    <t>25844261</t>
  </si>
  <si>
    <t>LUCAR MERCADO JEANPIERRE FERNANDO</t>
  </si>
  <si>
    <t>42082698</t>
  </si>
  <si>
    <t>PESQUERIA</t>
  </si>
  <si>
    <t>LOPEZ RIVAS MARIA DEL CARMEN</t>
  </si>
  <si>
    <t>09751925</t>
  </si>
  <si>
    <t>ESPECIALISTA EN DISEÑO E IMPLEMENTACIÓN DE GESTIÓN DE CALIDAD ISO 9001:9015</t>
  </si>
  <si>
    <t>LOPEZ MATENCIO BETHZABE</t>
  </si>
  <si>
    <t>31045443</t>
  </si>
  <si>
    <t>RESPONSABLE ADMISNITRATIVO</t>
  </si>
  <si>
    <t>LOPEZ AGRAMONTE CHRISTIAN ISIDRO</t>
  </si>
  <si>
    <t>40895715</t>
  </si>
  <si>
    <t>LLONTOP PRECIADO JULISSA NOEMI</t>
  </si>
  <si>
    <t>44458338</t>
  </si>
  <si>
    <t>ESPEC. EN  MÓDULO DE OPERACIONES</t>
  </si>
  <si>
    <t>LLATAS GARCIA SANDRA STEPHANI</t>
  </si>
  <si>
    <t>41386159</t>
  </si>
  <si>
    <t>JEFE</t>
  </si>
  <si>
    <t>LIC. ADMINISTRACIÓN</t>
  </si>
  <si>
    <t>LINO ALVARADO VICTOR MARIO</t>
  </si>
  <si>
    <t>22514276</t>
  </si>
  <si>
    <t>LINARES PEREA YRMA ALIDA</t>
  </si>
  <si>
    <t>29295301</t>
  </si>
  <si>
    <t>ESPEC. EN GRD I</t>
  </si>
  <si>
    <t>LEON RAMOS LIZ CAROL</t>
  </si>
  <si>
    <t>44283798</t>
  </si>
  <si>
    <t>LENGUA TRILLO ANTONIO JESUS</t>
  </si>
  <si>
    <t>06764683</t>
  </si>
  <si>
    <t>AUDITOR ENCARGADO</t>
  </si>
  <si>
    <t>LEIVA CISNEROS LIZBETH</t>
  </si>
  <si>
    <t>45483154</t>
  </si>
  <si>
    <t>LAURENTE CHUQUIYAURI OFELIA</t>
  </si>
  <si>
    <t>10788862</t>
  </si>
  <si>
    <t>LANDERAS VANINI ANA VIRGINIA</t>
  </si>
  <si>
    <t>19081762</t>
  </si>
  <si>
    <t>LAIZA PIO ALEXANDRA</t>
  </si>
  <si>
    <t>73233616</t>
  </si>
  <si>
    <t>INGENIERIA DE SISTEMAS Y COMPUTO</t>
  </si>
  <si>
    <t xml:space="preserve">JOAQUIN APAZA SHEILA </t>
  </si>
  <si>
    <t>43226464</t>
  </si>
  <si>
    <t>ANALISTA PROFESIONAL</t>
  </si>
  <si>
    <t>JOAQUIN APAZA SHEILA</t>
  </si>
  <si>
    <t>JIMENEZ SANCHEZ LENIN IVAN</t>
  </si>
  <si>
    <t>27048829</t>
  </si>
  <si>
    <t>JIMENEZ BARRIOS RONAL JAIME</t>
  </si>
  <si>
    <t>29714805</t>
  </si>
  <si>
    <t>ESPECIALISTA EN FORMULAC. FICHAS TÉC. DE EMERG.</t>
  </si>
  <si>
    <t>CONTADORA PUBLICA</t>
  </si>
  <si>
    <t>ITURRARAN GARCIA MARIA ROCIO DEL PILAR</t>
  </si>
  <si>
    <t>07342421</t>
  </si>
  <si>
    <t>IRIGOYEN CARBAJAL PAOLA JESSICA</t>
  </si>
  <si>
    <t>09852585</t>
  </si>
  <si>
    <t>IGNACIO TANCHIVA PERCY ANGEL</t>
  </si>
  <si>
    <t>75261273</t>
  </si>
  <si>
    <t>IDROGO GRANDA LUIS ALBERTO</t>
  </si>
  <si>
    <t>41554301</t>
  </si>
  <si>
    <t>AUXILIAR LOGISTICO</t>
  </si>
  <si>
    <t>DISEÑO GRÁFICO</t>
  </si>
  <si>
    <t>DISEÑOR GRÁFICO</t>
  </si>
  <si>
    <t>IBARRA BOLIVAR PAUL ANTONHY</t>
  </si>
  <si>
    <t>07636270</t>
  </si>
  <si>
    <t>TÉCNICO DE PLATAFORMA VIRTUAL</t>
  </si>
  <si>
    <t>HUANGAL ESPINAL WILMER MIGUEL</t>
  </si>
  <si>
    <t>80079185</t>
  </si>
  <si>
    <t>SECRETARIO(A) TÉCNICO DE LOS ÓRGANOS INSTRUCTORES DEL PROCEDIMIENTO ADMINISTRATIVO DISCIPLINARIO</t>
  </si>
  <si>
    <t>HUAMANI BUSTAMANTE PEDRO EDILBERTO</t>
  </si>
  <si>
    <t>00905838</t>
  </si>
  <si>
    <t>OPERADOR Y CUST.VEHIC.</t>
  </si>
  <si>
    <t>HUAMANGUILLAS VENERO PERCY</t>
  </si>
  <si>
    <t>25012662</t>
  </si>
  <si>
    <t>TECNICO OPERATIVO EN GESTION DE BIENES DE AYUDA HUMANITARIA</t>
  </si>
  <si>
    <t>HUAMAN YSLA LOURDES RICARDINA</t>
  </si>
  <si>
    <t>46442264</t>
  </si>
  <si>
    <t>ESPECIALISTA EN PROCESO DE SELECCIÓN</t>
  </si>
  <si>
    <t>CARRERA TECNICA DE DISEÑO GRAFICO MULTIMEDIA</t>
  </si>
  <si>
    <t>DISEÑO GRAFICO Y MULTIMEDIA</t>
  </si>
  <si>
    <t>HUAMAN RODRIGUEZ AMADEO</t>
  </si>
  <si>
    <t>40140489</t>
  </si>
  <si>
    <t>ASIST. DE PRODUCC.Y POST PRODUC. AUDIOVISUAL</t>
  </si>
  <si>
    <t/>
  </si>
  <si>
    <t>HUAMAN POZO JHOSEP CRHISTIAN</t>
  </si>
  <si>
    <t>74762068</t>
  </si>
  <si>
    <t>LINGÜÍSTICA</t>
  </si>
  <si>
    <t>HUALPA TRISTÁN HENY CELIA</t>
  </si>
  <si>
    <t>09914727</t>
  </si>
  <si>
    <t>HORNA LOLOY ANGEL FRANCISCO</t>
  </si>
  <si>
    <t>17811272</t>
  </si>
  <si>
    <t>AUDITOR  I</t>
  </si>
  <si>
    <t>INGENIERÍA GEOLÓGICA</t>
  </si>
  <si>
    <t>HINOJOSA GASPAR LUCERO MELANI</t>
  </si>
  <si>
    <t>70760596</t>
  </si>
  <si>
    <t>INGENIERÍA GEOOÓGICA</t>
  </si>
  <si>
    <t>AUXILIAR EN GESTION DE RIESGO DEL DESASTRE</t>
  </si>
  <si>
    <t xml:space="preserve">HIDALGO TORREJÓN FRANKLIN ESTEBAN </t>
  </si>
  <si>
    <t>43246791</t>
  </si>
  <si>
    <t>COORDINADOR EN MONITOREO Y ALERTA TEMPRANA</t>
  </si>
  <si>
    <t>HERRERA RUESTA KARIM VIOLETA</t>
  </si>
  <si>
    <t>02892329</t>
  </si>
  <si>
    <t>HERRADA HERRERA CUNEGUNDA GRACIELA</t>
  </si>
  <si>
    <t>17907208</t>
  </si>
  <si>
    <t>DENTISTA</t>
  </si>
  <si>
    <t>HERRADA ALVA KAREN DIANNE</t>
  </si>
  <si>
    <t>72499707</t>
  </si>
  <si>
    <t>ESPECIALISTA DEL MÓDULO INTERSECTORIAL</t>
  </si>
  <si>
    <t>HERNANDEZ JIMENEZ MARIA VICTORIA</t>
  </si>
  <si>
    <t>16473065</t>
  </si>
  <si>
    <t>EDUCACION PRIMARIA</t>
  </si>
  <si>
    <t>HERMITAÑO SOTO, LUZ VIOLETA</t>
  </si>
  <si>
    <t>43000023</t>
  </si>
  <si>
    <t>ASISTENTE EN GESTION DEL RIESGO DE DESASTRES</t>
  </si>
  <si>
    <t xml:space="preserve">HERMITAÑO SOTO LUZ VIOLETA </t>
  </si>
  <si>
    <t>ANALISTA EN GESTION DEL RIESGO DE DESASTRES</t>
  </si>
  <si>
    <t>HENDERSON DIAZ RODDY JOHANN</t>
  </si>
  <si>
    <t>40551354</t>
  </si>
  <si>
    <t>HAYAKAWA REBAZA RUBEN MARTIN</t>
  </si>
  <si>
    <t>43583231</t>
  </si>
  <si>
    <t>ADMINISTRACIÓN Y FINANZAS</t>
  </si>
  <si>
    <t>HAYAKAWA CORDOVA RUBEN ALONSO</t>
  </si>
  <si>
    <t>47121027</t>
  </si>
  <si>
    <t>ASISTENTE DE SERVICIOS GENERALES</t>
  </si>
  <si>
    <t>HARVEY RECHARTE JENNIFER EDITH</t>
  </si>
  <si>
    <t>23834367</t>
  </si>
  <si>
    <t>ESPEC. FORM.FICHAS TECNICAS  DE EMERG.</t>
  </si>
  <si>
    <t>GUTIERREZ IBACETA NIMIA FLORAVEL</t>
  </si>
  <si>
    <t>42792321</t>
  </si>
  <si>
    <t>INGENIERÍA QUIMICA</t>
  </si>
  <si>
    <t>GUTARRA PAUCAR ELADE YOLANDA</t>
  </si>
  <si>
    <t>21134724</t>
  </si>
  <si>
    <t>GUERRERO RUIZ RAMIRO ANTONIO</t>
  </si>
  <si>
    <t>40550612</t>
  </si>
  <si>
    <t>COMPUTACIÓN INFORMÁTICA</t>
  </si>
  <si>
    <t>GUERRERO RUIZ JOSE LUIS</t>
  </si>
  <si>
    <t>44005185</t>
  </si>
  <si>
    <t>GRAUS MESTA, OSCAR MIGUEL</t>
  </si>
  <si>
    <t>42136442</t>
  </si>
  <si>
    <t>GRAUS MESTA CARLOS GUSTAVO</t>
  </si>
  <si>
    <t>17529732</t>
  </si>
  <si>
    <t>ADMINISTRACIÓN DE NEGOCIOS</t>
  </si>
  <si>
    <t>ADMINISTRADOR DE NEGOCIOS</t>
  </si>
  <si>
    <t>GRAU BALAREZO SILVANA DEL SOCORRO</t>
  </si>
  <si>
    <t>71202939</t>
  </si>
  <si>
    <t>GRANARA QUINTOS RENATO</t>
  </si>
  <si>
    <t>70857832</t>
  </si>
  <si>
    <t>ANALISTA EN GESTIÓN ADMINISTRATIVA</t>
  </si>
  <si>
    <t>GRANADOS FERNANDEZ, MANUEL FERNANDO</t>
  </si>
  <si>
    <t>33589243</t>
  </si>
  <si>
    <t>GONZALEZ FIGUEROA JORGE ARTURO</t>
  </si>
  <si>
    <t>16655457</t>
  </si>
  <si>
    <t>GONZALES SANCHEZ ALEJANDRINO ARTURO</t>
  </si>
  <si>
    <t>06010456</t>
  </si>
  <si>
    <t>COORDINADOR ESPEC. EN MODERNIZACIÓN Y DESCENTRALIZACIÓN</t>
  </si>
  <si>
    <t>GONZALES LOPEZ VICTOR MANUEL</t>
  </si>
  <si>
    <t>40435300</t>
  </si>
  <si>
    <t>ESPECIALISTA EN MOVILIZACIÓN PARA LA RESPUESTA</t>
  </si>
  <si>
    <t>PROFES.TECNICO EN COMPUTACION E INFORMATICA/BACH. EN EDUCACION</t>
  </si>
  <si>
    <t xml:space="preserve">GONZALES GUAYAN LUIS </t>
  </si>
  <si>
    <t>43135496</t>
  </si>
  <si>
    <t>GONZALES ESPINOZA WALTER EDGARDO</t>
  </si>
  <si>
    <t>43329599</t>
  </si>
  <si>
    <t>ENCARGADO DE SEGUIMIENTO OPERACIONAL</t>
  </si>
  <si>
    <t>GIL PAREDES LISBET YAMELYN</t>
  </si>
  <si>
    <t>45907308</t>
  </si>
  <si>
    <t>GARCIA VILLACORTA CLAUDIO JERZY</t>
  </si>
  <si>
    <t>00954605</t>
  </si>
  <si>
    <t>GARCIA MEGO JHONY SAMUEL</t>
  </si>
  <si>
    <t>44416918</t>
  </si>
  <si>
    <t>ESPECIALISTA EN GESTION DEL RIESGO DE DESASTRE</t>
  </si>
  <si>
    <t>GARCIA HURTADO FERY FRANCO</t>
  </si>
  <si>
    <t>20037449</t>
  </si>
  <si>
    <t>ESPECIAL. EN DELEGADURAS AD HOC</t>
  </si>
  <si>
    <t>GARCÍA ECHEVARRIA, YOSELIN CARY</t>
  </si>
  <si>
    <t>42960888</t>
  </si>
  <si>
    <t>GARCIA ECHEVARRIA YOSELIN CARY</t>
  </si>
  <si>
    <t>INGENIERIA DE SISTEMAS (ESTUDIANTE)</t>
  </si>
  <si>
    <t>GARCIA CORTAVITARTE MILNER VICENTE</t>
  </si>
  <si>
    <t>10473434</t>
  </si>
  <si>
    <t>ADMINISTRADOR DE LA RED</t>
  </si>
  <si>
    <t>GARATE ROSAS, JOSE FIDEL</t>
  </si>
  <si>
    <t xml:space="preserve">02655486 </t>
  </si>
  <si>
    <t>ADMINISTRACION EN TURISMO</t>
  </si>
  <si>
    <t xml:space="preserve">GAMERO MARTINEZ ANGELA CECILIA </t>
  </si>
  <si>
    <t>45368281</t>
  </si>
  <si>
    <t>ANALISTA EN COOPERACION INTERNACIONAL</t>
  </si>
  <si>
    <t>FLORES RIOS RITA PAOLA</t>
  </si>
  <si>
    <t>40675811</t>
  </si>
  <si>
    <t xml:space="preserve">FLORES CAMIÑAS IVI NAYU </t>
  </si>
  <si>
    <t>40194465</t>
  </si>
  <si>
    <t>FLORES  CARDENAS JESUS ANTONIO</t>
  </si>
  <si>
    <t>47490352</t>
  </si>
  <si>
    <t>TÉCNICO EN LOGÍSTICA</t>
  </si>
  <si>
    <t>FERRER VEGA LIZBHET LORENA</t>
  </si>
  <si>
    <t>73666448</t>
  </si>
  <si>
    <t>ING. PESQUERO</t>
  </si>
  <si>
    <t>FERRER RECARTE MIGUEL ANGEL</t>
  </si>
  <si>
    <t>06657605</t>
  </si>
  <si>
    <t>ESPECIALISTA DE DESARROLLO Y FORTALECIMIENTO DE CAPACIDADES</t>
  </si>
  <si>
    <t>FERREL ZEBALLOS NILTON REYNALDO</t>
  </si>
  <si>
    <t>29415373</t>
  </si>
  <si>
    <t>FERNANDEZ RAMOS ROY GABRIEL</t>
  </si>
  <si>
    <t>42779211</t>
  </si>
  <si>
    <t>ESPECIALISTA DEL MÓDULO DE INTEROPERABILIDAD</t>
  </si>
  <si>
    <t>FERNANDEZ PORTOCARRERO MARCO ANTONIO</t>
  </si>
  <si>
    <t>10202035</t>
  </si>
  <si>
    <t>TECNICO ESPECIALIZADO EN LOGISTICA</t>
  </si>
  <si>
    <t>INVESTIGACION OPERATIVA</t>
  </si>
  <si>
    <t>FERNANDEZ LOPEZ, SONIA ELSELINA</t>
  </si>
  <si>
    <t>08011730</t>
  </si>
  <si>
    <t>ESPECIALISTA EN MODERNIZACIÓN DE LA GESTION PÚBLICA</t>
  </si>
  <si>
    <t>ESTUDIOS DE EDUCACION :INICIAL-PRIMARIA</t>
  </si>
  <si>
    <t>FERNANDEZ ESCOBAR WALTER ROBERTO</t>
  </si>
  <si>
    <t>09978187</t>
  </si>
  <si>
    <t>FARRO SIRLOPU ALEX</t>
  </si>
  <si>
    <t>17588480</t>
  </si>
  <si>
    <t>ESPEC. FORMULAC. DE FICH. TECN.</t>
  </si>
  <si>
    <t>ESPINOZA BARRIENTOS NELSON</t>
  </si>
  <si>
    <t>33590775</t>
  </si>
  <si>
    <t>ESPINO BACA HUGO ADOLFO</t>
  </si>
  <si>
    <t>10476258</t>
  </si>
  <si>
    <t>ESPECIALISTA EN GESTIÓN DE RIESGO DE DESASTRES</t>
  </si>
  <si>
    <t xml:space="preserve">ESCUDERO FLORES HECTOR ALFONSO </t>
  </si>
  <si>
    <t>41125310</t>
  </si>
  <si>
    <t>LICENCIADA EN GESTION</t>
  </si>
  <si>
    <t>ECHEVERRIA PARIONI LUCY MARYBEL</t>
  </si>
  <si>
    <t>08119765</t>
  </si>
  <si>
    <t>ANALISTA EN CONVENIOS INSTITUCIONALES</t>
  </si>
  <si>
    <t>ECHEGARAY PACHECO CESAR DALMIRO</t>
  </si>
  <si>
    <t>43662332</t>
  </si>
  <si>
    <t>DURAN HUAMAN LEONCIO</t>
  </si>
  <si>
    <t>23880277</t>
  </si>
  <si>
    <t>DOMINGUEZ PALPA JESUS JOSUE</t>
  </si>
  <si>
    <t>22481410</t>
  </si>
  <si>
    <t>DOMINGUEZ DAVILA ABRAHAM</t>
  </si>
  <si>
    <t>04222839</t>
  </si>
  <si>
    <t>DIPAS MEDINA MARLENY</t>
  </si>
  <si>
    <t>42944352</t>
  </si>
  <si>
    <t>ADMINISTRACIÓN Y NEGOCIOS INTERNACIONALES</t>
  </si>
  <si>
    <t>DIAZ TORRES RODRIGO FRANCISCO ULISES</t>
  </si>
  <si>
    <t>72802705</t>
  </si>
  <si>
    <t>ASISTENTE DE RECURSOS HUMANOS</t>
  </si>
  <si>
    <t>DIAZ POLO, GRISSEL DORA LUISA</t>
  </si>
  <si>
    <t>46482396</t>
  </si>
  <si>
    <t>DIAZ DAGNINO PEDRO LUIS PASCUAL</t>
  </si>
  <si>
    <t>43663005</t>
  </si>
  <si>
    <t>DEZA ACEVEDO RAUL FELIPE</t>
  </si>
  <si>
    <t>17820369</t>
  </si>
  <si>
    <t xml:space="preserve">DELGADO RODRIGUEZ PEDRO ESTEBAN </t>
  </si>
  <si>
    <t>45799469</t>
  </si>
  <si>
    <t>TECNICO EN GESTION DE REDES SOCIALES</t>
  </si>
  <si>
    <t>DELGADO LAYME HECTOR MARTIN</t>
  </si>
  <si>
    <t>23937761</t>
  </si>
  <si>
    <t>APOYO A LA UNIDAD DE  CAPACITACIÓN</t>
  </si>
  <si>
    <t>DEL POZO MORENO JESUS ALEJANDRO</t>
  </si>
  <si>
    <t>22272378</t>
  </si>
  <si>
    <t>ANALISTA DE TESORERÍA</t>
  </si>
  <si>
    <t>DEL ALAMO BENAVENTE FRANCISCO JAVIER</t>
  </si>
  <si>
    <t>43324893</t>
  </si>
  <si>
    <t>DE LAMA INFANTE JORGE LUIS</t>
  </si>
  <si>
    <t>43317455</t>
  </si>
  <si>
    <t>EDUCACON</t>
  </si>
  <si>
    <t>DE LA CRUZ DIAZ OSCAR SANTOS</t>
  </si>
  <si>
    <t>31682687</t>
  </si>
  <si>
    <t>DAVILA VASQUEZ MILAGROS DEL PILAR</t>
  </si>
  <si>
    <t>42040461</t>
  </si>
  <si>
    <t>ESPEC. EN MOD. DE EVALUADOR  II</t>
  </si>
  <si>
    <t>DAVILA RIVERA PEDRO RICARDO ALEJANDRO</t>
  </si>
  <si>
    <t>41722558</t>
  </si>
  <si>
    <t>DAVILA RIOS RICCARDO FRANCESCO</t>
  </si>
  <si>
    <t>71274099</t>
  </si>
  <si>
    <t>INGENIERO ANALISTA DE VERIFICACIÓN, EVALUACION Y SEGUIMIENTO</t>
  </si>
  <si>
    <t>COMPUTACIÓN E INFORMATICO</t>
  </si>
  <si>
    <t>DAVILA ARQUINIGO MELANIO EMILIANO</t>
  </si>
  <si>
    <t>06248318</t>
  </si>
  <si>
    <t>TÉCNICO EN SOPORTE INFORMÁTICO</t>
  </si>
  <si>
    <t>CUYA  ESCRIBA CESAR AUGUSTO</t>
  </si>
  <si>
    <t>10753665</t>
  </si>
  <si>
    <t>CURIPACO MARTINEZ HENRY</t>
  </si>
  <si>
    <t>45805886</t>
  </si>
  <si>
    <t>CUNO VERA BORIS ALBERTO</t>
  </si>
  <si>
    <t>24485494</t>
  </si>
  <si>
    <t>CUETO CAMPOS, LUIS MANUEL</t>
  </si>
  <si>
    <t>75115571</t>
  </si>
  <si>
    <t xml:space="preserve">ASISTENTE EN GESTIÓN DE RIESGO DE DESASTRES </t>
  </si>
  <si>
    <t xml:space="preserve"> CONTADOR MERCANTIL</t>
  </si>
  <si>
    <t>CONTADOR MERCANTIL</t>
  </si>
  <si>
    <t>CUBAS CORREA OSCAR URBANO</t>
  </si>
  <si>
    <t>17868266</t>
  </si>
  <si>
    <t>CUADROS ORDAYA IVAN DANIEL</t>
  </si>
  <si>
    <t>10422072</t>
  </si>
  <si>
    <t>ESPEC. SOPORT. TEC. INFORM.</t>
  </si>
  <si>
    <t>CUADRADO ORTIZ DINA CRISTINA</t>
  </si>
  <si>
    <t>73150847</t>
  </si>
  <si>
    <t>ASISTENTE DE PRODUCCION Y POST PRODUCCION</t>
  </si>
  <si>
    <t>CRUZADO CAJAN HECTOR GIANCARLO</t>
  </si>
  <si>
    <t>47518651</t>
  </si>
  <si>
    <t>TECNICA DE ADMINISTRACION</t>
  </si>
  <si>
    <t>TEC. EN ADMINISTRACON</t>
  </si>
  <si>
    <t>CRUZ MARCHAN GERSON EFRAIN</t>
  </si>
  <si>
    <t>41399983</t>
  </si>
  <si>
    <t>TECNICO DE ALMACEN</t>
  </si>
  <si>
    <t>CRUCHAGA MERCEDES EMERITO HIPOLITO</t>
  </si>
  <si>
    <t>17867833</t>
  </si>
  <si>
    <t>CRISPIN ESPINOZA EUSEBIO</t>
  </si>
  <si>
    <t>23272220</t>
  </si>
  <si>
    <t>ESPECIALISTA EN ANÁLISIS CONTABLE</t>
  </si>
  <si>
    <t>COZ TUCTO ROOSVELT</t>
  </si>
  <si>
    <t>72368042</t>
  </si>
  <si>
    <t>INGENIERÍA AGRÍCOLA</t>
  </si>
  <si>
    <t>COZ APUMAYTA ROSARIO DEL PILAR</t>
  </si>
  <si>
    <t>19875403</t>
  </si>
  <si>
    <t>INGENIERA AGRICOLA</t>
  </si>
  <si>
    <t>CORTIJO ZARATE ERIK MARTIN</t>
  </si>
  <si>
    <t>07254146</t>
  </si>
  <si>
    <t>CORTEZ CESPEDES CARLOS ALEJANDRO</t>
  </si>
  <si>
    <t>70051075</t>
  </si>
  <si>
    <t>ESPECIALISTA DEL MÓDULO EVALUADOR</t>
  </si>
  <si>
    <t>CORREA MONTEZA ALEJANDRO</t>
  </si>
  <si>
    <t>40298763</t>
  </si>
  <si>
    <t xml:space="preserve"> ELECTRONICO (SIN TITULAR)</t>
  </si>
  <si>
    <t>CORONADO ELLIOT JOAQUIN SANTIAGO</t>
  </si>
  <si>
    <t>10309013</t>
  </si>
  <si>
    <t>ESPEC.EN SOPORT. TEC. INFORMÁTICO</t>
  </si>
  <si>
    <t>CORNETERO SEVILLA JOSE ANGEL</t>
  </si>
  <si>
    <t>09916811</t>
  </si>
  <si>
    <t>CORNEJO ARRIETA DIEGO ALONSO</t>
  </si>
  <si>
    <t>47587501</t>
  </si>
  <si>
    <t>CORDOVA RUIZ MARLON MIGUEL</t>
  </si>
  <si>
    <t>42899274</t>
  </si>
  <si>
    <t>LIC. EN ADMINISTRACION</t>
  </si>
  <si>
    <t>CORDOVA LOPEZ MANUEL ALEJANDRO</t>
  </si>
  <si>
    <t>05394159</t>
  </si>
  <si>
    <t>CORAL SOTELO NESTOR MISAEL</t>
  </si>
  <si>
    <t>43315475</t>
  </si>
  <si>
    <t>CONZA DELGADO GIOVANNA HIGIDIA</t>
  </si>
  <si>
    <t>29580061</t>
  </si>
  <si>
    <t>CONTRERAS FIGUEROA JAVIER</t>
  </si>
  <si>
    <t>28273532</t>
  </si>
  <si>
    <t>INGENIERO GEOLOGO</t>
  </si>
  <si>
    <t>CONDORI LOPEZ YVETTE TATIANA</t>
  </si>
  <si>
    <t>47766458</t>
  </si>
  <si>
    <t>INGENIERIA ESTADISTICA E INFORMATICA</t>
  </si>
  <si>
    <t>COLONIA DIAZ MIGUEL ANGEL</t>
  </si>
  <si>
    <t>09934520</t>
  </si>
  <si>
    <t>TECNICO EN ALMACENES</t>
  </si>
  <si>
    <t>INGENIERÍA AMBIENTAL</t>
  </si>
  <si>
    <t>BACHILLER EN ING. AMBIENTAL / PROF. EDUCAC. SECUNDARIA</t>
  </si>
  <si>
    <t>CIRIACO ROSAS EDER AMADO</t>
  </si>
  <si>
    <t>42025374</t>
  </si>
  <si>
    <t xml:space="preserve">CIEZA NUREÑA ZARELA ARACELI </t>
  </si>
  <si>
    <t>46694266</t>
  </si>
  <si>
    <t>INGENIERÍA ELECTRICISTA</t>
  </si>
  <si>
    <t>CHURA SOTO VIDAL</t>
  </si>
  <si>
    <t>24711935</t>
  </si>
  <si>
    <t>ESPECIALISTA EN RESPUESTA</t>
  </si>
  <si>
    <t>CHUNGA ESTRADA JUNIOR ALEXANDER</t>
  </si>
  <si>
    <t>47223477</t>
  </si>
  <si>
    <t>MILITAR EN RETIRO</t>
  </si>
  <si>
    <t>CHUMPITAZ PANDURO JOSE MANUEL</t>
  </si>
  <si>
    <t>10325812</t>
  </si>
  <si>
    <t>ADMINISTRACION Y CS. POLICIALES</t>
  </si>
  <si>
    <t>BACH. EN ADMINISTRACION  Y CIENCIAS POLICIALES</t>
  </si>
  <si>
    <t>CHUMPEN SAAVEDRA EDGAR HONORATO</t>
  </si>
  <si>
    <t>08676871</t>
  </si>
  <si>
    <t>ESPEC. EN MOD. EVAL. II</t>
  </si>
  <si>
    <t>INGENIERÍA GEOGRÁFICA</t>
  </si>
  <si>
    <t>CHOQUE AMACIFUENTES CHRISTIAN</t>
  </si>
  <si>
    <t>73253382</t>
  </si>
  <si>
    <t>ASISTENTE TÉCNICO EN GESTIÓN DEL RIESGO DE DESASTRES</t>
  </si>
  <si>
    <t>INGENIERIA AGRICOLA</t>
  </si>
  <si>
    <t>CHONATE VERGARA CESAR BERNARDINO</t>
  </si>
  <si>
    <t>17531889</t>
  </si>
  <si>
    <t>CHIRRE FLORES MARCOS PALERMO</t>
  </si>
  <si>
    <t>15728312</t>
  </si>
  <si>
    <t>CHILON HUAMANÑAHUI JOSE LUIS</t>
  </si>
  <si>
    <t>10802647</t>
  </si>
  <si>
    <t>AUXILIAR DE ARCHIVO</t>
  </si>
  <si>
    <t>CHICO SARAVIA JEAN OSCAR</t>
  </si>
  <si>
    <t>75311598</t>
  </si>
  <si>
    <t>APOYO AL MODULO DE ANALISIS DE INFORMACION</t>
  </si>
  <si>
    <t>CHAVEZ VIGURIA CARLOS ENRQIUE</t>
  </si>
  <si>
    <t>40377294</t>
  </si>
  <si>
    <t>SECRETARIADO EJECUTIVO COMPUTARIZADO/TEC. CONTABLE</t>
  </si>
  <si>
    <t>TECNCO CONTABLE</t>
  </si>
  <si>
    <t>CHAVEZ TUANAMA ERLITH</t>
  </si>
  <si>
    <t>01146482</t>
  </si>
  <si>
    <t>CHAVEZ BARBERY MYRIAM</t>
  </si>
  <si>
    <t>40157399</t>
  </si>
  <si>
    <t>CESPEDES MORAN EDI MARCO</t>
  </si>
  <si>
    <t>00374311</t>
  </si>
  <si>
    <t>ESPECIALISTA EN GESTIÓN DE INFORMACIÓN</t>
  </si>
  <si>
    <t>CERVANTES LLANGUENTO JHONNY PAUL</t>
  </si>
  <si>
    <t>06567317</t>
  </si>
  <si>
    <t>MANTENIMIENTO ELECTRÓNICO INDUSTRIAL</t>
  </si>
  <si>
    <t>TECNICO EN MANTENIMIENTO ELECTRONICO INDUSTRIAL</t>
  </si>
  <si>
    <t>PERSONAL CALIFICADO EN MANTENIMIENTO</t>
  </si>
  <si>
    <t>CIENCIAS EMPRESARIALES</t>
  </si>
  <si>
    <t>CERVANTES GARCIA NATALY JENIFER</t>
  </si>
  <si>
    <t>73001733</t>
  </si>
  <si>
    <t>CAYLLAHUA CASTRO FREDDY</t>
  </si>
  <si>
    <t>42214292</t>
  </si>
  <si>
    <t>CAYCHO OSORIO TEODORO MARIO</t>
  </si>
  <si>
    <t>10178246</t>
  </si>
  <si>
    <t>CATERIANO DE BELTRAN LUZ VERONICA</t>
  </si>
  <si>
    <t>29238349</t>
  </si>
  <si>
    <t>CASTRO HERRERA LUIS ROLANDO</t>
  </si>
  <si>
    <t>70986067</t>
  </si>
  <si>
    <t>ADMINISTRADOR DE NEGOCIOS INTERNACIONALES</t>
  </si>
  <si>
    <t>CASTILLO MORALES HUGO MIGUEL ANGEL</t>
  </si>
  <si>
    <t>74149170</t>
  </si>
  <si>
    <t>ASISTENTE EN LOGÍSTICA Y ALMACENES</t>
  </si>
  <si>
    <t>CASTILLO LEVA ROXANA DEL PILAR</t>
  </si>
  <si>
    <t>07730881</t>
  </si>
  <si>
    <t>ASISTENTE DE DIRECCIÓN</t>
  </si>
  <si>
    <t>CASTILLO AVILA OSCAR MANUEL</t>
  </si>
  <si>
    <t>32930819</t>
  </si>
  <si>
    <t>CARRANZA MICALAY LUIS ALBERTO</t>
  </si>
  <si>
    <t>25459725</t>
  </si>
  <si>
    <t>INGENIERO  CIVIL</t>
  </si>
  <si>
    <t>CARPIO RODRIGUEZ JAIME</t>
  </si>
  <si>
    <t>41507811</t>
  </si>
  <si>
    <t>CARDENAS CARDENAS DORCAS</t>
  </si>
  <si>
    <t>40117586</t>
  </si>
  <si>
    <t>PROF. EN SEGUIM. Y  SUPERV. EN SERV. BASICOS DE MANTTO.</t>
  </si>
  <si>
    <t>INGENIERO AGROINDUSTRIAL</t>
  </si>
  <si>
    <t xml:space="preserve">CARDENAS BAÑARES FRANK </t>
  </si>
  <si>
    <t>43760192</t>
  </si>
  <si>
    <t>PSICOLOGA</t>
  </si>
  <si>
    <t>CAPURRO LARREA SANDRA NATALIA</t>
  </si>
  <si>
    <t>42561856</t>
  </si>
  <si>
    <t>CANO ALVAREZ HERBERT DARWIN</t>
  </si>
  <si>
    <t>01332442</t>
  </si>
  <si>
    <t>ADMINISTRACION Y GESTION COMERCIAL</t>
  </si>
  <si>
    <t>CANEVARO SESAREGO LUIS ANGEL</t>
  </si>
  <si>
    <t>46552774</t>
  </si>
  <si>
    <t>CANDIA CASTILLO AMILCAR</t>
  </si>
  <si>
    <t>23833453</t>
  </si>
  <si>
    <t>CIENCIAS ECONOMICAS Y COMERCIALES</t>
  </si>
  <si>
    <t>CANDELA MORALES DIGNA CATALINA</t>
  </si>
  <si>
    <t>07036595</t>
  </si>
  <si>
    <t>COORDINAR ESPECIALISTA EN PLANIFICACION</t>
  </si>
  <si>
    <t>DISEÑO</t>
  </si>
  <si>
    <t>TECNICO EN DISEÑO</t>
  </si>
  <si>
    <t>CAMUS FERNANDEZ LUIGGI FRANCO</t>
  </si>
  <si>
    <t>45147198</t>
  </si>
  <si>
    <t>DISEÑADOR GRAFICO</t>
  </si>
  <si>
    <t>DERECHO Y CIENCIAS POLITICAS/CONTABILIDAD</t>
  </si>
  <si>
    <t>CONTADOR PUBLICO / DERECHO CS. POLÍTICAS</t>
  </si>
  <si>
    <t>CAMARENA BONIFACIO MARGOT</t>
  </si>
  <si>
    <t>20101236</t>
  </si>
  <si>
    <t xml:space="preserve">CAMACHO ARIAS WILMAR </t>
  </si>
  <si>
    <t>45659178</t>
  </si>
  <si>
    <t>CALLE HUAYNA AUGUSTO EDGAR</t>
  </si>
  <si>
    <t>41169726</t>
  </si>
  <si>
    <t>CALLE ALZAMORA JAIME RODOLFO</t>
  </si>
  <si>
    <t>02797301</t>
  </si>
  <si>
    <t>CALDERON TORRES FERNANDO ALBERTO</t>
  </si>
  <si>
    <t>43291266</t>
  </si>
  <si>
    <t>ESPECIALISTA EN COOPERACION INTERNACIONAL Y ASISTENCIA HUMANITARIA</t>
  </si>
  <si>
    <t>CAJALEON AMBROSIO MERIL EINSTEIN</t>
  </si>
  <si>
    <t>71716127</t>
  </si>
  <si>
    <t>AUXILIAR EN GESTIÓN DE RIESGOS DE DESASTRES</t>
  </si>
  <si>
    <t>CADILLO QUIÑONES MICHAEL CARL</t>
  </si>
  <si>
    <t>40434860</t>
  </si>
  <si>
    <t>JEFE DE TESORERÍA</t>
  </si>
  <si>
    <t>INFORMÁTICA Y SISTEMAS</t>
  </si>
  <si>
    <t>CACERES LOPEZ JULIO MARIO</t>
  </si>
  <si>
    <t>10281876</t>
  </si>
  <si>
    <t>ANALISTA DE DESARROLLO DE CONTENIDOS EDUCATIVOS EN GESTIÓN DEL RIESGO DE DESASTRES</t>
  </si>
  <si>
    <t>CABRERA ARMAS, CARMEN</t>
  </si>
  <si>
    <t>43944383</t>
  </si>
  <si>
    <t>CABREJOS CARMONA MILAGROS DEL ROSARIO</t>
  </si>
  <si>
    <t xml:space="preserve"> ESPECIALISTA EN PROCESOS FORMATIVOS</t>
  </si>
  <si>
    <t xml:space="preserve"> ADMINISTRATIVO</t>
  </si>
  <si>
    <t>CABALLERO SANCHEZ CHRISTY JACQUELINE</t>
  </si>
  <si>
    <t>10874654</t>
  </si>
  <si>
    <t>TECNICO ESPECIALIZADO EN PROCESOS DE EVALUACIÓN Y SEGUIMIENTO PRESUPUESTAL</t>
  </si>
  <si>
    <t xml:space="preserve">CABALLERO ESQUIVEL PERCY GUSTAVO </t>
  </si>
  <si>
    <t>43333125</t>
  </si>
  <si>
    <t>CIENCIA ESPEC. QUIMICA FÍSICA</t>
  </si>
  <si>
    <t>BUSTAMANTE DURAN MARIA LORENA</t>
  </si>
  <si>
    <t>70254796</t>
  </si>
  <si>
    <t>ESPEC. EN CIENCIAS PARA LA GESTIÓN DEL RIESGO DE DESASTRE</t>
  </si>
  <si>
    <t>BUSTAMANTE ALBUJAR JOSE LUIS</t>
  </si>
  <si>
    <t>09493908</t>
  </si>
  <si>
    <t>BRICEÑO BALTAZAR OLGA DORA</t>
  </si>
  <si>
    <t>06758160</t>
  </si>
  <si>
    <t>BRAVO ALVAREZ LOYER RAUL</t>
  </si>
  <si>
    <t>25526672</t>
  </si>
  <si>
    <t>ESPECIALISTA EN PLANEAMIENTO Y PRESUPUESTO</t>
  </si>
  <si>
    <t>INGENIERÍA ECONÓMICA</t>
  </si>
  <si>
    <t>BRAÑEZ VILCHEZ MONICA ROSA</t>
  </si>
  <si>
    <t>09688706</t>
  </si>
  <si>
    <t>ESPECIALISTA EN PLANIFICACIÓN</t>
  </si>
  <si>
    <t>TURISMO</t>
  </si>
  <si>
    <t>BOMBILLA JURADO CECILIO</t>
  </si>
  <si>
    <t>23880505</t>
  </si>
  <si>
    <t>TECNICO APOYO A LA GRD</t>
  </si>
  <si>
    <t>BOCANEGRA RODRIGUEZ JOSE LUIS</t>
  </si>
  <si>
    <t>18835167</t>
  </si>
  <si>
    <t>TÉNICO EN EL MÓDULO DE OPERACIONES</t>
  </si>
  <si>
    <t xml:space="preserve">BLANCO LUNA EDUARDO </t>
  </si>
  <si>
    <t>08652783</t>
  </si>
  <si>
    <t>AUXILIAR EN ARCHIVO</t>
  </si>
  <si>
    <t>INGENIERO ECONOMISTA</t>
  </si>
  <si>
    <t>BLANCO LOZA WILMAR</t>
  </si>
  <si>
    <t>01855189</t>
  </si>
  <si>
    <t>BLANCO CARMELO RONALD ALBINO</t>
  </si>
  <si>
    <t>07300710</t>
  </si>
  <si>
    <t>BETETA ESPINOZA LUIS EDUARDO</t>
  </si>
  <si>
    <t>47260902</t>
  </si>
  <si>
    <t>AUXILIAR EN DISEÑO GRAFICO</t>
  </si>
  <si>
    <t>BERNARDO TOLEDO JAVIER ANDRES</t>
  </si>
  <si>
    <t>22423929</t>
  </si>
  <si>
    <t>ARCHIVISTICA Y GESTION DOCUMENTAL</t>
  </si>
  <si>
    <t>BENDEZU PINEDA EDUARDO</t>
  </si>
  <si>
    <t>23275259</t>
  </si>
  <si>
    <t>ESPECIALISTA EN ARCHIVISTICA Y GESTION DOCUMENTAL</t>
  </si>
  <si>
    <t>BECERRA DURAND ERIKA MILAGROS</t>
  </si>
  <si>
    <t>43929657</t>
  </si>
  <si>
    <t>ANALISTA DE COOPERACIÓN Y ASUNTOS INTERNACIONALES</t>
  </si>
  <si>
    <t>OPERADOR DEL MODULO INTERSECTORIAL</t>
  </si>
  <si>
    <t>BARRUETA GUTIERREZ ANGEL AUGUSTO</t>
  </si>
  <si>
    <t>06275159</t>
  </si>
  <si>
    <t>BARRIENTOS BUITRON, KARINA</t>
  </si>
  <si>
    <t>28243280</t>
  </si>
  <si>
    <t>BARRANTES RAVELLO, DIEGO DAHLIN</t>
  </si>
  <si>
    <t>74066169</t>
  </si>
  <si>
    <t>INGENIERO AUXILIAR EN VERIFICACION Y EVALUACION</t>
  </si>
  <si>
    <t>BARRANTES RAVELLO DIEGO DAHLIN</t>
  </si>
  <si>
    <t>INGENIERO ANALISTA DE VERIFICACION, EVALUACION Y SEGUIMIENTO</t>
  </si>
  <si>
    <t>COMPUTACIONM E INFORMATICA</t>
  </si>
  <si>
    <t>BANDA MARCELO SEGUNDO CRUZ</t>
  </si>
  <si>
    <t>09885319</t>
  </si>
  <si>
    <t>ESPEC. EN SOPORT. TEC. Y ELECTRON.</t>
  </si>
  <si>
    <t>BALTAZAR FLORES MELINA JHESENIA</t>
  </si>
  <si>
    <t>46112220</t>
  </si>
  <si>
    <t>ESPECIALISTA EN RR.HH</t>
  </si>
  <si>
    <t>AYLAS PALOMINO, MARYSABEL PILAR</t>
  </si>
  <si>
    <t>40182738</t>
  </si>
  <si>
    <t>ESPECIALISTA EN MONITOREO Y SEGUIMIENTO DE PROGRAMAS PRESUPUESTALES</t>
  </si>
  <si>
    <t>ASTOCAZA CHAVEZ FLOR AZUCENA</t>
  </si>
  <si>
    <t>40689610</t>
  </si>
  <si>
    <t>ASPAJO VILLACORTA ARISTIDES</t>
  </si>
  <si>
    <t>42281136</t>
  </si>
  <si>
    <t>ASHIMINE MENDOZA HENRRY LUIS</t>
  </si>
  <si>
    <t>20043926</t>
  </si>
  <si>
    <t>ASENJO FERNANDEZ JORGE BELISARIO</t>
  </si>
  <si>
    <t>06932382</t>
  </si>
  <si>
    <t>ARIZA VELAZQUEZ PEDRO ADRIAN</t>
  </si>
  <si>
    <t>ARGUMEDO GALARZA HUMBERTO MARTIN</t>
  </si>
  <si>
    <t>43562246</t>
  </si>
  <si>
    <t>ANALISTA DE ALMACENES</t>
  </si>
  <si>
    <t>ARGUEDAS BRAVO JORGE LUIS</t>
  </si>
  <si>
    <t>10144897</t>
  </si>
  <si>
    <t>RESPONSABLE DE CAMPAÑAS DE COMUNICACIÓN SOCIAL</t>
  </si>
  <si>
    <t>ARAUJO HUAMÁN GAEL ESTEFANY</t>
  </si>
  <si>
    <t>47689273</t>
  </si>
  <si>
    <t>ARAUJO GONZALES EFRAIN DAVID</t>
  </si>
  <si>
    <t>10721454</t>
  </si>
  <si>
    <t>CONDUCTOR Y CUSTODIO VEHICULAR</t>
  </si>
  <si>
    <t>ARAGON GUTIERREZ MIGUEL ANGEL</t>
  </si>
  <si>
    <t>23964659</t>
  </si>
  <si>
    <t>ADMINISTRACION BANCARIA</t>
  </si>
  <si>
    <t>ANTICONA TELLO JAVIER ALEJANDRO</t>
  </si>
  <si>
    <t>45341224</t>
  </si>
  <si>
    <t>ANGELES CORAL KALONDI YEBEL ROSDAO</t>
  </si>
  <si>
    <t>47443698</t>
  </si>
  <si>
    <t>ANALISTA DE INFORMACIÓN</t>
  </si>
  <si>
    <t>AMBROSIO COZ MILAGRITOS ANGELICA GUADALUPE</t>
  </si>
  <si>
    <t>46793432</t>
  </si>
  <si>
    <t>ANALISTA LEGAL EN COOPERACIÓN NACIONAL E INTERNACIONAL</t>
  </si>
  <si>
    <t>AMABLE TOMIYAMA CRUZ MARIA JUSTINA</t>
  </si>
  <si>
    <t>18139946</t>
  </si>
  <si>
    <t>ALZAMORA DE LOS SANTOS JORGE JUNIOR</t>
  </si>
  <si>
    <t>43087017</t>
  </si>
  <si>
    <t>ALVITES LOPEZ JULIO CESAR</t>
  </si>
  <si>
    <t>06676990</t>
  </si>
  <si>
    <t>CIENCIAS ECONOMICAS Y EMPRESARIALES</t>
  </si>
  <si>
    <t xml:space="preserve">ALVAREZ SOTO ELIZABETH MURIEL </t>
  </si>
  <si>
    <t>44831427</t>
  </si>
  <si>
    <t>ALVARADO CUETO EDGARDO ALDO</t>
  </si>
  <si>
    <t>10550461</t>
  </si>
  <si>
    <t>ALOR MORALES ADELAIDA JUDITH</t>
  </si>
  <si>
    <t>41408834</t>
  </si>
  <si>
    <t>CORONEL DE COMUNICACIONES EP</t>
  </si>
  <si>
    <t>ALMEIDA CARDENAS CLEVER</t>
  </si>
  <si>
    <t>43460984</t>
  </si>
  <si>
    <t>ALIAGA VIVANCO EVA</t>
  </si>
  <si>
    <t>42354766</t>
  </si>
  <si>
    <t>APOYO ADMINISTRATIVO LOGISTICO</t>
  </si>
  <si>
    <t>INGENIERO METALURGICA</t>
  </si>
  <si>
    <t>INGENIERO METALURGISTA</t>
  </si>
  <si>
    <t>ALDAVE RUIZ CESAR ENRIQUE</t>
  </si>
  <si>
    <t>17870216</t>
  </si>
  <si>
    <t>TEC. EN ADMINISTRACION Y SISTEMAS</t>
  </si>
  <si>
    <t>ALDAVE HUAMAN RUDDY JAMIE</t>
  </si>
  <si>
    <t>70439749</t>
  </si>
  <si>
    <t>INGENIERO DE SISTEMAS E INFORMATICA</t>
  </si>
  <si>
    <t>ALARCON GODOY MARTIN CRISTOBAL</t>
  </si>
  <si>
    <t>10810121</t>
  </si>
  <si>
    <t>ESPECIALISTA EN EDUCAION VIRTUAL</t>
  </si>
  <si>
    <t>AGUIRRE HUAMANI SILVIO FLORENCIO</t>
  </si>
  <si>
    <t>29266677</t>
  </si>
  <si>
    <t>ACUÑA MUÑOZ ROSA ELVIRA</t>
  </si>
  <si>
    <t>43745421</t>
  </si>
  <si>
    <t>EST. NO CULMINADOS-EDUCACION SECUNDARIA: EDUC. FISICA</t>
  </si>
  <si>
    <t>ACUÑA MARTINEZ CARLOS YSAAC</t>
  </si>
  <si>
    <t>21420582</t>
  </si>
  <si>
    <t>OPERADOR DE SERVICIO Y CUSTODIO VEHICULAR</t>
  </si>
  <si>
    <t>ACUÑA CORREA CARLOS</t>
  </si>
  <si>
    <t>02845570</t>
  </si>
  <si>
    <t>ACOSTA SILVA BEATRIZ ZOILA</t>
  </si>
  <si>
    <t>06733965</t>
  </si>
  <si>
    <t>ESPEC. EN GESTION ADMINISTRATIVA</t>
  </si>
  <si>
    <t>INGENIERÍA ESTADÍSTICA</t>
  </si>
  <si>
    <t>INGENIERA ESTADISTA</t>
  </si>
  <si>
    <t>ACAL HERRERA JOSE LUIS</t>
  </si>
  <si>
    <t>44426142</t>
  </si>
  <si>
    <t>ESPECIALISTA EN GESTIÓN ADMINISTRATIVA DE TECNOLOGÍAS DE LA INFORMACIÓN Y COMUNICACIONES</t>
  </si>
  <si>
    <t>ING. AMBIENTAL Y DE REC. NATURALES</t>
  </si>
  <si>
    <t>INGENIERO AMBIIENTAL Y DE RECURSOS NATURALES</t>
  </si>
  <si>
    <t>ABREGU YATACO MADELEINE FELICIA</t>
  </si>
  <si>
    <t>46096439</t>
  </si>
  <si>
    <t>ANALISTA DE INTEROPERABILIDAD</t>
  </si>
  <si>
    <t>ABAD ABAD GILBERT ESTID</t>
  </si>
  <si>
    <t>43735429</t>
  </si>
  <si>
    <t xml:space="preserve">PLIEGO: 006. INSTITUTO NACIONAL DE DEFENSA CIVIL </t>
  </si>
  <si>
    <t xml:space="preserve">EXTERIOR </t>
  </si>
  <si>
    <t>destacados</t>
  </si>
  <si>
    <t>cas</t>
  </si>
  <si>
    <t>instrucc</t>
  </si>
  <si>
    <t>militar</t>
  </si>
  <si>
    <t xml:space="preserve">salud </t>
  </si>
  <si>
    <t>docentes</t>
  </si>
  <si>
    <t xml:space="preserve">administrativos </t>
  </si>
  <si>
    <t>OPREFA</t>
  </si>
  <si>
    <t>ENAMM</t>
  </si>
  <si>
    <t>CONIDA</t>
  </si>
  <si>
    <t>FAP</t>
  </si>
  <si>
    <t>MGP</t>
  </si>
  <si>
    <t>EP</t>
  </si>
  <si>
    <t>CCFFA</t>
  </si>
  <si>
    <t>OGA</t>
  </si>
  <si>
    <t>Exterior</t>
  </si>
  <si>
    <t>OBLIGACIONES DEL EMPLEADOR</t>
  </si>
  <si>
    <t>CONTRIBUCIONES A LA SEGURIDAD</t>
  </si>
  <si>
    <t>OTROS OCASIONALES (ONP)</t>
  </si>
  <si>
    <t>GASTOS SEPELIO Y L. ACTIVOS</t>
  </si>
  <si>
    <t>GASTOS SEPELIO Y L. PENS</t>
  </si>
  <si>
    <t>AYUDA HUMANITARIA</t>
  </si>
  <si>
    <t>OTRAS RETRIBUCIONES (VESTUARIO)</t>
  </si>
  <si>
    <t>GASTOS VARIABLES Y OCACIONALES</t>
  </si>
  <si>
    <t xml:space="preserve">ASIGNACION POR ENSEÑANZA  </t>
  </si>
  <si>
    <t xml:space="preserve"> ASIGNACION POR 25/30 AÑOS DE SERVICIOS </t>
  </si>
  <si>
    <t>COMPENSACION POR TIEMPO DE SERVICIO (CTS)</t>
  </si>
  <si>
    <t xml:space="preserve">OTROS GASTOS VARIABLES Y OCACIONALES </t>
  </si>
  <si>
    <t xml:space="preserve">OTROS GASTOS </t>
  </si>
  <si>
    <t>EXCOMBATIENTE DE CENEPA</t>
  </si>
  <si>
    <t>BONIFICACION DE CAMPAÑA</t>
  </si>
  <si>
    <t>PENSION DE GRACIA</t>
  </si>
  <si>
    <t>PENSION VICTIMAS DE TERRORISMO</t>
  </si>
  <si>
    <t xml:space="preserve">OTRAS PENSIONES </t>
  </si>
  <si>
    <t>DOCENTES A TIEMPO PARCIAL</t>
  </si>
  <si>
    <t>DESTACADOS</t>
  </si>
  <si>
    <t>Personal</t>
  </si>
  <si>
    <t>PRACTICANTES</t>
  </si>
  <si>
    <t>Decreto Legislativo 295 (SNP)</t>
  </si>
  <si>
    <t>SERVICIOS NO PERSONALES (SNP)</t>
  </si>
  <si>
    <t>Decreto Legislativo 1057 (CAS) Auxiliar.</t>
  </si>
  <si>
    <t>Decreto Legislativo 1057 (CAS) Técnic.</t>
  </si>
  <si>
    <t>Decreto Legislativo 1057 (CAS) Profes</t>
  </si>
  <si>
    <t>CONTRATO ADMINISTRATIVO DE SERVICIOS (CAS)</t>
  </si>
  <si>
    <t>INTERNO ODONTOLOGIA</t>
  </si>
  <si>
    <t>INTERNOS MEDICINA HUMANA</t>
  </si>
  <si>
    <t>INTERNOS AREA DE SALUD</t>
  </si>
  <si>
    <t>ALUM I</t>
  </si>
  <si>
    <t xml:space="preserve">ALUM II </t>
  </si>
  <si>
    <t>ALUM III</t>
  </si>
  <si>
    <t xml:space="preserve">ALUMNOS </t>
  </si>
  <si>
    <t>ASP</t>
  </si>
  <si>
    <t>CAD I</t>
  </si>
  <si>
    <t>CAD II</t>
  </si>
  <si>
    <t>CAD III</t>
  </si>
  <si>
    <t>CAD IV</t>
  </si>
  <si>
    <t>CADETES</t>
  </si>
  <si>
    <t>SG1</t>
  </si>
  <si>
    <t>TERMINO DE 3ER PERIODO RENGANCHE</t>
  </si>
  <si>
    <t>SG2</t>
  </si>
  <si>
    <t>TERMINO DE 2DO PERIODO RENGANCHE</t>
  </si>
  <si>
    <t>CAB</t>
  </si>
  <si>
    <t>TERMINO DE PERIODO RENGANCHE</t>
  </si>
  <si>
    <t>AVR</t>
  </si>
  <si>
    <t>LICENCIAMIENTO DE PERSONAL DE TROPA</t>
  </si>
  <si>
    <t>CABO</t>
  </si>
  <si>
    <t>SGTO.2DO.</t>
  </si>
  <si>
    <t>SGTO 1RO.</t>
  </si>
  <si>
    <t>QUINTO RENGANCHE</t>
  </si>
  <si>
    <t>CUARTO RENGANCHE</t>
  </si>
  <si>
    <t>TERCER RENGANCHE</t>
  </si>
  <si>
    <t>SEGUNDO RENGANCHE</t>
  </si>
  <si>
    <t>PRIMER RENGANCHE</t>
  </si>
  <si>
    <t xml:space="preserve">TROPA REGULAR </t>
  </si>
  <si>
    <t>TROPA</t>
  </si>
  <si>
    <t>SO3 / OM3 / SO3</t>
  </si>
  <si>
    <t>SO2 / OM2 / SO2</t>
  </si>
  <si>
    <t>SO1 / OM1 / SO1</t>
  </si>
  <si>
    <t>TC3</t>
  </si>
  <si>
    <t>TC2</t>
  </si>
  <si>
    <t>TC1</t>
  </si>
  <si>
    <t>TJ / TS2 / TIP</t>
  </si>
  <si>
    <t>STTE / AFRA / ALF</t>
  </si>
  <si>
    <t>TTE / TTE 2 / TEN</t>
  </si>
  <si>
    <t>CAP / TTE 1 / CAP</t>
  </si>
  <si>
    <t>MAY / C DE C / MAY</t>
  </si>
  <si>
    <t>TC / C DE F / CMD</t>
  </si>
  <si>
    <t>COR / C DE N/ COR</t>
  </si>
  <si>
    <t xml:space="preserve">  PERSONAL SUBSIDIO POSTUMO/INVALIDEZ </t>
  </si>
  <si>
    <t>TJS / TS1 / TSP</t>
  </si>
  <si>
    <t xml:space="preserve">  PERSONAL SUBALTERNO</t>
  </si>
  <si>
    <t>GB / CALM / MAG</t>
  </si>
  <si>
    <t>GD / VALM / TTG</t>
  </si>
  <si>
    <t xml:space="preserve">  PERSONAL SUPERIOR</t>
  </si>
  <si>
    <t>EC CONTRATADOS</t>
  </si>
  <si>
    <t>COMISION DE SERVICIOS</t>
  </si>
  <si>
    <t>EVACUACIONES</t>
  </si>
  <si>
    <t>MISION DE ESTUDIOS</t>
  </si>
  <si>
    <t>MISION DIPLOMATICA</t>
  </si>
  <si>
    <t>SERVICIO DIPLOMATICO</t>
  </si>
  <si>
    <t>SAF</t>
  </si>
  <si>
    <t>SAD</t>
  </si>
  <si>
    <t>SAC</t>
  </si>
  <si>
    <t>SAB</t>
  </si>
  <si>
    <t>STF</t>
  </si>
  <si>
    <t>STD</t>
  </si>
  <si>
    <t>STC</t>
  </si>
  <si>
    <t xml:space="preserve">STB </t>
  </si>
  <si>
    <t xml:space="preserve">STA  </t>
  </si>
  <si>
    <t>SPF</t>
  </si>
  <si>
    <t>SPD</t>
  </si>
  <si>
    <t>SPC</t>
  </si>
  <si>
    <t>SPB</t>
  </si>
  <si>
    <t>SERMISTA NO MEDICO</t>
  </si>
  <si>
    <t>SERUMISTA MEDICO</t>
  </si>
  <si>
    <t>NIVEL I</t>
  </si>
  <si>
    <t>NIVEL II</t>
  </si>
  <si>
    <t>NIVEL III</t>
  </si>
  <si>
    <t>NIVEL IV</t>
  </si>
  <si>
    <t>NIVEL V</t>
  </si>
  <si>
    <t>NIVEL VI</t>
  </si>
  <si>
    <t>PROF. TECNICOS DE LA SALUD
 (DS Nº 024-83-PCM Y LEY Nº 24050)</t>
  </si>
  <si>
    <t>NIVEL VII</t>
  </si>
  <si>
    <t>NIVEL VIII</t>
  </si>
  <si>
    <t xml:space="preserve"> PROF. DE SALUD (ESPECIALISTA AUDICION Y LENGUAJE)</t>
  </si>
  <si>
    <t>MEDICOS VETERINARIOS</t>
  </si>
  <si>
    <t>ASISTENTAS SOCIALES</t>
  </si>
  <si>
    <t>PSICOLOGOS</t>
  </si>
  <si>
    <t>BIOLOGOS</t>
  </si>
  <si>
    <t>QUIMICOS</t>
  </si>
  <si>
    <t>QUIMICOS FARMACEUTICOS</t>
  </si>
  <si>
    <t>NIVEL 1</t>
  </si>
  <si>
    <t>NIVEL 2</t>
  </si>
  <si>
    <t>NIVEL 3</t>
  </si>
  <si>
    <t>NIVEL 4</t>
  </si>
  <si>
    <t>NIVEL 5</t>
  </si>
  <si>
    <t>TECNOLOGOS MEDICOS</t>
  </si>
  <si>
    <t>OBTETRICES</t>
  </si>
  <si>
    <t>NIVEL 10</t>
  </si>
  <si>
    <t>NIVEL 11</t>
  </si>
  <si>
    <t>NIVEL 12</t>
  </si>
  <si>
    <t>NIVEL13</t>
  </si>
  <si>
    <t>NIVEL 14</t>
  </si>
  <si>
    <t>ENFERMERAS</t>
  </si>
  <si>
    <t xml:space="preserve">GUARDIAS Y VALORIZACIONES </t>
  </si>
  <si>
    <t>IV</t>
  </si>
  <si>
    <t>V</t>
  </si>
  <si>
    <t>VI</t>
  </si>
  <si>
    <t>VII</t>
  </si>
  <si>
    <t>VIII</t>
  </si>
  <si>
    <t>OTROS PROFESIONALES DE LA SALUD</t>
  </si>
  <si>
    <t>RESIDENTES</t>
  </si>
  <si>
    <t>MEDICOS</t>
  </si>
  <si>
    <t>CARRERA DE LA SALUD</t>
  </si>
  <si>
    <t>DTC</t>
  </si>
  <si>
    <t>DTB</t>
  </si>
  <si>
    <t>DTA</t>
  </si>
  <si>
    <t>DPD</t>
  </si>
  <si>
    <t>DPC</t>
  </si>
  <si>
    <t>DPB</t>
  </si>
  <si>
    <t>DPA</t>
  </si>
  <si>
    <t>J.Prac.</t>
  </si>
  <si>
    <t>DOC.I LRM</t>
  </si>
  <si>
    <t>DOC.II LRM</t>
  </si>
  <si>
    <t>DOC.III LRM</t>
  </si>
  <si>
    <t>DOCNETES DE INSTITUTOS</t>
  </si>
  <si>
    <t>P.Aux.</t>
  </si>
  <si>
    <t>P.Asoc.</t>
  </si>
  <si>
    <t>P.Princ.</t>
  </si>
  <si>
    <t>E</t>
  </si>
  <si>
    <t>D</t>
  </si>
  <si>
    <t>C</t>
  </si>
  <si>
    <t>B</t>
  </si>
  <si>
    <t>A  s. titulo</t>
  </si>
  <si>
    <t>I</t>
  </si>
  <si>
    <t>II</t>
  </si>
  <si>
    <t>III</t>
  </si>
  <si>
    <t>Escala Magisterial I - 30 hrs</t>
  </si>
  <si>
    <t>Escala Magisterial I - 40 hrs</t>
  </si>
  <si>
    <t>Escala Magisterial II - 30 hrs</t>
  </si>
  <si>
    <t>Escala Magisterial II - 40 hrs</t>
  </si>
  <si>
    <t>Escala Magisterial III - 30 hrs</t>
  </si>
  <si>
    <t>Escala Magisterial III - 40 hrs</t>
  </si>
  <si>
    <t>SECRETARIO</t>
  </si>
  <si>
    <t>VICEMINISTRO</t>
  </si>
  <si>
    <t>MINISTRO</t>
  </si>
  <si>
    <t>SERVICIO CIVIL</t>
  </si>
  <si>
    <t>SACERDOTES</t>
  </si>
  <si>
    <t>RELIGIOSOS/OBREROS</t>
  </si>
  <si>
    <t>SAF CONTRAT</t>
  </si>
  <si>
    <t>STB</t>
  </si>
  <si>
    <t>F-2</t>
  </si>
  <si>
    <t>F-3</t>
  </si>
  <si>
    <t>F-4</t>
  </si>
  <si>
    <t>F-5</t>
  </si>
  <si>
    <t>F-6</t>
  </si>
  <si>
    <t>F-7</t>
  </si>
  <si>
    <t>DOCENTE A TIEMPO PARCIAL</t>
  </si>
  <si>
    <t>RELIGIOSOS</t>
  </si>
  <si>
    <t>UNIDAD EJECUTORA: 003  EJÉRCITO PERUANO</t>
  </si>
  <si>
    <t>DOCENTE A TIEMPO COMPLETO</t>
  </si>
  <si>
    <t>VARIACION 2020-2021</t>
  </si>
  <si>
    <t>TÉCNICOS</t>
  </si>
  <si>
    <t>FUNCIONARIOS</t>
  </si>
  <si>
    <t>SOLDADO</t>
  </si>
  <si>
    <t xml:space="preserve">BONIFICACION RIESGO A LA VIDA </t>
  </si>
  <si>
    <t>TERMINO DE PERIORO RENGANCHE</t>
  </si>
  <si>
    <t>TERCERO RENGANCHE</t>
  </si>
  <si>
    <t>SO 3º</t>
  </si>
  <si>
    <t>SO 2º</t>
  </si>
  <si>
    <t>SO 1º</t>
  </si>
  <si>
    <t>TCO 3º</t>
  </si>
  <si>
    <t xml:space="preserve">TCO 2º </t>
  </si>
  <si>
    <t xml:space="preserve">TCO 1º </t>
  </si>
  <si>
    <t>STTE</t>
  </si>
  <si>
    <t>TTE</t>
  </si>
  <si>
    <t>CAP</t>
  </si>
  <si>
    <t>MY</t>
  </si>
  <si>
    <t>TC</t>
  </si>
  <si>
    <t>CRL</t>
  </si>
  <si>
    <t xml:space="preserve">PERSONAL SUBSIDIO POSTUMO/INVALIDEZ </t>
  </si>
  <si>
    <t>COMISION DE SERVICIOS/ESPECIAL</t>
  </si>
  <si>
    <t>Internos</t>
  </si>
  <si>
    <t>Internos de Medicina y Odontología</t>
  </si>
  <si>
    <t>Personal de la Salud Técnico y Auxiliar Asistencial</t>
  </si>
  <si>
    <t>SERUMS</t>
  </si>
  <si>
    <t>Ingeniero Sanitario, Médico Veterinario, Biólogo, Psicólogo, Nutricionista y Asistenta Social.</t>
  </si>
  <si>
    <t>Tecnólogo Médico</t>
  </si>
  <si>
    <t>Enfermera (O)</t>
  </si>
  <si>
    <t>Obstetra</t>
  </si>
  <si>
    <t>Residentado</t>
  </si>
  <si>
    <t xml:space="preserve">  OTROS PROFESIONALES DE LA SALUD</t>
  </si>
  <si>
    <t>Medico Cirujano</t>
  </si>
  <si>
    <t>T/P Docente Nivel III</t>
  </si>
  <si>
    <t>T/P Docente Nivel IV</t>
  </si>
  <si>
    <t>T/P Docente Nivel V</t>
  </si>
  <si>
    <t>T/C Docente Nivel III</t>
  </si>
  <si>
    <t>T/C Docente Nivel IV</t>
  </si>
  <si>
    <t>T/C Docente Nivel V</t>
  </si>
  <si>
    <t>Docentes de Nivel Superior No Universitario</t>
  </si>
  <si>
    <t xml:space="preserve">T/PProfesor Asociado </t>
  </si>
  <si>
    <t xml:space="preserve">T/P Profesor Principal </t>
  </si>
  <si>
    <t xml:space="preserve">T/C Profesor Asociado </t>
  </si>
  <si>
    <t xml:space="preserve">T/C Profesor Principal </t>
  </si>
  <si>
    <t>Docentes de Nivel Universitario</t>
  </si>
  <si>
    <t>LEY UNIVERSITARIA (COEDE)</t>
  </si>
  <si>
    <t>- DSE2</t>
  </si>
  <si>
    <t>- DSE3</t>
  </si>
  <si>
    <t>- DSE4</t>
  </si>
  <si>
    <t>Docente sin Título Niv E</t>
  </si>
  <si>
    <t>- DSD3</t>
  </si>
  <si>
    <t>C-1TC</t>
  </si>
  <si>
    <t>Docentes T/C Nivel No Universitario</t>
  </si>
  <si>
    <t>ASTC</t>
  </si>
  <si>
    <t>PPTC</t>
  </si>
  <si>
    <t>Docentes T/C Nivel Universitario</t>
  </si>
  <si>
    <t>Docentes con Titulo</t>
  </si>
  <si>
    <t xml:space="preserve">DOCENTES </t>
  </si>
  <si>
    <t>Obr</t>
  </si>
  <si>
    <t>Decreto Legislativo 1017 (CAS)</t>
  </si>
  <si>
    <t>INTERNO.PROFES.SALUD</t>
  </si>
  <si>
    <t>INTERNOS MEDICINA HUMANA Y ODONTOLOGIA</t>
  </si>
  <si>
    <t>1RO ANO</t>
  </si>
  <si>
    <t>2DO ANO</t>
  </si>
  <si>
    <t>3RO ANO</t>
  </si>
  <si>
    <t>ALUMNOS(AS) CITEN</t>
  </si>
  <si>
    <t>ASPIRANTE</t>
  </si>
  <si>
    <t>4TO ANO</t>
  </si>
  <si>
    <t>CABO / MARINERO</t>
  </si>
  <si>
    <t>SARGENTO 2º/CABO 2°</t>
  </si>
  <si>
    <t>SARGENTO 1º/CABO 1°</t>
  </si>
  <si>
    <t xml:space="preserve">    REENGANCHADO (5TO. PERIODO)</t>
  </si>
  <si>
    <t xml:space="preserve">    REENGANCHADO (4TO. PERIODO)</t>
  </si>
  <si>
    <t xml:space="preserve">    REENGANCHADO (3ER. PERIODO)</t>
  </si>
  <si>
    <t xml:space="preserve">    REENGANCHADO (2DO. PERIODO)</t>
  </si>
  <si>
    <t xml:space="preserve">    REENGANCHADO (1ER. PERIODO)</t>
  </si>
  <si>
    <t>SOLDADO / GRUMETE / AVIONERO</t>
  </si>
  <si>
    <t>SARGENTO 2º / CABO 2°</t>
  </si>
  <si>
    <t>SARGENTO 1º / CABO 1°</t>
  </si>
  <si>
    <t xml:space="preserve">    SERVICIO MILITAR VOLUNTARIO</t>
  </si>
  <si>
    <t xml:space="preserve">  PERSONAL SUBSIDIO POSTUMO/SUB INVALIDEZ</t>
  </si>
  <si>
    <t>NIVEL  V (ENAMM)</t>
  </si>
  <si>
    <t>PROF. TECNICOS DE LA SALUD 
(DS Nº 024-83-PCM Y LEY Nº 24050)</t>
  </si>
  <si>
    <t xml:space="preserve"> PROF. DE SALUD 
(ESPECIALISTA AUDICION Y LENGUAJE)</t>
  </si>
  <si>
    <t>OBSTETRICES</t>
  </si>
  <si>
    <t>A            -     S. Titulo</t>
  </si>
  <si>
    <t>V  -  (Con Titulo)</t>
  </si>
  <si>
    <t>VI - ( C. Titulo )</t>
  </si>
  <si>
    <t>DOCENTES DE NIVEL SUPERIOR NO UNIVERSIT. (Institutos Superior Tecnologico)</t>
  </si>
  <si>
    <t>TOTAL DE LEY DEL PROFESORADO+DOCENTE INSTITUTOS</t>
  </si>
  <si>
    <t>F-6 (GERENTE PUBLICO)</t>
  </si>
  <si>
    <t>1ER. AÑO</t>
  </si>
  <si>
    <t>2DO. AÑO</t>
  </si>
  <si>
    <t>3ER. AÑO</t>
  </si>
  <si>
    <t>ALUMNOS</t>
  </si>
  <si>
    <t>4TO. AÑO</t>
  </si>
  <si>
    <t>PRACTICANTES,SECIGRISTAS Y SIMILARES</t>
  </si>
  <si>
    <t>FS3</t>
  </si>
  <si>
    <t>DOCENTE INTITUTOS</t>
  </si>
  <si>
    <t>DOCENTE UNIVERSITARIO</t>
  </si>
  <si>
    <t>TPNNU</t>
  </si>
  <si>
    <t>TP NU</t>
  </si>
  <si>
    <t>TCNNU</t>
  </si>
  <si>
    <t>TCNU</t>
  </si>
  <si>
    <t>30H</t>
  </si>
  <si>
    <t>MÉDICOS</t>
  </si>
  <si>
    <t>AUX.</t>
  </si>
  <si>
    <t>TEC.</t>
  </si>
  <si>
    <t>PROF.</t>
  </si>
  <si>
    <t>FUNC.</t>
  </si>
  <si>
    <t>FUENTE DE FINANCIAMIENTO: RECURSOS ORDINARIOS</t>
  </si>
  <si>
    <t>FUENTE DE FINANCIAMIENTO: RECURSOS DIRECTAMENTE RECAUDADO</t>
  </si>
  <si>
    <t>FUENTE DE FINANCIAMIENTO: DONACIONES Y TRANSFERENCIAS</t>
  </si>
  <si>
    <t xml:space="preserve"> </t>
  </si>
  <si>
    <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lt;</t>
  </si>
  <si>
    <t>OES.03</t>
  </si>
  <si>
    <t>OEI.01 Proporcionar informacion gesoespacial fundamental para el Estado peruano.</t>
  </si>
  <si>
    <t>Número de entidades beneficiadas con información geoespacial fundamental del IGN</t>
  </si>
  <si>
    <t>Dirección de Cartografía</t>
  </si>
  <si>
    <t>PEI 2019-2021</t>
  </si>
  <si>
    <t>OEI.02 Fortalecer el sistema geodésico nacional.</t>
  </si>
  <si>
    <t>Porcentaje de territorio cubierto con infraestructura geodésica</t>
  </si>
  <si>
    <t>OEI.03 Fortalecer la gestión de la información geoespacial en el desarrollo sostenible del país</t>
  </si>
  <si>
    <t>Número total de entidades beneficiadas con asistencia técnica oportuna</t>
  </si>
  <si>
    <t>Dirección de Geografía</t>
  </si>
  <si>
    <t>OEI.04 Promover la educación relacionada a la tecnología e información geoespacial del país.</t>
  </si>
  <si>
    <t>N° de beneficiarios con los cursos y asistencia del ENAG del IGN.</t>
  </si>
  <si>
    <t>Escuela Cartografica</t>
  </si>
  <si>
    <t>Escuela 
Cartografica</t>
  </si>
  <si>
    <t>OES.02</t>
  </si>
  <si>
    <t>OEI.05 Contribuir la gestión del riesgo de desastres a nivel nacional.</t>
  </si>
  <si>
    <t>Porcentaje de Avance en la contribución a la gestión del riesgo de desastres.</t>
  </si>
  <si>
    <t>OEI.06 Fortalecer la gestión Institucional.</t>
  </si>
  <si>
    <t>Porcentaje de avance en el fortalecimiento de la gestión administrativa.</t>
  </si>
  <si>
    <t>Oficina de Administración</t>
  </si>
  <si>
    <t>OEI.01 Incrementar informacion gesoespacial fundamental en el Estado peruano.</t>
  </si>
  <si>
    <t>Porcentaje de cartografia terrestre basado en la generacion de informacion geoespacial a diferentes escalas</t>
  </si>
  <si>
    <t>Sistema informatico de la entidad</t>
  </si>
  <si>
    <t>Dirección de Información Geoespacial 
DIG</t>
  </si>
  <si>
    <t>PEI 2021-2023</t>
  </si>
  <si>
    <t>OEI.02 Fortalecer el Sistema Geodesico Oficial en el Pais</t>
  </si>
  <si>
    <t>Porcentaje de cobertura de la Red Peruana de Monitoreo Continuo en el Territorio Nacional</t>
  </si>
  <si>
    <t>Sistema informatico del Centro de Procesamiento Geodesico</t>
  </si>
  <si>
    <t>OEI.03 Promover la educación en el ambito de las ciencias geografico cartografica en el Pais</t>
  </si>
  <si>
    <t>N° de personas capacitadas con los cursos, diplomados y/o programas academicos</t>
  </si>
  <si>
    <t>Sistema informatico de la ENGEO</t>
  </si>
  <si>
    <t>Escuela Nacional de Geomática
ENGEO</t>
  </si>
  <si>
    <t>OEI.04 Fortalecer la gestión Institucional.</t>
  </si>
  <si>
    <t>Nivel de eficiencia en el cumplimiento de las actividades administrativas programadas</t>
  </si>
  <si>
    <t>Evaluación del PEI y POI</t>
  </si>
  <si>
    <t>Gerencia General 
GG</t>
  </si>
  <si>
    <t>OES.04</t>
  </si>
  <si>
    <t>OEI.05 Mejorar la participacion del IGN en la Politica Exterior del Sector Defensa</t>
  </si>
  <si>
    <t>Porcentaje de la participación en actividades de proyección internacional</t>
  </si>
  <si>
    <t>Evaluación del PEI, POI, PAVE y Resoluciones Jefaturales sobre viajes al exterior</t>
  </si>
  <si>
    <t>Gerencia General 
y Oficina de Planeamiento y Presupuesto</t>
  </si>
  <si>
    <t>OEI.01 Optimizar la gestión de los procesos de contrataciones del Sector Defensa a cargo de la ACFFAA</t>
  </si>
  <si>
    <t>Porcentaje de procesos consentidos respecto a las Listas Generales</t>
  </si>
  <si>
    <t>DJ
ACFFAA</t>
  </si>
  <si>
    <r>
      <t xml:space="preserve">PEI 2019-2023
</t>
    </r>
    <r>
      <rPr>
        <sz val="8"/>
        <rFont val="Arial"/>
        <family val="2"/>
      </rPr>
      <t>(Ampliado)</t>
    </r>
  </si>
  <si>
    <t>OEI.02 Fortalecer la gestión institucional de la ACFFAA</t>
  </si>
  <si>
    <t>Promedio de cumplimiento de los planes y programas en plazo</t>
  </si>
  <si>
    <t>SG
ACFFAA</t>
  </si>
  <si>
    <t>OEI.03 Gestionar la prevención de Riesgos de Desastres en la Institución</t>
  </si>
  <si>
    <t>Porcentaje de cumplimiento del plan de gestión interna de riesgo de desastres en la ACFFAA</t>
  </si>
  <si>
    <t>OGA
ACFFAA</t>
  </si>
  <si>
    <t>OEI.01 Incrementar las capacidades militares para el empleo de las fuerzas armadas.</t>
  </si>
  <si>
    <t>Nivel de alistamiento operacional de las Fuerzas Armadas para el empleo conjunto.</t>
  </si>
  <si>
    <t>Limitado</t>
  </si>
  <si>
    <t>Informes de nivel de alistamiento de las Comandancias Operativas u órganos operativos</t>
  </si>
  <si>
    <t xml:space="preserve">CCFFAA
7ma. DIEMCFFAA </t>
  </si>
  <si>
    <t xml:space="preserve">
PEI 2020-2025
</t>
  </si>
  <si>
    <t>OEI.02 Mejorar la presencia en la Gestión del Riesgo de Desastres.</t>
  </si>
  <si>
    <t>Porcentaje de implementación de mecanismos para enfrentar desastres.</t>
  </si>
  <si>
    <t>Registros de las FF.AA.</t>
  </si>
  <si>
    <t>DIGEPE</t>
  </si>
  <si>
    <t>OEI.03 Mejorar la gestión del Sistema de Defensa Nacional.</t>
  </si>
  <si>
    <t>Porcentaje de implementación de lineamientos de los objetivos de la Política Nacional de Seguridad y Defensa Nacional en el Sistema de Defensa Nacional.</t>
  </si>
  <si>
    <t>OSDENAs a nivel nacional.</t>
  </si>
  <si>
    <t>UGESIDENA</t>
  </si>
  <si>
    <t>OEI.04 Fortalecer el sistema educativo y la doctrina institucional.</t>
  </si>
  <si>
    <t>Porcentaje de implementación de las acciones para el cumplimiento de los objetivos de la Política Educativa del Ministerio de Defensa para la Seguridad y Defensa Nacional.</t>
  </si>
  <si>
    <t>Instituciones armadas/Direcciones Generales de Educación.</t>
  </si>
  <si>
    <t>DIGEDOC</t>
  </si>
  <si>
    <t>OEI.05 Desarrollar la Ciberdefensa institucional.</t>
  </si>
  <si>
    <t>Nivel de la efectividad de la Ciberdefensa de la infraestructura crítica del Estado.</t>
  </si>
  <si>
    <t>CERT-CCFFAA,CERT-FAP,CERT-MGP,CERT-EP
Equipo de Respuesta ante Emergencias Informáticas CERT (Computer Emergency Response Team)</t>
  </si>
  <si>
    <t xml:space="preserve">CCFFAA 
6ta. DIEMCFFAA </t>
  </si>
  <si>
    <t>OEI.06 Fortalecer la Investigación, Desarrollo e Innovación Institucional.</t>
  </si>
  <si>
    <t>Número de estudios de investigación y proyectos de I+D+i concluidos.</t>
  </si>
  <si>
    <t>Reporte de las entidades del Sector.</t>
  </si>
  <si>
    <t>DGRRMM</t>
  </si>
  <si>
    <t>OEI.07 Optimizar la participación institucional en el control del orden interno de acuerdo a ley.</t>
  </si>
  <si>
    <t>Eficacia en el apoyo a la policía nacional, en caso de perturbación del orden interno que afecte la vida de la Nación.</t>
  </si>
  <si>
    <t>Registros de la 3ra DIEMCFFAA (Dpto. de Contraterrorismo, Dpto. de Amenazas Internas).
Registros de la Dirección General de Capitanías y Guardacostas</t>
  </si>
  <si>
    <t xml:space="preserve">CCFFAA 
3era. DIEMCFFAA </t>
  </si>
  <si>
    <t>OEI.08 Mejorar la presencia institucional en el desarrollo sostenible.</t>
  </si>
  <si>
    <t>Nivel de eficiencia de lo programado en la contribución al desarrollo sostenible.</t>
  </si>
  <si>
    <t>Unidades Ejecutoras</t>
  </si>
  <si>
    <t>OEI.09 Incrementar el apoyo institucional a la Política Exterior del Estado.</t>
  </si>
  <si>
    <t>Porcentaje de actividades de participación en organismos y mecanismos para la proyección internacional de los intereses del Ministerio Defensa.</t>
  </si>
  <si>
    <t>Instituciones Armadas, CCFFAA y MINDEF</t>
  </si>
  <si>
    <t>DIGRIN</t>
  </si>
  <si>
    <t>OEI.10 Fortalecer la gestión institucional.</t>
  </si>
  <si>
    <t>Porcentaje de Implementación de proyectos enfocados a la modernización de la Gestión Institucional.</t>
  </si>
  <si>
    <t>Programación Multianual de Inversiones (PMI).</t>
  </si>
  <si>
    <t>DGPP</t>
  </si>
  <si>
    <t>OEI.01 Fortalecer la
capacidad de
gestión reactiva de
los miembros del
SINAGERD.</t>
  </si>
  <si>
    <t>Indice de la capacidad de Gestión Reactiva de las entidades del SINAGERD</t>
  </si>
  <si>
    <t>Sectores, Gobiernos Regionales, Municipalidades Distritales</t>
  </si>
  <si>
    <t>PEI 2020-2023</t>
  </si>
  <si>
    <t>OEI.02 Fortalecer la
gestión institucional</t>
  </si>
  <si>
    <t>Indice de capacidad funcional y administrativa desarrollada</t>
  </si>
  <si>
    <t>OEI.01 Fortalecer la gestión prospectiva y correctiva del riesgo del riesgo de desastres en las entidades públicas de los tres niveles de gobierno.</t>
  </si>
  <si>
    <t>Porcentaje de entidades públicas de los tres niveles de gobierno fortalecidas en sus capacidades para la implementación de la GP y GC del RdD.</t>
  </si>
  <si>
    <t>0.42%
(8)</t>
  </si>
  <si>
    <t>Sistema de Información de Monitoreo, Seguimiento y Evaluación - SIMSE y y Portal de Transparencia Económica
del MEF.</t>
  </si>
  <si>
    <t>Dirección de Gestión de procesos, Dirección de Fortalecimiento y Asistencia Técnica y la Dirección Monitoreo, Seguimiento y Evaluación.
DIMSE</t>
  </si>
  <si>
    <t>3.18%
(61)</t>
  </si>
  <si>
    <t>5.27%
(101)</t>
  </si>
  <si>
    <t>7.15%
(137)</t>
  </si>
  <si>
    <t xml:space="preserve">PEI 2020-2025
</t>
  </si>
  <si>
    <t>OEI.02 Fortalecer la gestión institucional.</t>
  </si>
  <si>
    <t>Índice de eficacia del cumplimiento de las metas de las Acciones Estratégicas Institucionales para el fortalecimiento institucional.</t>
  </si>
  <si>
    <t>ND</t>
  </si>
  <si>
    <t>Informe de Evaluación de Resultados del PEI</t>
  </si>
  <si>
    <t>Oficina de Planeamiento y Presupuesto</t>
  </si>
  <si>
    <t>OEI.03 Implementar la gestión interna del riesgo de desastres.</t>
  </si>
  <si>
    <t>Porcentaje de servidores públicos de la entidad capacitados en Gestión del Riesgo de Desastres.</t>
  </si>
  <si>
    <t>Dirección de Fortalecimiento y Asistencia Técnica
DIFAT</t>
  </si>
  <si>
    <t>Referencia</t>
  </si>
  <si>
    <t xml:space="preserve">PIA </t>
  </si>
  <si>
    <t xml:space="preserve">PIM </t>
  </si>
  <si>
    <t xml:space="preserve">EJECUCIÓN </t>
  </si>
  <si>
    <t>EJECUTORA 001 - DGA</t>
  </si>
  <si>
    <t>ADQUISICIÓN DEL SISTEMA DE SEGURIDAD ANTI-MALWARE</t>
  </si>
  <si>
    <t>SIN MODALIDAD</t>
  </si>
  <si>
    <t>LP 001-2019</t>
  </si>
  <si>
    <t>20601317461  SECURESOFT CORPORATION S.A.C</t>
  </si>
  <si>
    <t>CONCLUIDO</t>
  </si>
  <si>
    <t>SERVICIO DE RENOVACIÓN DEL LICENCIAMIENTO MICROSOFT EN LA MODALIDAD ENTERPRISE AGREEMENT O EQUIVALENTE / Servicio</t>
  </si>
  <si>
    <t>CP 001-2019</t>
  </si>
  <si>
    <t>20543312232   SOFTLINE INTERNATIONAL PERU S.A.C.</t>
  </si>
  <si>
    <t xml:space="preserve">proceso de 3 años, 3 entregas </t>
  </si>
  <si>
    <t>SERVICIO DE MANTENIMIENTO CORRECTIVO DE LA FLOTA VEHICULAR - MINDEF / Servicio</t>
  </si>
  <si>
    <t>CP 002-2019</t>
  </si>
  <si>
    <t>20602273416  INVERSIONES AUTOMOTRIZ SALAS E.I.R.L.</t>
  </si>
  <si>
    <t>en ejecución periódica</t>
  </si>
  <si>
    <t>SERVICIO DE ALIMENTACION PARA EL PERSONAL DEL IESTPFFAA</t>
  </si>
  <si>
    <t>CP 003-2019</t>
  </si>
  <si>
    <t>proceso desierto</t>
  </si>
  <si>
    <t>CONTRATACION DEL SERVICIO DE LIMPIEZA FUMIGACION Y DESRATIZACION / Servicio</t>
  </si>
  <si>
    <t>CP 004-2019</t>
  </si>
  <si>
    <t>20502029178 
SERVICIOS PROFESIONALES DE HIGIENE Y SANEAMIENTO S.A.C. Y DYT GLOBAL SERVICE S.R.L.</t>
  </si>
  <si>
    <t>ELABORACIÓN DE ESTUDIO BÁSICO DE INGENIERÍA DEL PIP ¿CREACIÓN E IMPLEMENTACIÓN DEL INSTITUTO DE EDUCACIÓN SUPERIOR TECNOLÓGICO PÚBLICO DE LAS FUERZAS ARMADAS</t>
  </si>
  <si>
    <t>CP 005-2019</t>
  </si>
  <si>
    <t>proceso cancelado</t>
  </si>
  <si>
    <t>SERVICIO DE SEGURO MULTIRIESGO  / Servicio</t>
  </si>
  <si>
    <t>CP 006-2019</t>
  </si>
  <si>
    <t>20100041953   RIMAC SEGUROS Y REASEGUROS</t>
  </si>
  <si>
    <t>culminado</t>
  </si>
  <si>
    <t>SERVICIOS DE ALQUILER DE AMBIENTES, MOBILIARIO, EQUIPOS AUDIOVISUALES Y ATENCIÓN DE ALIMENTOS PARA EL EVENTO INTERNACIONAL 25VA. CONFERENCIA DE LA ASOCIACIÓN INTERNACIONAL DE CENTROS DE ENTRENAMIENTO PARA OPERACIONES DE PAZ - IAPTC 2019</t>
  </si>
  <si>
    <t>C.D. N° 001-2019-MINDEF/VRD/DGA</t>
  </si>
  <si>
    <t>20114803228 INVERSIONES NACIONALES DE TURISMO S.A. </t>
  </si>
  <si>
    <t>SERVICIO DE TOMA DE INVENTARIO FÍSICO, CONCILIACIÓN FÍSICO-CONTABLE DE ELEMENTOS DE PROPIEDADES, PLANTA Y EQUIPO Y BIENES NO DEPRECIABLES DEL AÑO 2018, DE LA UNIDAD EJECUTORA NRO. 001: ADMINISTRACIÓN GENERAL 026: MINISTERIO DE DEFENSA / Servicio</t>
  </si>
  <si>
    <t>AS 001-2019 MINDEF/VRD/DGA</t>
  </si>
  <si>
    <t>20503271592 AQUARIUS CONSULTING S.A.C.</t>
  </si>
  <si>
    <t>CONTRATACION DEL SUMINISTRO DE AGUA DE MESA SIN GAS EN BIDONES DE 2O LTS</t>
  </si>
  <si>
    <t>AS 002-2019 MINDEF/VRD/DGA</t>
  </si>
  <si>
    <t>20340549750 CONQUISTADORES REAL SERVICE S.A.</t>
  </si>
  <si>
    <t>CONTRATACIÓN DEL SERVICIO DE ALIMENTACIÓN PARA LA ESCUELA CONJUNTA DE LAS FUERZAS ARMADAS</t>
  </si>
  <si>
    <t>AS 003-2019 MINDEF/VRD/DGA</t>
  </si>
  <si>
    <t>10412102890
20515184113 CONSORCIO CELIA ROSA ANTONIO BRAVO - INNOVACIONES INDUSTRIALES RIPER S.A</t>
  </si>
  <si>
    <t>CONTRATACIÓN DEL SERVICIO DE VALES DE CONSUMO POR CONCEPTO DE ALIMENTACIÓN PARA LOS SERVIDORES DEL MINISTERIO DE DEFENSA</t>
  </si>
  <si>
    <t>AS 004-2019 MINDEF/VRD/DGA</t>
  </si>
  <si>
    <t>20507258981 PERUANA DE VALES Y DOCUMENTOS S.A.C.</t>
  </si>
  <si>
    <t>SERVICIO DE TOMA DE INVENTARIO FÍSICO, CONCILIACIÓN FÍSICO-PATRIMONIAL Y CONTABLE DE ELEMENTOS DE PROPIEDADES, PLANTA Y EQUIPO, SUS COMPONENTES Y HERRAMIENTAS, BIENES NO DEPRECIABLES Y VERIFICACIÓN DE EXISTENCIA O VIGENCIA DE ACTIVOS INTANGIBLES DEL AÑO FISCAL 2019 DE LA UE 001:MINISTERIO DE DEFENSA</t>
  </si>
  <si>
    <t>AS 005-2019 MINDEF/VRD/DGA</t>
  </si>
  <si>
    <t>20556269956 ACOSTA &amp; ASOCIADOS DEL PERU S.A.C.</t>
  </si>
  <si>
    <t xml:space="preserve"> CONTRATACIÓN DEL SERVICIO DE LOS EXÁMENES MÉDICO OCUPACIONALES PARA EL PERSONAL CIVIL DEL MINISTERIO DE DEFENSA</t>
  </si>
  <si>
    <t>AS 006-2019 MINDEF/VRD/DGA</t>
  </si>
  <si>
    <t>20127614572 VICTOR ARCE SOCIEDAD CIVIL</t>
  </si>
  <si>
    <t>CONTRATACIÓN DEL SUMINISTRO DE ARTÍCULOS DE LIMPIEZA PARA EL MINISTERIO DE DEFENSA</t>
  </si>
  <si>
    <t>AS 007-2019 MINDEF/VRD/DGA</t>
  </si>
  <si>
    <t>20519272815 P INVERSIONES GENERALES E.I.R.L.</t>
  </si>
  <si>
    <t>CANCELADO</t>
  </si>
  <si>
    <t>UNIFORMES PARA EL PERSONAL CIVIL</t>
  </si>
  <si>
    <t>AS 008-2019 MINDEF/VRD/DGA</t>
  </si>
  <si>
    <t>20515669125      ITEM 3 - JAROMI CORPORATION S.A.C.</t>
  </si>
  <si>
    <t>20341191476  CONSORCIO CAROLINA S.A.C.</t>
  </si>
  <si>
    <t>20100306337  INDUSTRIAL GORAK S A</t>
  </si>
  <si>
    <t>SERVICIO DE MENSAJERÍA A NIVEL LOCAL Y NACIONAL.</t>
  </si>
  <si>
    <t>AS 009-2019 MINDEF/VRD/DGA</t>
  </si>
  <si>
    <t>20100686814  OLVA COURIER S.A.C</t>
  </si>
  <si>
    <t>CONTRATACIÓN DEL SERVICIO ORGANIZACIÓN DEL ARCHIVO SEMIACTIVO DE LA DIRECCIÓN GENERAL PLANEAMIENTO Y PRESUPUESTO</t>
  </si>
  <si>
    <t>AS 010-2019 MINDEF/VRD/DGA</t>
  </si>
  <si>
    <t>20526272499  EUREKA GLOBAL SEARCH SOCIEDAD ANÓNIMA CERRADA</t>
  </si>
  <si>
    <t>en ejecución</t>
  </si>
  <si>
    <t>CONTRATACIÓN DEL SERVICIO DE ALIMENTACIÓN POR DELIVERY PARA EL CECOPAZ</t>
  </si>
  <si>
    <t>AS 011-2019 MINDEF/VRD/DGA</t>
  </si>
  <si>
    <t>20547002700  D'GUSTO PERU GOURMET S.A.C.</t>
  </si>
  <si>
    <t>LICENCIAMIENTO DE MOTOR DE BASE DE DATOS - ORACLE</t>
  </si>
  <si>
    <t>AS 012-2019 MINDEF/VRD/DGA</t>
  </si>
  <si>
    <t>20291059792  GOALS S.A.</t>
  </si>
  <si>
    <t>SUMINISTRO DE DIARIOS Y REVISTAS PARA LAS OFICINAS DEL MINISTERIO DE DEFENSA</t>
  </si>
  <si>
    <t>AS 013-2019 MINDEF/VRD/DGA</t>
  </si>
  <si>
    <t>10401427703
20601863236  HUAMANTUMA CANDIOTTI ANA  AMSO S.A.C.</t>
  </si>
  <si>
    <t>CONTRATACION DEL SERVICIO DE COMBUSTIBLE</t>
  </si>
  <si>
    <t>SIE 001-2019 MINDEF/VRD/DGA</t>
  </si>
  <si>
    <t>20535614548   OPERADORES DE ESTACIONES S.A.C.</t>
  </si>
  <si>
    <t>ATENCION MEDICA ESPECIALIZADA EN PATOLOGIA</t>
  </si>
  <si>
    <t>AS 001-2020 MINDEF/VRD/DGA</t>
  </si>
  <si>
    <t>20600627768  ADRIASEB DIAGNOSTIC E.I.R.L.</t>
  </si>
  <si>
    <t>TELEFONIA FIJA</t>
  </si>
  <si>
    <t>AS 002-2020 MINDEF/VRD/DGA</t>
  </si>
  <si>
    <t>20100017491  TELEFONICA DEL PERU SAA</t>
  </si>
  <si>
    <t>SEGURO VEHICULAR</t>
  </si>
  <si>
    <t>AS 003-2020 MINDEF/VRD/DGA</t>
  </si>
  <si>
    <t>20202380621  MAPFRE PERU COMPAÑIA DE SEGUROS Y REASEGUROS S.A.</t>
  </si>
  <si>
    <t>SERVICIO DE TRASLADO, ALMACÉN Y CUSTODIA DEL ACERVO DOCUMENTAL DEL ARCHIVO CENTRAL</t>
  </si>
  <si>
    <t>AS 004-2020 MINDEF/VRD/DGA</t>
  </si>
  <si>
    <t>20390724919   IRON MOUNTAIN PERU S.A.</t>
  </si>
  <si>
    <t>KIT PCR EN TIEMPO REAL PARA CUANTIFICACION DE CARGA VIRAL DE VIH X 10 DETERMINACIONES</t>
  </si>
  <si>
    <t>AS 005-2020 MINDEF/VRD/DGA</t>
  </si>
  <si>
    <t>20468787360   ROCHEM BIOCARE DEL PERU S.A.C</t>
  </si>
  <si>
    <t>ADQUISICION DE VEHICULO POR REPOSICIÓN</t>
  </si>
  <si>
    <t>AS 006-2020 MINDEF/VRD/DGA</t>
  </si>
  <si>
    <t>20160286068  MAQUINARIAS S.A.</t>
  </si>
  <si>
    <t>ADQUISICIÓN DE UNIFORMES Y CALZADOS DE DAMAS Y CABALLEROS: VERANO E INVIERNO PARA EL PERSONAL CIVIL DEL RÉGIMEN LABORAL DL N° 276 Y ADQUISICIÓN DE PRENDAS DE VESTIR DE INVIERNO PARA EL PERSONAL DE LA OFICINA GENERAL DE SEGURIDAD Y PROTECCIÓN</t>
  </si>
  <si>
    <t>AS 007-2020 MINDEF/VRD/DGA</t>
  </si>
  <si>
    <t>20100306337 20341191476  INDUSTRIAL GORAK S.A  CAROLINA S.A.C.</t>
  </si>
  <si>
    <t>EN PROCESO</t>
  </si>
  <si>
    <t>En proceso</t>
  </si>
  <si>
    <t>CONTRATACIÓN DEL SERVICIO DE INTERNET DEDICADO</t>
  </si>
  <si>
    <t>CP 001-2020 MINDEF/VRD/DGA</t>
  </si>
  <si>
    <t>20100017491  TELEFONICA DEL PERU SAA</t>
  </si>
  <si>
    <t xml:space="preserve"> CONTRATACIÓN DEL SERVICIO DE TELEFONÍA MÓVIL DEL MINISTERIO DE DEFENSA</t>
  </si>
  <si>
    <t>CP 002-2020 MINDEF/VRD/DGA</t>
  </si>
  <si>
    <t>CONTRATACIÓN DEL SERVICIO DE ALIMENTACIÓN PARA EL PERSONAL DEL MINISTERIO DE DEFENSA</t>
  </si>
  <si>
    <t>CP 003-2020 MINDEF/VRD/DGA</t>
  </si>
  <si>
    <t>SUMINISTRO DE COMBUSTIBLE PARA EL MINISTERIO DE DEFENSA</t>
  </si>
  <si>
    <t>SIE 001-2020 MINDEF/VRD/DGA</t>
  </si>
  <si>
    <t>ADQUISICION DE UTILES DE ESCRITORIO MEDIANTE
CATALOGO ELECTRONICO</t>
  </si>
  <si>
    <t>AM</t>
  </si>
  <si>
    <t xml:space="preserve"> ADQUISICION DE CONSUMIBLES TINTAS Y TONERS</t>
  </si>
  <si>
    <t>ADQUISICION DE REPUESTOS Y ACCESORIOS PARA 
OFICINA</t>
  </si>
  <si>
    <t>AGENCIAMIENTO DE PASAJES AEROS NACIONAL
 E INTERNACIONAL</t>
  </si>
  <si>
    <t>SERVICIO DE LIMPIEZA DE LOCALES</t>
  </si>
  <si>
    <t>CP</t>
  </si>
  <si>
    <t>SERVICIO DE INVENTARIO DE BIENES PATRIMONIALES</t>
  </si>
  <si>
    <t>AS</t>
  </si>
  <si>
    <t>ARTICULOS DE LIMPIEZA PARA EL MINDEF</t>
  </si>
  <si>
    <t>SEGURO MURIESGO</t>
  </si>
  <si>
    <t>AGUA DE MESA</t>
  </si>
  <si>
    <t>SERVICIO DE INTERNET</t>
  </si>
  <si>
    <t>SERVICIO DE MENSAJERIA</t>
  </si>
  <si>
    <t>SERVICIO DE SEGURIDAD Y PROTECCION PARA EL CAEN</t>
  </si>
  <si>
    <t>REACTIVOS PARA COPRECOS (KIT CARGA VIRAL)</t>
  </si>
  <si>
    <t>SERVICIO DE TELEFONIA FIJA</t>
  </si>
  <si>
    <t>TELEFONIA MOVIL</t>
  </si>
  <si>
    <t>COMBUSTIBLE</t>
  </si>
  <si>
    <t>SIE</t>
  </si>
  <si>
    <t xml:space="preserve"> UNIFORMES PARA EL PERSONAL CIVIL DEL MINDEF</t>
  </si>
  <si>
    <t>SERVICIO DE ALIMENTACION PARA EL MINDEF</t>
  </si>
  <si>
    <t>SERVICIO DE ASESORIA LEGAL EL VICEMINISTERIO DE POLITICAS PARA LA DEFENSA A FAVOR DE: MONROY GALVEZ JUAN FEDERICO</t>
  </si>
  <si>
    <t>06 JUSTIFICA</t>
  </si>
  <si>
    <t>20538426742</t>
  </si>
  <si>
    <t>SERVICIO PARA UN DIAGNOSTICO Y PROPUESTADE MODIFICACION DE LOS REGLAMENTOS QUE RIGEN A LAS REFERIDAS ORDENES MILITARES</t>
  </si>
  <si>
    <t>20258319851</t>
  </si>
  <si>
    <t>SERVICIO PERSONA NATURAL O JURIDICA, EMISION DE OPINION LEGAL, RESPECTO A LA DOBLE PERCEPCION. A ESTUDIO FLORES ARAOZ YASOCIADOS SOCIEDAD CIVIL</t>
  </si>
  <si>
    <t>Consultoría para la formulación del proyecto de inversión pública para la optimización del Data Center Principal e implementación del Data Center Alterno para el Ministerio de Defensa en el Marco de Invierte.pe.</t>
  </si>
  <si>
    <t>03 PLANEAMIENTO, GESTIÓN Y RESERVA DE CONTINGENCIA</t>
  </si>
  <si>
    <t>CONTRATACION DE UN CONSULTOR PARA LA ELABORACION DE TERMINOS DE REFERENCIA, PARA EL SERVICIO DE ELABORACION DE ESTUDIO BASICO DE INGENERIA DEL PIP. A GRUPO REGIAN SAC</t>
  </si>
  <si>
    <t>ASESOR TÉCNICO EN INGENIERIA PARA EL IESTPFFAA A HURTADO ZAMORA AMADOR</t>
  </si>
  <si>
    <t>CONTRATACION DE SERVICIO DE DEFENSA LEGAL A FAVOR DE 24 PERSONALES NAVALES DEL MINDEF. PRIMER ENTREGABLE El 40 %. A TAPIA TAPIA SERGIO CARLOS BALTAZAR</t>
  </si>
  <si>
    <t>CONTRATACION DE PROFESIONAL PARA BRINDAR SERVICIO DE DEFENSA LEGAL - ASESORIA LEGAL A RAMOS RAMIREZ RICHARD ALEXANDER</t>
  </si>
  <si>
    <t>0´8146952</t>
  </si>
  <si>
    <t>SERVICIO DE ASESORIA LEGAL DE DEFENSA LEGAL - CASTRO CASTRO JORGE ANTONIO</t>
  </si>
  <si>
    <t>SERVICIO DE ASESORIA LEGAL A CUBAS BARRUELO OSCAR JOSE</t>
  </si>
  <si>
    <t>SERVICIO DE UN PROFESIONAL PARA BRINDAR SERVICIO DE DEFENSA LEGALCRL. EP (R) VICTOR LA VERA A ORIHUELAORE ITALO JESUS</t>
  </si>
  <si>
    <t>SERVICIO DE DEFENSA LEGAL EN MATERIA PENAL - VIGNOLO CUEVA ORLANDO</t>
  </si>
  <si>
    <t>0´7809121</t>
  </si>
  <si>
    <t>SERVICIO DE DEFENSA LEGAL A FAVOR DE PEDRO CATERIANO BELLIDO ASESORIA LEGAL</t>
  </si>
  <si>
    <t>0´6781567</t>
  </si>
  <si>
    <t>SERVICIO DE DEFENSA LEGAL A FAVOR DE JAKKE RAMIRO M. VALAKIVI ALVAREZ - ASESORIA LEGA</t>
  </si>
  <si>
    <t>0´9279645</t>
  </si>
  <si>
    <t>SERVICIO DE DEFENSA LEGAL PARA EX FUNCIONARIOS PUBLICO, APROBADO MEDIANTE R.M. N° 805-2018-DE/SG A VILLANUEVA ESLAVA ALBERTO</t>
  </si>
  <si>
    <t>0´9886743</t>
  </si>
  <si>
    <t>SERVICIOS DE DEFENSA LEGAL EN MATERIA PENAL A FAVOR DE FISHER BATTITINNI JOHANNA; DURANTE LA INVESTIGACION FISCAL SEGUIDA POR LA PRIMERA FISCALIA PROVINCIAL CORPORATIVA ESPECIALIZADA EN DELITOS DE CORRUPCION DE FUNCIONARIOS DE LIMA</t>
  </si>
  <si>
    <t>DEFENSA LEGAL EN MATERIA PENAL A FAVOR DE JAKKE RAIMO MILAGRO VALAKIVI ALVAREZ; DURANTE LA INVESTIGACION FISCAL SEGUIDAPOR LA PRIMERA FISCALIA PROVINCIAL CORPORATIVA ESPECIALIZADA EN DELITOS DE CORRUPCION DE FUNCIONARIOS DE LIMA A NEYRA OLIVERA DIANA CAR</t>
  </si>
  <si>
    <t>SERVICIO DE CONSULTORIA PARA EL UNIDAD DE INTEGRIDAD INSTITUCIONAL DE LA SECRETARIA GENERAL DEL MINDEF</t>
  </si>
  <si>
    <t>20603633033</t>
  </si>
  <si>
    <t>SERVICIO DE ELABORACION DE MANUAL ETICO PARA LA UNIDAD FUNCIONAL DE INTEGRIDAD INSTITUCIONAL DE LA SECRETARIA GENERAL PARA EL MINISTERIO DE DEFENSA A RISK CONSULTING SAC</t>
  </si>
  <si>
    <t>20600793030</t>
  </si>
  <si>
    <t>SERVICIO DE IDENTIFICACIÓN Y EVALUACIÓN DE RIESGOS DE CORRUPCIÓN EN LOS PROCESOS DEL SISTEMA DE RECURSOS HUMANOS.</t>
  </si>
  <si>
    <t>BIEN PROPIO</t>
  </si>
  <si>
    <t>189.40 m2</t>
  </si>
  <si>
    <t xml:space="preserve">10/02/2019 AL 09-05-2019 </t>
  </si>
  <si>
    <t>28 DE CADA MES</t>
  </si>
  <si>
    <t>53 m2</t>
  </si>
  <si>
    <t>10/02/2019 AL  09-05-2019</t>
  </si>
  <si>
    <t>1 DE CADA MES</t>
  </si>
  <si>
    <t>DEFENSA</t>
  </si>
  <si>
    <t>FERNANDO CARDENAS TAFUR</t>
  </si>
  <si>
    <t xml:space="preserve">DORIA ZAPATA VDA DE GALLO </t>
  </si>
  <si>
    <t>UNIDAD EJECUTORA 001: ADMINISTRACIÓN GENERAL</t>
  </si>
  <si>
    <t xml:space="preserve">Banco de la Nación </t>
  </si>
  <si>
    <t>000-300853</t>
  </si>
  <si>
    <t>2003-001</t>
  </si>
  <si>
    <t>soles</t>
  </si>
  <si>
    <t>2013-001-014</t>
  </si>
  <si>
    <t>000-308641</t>
  </si>
  <si>
    <t>3.- RECURSOS OPERACIONES</t>
  </si>
  <si>
    <t xml:space="preserve">       OFICIALES DE CRED. EXTERNO</t>
  </si>
  <si>
    <t>06-000031028</t>
  </si>
  <si>
    <t>2003-001-002</t>
  </si>
  <si>
    <t>dolares</t>
  </si>
  <si>
    <t>000-68333253</t>
  </si>
  <si>
    <t>2013-015</t>
  </si>
  <si>
    <t xml:space="preserve">    - CONTRIBUCIONES A FONDOS</t>
  </si>
  <si>
    <t xml:space="preserve">    - FONDO DE COMPENCIÓN MUNICIPAL</t>
  </si>
  <si>
    <t xml:space="preserve">    - IMPUESTOS MUNICIPALES</t>
  </si>
  <si>
    <t xml:space="preserve">    - OTROS (ESPECIFIQUE)</t>
  </si>
  <si>
    <t>001-MINISTERIO DE DEFENSA</t>
  </si>
  <si>
    <t>CONTRATACION DEL SERVICIO DE ALQUILER DE CAMIONES PARA LAS ACCIONES CIVICAS MULTISECTORIALES</t>
  </si>
  <si>
    <t>Adj simplificada</t>
  </si>
  <si>
    <t>20524879191</t>
  </si>
  <si>
    <t>Ejecutado</t>
  </si>
  <si>
    <t>11-Apr-19</t>
  </si>
  <si>
    <t>13-Jan-20</t>
  </si>
  <si>
    <t>ADQUISICION DE MEDICINAS, MATERIAL DENTAL, INSUMOS MEDICOS Y DE LABORATORIO PARA LAS ACCIONES CIVICAS MULTISECTORIALES</t>
  </si>
  <si>
    <t>15</t>
  </si>
  <si>
    <t>20521606003</t>
  </si>
  <si>
    <t>10-May-19</t>
  </si>
  <si>
    <t>30-Dec-19</t>
  </si>
  <si>
    <t>CONTRATACION DEL SERVICIO DE TELEFONIA MOVIL PARA EL COMANDO CONJUNTO DE LAS FUERZAS ARMADAS</t>
  </si>
  <si>
    <t>31</t>
  </si>
  <si>
    <t>20100017491</t>
  </si>
  <si>
    <t>24-May-19</t>
  </si>
  <si>
    <t>24-May-21</t>
  </si>
  <si>
    <t>CONTRATO NRO 021 2019 MD/CCFFAA</t>
  </si>
  <si>
    <t>20</t>
  </si>
  <si>
    <t>10104930030</t>
  </si>
  <si>
    <t>31-May-19</t>
  </si>
  <si>
    <t>06-Jun-19</t>
  </si>
  <si>
    <t>ADQUISICION DE ARTICULOS DE CAFETERIA PARA EL CCFFAA</t>
  </si>
  <si>
    <t>20117354793</t>
  </si>
  <si>
    <t>30-May-19</t>
  </si>
  <si>
    <t>20-Dec-19</t>
  </si>
  <si>
    <t>CONTRATACION DEL SERVICIO DE SUMINISTRO DE PASAJES AEREOS INTERNACIONALES PARA EL CCFFAA</t>
  </si>
  <si>
    <t>20102399154</t>
  </si>
  <si>
    <t>27-May-19</t>
  </si>
  <si>
    <t>30-Jan-20</t>
  </si>
  <si>
    <t>ADQUISICION DE MOSQUITEROS PARA LAS COMPAÑIAS DE INTERVENCION RAPIDA PARA DESASTRES</t>
  </si>
  <si>
    <t>27</t>
  </si>
  <si>
    <t>10417896916</t>
  </si>
  <si>
    <t>09-Jul-19</t>
  </si>
  <si>
    <t>15-Jul-19</t>
  </si>
  <si>
    <t>ADQUISICION DE ESCALERA DE BOMBERO PARA LAS COMPAÑIAS DE INTERVENCION RAPIDA PARA DESASTRES</t>
  </si>
  <si>
    <t>18</t>
  </si>
  <si>
    <t>20390932864</t>
  </si>
  <si>
    <t>30-Jul-19</t>
  </si>
  <si>
    <t>CONTRATACION DEL SERVICIO DE ALQUILER DE FOTOCOPIADORAS PARA EL CCFFAA</t>
  </si>
  <si>
    <t>20537406187</t>
  </si>
  <si>
    <t>27-Jun-19</t>
  </si>
  <si>
    <t>30-Jun-20</t>
  </si>
  <si>
    <t>CONTRATACION DEL SERVICIO DE MANTENIMIENTO, ACONDICIONAMIENTO Y REPARACION DE LAS OFICINAS ADMINISTRATIVAS DEL CCFFAA</t>
  </si>
  <si>
    <t>20392927698</t>
  </si>
  <si>
    <t>30-Apr-19</t>
  </si>
  <si>
    <t>CONTRATACION DEL SERVICIO DE CAPACITACION PARA EL PERSONAL MILITAR Y CIVIL A CARGO DEL SISTEMA DE OPNS DE PAZ</t>
  </si>
  <si>
    <t>11</t>
  </si>
  <si>
    <t>20148143537</t>
  </si>
  <si>
    <t>08-Jul-19</t>
  </si>
  <si>
    <t>ADQUISICION DE CALZADO PARA LAS COMPAÑIAS DE INTERVENCION RAPIDA PARA DESASTRES</t>
  </si>
  <si>
    <t>28</t>
  </si>
  <si>
    <t>20131529181</t>
  </si>
  <si>
    <t>12-Jul-19</t>
  </si>
  <si>
    <t>06-Aug-19</t>
  </si>
  <si>
    <t>CONTRATACION DE KITS EDUCATIVO Y TOMATODOS PARA LAS OPERACIONES Y ACCIONES MILITARES QUE REALIZA EL CCFFAA CON LAS POBLACIONES DEL VRAEM</t>
  </si>
  <si>
    <t>20603123809</t>
  </si>
  <si>
    <t>25-Jul-19</t>
  </si>
  <si>
    <t>05-Aug-19</t>
  </si>
  <si>
    <t>ADQUISICION DE UNIFORME CAMUFLADO ATACS PARA LA COMPAÑIA DE CONSTRUCCION Y MANTENIMIENTO DE AERODROMOS DEL PERU EN LA REPUBLICA CENTROAFRICANA</t>
  </si>
  <si>
    <t>33</t>
  </si>
  <si>
    <t>20297955170</t>
  </si>
  <si>
    <t>15-Aug-19</t>
  </si>
  <si>
    <t>ADQUISICION DE BOLSA DE CADAVERES PARA LAS COMPAÑIAS DE INTERVENCION RAPIDA PARA DESASTRES</t>
  </si>
  <si>
    <t>23</t>
  </si>
  <si>
    <t>12-Aug-19</t>
  </si>
  <si>
    <t>20-Sep-19</t>
  </si>
  <si>
    <t>ADQUISICION DE EQUIPO DE INSPECCION PARA LAS COMPAÑIAS DE INTERVENCION RAPIDA PARA DESASTRES</t>
  </si>
  <si>
    <t>19</t>
  </si>
  <si>
    <t>20510124881</t>
  </si>
  <si>
    <t>19-Jul-19</t>
  </si>
  <si>
    <t>08-Aug-19</t>
  </si>
  <si>
    <t>ADQUISICION DE REPUESTOS PARA EL MANTENIMIENTO CORRECTIVO DE EQUIPAMIENTO DE COMPUTO DEL CCFFAA, CCOO Y CCEE</t>
  </si>
  <si>
    <t>20342857214</t>
  </si>
  <si>
    <t>06-Sep-19</t>
  </si>
  <si>
    <t>ADQUISICION DE RECIPIENTE DE AGUA PARA LAS COMPAÑIAS DE INTERVENCION RAPIDA PARA DESASTRES (CIRD´S)</t>
  </si>
  <si>
    <t>25</t>
  </si>
  <si>
    <t>20554345141</t>
  </si>
  <si>
    <t>07-Aug-19</t>
  </si>
  <si>
    <t>23-Aug-19</t>
  </si>
  <si>
    <t>ADQUISICION DE MATERIAL DE JARDINERIA PARA LAS COMPAÑIAS DE INTERVENCION RAPIDA PARA DESASTRES</t>
  </si>
  <si>
    <t>16</t>
  </si>
  <si>
    <t>20511614679</t>
  </si>
  <si>
    <t>19-Aug-19</t>
  </si>
  <si>
    <t>10-Sep-19</t>
  </si>
  <si>
    <t>ADQUISICION DE MATERIAL DE PROTECCION PERSONAL PARA LAS COMPAÑIAS DE INTERVENCION RAPIDA PARA DESASTRES</t>
  </si>
  <si>
    <t>24</t>
  </si>
  <si>
    <t>29-Aug-19</t>
  </si>
  <si>
    <t>ADQUISICION DE PILAS RECARGABLES Y CARGADORES PARA LAS CIRDS</t>
  </si>
  <si>
    <t>29</t>
  </si>
  <si>
    <t>20510032684</t>
  </si>
  <si>
    <t>02-Aug-19</t>
  </si>
  <si>
    <t>22-Aug-19</t>
  </si>
  <si>
    <t>ADQUISICION DE MOTOSIERRA Y MOTOTROZADORA PARA LAS COMPAÑIAS DE INTERVENCION RAPIDA PARA DESASTRES</t>
  </si>
  <si>
    <t>32</t>
  </si>
  <si>
    <t>20601955432</t>
  </si>
  <si>
    <t>20-Aug-19</t>
  </si>
  <si>
    <t>30-Oct-19</t>
  </si>
  <si>
    <t>CONTRATACION DEL SERVICIO DE RACIONAMIENTO PARA EL PERSONAL DEL COMANDO CONJUNTO DE LAS FUERZAS ARMADAS</t>
  </si>
  <si>
    <t>36</t>
  </si>
  <si>
    <t>20538515842</t>
  </si>
  <si>
    <t>28-Aug-19</t>
  </si>
  <si>
    <t>28-Aug-20</t>
  </si>
  <si>
    <t>ADQUISICION DE MATERIAL DE FERRETERIA PARA LAS COMPAÑIAS DE INTERVENCION RAPIDA PARA DESASTRES</t>
  </si>
  <si>
    <t>26</t>
  </si>
  <si>
    <t>04-Sep-19</t>
  </si>
  <si>
    <t>30-Sep-19</t>
  </si>
  <si>
    <t>ADQUISICION DE CAMILLA TIPO CANASTILLA PARA LAS COMPAÑIAS DE INTERVENCION RAPIDA PARA DESASTRES</t>
  </si>
  <si>
    <t>38</t>
  </si>
  <si>
    <t>20562640194</t>
  </si>
  <si>
    <t>27-Nov-19</t>
  </si>
  <si>
    <t>CONTRATACION DE COMPLEMENTO DE RACIONAMIENTO PARA EL PERSONAL DEL COMANDO CONJUNTO DE LAS FUERZAS ARMADAS</t>
  </si>
  <si>
    <t>20100070970</t>
  </si>
  <si>
    <t>17-Sep-19</t>
  </si>
  <si>
    <t>26-Sep-19</t>
  </si>
  <si>
    <t>20221084684</t>
  </si>
  <si>
    <t>13-Sep-19</t>
  </si>
  <si>
    <t>04-Oct-19</t>
  </si>
  <si>
    <t>ADQUISICION DE PILAS Y BATERIAS PARA LOS EQUIPOS DE COMUNICACIONES Y OPTRONICOS PARA LA FUERZA ESPECIAL CONJUNTA</t>
  </si>
  <si>
    <t>44</t>
  </si>
  <si>
    <t>25-Sep-19</t>
  </si>
  <si>
    <t>15-Oct-19</t>
  </si>
  <si>
    <t>CONTRATACION DEL SERVICIO DE IMPLEMENTACION DE AMBIENTES DEL CENTRO DE OPERACIONES DE SEGURIDAD (SOC) DEL CCFFAA</t>
  </si>
  <si>
    <t>20512557474</t>
  </si>
  <si>
    <t>10-Oct-19</t>
  </si>
  <si>
    <t>ADQUISICION DE PRENDAS DRILL PARA LAS CIRDS</t>
  </si>
  <si>
    <t>17</t>
  </si>
  <si>
    <t>03-Oct-19</t>
  </si>
  <si>
    <t>28-Oct-19</t>
  </si>
  <si>
    <t>ADQUISICION DE ESCALERAS DE BOMBERO PARA LAS CIRDS</t>
  </si>
  <si>
    <t>22-Oct-19</t>
  </si>
  <si>
    <t>24-Oct-19</t>
  </si>
  <si>
    <t>CONTRATACION DEL SERVICIO DE ALQUILER DE BUSES PARA EL TRASLADO DEL PERSONAL MILITAR DE LA FEC DEL COOE A LA ZONA DEL VRAEM</t>
  </si>
  <si>
    <t>49</t>
  </si>
  <si>
    <t>31-Dec-19</t>
  </si>
  <si>
    <t>ADQUISICION DE ZAPATILLAS PARA EL PERSONAL DEL COOE - FEC</t>
  </si>
  <si>
    <t>40</t>
  </si>
  <si>
    <t>07-Nov-19</t>
  </si>
  <si>
    <t>29-Nov-19</t>
  </si>
  <si>
    <t>CONTRATACION DEL SERVICIO DE IMPLEMENTACION DE SISTEMA DE CONTROL Y MONITOREO DE INCIDENCIAS EN LA RED (SIEM) Y UNA PLATAFORMA DE CIBERENTRENAMIENTO</t>
  </si>
  <si>
    <t>41</t>
  </si>
  <si>
    <t>20601317461</t>
  </si>
  <si>
    <t>29-Oct-19</t>
  </si>
  <si>
    <t>11-Nov-19</t>
  </si>
  <si>
    <t>13-Nov-19</t>
  </si>
  <si>
    <t>CONTRATACION DEL SERVICIO DE MANTENIMIENTO, ACONDICIONAMIENTO DEL HUB SATELITAL Y ESTACIONES VSAT IDIRECT A LA VERSION IDX 3.1 Y SUPERIORES DEL COMANDO CONJUNTO DE LAS FUERZAS ARMADAS</t>
  </si>
  <si>
    <t>51</t>
  </si>
  <si>
    <t>20512573160</t>
  </si>
  <si>
    <t>19-Nov-19</t>
  </si>
  <si>
    <t>07-Jan-20</t>
  </si>
  <si>
    <t>ADQUISICION DE VESTUARIO Y MATERIAL DIVERSO PARA EL PERSONAL DE LA FUERZA ESPECIAL CONJUNTA Y COOE</t>
  </si>
  <si>
    <t>37</t>
  </si>
  <si>
    <t>20600933265</t>
  </si>
  <si>
    <t>22-Nov-19</t>
  </si>
  <si>
    <t>10-Dec-19</t>
  </si>
  <si>
    <t>ADQUISICION DE BOTAS DE COMBATE COLOR ARENA PARA EL V CONTINGENTE LAS COMPAÑIAS DE INTERVENCION RAPIDA PARA DESASTRES</t>
  </si>
  <si>
    <t>50</t>
  </si>
  <si>
    <t>12-Nov-19</t>
  </si>
  <si>
    <t>ADQUISICION DE VACUNAS</t>
  </si>
  <si>
    <t>52</t>
  </si>
  <si>
    <t>20100085225</t>
  </si>
  <si>
    <t>02-Dec-19</t>
  </si>
  <si>
    <t>18-Dec-19</t>
  </si>
  <si>
    <t>ADQUISICION DE VESTUARIO ATACS Y PRENDAS DIVERSAS PARA EL V CONTINGENTE DE LA COMPAÑIA DE CONSTRUCCION Y MANTENIMIENTO DE AERODROMOS DEL PERU</t>
  </si>
  <si>
    <t>46</t>
  </si>
  <si>
    <t>23-Dec-19</t>
  </si>
  <si>
    <t>ADQUISICION DE ROPA DE CAMA PARA EL V CONTINGENTE DE LA COMPAÑIA DE CONSTRUCCION Y MANTENIMIENTO DE AERODROMOS DEL PERU</t>
  </si>
  <si>
    <t>57</t>
  </si>
  <si>
    <t>20601846838</t>
  </si>
  <si>
    <t>09-Dec-19</t>
  </si>
  <si>
    <t>27-Dec-19</t>
  </si>
  <si>
    <t>CONTRATACION DEL SERVICIO DE MANTENIMIENTO, IMPLEMENTACION BASICA DEL CENTRO DE RESPUESTA A INCIDENTES DE SEGURIDAD (CSIRT) INCLUYENDO EL CAMBIO DE LAS TRONCALES DEL CABLEADO ESTRUCTURADO DE LOS 5 PISOS DEL CCFFAA</t>
  </si>
  <si>
    <t>55</t>
  </si>
  <si>
    <t>20601796211</t>
  </si>
  <si>
    <t>05-Dec-19</t>
  </si>
  <si>
    <t>ADQUISICION DE MEDICINAS, MATERIAL MEDICO Y MATERIAL DENTAL PARA EL V CONTINGENTE DE LA COMPAÑIA DE CONSTRUCCION Y MANTENIMIENTO DE AERODROMOS DEL PERU</t>
  </si>
  <si>
    <t>53</t>
  </si>
  <si>
    <t>19-Dec-19</t>
  </si>
  <si>
    <t>13-Dec-19</t>
  </si>
  <si>
    <t>ADQUISICION DE REPUESTOS Y ACCESORIOS PARA VEHICULOS Y EQUIPOS DE INGENIERIA DE LA MINUSCA</t>
  </si>
  <si>
    <t>56</t>
  </si>
  <si>
    <t>20392551205</t>
  </si>
  <si>
    <t>06-Dec-19</t>
  </si>
  <si>
    <t>CONTRATACION DEL SERVICIO PARA LA IMPLEMENTACION DE AMBIENTES DE CIBERSEGURIDAD DE LA 6TA DEMCFFAA</t>
  </si>
  <si>
    <t>21</t>
  </si>
  <si>
    <t>17-Dec-19</t>
  </si>
  <si>
    <t>ADQUISICION PRENDAS DIVERSAS PARA EL V CONTINGENTE DE LA COMPAÑIA DE CONSTRUCCION Y MANTENIMIENTO DE AERODROMOS DEL PERU</t>
  </si>
  <si>
    <t>24-Dec-19</t>
  </si>
  <si>
    <t>ADQUISICION DE INSUMOS PARA ELABORACION DE ALIMENTOS (CONDIMENTOS Y OTROS) PARA EL V CONTINGENTE DE LA COMPAÑIA DE CONSTRUCCION Y MANTENIMIENTO DE AERODROMOS DEL PERU</t>
  </si>
  <si>
    <t>58</t>
  </si>
  <si>
    <t>20537544148</t>
  </si>
  <si>
    <t>08-Jan-20</t>
  </si>
  <si>
    <t>20-Jan-20</t>
  </si>
  <si>
    <t>CONTRATACION DEL SERVICIO LOGISTICO INTEGRAL DE TRANSPORTE DE MATERIAL PARA EL V CONTINGENTE DE LA COMPAÑIA DE CONSTRUCCION Y MANTENIMIENTO DE AERODROMOS DEL PERU</t>
  </si>
  <si>
    <t>48</t>
  </si>
  <si>
    <t>20383127581</t>
  </si>
  <si>
    <t>09-Jan-20</t>
  </si>
  <si>
    <t>22-Apr-20</t>
  </si>
  <si>
    <t>CONTRATACION DEL SERVICIO DE ALQUILER DE ESTACIONAMIENTOS PARA LOS VEHICULOS ADMINISTRATIVOS DEL CCFFAA</t>
  </si>
  <si>
    <t>20301837896</t>
  </si>
  <si>
    <t>28-Jan-20</t>
  </si>
  <si>
    <t>29-Jan-21</t>
  </si>
  <si>
    <t>ADQUISICION DE MOTOBOMBA Y MANGA PARA LAS COMPAÑIAS DE INTERVENCION RAPIDA PARA DESASTRES</t>
  </si>
  <si>
    <t>Licitacion publica</t>
  </si>
  <si>
    <t>20605123792</t>
  </si>
  <si>
    <t>14-Nov-19</t>
  </si>
  <si>
    <t>ADQUISICION DE GENERADOR Y MARTILLO PARA LAS COMPAÑIAS DE INTERVENCION RAPIDA PARA DESASTRES</t>
  </si>
  <si>
    <t>20179299411</t>
  </si>
  <si>
    <t>CONTRATACION CORPORATIVA DE SEGURO DE VEHICULOS E HIDROCARBUROS</t>
  </si>
  <si>
    <t>Concuso publico</t>
  </si>
  <si>
    <t>20100041953</t>
  </si>
  <si>
    <t>02-Sep-19</t>
  </si>
  <si>
    <t>15-Sep-20</t>
  </si>
  <si>
    <t>CONTRATACION DEL SERVICIO DE LIMPIEZA Y MANTENIMIENTO DE LAS INSTALACIONES DEL COMANDO CONJUNTO DE LAS FUERZAS ARMADAS</t>
  </si>
  <si>
    <t>20603884532</t>
  </si>
  <si>
    <t>24-Jul-19</t>
  </si>
  <si>
    <t>31-Dec-20</t>
  </si>
  <si>
    <t>ADQUISICION DE EQUIPO Y MATERIAL MEDICO PARA LAS COMPAÑIAS DE INTERVENCION RAPIDA PARA DESASTRES</t>
  </si>
  <si>
    <t>20519365589</t>
  </si>
  <si>
    <t>29-Jan-20</t>
  </si>
  <si>
    <t>14-Feb-20</t>
  </si>
  <si>
    <t>ADQUISICION DE EXPANSOR CORTADOR PARA LAS COMPAÑIAS DE INTERVENCION RAPIDA PARA DESASTRES</t>
  </si>
  <si>
    <t>17-Feb-20</t>
  </si>
  <si>
    <t>16-Apr-20</t>
  </si>
  <si>
    <t>CONTRATACION DEL SUMINISTRO DE COMBUSTIBLE PARA LOS VEHICULOS DEL COMANDO CONJUNTO DE LAS FUERZAS ARMADAS</t>
  </si>
  <si>
    <t>Subasta inversa electronica</t>
  </si>
  <si>
    <t>20514606774</t>
  </si>
  <si>
    <t>06-May-19</t>
  </si>
  <si>
    <t>07-May-20</t>
  </si>
  <si>
    <t>CONTRATACION DE SERVICIO DE MANTENIMIENTO PREVENTIVO DE VEHICULOS Y MOTOS DEL COMANDO CONJUNTO DE LAS FUERZAS ARMADA Y CIOEC</t>
  </si>
  <si>
    <t>Comparacion de precios</t>
  </si>
  <si>
    <t>10087629746</t>
  </si>
  <si>
    <t>01-Aug-19</t>
  </si>
  <si>
    <t>30-Apr-20</t>
  </si>
  <si>
    <t>ADQUISICION DE AIRES ACONDICIONADOS, CONDENSADORES, EVAPORADORES, EXTRACTORES Y TERMA</t>
  </si>
  <si>
    <t>03-Sep-19</t>
  </si>
  <si>
    <t>ADQUISICION DE MATERIAL PARA TRABAJOS DE RESCATE PARA LAS COMPAÑIAS DE INTERVENCION RAPIDA PARA DESASTRES</t>
  </si>
  <si>
    <t>Regimen especial</t>
  </si>
  <si>
    <t>30000006503</t>
  </si>
  <si>
    <t>CONTRATACION DE SERVICIO DE MANTENIMIENTO DE INSTALACIONES DE LA CUADRA DE LA FEC Y ACONDICIONAMIENTO DE LA EXPLANADA PRINCIPAL DE JEFATURA</t>
  </si>
  <si>
    <t>SERVICIO DE ACONDICIONAMIENTO DE OFICINAS DE CONTROL INTERNO, CAPILLA, ARCHIVO PASIVO Y COMEDOR DE SUB-OFICIALES DEL CCFFAA</t>
  </si>
  <si>
    <t>ADQUISICION DE SILLAS, MESAS, SILLONES, TOLDO, TABLERO Y OTROS</t>
  </si>
  <si>
    <t>26-Dec-19</t>
  </si>
  <si>
    <t>UTILES DE ASEO PARA EL PERSONAL DEL COMANDO OPERACIONAL DE OPERACIONES ESPECIALES Y FUERZA ESPECIAL CONJUNTA</t>
  </si>
  <si>
    <t>20506416273</t>
  </si>
  <si>
    <t>SERVICIO DE ACONDICIONAMIENTO E IMPLEMENTACION DE LA SALA QUIÑONES Y SALA BOLOGNESI DEL CCFFAA</t>
  </si>
  <si>
    <t>20600085329</t>
  </si>
  <si>
    <t>21-Jan-20</t>
  </si>
  <si>
    <t>31-Jan-20</t>
  </si>
  <si>
    <t>CONTRATACION DEL SERVICIO DE RENOVACION DE LICENCIAMIENTO DEL SOFTWARE INSTITUCIONAL MICROSOFT DE SERVIDORES Y ESTACIONES DE TRABAJO DEL CCFFAA</t>
  </si>
  <si>
    <t>22</t>
  </si>
  <si>
    <t>20543312232</t>
  </si>
  <si>
    <t>EJECUTADO</t>
  </si>
  <si>
    <t>25-May-20</t>
  </si>
  <si>
    <t>01-Jun-23</t>
  </si>
  <si>
    <t>ADQUISICION DE RECIPIENTE DE AGUA PARA LAS COMPAÑIAS DE INTERVENCION RAPIDA PARA DESASTRES</t>
  </si>
  <si>
    <t>05-Jun-20</t>
  </si>
  <si>
    <t>ADQUISICION DE PILAS RECARGABLES Y CARGADOR PARA LAS COMPAÑIAS DE INTERVENCION RAPIDA PARA DESASTRES</t>
  </si>
  <si>
    <t>ADQUISICION DE MOSQUITERO PARA LAS COMPAÑIAS DE INTERVENCION RAPIDA PARA DESASTRES</t>
  </si>
  <si>
    <t>01-Jun-20</t>
  </si>
  <si>
    <t>12-Jun-20</t>
  </si>
  <si>
    <t>CONTRATACION DEL SERVICIO DE MANTENIMIENTO DE PISOS E INFRAESTRUCTURA DEL COMANDO CONJUNTO DE LAS FUERZAS ARMADAS</t>
  </si>
  <si>
    <t>03-Jun-20</t>
  </si>
  <si>
    <t>24-Jul-20</t>
  </si>
  <si>
    <t>ADQUISICION DE GENERADOR Y MARTILLO DEMOLEDOR PARA LAS COMPAÑIAS DE INTERVENCION RAPIDA PARA DESASTRES</t>
  </si>
  <si>
    <t>16-Jun-20</t>
  </si>
  <si>
    <t>17-Jul-20</t>
  </si>
  <si>
    <t>22-Jun-20</t>
  </si>
  <si>
    <t>24-Jun-20</t>
  </si>
  <si>
    <t>31-Aug-20</t>
  </si>
  <si>
    <t>26-Jun-20</t>
  </si>
  <si>
    <t>10-Jul-20</t>
  </si>
  <si>
    <t>CONTRATACION DEL SERVICIO DE ACONDICIONAMIENTO DE LAS OFICINAS DEL COMANDO CONJUNTO DE LAS FUERZAS ARMADAS</t>
  </si>
  <si>
    <t>30-Jul-20</t>
  </si>
  <si>
    <t>24-Aug-20</t>
  </si>
  <si>
    <t>ADQUISICION DE VESTUARIO PARA EL PERSONAL DEL CIOEC Y CCFFAA</t>
  </si>
  <si>
    <t>20600825101</t>
  </si>
  <si>
    <t>22-Jul-20</t>
  </si>
  <si>
    <t>20503842689</t>
  </si>
  <si>
    <t>ADQUISICION DE ROPA DE DEPORTE PARA EL PERSONAL DE LA FUERZA ESPECIAL CONJUNTA (FEC)</t>
  </si>
  <si>
    <t>17-Aug-20</t>
  </si>
  <si>
    <t>ADQUISICION DE VESTUARIO PARA MANTENIMIENTO DE LAS TRIPULACIONES AEREAS</t>
  </si>
  <si>
    <t>20600459903</t>
  </si>
  <si>
    <t>27-Aug-20</t>
  </si>
  <si>
    <t>15-Oct-20</t>
  </si>
  <si>
    <t>18-Aug-20</t>
  </si>
  <si>
    <t>04-Sep-20</t>
  </si>
  <si>
    <t>ADQUISICION DE KITS EDUCATIVOS Y TOMATODOS PARA EL COMANDO CONJUNTO DE LAS FUERZAS ARMADAS</t>
  </si>
  <si>
    <t>34</t>
  </si>
  <si>
    <t>08-Sep-20</t>
  </si>
  <si>
    <t>ADQUISICION DE SUPLEMENTOS Y COMPLEMENTOS ENERGETICOS Y NUTRICIONALES PARA EL PERSONAL DE LA FUERZA ESPECIAL CONJUNTA (FEC)</t>
  </si>
  <si>
    <t>10206761275</t>
  </si>
  <si>
    <t>02-Sep-20</t>
  </si>
  <si>
    <t>22-Sep-20</t>
  </si>
  <si>
    <t>47</t>
  </si>
  <si>
    <t xml:space="preserve">EN EJECUCION </t>
  </si>
  <si>
    <t>30-Dec-20</t>
  </si>
  <si>
    <t>ADQUISICION DE POLO DE ALGODON PIMA MANGA CORTA PARA LAS TRIPULACIONES AEREAS</t>
  </si>
  <si>
    <t>11-Oct-20</t>
  </si>
  <si>
    <t>ADQUISICION DE CAMARA DIGITAL DE INSPECCION PARA LAS COMPAÑIAS DE INTERVENCION RAPIDA PARA DESASTRES</t>
  </si>
  <si>
    <t>25-Aug-20</t>
  </si>
  <si>
    <t>14-Sep-20</t>
  </si>
  <si>
    <t>ADQUISICION DE EQUIPO Y MATERIAL DE COMUNICACIONES PARA LAS COMPAÑIAS DE INTERVENCION RAPIDA PARA DESASTRES</t>
  </si>
  <si>
    <t>20601286204</t>
  </si>
  <si>
    <t>11-Sep-20</t>
  </si>
  <si>
    <t>SOLICITO AMPLIACION DE PLAZOS</t>
  </si>
  <si>
    <t>03-Aug-20</t>
  </si>
  <si>
    <t>20538053377</t>
  </si>
  <si>
    <t>02-Dec-20</t>
  </si>
  <si>
    <t>CONTRATACION DEL SERVICIO DE RACIONAMIENTO PARA EL PERSONAL DE LA FUERZA ESPECIAL CONJUNTA</t>
  </si>
  <si>
    <t>10214642374</t>
  </si>
  <si>
    <t>31-Jul-20</t>
  </si>
  <si>
    <t>29-Jul-21</t>
  </si>
  <si>
    <t>ADQUISICION DE PRENDAS DRILL PARA LAS COMPAÑIAS DE INTERVENCION RAPIDA PARA DESASTRES</t>
  </si>
  <si>
    <t>26-Oct-20</t>
  </si>
  <si>
    <t>24-Oct-20</t>
  </si>
  <si>
    <t>25-Nov-20</t>
  </si>
  <si>
    <t>11-Aug-20</t>
  </si>
  <si>
    <t>09-Dec-20</t>
  </si>
  <si>
    <t>CONTRATACION DEL SERVICIO DE RACIONAMIENTO PARA EL PERSONAL DE LA FUERZA ESPECIAL CONJUNTA (FEC)</t>
  </si>
  <si>
    <t>Contratacion directa</t>
  </si>
  <si>
    <t>30-Mar-20</t>
  </si>
  <si>
    <t>ADQUISICION DE MATERIAL DE ASEO (ALCOHOL GEL ANTISEPTICO DE MANO) Y PROTECCION PERSONAL (MASCARILLAS Y GUANTES QUIRURGICOS DE LATEX) PARA EL PERSONAL DEL COMANDO CONJUNTO DE LAS FUERZAS ARMADAS</t>
  </si>
  <si>
    <t>20548049203</t>
  </si>
  <si>
    <t>12-May-20</t>
  </si>
  <si>
    <t>29-May-20</t>
  </si>
  <si>
    <t>ADQUISICION DE MATERIAL DE PROTECCION PERSONAL PARA EL PERSONAL DEL COMANDO CONJUNTO DE LAS FUERZAS ARMADAS</t>
  </si>
  <si>
    <t>09-Jun-20</t>
  </si>
  <si>
    <t>ADQUISICION DE EQUIPO ANTIMOTIN PARA LOS COMANDOS OPERACIONALES</t>
  </si>
  <si>
    <t>11-Jun-20</t>
  </si>
  <si>
    <t>19-Jun-20</t>
  </si>
  <si>
    <t>09-Jul-20</t>
  </si>
  <si>
    <t>ADQUISICION DE EQUIPOS DE VIGILANCIA PARA LAS FRONTERAS</t>
  </si>
  <si>
    <t>14-Aug-20</t>
  </si>
  <si>
    <t>CONTRATACION DEL SERVICIO DE MANTENIMIENTO, ACONDICIONAMIENTO, REPARACION E IMPLEMENTACION DE LAS INSTALACIONES DE LA FUERZA ESPECIAL CONJUNTA</t>
  </si>
  <si>
    <t>20603165471</t>
  </si>
  <si>
    <t>21-Aug-20</t>
  </si>
  <si>
    <t>05-Oct-20</t>
  </si>
  <si>
    <t xml:space="preserve">ASIGNACION PARA LA CAMPAÑA DE INTERVENCION RAPIDA DE DESASTRE - CIRDS </t>
  </si>
  <si>
    <t>SERVICIO DE SEGURO VEHICULAR PARA EL CCFFAA</t>
  </si>
  <si>
    <t xml:space="preserve">ADJ SIMPLIFICADA </t>
  </si>
  <si>
    <t>SERVICIO DE MANTENIMIENTO PREVENTIVO DEL VEHICULO DEL CCFFAA</t>
  </si>
  <si>
    <t>SERVICIO DE MANTENIMIENTO PREVENTIVO DE LAS CAMIONETAS DE LA FEC</t>
  </si>
  <si>
    <t xml:space="preserve">SERVICIO DE ESTACIONAMIENTO DE VEHICULOS ADMINISTRATIVOS </t>
  </si>
  <si>
    <t>ADQUISICION DE COMBUSTIBLE PARA VEHICULO DEL CCFFAA</t>
  </si>
  <si>
    <t>SUBASTA INVERSA</t>
  </si>
  <si>
    <t>SERVICIO DE RACIONAMIENTO DEL PERSONAL DE LA FEC</t>
  </si>
  <si>
    <t>SERVICIO DE RACIONAMIENTO DEL PERSONAL DEL CCFFAA</t>
  </si>
  <si>
    <t xml:space="preserve">1 SERVICIOS DE CONSULTORIAS Y SIMILARES DESARROLLADOS POR
PERSONAS NATURALES
</t>
  </si>
  <si>
    <t>Informe sobre las contrataciones  y seguros en la Unidad de Logistica</t>
  </si>
  <si>
    <t>Asesor (Abogado)</t>
  </si>
  <si>
    <t>UNIDAD EJECUTORA 002 - CCFFAA</t>
  </si>
  <si>
    <t>COMNNDO CONJUNTO DE LAS FUERZAS ARMADAS</t>
  </si>
  <si>
    <t>BANCO DE LA NACION</t>
  </si>
  <si>
    <t>0000-300861</t>
  </si>
  <si>
    <t>SOLES</t>
  </si>
  <si>
    <t>0000-298220</t>
  </si>
  <si>
    <t>0000-575356</t>
  </si>
  <si>
    <t>DOLARES</t>
  </si>
  <si>
    <t>00068364698</t>
  </si>
  <si>
    <t>CD N°004-2019-EP/UO 0730</t>
  </si>
  <si>
    <t>REVERTIDO</t>
  </si>
  <si>
    <t>----</t>
  </si>
  <si>
    <t>---</t>
  </si>
  <si>
    <t>AS N° 009-2019-EP/UO 0730</t>
  </si>
  <si>
    <t>CONSORCIO LOS OLIVOS (PROYECTO EN MINERIA Y CONSTRUCCION REAL RUC: 20492763544/ PROYECTOS Y CONSTRUCCIONES INDUSTRIALE Y CIVILES RUC:205550219370)</t>
  </si>
  <si>
    <t>24/08/2020 (ADENDA 03 AL CONTRATO 019-2019-ASS/UO 0730)</t>
  </si>
  <si>
    <t>AS N° 008-2019-EP/UO 0730</t>
  </si>
  <si>
    <t>EMPRESA CONSTRUCTORA ANDINA S.R.L RUC: 20534094079</t>
  </si>
  <si>
    <t>24/08/2020 (ADENDA 02 AL CONTRATO 015-2019-ASS/UO 0730)</t>
  </si>
  <si>
    <t>AS N° 017-2019-EP/UO 0730</t>
  </si>
  <si>
    <t>CONSORCIO FRANCISCO BOLOGNESI (KS INTERNACIONAL GROUP S.A.C. RUC: 20512253769/ PORFISACONTRATISTAS GENERALES S.A.C. RUC</t>
  </si>
  <si>
    <t>07/08/2020 (ADENDA 02 AL CONTRATO 017-2019-ASS/UO 0730)</t>
  </si>
  <si>
    <t>CD N°002-2020-EP/UO 0730</t>
  </si>
  <si>
    <t>AMKO SAC CONTRATISTAS GENERALES S.A.</t>
  </si>
  <si>
    <t>CD N°008-2020-EP/UO 0730</t>
  </si>
  <si>
    <t>ARQ. ELVIS CARDENAS ALANYA RUC: 10200216470</t>
  </si>
  <si>
    <t>CD N°003-2020-EP/UO 0730</t>
  </si>
  <si>
    <t>CONSTRUCTORA TINCO CONTRATISTAS GENERALES S.R.L. RUC: 20503100356</t>
  </si>
  <si>
    <t>CD N°005-2020-EP/UO 0730</t>
  </si>
  <si>
    <t>ING. CIVIL ALBERTO CACHUAN ZUÑIGA RUC: 10097262603</t>
  </si>
  <si>
    <t>1 EJECUCION DE OBRA PI "MEJORAMIENTO DE LAS CAPACIDADES OPERACIONALES Y LOGISTICAS DEL COMPONENTE DE LA FFEE DEL CE VRAEM-PICHARI"</t>
  </si>
  <si>
    <t>CONTRATACION DIRECTA</t>
  </si>
  <si>
    <t>POR CONTRATA</t>
  </si>
  <si>
    <t>2. ELABORACION DE EXPEDIENTE TECNICO Y EJECUCION DE OBRA "REHABILITAZION DE LA INSFRAESTRUCTURA DE LA COMANDANCIA GENERAL Y ESTADO MAYOR DEL COMANDO DE APOYO AL DESARROLLO NACIONAL DEL EJERCITO"</t>
  </si>
  <si>
    <t xml:space="preserve">ADJUDICACION SIMPLIFICADA </t>
  </si>
  <si>
    <t>3. CONTRATACION DE LA EJECUCION DE LA OBRA "MEJORAMIENTO DEL SERVICIO DE GESTION DE INVERSIONES DE LA UNIDAD FORMULADORA DEL EJERCITO - DIRECCION DE INVERSION DE INVERSIONES (DINVE)"</t>
  </si>
  <si>
    <t>4. EJECUCION DE OBRA IOARR "REPARACION DE TALLER EN EL (LA) INSTITUTO EDUCATIVO SUPERIOR TECNOLOGICO PUBLICO DEL EJERCITO - ETE - EN EL DISTRITO DE CHORILLOS PROVINCIA Y DEPARTAMENTO DE LIMA " CON CODIGO UNICO DE INVERSION 2449996</t>
  </si>
  <si>
    <t>5. CONTRATACION PARA LA ELABORACION DE EXPEDIENTE TECNICO, EJECUCION DE OBRA, EQUIPAMIENTO, MONTAJE Y PUESTA EN SERVICIO DE LA IOARR "CONSTRUCCION DE VELATORIO, CREMATORIO, CAPILLA ESPACIO EXTERIOR Y ADQUISICION DE EQUIPAMIENTO Y MOBILIARIO FUNERARIO EN EL SERVICIO DE INTENDENCIA DEL EJERCITO - DISTRITO DE SAN BORJA - LIMA"</t>
  </si>
  <si>
    <t>CONSULTORIA PARA SUPERVISION DE EJECUCION DE OBRA, EQUIPAMIENTO, MONTAJE Y PUESTA EN SERVICIO DE LA IOARR "CONSTRUCCION DE VELATORIO, CREMATORIO, CAPILLA ESPACIO EXTERIOR Y ADQUISICION DE EQUIPAMIENTO Y MOBILIARIO FUNERARIO EN EL SERVICIO DE INTENDENCIA DEL EJERCITO - DISTRITO DE SAN BORJA - LIMA"</t>
  </si>
  <si>
    <t>7. CONTRATACION PARA LA ELABORACION DEL EXPEDIENTE TECNICO, EJECUCION DE OBRA EQUIPAMIENTO, MONTAJE HASTA LA PUESTA EN SERVICIO DE OBRA, DEL IOAR "REMODELACION DEL CENTRO DE CONTROL Y MONITOREO EN EL COMANDO DE OPERACIONES TERRESTRES DEL EJERCITO, DISTRITO DE SAN BORJA, PROVINCIA/DEPARTAMENTO DE LIMA"</t>
  </si>
  <si>
    <t>8. CONTRATACION DEL SERVICIO DE CONSULORIA PARA LA ELABORACION DEL EXPEDIENTE TECNICO DEL ESTUDIO DE PRE-INVERSION "MEJORAMIENTO DE LOS SERVICIOS DE SALUD DEL CENTRO MILITAR 3RA. BRIGADA BLINDADA, DISTRITO DE MOQUEGUA - PROVINCIA MARISCAL NIETO - DEPARTAMENTO DE MOQUEGUA"</t>
  </si>
  <si>
    <t>AF-2019</t>
  </si>
  <si>
    <t>SERVICIO DE TRANSPORTE DE TRASLADO DE CARGA DE BIENES MATERIALES A NIVEL NACIONAL</t>
  </si>
  <si>
    <t>ADJUDICACION
SIMPLIFICADA</t>
  </si>
  <si>
    <t>Contrato N°004-2019 U/E 003</t>
  </si>
  <si>
    <t>S/170,000.00</t>
  </si>
  <si>
    <t>ATOP EXPRESS S.A.C -20523209095</t>
  </si>
  <si>
    <t>SIN NOVEDAD</t>
  </si>
  <si>
    <t>SERVICIO SANEAMIENTO FISICO LEGAL
(JEPAE)</t>
  </si>
  <si>
    <t>Contrato N° 0028-2019 EP/UO 0720/COLOGE/OEC</t>
  </si>
  <si>
    <t>S/199,500.00</t>
  </si>
  <si>
    <t>DAVID CACÑAHUARAY HUILLCAHUARIO</t>
  </si>
  <si>
    <t>VIGENTE</t>
  </si>
  <si>
    <t>SERVICIO A TODO COSTO PARA EL MANTENIMIENTO DE INFRAESTRUCTURA CONSTRUIDA DEL EM- COLOGE</t>
  </si>
  <si>
    <t>CONCURSO 
PUBLICO</t>
  </si>
  <si>
    <t>Contrato N° 039-2019 EP/UO 0720/COLOGE/OEC</t>
  </si>
  <si>
    <t>S/943,750.00</t>
  </si>
  <si>
    <t>MAYSEPI E.I.R.L - 20268391577</t>
  </si>
  <si>
    <t xml:space="preserve">SEGURO DE VEHICUL DE RESPONSABILIDAD CIVIL (SOAT) </t>
  </si>
  <si>
    <t>SUBASTA INVERSA
ELECTRONICA</t>
  </si>
  <si>
    <t>Contrato N°025-2019 EP /UO 0720/COLOGE/OEC</t>
  </si>
  <si>
    <t>S/239,426.00</t>
  </si>
  <si>
    <t>PACIFICO DE SEGUROS Y REASEGUROS -20332970411</t>
  </si>
  <si>
    <t>Contrato N° 024-2019 EP/UO 0720/COLOGE/OEC</t>
  </si>
  <si>
    <t>S/16,910.00</t>
  </si>
  <si>
    <t>MAFRE PERÚ COMPAÑÍA DE SEGUROS Y REASEGUROS S.A -20202380621</t>
  </si>
  <si>
    <t>SEGURO DE CASCOS MARITIMOS Y EMBARCACIONES FLUVIALES</t>
  </si>
  <si>
    <t>Contrato N°019-2019 EP/UO 0720</t>
  </si>
  <si>
    <t>$/87,081.14</t>
  </si>
  <si>
    <t>SEGURO DE AVIACION</t>
  </si>
  <si>
    <t>Contrato N° 003-2019 U/E 003- EJÉRCITO DEL PERÚ</t>
  </si>
  <si>
    <t>$/11´243,123.18</t>
  </si>
  <si>
    <t>SEGURO DE VEHICULOS (A TODO RIESGO, RESPONSABILIDAD CIVIL, RC HIDROCARBUROS)</t>
  </si>
  <si>
    <t>Contrato N°060-2019 EP/UO 0720/COLOGE/OEC</t>
  </si>
  <si>
    <t>$/434,651.35</t>
  </si>
  <si>
    <t>RIMAC SEGUROS Y REASEGUROS - 20100041953</t>
  </si>
  <si>
    <t>AF-2020</t>
  </si>
  <si>
    <t xml:space="preserve"> SERVICIO DE TRANSPORTE DE TRASLADO DE CARGA DE BIENES MATERIALES A NIVEL NACIONAL</t>
  </si>
  <si>
    <t>CONTRATO N. 005-2020/AS N.001-2020 EP/UO 0720</t>
  </si>
  <si>
    <t>S/185,000.00</t>
  </si>
  <si>
    <t xml:space="preserve">CONSORCIO J.C.A TRANSPORTES SOCIEDAD COMERCIAL DE RESPONSABILIDAD LIMITADA </t>
  </si>
  <si>
    <t xml:space="preserve"> SERVICIO SANEAMIENTO FISICO LEGAL (JEPAE)</t>
  </si>
  <si>
    <t>SIN CONTRATO</t>
  </si>
  <si>
    <t>S/128,640.00</t>
  </si>
  <si>
    <t>RETROTRAER HASTA LOS ACTOS PREPARATORIOS</t>
  </si>
  <si>
    <t>SEGURO DE EMBARCACIONES MARITIMAS Y FLUVIALES PARA EL EJERCITO DEL PERU</t>
  </si>
  <si>
    <t>CONTRATO N . 002-2020-EP/UO 0720</t>
  </si>
  <si>
    <t>$/31,027.58</t>
  </si>
  <si>
    <t xml:space="preserve"> SEGURO DE AVIACION</t>
  </si>
  <si>
    <t>CONCURSO PUBLICO</t>
  </si>
  <si>
    <t>S/17´178,959.03</t>
  </si>
  <si>
    <t>DECLARADO DESIERTO SEGÚN Oficio N°  000054-2020-DJ-ACFFAA de 22 jun 2020</t>
  </si>
  <si>
    <t xml:space="preserve"> CONCURSO PUBLICO: SEGURO DE VEHICULOS E HIDROCARBUROS</t>
  </si>
  <si>
    <t>S/2´000,000.00</t>
  </si>
  <si>
    <t xml:space="preserve"> SUBASTA INVERSA ELECTRONICA: SEGURO OBLIGATORIO DE ACCIDENTE DE TRANSITO (SOAT)</t>
  </si>
  <si>
    <t>CONTRATO N. 004-2020-EP/UO 0720</t>
  </si>
  <si>
    <t>S/241,659.00</t>
  </si>
  <si>
    <t>PROTECTA S.A COMPAÑIA DE SEGUROS</t>
  </si>
  <si>
    <t xml:space="preserve"> SEGURO DE GRIFOS Y BLADERS </t>
  </si>
  <si>
    <t>ADJUDICACIÓN SIMPLIFICADA</t>
  </si>
  <si>
    <t>S/80,000.00</t>
  </si>
  <si>
    <t>ETAPA DE ACTOS PREPARATORIOS</t>
  </si>
  <si>
    <t xml:space="preserve"> SEGUROS DE AERONAVES PARA VEINTICINCO (25) AERONAVES DE LA AVIACIÓN DEL EJÉRCITO EN EL PERÍODO COMPRENDIDO ENTRE LAS 00.00 HORAS DEL 01 DE MAYO 2020 HASTA LAS 23:59 HORAS DEL 30 DE JUNIO DEL 2020</t>
  </si>
  <si>
    <t>CONTRATACIÓN DIRECTA</t>
  </si>
  <si>
    <t xml:space="preserve">CONTRATO N.001-2020/CD N.001-2020 EP/UO 0720 </t>
  </si>
  <si>
    <t>$/1´559,428.59</t>
  </si>
  <si>
    <t xml:space="preserve"> SEGUROS DE AERONAVES PARA VEINTICINCO (35) AERONAVES DE LA AVIACIÓN DEL EJÉRCITO EN EL PERÍODO L 01 DE JUNIO 2020 HASTA EL 31 DE DICIEMBRE DEL 2020</t>
  </si>
  <si>
    <t>CONTRATO N. 003-2020/CD N. 002-2020 EP/UO 0720</t>
  </si>
  <si>
    <t>$/1´852,783.95</t>
  </si>
  <si>
    <t xml:space="preserve">SIN NOVEDAD </t>
  </si>
  <si>
    <t>AF-2021</t>
  </si>
  <si>
    <t>S/556,824.00</t>
  </si>
  <si>
    <t>S/192,531.00</t>
  </si>
  <si>
    <t>CONSULTORIA PARA SANEAMIENTO FISICO LEGAL</t>
  </si>
  <si>
    <t>INFORME POR SANEAMIENTO</t>
  </si>
  <si>
    <t>FUNCIONJ DEFENSA Y SEGURIDAD NACIONAL</t>
  </si>
  <si>
    <t>UNIDAD EJECUTORA 003 - EP</t>
  </si>
  <si>
    <t>026. M. DE DEFENSA</t>
  </si>
  <si>
    <t>CORNEGA IMMOBILIEN GmbH BBT Treuhandstelle des Verbandes Berliner und Brandenburgischer</t>
  </si>
  <si>
    <t>Mieternummer 07570051</t>
  </si>
  <si>
    <t>AJENOS</t>
  </si>
  <si>
    <t>Depósito</t>
  </si>
  <si>
    <t>2 años</t>
  </si>
  <si>
    <t>LUIS SILVA JUES</t>
  </si>
  <si>
    <t>PROPIO</t>
  </si>
  <si>
    <t>Sin Número</t>
  </si>
  <si>
    <t>01 set 2020 - 31ago 2021</t>
  </si>
  <si>
    <t>Embajada del Perú en Brasil</t>
  </si>
  <si>
    <t>03.824.061/0001-61</t>
  </si>
  <si>
    <t>SES CDRA 811 LOTE 43 ASA SUL</t>
  </si>
  <si>
    <t>No</t>
  </si>
  <si>
    <t>Indefinido</t>
  </si>
  <si>
    <t>María CERES RIBEIRO TORRES</t>
  </si>
  <si>
    <t>CPF : 338.467.316-68</t>
  </si>
  <si>
    <t>Terceros</t>
  </si>
  <si>
    <t>SHIS QI 16 CONJ 01 CASA 17 CEP:71.640-210</t>
  </si>
  <si>
    <t>dic 2019 - dic 2020</t>
  </si>
  <si>
    <t>Metcalfe Realty Company Limited</t>
  </si>
  <si>
    <t>ON K1P 5G4 130 Albert St. Suite 1007</t>
  </si>
  <si>
    <t>01 may 2020 - 30 abr 2022</t>
  </si>
  <si>
    <t>BEIJING HOUSING SERVICE CORPORATION FOR DIPLOMATIC MISSIONS</t>
  </si>
  <si>
    <t>15 JUL 2019 / 28 FEB 2021</t>
  </si>
  <si>
    <t>Booyoung Co. Ltd</t>
  </si>
  <si>
    <t>feb 2020 - ene 2022</t>
  </si>
  <si>
    <t>Embajada del Perú en Ecuador</t>
  </si>
  <si>
    <t xml:space="preserve">RUC:1792292026001 </t>
  </si>
  <si>
    <t xml:space="preserve">Propiedad de la Embajada del Perú </t>
  </si>
  <si>
    <t xml:space="preserve">Oficina de la Agremil Militar del Perú </t>
  </si>
  <si>
    <t xml:space="preserve">No existe contrato de arrendamiento. </t>
  </si>
  <si>
    <t>GARAJE CARPA S.L</t>
  </si>
  <si>
    <t>B28145415</t>
  </si>
  <si>
    <t>Anual</t>
  </si>
  <si>
    <t>Agregaduría Aérea del Peru en Francia</t>
  </si>
  <si>
    <t>Propio</t>
  </si>
  <si>
    <t>feb 2018 - dic 2020</t>
  </si>
  <si>
    <t>JASON PIERPOINT FORRESTER</t>
  </si>
  <si>
    <t>SW13 9RS</t>
  </si>
  <si>
    <t>SW15 5FP</t>
  </si>
  <si>
    <t>06 FEB 2019/05FEB2021</t>
  </si>
  <si>
    <t>JSRM ESTATE PVT LTD NEW DELHI</t>
  </si>
  <si>
    <t>Particular</t>
  </si>
  <si>
    <t>02 oficinas y baño compartido.</t>
  </si>
  <si>
    <t>01 Feb 2019 A 31 ene 2021</t>
  </si>
  <si>
    <t>RAMESH KUMAR MAINI</t>
  </si>
  <si>
    <t>Almacén y cochera.</t>
  </si>
  <si>
    <t>1 MAR 2020 A 28 FEB 2022</t>
  </si>
  <si>
    <t>TZVIKA AMITAY</t>
  </si>
  <si>
    <t>GlavUpDK ante el MRREE de Rusia</t>
  </si>
  <si>
    <t>033.595</t>
  </si>
  <si>
    <t>Propiedad Federal</t>
  </si>
  <si>
    <t>1027700347840</t>
  </si>
  <si>
    <t>01 jul 2019 - 31 dic 2020</t>
  </si>
  <si>
    <t>FLORES VILLANUEVA NELSON</t>
  </si>
  <si>
    <t>38104269</t>
  </si>
  <si>
    <t>ALQUILADO</t>
  </si>
  <si>
    <t>NO</t>
  </si>
  <si>
    <t>12 MESES</t>
  </si>
  <si>
    <t>HUERTA JESUS GUILLERMO</t>
  </si>
  <si>
    <t>43302037</t>
  </si>
  <si>
    <t>138.00</t>
  </si>
  <si>
    <t>CRUZADO  SANCHEZ LUIS ALBERTO</t>
  </si>
  <si>
    <t>19245817</t>
  </si>
  <si>
    <t>1,300.00</t>
  </si>
  <si>
    <t>ENRIQUEZ SANCHEZ JESUS MANUEL</t>
  </si>
  <si>
    <t>31662963</t>
  </si>
  <si>
    <t>450.00</t>
  </si>
  <si>
    <t>GUZMAN MORALES GOYO TORIBIO</t>
  </si>
  <si>
    <t>43286888</t>
  </si>
  <si>
    <t>600.00</t>
  </si>
  <si>
    <t>DIAZ MAYO  JUAN CARLOS</t>
  </si>
  <si>
    <t>07033084</t>
  </si>
  <si>
    <t>200.00</t>
  </si>
  <si>
    <t xml:space="preserve">POMALAZA ANGULO GENRRY </t>
  </si>
  <si>
    <t>43324629</t>
  </si>
  <si>
    <t>ROMERO ASTOCONDOR PEDRO</t>
  </si>
  <si>
    <t>09698345</t>
  </si>
  <si>
    <t>500.00</t>
  </si>
  <si>
    <t>JIMENEZ SAAVEDRA  ANTOLIN</t>
  </si>
  <si>
    <t>02619894</t>
  </si>
  <si>
    <t>ROJAS ESPINOZA PERCY IVAN</t>
  </si>
  <si>
    <t>08149049</t>
  </si>
  <si>
    <t>1,500.00</t>
  </si>
  <si>
    <t>CARRILLO BENDEZU JAVIER</t>
  </si>
  <si>
    <t>20994135</t>
  </si>
  <si>
    <t>250.00</t>
  </si>
  <si>
    <t>VILCHEZ QUINTANILLA EDWIN</t>
  </si>
  <si>
    <t>43373043</t>
  </si>
  <si>
    <t>400.00</t>
  </si>
  <si>
    <t>TICONA FLORES  VICTOR</t>
  </si>
  <si>
    <t>01310926</t>
  </si>
  <si>
    <t xml:space="preserve">QUINCHO HUAMAN FRANCISCO </t>
  </si>
  <si>
    <t>43327638</t>
  </si>
  <si>
    <t>550.00</t>
  </si>
  <si>
    <t>CUADROS BENITES  SANTIAGO</t>
  </si>
  <si>
    <t>43515262</t>
  </si>
  <si>
    <t>800.00</t>
  </si>
  <si>
    <t>PAREDES CASTRO  RAMON</t>
  </si>
  <si>
    <t>09860914</t>
  </si>
  <si>
    <t>850.00</t>
  </si>
  <si>
    <t xml:space="preserve">PEREZ LOBATON MAURO </t>
  </si>
  <si>
    <t>10095069</t>
  </si>
  <si>
    <t>BALBIN GALVAN  JUAN JORGE</t>
  </si>
  <si>
    <t>43597624</t>
  </si>
  <si>
    <t>1,000.00</t>
  </si>
  <si>
    <t>TAFUR LOPEZ MARINO</t>
  </si>
  <si>
    <t>33959581</t>
  </si>
  <si>
    <t>SUSANIBAR  CAMPOS JUAN CARLOS</t>
  </si>
  <si>
    <t>43651157</t>
  </si>
  <si>
    <t>CANALES RIVERA  JORGE LUIS</t>
  </si>
  <si>
    <t>08297940</t>
  </si>
  <si>
    <t>650.00</t>
  </si>
  <si>
    <t>CHAPOÑAN QUIROGA  JOSE LUIS</t>
  </si>
  <si>
    <t>10097366</t>
  </si>
  <si>
    <t>PAZ ORELLANA  CARLOS JOSE</t>
  </si>
  <si>
    <t>43275553</t>
  </si>
  <si>
    <t>GADEA GUILLEN  PEDRO HERMES</t>
  </si>
  <si>
    <t>09487569</t>
  </si>
  <si>
    <t>SAAVEDRA RAMOS  GIOVANNI</t>
  </si>
  <si>
    <t>09492670</t>
  </si>
  <si>
    <t>PAUCAR PASQUEL  GILMER</t>
  </si>
  <si>
    <t>ADRIANZEN GONZALES  LUIS E.</t>
  </si>
  <si>
    <t>1,100.00</t>
  </si>
  <si>
    <t>CABANILLAS REAÑO  CESAR</t>
  </si>
  <si>
    <t>1,200.00</t>
  </si>
  <si>
    <t>DE PAZ CANO  HECTOR</t>
  </si>
  <si>
    <t>SARAVIA RAVELLO ANGEL</t>
  </si>
  <si>
    <t xml:space="preserve">CASQUINO VARGAS  JOSE </t>
  </si>
  <si>
    <t>SALAZAR VARGAS  JAIME A.</t>
  </si>
  <si>
    <t>VILLARROEL MOLINA WIMMER</t>
  </si>
  <si>
    <t>CASTRO LINARES  GUSTAVO</t>
  </si>
  <si>
    <t>350.00</t>
  </si>
  <si>
    <t>PEREZ VARGAS ISMAEL</t>
  </si>
  <si>
    <t>370.00</t>
  </si>
  <si>
    <t>CASTELLANOS PINGUS  CESAR</t>
  </si>
  <si>
    <t>CARO FUENTES JOSE DANILO</t>
  </si>
  <si>
    <t>CANDIA  CCOTO FREDY</t>
  </si>
  <si>
    <t>340.00</t>
  </si>
  <si>
    <t>COAQUIRA  AVENDAÑO  JUAN F.</t>
  </si>
  <si>
    <t>300.00</t>
  </si>
  <si>
    <t>ALARCON  LARA AMILCAR</t>
  </si>
  <si>
    <t>CONTRERAS SANCHEZ  MELQUIADES</t>
  </si>
  <si>
    <t>VIVANCO FALCON  JAVIER</t>
  </si>
  <si>
    <t>HUAMANI  TAIPE MARCIAL</t>
  </si>
  <si>
    <t xml:space="preserve">MELENDEZ OSORIO ERROL </t>
  </si>
  <si>
    <t>220.00</t>
  </si>
  <si>
    <t>TACURI HUAMAN  PEDRO</t>
  </si>
  <si>
    <t>CARBONEL LUYO JESUS</t>
  </si>
  <si>
    <t>UNIDAD EJECUTORA 004 - MGP</t>
  </si>
  <si>
    <t>1.-  RECUPERACIÓN MUELLE ISLA SAN LORENZO Y MUELLE CRUCERO ESNA  ITEM N° 2 - REHABILITACIÓN DE ZONAS CRÍTICAS DEL MUELLE DE LA ISLA SAN LORENZO</t>
  </si>
  <si>
    <t>ADJUDICACIÓN SIMPLIFICADA MGP/DIRCOMAT DERIVADA DE LA LICITACIÓN PÚBLICA N° 002-2018-MGP/DIRCOMAT</t>
  </si>
  <si>
    <t>SUMA ALZADA</t>
  </si>
  <si>
    <t>N° 110-2018</t>
  </si>
  <si>
    <t xml:space="preserve">CONSORCIO CONASO QUE ESTA CONFORMADO POR LA EMPRESA CORPORACIÓN SALVATTECI TORRES MEZA E.I.R.L. CON RUC N° 20531931883 Y LA EMPRESA CIA CONSTRUCTORA MORALES S.A.C. CON RUC N° 20477237798 </t>
  </si>
  <si>
    <t>180 DÍAS CALENDARIO</t>
  </si>
  <si>
    <t xml:space="preserve">AMPLIACIÓN DE PLAZO N° 01 POR 21 DÍAS CALENDARIO Y AMPLIACIÓN DE PLAZO N° 02 POR 24 DIAS CALENDARIO </t>
  </si>
  <si>
    <t>CONTRATISTA NO CUMPLIO CON LA ENTREGA DE LA OBRA.  EN LA ACTUALIDAD SE ENCUENTRA EN PROCESO DE CONCILIACIÓN. SE ENVIARÁ CARTA AL CONTRATISTA RESOLVIENDO EL CONTRATO</t>
  </si>
  <si>
    <t xml:space="preserve">AVANCE FÍSICO DE LA OBRA 45% </t>
  </si>
  <si>
    <t>2.- RECUPERACIÓN MUELLE ISLA SAN LORENZO Y MUELLE CRUCERO ESNA  ITEM N° 1 - REHABILITACIÓN DE ZONAS CRÍTICAS DEL MUELLE DE LA ESCUELA NAVAL</t>
  </si>
  <si>
    <t>EMPRESA FAST SOLUTIONS GENERAL SERVICES S.A.C. CON RUC N° 20524421411</t>
  </si>
  <si>
    <t>120 DÍAS CALENDARIO</t>
  </si>
  <si>
    <t xml:space="preserve">AMPLIACIÓN DE PLAZO N° 01 POR 15 DÍAS CALENDARIO,  AMPLIACIÓN DE PLAZO N° 02 POR 5 DIAS CALENDARIO, AMPLIACIÓN DE PLAZO N° 03 POR 10 DÍAS CALENDARIO Y  AMPLIACIÓN DE PLAZO N° 04 POR 5 DIAS CALENDARIO,    </t>
  </si>
  <si>
    <t>3.- RECUPERACIÓN DE MUELLE SUBMARINO</t>
  </si>
  <si>
    <t xml:space="preserve">LICITACIÓN PÚBLICA </t>
  </si>
  <si>
    <t>N° 5-2018</t>
  </si>
  <si>
    <t>CONSORCIO MARINA II QUE ESTA CONFORMADO POR LA EMPRESA FAST SOLUTIONS GENERAL SERVICES S.A.C. CON RUC N° 20524421411 Y LA EMPRESA ZIGURAT CONSTRUCTORA S.A.C. CON RUC N° 20601161321</t>
  </si>
  <si>
    <t xml:space="preserve">AMPLIACION DE PLAZO EXCEPCIONAL POR 60 DIAS CALENDARIO </t>
  </si>
  <si>
    <t xml:space="preserve">EN EJECUCIÓN </t>
  </si>
  <si>
    <t xml:space="preserve">1.- EJECUCIÓN DE LA OBRA:
DE AGUA Y DESAGUE EN LA BASE DE INFANTERIA DE LA MARINA - ANCON
</t>
  </si>
  <si>
    <t>LICITACION PUBLICA</t>
  </si>
  <si>
    <t>N° 002-2019 MGP/DIRBINFRATER</t>
  </si>
  <si>
    <t>CONSORCIO CG  conformado por las empresas LCL CONTRATISTAS S.A.C, con RUC N°20544771478 y la empresa COVIDA S.R.L, con RUC N°20481030146</t>
  </si>
  <si>
    <t>300 D.C</t>
  </si>
  <si>
    <t>190 DIAS DE AMPLIACION EXCEPCIONAL DE PLAZO</t>
  </si>
  <si>
    <t>EN EJECUCION</t>
  </si>
  <si>
    <t>ADQUISICIÓN DE CÁMARAS MARINAS DE IMÁGEN TÉRMICA</t>
  </si>
  <si>
    <t>LP</t>
  </si>
  <si>
    <t>ANTIUM S.A.</t>
  </si>
  <si>
    <t>UNICA</t>
  </si>
  <si>
    <t>SUPERVISIÓN DE LA OBRA "RECUPERACIÓN DE MUELLE SUBMARINO"</t>
  </si>
  <si>
    <t>INSTITUTO DE CONSULTORIA S.A.</t>
  </si>
  <si>
    <t>PERIODICA</t>
  </si>
  <si>
    <t>SEGURO DE AVIACIÓN</t>
  </si>
  <si>
    <t>PACIFICO COMPAÑIA DE SEGUROS Y REASEGUROS</t>
  </si>
  <si>
    <t>ADQUISICIÓN DE REPUESTOS ORDINARIOS Y CRÍTICOS VEHÍCULOS TÁCTICOS LAV II</t>
  </si>
  <si>
    <t>INVERSIONES JHUMIJOS E.I.R.L.</t>
  </si>
  <si>
    <t>ADQUISICIÓN DE LUBRICANTES PARA ENTRENAMIENTO OPERACIONAL DE LAS UNIDADES NAVALES Y ESTACIONES NAVALES DEL PUTUMAYO DE LA COMANDANCIA GENERAL DE OPERACIONES DE LA AMAZONÍA</t>
  </si>
  <si>
    <t>BATERICENTRO LA MARINA SRL</t>
  </si>
  <si>
    <t>SEGURO DE VEHÍCULOS</t>
  </si>
  <si>
    <t>RIMAC SEGUROS Y REASEGURADOS</t>
  </si>
  <si>
    <t>ADQUISICIÓN DE MATERIAL MISCELÁNEO PARA UNIDADES AERONAVALES</t>
  </si>
  <si>
    <t>CONVOCADO</t>
  </si>
  <si>
    <t>ADQUISICIÓN DE RACIONES DE CAMPAÑA (24 HORAS)</t>
  </si>
  <si>
    <t xml:space="preserve">DUKE LOGISTIC S.A.C. </t>
  </si>
  <si>
    <t>ADQUISICIÓN DE LUBRICANTES GRASAS Y AFINES A CARGO DE LA COMANDANCIA GENERAL DE OPERACIONES DEL PACÍFICO PARA LAS FUERZAS NAVALES</t>
  </si>
  <si>
    <t>FANTASY S.A.C.
ISOPETROL LUBRICANTS DEL PERU S.A.C.
FACTORIA Y REPRESENTACIONES EMPRESARIAL GENERALES E INDUSTRIALES PARA TRANSPORTE AUTOMOTRIZ S.A.C.</t>
  </si>
  <si>
    <t>SEGURO CASCO Y MAQUINARIA PARA EL BUQUE ESCUELA A VELA UNIÓN</t>
  </si>
  <si>
    <t>RIMAC SEGUROS Y REASEGUROS</t>
  </si>
  <si>
    <t>ADQUISICIÓN DE GASES MEDICINALES PARA EL CENTRO MÉDICO NAVAL "CMST"</t>
  </si>
  <si>
    <t>PRAXAIR PERU SRL</t>
  </si>
  <si>
    <t>ADQUISICIÓN DE REPUESTOS PARA ACOPLADOR NEUMÁTICO WICHITA PARA LAS UNIDADES DE LA FUERZA DE SUPERFICIE</t>
  </si>
  <si>
    <t>PROVINCO EIRL</t>
  </si>
  <si>
    <t>SEGURO CASCO Y MAQUINARIA PARA BUQUE OCEANOGRAFÍA B.O.P. "CARRASCO"</t>
  </si>
  <si>
    <t>ADQUISICIÓN DE ECOSONDA MULTITHAZ PARA EL B.O.P. "CARRASCO"</t>
  </si>
  <si>
    <t>ROBINSON MARINE ELECTRONICS S.R.L.</t>
  </si>
  <si>
    <t>SERVICIO DE TELEFONÍA MÓVIL SATELITAL PARA LA MGP Y VRAEM</t>
  </si>
  <si>
    <t>AS TELECOM SOCIEDAD ANONIMA CERRADA - AS TELECOM S.A.C.</t>
  </si>
  <si>
    <t>ADQUISICIÓN DE REPUESTOS PARA LOS MOTORES Y GRUPOS ELECTRÓGENOS PARA LAS UNIDADES DE LA FUERZA DE SUPERFICIE</t>
  </si>
  <si>
    <t>WARTSILA PERU S.A.C.
CONSORCIO PROVINCO EIRL/FITCON GROUP SAC :
FITCON GROUP S.A.C
PROVINCO EIRL</t>
  </si>
  <si>
    <t>SERVICIO DE MANTENIMIENTO DE LOS MOTORES CAJAS DE TRANSMISIÓN Y GRUPOS ELECTRÓGENOS DE LAS PATRULLERAS MARÍTIMAS CLASE "RIO PATIVILCA"</t>
  </si>
  <si>
    <t>FERREYROS SOCIEDAD ANÓNIMA</t>
  </si>
  <si>
    <t>ADQUISICIÓN DE PINTURA Y SOLVENTES PARA LAS UNIDADES DE LA FUERZA DE SUPERFICIE</t>
  </si>
  <si>
    <t>CORPORACION PERUANA DE PRODUCTOS QUIMICOS S.A. - CPPQ S.A.</t>
  </si>
  <si>
    <t>ADQUISICIÓN DE EQUIPOS Y COMPONENTES PARA LA ACTUALIZACIÓN DEL HUB SATELITAL DE LA MARINA DE GUERRA DEL PERÚ Y VRAEM</t>
  </si>
  <si>
    <t>BMP CONSULTING SOCIEDAD ANONIMA CERRADA</t>
  </si>
  <si>
    <t>LICENCIAMIENTO DE SOFTWARE CORPORATIVO</t>
  </si>
  <si>
    <t>CONTROLES EMPRESARIALES PERU S.A.C. - COEM SAC</t>
  </si>
  <si>
    <t>EJECUCIÓN DE OBRA DE AGUA Y DESAGÜE DE LA BASE DE INFANTERÍA DE MARINA EN ANCÓN</t>
  </si>
  <si>
    <t>COVIDA S.R.L.
LCL CONTRATISTAS S.A.C.</t>
  </si>
  <si>
    <t>AMPLIACIÓN Y MEJORAMIENTO DE LAS CAPACIDADES DE LA UNIDAD DE HEMODIÁLISIS DEL SERVICIO DE NEFROLOGÍA DEL CENTRO MÉDICO NAVAL</t>
  </si>
  <si>
    <t>MELTASS CONTRATISTAS GENERALES SOCIEDAD ANONIMA CERRADA
JD CONSULTORES OBRAS Y SERVICIOS SOC. COM. DE RESPO. LIMIT. CONTRATISTAS GENERALES-JDCONOSER S.R.L.
JC LOBLASGER S.A.C.</t>
  </si>
  <si>
    <t>CREACIÓN DEL NUEVO CENTRO DE SALUD HIPERBÁRICA DEL CENTRO MÉDICO NAVAL DE LA MARINA DE GUERRA DEL PERÚ</t>
  </si>
  <si>
    <t>SUPERVISIÓN DE LA CONSTRUCCIÓN DE LA UNIDAD DE HEMODIÁLISIS DEL SERVICIO DE NEFROLOGÍA DEL CENTRO MÉDICO NAVAL</t>
  </si>
  <si>
    <t>ARES INGENIEROS CONTRATISTAS GENERALES EMPRESA INDIVIDUAL DE RESPONSABILIDAD LIMITADA</t>
  </si>
  <si>
    <t>CONSENTIDO</t>
  </si>
  <si>
    <t>ADQUISICIÓN DE UNIFORMES TÁCTICOS PARA PERSONAL VRAEM</t>
  </si>
  <si>
    <t>SERVICIO DE ELABORACIÓN DE ESTUDÍO DE PREINVERSIÓN EDUCACIÓN DE POST GRADO DE LA ESCUELA SUPERIOR DE GUERRA NAVAL</t>
  </si>
  <si>
    <t>ADQUISICIÓN DE VEHÍCULOS FLOTA LIVIANA</t>
  </si>
  <si>
    <t>AUTOESPAR S A</t>
  </si>
  <si>
    <t>ADQUISICIÓN DE EQUIPOS MÉDICOS PARA EL POLICLÍNICO NAVAL DE SAN BORJA</t>
  </si>
  <si>
    <t>ENRAF MEDICA E.I.R.L.
SINAPSYS MEDICA S.A.C.
VITALTEC S.A.C.</t>
  </si>
  <si>
    <t>ADQUISICIÓN DE EQUIPAMIENTO PARA LA IMPLEMENTACIÓN DEL LABORATORIO DE INGENIERÍA DE CONTROL DEL INSTITUTO DE EDUCACIÓN SUPERIOR TECNOLÓGICO PÚBLICO NAVAL - CITEN</t>
  </si>
  <si>
    <t>DIN AUTOMATIZACION S.A.C.</t>
  </si>
  <si>
    <t>ADQUISICIÓN DE EQUIPAMIENTO Y MOBILIARIO PARA LOS LABORATORIOS DE ELECTRÓNICA, ELECTRICIDAD Y FÍSICA PARA LA ESCUELA NAVAL</t>
  </si>
  <si>
    <t>SOCIEDAD INDUCONTROL INGENIERIA S.A.C.</t>
  </si>
  <si>
    <t xml:space="preserve">ADQUISICIÓN DE MOBILIARIO PARA TALLERES DE LA BASE AERONAVAL </t>
  </si>
  <si>
    <t>MITO ASOCIADOS S.A.C.
INDUSTRIA SAN CRISTOBAL S.A.C.</t>
  </si>
  <si>
    <t>ADQUISICIÓN DE VÍVERES FRESCOS (POLLO PIERNA CON ENCUENTRO) PARA EL PERSONAL NAVAL DEL AREA LIMA Y CALLAO, PERIODO JULIO 2019 A MARZO 2020.</t>
  </si>
  <si>
    <t xml:space="preserve">ADQUISICIÓN DE VÍVERES PARA LA DOTACIÓN ESPECIAL DE MEJORAMIENTO DE RANCHO CORRESPONDIENTE AL AÑO 2019 (PAVO ENTERO CONGELADO CON MENUDENCIA) </t>
  </si>
  <si>
    <t>REDONDOS S A</t>
  </si>
  <si>
    <t>ADQUISICIÓN DE PANETONES PARA LA VENTA DE LA PANADERÍA NAVAL</t>
  </si>
  <si>
    <t>CORPORACION TDN S.A.C.</t>
  </si>
  <si>
    <t>ADQUISICIÓN DE MOBILIARIO, EQUIPAMIENTO DE LOS LABORATORIOS Y TALLERES DEL INSTITUTO DE EDUCACIÓN SUPERIOR TECNOLÓGICO PÚBLICO NAVAL - CITEN</t>
  </si>
  <si>
    <t>TECNOLOGIA Y EQUIPAMIENTO KANG S.A.C.
SAI &amp; TECHNOLOGY S.A.C. SOLUCIONES EN AUTOMATIZACION PARA LA INDUSTRIA Y TECNOLOGIA
SOCIEDAD INDUCONTROL INGENIERIA S.A.C.
WORLDLINK SALES INC
JOAKKO MANAGER E.I.R.L.</t>
  </si>
  <si>
    <t>ADQUISICIÓN DE PRENDAS DIVERSAS PARA EL PERSONAL DE ALTAS AF-2020</t>
  </si>
  <si>
    <t>DI.ME.FA. SRL
INDUSTRIAS MIXTAS DE APOYO LOGISTICO SOCIEDAD ANONIMA - INDUSTRIAS MIXTAS DE APOYO LOGISTICO S.A.
NORTH TRADING S.A.C.
SAAVEDRA MALDONADO ROCIO DEL PILAR</t>
  </si>
  <si>
    <t>ADQUISICIÓN DE VEHÍCULOS ADMINISTRATIVOS</t>
  </si>
  <si>
    <t>VEGUZTI S.A.
GACSA PERU S.A.C.</t>
  </si>
  <si>
    <t>SERVICIO DE MANTENIMIENTO, REPARACIÓN Y REFUERZO DE LA UNIDAD DE CONTROL FLUVIAL UCF-253 "RIO SAMIRIA"</t>
  </si>
  <si>
    <t>CONSORCIO VALENTINA CHALLENGER :
SERVICIOS MULTIPLES VALENTINA E.I.R.L.
LINEAS FLUVIALES CHALLENGER S.A.C.</t>
  </si>
  <si>
    <t>SERVICIO DE OVERHAUL DE UN (01) MOTOR PT6A-25 PARA EL PROGRAMA T34C-1</t>
  </si>
  <si>
    <t>RES</t>
  </si>
  <si>
    <t>CONSORCIO AEROSPACE TURBINE SERVICES - AIRFORCE TURBINE SERVICES</t>
  </si>
  <si>
    <t>ADQUISICIÓN DE UN (1) BOTE RHIB PARA EL B.A.P. "AGUIRRE"</t>
  </si>
  <si>
    <t>DYNACOMP S.A.S.</t>
  </si>
  <si>
    <t>ADQUISICIÓN DE REMOLQUE DE HELICÓPTERO PARA UNIDADES NAVALES</t>
  </si>
  <si>
    <t>KAMBIO CORPORATION</t>
  </si>
  <si>
    <t>ADQUISICIÓN DE EXPLOSIVOS PARA LA INSTITUCIÓN Y VRAEM</t>
  </si>
  <si>
    <t>RJC DEFENSA AEROESPECIAL LTD</t>
  </si>
  <si>
    <t>SERVICIO DE OVERHAUL DE UN (1) SERVO AUXILIAR PARA EL PROGRAMA UH-3H</t>
  </si>
  <si>
    <t>AEROSPACE LOGISTIC LTD UK DIVISION.</t>
  </si>
  <si>
    <t>SERVICIO DE EXTENSIÓN DE VIDA ÚTIL DE ONCE (11) BATERÍAS DE COMBATE TORPEDOS SUT-264</t>
  </si>
  <si>
    <t>SUNLIGHT</t>
  </si>
  <si>
    <t>ADQUISICIÓN DE UNA (1) BATERÍA DE EJERCICIO PARA TORPEDO SUT-264</t>
  </si>
  <si>
    <t>NEWSAT</t>
  </si>
  <si>
    <t>ADQUISICIÓN DE MATERIAL SISTEMÁTICO PARA INSPECCIONES FASE "B", "D" Y "A" PARA LOS PROGRAMAS SH-3D/UH-3H</t>
  </si>
  <si>
    <t>DESIERTO</t>
  </si>
  <si>
    <t>ADQUISICIÓN DE CARGA IMPELENTE MUNICIÓN DE 5", ESPOLETAS MUNICIÓN 5" Y PROYECTILES MUNICIÓN 5"</t>
  </si>
  <si>
    <t>EXPAL SYSTEMS SA</t>
  </si>
  <si>
    <t>MANTENIMIENTO Y CALIBRACIÓN BANCO DE MISILES OTOMAT</t>
  </si>
  <si>
    <t>MBDA ITALIA S.P.A.</t>
  </si>
  <si>
    <t>ADQUISICIÓN POR REPOSICIÓN DE UNA AERONAVE ANTONOV MODELO AN-32B</t>
  </si>
  <si>
    <t>URAL AVIA LTD</t>
  </si>
  <si>
    <t>ADQUISICIÓN DE MATERIALES CONDICIONALES PARA EL MANTENIMIENTO DE AERONAVE FOKKER F 60/50 VRAEM</t>
  </si>
  <si>
    <t>AEROSPACE LOGISTICS LTD UK DIVISION</t>
  </si>
  <si>
    <t>SERVICIO DE REPARACIÓN DE COMPONENTES MAYORES Y MENORES DEL PROGRAMA FOKKER 60/50 VRAEM</t>
  </si>
  <si>
    <t>AERONICS AIRCRAFT PARTS INC.</t>
  </si>
  <si>
    <t>ADQUISICIÓN DE REPUESTOS Y ACCESORIOS PARA HOVERCRAFT VRAEM</t>
  </si>
  <si>
    <t>GRIFFON HOVERWORK LTD</t>
  </si>
  <si>
    <t>ADQUISICIÓN DE MATERIAL SISTEMÁTICO Y CONDICIONAL PARA EL PROGRAMA AB-412 SP VRAEM</t>
  </si>
  <si>
    <t>ADQUISICIÓN DE ACCESORIOS Y REPUESTOS PARA EL PROGRAMA AB-412 SP VRAEM</t>
  </si>
  <si>
    <t>ADQUISICIÓN DE DOS (02) BALSAS DE SALVAMENTO PARA SUBMARINOS (G.G. 2.6) FF.NN</t>
  </si>
  <si>
    <t>DSB DEUTSCHE SCHLAUCHBOOT GMBH</t>
  </si>
  <si>
    <t>ADQUISICIÓN DE COHETES PARA SISTEMA ROSY-N PARA UNIDADES HOVERCRAFT VRAEM </t>
  </si>
  <si>
    <t>ADQUISICIÓN DE PIROTÉCNICOS MENORES OTOMAT OTHT</t>
  </si>
  <si>
    <t>ADQUISICIÓN DE UNIFORME PARA LAS FUERZAS ESPECIALES</t>
  </si>
  <si>
    <t>SAND POINT LOGISTICS CORP.</t>
  </si>
  <si>
    <t>ADQUISICIÓN DE VESTUARIO PARA EL PERSONAL DE CADETES NAVALES - VIEX 2020-2021</t>
  </si>
  <si>
    <t>BENATELL SRL
INDUSTRIAS SUPER SPORT S.R.L.
INDUSTRIAS MIXTAS DE APOYO LOGISTICO SOCIEDAD ANONIMA - INDUSTRIAS MIXTAS DE APOYO LOGISTICO S.A.</t>
  </si>
  <si>
    <t>ADQUISICIÓN DE PRODUCTOS COMPONENTES PARA LA DOTACIÓN ESPECIAL DE RACIONAMIENTO - PANETON AÑO 2020</t>
  </si>
  <si>
    <t>ADJUDICADO</t>
  </si>
  <si>
    <t xml:space="preserve">ADQUISICIÓN DE VEHÍCULOS DE FLOTA LIVIANA POR LA MODALIDAD DE RENOVACIÓN </t>
  </si>
  <si>
    <t>NO CONVOCADO</t>
  </si>
  <si>
    <t>ADQUISICIÓN DE INSUMOS COMPONENTES DE LA DOTACIÓN ESPECIAL DE MEJORAMIENTO DE RANCHO (PAVO ENTERO CON MENUDENCIA) CORRESPONDIENTE AL AÑO 2020</t>
  </si>
  <si>
    <t>SAN FERNANDO S.A.</t>
  </si>
  <si>
    <t>ADQUISICIÓN DE GASES MEDICINALES PARA EL CENTRO MÉDICO NAVAL</t>
  </si>
  <si>
    <t>SERVICIO DE LICENCIAMIENTO DE SOFTWARE CORPORATIVO</t>
  </si>
  <si>
    <t xml:space="preserve">CP </t>
  </si>
  <si>
    <t>ADQUISICIÓN DE PANETONES PARA LA VENTA EN LA PANADERÍA DE LA DIRECCIÓN DE ABASTECIMIENTO NAVAL AÑO 2020</t>
  </si>
  <si>
    <t>ADQUISICIÓN DE LUBRICANTES PARA ENTRENAMIENTO OPERACIONAL DE LAS UNIDADES NAVALES /BIEN - PP0135  PP9002</t>
  </si>
  <si>
    <t>VISTONY COMPAÑIA INDUSTRIAL DEL PERU SOCIEDAD ANONIMA CERRADA
DO'ROALLY E.I.R.L.
WORLDLINK SALES INC
FACTORIA Y REPRESENTACIONES EMPRESARIAL GENERALES E INDUSTRIALES PARA TRANSPORTE AUTOMOTRIZ S.A.C.</t>
  </si>
  <si>
    <t>WÄRTSILÄ PERU S.A.C.</t>
  </si>
  <si>
    <t>SERVICIO DE CAPACITACIÓN DEL PROGRAMA DE INGLÉS MODALIDAD VIRTUAL PARA LOS ALUMNOS DEL INSTITUTO DE EDUCACIÓN SUPERIOR TECNOLÓGICO PÚBLICO NAVAL – CITEN /SERVICIO PP 0135</t>
  </si>
  <si>
    <t>CONSORCIO - DOROALLY
DO'ROALLY E.I.R.L.
WORLDLINK SALES INC</t>
  </si>
  <si>
    <t>ADQUISICIÓN DE PINTURAS PARA LAS UNIDADES DE LA FUERZA DE SUPERFICIE</t>
  </si>
  <si>
    <t>ADQUISICIÓN DE UNA (1) COMPRESORA DE ALTA PARA UNIDADES DE LA FUERZA DE SUPERFICIE/BIEN - PP0135</t>
  </si>
  <si>
    <t>ADQUISICIÓN DE CINCO (5) ELECTROBOMBAS CONTRAINCENDIO PARA LAS UNIDADES DE LA FUERZA DE SUPERFICIE</t>
  </si>
  <si>
    <t>CONTRATACIÓN DE SERVICIO DE SUMINISTRO DE ENERGÍA ELÉCTRICA PARA LA ESTACIÓN NAVAL DE PAITA/SERVICIO - PP0135</t>
  </si>
  <si>
    <t>SERVICIO DE SEGURO DE AVIACIÓN PROCESOS AF-2020 - 2021 DE LA INSTITUCIÓN/SERVICIO - PP0135</t>
  </si>
  <si>
    <t>SERVICIO SEGURO DE VEHÍCULOS PARA LA INSTITUCIÓN/SERVICIO - PP0135</t>
  </si>
  <si>
    <t>SERVICIO DE ENSEÑANZA DE IDIOMA INGLÉS PARA LOS CADETES DE LA ESCUELA NAVAL DEL PERU AÑO 2020 (MODALIDAD A DISTANCIA O NO PRESENCIAL)/SERVICIO PP 0135</t>
  </si>
  <si>
    <t>BERLITZ CENTERS DEL PERU S.A.C.</t>
  </si>
  <si>
    <t>ADQUISICIONES DE LUBRICANTES Y GRASAS PARA OPERACIÓN DEL BAP CARRASCO/BIEN - PP9002</t>
  </si>
  <si>
    <t xml:space="preserve">LP </t>
  </si>
  <si>
    <t>ADQUISICIÓN DE UN MOTOR AI 20D SERIE 5 PARA EL PROGRAMA AN 32B / BIEN PP 0135</t>
  </si>
  <si>
    <t xml:space="preserve">RES </t>
  </si>
  <si>
    <t>VIP AVIA CORPORATION LTD</t>
  </si>
  <si>
    <t xml:space="preserve">ADQUISICIÓN DE DOS (2) BATERÍAS DE COMBATE PARA LANZAMIENTO DE TORPEDO SUT-264  </t>
  </si>
  <si>
    <t>ADQUISICIÓN DE UNIDADES DE TRANSPORTE POR RENOVACIÓN/BIEN PP 9001</t>
  </si>
  <si>
    <t>ADQUISICIÓN DE DOS (2) MOTORES MARINOS Y DOS (2) CAJAS DE CAMBIO PARA EL BAP SAN LORENZO / BIEN PP 0135</t>
  </si>
  <si>
    <t>WORLD MOTORS SAC</t>
  </si>
  <si>
    <t>SERVICIO DE RENOVACIÓN DE LICENCIAS DE SOFTWARE PARA LA COMANDANCIA DE CIBERDEFENSA/SERVICIO PP0135</t>
  </si>
  <si>
    <t>VILSOL LATAM EMPRESA INDIVIDUAL DE RESPONSABILIDAD LIMITADA - VILSOL LATAM E.I.R.L.</t>
  </si>
  <si>
    <t>ADQUISICION DE LA PLATAFORMA DE VIRTUALIZACION PARA EL ALOJAMIENTO DE ACTIVOS INSTITUCIONALES Y OPERACIONES DE CIBERDEFENSA PARA LA DIRECCION DE TELEMATICA DE LA MARINA /BIEN PP 0135</t>
  </si>
  <si>
    <t>BINNA CORPORATION S.A.C.</t>
  </si>
  <si>
    <t>ADQUISICION E IMPLEMENTACION DE EQUIPAMIENTO DEL SISTEMA MEOSAR / BIEN  PP 0074</t>
  </si>
  <si>
    <t>SERVICIO DE MANTENIMIENTO DE LOS MOTORES CAJAS DE TRANSMISIÓN Y GRUPOS ELÉCTROGENOS DE LAS PATRULLERAS MARITIMAS CLASE RIO PATIVILCA /SERVICIO  PP0135</t>
  </si>
  <si>
    <t>FERREYROS S.A.C</t>
  </si>
  <si>
    <t>SERVICIO DE ACONDICIONAMIENTO POR EL USO DE LÍNEA DE RED ELÉCTRICA PRIMARIA PARA USO B.C.F PICHARI/SERVICIO PP 032</t>
  </si>
  <si>
    <t>ADQUISICIÓN DE PIROTÉCNICOS MENORES OTOMAT OTHT/ BIEN PP 0135</t>
  </si>
  <si>
    <t>ADQUISICIÓN DE VESTUARIO, CALZADO, TEXTILES Y MATERIALES DE ASEO PARA EL PERSONAL DE EGRESADOS DEL ESNA - CITEN Y ALTAS III CONTINGENTE NAVAL DIRESGRUM/BIEN PP 0135</t>
  </si>
  <si>
    <t>ADQUISICIÓN DE VESTUARIO, TEXTILES Y CALZADO PARA EL PERSONAL DESTACADO AL VRAEM AÑO 2020/BIEN PP 032</t>
  </si>
  <si>
    <t>ADQUISICIÓN DE SUMINISTRO DE VÍVERES SECOS, FRESCOS Y MEJORAMIENTO DE RANCHO PERIODO ABRIL 2020 A JUNIO 2021 PARA EL PERSONAL DE LA QUINTA ZONA NAVAL PROVENIENTE DE LP-SM-2-2019-MGP COMOPERAMA-1/BIEN PP 0135</t>
  </si>
  <si>
    <t>ADQUISICIÓN DE VÍVERES SECOS Y FRESCOS (CARNES-VERDURAS) PARA EL PERSONAL NAVAL DEL ÁREA LIMA Y CALLAO PERIODO JULIO 2021 A JUNIO 2024/BIEN PP 0135</t>
  </si>
  <si>
    <t>ADQUISICIÓN DE VESTUARIO PARA EL PERSONAL DE ALTAS DE LOS CENTROS DE FORMACIÓN, CABOS ASCENDIDOS A OM3, PERSONAL DE MARINERÍA REENGANCHADO, PERSONAL DE CADETES, PERSONAL DESIGNADO EN MISIÓN DIPLOMÁTICA Y PERSONAL ASCENDIDO AL GRADO INMEDIATO SUPERIOR/BIEN PP 0135</t>
  </si>
  <si>
    <t>ADQUISICIÓN DE TEXTILES PARA EL PERSONAL DE ALTAS DE LOS CENTROS DE FORMACIÓN, CABOS ASCENDIDOS A OM3, PERSONAL DE MARINERÍA REENGANCHADO, PERSONAL DE CADETES AÑO 2021, 2022 Y 2023/BIEN PP 0135</t>
  </si>
  <si>
    <t>ADQUISICIÓN DE CALZADO PARA EL PERSONAL DE ALTAS DE LOS CENTROS DE FORMACIÓN, CABOS ASCENDIDOS A OM3, PERSONAL DE MARINERÍA REENGANCHADO, PERSONAL DE CADETES Y PERSONAL DESIGNADO EN MISIÓN DIPLOMÁTICA AÑO 2021, 2022 Y 2023/BIEN PP 0135</t>
  </si>
  <si>
    <t>ADQUISICIÓN DE ÚTILES DE ASEO Y TOCADOR PARA EL PERSONAL DE ALTAS DE LOS CENTROS DE FORMACIÓN Y PERSONAL DE MARINERÍA AÑO 2021, 2022 Y 2023/BIEN PP 0135</t>
  </si>
  <si>
    <t>ADQUISICIÓN DE REPUESTOS PARA MANTENIMIENTO DE PRIMER Y SEGUNDO NIVEL DE VEHÍCULOS TÁCTICOS/BIEN PP 0135</t>
  </si>
  <si>
    <t>SERECAPH SOCIEDAD ANONIMA CERRADA.                                                  F &amp; V SERVICIOS Y COMERCIALIZACIÓN DE REPUESTOS EMPRESA INDIVIDUAL DE RESPONSABILIDAD LIMITAD</t>
  </si>
  <si>
    <t>SERVICIO DE MANTENIMIENTO DE EQUIPOS MÉDICOS DE DIAGNÓSTICO POR IMÁGENES/SERVICIO PP 0135</t>
  </si>
  <si>
    <t>PHILIPS PERUANA S A</t>
  </si>
  <si>
    <t>SERVICIO DE TELEFONÍA FIJA E INTERNET ASIMÉTRICO PARA LA MARINA DE GUERRA DEL PERÚ, PERÍODO ABRIL 2021 A MARZO 2023/SERVICIO PP 0135</t>
  </si>
  <si>
    <t>SERVICIO DE INTERNET DEDICADO PARA LA MARINA DE GUERRA DEL PERÚ, PERÍODO NOVIEMBRE 2020 A OCTUBRE 2022/SERVICIO PP 0135</t>
  </si>
  <si>
    <t>ADQUISICIÓN DE VESTUARIO PARA EL PERSONAL ASIGNADO PARA CONTRARRESTAR EL COVID-19/BIEN PP 9002</t>
  </si>
  <si>
    <t>ADQUISICIÓN DE CALZADO PARA PERSONAL ASIGNADO A CONTRARRESTAR EL COVID-19/BIEN PP 9002</t>
  </si>
  <si>
    <t>ADQUISICIÓN DE VERDURAS PARA EL RACIONAMIENTO ORGÁNICO DEL PERSONAL NAVAL DEL ÁREA LIMA Y CALLAO PERIODO SETIEMBRE 2020 A JUNIO 2021/BIEN PP 0135</t>
  </si>
  <si>
    <t>CONSTRUCCIÓN POR CONTRATA DE ÁREAS ADMINISTRATIVAS DE LA DIRECCIÓN GENERAL DE CAPITANÍAS Y GUARDACOSTAS - CÓDIGO UNIFICADO N° 2360648 PROVENIENTE DE LP-SM-5-2019-DPC/ACFFAA-1 /OBRA PP 0135</t>
  </si>
  <si>
    <t>EJECUCIÓN DE OBRA DEL EDIFICIO 22 COMEDOR, PANADERÍA Y COCINA DEL PROYECTO DE INVERSIÓN ISLA SAN LORENZO - CÓDIGO UNIFICADO N° 2336426 PROVENIENTE DE LP-SM-7-2019-DPC/ACFFAA-1 /OBRA PP 0135</t>
  </si>
  <si>
    <t>EJECUCIÓN DE OBRA DEL EDIFICIO 15 CUADRA DE INSTRUCTORES Y ALUMNOS DEL PROYECTO DE INVERSIÓN ISLA SAN LORENZO - CÓDIGO UNIFICADO N° 2336426 PROVENIENTE DE LP-SM-7-2019-DPC/ACFFAA-1  /OBRA PP 0135</t>
  </si>
  <si>
    <t>ADQUISICIÓN DE COHETES PARA SISTEMA ROSY-N PARA UNIDADES HOVERCRAFT- VRAEM DERIVADO RES-PROC-12-2019-DPC/ACFFAA-2 /BIEN PP 032</t>
  </si>
  <si>
    <t>SERVICIO DE TELEVISIÓN POR CABLE Y/O SATÉLITE PARA LA MARINA DE GUERRA DEL PERÚ Y VRAEM /SERVICIO PP0135 PP032</t>
  </si>
  <si>
    <t>SERVICIO DE TELEFONÍA MÓVIL SATELITAL PARA LA MARINA DE GUERRA DEL PERÚ Y VRAEM/SERVICIO PP0135 PP032</t>
  </si>
  <si>
    <t>ADQUISICIÓN DE DIEZ (10) VEHÍCULOS TÁCTICOS 6 X 6 PORTA TROPAS Y UN (1) VEHÍCULO TÁCTICO 6 X 6 TIPO TALLER CON ACCESORIOS Y HERRAMIENTAS/BIEN PP 0135</t>
  </si>
  <si>
    <t>ADQUISICIÓN DE GASES MEDICINALES PARA CONTRARRESTAR EL COVID-19/BIEN PP 0135</t>
  </si>
  <si>
    <t>ADQUISICIÓN DE VESTUARIO PARA EL PERSONAL DE CADETES NAVALES - VIEX 2021-2022</t>
  </si>
  <si>
    <t>EN PROY.
AF-2021</t>
  </si>
  <si>
    <t>ADQUISICIÓN DE PRODUCTOS COMPONENTES PARA LA DOTACIÓN ESPECIAL DE RACIONAMIENTO - PANETON AÑO 2021</t>
  </si>
  <si>
    <t>ADQUISICIÓN DE INSUMOS COMPONENTES DE LA DOTACIÓN ESPECIAL DE MEJORAMIENTO DE RANCHO (PAVO ENTERO CON MENUDENCIA) CORRESPONDIENTE AL AÑO 2021</t>
  </si>
  <si>
    <t>ADQUISICIÓN DE PANETONES PARA LA VENTA EN LA PANADERÍA DE LA DIRECCIÓN DE ABASTECIMIENTO NAVAL AÑO 2021</t>
  </si>
  <si>
    <t>SERVICIO DE SEGURO DE AVIACIÓN PROCESOS AF-2021 - 2022 DE LA INSTITUCIÓN/SERVICIO - PP0135</t>
  </si>
  <si>
    <t>SERVICIO DE ENSEÑANZA DE IDIOMA INGLÉS PARA LOS CADETES DE LA ESCUELA NAVAL DEL PERU AÑO 2021/SERVICIO PP 0135</t>
  </si>
  <si>
    <t>ADQUISICIÓN DE REPUESTOS PARA ARMAMENTO MENOR PARA LA INSTITUCIÓN</t>
  </si>
  <si>
    <t>ADQUISICIÓN DE KITS DE LANZAMIENTO PARA TORPEDO SUT-264 PARA LA ESTACIÓN DE ARMAS SUBMARINAS</t>
  </si>
  <si>
    <t>ADQUISICIÓN DE LUBRICANTES PARA LAS AERONAVES DE LA FUERZA DE AVIACIÓN NAVAL /BIEN PP 0135</t>
  </si>
  <si>
    <t>SERVICIO DE REPARACIÓN DE COMPONENTES MAYORES Y MENORES DEL PROGRAMA FOKKER F60/50 VRAEM/SERVICIO - PP0032</t>
  </si>
  <si>
    <t>ADQUISICIÓN DE COMPONENTES Y EQUIPOS PARA EL PROGRAMA SH-2G/BIEN - PP0136</t>
  </si>
  <si>
    <t>ADQUISICIÓN DE MATERIAL SISTEMÁTICO Y CONDICIONAL PARA LAS INSPECCIONES HORARIAS Y CALENDARIAS DE LAS AERONAVES DEL PROGRAMA SH-3D/UH-3H / BIEN PP 0135</t>
  </si>
  <si>
    <t>ADQUISICIÓN DE REPUESTOS CONDICIONALES Y COMPONENTES ELECTRÓNICOS PARA LAS FASES DE MANTENIMIENTO DEL PROGRAMA B-200  / BIEN PP 0135</t>
  </si>
  <si>
    <t>ADQUISICIÓN DE ACCESORIOS ELÉCTRICOS Y ELECTRÓNICOS DE LAS AERONAVES PROGRAMA T34C-1 / BIEN PP 0135</t>
  </si>
  <si>
    <t>ADQUISICIÓN DE MATERIAL SISTEMÁTICO PARA EL PROGRAMA AN-32B / BIEN PP 0135</t>
  </si>
  <si>
    <t>ADQUISICIONES DE UN MOTOR PARA EL PROGRAMA ENSTROM F-28F / BIEN PP 0135</t>
  </si>
  <si>
    <t>SERVICIO DE REPARACIÓN DE COMPONENTES ELECTRÓNICOS PARA EL PROGRAMA B-200/ SERVICIO PP 0135</t>
  </si>
  <si>
    <t>SERVICIO DE OVERHAUL DE UN (01) TREN DE ATERRIZAJE DEL PROGRAMA UH-3H / SERVICIO PP 0135</t>
  </si>
  <si>
    <t>SERVICIO DE OVERHAUL COMPONENTES MAYORES Y MENORES DEL PROGRAMA AB-412 SP /SERVICIO PP 0135</t>
  </si>
  <si>
    <t>ADQUISICIÓN DE REPUESTOS SISTEMÁTICOS PARA LAS INSPECCIONES PERIÓDICAS DEL PROGRAMA B-200 / BIEN PP 032</t>
  </si>
  <si>
    <t>ADQUISICIÓN DE MATERIAL CONDICIONAL PARA MANTENIMIENTO DE AERONAVES DEL PROGRAMA FOKKER 50/60 / BIEN PP 032</t>
  </si>
  <si>
    <t>SERVICIO DE OVERHAUL DEL TREN DE ATERRIZAJE PARA LA AERONAVE FOKKER F 50/ SERVICIO PP 0135</t>
  </si>
  <si>
    <t>ADQUISICIÓN DE REPUESTOS PARA LA OPERATIVIZACIÓN DEL PROGRAMA DE HELICÓPTEROS DE INSTRUCCIÓN ENSTROM F 28 F / BIEN PP 0135</t>
  </si>
  <si>
    <t>SERVICIO DE REPARACIÓN DE COMPONENTES ELECTRÓNICOS PARA EL PROGRAMA FOKKER F-50/60 SERVICIO/PP 0135</t>
  </si>
  <si>
    <t>ADQUISICIÓN DE SUMINISTROS PARA EL MANTENIMIENTO Y REPARACIÓN DEL PROGRAMA AB 412 SP /BIEN PP 0135</t>
  </si>
  <si>
    <t>SERVICIO DE OVERHAUL DE HÉLICES PARA EL PROGRAMA FOKKER F 60 AE 564 / SERVICIO PP 0135</t>
  </si>
  <si>
    <t>ADQUISICIÓN DE CONTROLADOR DE VUELO PARA AERONAVE NO TRIPULADA PARA EL DESARROLLO DEL PROYECTO UAV /BIEN PP 0135</t>
  </si>
  <si>
    <t>ADQUISICIÓN DE MATERIAL SISTEMÁTICO PARA INSPECCIONES Y APLICACIÓN DE BOLETINES PARA EL PROGRAMA FOKKER F-60/ BIEN PP 0135</t>
  </si>
  <si>
    <t>ADQUISICIÓN DE ACCESORIOS PARA EL MANTENIMIENTO Y REPARACIÓN DEL PROGRAMA BELL 206 / BIEN PP 0135</t>
  </si>
  <si>
    <t>SERVICIO DLE OVERHAUL DE DOS (2) AUTOMATIC FUEL CONTROL UNIT (AFCU)/SERVICIO PP 032</t>
  </si>
  <si>
    <t>ADQUISICIÓN DE MATERIAL DE CAMPAÑA PARA LA COMANDANCIA DE LA FUERZA DE OPERACIONES ESPECIALES (COMFOE)/ BIEN PP 0135</t>
  </si>
  <si>
    <t>ADQUISICIÓN DE MATERIAL SISTEMÁTICO Y CONDICIONAL PARA EL PROGRAMA AB 412 SP / BIEN PP 032</t>
  </si>
  <si>
    <t>SERVICIO DE REPARACIÓN DE EQUIPOS ELÉCTRICOS Y ELECTRÓNICOS PARA EL PROGRAMA T34C-1/SERVICIO PP 0135</t>
  </si>
  <si>
    <t>ADQUISICIÓN DE REPUESTOS SISTEMÁTICOS, CONDICIONALES PARA LAS INSPECCIONES PERIÓDICAS DEL PROGRAMA AN-32B /BIEN PP 032</t>
  </si>
  <si>
    <t>SERVICIO DE RECUPERACIÓN Y MANTENIMIENTO PARA LA OPERATIVIZACIÓN DEL PROGRAMA DE HELICÓPTEROS DE INSTRUCCIÓN PROGRAMA ENSTROM/SERVICIO PP 0135</t>
  </si>
  <si>
    <t>ADQUISICIÓN DE MATERIAL ELÉCTRICO Y ELECTRÓNICO PARA EL PROGRAMA B-200 PARA INSPECCIONES PERIÓDICAS/BIEN PP 032</t>
  </si>
  <si>
    <t>SERVICIO DE REPARACIÓN DE COMPONENTES MENORES DE LOS DIVERSOS SISTEMAS PARA EL PROGRAMA FOKKER F-50/60 PROVENIENTE DEL RES-PRO-42-2019-MGP/DIRCOMAT-1/SERVICIO PP 0135</t>
  </si>
  <si>
    <t>SERVICIO DE REPARACIÓN DE EQUIPOS DE SISTEMA DE AVIÓNICA Y ELÉCTRICO PARA EL PROGRAMA FOKKER F-50/60 PROVENIENTE DEL RES-PRO-43-2019-MGP/DIRCOMAT-1/SERVICIO PP 0135</t>
  </si>
  <si>
    <t>ADQUISICIÓN DE MATERIAL SISTEMÁTICO Y CONDICIONAL PARA LAS INSPECCIONES PROGRAMADAS PARA EL PROGRAMA FOKKER F-50/60 PROVENIENTE DEL RES-PRO-36-2019-MGP/DIRCOMAT-1/BIEN PP 0135</t>
  </si>
  <si>
    <t>ADQUISICIÓN DE GATAS HIDRÁULICAS PARA EL MANTENIMIENTO DE LAS AERONAVES DEL PROGRAMA SH-2G (PAC 501-2019)/BIEN PP 0135</t>
  </si>
  <si>
    <t>ADQUISICIÓN ACCESORIOS Y REPUESTOS PARA EL MANTENIMIENTO Y REPARACIÓN DEL PROGRAMA AB-412 SP/BIEN PP 032</t>
  </si>
  <si>
    <t>ADQUISICIÓN DE REPUESTOS PARA AERONAVES DEL PROGRAMA B-200 POR HORAS DE VUELO EN EL ÁREA FUNCIONAL OPERACIÓN AERONAVAL DEL PACIFICO/BIEN PP 0128</t>
  </si>
  <si>
    <t>ADQUISICIÓN DE EQUIPOS DE COMUNICACIONES V/UHF PARA UNIDADES NAVALES DE LA FUERZA DE SUPERFICIE/BIEN PP 0135</t>
  </si>
  <si>
    <t>ADQUISICIÓN DE REPUESTOS Y ACCESORIOS EN MERCADO INTERNACIONAL PARA UNIDADES HOVERCRAFT VRAEM/BIEN PP 0032</t>
  </si>
  <si>
    <t>ADQUISICIÓN DE MATERIAL SISTEMÁTICO Y CONDICIONAL PARA PROGRAMA AB-412 /ENTRENAMIENTO OPERACIONAL CONJUNTO, PRE-DESPLIEGUE  VRAEM/BIEN PP 0032</t>
  </si>
  <si>
    <t>ADQUISICIÓN DE ACCESORIOS PARA PROGRAMA AN-32B VRAEM/BIEN PP 032</t>
  </si>
  <si>
    <t>ADQUISICIÓN DE REPUESTOS PARA AERONAVES DEL PROGRAMA FOKKER Y PROGRAMA B-200/BIEN PP 0135</t>
  </si>
  <si>
    <t>ADQUISICIÓN DE CARPAS DE CAMPAÑA PARA OPERACIONES DE INTERDICCIÓN DE LA MINERÍA ILEGAL/BIEN PP 0128</t>
  </si>
  <si>
    <t>ADQUISICIÓN DE MATERIAL SISTEMÁTICO PARA LAS INSPECCIONES FASE B ,D Y A PARA LOS PROGRAMAS SH-3D UH-3H /BIEN PP 0135</t>
  </si>
  <si>
    <t>SERVICIO DE MANTENIMIENTO Y ACONDICIONAMIENTO PARA EL PROGRAMA SH-2G /SERVICIO PP 0135</t>
  </si>
  <si>
    <t>ADQUISICIÓN DE HERRAMIENTAS PARA MANTENIMIENTO DE LAS AERONAVES DEL PROGRAMA SH-2G/BIEN PP 0135</t>
  </si>
  <si>
    <t>SERVICIO DE OVERHAUL Y REPARACIÓN DE COMPONENTES ESTRUCTURALES ELECTRÓNICOS Y ELÉCTRICOS DEL PROGRAMA AB-412 SP /SERVICIO PP 0135</t>
  </si>
  <si>
    <t>ADQUISICIÓN DE COMPONENTES PARA EL TREN DE ATERRIZAJE Y ROTOR DE COLA DEL PROGRAMA AB-412 SP/BIEN PP 0135</t>
  </si>
  <si>
    <t>ADQUISICIÓN DE VELÁMENES PARA EL B.A.P. "UNIÓN"</t>
  </si>
  <si>
    <t>CI</t>
  </si>
  <si>
    <t>SERVICIO DE REPARACIÓN DE UN (1) JUEGO DE PALAS DE ROTOR PRINCIPAL / SERVICIO PP 032</t>
  </si>
  <si>
    <t>ADQUISICIÓN DE MATERIAL PARA CONTROL DE CORROSIÓN PARA EL PROGRAMA SH-2G / BIEN PP0135</t>
  </si>
  <si>
    <t xml:space="preserve">CI </t>
  </si>
  <si>
    <t>PROGRAMA DE MAESTRÍA EN CIENCIAS EN ASUNTOS MARÍTIMOS EN LA ESPECIALIDAD DE DERECHO Y POLÍTICAS MARÍTIMAS/SERVICIO PP 0135</t>
  </si>
  <si>
    <t>EJECUTORA 005 - FAP</t>
  </si>
  <si>
    <t>EDGARDO MANRIQUE TASADORES S.A.C</t>
  </si>
  <si>
    <t>PAGO POR EL SERVICIO DE VALUACION PARA CALCULAR EL VALOR DE RENTA MENSUAL DEL PREDIO LA BOQUITA</t>
  </si>
  <si>
    <t>04: DEFENSA Y SEGURIDAD NACIONAL </t>
  </si>
  <si>
    <t>PAGO POR LA TASACION Y VALUACION DE LA AMPLIACION DE LA BASE NAVAL DE CHIMBOTE</t>
  </si>
  <si>
    <t>INGENIERIA Y VALUACIONES S.A.</t>
  </si>
  <si>
    <t>PAGO POR EL SERVICIO DE ACTUALIZACION DE LA VALUACION COMERCIAL DEL LICEO GUISE</t>
  </si>
  <si>
    <t>UNIVERSIDAD DE PIURA</t>
  </si>
  <si>
    <t>SERVICIO CONSULTORIA  DISEÑO NUEVO MODELO DE INVERSION PRIVADA A TRAVES DE CONVENIOS OFFSET. SEGÚN O/S 001 DIMATEMAR (SUE-13)</t>
  </si>
  <si>
    <t>PAGO POR EL SERVICIO DE CONSULTORIA PARA DETERMINAR LA CONTRAPRESTACION DE LA RENTA FIJA MENSUAL DEL TERRENO PLAYA LURIN</t>
  </si>
  <si>
    <t>J &amp; J INVESTMENT GROUP S.A.C.</t>
  </si>
  <si>
    <t>PAGO POR LA TASACION DEL PREDIO DENOMINADO VILLA NAVAL HATUNCOCHA</t>
  </si>
  <si>
    <t>PAGO POR LA CONSULTORIA DE TASACION INFORME DE VALUACION DE LA EX ESTACION NAVAL LA CRUZ</t>
  </si>
  <si>
    <t>PAGO POR EL SERVICIO CONSULTORIA DE VALORIZACION COMERCIAL PARA DETERMINAR LA RENTA FINJA MENSUAL DE UN PREDIO DE LA MARINA DE GUERRA</t>
  </si>
  <si>
    <t xml:space="preserve">GOVE SOLUTION SOCIEDAD ANONIMA CERRADA </t>
  </si>
  <si>
    <t>FIN PAGO PARA LA CONTRATACION DE CONSULTORIA PARA EL MEJORAMIENTO DE LOS SERVICIOS EDUCATIVOS DEL LICEO NAVAL CAPITAN DE CORBETA MANUEL CLAVERO MUGA SEGUN O/S 223 DIRPRONAV-SUE13</t>
  </si>
  <si>
    <t>22: EDUCACION</t>
  </si>
  <si>
    <t xml:space="preserve">ACG CONSULTORES Y EJECUTORES E.I.R.L. </t>
  </si>
  <si>
    <t>POR EL SERVICIO DE CONSULTORIA PARA EL PROYECTO DE INVERSION  "MEJORAMIENTO Y AMPLIACION DEL AERODROMO DE SAN JUAN DE MARCONA SEGUN O/S NRO   219 DIRPRONAV SUE 13"</t>
  </si>
  <si>
    <t>PAGO POR LA ACTUALIZACION COMERCIAL PARA DETERMINAR LA RENTA FIJA MENSUAL DE UN PREDIO EN CHIMBOTE DE MARINA</t>
  </si>
  <si>
    <t>PAGO POR SERVICIO DE CONSULTORIA POR LA ACTUALIZACION DE LA VALUACION COMERCIAL DEL FUNDO MARANGA SECTOR B (DIRCONCE)</t>
  </si>
  <si>
    <t>FUENTE DE CALIDAD CONSULTORES E.I.R.L.</t>
  </si>
  <si>
    <t>PAGO POR SERVICIO DE ANALISIS, REVISION Y ACTUALIZACION DEL SISTEMA DE GESTION INTEGRADO, BAJO LA NORMA ISO 9001-2015, ISO 140001-2015 E ISO 37001-2016 EN LA DIRECCION GENERAL DE CAPITANIAS Y GUARDACOSTAS, O/S 0911 DE FECHA 08/04/19.</t>
  </si>
  <si>
    <t>GLOBAL MARINE SURVEYORS GROUP S.A.C.</t>
  </si>
  <si>
    <t>PAGO POR SERVICIO DE CONSULTORÍA PARA EL SEGUIMIENTO Y ACTUALIZACIÓN DE LOS SITEMAS DE FORMACIÓN Y TITULACIÓN DE LA GENTE DE MAR DE LA DIRECCION GENERAL DE CAPITANIAS Y GUARDACOSTAS, O/S 1044 DE FECHA 14/06/2019.</t>
  </si>
  <si>
    <t>PRO MANAGEMENT CO. SAC</t>
  </si>
  <si>
    <t>SERVICIO DE COSULTORIA EN TEMAS REFERENTES AL DESARROLLO DE HABILIDADES BLANDAS DIRIGIDO AL PERSONAL DE TECNICOS SUPERVISORES MAESTROS Y TECNICOS SUPERVISORES PRIMEROS DE LA INSTITUCION.</t>
  </si>
  <si>
    <t>COMPROMISO POR GASTOS DE CONSULTORIAS POR PERSONAS JURIDICAS PARA DIRCONCE</t>
  </si>
  <si>
    <t>COMPROMISO POR DE CONSULTORIAS TASACION LOTE 93 Y  LOTE 94 - PUNTA SAL, PARA DIRCONCE</t>
  </si>
  <si>
    <t>PAGO POR EL SERVECIO DE VALUACION DE LA BASE NAVAL DEL CALLAO ZONA SUR</t>
  </si>
  <si>
    <t>PAGO POR LA VALUACION COMERCIAL DE PARCELA IMAP DE MARINA DE GUERRA</t>
  </si>
  <si>
    <t>TAMASHIRO &amp; RAMIREZ CONSULTORES SRLTDA</t>
  </si>
  <si>
    <t xml:space="preserve">SERVICIO DE CONSULTORIA PARA LA EVALUACION DE COMPETENCIAS TRANSVERSALES PARA EL PERSONAL SUPERIOR Y SUBALTERNO DE LA INSTITUCION. </t>
  </si>
  <si>
    <t>INTERNATIONAL ZETA CONSULTING S.A.C.</t>
  </si>
  <si>
    <t>SERVICIO DE EVALUACION EXTERNA CON FINES DE ACREDITACION DEL PROGRAMA DE ESTUDIOS DE CIENCIAS MARITIMAS NAVALES DE LA ESCUELA NAVAL DEL PERU</t>
  </si>
  <si>
    <t>PAGO POR LA VALUACION COMERCIAL DE 2 TERRENOS DE MARINA UBICADOS EN BAYOVAR</t>
  </si>
  <si>
    <t>PAGO POR LA TASACION DEL PREDIO DE MARINA DE GUERRA UBICADO EN AV SALAVERRY 2435 Y 2439 - DIRCONCE</t>
  </si>
  <si>
    <t>FIN PAGO DE LA ENTREGA FINAL DEL INFOME DE EVALUACIÓN DEL PROYECTO PARA LA CONTRATACION DE CONSULTORIA PARA EL MEJORAMIENTO DE LOS SERVICIOS EDUCATIVOS DEL LICEO NAVAL CAPITAN DE CORBETA MANUEL CLAVERO MUGA SEGUN O/S 223 DIRPRONAV-SUE13. OFICIO NRO.1448/81 JESUEMAB FECHA 05/11/19</t>
  </si>
  <si>
    <t>MACHINERY ADVICE &amp; SALES E.I.R.L.</t>
  </si>
  <si>
    <t>FIN PAGO DE LA ENTREGA DE INFORME FINAL DE EVALUACIÓN DE LA ACTUALIZACION PERFIL DEL PI "AMPLIACION Y MEJORAMIENTO DE LOS SERVICIOS DE FORMACION DE GRUMETES EN LA II ZONA NAVAL DE LA MARINA DE GUERRA DEL PERU, EN EL DISTRITO DE CALLAO, PROVINCIA CONSTITUCIONAL DEL CALLAO SEGUN O/S 234 DIRPRONAV - SUE 13. OFICIO NRO.1448/81 JESUEMAB FECHA 05/11/19</t>
  </si>
  <si>
    <t>HERRERA MANRIQUE &amp; ASOCIADOS SOCIEDAD CIVIL</t>
  </si>
  <si>
    <t>DIRECOMAR:  SERVICIO DE CERTIFICACION DE ASISTENCIA TECNICA DEL SERVICIO DE REPARACION Y MANTENIMIENTO DE AVIONES FOKKER PRESTADO LOS AÑOS 2014 AL 2019, SEGUN ORDEN SERVICIO Nº 110-2019 E FECHA 04/11/2019</t>
  </si>
  <si>
    <t>ESTUDIO BALLON ABOGADOS EIRL</t>
  </si>
  <si>
    <t>PAGO POR EL SERVICIO DE ASESORIA LEGAL ESPECIALIADA EN ACTOS DE ADMINISTRACION Y/O DISPOSCION PARA DIRCONCE - PRIMER ENTREGABLE</t>
  </si>
  <si>
    <t>BH GROUP CONSULTORES &amp;  ASOCIADOS E.R.L.</t>
  </si>
  <si>
    <t>PAGO de Consultoria Personas Juridicas  DIRCONCE - PRIMER ENTREGABLE</t>
  </si>
  <si>
    <t>PAGO DE VALUACION COMERCIAL DE 3 PREDIOS DE LA MARINA DE GUERRA CON LA FINALIDAD DE DETERMINAR LA RENTA FIJA MENSUAL PARA PERSIBIR COMO CONTRAPRESTACION</t>
  </si>
  <si>
    <t>PAGO POR EL SERVICIO DE ASESORIA LEGAL ESPECIALIADA EN ACTOS DE ADMINISTRACION Y/O DISPOSCION PARA DIRCONCE - SEGUNDO ENTREGABLE</t>
  </si>
  <si>
    <t>PAGO POR LA VALUACION DEL PREDIO DENOMINADO FUNDO MARANDA SECTOR B PARA DETERMINAR LA RENTA MENSUAL PARA EL OTORGAMIENTO DE UN DERECHO DE SUPERFICIE</t>
  </si>
  <si>
    <t>PAGO POR EL SERVICIO DE ASESORIA LEGAL ESPECIALIZADA EN ACTOS DE ACMINISTRACION Y/O DISPOSICION DE BIENES INMUEBLES PARA DIRCONCE</t>
  </si>
  <si>
    <t>INGENIERIA DE SISTEMAS PARA LA DEFENSA DE ESPAÑA</t>
  </si>
  <si>
    <t>DIRECOMAR - DOCUMENTOS CANCELATORIOS IGV 18%</t>
  </si>
  <si>
    <t>DIRECOMAR - DOCUMENTOS CANCELATORIOS RENTA 30%</t>
  </si>
  <si>
    <t>PILCO PILCO JUAN CARLOS</t>
  </si>
  <si>
    <t>PAGO POR EL SERVICIO DE CONSULTORIA DE ACTOS ADMINISTRATIVOS SOBRE BIENES INMUEBLES DEL SECTOR DEFENSA SEGUN O/C.0387 DIRCONCE</t>
  </si>
  <si>
    <t>BOCANEGRA ALCALDE ALFREDO JULIO</t>
  </si>
  <si>
    <t>JEMGEMAR - PAGO POR EL SERVICIO DE CONSULTORÍA PROFESIONAL PARA LA REVISIÓN Y VERIFICACIÓN DE LOS COMPROMISOS PACTADOS EN ACUERDOS BILATERALES DE JEMGEMAR CON AUTORIDADES NAVALES DE OTROS PAISES</t>
  </si>
  <si>
    <t>BALLÓN QUIROZ MARIA GRACIA</t>
  </si>
  <si>
    <t>PAGO POR SERVICIOS DE CONSULTORIA DE ACTOS ADMINISTRATIVOS SOBRE BIENES INMUEBLES PARA DIRCONCE</t>
  </si>
  <si>
    <t>LIZARRAGA GAMARRA VICTOR IVAN</t>
  </si>
  <si>
    <t xml:space="preserve">PAGO POR SERVICIOS DE CONSULTORIA DE UN PROFESIONAL EN LA CARRERA DE INGENIERIA GEOGRAFICA PARA DIRCONCE </t>
  </si>
  <si>
    <t>PAGO POR SERVICIOS DE CONSULTORIA DE ACTOS ADMINISTRATIVOS SOBRE BIENES INMUEBLES PARA DIRCONCE, SEGUNDO ENTREGABLE</t>
  </si>
  <si>
    <t>PAGO POR SERVICIOS POR EL CASO IV Y VII SEGUN LA ORDEN DE SERVICIO 396 DE FECHA 09/05/2019</t>
  </si>
  <si>
    <t>PAGO POR EL SERVICIO DE CONSULTORIA DE ACTOS ADMINISTRATIVOS SOBRE BIENES INMUEBLES DEL SECTOR DEFENSA SEGUN O/C. 0387 DIRCONCE</t>
  </si>
  <si>
    <t>REBAJA POR RESTRUCTURACIÓN DEL SERVICIO DE CONSULTORIA DE ACTOS ADMINISTRATIVOS SOBRE BIENES INMUEBLES DEL SECTOR DEFENSA SEGUN O/C.0387 DIRCONCE</t>
  </si>
  <si>
    <t>RONY JURIS MEDIC BUSINESS HOME E.I.R.L.</t>
  </si>
  <si>
    <t xml:space="preserve">PAGO SERVICIO DE CONSULTORIA PARA EL MEJORAMIENTO Y AMPLIACION DE LOS SERVICIOS DE BIENESTAR DEL CENTRO DE ESPARCIMIENTO DEL CLUB LURIN SEGUN O/S 228 DIRPRONAV FECHA 27/06/19 </t>
  </si>
  <si>
    <t>PAGO POR EL SERVICIO DE CONSULTORIA DE ACTOS ADMINISTRATIVOS SOBRE BIENES INMUEBLES DEL SECTOR DEFENSA SEGUN O/C.0387 DIRCONCE  - TERCER ENTREGABLE</t>
  </si>
  <si>
    <t>COMPROMISO POR EL SERVICIO DE CONSULTORIA DE ACTOS ADMINISTRATIVOS SOBRE BIENES INMUEBLES DEL SECTOR DEFENSA SEGUN O/C.0387 DIRCONCE - CUARTO ENTREGABLE</t>
  </si>
  <si>
    <t>PMO PROYECTOS E INVERSIONES E.I.R.L.</t>
  </si>
  <si>
    <t xml:space="preserve">SERVICIO DE CONSULTORIA PARA EL MEJORAMIENTO Y AMPLIACION DEL CLUB DE TECNICOS Y OFICIALES DE MAR GRUMETE MEDINA, SEGUN O/S NRO. 0229 DIRPRONAV - SUE13 </t>
  </si>
  <si>
    <t>PAGO POR EL SERVICIO DE CONSULTORIA DE ACTOS ADMINISTRATIVOS SOBRE BIENES INMUEBLES DEL SECTOR DEFENSA SEGUN O/C.0387 DIRCONCE MES AGOSTO</t>
  </si>
  <si>
    <t>PAGO POR SERVICIOS DE CONSULTORIA DE ACTOS ADMINISTRATIVOS SOBRE BIENES INMUEBLES PARA DIRCONCE - CUARTO ENTREGABLE</t>
  </si>
  <si>
    <t>PAGO POR SERVICIOS DE CONSULTORIA DE UN PROFESIONAL EN LA CARRERA DE INGENIERIA GEOGRAFICA PARA DIRCONCE - CUARTO ENTREGABLE</t>
  </si>
  <si>
    <t>COMPROMISO POR SERVICIOS DE CONSULTORIA DE ACTOS ADMINISTRATIVOS SOBRE BIENES INMUEBLES PARA DIRCONCE</t>
  </si>
  <si>
    <t xml:space="preserve">PAGO DEL QUINTO ENTREGABLE  POR SERVICIOS DE CONSULTORIA DEL PROFESIONAL EN LA CARRERA DE INGENIERIA GEOGRAFICA PARA  EL DE DIRCONCE </t>
  </si>
  <si>
    <t>PAGO POR EL SERVICIO DE VERIFICACION, ANALISIS Y ELABORACION DE DOCUMENTACION TECNICA PARA DIRCONCE - PRIMER ENTREGABLE</t>
  </si>
  <si>
    <t>PONCE DE LEON MUNOZ JAIME MODESTO</t>
  </si>
  <si>
    <t>PAGO POR EL SERVICIO ORIENTADO A EVALUAR LOS DICTAMENES DESARROLLADOS POR LA AUDITORIA EFECTUADA A LA EMPRESA METRO - PRIMER ENTREGABLE EQUIVALENTE AL 30% DE LA ORDEN DE SERVICIO</t>
  </si>
  <si>
    <t>PEZO ACOSTA ROBERTO ANTONIO</t>
  </si>
  <si>
    <t>FIN CONTINUAR CICLO GASTO PARA LA CONTRATACION DE UN CONSULTOR PARA EL PROCESO DE CIERRE PRESUPUESTAL AF-2019 Y EN LA CONTINUIDAD DE INVERSIONES AF-2020</t>
  </si>
  <si>
    <t>JEMGEMAR - SERVICIOS DE CONSULTORÍA: SEGUIMIENTO DE COMPROMISOS PACTADOS EN ACUERDOS SUSCRITOS POR JEMGEMAR EN REUNIONES BILATERALES CON DIFERENTES PAÍSES Y ASESORAMIENTO EN LA FORMULACIÓN DE PROCESOS DE GESTIÓN DE LA DIVISIÓN DE ASUNTOS INTERNACIONALES</t>
  </si>
  <si>
    <t>COMPROMISO POR EL SERVICIO ORIENTADO A EVALUAR LOS DICTAMENES DESARROLLADOS POR LA AUDITORIA EFECTUADA A LA EMPRESA METRO - SEGUNDO ENTREGABLE</t>
  </si>
  <si>
    <t>PAGO POR EL SERVICIO DE VERIFICACION, ANALISIS Y ELABORACION DE DOCUMENTACION TECNICA PARA DIRCONCE - SEGUNDO ENTREGABLE</t>
  </si>
  <si>
    <t>PAGO POR EL SERVICIO ORIENTADO A EVALUAR LOS DICTAMENES DESARROLLADOS POR LA AUDITORIA EFECTUADA A LA EMPRESA METRO - TERCER ENTREGABLE</t>
  </si>
  <si>
    <t xml:space="preserve">SERVICIO DE ASESORAMIENTO EN EL PROCESO DE LA EJECUCION PRESUPUESTARIA E INFORMES TECNICOS DE PROYECTOS INVERSIÓN PUBLICA SEGÚN O/S 004 DIRPRONAV (SUE-13) </t>
  </si>
  <si>
    <t>CONTRATACION DEL SERVICIO DE UN PROFESIONAL DE LA CARRERA DE DERECHO ESPECIALISTA EN CATASTRO, DERECHO REGISTRAL E INMOBILIARIO PARA ELABORACIÓN DE EXPEDIENTE - DIRCONCE</t>
  </si>
  <si>
    <t>SERVICIO PROFESIONAL DE UN (1) INGENIERO GEOGRAFO PARA LA ELABORACION TECNICA DE EXPEDIENTES. PRIMER ENTREGABLE CASO I: PREDIO DENOMINADO PARCELA IMAP</t>
  </si>
  <si>
    <t>CONTRATACION DEL SERVICIO DE UN PROFESIONAL DE LA CARRERA DE DERECHO ESPECIALISTA EN CATASTRO, DERECHO REGISTRAL E INMOBILIARIO PARA ELABORACIÓN DE EXPEDIENTE, SEGUNDO ENTREGABLE - DIRCONCE</t>
  </si>
  <si>
    <t>SERVICIO PROFESIONAL DE UN (1) INGENIERO GEOGRAFO PARA LA ELABORACION TECNICA DE EXPEDIENTES. SEGUNDO ENTREGABLE - DIRCONCE</t>
  </si>
  <si>
    <t>ARTURO PEÑA GARCIA</t>
  </si>
  <si>
    <t>CONTRATACION DEL SERVICIO DE UN TECNICO ESPECIALIZADO EN SANEAMIENTO PARA LA ELABORACION DE EXPEDIENTES</t>
  </si>
  <si>
    <t xml:space="preserve">ASESORIA PARA DESARROLLO DEL PROCESO DE EVALUACION DE COMPETENCIAS TRANSVERSALES DE LA MGP.                                                                                     </t>
  </si>
  <si>
    <t>10442590716</t>
  </si>
  <si>
    <t xml:space="preserve">SERVICIO DE ASESORIA PARA DESARROLLO DEL PROCESO DE EVALUACION DE COMPETENCIAS TRANSVERSALES DE LA MGP. (INICIO SERVICIO 02/03 HASTA 30/10 INCLUSIVE)                                                                                                     </t>
  </si>
  <si>
    <t xml:space="preserve">ASESORIA PARA LA REINSERCION LABORAL DEL PERSONAL SUPERIOR PROXIMOS A PASAR A LA SITUACION MILITAR DE RETIRO DE LA MARINA DE GUERRA DEL PERU.                                           </t>
  </si>
  <si>
    <t>20152960621</t>
  </si>
  <si>
    <t xml:space="preserve">PAGO DEL 30%  DEL CONTRATO DIPERMAR N° 001-2019 DEL SERVICIO DE ASESORIA PARA LA REINSERCION LABORAL DEL PERSONAL SUPERIOR PROXIMOS A PASAR A LA SITUACION MILITAR DE RETIRO DE LA MARINA DE GUERRA DEL PERU.                                           </t>
  </si>
  <si>
    <t xml:space="preserve">ASESORIA PARA LA PREPARACIÓN Y FORMULACIÓN DE INFORME JURÍDICO RESPECTO AL CONVENIO DE COOPERACIÓN INTERINSTITUCIONAL ENTRE LA MARINA DE GUERRA DEL PERÚ Y EL CENTRO NAVAL DEL PERÚ                                                           </t>
  </si>
  <si>
    <t>20604219109</t>
  </si>
  <si>
    <t xml:space="preserve">SERVICIO DE ASESORIA PARA LA PREPARACIÓN Y FORMULACIÓN DE INFORME JURÍDICO RESPECTO AL CONVENIO DE COOPERACIÓN INTERINSTITUCIONAL ENTRE LA MARINA DE GUERRA DEL PERÚ Y EL CENTRO NAVAL DEL PERÚ                                                           </t>
  </si>
  <si>
    <t xml:space="preserve">ASESORIA PARA LA REINSERCION LABORAL DEL PERSONAL SUPERIOR PROXIMOS A PASAR A LA SITUACION MILITAR DE RETIRO DE LA MARINA DE GUERRA DEL PERU AÑO 2020     </t>
  </si>
  <si>
    <t xml:space="preserve">POR EL 70% DE LA CONTRATACION DEL SERVICIO DE ASESORIA PARA LA REINSERCION LABORAL DEL PERSONAL SUPERIOR PROXIMOS A PASAR A LA SITUACION MILITAR DE RETIRO DE LA MARINA DE GUERRA DEL PERU AÑO 2020  DE ACUERDO 
AS Nº 001-2020 MGP/DIPERMAR                                                     </t>
  </si>
  <si>
    <t>CONSULTORIAS PARA MEJORA DE GESTIÓN DE CALIDAD EDUCATIVA</t>
  </si>
  <si>
    <t>SERVICIOS SIMILARES DE CONSULTORIAS -  CONSULTORIAS PARA MEJORA DE GESTIÓN DE CALIDAD EDUCATIVA</t>
  </si>
  <si>
    <t>CONSULTORIAS ADMINISTRATIVA DE VERIFICACIÓN DEL FUNCIONAMIENTO DE  GESTIÓN DE CALIDAD EDUCATIVA</t>
  </si>
  <si>
    <t>SERVICIOS SIMILARES DE CONSULTORIAS -  CONSULTORIAS ADMINISTRATIVA DE VERIFICACIÓN DEL FUNCIONAMIENTO DE  GESTIÓN DE CALIDAD EDUCATIVA</t>
  </si>
  <si>
    <t>RENOVACIÓN DE MATERIAL DE SUPERVIVENCIA DE LOS REMOLCADORES Y LANCHAS PILOT  RADIOBALIZAS</t>
  </si>
  <si>
    <t>RENOVACIÓN Y CERTIFICACIÓN DEL MATERIAL DE SUPERVIVENCIA DE LOS REMOLCADORES Y LANCHAS PILOT BALSAS SALVAVIDAS</t>
  </si>
  <si>
    <t>SERVICIO DE ASESORIA LEGAL EXTERNA EN DERECHO CIVIL, ADMINISTRATIVO Y DE CONTRATACIONES PUBLICAS</t>
  </si>
  <si>
    <t>ASESORIA EN AUDITORIA EXTERNA DE LA APN Y DESARROLLO DE LA AUDITORIA INTERNA DE PROTECCION PARA LA OBTENCION DE LA REFRENDA ANUAL DE AREA PORTUARIA</t>
  </si>
  <si>
    <t>SERVICIO DE ASESORIA EN AUDITORIA EXTERNA DE LA APN Y DESARROLLO DE LA AUDITORIA INTERNA DE PROTECCION PARA LA OBTENCION DE LA REFRENDA ANUAL DE AREA PORTUARIA</t>
  </si>
  <si>
    <t>ASESORIA CONTABLE PARA LA OFICINA DE ADMINISTRACIÓN ESPITA</t>
  </si>
  <si>
    <t>SERVICIO DE ASESORIA CONTABLE PARA LA OFICINA DE ADMINISTRACIÓN ESPITA</t>
  </si>
  <si>
    <t>ASESORIA JEFE CONTROL DE CALIDAD Y SANEAMIENTO ESPITA</t>
  </si>
  <si>
    <t>SERVICIO DE ASESORIA JEFE CONTROL DE CALIDAD Y SANEAMIENTO ESPITA</t>
  </si>
  <si>
    <t>ASESORIA OFICINA DE CONTROL  INTERNO ESPITA</t>
  </si>
  <si>
    <t>SERVICIO DE ASESORIA OFICINA DE CONTROL  INTERNO ESPITA</t>
  </si>
  <si>
    <t>SERVICIO DE IMPLEMENTACIÓN Y ELABORACIÓN DE REGISTROS DEL PLAN HACCP ESPITA</t>
  </si>
  <si>
    <t>SERVICIO DE IMPLEMENTACIÓN Y ELABORACIÓN DE REGISTROS DE MANUALES BPM Y SSOP ESPITA</t>
  </si>
  <si>
    <t>SERVICIO DE ASESORAMIENTO DE LA CALIDAD EN LA PLANTA DE CONGELADOS Y MUELLE ESPITA</t>
  </si>
  <si>
    <t>SERVICIO AUXILIAR DE CONSERVACIÓN DE LA SALUBRIDAD EN DIVISIÓN DE SANIDAD</t>
  </si>
  <si>
    <t>SERVICIO AUXILIAR DE LIMPIEZA Y DESINFECCIÓN PISCINA HOSTAL NAVAL ESPITA</t>
  </si>
  <si>
    <t>SERVICIO AUXILIAR DE CONSERVACIÓN DE LA SALUBRIDAD EN PLANTA DE CONGELADOS</t>
  </si>
  <si>
    <t>SERVICIO AUXILIAR DE LIMPIEZA Y DESINFECCIÓN TANQUES ELEVADOS AGUA POTABLE ESPITA</t>
  </si>
  <si>
    <t>SERVICIO AUXILIAR DE CONSERVACIÓN DE LA SALUBRIDAD AREAS EXTERNAS DE LA PLANTA DE CONGELADOS ESPITA</t>
  </si>
  <si>
    <t>SERVICIO AUXILIAR DE CONSERVACIÓN DEL SISTEMA DE DESAGUE DEL EDIFIO DE HABITALIDAD Y COCINA DE TRIPULACIÓN</t>
  </si>
  <si>
    <t>ASESORIA EN CONTRATACIONES PUBLICAS OFICINA DE ADMINISTRACIÓN</t>
  </si>
  <si>
    <t>SERVICIO ASESORIA EN CONTRATACIONES PUBLICAS OFICINA DE ADMINISTRACIÓN</t>
  </si>
  <si>
    <t>SERVICIO DE MANTENIMIENTO Y AUDITORIA</t>
  </si>
  <si>
    <t>ASESORIA EN EJECUCION DE CAMPAÑA DE DIFUSION E IMAGEN INSTITUCIONAL</t>
  </si>
  <si>
    <t>SERVICIO DE AESORIA EN EJECUCION DE CAMPAÑA DE DIFUSION E IMAGEN INSTITUCIONAL</t>
  </si>
  <si>
    <t>SERVICIO DE ASESORAMIENTO Y ASISTENCIA EN EL PROCESO DE SEGUIMIENTO,SUPERVISIÓN Y CONTROL DE LA EJECUCIÓN DEL PROYECTO DE INVERSIÓN COGIGO UNICO 2193999 Y 23333362</t>
  </si>
  <si>
    <t>SERVICIO DE ASESORAMIENTO EN EL PROCESO DE LA EJECUCIÓN PRESUPUESTARIA Y EN LA ELABORACIÓN DE INFORMES TÉCNICOS DE LOS PROYECTOS DE INVERSIÓN DE LA UNIDAD FORMULADORA MARINA DE GUERRA DEL PERÚ /UF</t>
  </si>
  <si>
    <t>SERVICIO PROFESIONAL SUPERVICIÓN EXPEDIENTE TECNICO</t>
  </si>
  <si>
    <t xml:space="preserve">SERVICIO DE ASESOR LEGAL EXTERNO </t>
  </si>
  <si>
    <t>SERVICIO PROFESIONAL ASESOR LEGAL</t>
  </si>
  <si>
    <t>SERVICIO PROFESIONAL EN INGENIERIA</t>
  </si>
  <si>
    <t>CONTRATACION DE SERVICIOS</t>
  </si>
  <si>
    <t xml:space="preserve">SERVICIO DE UN PROFESIONAL DE LA CARRERA DE DERECHO </t>
  </si>
  <si>
    <t>SERVICIO PROFESIONAL DE UN INGENIERO GEOGRAFO</t>
  </si>
  <si>
    <t xml:space="preserve">SERVICIO DE UN TECNICO ESPECIALIZADO EN SANEAMIENTO </t>
  </si>
  <si>
    <t xml:space="preserve">SERVICIO DE VALUACIÓN COMERCIAL </t>
  </si>
  <si>
    <t xml:space="preserve">SERVICIO DE ACTUALIZACIÓN DE TASACIÓN COMERCIAL </t>
  </si>
  <si>
    <t>SERVICIO DE AUDITORÍA CONTABLE Y FINANCIERA A LOS INGRESOS DE RECUERSOS ECONÓMICOS</t>
  </si>
  <si>
    <t>SERVICIO DE PROFESIONAL ESPECIALISTA DE SISTEMAS EN SOFTWARE</t>
  </si>
  <si>
    <t>SERVICIO PROFESIONAL DE SOPORTE INFORMATICO</t>
  </si>
  <si>
    <t xml:space="preserve"> SERVICIO PROFESIONAL EN INFORMATICA</t>
  </si>
  <si>
    <t>SERVICIO DE ASESORÍA PROFESIONAL</t>
  </si>
  <si>
    <t>SERVICIO DE ASESORIA TECNICA ESPECIALIZADA</t>
  </si>
  <si>
    <t>SERVICIO DE ASESORIA</t>
  </si>
  <si>
    <t xml:space="preserve"> SERVICIO DE ASESORIA</t>
  </si>
  <si>
    <t>MARINA DE GUERRA</t>
  </si>
  <si>
    <t>0000-300896</t>
  </si>
  <si>
    <t>0000-302503</t>
  </si>
  <si>
    <t xml:space="preserve">0000-282847 </t>
  </si>
  <si>
    <t xml:space="preserve">0000-283843 </t>
  </si>
  <si>
    <t xml:space="preserve">0000-283851 </t>
  </si>
  <si>
    <t xml:space="preserve">0000-283878 </t>
  </si>
  <si>
    <t xml:space="preserve">0000-283975 </t>
  </si>
  <si>
    <t xml:space="preserve">0000-813184 </t>
  </si>
  <si>
    <t xml:space="preserve">0068-344700 </t>
  </si>
  <si>
    <t>0068-344719</t>
  </si>
  <si>
    <t>00068-372739</t>
  </si>
  <si>
    <t xml:space="preserve">0000-576182 </t>
  </si>
  <si>
    <t>0000-865486</t>
  </si>
  <si>
    <t xml:space="preserve">0068-230152 </t>
  </si>
  <si>
    <t xml:space="preserve">6000-029007 </t>
  </si>
  <si>
    <t xml:space="preserve">DOLARES </t>
  </si>
  <si>
    <t xml:space="preserve">6000-035309 </t>
  </si>
  <si>
    <t>06-068-002077</t>
  </si>
  <si>
    <t>MARINA DE GUERRA DEL PERÚ</t>
  </si>
  <si>
    <t>GALVEZ PAREDES ANA CECILIA</t>
  </si>
  <si>
    <t>SI</t>
  </si>
  <si>
    <t>SEMESTRAL (ABRIL Y JULIO)</t>
  </si>
  <si>
    <t>SANCHEZ FERNANDEZ DAYAN  MAYRA</t>
  </si>
  <si>
    <t>MORENO DELGADO JESUS ARTURO</t>
  </si>
  <si>
    <t>MORENO SOSA HERNAN</t>
  </si>
  <si>
    <t>GONGORA DE LA RADA DE LANA MARIANELA</t>
  </si>
  <si>
    <t>01145540</t>
  </si>
  <si>
    <t>GÓNGORA DE LA RADA DE LANA MARIANELA</t>
  </si>
  <si>
    <t>SANCHEZ FERNANDEZ DAYA MAYRA</t>
  </si>
  <si>
    <t>MEDINA VELÁSQUEZ  ELIZABETH JULIA</t>
  </si>
  <si>
    <t>SINFUENTES MARTINEZ ENRIQUE MANUEL</t>
  </si>
  <si>
    <t>LANZA VILLACORTA DE RODRIGUEZ, GLADYS SUSANA</t>
  </si>
  <si>
    <t>CONSTRUCTORA E INVERSIONES FAMICAS PERU S.A.C.</t>
  </si>
  <si>
    <t>TERCEROS</t>
  </si>
  <si>
    <t>CHANG VALENZUELA DE MEJIA FLOR DE MARIA</t>
  </si>
  <si>
    <t>MENSUAL (5 MESES DE AGO A DIC)</t>
  </si>
  <si>
    <t>MORON LOMBARDI ELSA AMPARO</t>
  </si>
  <si>
    <t>QUINTERO ZUMARAN ANA</t>
  </si>
  <si>
    <t>DELGADO FRANCISCO MANUEL MARCOS</t>
  </si>
  <si>
    <t>SEMESTRAL (JULIO)</t>
  </si>
  <si>
    <t>MENSUAL ( 6 MESES DE JUL A DIC)</t>
  </si>
  <si>
    <t>SOTILLO CESTI, FLOR DE MARIA</t>
  </si>
  <si>
    <t>03508164</t>
  </si>
  <si>
    <t>ANUAL (MARZO A DICIEMBRE)</t>
  </si>
  <si>
    <t>CAPURRO SOTILLO, EZZIO</t>
  </si>
  <si>
    <t>ANUAL (MARZO A JUNIO)</t>
  </si>
  <si>
    <t>026: MINISTERIO DE DEFENSA</t>
  </si>
  <si>
    <t>04: MARINA DE GUERRA</t>
  </si>
  <si>
    <t>FIGUEROA AGUIRRE CERAPIO TEODORO</t>
  </si>
  <si>
    <t>15986316</t>
  </si>
  <si>
    <t>31 - MARZO 2019</t>
  </si>
  <si>
    <t>MENSUAL - 30 C/MES</t>
  </si>
  <si>
    <t>RIOS RAMIREZ AMELIA ELBA</t>
  </si>
  <si>
    <t>15753759</t>
  </si>
  <si>
    <t>MAN PINEDO DE GUEVARA CARMEN NATALIA</t>
  </si>
  <si>
    <t>17909037</t>
  </si>
  <si>
    <t>IBACACHE RODRIGUEZ KARLA JEANINA</t>
  </si>
  <si>
    <t>10148886</t>
  </si>
  <si>
    <t>PALOMARES TORRES LUIS ARMANDO</t>
  </si>
  <si>
    <t>15766217</t>
  </si>
  <si>
    <t>ESPINOZA SASSA MARIELLA ANDREA</t>
  </si>
  <si>
    <t>RENGIFO VILLAVICENCIO LILIA</t>
  </si>
  <si>
    <t xml:space="preserve">40596685 </t>
  </si>
  <si>
    <t>RUIZ AGURTO LUBEN ROBERTO</t>
  </si>
  <si>
    <t>03833398</t>
  </si>
  <si>
    <t>BAYONA CRUZ JOSE ANTONIO</t>
  </si>
  <si>
    <t>03821084</t>
  </si>
  <si>
    <t>SANTA CRUZ MEOÑO EDUARDO JAVIER</t>
  </si>
  <si>
    <t>16793899</t>
  </si>
  <si>
    <t>BRICEÑO CARRANZA DE SALINAS ESPERANZA</t>
  </si>
  <si>
    <t>19533552</t>
  </si>
  <si>
    <t>QUIJANO DOIG JORGE LUIS</t>
  </si>
  <si>
    <t>40683609</t>
  </si>
  <si>
    <t>ROBLES RAMOS RINA MIRLA</t>
  </si>
  <si>
    <t>10062824</t>
  </si>
  <si>
    <t>CARRILLO TORRES MARIELA ESTHER</t>
  </si>
  <si>
    <t>32910126</t>
  </si>
  <si>
    <t>VARGAS SANTTI JOSE PIO</t>
  </si>
  <si>
    <t>03838486</t>
  </si>
  <si>
    <t>SENOSAIN PACHECO NELLY VICTORIA</t>
  </si>
  <si>
    <t>32839834</t>
  </si>
  <si>
    <t>AGUILA DESCALZI MARIA DEL ROSARIO</t>
  </si>
  <si>
    <t>02806480</t>
  </si>
  <si>
    <t>MASCO VDA. DE RAMIREZ, ELZA VICTORIA</t>
  </si>
  <si>
    <t>04629342</t>
  </si>
  <si>
    <t>OVIEDO DE LUPERDIGA ROXANA GLADYS</t>
  </si>
  <si>
    <t>00456274</t>
  </si>
  <si>
    <t>NIJS KRIS JOSEF MARIA</t>
  </si>
  <si>
    <t>48056477</t>
  </si>
  <si>
    <t>AREVALO DE FERNANDEZ DORA ESTHER</t>
  </si>
  <si>
    <t>00068366</t>
  </si>
  <si>
    <t>RUBIO RAMIREZ MANUEL ORLANDO</t>
  </si>
  <si>
    <t>41055952</t>
  </si>
  <si>
    <t>32973505</t>
  </si>
  <si>
    <t>31 - MAYO 2019</t>
  </si>
  <si>
    <t>30 - JUNIO 2019</t>
  </si>
  <si>
    <t>40596685</t>
  </si>
  <si>
    <t>PINTO LLAPA EDWING TEMISTOCLES</t>
  </si>
  <si>
    <t> 29417924</t>
  </si>
  <si>
    <t>31 - JULIO 2019</t>
  </si>
  <si>
    <t>31 - DICIEMBRE 2019</t>
  </si>
  <si>
    <t> 29417925</t>
  </si>
  <si>
    <t>30 - JUNIO 2020</t>
  </si>
  <si>
    <t>CHANG BUSTAMANTE VDA. DE TELLEZ CARMEN ELIZABETH</t>
  </si>
  <si>
    <t>04411414</t>
  </si>
  <si>
    <t>VILLAR MORCILLO DE QUEA EVELYNS ADELINA</t>
  </si>
  <si>
    <t> PALACIOS DE BECERRA SARA</t>
  </si>
  <si>
    <t>CALDERON PINILLOS ROSSANA MARGOT</t>
  </si>
  <si>
    <t>INVERSIONES GARTNER E. I.R.L.</t>
  </si>
  <si>
    <t>PIEDRA SANCHEZ EDITA MARLENY</t>
  </si>
  <si>
    <t>29417925</t>
  </si>
  <si>
    <t>BOLIVIA</t>
  </si>
  <si>
    <t>LEONARDINI SIERRA, SILVIA XIMENA (PROPIETARIA)</t>
  </si>
  <si>
    <t>CÉDULA DE IDENTIDAD Nº 3357675/LP</t>
  </si>
  <si>
    <t>PROPIEDAD INSCRITA EN EL REGISTRO DE DERECHOS REALES DE BOLIVIA.</t>
  </si>
  <si>
    <r>
      <t>180 m</t>
    </r>
    <r>
      <rPr>
        <vertAlign val="superscript"/>
        <sz val="8"/>
        <rFont val="Century Gothic"/>
        <family val="2"/>
      </rPr>
      <t>2</t>
    </r>
  </si>
  <si>
    <t xml:space="preserve">2 años Inicio: 01/03/2018 Término:01/03/2020
</t>
  </si>
  <si>
    <t>PAGO MENSUAL ANTICIPADO HASTA EL DÍA  5 DE CADA MES.</t>
  </si>
  <si>
    <t>ARGENTINA</t>
  </si>
  <si>
    <t>LUIS SILVA JUEZ</t>
  </si>
  <si>
    <t>D.N.I. 4.018.993</t>
  </si>
  <si>
    <t>153 m2</t>
  </si>
  <si>
    <t>--</t>
  </si>
  <si>
    <t>De 01 junio 2018 a 31 mayo 2020</t>
  </si>
  <si>
    <t>MENSUAL (día 10 de cada mes)</t>
  </si>
  <si>
    <t>ALEMANIA</t>
  </si>
  <si>
    <t>WOHNBAU-COMMERZ GMBH &amp; CO. BAUTREUHAND</t>
  </si>
  <si>
    <t>Bien de terceros</t>
  </si>
  <si>
    <t>103,65 m³</t>
  </si>
  <si>
    <t>indefinido</t>
  </si>
  <si>
    <t>1855   a partir del 01.11.19 1,955   a partir del 01.11.20   2005     a partir del 01.11.21 2055</t>
  </si>
  <si>
    <t>SR. WOLFGANG FLEMMING</t>
  </si>
  <si>
    <t>Bien propio del arredandor</t>
  </si>
  <si>
    <t>Municipalidad del Distrito de Schöneberg-Berlin, hoja 2708, parcela 520</t>
  </si>
  <si>
    <t>158,19 m³</t>
  </si>
  <si>
    <t>1888 
Cochera 90</t>
  </si>
  <si>
    <t>PANAMA</t>
  </si>
  <si>
    <t>Embajada del Perú tiene contrato con Francisco de Ycaza (Agregaduría de Defensa ocupa 2 ambientes)</t>
  </si>
  <si>
    <t>Cédula  8-87-279</t>
  </si>
  <si>
    <t>Bien propio</t>
  </si>
  <si>
    <t>RUC. 1205520-1-267690</t>
  </si>
  <si>
    <t>1 oficina 15 m2</t>
  </si>
  <si>
    <t>Ninguno</t>
  </si>
  <si>
    <t>5 años</t>
  </si>
  <si>
    <t>US. $ 400.00</t>
  </si>
  <si>
    <t>Mensual se paga a fin de mes</t>
  </si>
  <si>
    <t>Alomar Properties INC (Octavio Augusto Cuellar, Apoderado General)</t>
  </si>
  <si>
    <t>Pasaporte E152088</t>
  </si>
  <si>
    <t>RUC 985775-1-533169-DV53</t>
  </si>
  <si>
    <t>299 m2</t>
  </si>
  <si>
    <t>Área social, piscina</t>
  </si>
  <si>
    <t>1 año</t>
  </si>
  <si>
    <t>US. $ 2,000</t>
  </si>
  <si>
    <t>Mensual se paga 1er día del mes</t>
  </si>
  <si>
    <t>MEXICO</t>
  </si>
  <si>
    <t>Vivienda Agregado Naval Mario Ruelas Granados</t>
  </si>
  <si>
    <t>01  C/ MES</t>
  </si>
  <si>
    <t>Oficina Agregaduria Embajada de Perú en México</t>
  </si>
  <si>
    <t>JAPON</t>
  </si>
  <si>
    <t>Pacific Development and Management Co., Ltd.</t>
  </si>
  <si>
    <t xml:space="preserve"> 17-6-1 (Departamento 606)</t>
  </si>
  <si>
    <t>87 m2</t>
  </si>
  <si>
    <t xml:space="preserve">  --</t>
  </si>
  <si>
    <r>
      <t>DOS (2) a</t>
    </r>
    <r>
      <rPr>
        <sz val="8"/>
        <color indexed="8"/>
        <rFont val="Century Gothic"/>
        <family val="2"/>
      </rPr>
      <t>ños</t>
    </r>
  </si>
  <si>
    <t>$ 3,567</t>
  </si>
  <si>
    <t>Mensual y el día 12 de cada mes</t>
  </si>
  <si>
    <t>ITALIA</t>
  </si>
  <si>
    <t> MATTONE CLAUDIO (VIVIENDA DE SERVICIO)</t>
  </si>
  <si>
    <t> MTT CLA  43B28 I 233 M</t>
  </si>
  <si>
    <t> ALQUILER</t>
  </si>
  <si>
    <t> 160</t>
  </si>
  <si>
    <t>1 </t>
  </si>
  <si>
    <t>CUARTO DEPOSITO </t>
  </si>
  <si>
    <t> 01/04/19</t>
  </si>
  <si>
    <t>TRIMESTRAL</t>
  </si>
  <si>
    <t> CORTIS MARIA (VIVIENDA DE SERVICIO)</t>
  </si>
  <si>
    <t>CRT MRA 32B57 Z133S </t>
  </si>
  <si>
    <t> 140</t>
  </si>
  <si>
    <t> CUARTO DEPOSITO</t>
  </si>
  <si>
    <t> 04/04/17</t>
  </si>
  <si>
    <t> BIASELLA MARIA LIVIA (AGREGADURIA)</t>
  </si>
  <si>
    <t> BSL MLV 90D56 C 096 E</t>
  </si>
  <si>
    <t> 120</t>
  </si>
  <si>
    <t> 15/10/18 15/10/24</t>
  </si>
  <si>
    <t>GRAN BRETAÑA</t>
  </si>
  <si>
    <t>JAMES HOLTBY HUTTON &amp; TIMOTHY CHARLES HUTTON</t>
  </si>
  <si>
    <t>TERCERO</t>
  </si>
  <si>
    <t>300M2</t>
  </si>
  <si>
    <t>MENSUAL (DIA 25 DE CADA MES)</t>
  </si>
  <si>
    <t xml:space="preserve">LINDA MARGAREWT OXER </t>
  </si>
  <si>
    <t>400 M2</t>
  </si>
  <si>
    <t>MENSUAL (DIA 19 DE CADA MES)</t>
  </si>
  <si>
    <t>MR RAJIV GHAI, MR ZUBIN GHAI, MRS SUNITI GHAI (FOXTONS LTD)</t>
  </si>
  <si>
    <t>MENSUAL (DIA 12 DE CADA MES)</t>
  </si>
  <si>
    <t>DESMOND THOMAS BEVAN</t>
  </si>
  <si>
    <t>200 M2</t>
  </si>
  <si>
    <t>MENSUAL (DIA 22 DE CADA MES)</t>
  </si>
  <si>
    <t>DILIP DESHPANDE &amp; SUJATA DESHPANDE  (HAMPTONS STATES)</t>
  </si>
  <si>
    <t>120 M2</t>
  </si>
  <si>
    <t xml:space="preserve">INETA ARINI SATYADHARMA  </t>
  </si>
  <si>
    <t>MENSUAL (DIA 10 DE CADA MES)</t>
  </si>
  <si>
    <t xml:space="preserve">DILIP DESHPANDE &amp; SUJATA DESHPANDE </t>
  </si>
  <si>
    <t>MINISTERIO DE DEFENSA</t>
  </si>
  <si>
    <t xml:space="preserve">NEIL J. OHAYON (SANDYGLOBE PROPERTIES)
</t>
  </si>
  <si>
    <t>RIVERSIDE WEST CAR PARK (PARQUEO)</t>
  </si>
  <si>
    <t>4M2</t>
  </si>
  <si>
    <t>ANUAL (DIA 3 DE ABRIL CADA AÑO)</t>
  </si>
  <si>
    <t>MUNICIPALIDAD DE RICHMOND (PARQUEO)</t>
  </si>
  <si>
    <t>ANUAL  (2 AGOSTO DE CADA AÑO)</t>
  </si>
  <si>
    <t>ANUAL (27 FEBRERO DE CADA AÑO)</t>
  </si>
  <si>
    <t>ANUAL (30 AGOSTO CADA AÑO)</t>
  </si>
  <si>
    <t>FRANCIA</t>
  </si>
  <si>
    <t>Departamento del Oficial Coordinador Proyectos OHI, C. de N. César  RODRÍGUEZ Pomareda</t>
  </si>
  <si>
    <r>
      <t>100 M</t>
    </r>
    <r>
      <rPr>
        <vertAlign val="superscript"/>
        <sz val="8"/>
        <rFont val="Century Gothic"/>
        <family val="2"/>
      </rPr>
      <t>2</t>
    </r>
  </si>
  <si>
    <t> 01</t>
  </si>
  <si>
    <t>Diciembre 2019</t>
  </si>
  <si>
    <t>Mensual (Inicio de mes)</t>
  </si>
  <si>
    <t>Departamento del Agregado de Defensa y Naval en Francia,  Calm. Fernando LEÓN DE VIVERO Aliaga</t>
  </si>
  <si>
    <t> 43318441</t>
  </si>
  <si>
    <t>Terceros </t>
  </si>
  <si>
    <t>-- </t>
  </si>
  <si>
    <r>
      <t>120 M</t>
    </r>
    <r>
      <rPr>
        <vertAlign val="superscript"/>
        <sz val="8"/>
        <rFont val="Century Gothic"/>
        <family val="2"/>
      </rPr>
      <t>2</t>
    </r>
    <r>
      <rPr>
        <sz val="8"/>
        <rFont val="Century Gothic"/>
        <family val="2"/>
      </rPr>
      <t> </t>
    </r>
  </si>
  <si>
    <t> --</t>
  </si>
  <si>
    <t>Vigente a la fecha </t>
  </si>
  <si>
    <t>Mensual (1er. día del mes) </t>
  </si>
  <si>
    <t>Oficina Agregaduría de Defensa y Naval en Francia, Marina de Guerra del Perú</t>
  </si>
  <si>
    <t>RM N° 0097-85 MA/DE Folio 99 fecha 30 ENE-1985</t>
  </si>
  <si>
    <t>Unidad Catastral sección 1602, N° 14</t>
  </si>
  <si>
    <r>
      <t>137  M</t>
    </r>
    <r>
      <rPr>
        <vertAlign val="superscript"/>
        <sz val="8"/>
        <rFont val="Century Gothic"/>
        <family val="2"/>
      </rPr>
      <t>2</t>
    </r>
    <r>
      <rPr>
        <sz val="8"/>
        <rFont val="Century Gothic"/>
        <family val="2"/>
      </rPr>
      <t> </t>
    </r>
  </si>
  <si>
    <t>CANADA</t>
  </si>
  <si>
    <t>METCALFE RCL</t>
  </si>
  <si>
    <t>N.A.</t>
  </si>
  <si>
    <t>OFICINA</t>
  </si>
  <si>
    <t>91 m2</t>
  </si>
  <si>
    <t>31/SET/19</t>
  </si>
  <si>
    <t xml:space="preserve">3,656.95 CAD.
</t>
  </si>
  <si>
    <t>MENSUAL (1ER.DÍA)</t>
  </si>
  <si>
    <t>JACQUES DESLAURIES</t>
  </si>
  <si>
    <t>VIVIENDA</t>
  </si>
  <si>
    <t>290 m2</t>
  </si>
  <si>
    <t>3,050.00 CAD.</t>
  </si>
  <si>
    <t>CHINA</t>
  </si>
  <si>
    <t>HUI YANG INTERNATIONAL BUSINESS (BEIJING) CO, LTDA.</t>
  </si>
  <si>
    <t>HYGJ -0190-1</t>
  </si>
  <si>
    <r>
      <rPr>
        <b/>
        <sz val="8"/>
        <color indexed="8"/>
        <rFont val="Century Gothic"/>
        <family val="2"/>
      </rPr>
      <t xml:space="preserve">PROPIEDAD DE  TERCEROS          </t>
    </r>
    <r>
      <rPr>
        <sz val="8"/>
        <color indexed="8"/>
        <rFont val="Century Gothic"/>
        <family val="2"/>
      </rPr>
      <t xml:space="preserve"> </t>
    </r>
    <r>
      <rPr>
        <b/>
        <sz val="8"/>
        <color indexed="8"/>
        <rFont val="Century Gothic"/>
        <family val="2"/>
      </rPr>
      <t>(OFICINA AGREGADURIA NAVAL)</t>
    </r>
    <r>
      <rPr>
        <sz val="8"/>
        <color indexed="8"/>
        <rFont val="Century Gothic"/>
        <family val="2"/>
      </rPr>
      <t>: SANLITUN SOHO WORKERS STADIUM NORTH ROAD, NRO.8 YARD, EDIFICIO 1, OFICINA-1138)</t>
    </r>
  </si>
  <si>
    <t>INICIO:  01/03/19 TERMINO: 29/02/20</t>
  </si>
  <si>
    <t>USD. 3,165</t>
  </si>
  <si>
    <t>Anual:                 USD. 37,985</t>
  </si>
  <si>
    <t>ZHANG LEI</t>
  </si>
  <si>
    <r>
      <rPr>
        <b/>
        <sz val="8"/>
        <color indexed="8"/>
        <rFont val="Century Gothic"/>
        <family val="2"/>
      </rPr>
      <t xml:space="preserve">PROPIEDAD DE  TERCEROS  </t>
    </r>
    <r>
      <rPr>
        <sz val="8"/>
        <color indexed="8"/>
        <rFont val="Century Gothic"/>
        <family val="2"/>
      </rPr>
      <t xml:space="preserve"> </t>
    </r>
    <r>
      <rPr>
        <b/>
        <sz val="8"/>
        <color indexed="8"/>
        <rFont val="Century Gothic"/>
        <family val="2"/>
      </rPr>
      <t>(DEPARTAMENTO AGREGADO NAVAL)</t>
    </r>
    <r>
      <rPr>
        <sz val="8"/>
        <color indexed="8"/>
        <rFont val="Century Gothic"/>
        <family val="2"/>
      </rPr>
      <t>: SANLITUN SOHO WORKERS STADIUM NORTH ROAD, NRO.8 YARD, EDIFICIO 15, DPTO -2105</t>
    </r>
  </si>
  <si>
    <t>INICIO:  08/02/19 TERMINO: 07/02/21</t>
  </si>
  <si>
    <t>USD.4,779</t>
  </si>
  <si>
    <t>Anual:                 USD. 57,353</t>
  </si>
  <si>
    <t>COLOMBIA</t>
  </si>
  <si>
    <t>HERRERA Ariza Francisco Omar</t>
  </si>
  <si>
    <t>C.C. 17130344</t>
  </si>
  <si>
    <t>Escritura Pública N° 0404 del 13 enero de 2006</t>
  </si>
  <si>
    <t>mensual</t>
  </si>
  <si>
    <t>Maria Cristina CARRIZOSA Saavedra</t>
  </si>
  <si>
    <t>C.C. 20208400</t>
  </si>
  <si>
    <t>Escritura Pública N° 5021 del 24 octubre  de 1994</t>
  </si>
  <si>
    <t>COREA</t>
  </si>
  <si>
    <t>Keomsong Development Co., Ltd.</t>
  </si>
  <si>
    <t>REGISTRO MERCANTIL
106-11-40965</t>
  </si>
  <si>
    <t>96.33 m2</t>
  </si>
  <si>
    <t>DOS (2) años
Inicio: 13-01-19   Término: 12-01-21
Monto total del contrato:
KRW. 48'000,000.00</t>
  </si>
  <si>
    <t>KRW. 24'000,000.00
USD$. 21,448.64
T/C. $ 1.00 = KRW 1,120.31 (*)</t>
  </si>
  <si>
    <t>FORMA PAGO ANUAL</t>
  </si>
  <si>
    <t>Kosung Development Co., Ltd.</t>
  </si>
  <si>
    <t>REGISTRO MERCANTIL
106-81-16075</t>
  </si>
  <si>
    <t>187.83 m2</t>
  </si>
  <si>
    <t>DOS (2) años
Inicio: 13-01-10   Término: 12-01-21 Monto total del contrato:
KRW. 67'200,000.00</t>
  </si>
  <si>
    <t>KRW. 33'600,000.00
USD$. 29,991.63
T/C. $ 1.00 = KRW 1,118.95 (*)</t>
  </si>
  <si>
    <t>ESPAÑA</t>
  </si>
  <si>
    <t>GONZALES MOREIRA ROBERTO / GUTIÉRREZ SÁNCHEZ GRACIELA</t>
  </si>
  <si>
    <t>NIF 28927209V / NIF 02892265</t>
  </si>
  <si>
    <t>280 m2</t>
  </si>
  <si>
    <t>RENOVABLE</t>
  </si>
  <si>
    <t>ANUAL</t>
  </si>
  <si>
    <t>AUSTRALIA</t>
  </si>
  <si>
    <t>Dueño: Mr. David CUSACK   Inmobiliaria: Berkely</t>
  </si>
  <si>
    <t>Tercero</t>
  </si>
  <si>
    <t xml:space="preserve">Residencia </t>
  </si>
  <si>
    <t>1,074 m2</t>
  </si>
  <si>
    <t>Uno</t>
  </si>
  <si>
    <t>Hasta 31 enero del 2021</t>
  </si>
  <si>
    <t>US $ 4,156.30</t>
  </si>
  <si>
    <t>Mensual, pago 30 cada mes</t>
  </si>
  <si>
    <t>Inmobiliaria: Willensen</t>
  </si>
  <si>
    <t>Instalaciones Oficina Agregaduría</t>
  </si>
  <si>
    <t>109 m2</t>
  </si>
  <si>
    <t>Tres</t>
  </si>
  <si>
    <t>Dos años</t>
  </si>
  <si>
    <t>US $ 3,059.55</t>
  </si>
  <si>
    <t>Mensual</t>
  </si>
  <si>
    <t>BRASIL</t>
  </si>
  <si>
    <t>LUDMILA LAVOCAT GALVAO VIEIRA DE CARVALHO</t>
  </si>
  <si>
    <t>CARTEIRA DE IDENTIDADE 1.360.056 SSP/DF</t>
  </si>
  <si>
    <t xml:space="preserve">Propio </t>
  </si>
  <si>
    <t>CPF 645.82.151-34</t>
  </si>
  <si>
    <t>01/03/2018 AL 01/09/2021 (30 MESES)</t>
  </si>
  <si>
    <t>R$ 9,300 T/C 0.30489 = $ 2,835.48</t>
  </si>
  <si>
    <t>ECUADOR</t>
  </si>
  <si>
    <t>Magdalena Nieto de Crespo</t>
  </si>
  <si>
    <t>CEDULA ECUATORIANA 170254372-7</t>
  </si>
  <si>
    <t>100 m2</t>
  </si>
  <si>
    <t>US $ 1,600</t>
  </si>
  <si>
    <t>Semestral</t>
  </si>
  <si>
    <t>SINGAPUR</t>
  </si>
  <si>
    <t>Nah SWEE Chye</t>
  </si>
  <si>
    <t>NRIC Nro S1853041D</t>
  </si>
  <si>
    <t>NIL</t>
  </si>
  <si>
    <t>US $ 3,077</t>
  </si>
  <si>
    <t>TOTAL AGREGADURIAS</t>
  </si>
  <si>
    <t>TOTAL ALQUILERES DE INMUEBLES</t>
  </si>
  <si>
    <t>UNIDAD EJECUTORA 005 - FAP</t>
  </si>
  <si>
    <t>2135235: ACONDICIONAMIENTO DE INSTALACIONES PARA OFICINAS DE LA FUERZA AREA DEL PERU</t>
  </si>
  <si>
    <t>CUADRO N° 01</t>
  </si>
  <si>
    <t>ADMINISTRACION DIRECTA</t>
  </si>
  <si>
    <t>CUADRO ADJUNTO</t>
  </si>
  <si>
    <t>2366201 . REPARACION DE EDIFICIO MILITAR ; EN EL SECRETARIA GENERAL DE LA FAP EN LA LOCALIDAD JESUS MARIA, DISTRITO DE JESUS MARIA, PROVINCI DE LIMA, DEPARTAMENTO DE LIMA.</t>
  </si>
  <si>
    <t>642
643
645
646</t>
  </si>
  <si>
    <t>SCD INDUSTRIES EIRL</t>
  </si>
  <si>
    <t>2387627: REPARACION DE POLIDEPORTIVO; EN EL INSTITUCION EDUCATIVA TECNICO FAP MANUEL POLO JIMENEZ EN LA LOCALIDAD SANTIAGO DE SURCO, DISTRITO DE SANTIAGO DE SURCO, PROVINCIA LIMA, DEPARTAMENTO LIMA</t>
  </si>
  <si>
    <t>459-2019</t>
  </si>
  <si>
    <t>CORPORACION PERU GRASS SAC</t>
  </si>
  <si>
    <t>NO HUBO EJECUCION</t>
  </si>
  <si>
    <t>2425875: CONSTRUCCION DE AMBIENTE U OFICINA PARA PRESTACION DE SERVICIOS AL PUBLICO; EN EL HOSPITAL LAS PALMAS EN LA LOCALIDAD SANTIAGO DE SURCO, DISTRITO DE SANTIAGO DE SURCO, PROVINCIA LIMA, DEPARTAMENTO LIMA</t>
  </si>
  <si>
    <t>481-2018</t>
  </si>
  <si>
    <t>BENOVI CONTRATISTA GENERALES SAC</t>
  </si>
  <si>
    <t>2425884: RENOVACION DE POLIDEPORTIVO; EN EL INSTITUTO TECNOLOGICO AERONAUTICO EN LA LOCALIDAD SANTIAGO DE SURCO, DISTRITO DE SANTIAGO DE SURCO, PROVINCIA LIMA, DEPARTAMENTO LIMA</t>
  </si>
  <si>
    <t>2425884</t>
  </si>
  <si>
    <t>CPS PERU SAC</t>
  </si>
  <si>
    <t>2442196: REPARACION DE PISTA DE ATERRIZAJE; RENOVACION DE TORRE DE CONTROL; EN LA BASE AEREA LAS PALMAS EN LA LOCALIDAD SANTIAGO DE SURCO, DISTRITO DE SANTIAGO DE SURCO, PROVINCIA LIMA, DEPARTAMENTO LIMA</t>
  </si>
  <si>
    <t>0443-2019</t>
  </si>
  <si>
    <t>MAQUIREP SCRL</t>
  </si>
  <si>
    <t xml:space="preserve">2442312: REPARACION DE RED DE ALCANTARILLADO; RENOVACION DE TORRE DE CONTROL; EN EL(LA) ALA AEREA N° 2 EN LA LOCALIDAD CALLAO, DISTRITO DE CALLAO, PROVINCIA CALLAO </t>
  </si>
  <si>
    <t>0441-2019</t>
  </si>
  <si>
    <t>SERVICIOS GENERALES YOMAR SAC</t>
  </si>
  <si>
    <t>CUADRO N° 02</t>
  </si>
  <si>
    <t>CUADRO ADJUNTO 1</t>
  </si>
  <si>
    <t>2289216: MEJORAMIENTO DE LA CAPACIDAD DE SOPORTE ADMINISTRATIVO Y OPERATIVO DEL ESCUADRON DE COMUNICACIONES Y ELECTRONICA (ECE-305) DEL GRUPO AEREO N° 3, PARA EL SOPORTE DE LAS OPERACIONES AEREAS EN LA BASE AEREA DEL CALLAO MAG. ARMANDO REVOREDO IGLESIAS</t>
  </si>
  <si>
    <t>CONSTRUCTORA Y CONSULTORA MEGRI EIRL</t>
  </si>
  <si>
    <t>2387627: REPARACION DE POLIDEPORTIVO; EN EL(LA) INSTITUCION EDUCATIVA TECNICO FAP MANUEL POLO JIMENEZ EN LA LOCALIDAD SANTIAGO DE SURCO, DISTRITO DE SANTIAGO DE SURCO, PROVINCIA LIMA, DEPARTAMENTO LIMA</t>
  </si>
  <si>
    <t>CIEM-A</t>
  </si>
  <si>
    <t>LIQUIDACION DE OBRA 2018</t>
  </si>
  <si>
    <t>2442196: REPARACION DE PISTA DE ATERRIZAJE; RENOVACION DE TORRE DE CONTROL; EN EL(LA) BASE AEREA LAS PALMAS EN LA LOCALIDAD SANTIAGO DE SURCO, DISTRITO DE SANTIAGO DE SURCO, PROVINCIA LIMA, DEPARTAMENTO LIMA</t>
  </si>
  <si>
    <t>2455609: CONSTRUCCION DE AMBIENTE U OFICINA ADMINISTRATIVA; REPARACION DE AREA DE MANTENIMIENTO DE LAS AERONAVES (HANGAR); EN EL(LA) ESCUELA DE AVIACION CIVIL EN LA LOCALIDAD SANTIAGO DE SURCO, DISTRITO DE SANTIAGO DE SURCO, PROVINCIA LIMA, DEPARTAMENTO LIMA</t>
  </si>
  <si>
    <t>2455609</t>
  </si>
  <si>
    <t xml:space="preserve">LUIS ENRIQUE ZARAZU </t>
  </si>
  <si>
    <t>2479238: REPARACION DE EDIFICIO MILITAR; ADQUISICION DE EQUIPO Y MOBILIARIO; EN EL(LA) BLOCK-A Y ANEXOS DEL CUARTEL GENERAL DE LA SECRETARIA GENERAL DE LA FAP EN LA LOCALIDAD JESUS MARIA, DISTRITO DE JESUS MARIA, PROVINCIA LIMA, DEPARTAMENTO LIMA</t>
  </si>
  <si>
    <t>2479238</t>
  </si>
  <si>
    <t>MANALBA SAC</t>
  </si>
  <si>
    <t xml:space="preserve"> ESCUELA DE FORMACION PROFESIONAL S.A.C</t>
  </si>
  <si>
    <t>ASESORIA ESPECIALIZADA EN ADMINISTRACION PRESUPUESTARIA</t>
  </si>
  <si>
    <t>INVERSIONES INTEGRALES VDARA S.A.C.</t>
  </si>
  <si>
    <t>ASESORIA ESPECIALIZADA EN CONTRATOS NACIONALES E INTERNACIONALES Y TRADUCCIONES TECNICAS EN EL CAMPO AERONAUTICO</t>
  </si>
  <si>
    <t>NUÑEZ CHASQUERO JOSE CARLOS</t>
  </si>
  <si>
    <t>ASESORIA EN TEMAS LEGALES INSTITUCIONALES PENALES Y ANTICORRUPCION</t>
  </si>
  <si>
    <t>ASESORIA TECNICA ESPECIALIZADA EN MANTENIMIENTO Y REPARACION DE AERONAVES M-2000P-DP (GRUP4)</t>
  </si>
  <si>
    <t>ZARATE TORRES CYNTHIA</t>
  </si>
  <si>
    <t>ASESORIA EXTERNA ESPECIALIZADA EN PROYECTOS DE INVERSION PUBLICA</t>
  </si>
  <si>
    <t>SERVICIO DE ASESORIA EN ANALISIS ECONOMICO FINANCIERO Y ESTUDIOS MATEMATICOS ACTUARIALES  - DIGPE</t>
  </si>
  <si>
    <t>LEON GARCIA MARLON ANDY</t>
  </si>
  <si>
    <t>SERVICIO DE ASESORIA ESPECIALIZADA EN SANEAMIENTO DE PREDIOS - DIGPE</t>
  </si>
  <si>
    <t>BURASCHI CONDEMARIN CESAR ENRIQUE</t>
  </si>
  <si>
    <t>SERVICIO DE ASESORIA EN INGENIERIA SANITARIA - DIGPE</t>
  </si>
  <si>
    <t>OBANDO ARBULU GUILLERMO ENRIQUE</t>
  </si>
  <si>
    <t>SERVICIO DE ASESORIA ESPECIALIZADA EN PLANIFICACION ESTRATEGICA Y OTROS ASUNTOS AFINES - DIGPE</t>
  </si>
  <si>
    <t>REDWALL SAC</t>
  </si>
  <si>
    <t>ASESORIA EN TEMAS DE IMAGEN INSTITUCIONAL</t>
  </si>
  <si>
    <t>ASESORIA EN SEGURIDAD MILITAR E INTELIGENCIA AEROESPACIAL</t>
  </si>
  <si>
    <t>ASESORIA EN ABASTECIMIENTO TECNICO EN MATERIA AERONAUTICA ALMACENAMIENTO DE EQUIPOS Y MATERIALES</t>
  </si>
  <si>
    <t>ASESORIA EN ABASTECIMIENTO TECNICO Y CONTRATACIONES PUBLICAS</t>
  </si>
  <si>
    <t>SERVICIO DE ASESORIA Y CONTROL DE PROCESOS LOGISTICOS</t>
  </si>
  <si>
    <t>CONSORCIO RAIMONDI - CHAMPAGÑAT SAC</t>
  </si>
  <si>
    <t>ASESORIA EN COMUNICACIÓN AUDIOVISUAL Y GRAFICA</t>
  </si>
  <si>
    <t>DP COMUNICACIONES SAC</t>
  </si>
  <si>
    <t>SERVICIO ESPECIALIZADO DE PLATAFORMA DE INTELIGENCIA INFORMATIVA</t>
  </si>
  <si>
    <t>SERVICIO DE ANALISIS E IMPLEMENTACION DE UN SISTEMA DE GESTION ANTISOBORNO EN LOS PROCESOS DE GESTION DE LA INSPE/FAP AF-2019/2020</t>
  </si>
  <si>
    <t>CARRIZALES INFRAESTRUCTURA &amp;  SERVICIOS PUBLICOS S.C.R.L</t>
  </si>
  <si>
    <t>CONSULTORIAS MODERNIZACION GESTION SECTOR SALUD (Compromiso de Pago AF 2017 - 2019)</t>
  </si>
  <si>
    <t>CLINICAL TECH E.I.R.L.</t>
  </si>
  <si>
    <t>SERVICIO DE CONSULTORIA PARA LA ELABORACION DEL PLAN MAESTRO  (Compromiso de Pago AF 2015 - 2019)</t>
  </si>
  <si>
    <t>SERVICIO ESPECIALIZADO EN TEMAS LEGALES INSTITUCIONALES PENALES Y ANTICORRUPCION</t>
  </si>
  <si>
    <t xml:space="preserve">SERVICIO ESPECIALIZADO EN ADMINISTRACION PRESUPUESTARIA </t>
  </si>
  <si>
    <t>SERVICIO ESPECIALIZADO EN ANALISIS ECONOMICO FINANCIERO Y ESTUDIOS MATEMATICOS ACTUARIALES</t>
  </si>
  <si>
    <t xml:space="preserve">SERVICIO ESPECIALIZADO EN CONTRATOS NACIONALES E INTERNACIONALES Y TRADUCCIONES TECNICAS EN EL CAMPO AERONAUTICO </t>
  </si>
  <si>
    <t>SERVICIO JURIDICO LEGAL ADMINISTRATIVA</t>
  </si>
  <si>
    <t>SERVICIO TECNICO ESPECIALIZADO EN MANTENIMIENTO Y REPARACION DE AERONAVES M-2000P-DP (GRUP4)</t>
  </si>
  <si>
    <t xml:space="preserve">SERVICIO ESPECIALIZADO DE PLATAFORMA DE INTELIGENCIA INFORMATIVA </t>
  </si>
  <si>
    <t xml:space="preserve">SERVICIO EN RELACIONES PÚBLICAS CON LOS DIFERENTES MEDIOS DE COMUNICACIÓN SOCIAL </t>
  </si>
  <si>
    <t>CONSORCIO RAIMONDI CHAMPAGNAT SAC</t>
  </si>
  <si>
    <t xml:space="preserve">SERVICIO ESPECIALIZADO EN TEMAS DE IMAGEN INSTITUCIONAL </t>
  </si>
  <si>
    <t xml:space="preserve">SERVICIO ESPECIALIZADO EN ABASTECIMIENTO TECNICO EN MATERIA AERONAUTICO </t>
  </si>
  <si>
    <t>ADRIANZEN OLAYA GUSTAVO LINO</t>
  </si>
  <si>
    <t xml:space="preserve">SERVICIO ESPECIALIZADO EN MATERIA LEGAL Y GESTION PUBLICA PARA LA COMANDANCIA GENERAL DE LA FUERZA AEREA DEL PERU   </t>
  </si>
  <si>
    <t>PENDIENTE DE PROCESO</t>
  </si>
  <si>
    <t>SERVICIO ESPECIALIZADO EN PROYECTOS DE INVERSION PARA SEING</t>
  </si>
  <si>
    <t>DAS EXPERTO AMBIENTAL PERU SAC</t>
  </si>
  <si>
    <t xml:space="preserve">SERVICIO ESPECIALIZADO EN INGENERIA SANITARIA PARA EL SEING </t>
  </si>
  <si>
    <t>CART TRADE &amp; ADVICE EIRL</t>
  </si>
  <si>
    <t>SERVICIOS DE CONTRATACIONES DE ESPECIALISTA PARA EL CUMPLIMIENTO DE LA NORMATIVIDAD APLICABLE ALAS CONTRATACIONES NACIONALES Y EXTRANJERAS -SELEC</t>
  </si>
  <si>
    <t>FERNANDO JOSE AVILA ARTICA</t>
  </si>
  <si>
    <t>SERVICIOS ESPECIALIZADO PARA APOYO LOGISTICO Y ADMINISTRATIVO DEL DEPARTAMENTO ADMINSTRATIVO DEL DEPARTAMENTO DE ABASTECIMIENTO -SELEC</t>
  </si>
  <si>
    <t>LOURDES EMILIANA CURASI GARATE</t>
  </si>
  <si>
    <t>SERVICIO ESPECIALIZADO EN CONTABILIDAD PUBLICA-DIREC</t>
  </si>
  <si>
    <t>DOMINGO ARTURO NOLE DELGADO</t>
  </si>
  <si>
    <t>SERVICIO ESPECIALIZADO EN GESTION TRIBUTARIA DE CONTABILIDAD-DIREC</t>
  </si>
  <si>
    <t>ASOCIACION CIVIL-BASC-PERU</t>
  </si>
  <si>
    <t>SERVICIO DE ANALISIS Y CERTIFICACION EN GESTION DE INSPECCIONES, SEGUIMIENTO E INVESTIGACION INSTITUCIONAL-INSPE</t>
  </si>
  <si>
    <t>ASESORIA EXTERNA ESPECIALIZADA EN PROYECTOS DE INVERSION PUBLICA
(PAC Nº 41 AF-2019 / PP Nº 92 por S/ 27,400.00)</t>
  </si>
  <si>
    <t>SERVICIO DE ASESORIA EN INGENIERIA SANITARIA - DIGPE
(PAC Nº 160 AF-2019 / PP Nº 93 por S/ 20,800.00)</t>
  </si>
  <si>
    <t>SERVICIO DE ANALISIS E IMPLEMENTACION DE UN SISTEMA DE GESTION ANTISOBORNO EN LOS PROCESOS DE GESTION DE LA INSPE/FAP AF-2019/2020
(CIEM-A Nº 1253 AF-2019 / PP Nº 056 por S/ 19,980.00  Y Nº 060 por S/ 6,660.00 en Total S/ 26,640.00)</t>
  </si>
  <si>
    <t>SERVICIO DE CONSULTORIA PARA LA ELABORACION DEL PLAN MAESTRO DEL HCFAP  
(Compromiso de Pago AF 2015 - 2019)
PAC Nº 512 AF-2015 / CCP Nº 155 AF-2019</t>
  </si>
  <si>
    <t>EJECUTORA 006 - CONIDA</t>
  </si>
  <si>
    <t>005-FAP</t>
  </si>
  <si>
    <t>000-300918</t>
  </si>
  <si>
    <t>000-302511</t>
  </si>
  <si>
    <t>14-SUB CUENTA FONDO INTERNO ANTE LA OCURRENCIA DE DESASTRES (R.O.)</t>
  </si>
  <si>
    <t>CUT</t>
  </si>
  <si>
    <t>18-FONDO PARA LA CONTINUIDAD DE LAS INVERSIONES (R.O.)</t>
  </si>
  <si>
    <t>6-CONTINUIDAD DE INVERSIONES GOB.LOCALES Y OTROS</t>
  </si>
  <si>
    <t>000-282855</t>
  </si>
  <si>
    <t>000-337439</t>
  </si>
  <si>
    <t>000-473057</t>
  </si>
  <si>
    <t>6000-028574</t>
  </si>
  <si>
    <t>US DOLARES</t>
  </si>
  <si>
    <t xml:space="preserve">BANK OF AMERICA </t>
  </si>
  <si>
    <t>068-176476</t>
  </si>
  <si>
    <t>068-318483</t>
  </si>
  <si>
    <t>6000-034620</t>
  </si>
  <si>
    <t>6000-031664</t>
  </si>
  <si>
    <t>1. UNIFORME Y PRENDAS DE INVIERNO PARA ASPIRANTES A CADETE NÁUTICO</t>
  </si>
  <si>
    <t>CLÁSICO</t>
  </si>
  <si>
    <t>002-2019-4</t>
  </si>
  <si>
    <t>BANCUVER S.R.LTDA.
20340276923</t>
  </si>
  <si>
    <t>015-2019
28/05/2019</t>
  </si>
  <si>
    <t>MAYO</t>
  </si>
  <si>
    <t>2. ADQUISICIÓN DE SUMINISTRO DE EMBUTIDOS, ESPECERÍAS, FRUTAS Y VERDURAS</t>
  </si>
  <si>
    <t>001-2019</t>
  </si>
  <si>
    <t>CORP. VADIS S.A.C.
 DILIMA E.I.R.L.
20551414958
20101322156</t>
  </si>
  <si>
    <t>006-007-008-009-2019
03/04/2019</t>
  </si>
  <si>
    <t>ABRIL</t>
  </si>
  <si>
    <t>3. ADQUISICIÓN DE SUMINISTRO DE COMBUSTIBLE</t>
  </si>
  <si>
    <t>SUBASTA INVERSA ELECTRÓNICA
ADJUDICACIÓN SIMPLIFICADA</t>
  </si>
  <si>
    <t>001-2019
005-2019</t>
  </si>
  <si>
    <t>ENERGIGAS S.A.
20506151547</t>
  </si>
  <si>
    <t>014-2019
21/05/2019</t>
  </si>
  <si>
    <t>4. ADQUISICIÓN DE MATERIAL DE LIMPIEZA</t>
  </si>
  <si>
    <t>ACUERDO MARCO</t>
  </si>
  <si>
    <t>MP INSTITUCIONAL SOCIEDAD ANONIMA CERRADA
20509411671</t>
  </si>
  <si>
    <t>O/C 0000038
28/02/2019</t>
  </si>
  <si>
    <t>FEBRERO</t>
  </si>
  <si>
    <t>5. ADQUISICIÓN DE MATERIAL DE ESCRITORIO</t>
  </si>
  <si>
    <t>002-2019</t>
  </si>
  <si>
    <t>PAPELERA NACIONAL S.A.
20100047641</t>
  </si>
  <si>
    <t>O/C 0000023
28/02/2019</t>
  </si>
  <si>
    <t>6. ADQUISICIÓN DE SUMINISTRO DE POLLO ENTERO LIMPIO, CARNE DE RES Y PESCADO</t>
  </si>
  <si>
    <t>007-2019</t>
  </si>
  <si>
    <t>NEGOCIACIONES VADIS S.A.C.
20137323967</t>
  </si>
  <si>
    <t>017-2019
09/07/2019</t>
  </si>
  <si>
    <t>JULIO</t>
  </si>
  <si>
    <t xml:space="preserve">7. ADQUISICIÓN DE SUMINISTRO DE PAN FRANCES </t>
  </si>
  <si>
    <t>004-2019</t>
  </si>
  <si>
    <t>GERARDO RUIZ MARTINEZ
10257428651</t>
  </si>
  <si>
    <t>010-2019
15/04/20019</t>
  </si>
  <si>
    <t>8. ADQUISICIÓN DE SUMINISTRO FRUTAS Y VERDURAS</t>
  </si>
  <si>
    <t>SUBASTA INVERSA ELECTRÓNICA</t>
  </si>
  <si>
    <t>012-2019
02/05/2019</t>
  </si>
  <si>
    <t>9. ADQUISICIÓN DE SUMINISTRO DE ABARROTES (ARROZ, AZÚCAR, ACEITE, HUEVO, ETC.)</t>
  </si>
  <si>
    <t>003-2019</t>
  </si>
  <si>
    <t>PROVEEDORES EBENEZER S.A.C.
20603274149</t>
  </si>
  <si>
    <t>011-2019
03/05/2019</t>
  </si>
  <si>
    <t xml:space="preserve">10. ADQUISICIÓN DE SUMINISTRO DE ABARROTES </t>
  </si>
  <si>
    <t>006-2019</t>
  </si>
  <si>
    <t>013-2019
09/05/2019</t>
  </si>
  <si>
    <t>11. ADQUISICIÓN DE MEDICAMENTOS</t>
  </si>
  <si>
    <t>008-2019-5</t>
  </si>
  <si>
    <t>M &amp; F TRADING S.C.R.L.
20254806278</t>
  </si>
  <si>
    <t>019-2019
16/10/2019</t>
  </si>
  <si>
    <t>OCTUBRE</t>
  </si>
  <si>
    <t>12. ADQUISICIÓN DE SUMINISTRO DE GAS PROPANO DE PETROLEO</t>
  </si>
  <si>
    <t>NEGOCIACIONES DANA E.I.R.L.
20518767764</t>
  </si>
  <si>
    <t>016-2019
03/06/2019</t>
  </si>
  <si>
    <t>JUNIO</t>
  </si>
  <si>
    <t xml:space="preserve">13. SERVICIO DE SEGUROS CONTRA ACCIDENTES PERSONALES PARA CADETES Y ASPIRANTES </t>
  </si>
  <si>
    <t>009-2019</t>
  </si>
  <si>
    <t>LA POSTIVA SEGUROS Y REASEGUROS
20100210909</t>
  </si>
  <si>
    <t>018-2019
05/08/2019</t>
  </si>
  <si>
    <t>AGOSTO</t>
  </si>
  <si>
    <t>14. ADQUISICIÓN DE UN BOTE INFLABLE DE GOMA</t>
  </si>
  <si>
    <t>RLT MILENIUM S.A.C.</t>
  </si>
  <si>
    <t>DESAPARECIO LA NECESIDAD</t>
  </si>
  <si>
    <t>15. SERVICIO DE EXAMEN MÉDICO PARA POSTULANTES A LA ENAMM MODALIDAD ORDINARIA AF-2020</t>
  </si>
  <si>
    <t>010-2019-2</t>
  </si>
  <si>
    <t>MEDCAM PERÚ 1 S.A.C.
20601708583</t>
  </si>
  <si>
    <t>PARA EJECUTAR AÑO 2020</t>
  </si>
  <si>
    <t>001-2020  06/01/2020</t>
  </si>
  <si>
    <t>ENERO</t>
  </si>
  <si>
    <t>16. ADQUISICIÓN DE UNIFORMES Y ACCESORIOS PARA ASPIRANTES A CADETE NÁUTICO AF-2020</t>
  </si>
  <si>
    <t>011-2019</t>
  </si>
  <si>
    <t>SEGUNDA CONVOCATORIA AÑO 2020</t>
  </si>
  <si>
    <t>17. ADQUISICIÓN DE ROPA DE CAMA, DEPORTES Y OTROS PARA ASPIRANTES A CADETE NÁUTICO AF-2020</t>
  </si>
  <si>
    <t>005-2019</t>
  </si>
  <si>
    <t>0022020      22/01/2020</t>
  </si>
  <si>
    <t>1. ADQUISICIÓN DE UNIFORMES Y ACCESORIOS PARA ASPIRANTES A CADETE NÁUTICO AF-2020</t>
  </si>
  <si>
    <t>COMPRA DIRECTA</t>
  </si>
  <si>
    <t>001-2020</t>
  </si>
  <si>
    <t>GRUPO DIPE S.A.C.
20551416659
INVERSIONES AJR S.A.C.
20557976095</t>
  </si>
  <si>
    <t>003-2020-ENAMM
05/02/2020
004-2020-ENAMM
06/02/2020
005-2020-ENAMM
06/02/2020</t>
  </si>
  <si>
    <t>2. ADQUISICIÓN DE ROPA DE CAMA, DEPORTES Y OTROS PARA ASPIRANTES A CADETE NÁUTICO AF-2020</t>
  </si>
  <si>
    <t>011-2019-2</t>
  </si>
  <si>
    <t>PENDIENTE</t>
  </si>
  <si>
    <t>PENDIENTE DE CONSENTIR LA BUENA PRO</t>
  </si>
  <si>
    <t>3. ADQUISICIÓN DE SUMINISTRO DE POLLO ENTERO LIMPIO, CARNE DE RES Y PESCADO PERICO EN FILETE</t>
  </si>
  <si>
    <t>NEGOCIACIONES VADIS S.A.C.</t>
  </si>
  <si>
    <t>NO SE SUSCRIBIRÁ CONTRATO</t>
  </si>
  <si>
    <t>4. ADQUISICIÓN DE GAS PROPANO</t>
  </si>
  <si>
    <t>PROCESO SERÁ CANCELADO</t>
  </si>
  <si>
    <t>5. ADQUISICIÓN DE SUMINISTRO DE MATERIAL DE ESCRITORIO</t>
  </si>
  <si>
    <t>6. ADQUISICIÓN DE COMBUSTIBLE</t>
  </si>
  <si>
    <t>002-2020</t>
  </si>
  <si>
    <t>7. ADQUISICIÓN DE MATERIAL DE LIMPIEZA</t>
  </si>
  <si>
    <t>J.B COMERCIO NACIONAL S.A.C.
20263302380
INVERSIONES EXPORTACIONES L.&amp;K. S.A.C.
20505615264
ALMACENES ASOCIADOS SOCIEDAD ANÓNIMA CERRADA 
20601249970
INDUSTRIAS DALHI S.R.L
20334140645</t>
  </si>
  <si>
    <t>O/C N° 027 - 028 - 029 - 030 - 031 - 032 - 033 - 034 - 035 - 036</t>
  </si>
  <si>
    <t>8. ADQUISICIÓN DE MATERIAL DE FERRETERÍA Y ELÉCTRICO</t>
  </si>
  <si>
    <t>PARA EXCLUSIÓN</t>
  </si>
  <si>
    <t>9. ADQUISICIÓN DE SUMINISTRO DE EMBUTIDOS, ESPECERÍAS, FRUTAS Y VERDURAS</t>
  </si>
  <si>
    <t>10. ADQUISICIÓN DE PAN FRANCÉS</t>
  </si>
  <si>
    <t>12. ADQUISICIÓN DE FRUTAS Y VERDURAS</t>
  </si>
  <si>
    <t>13. ADQUISICIÓN DE ABARROTES (ARROZ, AZÚCAR, ACEITE, HUEVO, ETC.)</t>
  </si>
  <si>
    <t>14. ADQUISICIÓN DE ABARROTES</t>
  </si>
  <si>
    <t>15. ADQUISICIÓN DE SUMINISTRO DE TINTAS Y TONER</t>
  </si>
  <si>
    <t>16. SERVICIO DE SEGUROS CONTRA ACCIDENTES PERSONALES PARA CADETE Y ASPIRANTES</t>
  </si>
  <si>
    <t>17. SERVICIO DE EXAMEN MÉDICO PARA POSTULANTES A LA ENAMM - MODALIDAD ORDINARIO AF-2021</t>
  </si>
  <si>
    <t>18. ADQUISICIÓN DE UNIFORMES Y ACCESORIOS PARA ASPIRANTES A CADETE NÁUTICO AF-2021</t>
  </si>
  <si>
    <t>19. ADQUISICIÓN DE ROPA DE CAMA, DEPORTES Y OTROS PARA ASPIRANTES A CADETE NÁUTICO AF-2021</t>
  </si>
  <si>
    <t>008 ENAMM</t>
  </si>
  <si>
    <t>BANCO DE LA NACION:</t>
  </si>
  <si>
    <t xml:space="preserve">0000300934 RO </t>
  </si>
  <si>
    <t>2003</t>
  </si>
  <si>
    <t>Soles</t>
  </si>
  <si>
    <t>0000300934  CUT</t>
  </si>
  <si>
    <t>2013</t>
  </si>
  <si>
    <t>0000305235</t>
  </si>
  <si>
    <t>0000305243</t>
  </si>
  <si>
    <t>BANCO DE CREDITO DEL PERU BCP:</t>
  </si>
  <si>
    <t>1922435968035</t>
  </si>
  <si>
    <t>2017</t>
  </si>
  <si>
    <t>UNIDAD EJECUTORA 006 - CONIDA</t>
  </si>
  <si>
    <t>EJECUTORA 008 - ENAMM</t>
  </si>
  <si>
    <t>UNIDAD EJECUTORA 008 - ENAMM</t>
  </si>
  <si>
    <t>EJECUTORA 009 - OPREFFAA</t>
  </si>
  <si>
    <t>UNIDAD EJECUTORA 009 - OPREFFAA</t>
  </si>
  <si>
    <t xml:space="preserve">1124-Oficina Previsional de las Fuerzas Armadas </t>
  </si>
  <si>
    <t>La Nacion</t>
  </si>
  <si>
    <t>0000-300942</t>
  </si>
  <si>
    <t>Nacional</t>
  </si>
  <si>
    <t>S/</t>
  </si>
  <si>
    <t>006. INSTITUTO NACIONAL DE DEFENSA CIVIL</t>
  </si>
  <si>
    <t>PLIEGO 006. INSTITUTO NACIONAL DE DEFENSA CIVIL</t>
  </si>
  <si>
    <t>1. CONTRATACION DE LA EJECUCION DE LA OBRA IMPLEMENTACION DE JARDINES PARA LA EJECUCION DEL PROYECTO: MEJORAMIENTO DEL COEN E INSTALACION DEL CENTRO DE SIMULACION, SENSIBILIZACION Y CAPACITACION DEL INDECI EN EL DISTRITO DE CHORRILLOS</t>
  </si>
  <si>
    <t>ADJUDICACION SIMPLIFICADA</t>
  </si>
  <si>
    <t>S/M</t>
  </si>
  <si>
    <t>08-2019</t>
  </si>
  <si>
    <t>30 DIAS CALENDARIOS</t>
  </si>
  <si>
    <t>2. CONTRATACION DE LA EJECUCION DE LA OBRA MEJORAMIENTO DEL CANAL SURCO EN EL TRAMO QUE PASA FRENTE AL TERRENO DE LA EJECUCION DEL PROYECTO : MEJORAMIENTO DEL COEN E INSTALACION DEL CENTRO DE SIMULACION, SENSIBILIZACION Y CAPACITACION DEL INDECI EN EL DISTRITO DE CHORRILLOS</t>
  </si>
  <si>
    <t>07-2019</t>
  </si>
  <si>
    <t>74 DIAS CALENDARIOS</t>
  </si>
  <si>
    <t>3.  CONTRATACION DE LA EJECUCION DE LA OBRA CONSTRUCCION DEL CERCO PERIMETRICO PARA LA EJECUCION DEL PROYECTO : MEJORAMIENTO DEL COEN E INSTALACION DEL CENTRO DE SIMULACION, SENSIBILIZACION Y CAPACITACION DEL INDECI EN EL DISTRITO DE CHORRILLOS</t>
  </si>
  <si>
    <t>09-2019</t>
  </si>
  <si>
    <t>135 DIAS CALENDARIOS</t>
  </si>
  <si>
    <t>4. CONSTRUCCION DE TORRE AUTOSPORTADA Y ANTENA LOGARITMICA PERIODICA DEL PROYECTO: MEJORAMIENTO DEL COEN E INSTALACION DEL CENTRO DE SIMULACION, SENSIBILIZACION Y CAPACITACION DEL INDECI EN EL DISTRITO DE CHORRILLOS</t>
  </si>
  <si>
    <t>16-2019</t>
  </si>
  <si>
    <t>210 DIAS CALENDARIOS</t>
  </si>
  <si>
    <t>135 DIAS</t>
  </si>
  <si>
    <t>ADQUISICION DE ACEITE VEGETAL COMESTIBLE X LT</t>
  </si>
  <si>
    <t>SUBASTA INVERSA ELECTRONICA</t>
  </si>
  <si>
    <t>03-2018-2DA</t>
  </si>
  <si>
    <t>ADQUISICION DE HOJUELA DE AVENA - ITEM 2 (KG)</t>
  </si>
  <si>
    <t>01-2019</t>
  </si>
  <si>
    <t>ADQUISICION DE LENTEJA CALIDAD 2 - ITEM 4 (KG)</t>
  </si>
  <si>
    <t>ADQUISICION DE ARVEJA PARTIDA CALIDAD 2 - ITEM 5 (KG)</t>
  </si>
  <si>
    <t>ADQUISICION DE AZUCAR RUBIA DOMESTICA - ITEM 6 (KG)</t>
  </si>
  <si>
    <t>ADQUISICION DE ACEITE VEGETAL COMESTIBLE- ITEM 7 (LT)</t>
  </si>
  <si>
    <t>ADQUISICION DE FIDEOS TALLARIN (BOLSA X 500 GR) - KG</t>
  </si>
  <si>
    <t>06-2019</t>
  </si>
  <si>
    <t>ADQUISICION DE KITS DE SERVICIO HIGIENICOS - UNIDADES</t>
  </si>
  <si>
    <t>ADQUISICION DE BALDES DE PLASTICOS 15 LT, 20 LT, 140 LTS</t>
  </si>
  <si>
    <t>13-2019</t>
  </si>
  <si>
    <t>ADQUISICION DE CARPAS TIPO 2 (LONA PESADA)</t>
  </si>
  <si>
    <t>12-2019</t>
  </si>
  <si>
    <t>ADQUISICION DE CARPAS TIPO 1 (LONA LIVIANA)</t>
  </si>
  <si>
    <t>ADQUISICION DE MUEBLES PARA EL COEN</t>
  </si>
  <si>
    <t>14-2019</t>
  </si>
  <si>
    <t>ADQUISICION DE SILLAS Y SOFA PARA EL COEN</t>
  </si>
  <si>
    <t>ADQUISICION DE SOFTWARE ARCGIS FOR SERVER ENTERPRISE</t>
  </si>
  <si>
    <t>15-2019</t>
  </si>
  <si>
    <t>ADQUISICION DE SOFTWARE ARCGIS FOR DESKTOP BASIC</t>
  </si>
  <si>
    <t>ADQUISICION DE SOFTWARE ARCGIS FOR DESKTOP ADVANCED</t>
  </si>
  <si>
    <t>ADQUISICION DE MASCARILLAS Y LENTES PROTECTORES</t>
  </si>
  <si>
    <t>05-2019</t>
  </si>
  <si>
    <t>ADQUISICION DE FOCOS LED - LINTERNA CON BATERIA Y PANEL SOLAR</t>
  </si>
  <si>
    <t>02-2019</t>
  </si>
  <si>
    <t>ADQUISICION DE CONSERVA DE FILETE DE ATUN EN ACEITE VEGETAL</t>
  </si>
  <si>
    <t>03-2019</t>
  </si>
  <si>
    <t>ADQUISICION DE GABINETE AUTOCONTENIDO</t>
  </si>
  <si>
    <t>18-2019</t>
  </si>
  <si>
    <t>ADQUISICION DE TABLEROS DE ENERGIA PARA CENTRO DE DATOS</t>
  </si>
  <si>
    <t>19-2019</t>
  </si>
  <si>
    <t>ADQUISICION DE ARROZ PILADO SUPERIOR</t>
  </si>
  <si>
    <t>ADQUISICION DE FRIJOL PANAMITO CALIDAD 2</t>
  </si>
  <si>
    <t>SERVICIO DE DISEÑO E IMPLEMENTACION DE UN SISTEMA DE INFORMACION GEOGRAFICO</t>
  </si>
  <si>
    <t>10-2019</t>
  </si>
  <si>
    <t>ADQUISICION DE BALDES DE PLASTICOS 15 LT, 140 LTS</t>
  </si>
  <si>
    <t>ADQUISICION DE MICROCEMENTO</t>
  </si>
  <si>
    <t>24-2019</t>
  </si>
  <si>
    <t>SERVICIO DE INTERNET SATELITAL - 3MERC</t>
  </si>
  <si>
    <t>26-2019</t>
  </si>
  <si>
    <t>ADQUISICION DE AZUCAR RUBIA DOMESTICA - KG</t>
  </si>
  <si>
    <t>04-2019</t>
  </si>
  <si>
    <t>MESA PLEGABLE CON ASIENTOS</t>
  </si>
  <si>
    <t>ADQUISICION DE JUEGO DE OLLAS</t>
  </si>
  <si>
    <t>SERVICIO DE MANTENIMIENTO Y LIMPIEZA DE SEDE CENTRAL Y ANEXOS</t>
  </si>
  <si>
    <t>01-2017</t>
  </si>
  <si>
    <t>INTERNET SATELITAL BANDA KU</t>
  </si>
  <si>
    <t>SERVICIO DE INTERNET SEDE COEN Y ALMACENES</t>
  </si>
  <si>
    <t>SERVICIO DE TELEFONIA MOVIL - INTERNET SATELITAL</t>
  </si>
  <si>
    <t>TELEFONIA MOVIL CELULAR</t>
  </si>
  <si>
    <t>11-2019</t>
  </si>
  <si>
    <t>SERVICIO DE SEGUROS GENERALES 2018-2019</t>
  </si>
  <si>
    <t>SERVICIO DE COURIER</t>
  </si>
  <si>
    <t xml:space="preserve">COMBUSTIBLE - DIESEL B5 S50 </t>
  </si>
  <si>
    <t xml:space="preserve">COMBUSTIBLE - GASOHOL 95 </t>
  </si>
  <si>
    <t>MANTENIMIENTO PREVENTIVO DE LA FLOTA VEHICULAR DE LA SEDE CENTRAL Y ALMACEN GENERAL DEL INDECI</t>
  </si>
  <si>
    <t>21-2019</t>
  </si>
  <si>
    <t>SERVICIO DE TRASLADO DE BAH</t>
  </si>
  <si>
    <t>SEGURIDAD Y VIGILANCIA DDI AMAZONAS</t>
  </si>
  <si>
    <t>04-2017</t>
  </si>
  <si>
    <t>SEGURIDAD Y VIGILANCIA DDI LA LIBERTAD</t>
  </si>
  <si>
    <t>SEGURIDAD Y VIGILANCIA DDI MADRE DE DIOS</t>
  </si>
  <si>
    <t>SEGURIDAD Y VIGILANCIA DDI TUMBES</t>
  </si>
  <si>
    <t>SEGURIDAD Y VIGILANCIA DDI HUANUCO</t>
  </si>
  <si>
    <t>SEGURIDAD Y VIGILANCIA DDI PASCO</t>
  </si>
  <si>
    <t>05-2018</t>
  </si>
  <si>
    <t>SEGURIDAD Y VIGILANCIA DDI PUNO</t>
  </si>
  <si>
    <t>SEGURIDAD Y VIGILANCIA DDI AREQUIPA</t>
  </si>
  <si>
    <t>SEGURIDAD Y VIGILANCIA DDI ICA</t>
  </si>
  <si>
    <t>SEGURIDAD Y VIGILANCIA DDI PIURA</t>
  </si>
  <si>
    <t>SEGURIDAD Y VIGILANCIA DDI TACNA</t>
  </si>
  <si>
    <t>SEGURIDAD Y VIGILANCIA DDI CUSCO</t>
  </si>
  <si>
    <t>SEGURIDAD Y VIGILANCIA DDI LIMA - HUACHO</t>
  </si>
  <si>
    <t>SEGURIDAD Y VIGILANCIA DDI LAMBAYEQUE</t>
  </si>
  <si>
    <t>SEGURIDAD Y VIGILANCIA DDI JUNIN</t>
  </si>
  <si>
    <t>SEGURIDAD Y VIGILANCIA DDI UCAYALI</t>
  </si>
  <si>
    <t>SEGURIDAD Y VIGILANCIA DDI APURIMAC</t>
  </si>
  <si>
    <t>SEGURIDAD Y VIGILANCIA DDI AYACUCHO</t>
  </si>
  <si>
    <t>SEGURIDAD Y VIGILANCIA DDI CAJAMARCA</t>
  </si>
  <si>
    <t>SEGURIDAD Y VIGILANCIA DDI LORETO</t>
  </si>
  <si>
    <t>SEGURIDAD Y VIGILANCIA DDI SAN MARTIN</t>
  </si>
  <si>
    <t>SEGURIDAD Y VIGILANCIA DDI ANCASH</t>
  </si>
  <si>
    <t>SEGURIDAD Y VIGILANCIA DDI HUANCAVELICA</t>
  </si>
  <si>
    <t>SEGURIDAD Y VIGILANCIA SEDE CENTRAL Y ANEXOS</t>
  </si>
  <si>
    <t>06-2018</t>
  </si>
  <si>
    <t>ADQUISICION DE BOTAS DE PVC ADULTOS</t>
  </si>
  <si>
    <t>ADQUISICION DE KITS DE PLATOS Y CUBIERTOS</t>
  </si>
  <si>
    <t>ADQUISICION DE MESA PLEGABLE PORTATIL</t>
  </si>
  <si>
    <t>ADQUISICION DE SACO DE POLIPROPILENO</t>
  </si>
  <si>
    <t>ADQUISICION DE KITS DE ARTICULOS DE ASEO Y LIMPIEZA.</t>
  </si>
  <si>
    <t>ADQUISICION DE KITS DE SERVICIOS HIGIENICOS</t>
  </si>
  <si>
    <t>ACTUALIZACION DE INDAGACION DE MERCADO</t>
  </si>
  <si>
    <t>ADQUISICION DE HOJUELA DE AVENA</t>
  </si>
  <si>
    <t>ADQUISICION DE LENTEJA CALIDAD 2</t>
  </si>
  <si>
    <t xml:space="preserve">ADQUISICION DE ARVEJA PARTIDA CALIDAD 2 </t>
  </si>
  <si>
    <t xml:space="preserve">ADQUISICION DE AZUCAR RUBIA DOMESTICA </t>
  </si>
  <si>
    <t>ADQUISICION DE ACEITE VEGETAL COMESTIBLE</t>
  </si>
  <si>
    <t>ADQUISICION DE FIDEOS TALLARIN</t>
  </si>
  <si>
    <t>SE ENCUENTRA CONVOCADO</t>
  </si>
  <si>
    <t>ADQUISICION DE CARPAS</t>
  </si>
  <si>
    <t>16-2020</t>
  </si>
  <si>
    <t xml:space="preserve">SERVICIO DE MANTENIMIENTO Y LIMPIEZA DE SEDE CENTRAL Y ANEXOS </t>
  </si>
  <si>
    <t>SERVICIO DE INTERNET SEDE CENTRAL COEN Y ALMACENES</t>
  </si>
  <si>
    <t xml:space="preserve">SERVICIO DE TELEFONIA MOVIL - INTERNET SATELITAL </t>
  </si>
  <si>
    <t>SERVICIO DE SEGUROS GENERALES 2019-2020</t>
  </si>
  <si>
    <t>COMBUSTIBLE - GASOHOL 95</t>
  </si>
  <si>
    <t>COMBUSTIBLE - DIESEL B5 S50</t>
  </si>
  <si>
    <t>SE ENCUENTRA EN ETAPA DE SUSCRIPCION DE CONTRATO</t>
  </si>
  <si>
    <t xml:space="preserve">SERVICIO DE TRASLADO DE BAH </t>
  </si>
  <si>
    <t>PROYECCION</t>
  </si>
  <si>
    <t>PROYECCION 2021</t>
  </si>
  <si>
    <t>SUGURIDAD Y VIGILANCIA DDI TUMBES</t>
  </si>
  <si>
    <t>SUGURIDAD Y VIGILANCIA DDI PUNO</t>
  </si>
  <si>
    <t>SUGURIDAD Y VIGILANCIA DDI ICA</t>
  </si>
  <si>
    <t>SUGURIDAD Y VIGILANCIA DDI PIURA</t>
  </si>
  <si>
    <t>SUGURIDAD Y VIGILANCIA DDI UCAYALI</t>
  </si>
  <si>
    <t>SUGURIDAD Y VIGILANCIA DDI HUANCAVELICA</t>
  </si>
  <si>
    <t>CONSULTORIA P/ELABORACION DE ESTUDIO PRE INVERSION NIVEL DE PERFIL Y FACTIBILIDAD</t>
  </si>
  <si>
    <t>ELABORAR EL ESTUDIO DE DEMANDA PARA EL DISEÑO DE LA INFRAESTRUCTURA Y CONTENIDOS MÍNIMOS PARA ELABORAR EL PERFIL DEL PROYECTO AMPLIACIÓN Y MEJORAMIENTO DE LOS SERVICIOS DE SENSIBILIZACIÓN, CAPACITACIÓN Y ASISTENCIA HUMANITARIA</t>
  </si>
  <si>
    <t>CONSULTORIA EN PROYECTOS DE INVERSION PUBLICA</t>
  </si>
  <si>
    <t>ELABORAR EL DIAGNÓSTICO Y DISEÑO ESTRUCTURAL DEL PROYECTO DE "MEJORAMIENTO Y AMPLIACIÓN DE LOS SERVICIOS DE SENSIBILIZACIÓN, CAPACITACIÓN Y ASISTENCIA HUMANITARIA DE LA DDI ICA</t>
  </si>
  <si>
    <t>ELABORAR EL ESTUDIO DE DEMANDA PARA DISEÑO DE LA INFRAESTRUCTURA Y DESARROLLO DE LA FICHA TÉCNICA GENERAL DE PROYECTOS DE BAJA Y MEDIANA COMPLEJIDAD DEL PROYECTO "MEJORAMIENTO Y AMPLIACIÓN DE LOS SERVICIOS DE SENSIBILIZACIÓN"</t>
  </si>
  <si>
    <t>ELABORAR EL ESTUDIO DE DEMANDA Y DIAGNÓSTICO DE LA SITUACIÓN ACTUAL PARA LA FORMULACIÓN DEL PROYECTO "MEJORAMIENTO Y AMPLIACIÓN DE LA SEDE INSTITUCIONAL DEL INDECI-DISTRITO DE CHORRILLOS</t>
  </si>
  <si>
    <t>ELABORAR EL DISEÑO ESTRUCTURAL DEL PROYECTO DE "MEJORAMIENTO Y AMPLIACIÓN DE LA SEDE INSTITUCIONAL DEL INDECI-DISTRITO DE CHORRILLOS</t>
  </si>
  <si>
    <t>CONSULTORIA PARA INSTALACION Y CONFIGURACION DE SERVIDOR</t>
  </si>
  <si>
    <t>MIGRACIÓN, MANTENIMIENTO Y CONFIGURACIÓN DEL DOMINIO WINDOWS SERVER</t>
  </si>
  <si>
    <t>ESTUDIOS DE TOPOGRAFÍA Y SUELOS PARA EL PROYECTO DE "MEJORAMIENTO DEL INSTITUTO NACIONAL DE DEFENSA CIVIL - INDECI - DISTRITO DE CHORRILLOS - PROVINCIA LIMA - DEPARTAMENTO LIMA</t>
  </si>
  <si>
    <t>CONSULTORIA EN IMPLEMENTACION DE SISTEMA DE CALIDAD ISO 9001</t>
  </si>
  <si>
    <t>IMPLEMENTACION DE SISTEMA DE CALIDAD ISO 9001</t>
  </si>
  <si>
    <t>ELABORACIÓN DEL DISEÑO ARQUITECTÓNICO DE LOS PROYECTOS DE INVERSIÓN PÚBLICA QUE SE REALICEN EN LA UNIDAD FORMULADORA</t>
  </si>
  <si>
    <t>ELABORACIÓN DE LOS METRADOS Y DISEÑO ESTRUCTURAL DEL PROYECTO DE "MEJORAMIENTO Y AMPLIACIÓN</t>
  </si>
  <si>
    <t>CONSULTORÍA PARA LA EVALUACION Y ELABORACION DEL INFORME TECNICO DE INGENIERÍA DE ESTUDIO DE PREINVERSIÓN A NIVEL DE FACTIBILIDA</t>
  </si>
  <si>
    <t>EVALUACION Y ELABORACION DEL INFORME TECNICO DE INGENIERÍA DE ESTUDIO DE PREINVERSIÓN A NIVEL DE FACTIBILIDA</t>
  </si>
  <si>
    <t>CONSULTORIA EN ADMINISTRACION LINUX</t>
  </si>
  <si>
    <t>ADMINISTRACION LINUX</t>
  </si>
  <si>
    <t>ELABORACIÓN DEL PROYECTO DE LAS INSTALACIONES ELÉCTRICAS, ELECTROMECÁNICAS Y COMUNICACIONES DEL PROYECTO "MEJORAMIENTO Y AMPLIACIÓN DEL CENTRO DE DATOS E INFRAESTRUCTURA PARA FORTALECER LA CAPACIDAD EN GRD DEL INDECI</t>
  </si>
  <si>
    <t>ELABORACIÓN DE ANÁLISIS TÉCNICO, METRADOS Y DISEÑO ESTRUCTURAL DE LOS AMBIENTES COMPLEMENTARIOS DEL PROYECTO "MEJORAMIENTO Y AMPLIACIÓN DEL CENTRO DE DATOS E INFRAESTRUCTURA PARA FORTALECER LA CAPACIDAD DE LA GDR DEL INDECI</t>
  </si>
  <si>
    <t>ELABORACION DEL PROYECTO DE INSTALACIONES SALINITARIAS Y CONTRA INCENDIOS DEL PROYECTO:MEJORAMIENTO Y AMPLIACION DE DATOS</t>
  </si>
  <si>
    <t>DIAGNOSTICO Y ESTUDIO PARA IMPLEMENTACION DEL NUEVO CENTRO DE DATOS</t>
  </si>
  <si>
    <t>ESTUDIO DE TOPOGRAFIA PARA EL PROYECTO</t>
  </si>
  <si>
    <t>CONSULTORIA</t>
  </si>
  <si>
    <t>CONSULTORIA PARA ELABORACION DE DIAGNOSTICO</t>
  </si>
  <si>
    <t>PLAN DE EMERGENCIA PARA EL CENTRO DE DATOS</t>
  </si>
  <si>
    <t>CONSULTORIA ASISTENCIA TECNICA</t>
  </si>
  <si>
    <t>CONSULTORIA EN INFORMATICA</t>
  </si>
  <si>
    <t xml:space="preserve">APLICATIVO MOVIL </t>
  </si>
  <si>
    <t>CONSULTORIA DE ESTUDIOS: SUPERVISION DE ELABORACION DE EXPEDIENTE TECNICO</t>
  </si>
  <si>
    <t>EXPEDIENTE TECNICO DEL TERCER COMPONENTE CAPACIDAD TECNICA PARA COMUNICAR ALERTAS Y/O ALARMAS DEL PROYECTO DE INVERSION 2454990</t>
  </si>
  <si>
    <t>CONSULTORIA EN LA ELABORACION DE EXPEDIENTES TECNICOS</t>
  </si>
  <si>
    <t>ELABORACIÓN DEL EXPEDIENTE TÉCNICO ATICO - AREQUIPA</t>
  </si>
  <si>
    <t>ADMINISTRACIÓN DE SERVIDORES LINUX, PARA LA OFICINA GENERAL DE TECNOLOGÍAS DE LA INFORMACIÓN Y COMUNICACIONES</t>
  </si>
  <si>
    <t>ASESORIA EN ELABORACION DE INFORMES TECNICOS</t>
  </si>
  <si>
    <t>ELABORACION DE CONVENIOS MARCO Y ESPECIFICO TRIPARTIO ENTRE LOS GOBIERNOS REGIONALES - DIRECCION DE PREPARACION</t>
  </si>
  <si>
    <t>ELABORACION REVISION Y BRINADAR SOPORTE TECNICO PARA LA DIRECCION DE PREPARACION</t>
  </si>
  <si>
    <t>0009 :INDECI</t>
  </si>
  <si>
    <t>0000-299421</t>
  </si>
  <si>
    <t>0000-870870</t>
  </si>
  <si>
    <t>0000-299421 CUT</t>
  </si>
  <si>
    <t>000-68369657</t>
  </si>
  <si>
    <t>6000-0020352</t>
  </si>
  <si>
    <t>Dolares</t>
  </si>
  <si>
    <t>OLIVAS CORNEJO AMANDA ISABEL</t>
  </si>
  <si>
    <t>08/06/2019 AL 07/06/2021</t>
  </si>
  <si>
    <t>GOMEZ ESPINOZA  JENNY MAYLE</t>
  </si>
  <si>
    <t>04073264</t>
  </si>
  <si>
    <t>02/10/2019 AL 01/10/2020</t>
  </si>
  <si>
    <t>INMOBIDEAS SAC</t>
  </si>
  <si>
    <t>201492093042</t>
  </si>
  <si>
    <t>05/05/2018 AL 04/05/2021</t>
  </si>
  <si>
    <t xml:space="preserve">GRANDEZ TAFUR EDUVIGES  PATRICIA </t>
  </si>
  <si>
    <t>18142728</t>
  </si>
  <si>
    <t>02190486</t>
  </si>
  <si>
    <t>02/09/2020 AL 01/09/2021</t>
  </si>
  <si>
    <t>CHUQUIMIA MERCADO DE IKEDA GLADYS</t>
  </si>
  <si>
    <t>04828715</t>
  </si>
  <si>
    <t>11016054</t>
  </si>
  <si>
    <t>06/06/2019 AL 05/06/2022</t>
  </si>
  <si>
    <t>FLORES VARGAS GIOVANNA YANETTE</t>
  </si>
  <si>
    <t>29310733</t>
  </si>
  <si>
    <t>05128520</t>
  </si>
  <si>
    <t>15/07/2020 AL 14/07/2021</t>
  </si>
  <si>
    <t xml:space="preserve">MAROTAZO ESPINOZA CESAR MARTIN </t>
  </si>
  <si>
    <t>02877009</t>
  </si>
  <si>
    <t>11000861</t>
  </si>
  <si>
    <t>01/09/2020 AL 31/08/2021</t>
  </si>
  <si>
    <t>MEGAMARCAS  S.A.C.</t>
  </si>
  <si>
    <t>20484094668</t>
  </si>
  <si>
    <t>11014852</t>
  </si>
  <si>
    <t>18/07/2020 AL 17/07/2021</t>
  </si>
  <si>
    <t>TANTALEAN ANGELES DE DEL CAMPO DORA LUISA</t>
  </si>
  <si>
    <t>13228829</t>
  </si>
  <si>
    <t>01/07/2020 AL 31/12/2020</t>
  </si>
  <si>
    <t>RENGIFO VASQUEZ RAFAEL</t>
  </si>
  <si>
    <t>05277840</t>
  </si>
  <si>
    <t>12042884</t>
  </si>
  <si>
    <t xml:space="preserve">13/07/2020 AL 12/07/2022 </t>
  </si>
  <si>
    <t xml:space="preserve">SUCESION INDIVISA APAZA MAMANI LUIS </t>
  </si>
  <si>
    <t>19990925</t>
  </si>
  <si>
    <t>03002388</t>
  </si>
  <si>
    <t>08/09/2020 AL 07/07/2020</t>
  </si>
  <si>
    <t xml:space="preserve">MELENDEZ TELLO LUCIA ADRIANA </t>
  </si>
  <si>
    <t>15603555</t>
  </si>
  <si>
    <t>40006037</t>
  </si>
  <si>
    <t>06/08/2020 AL 05/04/2020</t>
  </si>
  <si>
    <t xml:space="preserve">LOPEZ JIMENEZ FRANKLIN ANTONIO </t>
  </si>
  <si>
    <t>00211832</t>
  </si>
  <si>
    <t>11017367</t>
  </si>
  <si>
    <t>04/11/2019 AL 03/11/2020</t>
  </si>
  <si>
    <t>ARRISBASPLATA HERNANDEZ DE SERRANO</t>
  </si>
  <si>
    <t>11133097</t>
  </si>
  <si>
    <t>17828780</t>
  </si>
  <si>
    <t>01/08/2020 AL 30/09/2021</t>
  </si>
  <si>
    <t xml:space="preserve">NUÑEZ VARGAS GAUDELIA </t>
  </si>
  <si>
    <t>20604617</t>
  </si>
  <si>
    <t>11159232</t>
  </si>
  <si>
    <t>01/06/2020 AL 31/05/2021</t>
  </si>
  <si>
    <t>CHAVEZ MAYHUAY FLOR DE MARIA EUSEBIA</t>
  </si>
  <si>
    <t>31632445</t>
  </si>
  <si>
    <t>335</t>
  </si>
  <si>
    <t>01/03/2020 AL 31/12/2020</t>
  </si>
  <si>
    <t>SIERRA CORDOVA NATY</t>
  </si>
  <si>
    <t>05001943</t>
  </si>
  <si>
    <t xml:space="preserve">01/072020 AL 18/02/2021 </t>
  </si>
  <si>
    <t>ROMAN MORON HUGO LEANDRO</t>
  </si>
  <si>
    <t>04407119</t>
  </si>
  <si>
    <t>11022622</t>
  </si>
  <si>
    <t>01/03/2020 AL 28/02/2021</t>
  </si>
  <si>
    <t>INVERSIONES LANCASTER SAC</t>
  </si>
  <si>
    <t>30/04/2019 - 29/04/2022</t>
  </si>
  <si>
    <t>PLIEGO 025. CENTRO NACIONAL DE ESTIMACIÓN, PREVENCIÓN Y REDUCCIÓN DEL RIESGO DE DESASTRES (CENEPRED)</t>
  </si>
  <si>
    <t>1.- SERVICIO DE SEGURIDAD Y VIGILANCIA</t>
  </si>
  <si>
    <t>No corresponde</t>
  </si>
  <si>
    <t xml:space="preserve">APTOS PREPARATORIOS-EPOM </t>
  </si>
  <si>
    <t>2 .- SERVICIO DE LIMPIEZA Y MANTENIMIENTO</t>
  </si>
  <si>
    <t>APTOS PREPARATORIOS-CCP</t>
  </si>
  <si>
    <t>3.- SERVICIO DE SEGUROS PATRIMONIALES</t>
  </si>
  <si>
    <t xml:space="preserve">4.- SERVICIO DE ALQUILER DE LOCAL </t>
  </si>
  <si>
    <t>001-2020-CENEPRED</t>
  </si>
  <si>
    <t>15514436832 - XIE LI</t>
  </si>
  <si>
    <t>EN EJECUCIÓN</t>
  </si>
  <si>
    <t>5.- SERVICIO DE MENSAJERÍA Y PAQUETERIA</t>
  </si>
  <si>
    <t>20524674891 - MITO COURIER S.A.C..</t>
  </si>
  <si>
    <t>CONSENTIMIENTO BP</t>
  </si>
  <si>
    <t>6.- SERVICIO DE  SEGURIDAD Y VIGILANCIA</t>
  </si>
  <si>
    <t>002-2019-CENEPRED</t>
  </si>
  <si>
    <t>20536985655 -VIGARZA S.A.C.</t>
  </si>
  <si>
    <t>7.- SERVICIO DE LIMPIEZA Y MANTENIMIENTO</t>
  </si>
  <si>
    <t>003-2019-CENEPRED</t>
  </si>
  <si>
    <t xml:space="preserve"> 20601406358 - SERVICIOS GENERALES ALL MASTER S.R.L. - SEGALMAS S.R.L.</t>
  </si>
  <si>
    <t>8.- SERVICIO DE SEGUROS PATRIMONIALES</t>
  </si>
  <si>
    <t>004-2019-CENEPRED</t>
  </si>
  <si>
    <t xml:space="preserve">20100210909 - LA POSITIVA SEGUROS Y REASEGUROS </t>
  </si>
  <si>
    <t>9.- SERVICIO DE INTERNET</t>
  </si>
  <si>
    <t>CONCURSO PÚBLICO</t>
  </si>
  <si>
    <t>001-2018-CENEPRED</t>
  </si>
  <si>
    <t xml:space="preserve">20557425889 - FIBERLUX S.A.C. </t>
  </si>
  <si>
    <t xml:space="preserve">10.- SERVICIO DE ALQUILER DE LOCAL </t>
  </si>
  <si>
    <t>ADJUDICACIÓN DIRECTA</t>
  </si>
  <si>
    <t>001-2017-CENEPRED-ADENDA 3-2019 AL CONTRATO</t>
  </si>
  <si>
    <t xml:space="preserve">ADENDA N° 003 AL CONTRATO N° 003-2017-CENEPRED/OA </t>
  </si>
  <si>
    <t>11.- SERVICIO DE MENSAJERÍA Y PAQUETERIA</t>
  </si>
  <si>
    <t>001-2019-CENEPRED</t>
  </si>
  <si>
    <t>20524480850 - APOYO Y SERVICIOS PROFESIONALES S.A.C..</t>
  </si>
  <si>
    <t>CONTRATO TERMINADO</t>
  </si>
  <si>
    <t>1 SERVICIO DE UNA CONSULTORIA PARA DESARROLLO SOFTWARE, CORRESPONDIENTE A LOS MODULOS INTEGRADOS EN EL SISTEMA DE MONITOREO, SEGUIMIENTO Y EVALUACION - SIMSE EXISTENTE, CONTEMPLANDO EL LEVANTAMIENTO DE REQUERIMIENTOS, ANALISIS, DISEÑO, DESARROLLO, IMPLEMENTACION Y DOCUMENTACION DE LOS MODULOS Y REPORTES</t>
  </si>
  <si>
    <t>…20601301378-SYSLAND S.R.L.</t>
  </si>
  <si>
    <t xml:space="preserve"> INFORME DE LEVANTAMIENTO DE REQUERIMIENTOS, INFORME DE ANALISIS Y DISEÑO, CODIGO FUENTE Y BASE DE DATOS INTEGRADA AL SIMSE, INFORME DE IMPLEMENTACION, DOCUMENTACION TECNICA Y DE USAUARIO.</t>
  </si>
  <si>
    <t>001410. CENTRO NACIONAL DE ESTIMACION, PREVENCION Y REDUCCION DEL RIESGO DE DESASTRES</t>
  </si>
  <si>
    <t>00-068-284147</t>
  </si>
  <si>
    <t>1. RECURSOS ORDINARIOS (TR- 14)</t>
  </si>
  <si>
    <t>00-068-284147 -FONDES - CUT</t>
  </si>
  <si>
    <t>00-068-352541</t>
  </si>
  <si>
    <t>2. RECURSOS DIRECTAM. RECAUD. (TR - 7)</t>
  </si>
  <si>
    <t>00-068-284147 RDR - CUT</t>
  </si>
  <si>
    <t>3. OFICIALES DE CRED. EXTERNO (TR - 15)</t>
  </si>
  <si>
    <t>00-068-284147 R00C - CUT</t>
  </si>
  <si>
    <t>00-068-284147 RD - CUT</t>
  </si>
  <si>
    <t xml:space="preserve">       Y PARTICIPACIONES (TR - 24)</t>
  </si>
  <si>
    <t xml:space="preserve">         RETENCION 10%  PYMES (GARANTIA)</t>
  </si>
  <si>
    <t>00-068-353955</t>
  </si>
  <si>
    <t xml:space="preserve">       EJECUCION DE CARTAS FIANZAS POR GARANTIA</t>
  </si>
  <si>
    <t>00-068-376203</t>
  </si>
  <si>
    <t>001 CENTRO NACIONAL DE ESTIMACIÓN, PREVENCIÓN Y REDUCCIÓN DEL RIESGO DE DESASTRES - CENEPRED</t>
  </si>
  <si>
    <t>JIN TIAN</t>
  </si>
  <si>
    <t>131668870 - 13168873 - 13168874</t>
  </si>
  <si>
    <t>1620M2</t>
  </si>
  <si>
    <t xml:space="preserve">NUEVO CONTRATO MENSUAL S/ 45,000.00 MAS 2 MESES DE GARANTIA </t>
  </si>
  <si>
    <t>PLIEGO 332:  INSTITUTO  GEOGRÁFICO  NACIONAL</t>
  </si>
  <si>
    <t>ADQUISICION DE COMPUTADORAS, MONITORES E IMPRESORAS</t>
  </si>
  <si>
    <t>Compras por catálogo (Convenio Marco)</t>
  </si>
  <si>
    <t>NO APLICA</t>
  </si>
  <si>
    <t>S/N</t>
  </si>
  <si>
    <t>DIVERSOS PROVEEDORES</t>
  </si>
  <si>
    <t>ADQUISICIONES A LA FECHA</t>
  </si>
  <si>
    <t>ADQUISICION DE UN FIREWALL</t>
  </si>
  <si>
    <t>Adjudicación Simplificada</t>
  </si>
  <si>
    <t>LLAVE EN MANO</t>
  </si>
  <si>
    <t>AS N° 004</t>
  </si>
  <si>
    <t>20199144961 - BAFING S.A.C.</t>
  </si>
  <si>
    <t>ADQUISICION DE DOS LICENCIAS: ESRI DEFENSA MAPPING Y ESRI PRODUCTION MAPPING</t>
  </si>
  <si>
    <t>Contratación Directa</t>
  </si>
  <si>
    <t>CD N° 002</t>
  </si>
  <si>
    <t>20101984291 - TELEMATICA SAC</t>
  </si>
  <si>
    <t>LA CONVOCATORIA ESTÁ PENDIENTE</t>
  </si>
  <si>
    <t>ADQUISICION DE SIETE LICENCIAS STEREO ANALYST PARA ARCGIS</t>
  </si>
  <si>
    <t>CD N° 001</t>
  </si>
  <si>
    <t>20506730571- AMAZONS SERVICIOS Y COMERCIALIZACIONES S.A.C.</t>
  </si>
  <si>
    <t>ADQUISICION DE UN SERVIDOR</t>
  </si>
  <si>
    <t>AS N° 003</t>
  </si>
  <si>
    <t>20507241400 - TECH4ALLPERU SOCIEDAD ANONIMA CERRADA</t>
  </si>
  <si>
    <t>CONTRATACION DEL SERVICIO DE ACONDICIONAMIENTO DE DOS AMBIENTES</t>
  </si>
  <si>
    <t>AS N° 002</t>
  </si>
  <si>
    <t>20534093005 - EMPRESA CONSTRUCTORA MECEC SRL</t>
  </si>
  <si>
    <t>SUMINISTRO DE TINTAS Y CABEZALES PARA PLOTTERS</t>
  </si>
  <si>
    <t>AS N° 001</t>
  </si>
  <si>
    <t>10465251285 - DIAZ RUIZ LEIDA LILIANA</t>
  </si>
  <si>
    <t>ADQUISICION DE TONER COLOR NEGRO PARA IMPRESORA LASER (CONSUMIBLES)</t>
  </si>
  <si>
    <t>ADQUISICION DE MATERIAL DE ESCRITORIO</t>
  </si>
  <si>
    <t>SERVICIO DE LINEA DEDICADA A INTERNET DE 100 MBPS</t>
  </si>
  <si>
    <t>SIN CONVOCAR</t>
  </si>
  <si>
    <t>ADQUISICIÓN DE DOS (02) RECEPTORES GEODÉSICOS GNSS PARA ESTACIONES DE RASTREO PERMANENTE</t>
  </si>
  <si>
    <t>VEHICULO AEREO NO TRIPULADO-DRONE</t>
  </si>
  <si>
    <t>AS N° 005-2020</t>
  </si>
  <si>
    <t>EN CURSO</t>
  </si>
  <si>
    <t>CONVOCADO, BUENA PRO 21/09/2020</t>
  </si>
  <si>
    <t>ADQUISICION DE TINTAS Y CABEZALES PARA PLOTTER</t>
  </si>
  <si>
    <t>AS N° 001-2020</t>
  </si>
  <si>
    <t>20556732508 LSA INGENIEROS SAC</t>
  </si>
  <si>
    <t>CANCELACIÓN DE CONTRATO Y RECONOCMIENTO DE PAGO DE BIENES INTERNADOS</t>
  </si>
  <si>
    <t>ADQUISICIÓN FOTOGRAFÍAS AÉREAS DIGITALES AEROTRIANGULADAS DEL SECTOR DE LA PAMPA Y ÁREAS ADYACENTES, LOCALIZADAS EN PARTE DE LOS DISTRITOS DE TAMBOPATA, LABERINTO E INAMBARI DE LA PROVINCIA TAMBOPATA, DEPARTAMENTO DE MADRE DE DIOS</t>
  </si>
  <si>
    <t>AS N° 004-2020</t>
  </si>
  <si>
    <t>20209154310 HORIZONS SOUTH AMERICA SAC</t>
  </si>
  <si>
    <t>SE HA REMITIDO LAS OBSERVACIONES A LA EMPRESA</t>
  </si>
  <si>
    <t>UTILES Y MATERIALES DE ESCRITORIO</t>
  </si>
  <si>
    <t>COMPRAS POR CATÁLOGO (CONVENIO MARCO)</t>
  </si>
  <si>
    <t>IM-CE-2018-2 Útiles de escritorio</t>
  </si>
  <si>
    <t>DIVERSOS</t>
  </si>
  <si>
    <t>ADQUISICION DE TINTAS Y TONER PARA FOTOCOPIADORAS E IMPRESORAS</t>
  </si>
  <si>
    <t>SERVICIO DE EMISION DE BOLETOS AEREOS NACIONALES</t>
  </si>
  <si>
    <t>IM-CE-2019-2 Boletos aéreos</t>
  </si>
  <si>
    <t>COMPRA DE MATERIAL E INSUMOS PARA LIMPIEZA</t>
  </si>
  <si>
    <t>catálogo IM-CE-2020-3 Materiales e insumos de limpieza</t>
  </si>
  <si>
    <t>COMPRA DE PINTURAS</t>
  </si>
  <si>
    <t>IM-CE-2019-1 Tubos, pinturas, cerámicos, sanitarios, accesorios y complementos en general</t>
  </si>
  <si>
    <t>BATERIA DE 13 PLACAS 12 V 65 A</t>
  </si>
  <si>
    <t>IM-CE-2020-1 Baterías, pilas y accesorios</t>
  </si>
  <si>
    <t>LLANTA 265/65R17 112H</t>
  </si>
  <si>
    <t>IM-CE-2019-2 Llantas, neumáticos y accesorios</t>
  </si>
  <si>
    <t>MOBILIARIO: SILLONES</t>
  </si>
  <si>
    <t>IM-CE-2019-3 Mobiliario en general</t>
  </si>
  <si>
    <t>AIRE ACONDICIONADO</t>
  </si>
  <si>
    <t>IM-CE-2019-4 Equipos de Aire Acondicionado</t>
  </si>
  <si>
    <t>IMPRESORA PARA PLANOS - PLOTTERS</t>
  </si>
  <si>
    <t>IM-CE-2018-1 Impresoras</t>
  </si>
  <si>
    <t>COMPRA DE COMPUTADORAS Y MONITORES</t>
  </si>
  <si>
    <t>IM-CE-2018-3 Computadoras de escritorio y portátiles</t>
  </si>
  <si>
    <t>ADQUISICIÓN DE MATERIAL DE PROTECCIÓN PARA LA SALUD</t>
  </si>
  <si>
    <t>IM-CE-2020-4 Materiales de protección para la salud</t>
  </si>
  <si>
    <t>ACTUALIZACION DE SIETE LICENCIAS STEREO ANALYST PARA ARCGIS VERSION 2011-2014 A VERSION 2018</t>
  </si>
  <si>
    <t>CD 001-2020</t>
  </si>
  <si>
    <t>AMAZONS S&amp;C SAC</t>
  </si>
  <si>
    <t>ADQUISICION DE PLASTICO LAMINADO AL CALOR</t>
  </si>
  <si>
    <t>NO ESTÁ CONSIDERADO</t>
  </si>
  <si>
    <t>NO ESTÁ INCLUIOO EN EL PAC 2020</t>
  </si>
  <si>
    <t>UTILES DE ESCRITORIO</t>
  </si>
  <si>
    <t>SERVICIO DE EMISION DE BOLETOS AEREOS NACIONALES E INTERNACIONALES</t>
  </si>
  <si>
    <t>BANCO DE LA NACIÓN</t>
  </si>
  <si>
    <t>00000-300969</t>
  </si>
  <si>
    <t>00000-282898</t>
  </si>
  <si>
    <t>2001</t>
  </si>
  <si>
    <t>00000-877840</t>
  </si>
  <si>
    <t>2009</t>
  </si>
  <si>
    <t>CUENTA UNICA DEL TESORO - CUT</t>
  </si>
  <si>
    <t>DETRACCIONES</t>
  </si>
  <si>
    <t>00000-425494</t>
  </si>
  <si>
    <t>2004</t>
  </si>
  <si>
    <t>DEVIDA</t>
  </si>
  <si>
    <t>000-68337739</t>
  </si>
  <si>
    <t>2014</t>
  </si>
  <si>
    <t>PLIEGO 335 AGENCIA DE COMPRAS DE LAS FUERZAS ARMADAS</t>
  </si>
  <si>
    <t>Servicio de Seguridad y Vigilancia para la Sede de la Agencia de Compras de las Fuerzas Armadas 2019 -2020</t>
  </si>
  <si>
    <t xml:space="preserve"> AS-SM-5-2019-ACFFAA-1</t>
  </si>
  <si>
    <t>CONSORCIO - Y.M.A SERVINTSE S.A.C / EMOYANOR S.A.C</t>
  </si>
  <si>
    <t>28.12.2019 AL 27.12.2020</t>
  </si>
  <si>
    <t>Servicio de Seguridad y Vigilancia para la Sede de la Agencia de Compras de las Fuerzas Armadas - 2020 - 2021</t>
  </si>
  <si>
    <t>POR ASIGNAR</t>
  </si>
  <si>
    <t>ACTOS PREPARATORIOS</t>
  </si>
  <si>
    <t>MONTO CALCULADO POR 12 MESES DEL SERVICIO</t>
  </si>
  <si>
    <t>Servicio de Alimentación del Personal Militar destacado a la ACFFAA (2019 - 2020)</t>
  </si>
  <si>
    <t xml:space="preserve"> AS-SM-1-2019-ACFFAA-4</t>
  </si>
  <si>
    <t>20603175761 - RUBEN'S DEL MAR E.I.R.L.</t>
  </si>
  <si>
    <t xml:space="preserve">02.08.2019 AL 01.08.2020 O HASTA AGOTAR </t>
  </si>
  <si>
    <t>CON CONTRATO VIGENTE</t>
  </si>
  <si>
    <t>Servicio de Alimentación del Personal Militar destacado a la ACFFAA (nuevo contrato 2021)</t>
  </si>
  <si>
    <t>A SER CONTRATADO EN EL AÑO2021</t>
  </si>
  <si>
    <t>Contratación del Servicio de Limpieza Integral de la Sede de la ACFFAA (2019 - 2020)</t>
  </si>
  <si>
    <t>AS-SM-4-2019-ACFFAA-1</t>
  </si>
  <si>
    <t>20568979843 - CORPORACION KRISTAL S.A.C.</t>
  </si>
  <si>
    <t>17.09.2019 AL 16.09.2020</t>
  </si>
  <si>
    <t>Contratación del Servicio de Limpieza Integral de la Sede de la ACFFAA 2020</t>
  </si>
  <si>
    <t>PENDIENTE FIRMA DE CONTRATO</t>
  </si>
  <si>
    <t>MONTO CALCULADO PARA 09 MESES DEL SERVICIO, SEGÚN PREVISION PRESUPUESTAL SOLICITADA</t>
  </si>
  <si>
    <t>Contratación del Servicio de Limpieza Integral de la Sede de la ACFFAA (CONTRATO 2021 - 2022)</t>
  </si>
  <si>
    <t>POR EJECUTAR</t>
  </si>
  <si>
    <t>MONTO CALCULADO PARA 03 MESES DEL SERVICIO,  PARA LA ATENCION DEL NUEVO CONTRATO</t>
  </si>
  <si>
    <t>Adquisición de útiles de oficina (2019)</t>
  </si>
  <si>
    <t>Adquisición de útiles de oficina (2020)</t>
  </si>
  <si>
    <t>Adquisición de útiles de oficina (2021)</t>
  </si>
  <si>
    <t>1 CONTRATACION DE UNA PERSONA NATURAL O JURIDICA ESPECIALIZADA PARA REALIZAR UN ESTUDIO DE ENCUESTA</t>
  </si>
  <si>
    <t>CONSULTORÍA PARA REALIZAR UN ESTUDIO DE ENCUESTA DE SATISFACCIÓN DE USUARIOS</t>
  </si>
  <si>
    <t>DEFENSA Y SEGURIDAD NACIONAL</t>
  </si>
  <si>
    <t>2 CONTRATACION DE CONSULTORA PARA ANALISIS DE CLIMA ORGANIZACIONAL DE LA ACFFAA</t>
  </si>
  <si>
    <t>CONSULTORÍA PARA ANALISIS DE CLIMA ORGANIZACIONAL DE LA ACFFAA</t>
  </si>
  <si>
    <t>3 SERVICIO DE CONSULTORÍA PARA LA IMPLEMENTACION DE NORMA TECNICA PERUANA  ISO 27001</t>
  </si>
  <si>
    <t>CONSULTORÍA PARA LA IMPLEMENTACION DE NORMA TECNICA PERUANA  ISO 27001</t>
  </si>
  <si>
    <t>4 CONTRATACION DE CONSULTORIA PARA LA ELABORACION PARA LA ELABORACION DEL MAPA DE RIESGOS DE LA ACFFAA</t>
  </si>
  <si>
    <t xml:space="preserve">06250941 </t>
  </si>
  <si>
    <t xml:space="preserve"> CONSULTORIA PARA LA ELABORACION PARA LA ELABORACION DEL MAPA DE RIESGOS DE LA ACFFAA</t>
  </si>
  <si>
    <t>5 CONTRATACIÓN DE UNA CONSULTORIA PARA LA ELABORACIÓN DEL PLAN DE SEGURIDAD PARA LA AGENCIA DE CO</t>
  </si>
  <si>
    <t xml:space="preserve"> CONSULTORIA PARA LA ELABORACIÓN DEL PLAN DE SEGURIDAD PARA LA  ACFFAA</t>
  </si>
  <si>
    <t>6 CONTRATACIÓN DE UN  APOYO ADMINISTRATIVO PARA LA DIRECCIÓN DE CATALOGACIÓN</t>
  </si>
  <si>
    <t>73177792</t>
  </si>
  <si>
    <t xml:space="preserve"> APOYO ADMINISTRATIVO PARA LA DIRECCIÓN DE CATALOGACIÓN</t>
  </si>
  <si>
    <t>7 CONTRATACION DE CONSULTORIA EN TEMAS ADMINISTRATIVA Y TECNICA PARA DIRECCION CATALOGA</t>
  </si>
  <si>
    <t>43888667</t>
  </si>
  <si>
    <t>CONSULTORIA EN TEMAS ADMINISTRATIVA Y TECNICA PARA DIRECCION CATALOGACIÓN</t>
  </si>
  <si>
    <t>8 SERVICIO CONSULTORIA EN IMPLEMENTACION DE GESTION ANTISOBORNO</t>
  </si>
  <si>
    <t>CONSULTORIA EN IMPLEMENTACION DE GESTION ANTISOBORNO</t>
  </si>
  <si>
    <t>9 SERVICIO DE CONSULTORIA PARA SUPERVISION DE PROCESOS DE IMPLANTACION SIGA</t>
  </si>
  <si>
    <t xml:space="preserve">41950335 </t>
  </si>
  <si>
    <t>CONSULTORIA PARA SUPERVISION DE PROCESOS DE IMPLANTACION SIGA</t>
  </si>
  <si>
    <t>10 CONTRATACIÓN DE UNA PERSONA NATURAL PARA REALIZAR EL MANTENIMIENTO DE APLICACIONES WEB</t>
  </si>
  <si>
    <t xml:space="preserve">70311608 </t>
  </si>
  <si>
    <t xml:space="preserve"> MANTENIMIENTO DE APLICACIONES WEB</t>
  </si>
  <si>
    <t>11 SERVICIO DE CONSULTORIA EN CONTRATACIONES Y ADQUISICIONES</t>
  </si>
  <si>
    <t xml:space="preserve">10246214 </t>
  </si>
  <si>
    <t>CONSULTORIA EN CONTRATACIONES Y ADQUISICIONES</t>
  </si>
  <si>
    <t>12 SERVICO EN CONSULTORIA EN CONTRATACIONES Y ADQUISICIONES</t>
  </si>
  <si>
    <t xml:space="preserve">10347087 </t>
  </si>
  <si>
    <t>13 SERVICIO DE CONSULTORIA EN TEMAS ADMINISTRATIVA Y TECNICA</t>
  </si>
  <si>
    <t xml:space="preserve">10191722 </t>
  </si>
  <si>
    <t>CONSULTORIA EN TEMAS ADMINISTRATIVA Y TECNICA  EN LA OFICINA DE INFORMÁTICA</t>
  </si>
  <si>
    <t>14  SERVICIO DE CONSULTORIA EN TEMAS ADMINISTRATIVA Y TECNICA</t>
  </si>
  <si>
    <t xml:space="preserve"> CONSULTORIA EN TEMAS ADMINISTRATIVA Y TECNICA PARA LA DIRECCIÓN DE CATALOGACIÓN</t>
  </si>
  <si>
    <t>15 CONTRATACIÓN DEL SERVICIO DE CONSULTORÍA ESPECIALIZADA EN CONTRATACIONES DEL ESTADO</t>
  </si>
  <si>
    <t>06653977</t>
  </si>
  <si>
    <t>CONSULTORÍA ESPECIALIZADA EN CONTRATACIONES DEL ESTADO PARA LA DIRECCION DE PROCESOS DE COMPRAS</t>
  </si>
  <si>
    <t>16 COORDINADOR DEL SERVICIO DEL CONTRATO SUSCRITO POR LA AS N° 003-2019 2DA CONVOCATORIA "ACONDICIONAMIENTO</t>
  </si>
  <si>
    <t xml:space="preserve">42646035 </t>
  </si>
  <si>
    <t>COORDINACIÓN DEL SERVICIO DEL CONTRATO SUSCRITO POR LA AS N° 003-2019 2DA CONVOCATORIA "SERVICIO DE ACONDICIONAMIENTO DE AZOTEA, MANTENIMIENTO DE LAS ZONAS CRÍTICAS DE LA SEDE DE LA ACFFA"</t>
  </si>
  <si>
    <t>17 CONTRATACION DEL SERVICIO DE ESPECIALIZADO DE TRADUCCION DE DOCUMENTOS</t>
  </si>
  <si>
    <t xml:space="preserve">41855266 </t>
  </si>
  <si>
    <t>SERVICIO DE ESPECIALIZADO DE TRADUCCION DE DOCUMENTOS DE LA ACFFAA</t>
  </si>
  <si>
    <t>18 CONTRATACION DE UNA PERSONA NATURAL PARA APOYO AL PROCESO DE HOMOGENEIZACIÓN Y ESTANDARIZACION</t>
  </si>
  <si>
    <t>APOYO AL PROCESO DE HOMOGENEIZACIÓN Y ESTANDARIZACION</t>
  </si>
  <si>
    <t>19 CONTRATACION DE UNA PERSONA NATURAL PARA REALIZAR EL SERVICIO DE CONSULTORIA EN CONTRATACIONES</t>
  </si>
  <si>
    <t>CONSULTORIA EN CONTRATACIONES</t>
  </si>
  <si>
    <t>20 CONTRATACIÓN DE UNA CONSULTORÍA PARA EL DESARROLLO DE APLICATIVO WEB</t>
  </si>
  <si>
    <t>CONSULTORÍA PARA EL DESARROLLO DE APLICATIVO WEB</t>
  </si>
  <si>
    <t>21 CONTRATACIÓN DE SERVICIO DE CONSULTORÍA PARA SOPORTE DEL SISTEMA INTEGRADO DE GESTIÓN ADMINISTR</t>
  </si>
  <si>
    <t>CONSULTORÍA PARA SOPORTE DEL SISTEMA INTEGRADO DE GESTIÓN ADMINISTRATIVA - SIGA MEF EN LA ACFFAA</t>
  </si>
  <si>
    <t>22 CONTRATACIÓN DEL SERVICIO ESPECIALIZADO EN SALUD EN EL MARCO DE LA RESOLUCIÓN MINISTERIAL  N° 2</t>
  </si>
  <si>
    <t xml:space="preserve">45530783 </t>
  </si>
  <si>
    <t xml:space="preserve"> SERVICIO ESPECIALIZADO EN MEDICINA OCUPACIONAL O MEDICINA DEL TRABAJO PARA LA AGENCIA DE COMPRAS DE LAS FUERZAS ARMADAS - ACFFAA</t>
  </si>
  <si>
    <t>23 CONTRATACION DE UNA PERSONA NATURAL PARA EL SERVICIO DE APOYO EN EL PROCESO DE NORMALIZACIÓN DE</t>
  </si>
  <si>
    <t>SERVICIO DE APOYO EN EL PROCESO DE NORMALIZACIÓN  DE LA DIRECCIÓN DE CATALOGACIÓN</t>
  </si>
  <si>
    <t>24 CONTRATACION DE UNA PERSONA NATURAL PARA EL REALIZAR EL SERVICIO DE CONSULTORIA EN CONTRATACION</t>
  </si>
  <si>
    <t>25 CONTRATACIÓN DE UNA PERSONA NATURAL PARA EL SERVICIO DE CONSULTORIA Y TECNICA  ADMINISTRATIVO E</t>
  </si>
  <si>
    <t xml:space="preserve">43156788 </t>
  </si>
  <si>
    <t>CONSULTORIA Y TECNICA  ADMINISTRATIVO EN  SERVICIOS GENERALES</t>
  </si>
  <si>
    <t>26 CONTRATACION DE UNA PERSONA NATURAL PARA EL REALIZAR EL SERVICIO DE CONSULTORIA EN EL ÁREA DE L</t>
  </si>
  <si>
    <t xml:space="preserve"> CONSULTORIA EN EL ÁREA DE LOGÍSTICA</t>
  </si>
  <si>
    <t>27 CONTRATACION DE UNA PERSONA NATURAL PARA EL SERVICIO DE CONSULTORIA ADMINISTRATIVA Y TECNICA PA</t>
  </si>
  <si>
    <t>CONSULTORIA ADMINISTRATIVA Y TECNICA PARA EL AREA DE SERVICIOS GENERALES</t>
  </si>
  <si>
    <t>28 CONTRATACIÓN DE UN (1) SERVICIO DE CONSULTORÍA ESPECIALIZADA EN REVISIÓN DE EXPEDIENTES TÉCNICO</t>
  </si>
  <si>
    <t xml:space="preserve">16668759 </t>
  </si>
  <si>
    <t>CONSULTORÍA ESPECIALIZADA EN REVISIÓN DE EXPEDIENTES TÉCNICO DE OBRA DE INFRAESTRUCTURA Y ASESORAMIENTO EN CONTRATACIONES DEL ESTADO EN OBRAS</t>
  </si>
  <si>
    <t>29 CONTRATACIÓN PARA UNA PERSONA NATURAL EN SERVICIOS GENERALES</t>
  </si>
  <si>
    <t>CONTRATACIÓN PARA UNA PERSONA NATURAL EN  TEMAS DE SERVICIOS GENERALES</t>
  </si>
  <si>
    <t>30 CONTRATACIÓN DE UNA PERSONA NATURAL EN LOGÍSTICA Y CONTRATACIONES</t>
  </si>
  <si>
    <t>CONTRATACIÓN DE UNA PERSONA NATURAL EN TEMAS DE LOGÍSTICA Y CONTRATACIONES</t>
  </si>
  <si>
    <t>31 CONTRATACIÓN PARA UN PROGRAMADOR WEB</t>
  </si>
  <si>
    <t>REALIZAR EL MANTENIMIENTO DE APLICACIONES WEB</t>
  </si>
  <si>
    <t>32 CONTRATACIÓN DE UN CONSULTOR PARA LOS PROCESOS DE OBRAS</t>
  </si>
  <si>
    <t>CONSULTORÍA EN TEMAS DE OBRAS</t>
  </si>
  <si>
    <t>001545</t>
  </si>
  <si>
    <t>00-068-339367</t>
  </si>
  <si>
    <t>JULIO DE 2014</t>
  </si>
  <si>
    <t>00-068-339359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</si>
</sst>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1" formatCode="_-* #,##0_-;\-* #,##0_-;_-* &quot;-&quot;_-;_-@_-"/>
    <numFmt numFmtId="44" formatCode="_-&quot;S/&quot;* #,##0.00_-;\-&quot;S/&quot;* #,##0.00_-;_-&quot;S/&quot;* &quot;-&quot;??_-;_-@_-"/>
    <numFmt numFmtId="43" formatCode="_-* #,##0.00_-;\-* #,##0.00_-;_-* &quot;-&quot;??_-;_-@_-"/>
    <numFmt numFmtId="164" formatCode="[$-280A]d&quot; de &quot;mmmm&quot; de &quot;yyyy;@"/>
    <numFmt numFmtId="165" formatCode="0.0%"/>
    <numFmt numFmtId="166" formatCode="_ * #,##0_ ;_ * \-#,##0_ ;_ * &quot;-&quot;??_ ;_ @_ "/>
    <numFmt numFmtId="167" formatCode="00"/>
    <numFmt numFmtId="168" formatCode="00000000"/>
    <numFmt numFmtId="169" formatCode="&quot;S/.&quot;\ #,##0.00"/>
    <numFmt numFmtId="170" formatCode="_-* #,##0_-;\-* #,##0_-;_-* &quot;-&quot;??_-;_-@_-"/>
    <numFmt numFmtId="171" formatCode="#0.00"/>
    <numFmt numFmtId="172" formatCode="#,##0;[Red]#,##0"/>
    <numFmt numFmtId="173" formatCode="0;[Red]0"/>
    <numFmt numFmtId="174" formatCode="_ * #,##0.00_ ;_ * \-#,##0.00_ ;_ * &quot;-&quot;??_ ;_ @_ "/>
    <numFmt numFmtId="175" formatCode="#,##0.00_ ;[Red]\-#,##0.00\ "/>
    <numFmt numFmtId="176" formatCode="_-* #,##0.00\ _€_-;\-* #,##0.00\ _€_-;_-* &quot;-&quot;??\ _€_-;_-@_-"/>
    <numFmt numFmtId="177" formatCode="_-* #,##0\ _€_-;\-* #,##0\ _€_-;_-* &quot;-&quot;??\ _€_-;_-@_-"/>
    <numFmt numFmtId="178" formatCode="General_)"/>
    <numFmt numFmtId="179" formatCode="&quot;S/&quot;#,##0.00"/>
    <numFmt numFmtId="180" formatCode="00000"/>
    <numFmt numFmtId="181" formatCode="_ &quot;S/&quot;\ * #,##0.00_ ;_ &quot;S/&quot;\ * \-#,##0.00_ ;_ &quot;S/&quot;\ * &quot;-&quot;??_ ;_ @_ "/>
    <numFmt numFmtId="182" formatCode="_ [$S/-280A]\ * #,##0.00_ ;_ [$S/-280A]\ * \-#,##0.00_ ;_ [$S/-280A]\ * &quot;-&quot;??_ ;_ @_ "/>
    <numFmt numFmtId="183" formatCode="_ &quot;S/.&quot;* #,##0.00_ ;_ &quot;S/.&quot;* \-#,##0.00_ ;_ &quot;S/.&quot;* &quot;-&quot;??_ ;_ @_ "/>
    <numFmt numFmtId="184" formatCode="[$$-409]#,##0.00"/>
    <numFmt numFmtId="185" formatCode="[$€-2]\ #,##0.00;[Red]\-[$€-2]\ #,##0.00"/>
    <numFmt numFmtId="186" formatCode="[$$-540A]#,##0.00"/>
    <numFmt numFmtId="187" formatCode="&quot;£&quot;#,##0.00"/>
    <numFmt numFmtId="188" formatCode="dd/mm/yyyy;@"/>
    <numFmt numFmtId="189" formatCode="_-* #,##0.00\ [$€-C0A]_-;\-* #,##0.00\ [$€-C0A]_-;_-* &quot;-&quot;??\ [$€-C0A]_-;_-@_-"/>
    <numFmt numFmtId="190" formatCode="&quot;S/&quot;\ #,##0.00"/>
  </numFmts>
  <fonts count="83">
    <font>
      <sz val="10"/>
      <name val="Arial"/>
    </font>
    <font>
      <sz val="11"/>
      <color theme="1"/>
      <name val="Calibri"/>
      <family val="2"/>
      <scheme val="minor"/>
    </font>
    <font>
      <sz val="10"/>
      <name val="Arial"/>
      <family val="2"/>
    </font>
    <font>
      <sz val="8"/>
      <name val="Arial"/>
      <family val="2"/>
    </font>
    <font>
      <b/>
      <sz val="10"/>
      <name val="Arial"/>
      <family val="2"/>
    </font>
    <font>
      <sz val="10"/>
      <name val="Arial Narrow"/>
      <family val="2"/>
    </font>
    <font>
      <b/>
      <sz val="8"/>
      <name val="Arial"/>
      <family val="2"/>
    </font>
    <font>
      <sz val="10"/>
      <name val="Courier"/>
      <family val="3"/>
    </font>
    <font>
      <b/>
      <sz val="12"/>
      <name val="Arial"/>
      <family val="2"/>
    </font>
    <font>
      <sz val="9"/>
      <name val="Arial"/>
      <family val="2"/>
    </font>
    <font>
      <b/>
      <sz val="9"/>
      <name val="Arial"/>
      <family val="2"/>
    </font>
    <font>
      <sz val="8"/>
      <name val="Arial"/>
      <family val="2"/>
    </font>
    <font>
      <sz val="9"/>
      <color indexed="32"/>
      <name val="Arial"/>
      <family val="2"/>
    </font>
    <font>
      <sz val="9"/>
      <color indexed="8"/>
      <name val="Arial"/>
      <family val="2"/>
    </font>
    <font>
      <sz val="8"/>
      <color indexed="81"/>
      <name val="Tahoma"/>
      <family val="2"/>
    </font>
    <font>
      <sz val="12"/>
      <name val="Arial"/>
      <family val="2"/>
    </font>
    <font>
      <sz val="8"/>
      <name val="Calibri"/>
      <family val="2"/>
      <scheme val="minor"/>
    </font>
    <font>
      <b/>
      <sz val="8"/>
      <name val="Calibri"/>
      <family val="2"/>
      <scheme val="minor"/>
    </font>
    <font>
      <sz val="8"/>
      <color indexed="8"/>
      <name val="Arial"/>
      <family val="2"/>
    </font>
    <font>
      <b/>
      <u/>
      <sz val="8"/>
      <name val="Arial"/>
      <family val="2"/>
    </font>
    <font>
      <sz val="10"/>
      <name val="Arial"/>
      <family val="2"/>
    </font>
    <font>
      <sz val="10"/>
      <color theme="1"/>
      <name val="Arial"/>
      <family val="2"/>
    </font>
    <font>
      <b/>
      <sz val="10"/>
      <name val="Calibri"/>
      <family val="2"/>
      <scheme val="minor"/>
    </font>
    <font>
      <sz val="9"/>
      <color theme="1"/>
      <name val="Arial"/>
      <family val="2"/>
    </font>
    <font>
      <b/>
      <sz val="11"/>
      <name val="Arial"/>
      <family val="2"/>
    </font>
    <font>
      <sz val="8"/>
      <color theme="1"/>
      <name val="Arial"/>
      <family val="2"/>
    </font>
    <font>
      <b/>
      <sz val="9"/>
      <color theme="0"/>
      <name val="Arial"/>
      <family val="2"/>
    </font>
    <font>
      <sz val="9"/>
      <color rgb="FFFF0000"/>
      <name val="Arial"/>
      <family val="2"/>
    </font>
    <font>
      <sz val="11"/>
      <color rgb="FF9C0006"/>
      <name val="Calibri"/>
      <family val="2"/>
      <scheme val="minor"/>
    </font>
    <font>
      <sz val="7"/>
      <name val="Arial"/>
      <family val="2"/>
    </font>
    <font>
      <sz val="7"/>
      <name val="Calibri"/>
      <family val="2"/>
      <scheme val="minor"/>
    </font>
    <font>
      <b/>
      <sz val="7"/>
      <name val="Calibri"/>
      <family val="2"/>
      <scheme val="minor"/>
    </font>
    <font>
      <sz val="7.5"/>
      <name val="Arial"/>
      <family val="2"/>
    </font>
    <font>
      <sz val="7"/>
      <color indexed="8"/>
      <name val="Arial"/>
      <family val="2"/>
    </font>
    <font>
      <b/>
      <sz val="4"/>
      <name val="Calibri"/>
      <family val="2"/>
      <scheme val="minor"/>
    </font>
    <font>
      <sz val="4"/>
      <name val="Calibri"/>
      <family val="2"/>
      <scheme val="minor"/>
    </font>
    <font>
      <b/>
      <sz val="8"/>
      <color indexed="8"/>
      <name val="Arial"/>
      <family val="2"/>
    </font>
    <font>
      <sz val="10"/>
      <color theme="0"/>
      <name val="Arial"/>
      <family val="2"/>
    </font>
    <font>
      <b/>
      <sz val="9"/>
      <color rgb="FF002060"/>
      <name val="Arial"/>
      <family val="2"/>
    </font>
    <font>
      <sz val="9"/>
      <color rgb="FF002060"/>
      <name val="Arial"/>
      <family val="2"/>
    </font>
    <font>
      <sz val="5"/>
      <name val="Arial"/>
      <family val="2"/>
    </font>
    <font>
      <sz val="10"/>
      <name val="Arial"/>
      <family val="2"/>
    </font>
    <font>
      <sz val="9"/>
      <color theme="1"/>
      <name val="Calibri"/>
      <family val="2"/>
      <scheme val="minor"/>
    </font>
    <font>
      <sz val="10"/>
      <name val="Calibri"/>
      <family val="2"/>
      <scheme val="minor"/>
    </font>
    <font>
      <sz val="9"/>
      <name val="Calibri"/>
      <family val="2"/>
      <scheme val="minor"/>
    </font>
    <font>
      <sz val="10"/>
      <color rgb="FF000000"/>
      <name val="Arial"/>
      <family val="2"/>
    </font>
    <font>
      <sz val="11"/>
      <color rgb="FF000000"/>
      <name val="Calibri"/>
      <family val="2"/>
    </font>
    <font>
      <sz val="10"/>
      <color rgb="FF000000"/>
      <name val="Arial Narrow"/>
      <family val="2"/>
    </font>
    <font>
      <sz val="8.5"/>
      <color theme="1"/>
      <name val="Arial"/>
      <family val="2"/>
    </font>
    <font>
      <sz val="8.5"/>
      <name val="Arial"/>
      <family val="2"/>
    </font>
    <font>
      <sz val="8"/>
      <color theme="1"/>
      <name val="Calibri"/>
      <family val="2"/>
      <scheme val="minor"/>
    </font>
    <font>
      <sz val="8.5"/>
      <color theme="1"/>
      <name val="Calibri"/>
      <family val="2"/>
      <scheme val="minor"/>
    </font>
    <font>
      <sz val="10"/>
      <name val="Arial Unicode MS"/>
      <family val="2"/>
    </font>
    <font>
      <sz val="9"/>
      <name val="Century Gothic"/>
      <family val="2"/>
    </font>
    <font>
      <sz val="9"/>
      <color theme="0"/>
      <name val="Arial"/>
      <family val="2"/>
    </font>
    <font>
      <sz val="8"/>
      <color rgb="FF000000"/>
      <name val="Arial"/>
      <family val="2"/>
    </font>
    <font>
      <sz val="9"/>
      <color indexed="81"/>
      <name val="Tahoma"/>
      <family val="2"/>
    </font>
    <font>
      <b/>
      <sz val="9"/>
      <color theme="1"/>
      <name val="Century Gothic"/>
      <family val="2"/>
    </font>
    <font>
      <b/>
      <sz val="9"/>
      <name val="Century Gothic"/>
      <family val="2"/>
    </font>
    <font>
      <sz val="9"/>
      <color theme="1"/>
      <name val="Century Gothic"/>
      <family val="2"/>
    </font>
    <font>
      <sz val="9"/>
      <color rgb="FFFF0000"/>
      <name val="Century Gothic"/>
      <family val="2"/>
    </font>
    <font>
      <b/>
      <sz val="9"/>
      <color rgb="FFFF0000"/>
      <name val="Century Gothic"/>
      <family val="2"/>
    </font>
    <font>
      <sz val="8"/>
      <color rgb="FFFF0000"/>
      <name val="Arial"/>
      <family val="2"/>
    </font>
    <font>
      <sz val="8"/>
      <name val="Century Gothic"/>
      <family val="2"/>
    </font>
    <font>
      <sz val="3"/>
      <name val="Arial"/>
      <family val="2"/>
    </font>
    <font>
      <b/>
      <sz val="5"/>
      <name val="Arial"/>
      <family val="2"/>
    </font>
    <font>
      <b/>
      <sz val="9"/>
      <color theme="1"/>
      <name val="Arial"/>
      <family val="2"/>
    </font>
    <font>
      <sz val="9"/>
      <color rgb="FF000000"/>
      <name val="Calibri"/>
      <family val="2"/>
      <scheme val="minor"/>
    </font>
    <font>
      <b/>
      <sz val="9"/>
      <name val="Calibri"/>
      <family val="2"/>
      <scheme val="minor"/>
    </font>
    <font>
      <sz val="9"/>
      <color indexed="8"/>
      <name val="Calibri"/>
      <family val="2"/>
      <scheme val="minor"/>
    </font>
    <font>
      <sz val="11"/>
      <name val="Calibri"/>
      <family val="2"/>
      <scheme val="minor"/>
    </font>
    <font>
      <sz val="8.5"/>
      <name val="Calibri"/>
      <family val="2"/>
      <scheme val="minor"/>
    </font>
    <font>
      <sz val="8.5"/>
      <color rgb="FF000000"/>
      <name val="Calibri"/>
      <family val="2"/>
      <scheme val="minor"/>
    </font>
    <font>
      <b/>
      <sz val="9"/>
      <color indexed="81"/>
      <name val="Tahoma"/>
      <family val="2"/>
    </font>
    <font>
      <sz val="10"/>
      <color indexed="8"/>
      <name val="Calibri"/>
      <family val="2"/>
      <scheme val="minor"/>
    </font>
    <font>
      <b/>
      <sz val="8"/>
      <name val="Century Gothic"/>
      <family val="2"/>
    </font>
    <font>
      <sz val="8"/>
      <color theme="1"/>
      <name val="Century Gothic"/>
      <family val="2"/>
    </font>
    <font>
      <vertAlign val="superscript"/>
      <sz val="8"/>
      <name val="Century Gothic"/>
      <family val="2"/>
    </font>
    <font>
      <sz val="8"/>
      <color rgb="FF000000"/>
      <name val="Century Gothic"/>
      <family val="2"/>
    </font>
    <font>
      <sz val="8"/>
      <color indexed="8"/>
      <name val="Century Gothic"/>
      <family val="2"/>
    </font>
    <font>
      <sz val="8"/>
      <color theme="0"/>
      <name val="Century Gothic"/>
      <family val="2"/>
    </font>
    <font>
      <b/>
      <sz val="8"/>
      <color indexed="8"/>
      <name val="Century Gothic"/>
      <family val="2"/>
    </font>
    <font>
      <sz val="11"/>
      <color theme="1"/>
      <name val="Arial"/>
      <family val="2"/>
    </font>
  </fonts>
  <fills count="20">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9"/>
        <bgColor indexed="64"/>
      </patternFill>
    </fill>
    <fill>
      <patternFill patternType="solid">
        <fgColor theme="1"/>
        <bgColor indexed="64"/>
      </patternFill>
    </fill>
    <fill>
      <patternFill patternType="solid">
        <fgColor theme="2" tint="-9.9978637043366805E-2"/>
        <bgColor indexed="64"/>
      </patternFill>
    </fill>
    <fill>
      <patternFill patternType="solid">
        <fgColor rgb="FFFFC7CE"/>
      </patternFill>
    </fill>
    <fill>
      <patternFill patternType="solid">
        <fgColor theme="2"/>
        <bgColor indexed="64"/>
      </patternFill>
    </fill>
    <fill>
      <patternFill patternType="solid">
        <fgColor theme="4" tint="0.79998168889431442"/>
        <bgColor indexed="64"/>
      </patternFill>
    </fill>
    <fill>
      <patternFill patternType="solid">
        <fgColor rgb="FFFFFFFF"/>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indexed="9"/>
        <bgColor indexed="64"/>
      </patternFill>
    </fill>
    <fill>
      <patternFill patternType="solid">
        <fgColor theme="0" tint="-0.34998626667073579"/>
        <bgColor indexed="64"/>
      </patternFill>
    </fill>
    <fill>
      <patternFill patternType="solid">
        <fgColor theme="6" tint="0.59999389629810485"/>
        <bgColor indexed="64"/>
      </patternFill>
    </fill>
  </fills>
  <borders count="96">
    <border>
      <left/>
      <right/>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medium">
        <color indexed="64"/>
      </left>
      <right style="medium">
        <color indexed="64"/>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ck">
        <color indexed="64"/>
      </bottom>
      <diagonal/>
    </border>
    <border>
      <left style="medium">
        <color indexed="64"/>
      </left>
      <right style="medium">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style="thin">
        <color indexed="64"/>
      </left>
      <right style="thin">
        <color indexed="64"/>
      </right>
      <top/>
      <bottom style="thick">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rgb="FF005D93"/>
      </right>
      <top style="thin">
        <color rgb="FF005D93"/>
      </top>
      <bottom style="thin">
        <color rgb="FF005D93"/>
      </bottom>
      <diagonal/>
    </border>
    <border>
      <left style="medium">
        <color indexed="64"/>
      </left>
      <right/>
      <top style="thin">
        <color rgb="FF005D93"/>
      </top>
      <bottom style="thin">
        <color rgb="FF005D93"/>
      </bottom>
      <diagonal/>
    </border>
    <border>
      <left/>
      <right/>
      <top style="thin">
        <color indexed="64"/>
      </top>
      <bottom style="medium">
        <color indexed="64"/>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indexed="64"/>
      </top>
      <bottom/>
      <diagonal/>
    </border>
  </borders>
  <cellStyleXfs count="31">
    <xf numFmtId="0" fontId="0" fillId="0" borderId="0"/>
    <xf numFmtId="0" fontId="5" fillId="0" borderId="0"/>
    <xf numFmtId="0" fontId="5" fillId="0" borderId="0"/>
    <xf numFmtId="49" fontId="7" fillId="0" borderId="0"/>
    <xf numFmtId="0" fontId="2" fillId="0" borderId="0"/>
    <xf numFmtId="43" fontId="20" fillId="0" borderId="0" applyFont="0" applyFill="0" applyBorder="0" applyAlignment="0" applyProtection="0"/>
    <xf numFmtId="9" fontId="20" fillId="0" borderId="0" applyFont="0" applyFill="0" applyBorder="0" applyAlignment="0" applyProtection="0"/>
    <xf numFmtId="0" fontId="2" fillId="0" borderId="0"/>
    <xf numFmtId="0" fontId="28" fillId="11" borderId="0" applyNumberFormat="0" applyBorder="0" applyAlignment="0" applyProtection="0"/>
    <xf numFmtId="44" fontId="41" fillId="0" borderId="0" applyFont="0" applyFill="0" applyBorder="0" applyAlignment="0" applyProtection="0"/>
    <xf numFmtId="43" fontId="41" fillId="0" borderId="0" applyFont="0" applyFill="0" applyBorder="0" applyAlignment="0" applyProtection="0"/>
    <xf numFmtId="0" fontId="2" fillId="0" borderId="0"/>
    <xf numFmtId="0" fontId="45" fillId="0" borderId="0" applyNumberFormat="0" applyBorder="0" applyProtection="0"/>
    <xf numFmtId="0" fontId="45" fillId="0" borderId="0" applyNumberFormat="0" applyBorder="0" applyProtection="0"/>
    <xf numFmtId="0" fontId="46" fillId="0" borderId="0" applyNumberFormat="0" applyFont="0" applyBorder="0" applyProtection="0"/>
    <xf numFmtId="0" fontId="47" fillId="0" borderId="0" applyNumberFormat="0" applyBorder="0" applyProtection="0"/>
    <xf numFmtId="0" fontId="45" fillId="0" borderId="0" applyNumberFormat="0" applyBorder="0" applyProtection="0"/>
    <xf numFmtId="174" fontId="2" fillId="0" borderId="0" applyFont="0" applyFill="0" applyBorder="0" applyAlignment="0" applyProtection="0"/>
    <xf numFmtId="0" fontId="2" fillId="0" borderId="0"/>
    <xf numFmtId="0" fontId="1" fillId="0" borderId="0"/>
    <xf numFmtId="0" fontId="2" fillId="0" borderId="0"/>
    <xf numFmtId="0" fontId="52" fillId="0" borderId="0"/>
    <xf numFmtId="176" fontId="2" fillId="0" borderId="0" applyFont="0" applyFill="0" applyBorder="0" applyAlignment="0" applyProtection="0"/>
    <xf numFmtId="176" fontId="2" fillId="0" borderId="0" applyFont="0" applyFill="0" applyBorder="0" applyAlignment="0" applyProtection="0"/>
    <xf numFmtId="0" fontId="2" fillId="0" borderId="0"/>
    <xf numFmtId="0" fontId="2" fillId="0" borderId="0"/>
    <xf numFmtId="0" fontId="2" fillId="0" borderId="0"/>
    <xf numFmtId="176" fontId="1" fillId="0" borderId="0" applyFont="0" applyFill="0" applyBorder="0" applyAlignment="0" applyProtection="0"/>
    <xf numFmtId="0" fontId="1" fillId="0" borderId="0"/>
    <xf numFmtId="181" fontId="2" fillId="0" borderId="0" applyFont="0" applyFill="0" applyBorder="0" applyAlignment="0" applyProtection="0"/>
    <xf numFmtId="183" fontId="2" fillId="0" borderId="0" applyFont="0" applyFill="0" applyBorder="0" applyAlignment="0" applyProtection="0"/>
  </cellStyleXfs>
  <cellXfs count="2086">
    <xf numFmtId="0" fontId="0" fillId="0" borderId="0" xfId="0"/>
    <xf numFmtId="0" fontId="9" fillId="0" borderId="0" xfId="2" applyFont="1" applyFill="1" applyBorder="1" applyAlignment="1">
      <alignment horizontal="left" vertical="center"/>
    </xf>
    <xf numFmtId="0" fontId="10" fillId="0" borderId="0" xfId="2" applyFont="1" applyFill="1" applyBorder="1" applyAlignment="1">
      <alignment vertical="center"/>
    </xf>
    <xf numFmtId="0" fontId="9" fillId="0" borderId="0" xfId="0" applyFont="1"/>
    <xf numFmtId="0" fontId="9" fillId="0" borderId="0" xfId="0" applyFont="1" applyFill="1"/>
    <xf numFmtId="0" fontId="10" fillId="0" borderId="0" xfId="0" applyFont="1" applyFill="1" applyAlignment="1">
      <alignment horizontal="center"/>
    </xf>
    <xf numFmtId="0" fontId="9" fillId="0" borderId="0" xfId="0" applyFont="1" applyFill="1" applyBorder="1"/>
    <xf numFmtId="0" fontId="9" fillId="0" borderId="0" xfId="0" applyFont="1" applyBorder="1"/>
    <xf numFmtId="49" fontId="9" fillId="0" borderId="0" xfId="3" applyFont="1" applyAlignment="1">
      <alignment vertical="center"/>
    </xf>
    <xf numFmtId="49" fontId="12" fillId="0" borderId="0" xfId="1" quotePrefix="1" applyNumberFormat="1" applyFont="1" applyFill="1" applyAlignment="1">
      <alignment horizontal="left" vertical="center"/>
    </xf>
    <xf numFmtId="49" fontId="9" fillId="0" borderId="0" xfId="1" applyNumberFormat="1" applyFont="1" applyFill="1" applyAlignment="1">
      <alignment horizontal="left" vertical="center"/>
    </xf>
    <xf numFmtId="0" fontId="9" fillId="0" borderId="0" xfId="2" applyFont="1" applyAlignment="1">
      <alignment vertical="center"/>
    </xf>
    <xf numFmtId="0" fontId="10" fillId="0" borderId="0" xfId="2" applyFont="1" applyFill="1" applyBorder="1" applyAlignment="1">
      <alignment horizontal="center" vertical="center"/>
    </xf>
    <xf numFmtId="0" fontId="9" fillId="0" borderId="0" xfId="2" applyFont="1" applyBorder="1" applyAlignment="1">
      <alignment vertical="center"/>
    </xf>
    <xf numFmtId="0" fontId="10" fillId="2" borderId="11" xfId="2" applyFont="1" applyFill="1" applyBorder="1" applyAlignment="1">
      <alignment horizontal="center" vertical="center"/>
    </xf>
    <xf numFmtId="0" fontId="9" fillId="0" borderId="14" xfId="2" applyFont="1" applyBorder="1" applyAlignment="1">
      <alignment horizontal="center" vertical="center"/>
    </xf>
    <xf numFmtId="0" fontId="9" fillId="0" borderId="4" xfId="2" applyFont="1" applyBorder="1" applyAlignment="1">
      <alignment vertical="center"/>
    </xf>
    <xf numFmtId="0" fontId="10" fillId="2" borderId="5" xfId="2" applyFont="1" applyFill="1" applyBorder="1" applyAlignment="1">
      <alignment horizontal="center" vertical="center"/>
    </xf>
    <xf numFmtId="0" fontId="10" fillId="2" borderId="42" xfId="2" applyFont="1" applyFill="1" applyBorder="1" applyAlignment="1">
      <alignment vertical="center"/>
    </xf>
    <xf numFmtId="0" fontId="10" fillId="2" borderId="20" xfId="2" applyFont="1" applyFill="1" applyBorder="1" applyAlignment="1">
      <alignment vertical="center"/>
    </xf>
    <xf numFmtId="0" fontId="10" fillId="2" borderId="18" xfId="2" applyFont="1" applyFill="1" applyBorder="1" applyAlignment="1">
      <alignment vertical="center"/>
    </xf>
    <xf numFmtId="0" fontId="10" fillId="2" borderId="43" xfId="2" applyFont="1" applyFill="1" applyBorder="1" applyAlignment="1">
      <alignment vertical="center"/>
    </xf>
    <xf numFmtId="0" fontId="9" fillId="0" borderId="3" xfId="2" applyFont="1" applyBorder="1" applyAlignment="1">
      <alignment horizontal="center" vertical="center"/>
    </xf>
    <xf numFmtId="0" fontId="9" fillId="0" borderId="14" xfId="2" applyFont="1" applyBorder="1" applyAlignment="1">
      <alignment vertical="center"/>
    </xf>
    <xf numFmtId="0" fontId="10" fillId="2" borderId="5" xfId="2" applyFont="1" applyFill="1" applyBorder="1" applyAlignment="1">
      <alignment vertical="center"/>
    </xf>
    <xf numFmtId="0" fontId="9" fillId="0" borderId="14" xfId="2" applyFont="1" applyFill="1" applyBorder="1" applyAlignment="1">
      <alignment horizontal="left" vertical="center"/>
    </xf>
    <xf numFmtId="0" fontId="10" fillId="0" borderId="14" xfId="2" applyFont="1" applyFill="1" applyBorder="1" applyAlignment="1">
      <alignment vertical="center"/>
    </xf>
    <xf numFmtId="0" fontId="10" fillId="2" borderId="7" xfId="2" applyFont="1" applyFill="1" applyBorder="1" applyAlignment="1">
      <alignment horizontal="center" vertical="center"/>
    </xf>
    <xf numFmtId="0" fontId="10" fillId="2" borderId="21" xfId="2" applyFont="1" applyFill="1" applyBorder="1" applyAlignment="1">
      <alignment horizontal="center" vertical="center"/>
    </xf>
    <xf numFmtId="0" fontId="10" fillId="0" borderId="14" xfId="2" applyFont="1" applyFill="1" applyBorder="1" applyAlignment="1">
      <alignment horizontal="left" vertical="center"/>
    </xf>
    <xf numFmtId="0" fontId="10" fillId="0" borderId="26" xfId="2" applyFont="1" applyFill="1" applyBorder="1" applyAlignment="1">
      <alignment vertical="center"/>
    </xf>
    <xf numFmtId="0" fontId="10" fillId="0" borderId="29" xfId="2" applyFont="1" applyFill="1" applyBorder="1" applyAlignment="1">
      <alignment vertical="center"/>
    </xf>
    <xf numFmtId="0" fontId="9" fillId="0" borderId="0" xfId="2" applyFont="1" applyBorder="1" applyAlignment="1">
      <alignment horizontal="center" vertical="center"/>
    </xf>
    <xf numFmtId="0" fontId="10" fillId="2" borderId="8" xfId="2" applyFont="1" applyFill="1" applyBorder="1" applyAlignment="1">
      <alignment horizontal="center" vertical="center"/>
    </xf>
    <xf numFmtId="0" fontId="10" fillId="0" borderId="62" xfId="2" applyFont="1" applyFill="1" applyBorder="1" applyAlignment="1">
      <alignment vertical="center"/>
    </xf>
    <xf numFmtId="0" fontId="9" fillId="0" borderId="8" xfId="2" applyFont="1" applyBorder="1" applyAlignment="1">
      <alignment horizontal="center" vertical="center"/>
    </xf>
    <xf numFmtId="0" fontId="10" fillId="2" borderId="4" xfId="2" applyFont="1" applyFill="1" applyBorder="1" applyAlignment="1">
      <alignment horizontal="center" vertical="center"/>
    </xf>
    <xf numFmtId="0" fontId="10" fillId="0" borderId="27" xfId="2" applyFont="1" applyFill="1" applyBorder="1" applyAlignment="1">
      <alignment vertical="center"/>
    </xf>
    <xf numFmtId="0" fontId="10" fillId="0" borderId="11" xfId="2" applyFont="1" applyBorder="1" applyAlignment="1">
      <alignment horizontal="left" vertical="center"/>
    </xf>
    <xf numFmtId="0" fontId="9" fillId="0" borderId="0" xfId="0" applyFont="1" applyAlignment="1">
      <alignment wrapText="1"/>
    </xf>
    <xf numFmtId="0" fontId="9" fillId="0" borderId="0" xfId="0" applyFont="1" applyAlignment="1">
      <alignment horizontal="center" wrapText="1"/>
    </xf>
    <xf numFmtId="0" fontId="3" fillId="0" borderId="0" xfId="0" applyFont="1"/>
    <xf numFmtId="0" fontId="3" fillId="0" borderId="0" xfId="0" applyFont="1" applyAlignment="1">
      <alignment wrapText="1"/>
    </xf>
    <xf numFmtId="0" fontId="9" fillId="0" borderId="0" xfId="0" applyFont="1"/>
    <xf numFmtId="0" fontId="10" fillId="2" borderId="21" xfId="2" applyFont="1" applyFill="1" applyBorder="1" applyAlignment="1">
      <alignment horizontal="center" vertical="center"/>
    </xf>
    <xf numFmtId="0" fontId="9" fillId="0" borderId="0" xfId="0" applyFont="1"/>
    <xf numFmtId="0" fontId="10" fillId="2" borderId="19" xfId="2" applyFont="1" applyFill="1" applyBorder="1" applyAlignment="1">
      <alignment horizontal="center" vertical="center"/>
    </xf>
    <xf numFmtId="0" fontId="10" fillId="2" borderId="21" xfId="2" applyFont="1" applyFill="1" applyBorder="1" applyAlignment="1">
      <alignment horizontal="center" vertical="center"/>
    </xf>
    <xf numFmtId="0" fontId="10" fillId="2" borderId="20" xfId="2" applyFont="1" applyFill="1" applyBorder="1" applyAlignment="1">
      <alignment horizontal="center" vertical="center"/>
    </xf>
    <xf numFmtId="0" fontId="10" fillId="2" borderId="18" xfId="2" applyFont="1" applyFill="1" applyBorder="1" applyAlignment="1">
      <alignment horizontal="center" vertical="center"/>
    </xf>
    <xf numFmtId="0" fontId="10" fillId="2" borderId="11" xfId="2" applyFont="1" applyFill="1" applyBorder="1" applyAlignment="1">
      <alignment horizontal="center" vertical="center"/>
    </xf>
    <xf numFmtId="0" fontId="8" fillId="5" borderId="0" xfId="0" applyFont="1" applyFill="1" applyBorder="1"/>
    <xf numFmtId="0" fontId="9" fillId="5" borderId="0" xfId="0" applyFont="1" applyFill="1" applyBorder="1"/>
    <xf numFmtId="0" fontId="6" fillId="5" borderId="0" xfId="2" applyFont="1" applyFill="1" applyBorder="1" applyAlignment="1">
      <alignment horizontal="center" vertical="center"/>
    </xf>
    <xf numFmtId="0" fontId="6" fillId="5" borderId="0" xfId="2" applyFont="1" applyFill="1" applyBorder="1" applyAlignment="1">
      <alignment horizontal="center" vertical="center" textRotation="90" wrapText="1"/>
    </xf>
    <xf numFmtId="0" fontId="10" fillId="5" borderId="0" xfId="2" applyFont="1" applyFill="1" applyBorder="1" applyAlignment="1">
      <alignment vertical="center"/>
    </xf>
    <xf numFmtId="0" fontId="8" fillId="5" borderId="0" xfId="0" applyFont="1" applyFill="1"/>
    <xf numFmtId="0" fontId="9" fillId="0" borderId="47" xfId="2" applyFont="1" applyFill="1" applyBorder="1" applyAlignment="1">
      <alignment horizontal="left" vertical="center"/>
    </xf>
    <xf numFmtId="0" fontId="9" fillId="0" borderId="0" xfId="0" applyFont="1"/>
    <xf numFmtId="0" fontId="10" fillId="5" borderId="0" xfId="2" applyFont="1" applyFill="1" applyAlignment="1">
      <alignment vertical="center"/>
    </xf>
    <xf numFmtId="0" fontId="8" fillId="4" borderId="0" xfId="0" applyFont="1" applyFill="1" applyAlignment="1">
      <alignment vertical="center"/>
    </xf>
    <xf numFmtId="0" fontId="15" fillId="4" borderId="0" xfId="0" applyFont="1" applyFill="1" applyAlignment="1">
      <alignment vertical="center" wrapText="1"/>
    </xf>
    <xf numFmtId="0" fontId="15" fillId="4" borderId="0" xfId="0" applyFont="1" applyFill="1" applyAlignment="1">
      <alignment vertical="center"/>
    </xf>
    <xf numFmtId="0" fontId="0" fillId="0" borderId="0" xfId="0" applyAlignment="1">
      <alignment vertical="center"/>
    </xf>
    <xf numFmtId="0" fontId="0" fillId="0" borderId="0" xfId="0" applyAlignment="1">
      <alignment vertical="center" wrapText="1"/>
    </xf>
    <xf numFmtId="0" fontId="4" fillId="0" borderId="0" xfId="0" applyFont="1" applyAlignment="1">
      <alignment vertical="center"/>
    </xf>
    <xf numFmtId="0" fontId="15" fillId="0" borderId="0" xfId="0" applyFont="1" applyFill="1" applyAlignment="1">
      <alignment vertical="center"/>
    </xf>
    <xf numFmtId="0" fontId="0" fillId="0" borderId="0" xfId="0" applyFill="1" applyAlignment="1">
      <alignment vertical="center"/>
    </xf>
    <xf numFmtId="0" fontId="9" fillId="0" borderId="0" xfId="0" applyFont="1"/>
    <xf numFmtId="0" fontId="10" fillId="0" borderId="0" xfId="2" applyFont="1" applyFill="1" applyAlignment="1">
      <alignment vertical="center"/>
    </xf>
    <xf numFmtId="0" fontId="8" fillId="0" borderId="0" xfId="0" applyFont="1" applyFill="1"/>
    <xf numFmtId="0" fontId="8" fillId="0" borderId="0" xfId="2" applyFont="1" applyFill="1" applyAlignment="1">
      <alignment vertical="center"/>
    </xf>
    <xf numFmtId="0" fontId="15" fillId="0" borderId="0" xfId="0" applyFont="1" applyFill="1"/>
    <xf numFmtId="0" fontId="15" fillId="0" borderId="0" xfId="0" applyFont="1" applyFill="1" applyBorder="1"/>
    <xf numFmtId="49" fontId="8" fillId="0" borderId="0" xfId="3" applyFont="1" applyFill="1" applyAlignment="1">
      <alignment vertical="center"/>
    </xf>
    <xf numFmtId="49" fontId="8" fillId="0" borderId="0" xfId="3" applyFont="1" applyFill="1" applyBorder="1" applyAlignment="1">
      <alignment vertical="center"/>
    </xf>
    <xf numFmtId="0" fontId="6" fillId="0" borderId="0" xfId="0" applyFont="1" applyFill="1" applyAlignment="1">
      <alignment horizontal="left"/>
    </xf>
    <xf numFmtId="0" fontId="6" fillId="0" borderId="0" xfId="2" applyFont="1" applyFill="1" applyAlignment="1">
      <alignment vertical="center"/>
    </xf>
    <xf numFmtId="0" fontId="3" fillId="0" borderId="0" xfId="0" applyFont="1" applyAlignment="1">
      <alignment horizontal="justify" vertical="center" wrapText="1"/>
    </xf>
    <xf numFmtId="0" fontId="17" fillId="0" borderId="0" xfId="0" applyFont="1" applyFill="1"/>
    <xf numFmtId="0" fontId="17" fillId="0" borderId="0" xfId="0" applyFont="1" applyFill="1" applyAlignment="1"/>
    <xf numFmtId="0" fontId="17" fillId="0" borderId="0" xfId="2" applyFont="1" applyFill="1" applyAlignment="1">
      <alignment vertical="center"/>
    </xf>
    <xf numFmtId="0" fontId="16" fillId="0" borderId="0" xfId="0" applyFont="1" applyFill="1"/>
    <xf numFmtId="0" fontId="16" fillId="0" borderId="0" xfId="0" applyFont="1"/>
    <xf numFmtId="0" fontId="17" fillId="0" borderId="0" xfId="0" applyFont="1"/>
    <xf numFmtId="0" fontId="16" fillId="0" borderId="0" xfId="0" applyFont="1" applyAlignment="1">
      <alignment vertical="center" wrapText="1"/>
    </xf>
    <xf numFmtId="0" fontId="16" fillId="0" borderId="0" xfId="0" applyFont="1" applyAlignment="1">
      <alignment wrapText="1"/>
    </xf>
    <xf numFmtId="49" fontId="17" fillId="0" borderId="0" xfId="3" applyFont="1" applyBorder="1" applyAlignment="1">
      <alignment horizontal="left" vertical="center"/>
    </xf>
    <xf numFmtId="3" fontId="16" fillId="0" borderId="0" xfId="3" applyNumberFormat="1" applyFont="1" applyBorder="1" applyAlignment="1">
      <alignment vertical="center"/>
    </xf>
    <xf numFmtId="3" fontId="16" fillId="0" borderId="0" xfId="3" applyNumberFormat="1" applyFont="1" applyAlignment="1">
      <alignment vertical="center"/>
    </xf>
    <xf numFmtId="3" fontId="16" fillId="0" borderId="0" xfId="3" applyNumberFormat="1" applyFont="1" applyAlignment="1">
      <alignment horizontal="right" vertical="center"/>
    </xf>
    <xf numFmtId="3" fontId="16" fillId="0" borderId="14" xfId="0" applyNumberFormat="1" applyFont="1" applyBorder="1"/>
    <xf numFmtId="3" fontId="16" fillId="0" borderId="0" xfId="0" applyNumberFormat="1" applyFont="1" applyBorder="1"/>
    <xf numFmtId="3" fontId="16" fillId="0" borderId="4" xfId="0" applyNumberFormat="1" applyFont="1" applyBorder="1"/>
    <xf numFmtId="3" fontId="16" fillId="0" borderId="0" xfId="0" applyNumberFormat="1" applyFont="1" applyBorder="1" applyAlignment="1"/>
    <xf numFmtId="3" fontId="16" fillId="0" borderId="14" xfId="0" applyNumberFormat="1" applyFont="1" applyBorder="1" applyAlignment="1"/>
    <xf numFmtId="0" fontId="16" fillId="0" borderId="11" xfId="0" applyFont="1" applyBorder="1"/>
    <xf numFmtId="0" fontId="17" fillId="0" borderId="0" xfId="0" applyFont="1" applyAlignment="1">
      <alignment horizontal="center" vertical="center" textRotation="90"/>
    </xf>
    <xf numFmtId="0" fontId="17" fillId="0" borderId="0" xfId="0" applyFont="1" applyFill="1" applyAlignment="1">
      <alignment horizontal="center" vertical="center" wrapText="1"/>
    </xf>
    <xf numFmtId="0" fontId="16" fillId="0" borderId="14" xfId="0" applyFont="1" applyBorder="1"/>
    <xf numFmtId="3" fontId="16" fillId="0" borderId="4" xfId="0" applyNumberFormat="1" applyFont="1" applyBorder="1" applyAlignment="1"/>
    <xf numFmtId="0" fontId="16" fillId="0" borderId="0" xfId="0" applyFont="1" applyBorder="1"/>
    <xf numFmtId="49" fontId="17" fillId="0" borderId="19" xfId="3" applyFont="1" applyBorder="1" applyAlignment="1">
      <alignment horizontal="left" vertical="center"/>
    </xf>
    <xf numFmtId="0" fontId="4" fillId="0" borderId="0" xfId="0" applyFont="1" applyAlignment="1">
      <alignment horizontal="center" vertical="center"/>
    </xf>
    <xf numFmtId="0" fontId="2" fillId="0" borderId="28" xfId="0" applyFont="1" applyFill="1" applyBorder="1" applyAlignment="1">
      <alignment horizontal="left" indent="2"/>
    </xf>
    <xf numFmtId="0" fontId="2" fillId="0" borderId="28" xfId="0" applyFont="1" applyFill="1" applyBorder="1"/>
    <xf numFmtId="0" fontId="2" fillId="0" borderId="0" xfId="0" applyFont="1" applyFill="1"/>
    <xf numFmtId="0" fontId="4" fillId="6" borderId="28" xfId="0" applyFont="1" applyFill="1" applyBorder="1"/>
    <xf numFmtId="0" fontId="2" fillId="0" borderId="0" xfId="0" applyFont="1" applyFill="1" applyBorder="1"/>
    <xf numFmtId="0" fontId="4" fillId="6" borderId="28" xfId="0" applyFont="1" applyFill="1" applyBorder="1" applyAlignment="1">
      <alignment horizontal="right" vertical="center"/>
    </xf>
    <xf numFmtId="0" fontId="2" fillId="0" borderId="0" xfId="0" applyFont="1" applyFill="1" applyAlignment="1">
      <alignment vertical="center"/>
    </xf>
    <xf numFmtId="0" fontId="4" fillId="6" borderId="28" xfId="0" applyFont="1" applyFill="1" applyBorder="1" applyAlignment="1">
      <alignment horizontal="right" vertical="center" indent="2"/>
    </xf>
    <xf numFmtId="0" fontId="16" fillId="0" borderId="0" xfId="0" applyFont="1"/>
    <xf numFmtId="0" fontId="4" fillId="7" borderId="28" xfId="0" applyFont="1" applyFill="1" applyBorder="1" applyAlignment="1">
      <alignment horizontal="center" vertical="center" wrapText="1"/>
    </xf>
    <xf numFmtId="0" fontId="4" fillId="7" borderId="28" xfId="0" applyFont="1" applyFill="1" applyBorder="1" applyAlignment="1">
      <alignment horizontal="center" vertical="center"/>
    </xf>
    <xf numFmtId="0" fontId="6" fillId="7" borderId="32" xfId="0" applyFont="1" applyFill="1" applyBorder="1" applyAlignment="1">
      <alignment horizontal="center" vertical="center" wrapText="1"/>
    </xf>
    <xf numFmtId="0" fontId="17" fillId="7" borderId="18" xfId="0" applyFont="1" applyFill="1" applyBorder="1" applyAlignment="1">
      <alignment horizontal="center" vertical="center" textRotation="90" wrapText="1"/>
    </xf>
    <xf numFmtId="0" fontId="17" fillId="7" borderId="5" xfId="0" applyFont="1" applyFill="1" applyBorder="1" applyAlignment="1">
      <alignment horizontal="center" vertical="center" textRotation="90" wrapText="1"/>
    </xf>
    <xf numFmtId="0" fontId="17" fillId="7" borderId="20" xfId="0" applyFont="1" applyFill="1" applyBorder="1" applyAlignment="1">
      <alignment horizontal="center" vertical="center" textRotation="90" wrapText="1"/>
    </xf>
    <xf numFmtId="49" fontId="13" fillId="7" borderId="38" xfId="3" applyFont="1" applyFill="1" applyBorder="1" applyAlignment="1">
      <alignment horizontal="center" textRotation="90" wrapText="1"/>
    </xf>
    <xf numFmtId="0" fontId="6" fillId="7" borderId="65" xfId="2" applyFont="1" applyFill="1" applyBorder="1" applyAlignment="1">
      <alignment horizontal="center" vertical="center"/>
    </xf>
    <xf numFmtId="0" fontId="6" fillId="7" borderId="47" xfId="2" applyFont="1" applyFill="1" applyBorder="1" applyAlignment="1">
      <alignment horizontal="center" vertical="center" wrapText="1"/>
    </xf>
    <xf numFmtId="0" fontId="3" fillId="7" borderId="27" xfId="2" applyFont="1" applyFill="1" applyBorder="1" applyAlignment="1">
      <alignment horizontal="center" vertical="center" textRotation="90" wrapText="1"/>
    </xf>
    <xf numFmtId="0" fontId="3" fillId="7" borderId="28" xfId="2" applyFont="1" applyFill="1" applyBorder="1" applyAlignment="1">
      <alignment horizontal="center" vertical="center" textRotation="90" wrapText="1"/>
    </xf>
    <xf numFmtId="0" fontId="6" fillId="7" borderId="28" xfId="2" applyFont="1" applyFill="1" applyBorder="1" applyAlignment="1">
      <alignment horizontal="center" vertical="center" textRotation="90" wrapText="1"/>
    </xf>
    <xf numFmtId="0" fontId="6" fillId="7" borderId="1" xfId="2" applyFont="1" applyFill="1" applyBorder="1" applyAlignment="1">
      <alignment horizontal="center" vertical="center" textRotation="90" wrapText="1"/>
    </xf>
    <xf numFmtId="0" fontId="6" fillId="7" borderId="29" xfId="2" applyFont="1" applyFill="1" applyBorder="1" applyAlignment="1">
      <alignment horizontal="center" vertical="center" textRotation="90" wrapText="1"/>
    </xf>
    <xf numFmtId="0" fontId="10" fillId="7" borderId="12" xfId="2" applyFont="1" applyFill="1" applyBorder="1" applyAlignment="1">
      <alignment horizontal="center" vertical="center"/>
    </xf>
    <xf numFmtId="0" fontId="10" fillId="7" borderId="21" xfId="2" applyFont="1" applyFill="1" applyBorder="1" applyAlignment="1">
      <alignment horizontal="center" vertical="center" wrapText="1"/>
    </xf>
    <xf numFmtId="0" fontId="10" fillId="7" borderId="61" xfId="2" applyFont="1" applyFill="1" applyBorder="1" applyAlignment="1">
      <alignment horizontal="center" vertical="center" wrapText="1"/>
    </xf>
    <xf numFmtId="0" fontId="10" fillId="7" borderId="12" xfId="0" applyFont="1" applyFill="1" applyBorder="1" applyAlignment="1">
      <alignment horizontal="center" vertical="center" textRotation="90" wrapText="1"/>
    </xf>
    <xf numFmtId="0" fontId="10" fillId="7" borderId="13" xfId="0" applyFont="1" applyFill="1" applyBorder="1" applyAlignment="1">
      <alignment horizontal="center" vertical="center" textRotation="90" wrapText="1"/>
    </xf>
    <xf numFmtId="0" fontId="10" fillId="7" borderId="50" xfId="0" applyFont="1" applyFill="1" applyBorder="1" applyAlignment="1">
      <alignment horizontal="center" vertical="center" textRotation="90" wrapText="1"/>
    </xf>
    <xf numFmtId="0" fontId="10" fillId="7" borderId="55" xfId="0" applyFont="1" applyFill="1" applyBorder="1" applyAlignment="1">
      <alignment horizontal="center" vertical="center" textRotation="90" wrapText="1"/>
    </xf>
    <xf numFmtId="0" fontId="10" fillId="7" borderId="60" xfId="0" applyFont="1" applyFill="1" applyBorder="1" applyAlignment="1">
      <alignment horizontal="center" vertical="center" textRotation="90" wrapText="1"/>
    </xf>
    <xf numFmtId="0" fontId="10" fillId="7" borderId="21" xfId="0" applyFont="1" applyFill="1" applyBorder="1" applyAlignment="1">
      <alignment horizontal="center" vertical="center" textRotation="90" wrapText="1"/>
    </xf>
    <xf numFmtId="0" fontId="10" fillId="7" borderId="14" xfId="0" applyFont="1" applyFill="1" applyBorder="1" applyAlignment="1">
      <alignment horizontal="center" vertical="center" textRotation="90" wrapText="1"/>
    </xf>
    <xf numFmtId="0" fontId="10" fillId="7" borderId="5" xfId="2" applyFont="1" applyFill="1" applyBorder="1" applyAlignment="1">
      <alignment horizontal="center" vertical="center"/>
    </xf>
    <xf numFmtId="0" fontId="10" fillId="7" borderId="18" xfId="2" applyFont="1" applyFill="1" applyBorder="1" applyAlignment="1">
      <alignment horizontal="center" vertical="center" wrapText="1"/>
    </xf>
    <xf numFmtId="0" fontId="10" fillId="7" borderId="15" xfId="0" applyFont="1" applyFill="1" applyBorder="1" applyAlignment="1">
      <alignment horizontal="center" vertical="center" wrapText="1"/>
    </xf>
    <xf numFmtId="164" fontId="10" fillId="7" borderId="16" xfId="0" applyNumberFormat="1" applyFont="1" applyFill="1" applyBorder="1" applyAlignment="1">
      <alignment horizontal="center" vertical="center" textRotation="90" wrapText="1"/>
    </xf>
    <xf numFmtId="164" fontId="10" fillId="7" borderId="43" xfId="0" applyNumberFormat="1" applyFont="1" applyFill="1" applyBorder="1" applyAlignment="1">
      <alignment horizontal="center" vertical="center" textRotation="90" wrapText="1"/>
    </xf>
    <xf numFmtId="0" fontId="3" fillId="0" borderId="0" xfId="0" applyFont="1" applyFill="1" applyAlignment="1">
      <alignment horizontal="centerContinuous"/>
    </xf>
    <xf numFmtId="0" fontId="3" fillId="0" borderId="0" xfId="0" applyFont="1" applyFill="1"/>
    <xf numFmtId="49" fontId="3" fillId="0" borderId="2" xfId="3" applyFont="1" applyBorder="1" applyAlignment="1">
      <alignment vertical="center"/>
    </xf>
    <xf numFmtId="49" fontId="3" fillId="0" borderId="63" xfId="3" applyFont="1" applyBorder="1" applyAlignment="1">
      <alignment vertical="center"/>
    </xf>
    <xf numFmtId="49" fontId="6" fillId="2" borderId="19" xfId="3" applyFont="1" applyFill="1" applyBorder="1" applyAlignment="1">
      <alignment horizontal="center" vertical="center"/>
    </xf>
    <xf numFmtId="0" fontId="6" fillId="0" borderId="0" xfId="0" applyFont="1" applyFill="1" applyAlignment="1"/>
    <xf numFmtId="0" fontId="6" fillId="0" borderId="0" xfId="0" quotePrefix="1" applyFont="1" applyFill="1" applyAlignment="1"/>
    <xf numFmtId="0" fontId="6" fillId="7" borderId="42" xfId="0" applyFont="1" applyFill="1" applyBorder="1" applyAlignment="1">
      <alignment horizontal="center" vertical="center" textRotation="90" wrapText="1"/>
    </xf>
    <xf numFmtId="0" fontId="6" fillId="7" borderId="16" xfId="0" applyFont="1" applyFill="1" applyBorder="1" applyAlignment="1">
      <alignment horizontal="center" vertical="center" textRotation="90" wrapText="1"/>
    </xf>
    <xf numFmtId="0" fontId="6" fillId="7" borderId="15" xfId="0" applyFont="1" applyFill="1" applyBorder="1" applyAlignment="1">
      <alignment horizontal="center" vertical="center" textRotation="90" wrapText="1"/>
    </xf>
    <xf numFmtId="0" fontId="6" fillId="7" borderId="18" xfId="0" applyFont="1" applyFill="1" applyBorder="1" applyAlignment="1">
      <alignment horizontal="center" vertical="center" textRotation="90" wrapText="1"/>
    </xf>
    <xf numFmtId="0" fontId="6" fillId="0" borderId="60" xfId="0" applyFont="1" applyBorder="1" applyAlignment="1">
      <alignment horizontal="center"/>
    </xf>
    <xf numFmtId="0" fontId="6" fillId="0" borderId="50" xfId="0" applyFont="1" applyBorder="1" applyAlignment="1">
      <alignment horizontal="center"/>
    </xf>
    <xf numFmtId="0" fontId="6" fillId="0" borderId="13" xfId="0" applyFont="1" applyBorder="1" applyAlignment="1">
      <alignment horizontal="center"/>
    </xf>
    <xf numFmtId="0" fontId="6" fillId="0" borderId="4" xfId="0" applyFont="1" applyBorder="1" applyAlignment="1">
      <alignment horizontal="center"/>
    </xf>
    <xf numFmtId="3" fontId="6" fillId="0" borderId="57" xfId="0" applyNumberFormat="1" applyFont="1" applyBorder="1"/>
    <xf numFmtId="3" fontId="6" fillId="0" borderId="50" xfId="0" applyNumberFormat="1" applyFont="1" applyBorder="1"/>
    <xf numFmtId="3" fontId="6" fillId="0" borderId="13" xfId="0" applyNumberFormat="1" applyFont="1" applyBorder="1"/>
    <xf numFmtId="3" fontId="6" fillId="0" borderId="4" xfId="0" applyNumberFormat="1" applyFont="1" applyBorder="1"/>
    <xf numFmtId="3" fontId="3" fillId="0" borderId="57" xfId="0" applyNumberFormat="1" applyFont="1" applyBorder="1"/>
    <xf numFmtId="3" fontId="3" fillId="0" borderId="50" xfId="0" applyNumberFormat="1" applyFont="1" applyBorder="1"/>
    <xf numFmtId="3" fontId="3" fillId="0" borderId="13" xfId="0" applyNumberFormat="1" applyFont="1" applyBorder="1"/>
    <xf numFmtId="3" fontId="3" fillId="0" borderId="4" xfId="0" applyNumberFormat="1" applyFont="1" applyBorder="1"/>
    <xf numFmtId="0" fontId="3" fillId="0" borderId="3" xfId="0" applyFont="1" applyFill="1" applyBorder="1" applyAlignment="1">
      <alignment wrapText="1"/>
    </xf>
    <xf numFmtId="0" fontId="6" fillId="0" borderId="46" xfId="0" applyFont="1" applyFill="1" applyBorder="1" applyAlignment="1">
      <alignment horizontal="center" wrapText="1"/>
    </xf>
    <xf numFmtId="3" fontId="6" fillId="0" borderId="71" xfId="0" applyNumberFormat="1" applyFont="1" applyFill="1" applyBorder="1"/>
    <xf numFmtId="3" fontId="6" fillId="0" borderId="72" xfId="0" applyNumberFormat="1" applyFont="1" applyFill="1" applyBorder="1"/>
    <xf numFmtId="3" fontId="6" fillId="0" borderId="73" xfId="0" applyNumberFormat="1" applyFont="1" applyFill="1" applyBorder="1"/>
    <xf numFmtId="3" fontId="6" fillId="0" borderId="70" xfId="0" applyNumberFormat="1" applyFont="1" applyFill="1" applyBorder="1"/>
    <xf numFmtId="0" fontId="6" fillId="0" borderId="5" xfId="0" applyFont="1" applyFill="1" applyBorder="1" applyAlignment="1">
      <alignment horizontal="center" wrapText="1"/>
    </xf>
    <xf numFmtId="3" fontId="6" fillId="0" borderId="42" xfId="0" applyNumberFormat="1" applyFont="1" applyFill="1" applyBorder="1"/>
    <xf numFmtId="3" fontId="6" fillId="0" borderId="20" xfId="0" applyNumberFormat="1" applyFont="1" applyFill="1" applyBorder="1"/>
    <xf numFmtId="3" fontId="6" fillId="0" borderId="15" xfId="0" applyNumberFormat="1" applyFont="1" applyFill="1" applyBorder="1"/>
    <xf numFmtId="3" fontId="6" fillId="0" borderId="18" xfId="0" applyNumberFormat="1" applyFont="1" applyFill="1" applyBorder="1"/>
    <xf numFmtId="3" fontId="6" fillId="0" borderId="74" xfId="0" applyNumberFormat="1" applyFont="1" applyFill="1" applyBorder="1"/>
    <xf numFmtId="3" fontId="3" fillId="0" borderId="60" xfId="0" applyNumberFormat="1" applyFont="1" applyFill="1" applyBorder="1"/>
    <xf numFmtId="3" fontId="3" fillId="0" borderId="48" xfId="0" applyNumberFormat="1" applyFont="1" applyFill="1" applyBorder="1"/>
    <xf numFmtId="3" fontId="3" fillId="0" borderId="54" xfId="0" applyNumberFormat="1" applyFont="1" applyFill="1" applyBorder="1"/>
    <xf numFmtId="3" fontId="3" fillId="0" borderId="53" xfId="0" applyNumberFormat="1" applyFont="1" applyFill="1" applyBorder="1"/>
    <xf numFmtId="3" fontId="3" fillId="0" borderId="21" xfId="0" applyNumberFormat="1" applyFont="1" applyFill="1" applyBorder="1"/>
    <xf numFmtId="3" fontId="6" fillId="0" borderId="43" xfId="0" applyNumberFormat="1" applyFont="1" applyFill="1" applyBorder="1"/>
    <xf numFmtId="3" fontId="6" fillId="0" borderId="75" xfId="0" applyNumberFormat="1" applyFont="1" applyFill="1" applyBorder="1"/>
    <xf numFmtId="3" fontId="3" fillId="0" borderId="49" xfId="0" applyNumberFormat="1" applyFont="1" applyFill="1" applyBorder="1"/>
    <xf numFmtId="3" fontId="6" fillId="0" borderId="16" xfId="0" applyNumberFormat="1" applyFont="1" applyFill="1" applyBorder="1"/>
    <xf numFmtId="0" fontId="4" fillId="0" borderId="0" xfId="2" applyFont="1" applyFill="1" applyAlignment="1">
      <alignment vertical="center"/>
    </xf>
    <xf numFmtId="0" fontId="4" fillId="5" borderId="0" xfId="0" applyFont="1" applyFill="1"/>
    <xf numFmtId="0" fontId="0" fillId="5" borderId="0" xfId="0" applyFill="1" applyAlignment="1">
      <alignment horizontal="left" vertical="center" wrapText="1"/>
    </xf>
    <xf numFmtId="0" fontId="0" fillId="0" borderId="0" xfId="0" applyAlignment="1">
      <alignment horizontal="left" vertical="center"/>
    </xf>
    <xf numFmtId="0" fontId="0" fillId="0" borderId="0" xfId="0" applyFill="1" applyAlignment="1">
      <alignment horizontal="left" vertical="center"/>
    </xf>
    <xf numFmtId="0" fontId="4" fillId="6" borderId="35" xfId="0" applyFont="1" applyFill="1" applyBorder="1" applyAlignment="1">
      <alignment horizontal="right" vertical="center"/>
    </xf>
    <xf numFmtId="0" fontId="4" fillId="0" borderId="28" xfId="0" applyFont="1" applyBorder="1" applyAlignment="1">
      <alignment horizontal="left" vertical="center"/>
    </xf>
    <xf numFmtId="0" fontId="2" fillId="0" borderId="0" xfId="0" applyFont="1" applyFill="1" applyAlignment="1">
      <alignment horizontal="left" vertical="center"/>
    </xf>
    <xf numFmtId="3" fontId="2" fillId="0" borderId="28" xfId="0" applyNumberFormat="1" applyFont="1" applyFill="1" applyBorder="1"/>
    <xf numFmtId="3" fontId="4" fillId="6" borderId="28" xfId="0" applyNumberFormat="1" applyFont="1" applyFill="1" applyBorder="1" applyAlignment="1">
      <alignment vertical="center"/>
    </xf>
    <xf numFmtId="0" fontId="2" fillId="0" borderId="28" xfId="0" applyFont="1" applyFill="1" applyBorder="1" applyAlignment="1">
      <alignment wrapText="1"/>
    </xf>
    <xf numFmtId="3" fontId="4" fillId="6" borderId="28" xfId="0" applyNumberFormat="1" applyFont="1" applyFill="1" applyBorder="1"/>
    <xf numFmtId="3" fontId="3" fillId="0" borderId="28" xfId="3" applyNumberFormat="1" applyFont="1" applyBorder="1" applyAlignment="1">
      <alignment horizontal="right" vertical="center"/>
    </xf>
    <xf numFmtId="3" fontId="3" fillId="0" borderId="26" xfId="3" applyNumberFormat="1" applyFont="1" applyBorder="1" applyAlignment="1">
      <alignment horizontal="right" vertical="center"/>
    </xf>
    <xf numFmtId="3" fontId="6" fillId="2" borderId="42" xfId="3" applyNumberFormat="1" applyFont="1" applyFill="1" applyBorder="1" applyAlignment="1">
      <alignment horizontal="right" vertical="center"/>
    </xf>
    <xf numFmtId="3" fontId="6" fillId="2" borderId="16" xfId="3" applyNumberFormat="1" applyFont="1" applyFill="1" applyBorder="1" applyAlignment="1">
      <alignment horizontal="right" vertical="center"/>
    </xf>
    <xf numFmtId="3" fontId="6" fillId="2" borderId="17" xfId="3" applyNumberFormat="1" applyFont="1" applyFill="1" applyBorder="1" applyAlignment="1">
      <alignment horizontal="right" vertical="center"/>
    </xf>
    <xf numFmtId="3" fontId="6" fillId="0" borderId="22" xfId="3" applyNumberFormat="1" applyFont="1" applyBorder="1" applyAlignment="1">
      <alignment horizontal="right" vertical="center"/>
    </xf>
    <xf numFmtId="3" fontId="6" fillId="0" borderId="24" xfId="3" applyNumberFormat="1" applyFont="1" applyBorder="1" applyAlignment="1">
      <alignment horizontal="right" vertical="center"/>
    </xf>
    <xf numFmtId="3" fontId="6" fillId="0" borderId="26" xfId="3" applyNumberFormat="1" applyFont="1" applyBorder="1" applyAlignment="1">
      <alignment horizontal="right" vertical="center"/>
    </xf>
    <xf numFmtId="3" fontId="6" fillId="0" borderId="1" xfId="3" applyNumberFormat="1" applyFont="1" applyBorder="1" applyAlignment="1">
      <alignment horizontal="right" vertical="center"/>
    </xf>
    <xf numFmtId="3" fontId="6" fillId="0" borderId="34" xfId="3" applyNumberFormat="1" applyFont="1" applyBorder="1" applyAlignment="1">
      <alignment horizontal="right" vertical="center"/>
    </xf>
    <xf numFmtId="3" fontId="6" fillId="0" borderId="36" xfId="3" applyNumberFormat="1" applyFont="1" applyBorder="1" applyAlignment="1">
      <alignment horizontal="right" vertical="center"/>
    </xf>
    <xf numFmtId="165" fontId="6" fillId="0" borderId="25" xfId="3" applyNumberFormat="1" applyFont="1" applyBorder="1" applyAlignment="1">
      <alignment horizontal="center" vertical="center"/>
    </xf>
    <xf numFmtId="165" fontId="6" fillId="0" borderId="29" xfId="3" applyNumberFormat="1" applyFont="1" applyBorder="1" applyAlignment="1">
      <alignment horizontal="center" vertical="center"/>
    </xf>
    <xf numFmtId="165" fontId="3" fillId="0" borderId="29" xfId="3" applyNumberFormat="1" applyFont="1" applyBorder="1" applyAlignment="1">
      <alignment horizontal="center" vertical="center"/>
    </xf>
    <xf numFmtId="165" fontId="6" fillId="0" borderId="37" xfId="3" applyNumberFormat="1" applyFont="1" applyBorder="1" applyAlignment="1">
      <alignment horizontal="center" vertical="center"/>
    </xf>
    <xf numFmtId="165" fontId="6" fillId="2" borderId="43" xfId="3" applyNumberFormat="1" applyFont="1" applyFill="1" applyBorder="1" applyAlignment="1">
      <alignment horizontal="center" vertical="center"/>
    </xf>
    <xf numFmtId="49" fontId="6" fillId="2" borderId="19" xfId="3" applyFont="1" applyFill="1" applyBorder="1" applyAlignment="1">
      <alignment horizontal="center" vertical="center" wrapText="1"/>
    </xf>
    <xf numFmtId="0" fontId="21" fillId="0" borderId="0" xfId="0" applyFont="1" applyAlignment="1">
      <alignment horizontal="center" vertical="center" wrapText="1"/>
    </xf>
    <xf numFmtId="49" fontId="3" fillId="0" borderId="14" xfId="3" applyFont="1" applyBorder="1" applyAlignment="1">
      <alignment vertical="center"/>
    </xf>
    <xf numFmtId="49" fontId="3" fillId="0" borderId="69" xfId="3" applyFont="1" applyBorder="1" applyAlignment="1">
      <alignment vertical="center"/>
    </xf>
    <xf numFmtId="3" fontId="3" fillId="0" borderId="22" xfId="3" applyNumberFormat="1" applyFont="1" applyBorder="1" applyAlignment="1">
      <alignment horizontal="right" vertical="center"/>
    </xf>
    <xf numFmtId="3" fontId="3" fillId="0" borderId="23" xfId="3" applyNumberFormat="1" applyFont="1" applyBorder="1" applyAlignment="1">
      <alignment horizontal="right" vertical="center"/>
    </xf>
    <xf numFmtId="3" fontId="3" fillId="0" borderId="34" xfId="3" applyNumberFormat="1" applyFont="1" applyBorder="1" applyAlignment="1">
      <alignment horizontal="right" vertical="center"/>
    </xf>
    <xf numFmtId="3" fontId="3" fillId="0" borderId="35" xfId="3" applyNumberFormat="1" applyFont="1" applyBorder="1" applyAlignment="1">
      <alignment horizontal="right" vertical="center"/>
    </xf>
    <xf numFmtId="3" fontId="0" fillId="0" borderId="28" xfId="0" applyNumberFormat="1" applyBorder="1"/>
    <xf numFmtId="0" fontId="6" fillId="0" borderId="12" xfId="0" applyFont="1" applyBorder="1" applyAlignment="1">
      <alignment horizontal="center"/>
    </xf>
    <xf numFmtId="0" fontId="19" fillId="0" borderId="14" xfId="0" applyFont="1" applyFill="1" applyBorder="1" applyAlignment="1"/>
    <xf numFmtId="0" fontId="6" fillId="0" borderId="14" xfId="0" applyFont="1" applyFill="1" applyBorder="1" applyAlignment="1"/>
    <xf numFmtId="0" fontId="3" fillId="0" borderId="14" xfId="0" applyFont="1" applyFill="1" applyBorder="1" applyAlignment="1">
      <alignment horizontal="left"/>
    </xf>
    <xf numFmtId="0" fontId="3" fillId="0" borderId="14" xfId="0" quotePrefix="1" applyFont="1" applyFill="1" applyBorder="1" applyAlignment="1">
      <alignment horizontal="left"/>
    </xf>
    <xf numFmtId="0" fontId="19" fillId="0" borderId="14" xfId="0" applyFont="1" applyFill="1" applyBorder="1" applyAlignment="1">
      <alignment horizontal="left"/>
    </xf>
    <xf numFmtId="0" fontId="3" fillId="0" borderId="7" xfId="0" applyFont="1" applyBorder="1" applyAlignment="1"/>
    <xf numFmtId="3" fontId="16" fillId="0" borderId="11" xfId="0" applyNumberFormat="1" applyFont="1" applyBorder="1"/>
    <xf numFmtId="3" fontId="16" fillId="0" borderId="5" xfId="0" applyNumberFormat="1" applyFont="1" applyBorder="1"/>
    <xf numFmtId="165" fontId="16" fillId="0" borderId="14" xfId="0" applyNumberFormat="1" applyFont="1" applyBorder="1"/>
    <xf numFmtId="165" fontId="16" fillId="0" borderId="18" xfId="0" applyNumberFormat="1" applyFont="1" applyBorder="1"/>
    <xf numFmtId="0" fontId="16" fillId="0" borderId="14" xfId="0" applyFont="1" applyBorder="1" applyAlignment="1">
      <alignment wrapText="1"/>
    </xf>
    <xf numFmtId="0" fontId="17" fillId="0" borderId="14" xfId="0" applyFont="1" applyBorder="1" applyAlignment="1">
      <alignment wrapText="1"/>
    </xf>
    <xf numFmtId="3" fontId="9" fillId="0" borderId="30" xfId="4" applyNumberFormat="1" applyFont="1" applyBorder="1" applyAlignment="1">
      <alignment vertical="center"/>
    </xf>
    <xf numFmtId="3" fontId="9" fillId="0" borderId="32" xfId="4" applyNumberFormat="1" applyFont="1" applyBorder="1" applyAlignment="1">
      <alignment vertical="center"/>
    </xf>
    <xf numFmtId="3" fontId="9" fillId="0" borderId="31" xfId="4" applyNumberFormat="1" applyFont="1" applyBorder="1" applyAlignment="1">
      <alignment vertical="center"/>
    </xf>
    <xf numFmtId="3" fontId="9" fillId="0" borderId="67" xfId="4" applyNumberFormat="1" applyFont="1" applyBorder="1" applyAlignment="1">
      <alignment vertical="center"/>
    </xf>
    <xf numFmtId="165" fontId="9" fillId="0" borderId="31" xfId="4" applyNumberFormat="1" applyFont="1" applyBorder="1" applyAlignment="1">
      <alignment vertical="center"/>
    </xf>
    <xf numFmtId="3" fontId="9" fillId="0" borderId="26" xfId="4" applyNumberFormat="1" applyFont="1" applyBorder="1" applyAlignment="1">
      <alignment vertical="center"/>
    </xf>
    <xf numFmtId="3" fontId="9" fillId="0" borderId="28" xfId="4" applyNumberFormat="1" applyFont="1" applyBorder="1" applyAlignment="1">
      <alignment vertical="center"/>
    </xf>
    <xf numFmtId="3" fontId="9" fillId="0" borderId="29" xfId="4" applyNumberFormat="1" applyFont="1" applyBorder="1" applyAlignment="1">
      <alignment vertical="center"/>
    </xf>
    <xf numFmtId="3" fontId="9" fillId="0" borderId="27" xfId="4" applyNumberFormat="1" applyFont="1" applyBorder="1" applyAlignment="1">
      <alignment vertical="center"/>
    </xf>
    <xf numFmtId="165" fontId="9" fillId="0" borderId="29" xfId="4" applyNumberFormat="1" applyFont="1" applyBorder="1" applyAlignment="1">
      <alignment vertical="center"/>
    </xf>
    <xf numFmtId="10" fontId="9" fillId="3" borderId="38" xfId="4" applyNumberFormat="1" applyFont="1" applyFill="1" applyBorder="1" applyAlignment="1">
      <alignment vertical="center"/>
    </xf>
    <xf numFmtId="10" fontId="9" fillId="3" borderId="40" xfId="4" applyNumberFormat="1" applyFont="1" applyFill="1" applyBorder="1" applyAlignment="1">
      <alignment vertical="center"/>
    </xf>
    <xf numFmtId="10" fontId="9" fillId="3" borderId="39" xfId="4" applyNumberFormat="1" applyFont="1" applyFill="1" applyBorder="1" applyAlignment="1">
      <alignment vertical="center"/>
    </xf>
    <xf numFmtId="10" fontId="9" fillId="3" borderId="52" xfId="4" applyNumberFormat="1" applyFont="1" applyFill="1" applyBorder="1" applyAlignment="1">
      <alignment vertical="center"/>
    </xf>
    <xf numFmtId="165" fontId="9" fillId="3" borderId="39" xfId="4" applyNumberFormat="1" applyFont="1" applyFill="1" applyBorder="1" applyAlignment="1">
      <alignment vertical="center"/>
    </xf>
    <xf numFmtId="10" fontId="10" fillId="3" borderId="38" xfId="4" applyNumberFormat="1" applyFont="1" applyFill="1" applyBorder="1" applyAlignment="1">
      <alignment vertical="center"/>
    </xf>
    <xf numFmtId="10" fontId="10" fillId="3" borderId="40" xfId="4" applyNumberFormat="1" applyFont="1" applyFill="1" applyBorder="1" applyAlignment="1">
      <alignment vertical="center"/>
    </xf>
    <xf numFmtId="165" fontId="10" fillId="3" borderId="39" xfId="4" applyNumberFormat="1" applyFont="1" applyFill="1" applyBorder="1" applyAlignment="1">
      <alignment vertical="center"/>
    </xf>
    <xf numFmtId="3" fontId="9" fillId="0" borderId="22" xfId="4" applyNumberFormat="1" applyFont="1" applyBorder="1" applyAlignment="1">
      <alignment vertical="center"/>
    </xf>
    <xf numFmtId="3" fontId="9" fillId="0" borderId="23" xfId="4" applyNumberFormat="1" applyFont="1" applyBorder="1" applyAlignment="1">
      <alignment vertical="center"/>
    </xf>
    <xf numFmtId="3" fontId="9" fillId="0" borderId="25" xfId="4" applyNumberFormat="1" applyFont="1" applyBorder="1" applyAlignment="1">
      <alignment vertical="center"/>
    </xf>
    <xf numFmtId="0" fontId="9" fillId="0" borderId="28" xfId="4" applyNumberFormat="1" applyFont="1" applyBorder="1" applyAlignment="1">
      <alignment vertical="center"/>
    </xf>
    <xf numFmtId="3" fontId="9" fillId="0" borderId="45" xfId="4" applyNumberFormat="1" applyFont="1" applyBorder="1" applyAlignment="1">
      <alignment vertical="center"/>
    </xf>
    <xf numFmtId="165" fontId="9" fillId="0" borderId="25" xfId="4" applyNumberFormat="1" applyFont="1" applyBorder="1" applyAlignment="1">
      <alignment vertical="center"/>
    </xf>
    <xf numFmtId="0" fontId="9" fillId="0" borderId="14" xfId="2" applyFont="1" applyFill="1" applyBorder="1" applyAlignment="1">
      <alignment horizontal="left" vertical="center" wrapText="1"/>
    </xf>
    <xf numFmtId="0" fontId="4" fillId="0" borderId="19" xfId="2" applyFont="1" applyFill="1" applyBorder="1" applyAlignment="1">
      <alignment horizontal="left" vertical="center"/>
    </xf>
    <xf numFmtId="0" fontId="10" fillId="0" borderId="3" xfId="2" applyFont="1" applyFill="1" applyBorder="1" applyAlignment="1">
      <alignment horizontal="left" vertical="center" wrapText="1"/>
    </xf>
    <xf numFmtId="0" fontId="10" fillId="0" borderId="28" xfId="2" applyFont="1" applyFill="1" applyBorder="1" applyAlignment="1">
      <alignment horizontal="left" vertical="center" wrapText="1"/>
    </xf>
    <xf numFmtId="0" fontId="9" fillId="0" borderId="0" xfId="0" applyFont="1" applyFill="1" applyAlignment="1">
      <alignment vertical="center"/>
    </xf>
    <xf numFmtId="0" fontId="9" fillId="0" borderId="0" xfId="0" applyFont="1" applyAlignment="1">
      <alignment vertical="center"/>
    </xf>
    <xf numFmtId="0" fontId="10" fillId="0" borderId="14" xfId="2" applyFont="1" applyFill="1" applyBorder="1" applyAlignment="1">
      <alignment horizontal="center" vertical="center"/>
    </xf>
    <xf numFmtId="0" fontId="10" fillId="0" borderId="56" xfId="2" applyFont="1" applyFill="1" applyBorder="1" applyAlignment="1">
      <alignment horizontal="center" vertical="center"/>
    </xf>
    <xf numFmtId="0" fontId="6" fillId="0" borderId="28" xfId="2" applyFont="1" applyFill="1" applyBorder="1" applyAlignment="1">
      <alignment horizontal="left" vertical="center" wrapText="1"/>
    </xf>
    <xf numFmtId="0" fontId="25" fillId="0" borderId="56" xfId="2" applyFont="1" applyFill="1" applyBorder="1" applyAlignment="1">
      <alignment horizontal="left" vertical="center" wrapText="1"/>
    </xf>
    <xf numFmtId="0" fontId="6" fillId="0" borderId="56" xfId="2" applyFont="1" applyFill="1" applyBorder="1" applyAlignment="1">
      <alignment horizontal="left" vertical="center" wrapText="1"/>
    </xf>
    <xf numFmtId="0" fontId="25" fillId="0" borderId="3" xfId="2" applyFont="1" applyFill="1" applyBorder="1" applyAlignment="1">
      <alignment horizontal="left" vertical="center" wrapText="1"/>
    </xf>
    <xf numFmtId="0" fontId="6" fillId="0" borderId="3" xfId="2" applyFont="1" applyFill="1" applyBorder="1" applyAlignment="1">
      <alignment horizontal="left" vertical="center" wrapText="1"/>
    </xf>
    <xf numFmtId="0" fontId="23" fillId="0" borderId="0" xfId="2" applyFont="1" applyFill="1" applyBorder="1" applyAlignment="1">
      <alignment horizontal="left" vertical="center" wrapText="1"/>
    </xf>
    <xf numFmtId="0" fontId="10" fillId="0" borderId="0" xfId="2" applyFont="1" applyFill="1" applyBorder="1" applyAlignment="1">
      <alignment horizontal="left" vertical="center" wrapText="1"/>
    </xf>
    <xf numFmtId="0" fontId="10" fillId="0" borderId="0" xfId="0" applyFont="1" applyFill="1" applyAlignment="1">
      <alignment vertical="center"/>
    </xf>
    <xf numFmtId="164" fontId="9" fillId="0" borderId="0" xfId="0" applyNumberFormat="1" applyFont="1" applyAlignment="1">
      <alignment vertical="center"/>
    </xf>
    <xf numFmtId="0" fontId="9" fillId="0" borderId="0" xfId="0" applyFont="1" applyAlignment="1">
      <alignment horizontal="center" vertical="center" wrapText="1"/>
    </xf>
    <xf numFmtId="0" fontId="10" fillId="0" borderId="0" xfId="0" applyFont="1" applyAlignment="1">
      <alignment horizontal="center" vertical="center" textRotation="90" wrapText="1"/>
    </xf>
    <xf numFmtId="4" fontId="9" fillId="0" borderId="28" xfId="2" applyNumberFormat="1" applyFont="1" applyFill="1" applyBorder="1" applyAlignment="1">
      <alignment horizontal="right" vertical="center" wrapText="1"/>
    </xf>
    <xf numFmtId="0" fontId="10" fillId="0" borderId="28" xfId="2" applyFont="1" applyFill="1" applyBorder="1" applyAlignment="1">
      <alignment vertical="center" wrapText="1"/>
    </xf>
    <xf numFmtId="49" fontId="9" fillId="0" borderId="28" xfId="2" applyNumberFormat="1" applyFont="1" applyFill="1" applyBorder="1" applyAlignment="1">
      <alignment horizontal="center" vertical="center" wrapText="1"/>
    </xf>
    <xf numFmtId="0" fontId="10" fillId="0" borderId="0" xfId="2" applyFont="1" applyFill="1" applyAlignment="1">
      <alignment horizontal="center" vertical="center"/>
    </xf>
    <xf numFmtId="0" fontId="10" fillId="0" borderId="0" xfId="0" applyFont="1" applyAlignment="1">
      <alignment horizontal="center" vertical="center"/>
    </xf>
    <xf numFmtId="0" fontId="10" fillId="0" borderId="28" xfId="2" applyFont="1" applyFill="1" applyBorder="1" applyAlignment="1">
      <alignment horizontal="center" vertical="center"/>
    </xf>
    <xf numFmtId="0" fontId="9" fillId="0" borderId="0" xfId="0" applyFont="1" applyAlignment="1">
      <alignment horizontal="center" vertical="center"/>
    </xf>
    <xf numFmtId="3" fontId="10" fillId="0" borderId="0" xfId="2" applyNumberFormat="1" applyFont="1" applyFill="1" applyAlignment="1">
      <alignment horizontal="center" vertical="center"/>
    </xf>
    <xf numFmtId="0" fontId="9" fillId="0" borderId="0" xfId="0" applyFont="1" applyFill="1" applyAlignment="1">
      <alignment horizontal="center" vertical="center"/>
    </xf>
    <xf numFmtId="3" fontId="12" fillId="0" borderId="0" xfId="1" quotePrefix="1" applyNumberFormat="1" applyFont="1" applyFill="1" applyAlignment="1">
      <alignment horizontal="center" vertical="center"/>
    </xf>
    <xf numFmtId="3" fontId="9" fillId="0" borderId="0" xfId="0" applyNumberFormat="1" applyFont="1" applyAlignment="1">
      <alignment horizontal="center" vertical="center"/>
    </xf>
    <xf numFmtId="3" fontId="10" fillId="0" borderId="28" xfId="2" applyNumberFormat="1" applyFont="1" applyFill="1" applyBorder="1" applyAlignment="1">
      <alignment horizontal="right" vertical="center"/>
    </xf>
    <xf numFmtId="3" fontId="10" fillId="0" borderId="57" xfId="2" applyNumberFormat="1" applyFont="1" applyFill="1" applyBorder="1" applyAlignment="1">
      <alignment horizontal="right" vertical="center"/>
    </xf>
    <xf numFmtId="3" fontId="10" fillId="0" borderId="0" xfId="2" applyNumberFormat="1" applyFont="1" applyFill="1" applyBorder="1" applyAlignment="1">
      <alignment horizontal="right" vertical="center"/>
    </xf>
    <xf numFmtId="3" fontId="10" fillId="0" borderId="50" xfId="2" applyNumberFormat="1" applyFont="1" applyFill="1" applyBorder="1" applyAlignment="1">
      <alignment horizontal="right" vertical="center"/>
    </xf>
    <xf numFmtId="0" fontId="23" fillId="0" borderId="4" xfId="2" applyFont="1" applyFill="1" applyBorder="1" applyAlignment="1">
      <alignment horizontal="center" vertical="center" wrapText="1"/>
    </xf>
    <xf numFmtId="43" fontId="23" fillId="0" borderId="3" xfId="5" applyFont="1" applyFill="1" applyBorder="1" applyAlignment="1">
      <alignment horizontal="left" vertical="center" wrapText="1"/>
    </xf>
    <xf numFmtId="0" fontId="23" fillId="0" borderId="14" xfId="2" applyFont="1" applyFill="1" applyBorder="1" applyAlignment="1">
      <alignment vertical="center" wrapText="1"/>
    </xf>
    <xf numFmtId="14" fontId="23" fillId="0" borderId="4" xfId="2" applyNumberFormat="1" applyFont="1" applyFill="1" applyBorder="1" applyAlignment="1">
      <alignment horizontal="center" vertical="center" wrapText="1"/>
    </xf>
    <xf numFmtId="0" fontId="23" fillId="0" borderId="57" xfId="2" applyFont="1" applyFill="1" applyBorder="1" applyAlignment="1">
      <alignment vertical="center" wrapText="1"/>
    </xf>
    <xf numFmtId="0" fontId="10" fillId="0" borderId="4" xfId="2" applyFont="1" applyFill="1" applyBorder="1" applyAlignment="1">
      <alignment horizontal="center" vertical="center" wrapText="1"/>
    </xf>
    <xf numFmtId="0" fontId="10" fillId="0" borderId="14" xfId="2" applyFont="1" applyFill="1" applyBorder="1" applyAlignment="1">
      <alignment horizontal="left" vertical="center" wrapText="1"/>
    </xf>
    <xf numFmtId="0" fontId="10" fillId="0" borderId="14" xfId="2" applyFont="1" applyFill="1" applyBorder="1" applyAlignment="1">
      <alignment vertical="center" wrapText="1"/>
    </xf>
    <xf numFmtId="14" fontId="10" fillId="0" borderId="4" xfId="2" applyNumberFormat="1" applyFont="1" applyFill="1" applyBorder="1" applyAlignment="1">
      <alignment horizontal="center" vertical="center" wrapText="1"/>
    </xf>
    <xf numFmtId="0" fontId="10" fillId="0" borderId="57" xfId="2" applyFont="1" applyFill="1" applyBorder="1" applyAlignment="1">
      <alignment vertical="center" wrapText="1"/>
    </xf>
    <xf numFmtId="0" fontId="10" fillId="0" borderId="4" xfId="2" applyFont="1" applyFill="1" applyBorder="1" applyAlignment="1">
      <alignment horizontal="left" vertical="center" wrapText="1"/>
    </xf>
    <xf numFmtId="0" fontId="10" fillId="0" borderId="4" xfId="2" applyFont="1" applyFill="1" applyBorder="1" applyAlignment="1">
      <alignment vertical="center" wrapText="1"/>
    </xf>
    <xf numFmtId="0" fontId="25" fillId="0" borderId="14" xfId="2" applyFont="1" applyFill="1" applyBorder="1" applyAlignment="1">
      <alignment horizontal="left" vertical="center" wrapText="1"/>
    </xf>
    <xf numFmtId="0" fontId="6" fillId="0" borderId="14" xfId="2" applyFont="1" applyFill="1" applyBorder="1" applyAlignment="1">
      <alignment horizontal="left" vertical="center" wrapText="1"/>
    </xf>
    <xf numFmtId="0" fontId="3" fillId="0" borderId="14" xfId="2" applyFont="1" applyFill="1" applyBorder="1" applyAlignment="1">
      <alignment horizontal="left" vertical="center" wrapText="1"/>
    </xf>
    <xf numFmtId="0" fontId="10" fillId="0" borderId="0" xfId="4" applyFont="1" applyFill="1" applyAlignment="1">
      <alignment vertical="center"/>
    </xf>
    <xf numFmtId="0" fontId="8" fillId="0" borderId="0" xfId="4" applyFont="1" applyFill="1" applyAlignment="1">
      <alignment vertical="center"/>
    </xf>
    <xf numFmtId="0" fontId="15" fillId="0" borderId="0" xfId="4" applyFont="1" applyFill="1" applyAlignment="1">
      <alignment vertical="center"/>
    </xf>
    <xf numFmtId="0" fontId="9" fillId="0" borderId="0" xfId="4" applyFont="1" applyAlignment="1">
      <alignment vertical="center"/>
    </xf>
    <xf numFmtId="0" fontId="10" fillId="8" borderId="5" xfId="4" applyFont="1" applyFill="1" applyBorder="1" applyAlignment="1">
      <alignment horizontal="center" vertical="center" wrapText="1"/>
    </xf>
    <xf numFmtId="0" fontId="10" fillId="8" borderId="18" xfId="4" applyFont="1" applyFill="1" applyBorder="1" applyAlignment="1">
      <alignment horizontal="center" vertical="center"/>
    </xf>
    <xf numFmtId="0" fontId="10" fillId="0" borderId="0" xfId="4" applyFont="1" applyFill="1" applyAlignment="1">
      <alignment horizontal="center" vertical="center"/>
    </xf>
    <xf numFmtId="3" fontId="9" fillId="0" borderId="4" xfId="4" applyNumberFormat="1" applyFont="1" applyBorder="1" applyAlignment="1">
      <alignment vertical="center"/>
    </xf>
    <xf numFmtId="3" fontId="9" fillId="0" borderId="0" xfId="4" applyNumberFormat="1" applyFont="1" applyBorder="1" applyAlignment="1">
      <alignment vertical="center"/>
    </xf>
    <xf numFmtId="3" fontId="9" fillId="0" borderId="14" xfId="4" applyNumberFormat="1" applyFont="1" applyBorder="1" applyAlignment="1">
      <alignment vertical="center"/>
    </xf>
    <xf numFmtId="0" fontId="9" fillId="0" borderId="14" xfId="4" applyFont="1" applyBorder="1" applyAlignment="1">
      <alignment vertical="center"/>
    </xf>
    <xf numFmtId="0" fontId="9" fillId="0" borderId="4" xfId="4" applyFont="1" applyBorder="1" applyAlignment="1">
      <alignment vertical="center"/>
    </xf>
    <xf numFmtId="49" fontId="9" fillId="0" borderId="0" xfId="4" applyNumberFormat="1" applyFont="1" applyBorder="1" applyAlignment="1">
      <alignment vertical="center"/>
    </xf>
    <xf numFmtId="49" fontId="9" fillId="0" borderId="14" xfId="4" applyNumberFormat="1" applyFont="1" applyBorder="1" applyAlignment="1">
      <alignment horizontal="center" vertical="center"/>
    </xf>
    <xf numFmtId="4" fontId="9" fillId="0" borderId="4" xfId="4" applyNumberFormat="1" applyFont="1" applyBorder="1" applyAlignment="1">
      <alignment vertical="center"/>
    </xf>
    <xf numFmtId="0" fontId="9" fillId="0" borderId="4" xfId="4" applyFont="1" applyBorder="1" applyAlignment="1">
      <alignment vertical="center" wrapText="1"/>
    </xf>
    <xf numFmtId="0" fontId="9" fillId="0" borderId="11" xfId="4" applyFont="1" applyBorder="1" applyAlignment="1">
      <alignment vertical="center"/>
    </xf>
    <xf numFmtId="0" fontId="9" fillId="0" borderId="8" xfId="4" applyFont="1" applyBorder="1" applyAlignment="1">
      <alignment vertical="center"/>
    </xf>
    <xf numFmtId="0" fontId="9" fillId="0" borderId="0" xfId="4" applyFont="1" applyBorder="1" applyAlignment="1">
      <alignment vertical="center"/>
    </xf>
    <xf numFmtId="0" fontId="10" fillId="0" borderId="7" xfId="4" applyFont="1" applyBorder="1" applyAlignment="1">
      <alignment horizontal="center" vertical="center"/>
    </xf>
    <xf numFmtId="0" fontId="10" fillId="0" borderId="11" xfId="4" applyFont="1" applyBorder="1" applyAlignment="1">
      <alignment horizontal="center" vertical="center"/>
    </xf>
    <xf numFmtId="0" fontId="9" fillId="0" borderId="20" xfId="4" applyFont="1" applyBorder="1" applyAlignment="1">
      <alignment vertical="center"/>
    </xf>
    <xf numFmtId="0" fontId="9" fillId="0" borderId="5" xfId="4" applyFont="1" applyBorder="1" applyAlignment="1">
      <alignment vertical="center"/>
    </xf>
    <xf numFmtId="0" fontId="10" fillId="7" borderId="12" xfId="2" applyFont="1" applyFill="1" applyBorder="1" applyAlignment="1">
      <alignment horizontal="center" vertical="center" wrapText="1"/>
    </xf>
    <xf numFmtId="0" fontId="10" fillId="7" borderId="5" xfId="2" applyFont="1" applyFill="1" applyBorder="1" applyAlignment="1">
      <alignment horizontal="center" vertical="center" wrapText="1"/>
    </xf>
    <xf numFmtId="0" fontId="10" fillId="8" borderId="5" xfId="4" applyFont="1" applyFill="1" applyBorder="1" applyAlignment="1">
      <alignment horizontal="center" vertical="center"/>
    </xf>
    <xf numFmtId="0" fontId="10" fillId="8" borderId="19" xfId="4" applyFont="1" applyFill="1" applyBorder="1" applyAlignment="1">
      <alignment horizontal="center" vertical="center"/>
    </xf>
    <xf numFmtId="0" fontId="10" fillId="0" borderId="11" xfId="2" applyFont="1" applyBorder="1" applyAlignment="1">
      <alignment horizontal="left" vertical="center" wrapText="1"/>
    </xf>
    <xf numFmtId="0" fontId="9" fillId="0" borderId="8" xfId="2" applyFont="1" applyBorder="1" applyAlignment="1">
      <alignment horizontal="center" vertical="center" wrapText="1"/>
    </xf>
    <xf numFmtId="0" fontId="9" fillId="0" borderId="4" xfId="2" applyFont="1" applyBorder="1" applyAlignment="1">
      <alignment vertical="center" wrapText="1"/>
    </xf>
    <xf numFmtId="0" fontId="9" fillId="0" borderId="14" xfId="2" applyFont="1" applyBorder="1" applyAlignment="1">
      <alignment vertical="center" wrapText="1"/>
    </xf>
    <xf numFmtId="0" fontId="2" fillId="0" borderId="0" xfId="0" applyFont="1" applyAlignment="1">
      <alignment vertical="center"/>
    </xf>
    <xf numFmtId="0" fontId="3" fillId="0" borderId="77" xfId="0" applyFont="1" applyFill="1" applyBorder="1" applyAlignment="1">
      <alignment horizontal="left" vertical="center"/>
    </xf>
    <xf numFmtId="0" fontId="3" fillId="0" borderId="0" xfId="0" applyFont="1" applyFill="1" applyBorder="1" applyAlignment="1">
      <alignment horizontal="left" vertical="center"/>
    </xf>
    <xf numFmtId="3" fontId="2" fillId="0" borderId="28" xfId="0" applyNumberFormat="1" applyFont="1" applyFill="1" applyBorder="1" applyAlignment="1">
      <alignment vertical="center"/>
    </xf>
    <xf numFmtId="0" fontId="22" fillId="0" borderId="19" xfId="0" applyFont="1" applyBorder="1" applyAlignment="1">
      <alignment vertical="center"/>
    </xf>
    <xf numFmtId="0" fontId="16" fillId="0" borderId="20" xfId="0" applyFont="1" applyBorder="1" applyAlignment="1">
      <alignment vertical="center"/>
    </xf>
    <xf numFmtId="0" fontId="16" fillId="0" borderId="18" xfId="0" applyFont="1" applyBorder="1" applyAlignment="1">
      <alignment vertical="center"/>
    </xf>
    <xf numFmtId="49" fontId="18" fillId="7" borderId="42" xfId="3" applyFont="1" applyFill="1" applyBorder="1" applyAlignment="1">
      <alignment horizontal="center" vertical="center" textRotation="90" wrapText="1"/>
    </xf>
    <xf numFmtId="49" fontId="18" fillId="7" borderId="16" xfId="3" applyFont="1" applyFill="1" applyBorder="1" applyAlignment="1">
      <alignment horizontal="center" vertical="center" textRotation="90" wrapText="1"/>
    </xf>
    <xf numFmtId="49" fontId="18" fillId="7" borderId="17" xfId="3" applyFont="1" applyFill="1" applyBorder="1" applyAlignment="1">
      <alignment horizontal="center" vertical="center" textRotation="90" wrapText="1"/>
    </xf>
    <xf numFmtId="49" fontId="6" fillId="7" borderId="42" xfId="3" applyNumberFormat="1" applyFont="1" applyFill="1" applyBorder="1" applyAlignment="1" applyProtection="1">
      <alignment horizontal="center" vertical="center" textRotation="90" wrapText="1"/>
    </xf>
    <xf numFmtId="49" fontId="6" fillId="7" borderId="43" xfId="3" applyFont="1" applyFill="1" applyBorder="1" applyAlignment="1">
      <alignment horizontal="center" vertical="center" textRotation="90" wrapText="1"/>
    </xf>
    <xf numFmtId="0" fontId="10" fillId="0" borderId="0" xfId="2" applyFont="1" applyFill="1" applyAlignment="1">
      <alignment horizontal="left" vertical="center"/>
    </xf>
    <xf numFmtId="15" fontId="10" fillId="7" borderId="12" xfId="2" applyNumberFormat="1" applyFont="1" applyFill="1" applyBorder="1" applyAlignment="1">
      <alignment horizontal="center" vertical="center" wrapText="1"/>
    </xf>
    <xf numFmtId="0" fontId="10" fillId="7" borderId="8" xfId="2" applyFont="1" applyFill="1" applyBorder="1" applyAlignment="1">
      <alignment horizontal="center" vertical="center" wrapText="1"/>
    </xf>
    <xf numFmtId="0" fontId="9" fillId="0" borderId="0" xfId="4" applyFont="1"/>
    <xf numFmtId="0" fontId="28" fillId="11" borderId="0" xfId="8"/>
    <xf numFmtId="0" fontId="16" fillId="0" borderId="0" xfId="0" applyFont="1" applyFill="1" applyAlignment="1">
      <alignment horizontal="center" wrapText="1"/>
    </xf>
    <xf numFmtId="0" fontId="16" fillId="0" borderId="0" xfId="0" applyFont="1" applyFill="1" applyAlignment="1">
      <alignment wrapText="1"/>
    </xf>
    <xf numFmtId="0" fontId="29" fillId="0" borderId="14" xfId="0" applyFont="1" applyFill="1" applyBorder="1" applyAlignment="1"/>
    <xf numFmtId="3" fontId="29" fillId="0" borderId="57" xfId="0" applyNumberFormat="1" applyFont="1" applyBorder="1"/>
    <xf numFmtId="3" fontId="29" fillId="0" borderId="50" xfId="0" applyNumberFormat="1" applyFont="1" applyBorder="1"/>
    <xf numFmtId="3" fontId="29" fillId="0" borderId="13" xfId="0" applyNumberFormat="1" applyFont="1" applyBorder="1"/>
    <xf numFmtId="3" fontId="29" fillId="0" borderId="4" xfId="0" applyNumberFormat="1" applyFont="1" applyBorder="1"/>
    <xf numFmtId="0" fontId="30" fillId="0" borderId="0" xfId="0" applyFont="1"/>
    <xf numFmtId="0" fontId="29" fillId="0" borderId="14" xfId="0" applyFont="1" applyFill="1" applyBorder="1" applyAlignment="1">
      <alignment horizontal="left"/>
    </xf>
    <xf numFmtId="0" fontId="31" fillId="0" borderId="0" xfId="0" applyFont="1"/>
    <xf numFmtId="0" fontId="29" fillId="0" borderId="0" xfId="0" applyFont="1"/>
    <xf numFmtId="49" fontId="32" fillId="0" borderId="78" xfId="3" applyFont="1" applyBorder="1" applyAlignment="1">
      <alignment vertical="center" wrapText="1"/>
    </xf>
    <xf numFmtId="49" fontId="32" fillId="0" borderId="2" xfId="3" applyFont="1" applyBorder="1" applyAlignment="1">
      <alignment vertical="center" wrapText="1"/>
    </xf>
    <xf numFmtId="49" fontId="33" fillId="7" borderId="42" xfId="3" applyFont="1" applyFill="1" applyBorder="1" applyAlignment="1">
      <alignment horizontal="left" vertical="center" textRotation="90" wrapText="1"/>
    </xf>
    <xf numFmtId="49" fontId="33" fillId="7" borderId="16" xfId="3" applyFont="1" applyFill="1" applyBorder="1" applyAlignment="1">
      <alignment horizontal="center" vertical="center" textRotation="90" wrapText="1"/>
    </xf>
    <xf numFmtId="49" fontId="34" fillId="0" borderId="0" xfId="3" applyFont="1" applyBorder="1" applyAlignment="1">
      <alignment horizontal="left" vertical="center"/>
    </xf>
    <xf numFmtId="3" fontId="35" fillId="0" borderId="0" xfId="3" applyNumberFormat="1" applyFont="1" applyBorder="1" applyAlignment="1">
      <alignment vertical="center"/>
    </xf>
    <xf numFmtId="3" fontId="35" fillId="0" borderId="0" xfId="3" applyNumberFormat="1" applyFont="1" applyAlignment="1">
      <alignment vertical="center"/>
    </xf>
    <xf numFmtId="3" fontId="35" fillId="0" borderId="0" xfId="3" applyNumberFormat="1" applyFont="1" applyAlignment="1">
      <alignment horizontal="right" vertical="center"/>
    </xf>
    <xf numFmtId="0" fontId="35" fillId="0" borderId="0" xfId="0" applyFont="1"/>
    <xf numFmtId="0" fontId="16" fillId="12" borderId="14" xfId="0" applyFont="1" applyFill="1" applyBorder="1" applyAlignment="1">
      <alignment wrapText="1"/>
    </xf>
    <xf numFmtId="3" fontId="16" fillId="12" borderId="14" xfId="0" applyNumberFormat="1" applyFont="1" applyFill="1" applyBorder="1"/>
    <xf numFmtId="3" fontId="16" fillId="12" borderId="0" xfId="0" applyNumberFormat="1" applyFont="1" applyFill="1" applyBorder="1"/>
    <xf numFmtId="3" fontId="16" fillId="12" borderId="4" xfId="0" applyNumberFormat="1" applyFont="1" applyFill="1" applyBorder="1"/>
    <xf numFmtId="165" fontId="16" fillId="12" borderId="14" xfId="0" applyNumberFormat="1" applyFont="1" applyFill="1" applyBorder="1"/>
    <xf numFmtId="49" fontId="18" fillId="7" borderId="40" xfId="3" applyFont="1" applyFill="1" applyBorder="1" applyAlignment="1">
      <alignment horizontal="center" textRotation="90" wrapText="1"/>
    </xf>
    <xf numFmtId="49" fontId="18" fillId="7" borderId="39" xfId="3" applyFont="1" applyFill="1" applyBorder="1" applyAlignment="1">
      <alignment horizontal="center" textRotation="90" wrapText="1"/>
    </xf>
    <xf numFmtId="49" fontId="18" fillId="7" borderId="38" xfId="3" applyFont="1" applyFill="1" applyBorder="1" applyAlignment="1">
      <alignment horizontal="center" textRotation="90" wrapText="1"/>
    </xf>
    <xf numFmtId="49" fontId="18" fillId="7" borderId="52" xfId="3" applyFont="1" applyFill="1" applyBorder="1" applyAlignment="1">
      <alignment horizontal="center" textRotation="90" wrapText="1"/>
    </xf>
    <xf numFmtId="49" fontId="36" fillId="7" borderId="40" xfId="3" applyFont="1" applyFill="1" applyBorder="1" applyAlignment="1">
      <alignment horizontal="center" textRotation="90" wrapText="1"/>
    </xf>
    <xf numFmtId="49" fontId="6" fillId="7" borderId="39" xfId="3" applyFont="1" applyFill="1" applyBorder="1" applyAlignment="1">
      <alignment horizontal="center" textRotation="90" wrapText="1"/>
    </xf>
    <xf numFmtId="0" fontId="6" fillId="7" borderId="23" xfId="0" applyFont="1" applyFill="1" applyBorder="1" applyAlignment="1">
      <alignment horizontal="center" vertical="center" wrapText="1"/>
    </xf>
    <xf numFmtId="0" fontId="10" fillId="7" borderId="11" xfId="0" applyFont="1" applyFill="1" applyBorder="1" applyAlignment="1">
      <alignment horizontal="center" vertical="center"/>
    </xf>
    <xf numFmtId="0" fontId="10" fillId="7" borderId="19" xfId="2" applyFont="1" applyFill="1" applyBorder="1" applyAlignment="1">
      <alignment horizontal="center" vertical="center"/>
    </xf>
    <xf numFmtId="0" fontId="10" fillId="7" borderId="30" xfId="2" applyFont="1" applyFill="1" applyBorder="1" applyAlignment="1">
      <alignment horizontal="center" vertical="center" wrapText="1"/>
    </xf>
    <xf numFmtId="0" fontId="10" fillId="7" borderId="31" xfId="2" applyFont="1" applyFill="1" applyBorder="1" applyAlignment="1">
      <alignment horizontal="center" vertical="center" wrapText="1"/>
    </xf>
    <xf numFmtId="0" fontId="9" fillId="0" borderId="28" xfId="2" applyFont="1" applyFill="1" applyBorder="1" applyAlignment="1">
      <alignment horizontal="left" vertical="center" wrapText="1"/>
    </xf>
    <xf numFmtId="0" fontId="9" fillId="0" borderId="28" xfId="2" applyFont="1" applyFill="1" applyBorder="1" applyAlignment="1">
      <alignment horizontal="center" vertical="center" wrapText="1"/>
    </xf>
    <xf numFmtId="49" fontId="9" fillId="0" borderId="28" xfId="2" quotePrefix="1" applyNumberFormat="1" applyFont="1" applyFill="1" applyBorder="1" applyAlignment="1">
      <alignment horizontal="center" vertical="center" wrapText="1"/>
    </xf>
    <xf numFmtId="0" fontId="9" fillId="0" borderId="28" xfId="2" applyFont="1" applyFill="1" applyBorder="1" applyAlignment="1">
      <alignment vertical="center" wrapText="1"/>
    </xf>
    <xf numFmtId="0" fontId="9" fillId="0" borderId="28" xfId="2" quotePrefix="1" applyFont="1" applyFill="1" applyBorder="1" applyAlignment="1">
      <alignment horizontal="center" vertical="center" wrapText="1"/>
    </xf>
    <xf numFmtId="0" fontId="10" fillId="7" borderId="12" xfId="2" applyFont="1" applyFill="1" applyBorder="1" applyAlignment="1">
      <alignment horizontal="center" vertical="center" wrapText="1"/>
    </xf>
    <xf numFmtId="0" fontId="10" fillId="7" borderId="20" xfId="0" applyFont="1" applyFill="1" applyBorder="1" applyAlignment="1">
      <alignment horizontal="center" vertical="center" wrapText="1"/>
    </xf>
    <xf numFmtId="0" fontId="10" fillId="7" borderId="18"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16" xfId="0" applyFont="1" applyFill="1" applyBorder="1" applyAlignment="1">
      <alignment horizontal="center" vertical="center" wrapText="1"/>
    </xf>
    <xf numFmtId="0" fontId="10" fillId="7" borderId="17" xfId="0" applyFont="1" applyFill="1" applyBorder="1" applyAlignment="1">
      <alignment horizontal="center" vertical="center" wrapText="1"/>
    </xf>
    <xf numFmtId="0" fontId="10" fillId="7" borderId="43" xfId="0" applyFont="1" applyFill="1" applyBorder="1" applyAlignment="1">
      <alignment horizontal="center" vertical="center" wrapText="1"/>
    </xf>
    <xf numFmtId="10" fontId="4" fillId="0" borderId="0" xfId="6" applyNumberFormat="1" applyFont="1"/>
    <xf numFmtId="0" fontId="10" fillId="0" borderId="0" xfId="2" applyFont="1" applyFill="1" applyAlignment="1">
      <alignment horizontal="right" vertical="center"/>
    </xf>
    <xf numFmtId="49" fontId="9" fillId="0" borderId="0" xfId="3" applyFont="1" applyAlignment="1">
      <alignment horizontal="right" vertical="center"/>
    </xf>
    <xf numFmtId="0" fontId="10" fillId="0" borderId="20" xfId="2" applyFont="1" applyFill="1" applyBorder="1" applyAlignment="1">
      <alignment horizontal="right" vertical="center"/>
    </xf>
    <xf numFmtId="0" fontId="10" fillId="0" borderId="0" xfId="2" applyFont="1" applyFill="1" applyBorder="1" applyAlignment="1">
      <alignment horizontal="right" vertical="center"/>
    </xf>
    <xf numFmtId="0" fontId="9" fillId="0" borderId="0" xfId="2" applyFont="1" applyFill="1" applyBorder="1" applyAlignment="1">
      <alignment horizontal="right" vertical="center"/>
    </xf>
    <xf numFmtId="0" fontId="10" fillId="0" borderId="0" xfId="0" applyFont="1" applyFill="1" applyAlignment="1">
      <alignment horizontal="right" vertical="center"/>
    </xf>
    <xf numFmtId="0" fontId="9" fillId="0" borderId="0" xfId="0" applyFont="1" applyBorder="1" applyAlignment="1">
      <alignment vertical="center"/>
    </xf>
    <xf numFmtId="0" fontId="9" fillId="0" borderId="0" xfId="0" applyFont="1" applyAlignment="1">
      <alignment horizontal="right" vertical="center"/>
    </xf>
    <xf numFmtId="0" fontId="9" fillId="0" borderId="18" xfId="0" applyFont="1" applyBorder="1" applyAlignment="1">
      <alignment horizontal="right" vertical="center"/>
    </xf>
    <xf numFmtId="3" fontId="9" fillId="0" borderId="0" xfId="2" applyNumberFormat="1" applyFont="1" applyFill="1" applyBorder="1" applyAlignment="1">
      <alignment horizontal="right" vertical="center" wrapText="1"/>
    </xf>
    <xf numFmtId="3" fontId="9" fillId="0" borderId="56" xfId="2" applyNumberFormat="1" applyFont="1" applyFill="1" applyBorder="1" applyAlignment="1">
      <alignment horizontal="right" vertical="center" wrapText="1"/>
    </xf>
    <xf numFmtId="3" fontId="9" fillId="0" borderId="13" xfId="2" applyNumberFormat="1" applyFont="1" applyFill="1" applyBorder="1" applyAlignment="1">
      <alignment horizontal="right" vertical="center" wrapText="1"/>
    </xf>
    <xf numFmtId="3" fontId="9" fillId="0" borderId="14" xfId="2" applyNumberFormat="1" applyFont="1" applyFill="1" applyBorder="1" applyAlignment="1">
      <alignment horizontal="right" vertical="center" wrapText="1"/>
    </xf>
    <xf numFmtId="3" fontId="39" fillId="0" borderId="34" xfId="5" applyNumberFormat="1" applyFont="1" applyFill="1" applyBorder="1" applyAlignment="1">
      <alignment horizontal="right" vertical="center" wrapText="1"/>
    </xf>
    <xf numFmtId="165" fontId="39" fillId="0" borderId="35" xfId="6" applyNumberFormat="1" applyFont="1" applyFill="1" applyBorder="1" applyAlignment="1">
      <alignment horizontal="right" vertical="center" wrapText="1"/>
    </xf>
    <xf numFmtId="166" fontId="39" fillId="0" borderId="35" xfId="2" applyNumberFormat="1" applyFont="1" applyFill="1" applyBorder="1" applyAlignment="1">
      <alignment horizontal="right" vertical="center" wrapText="1"/>
    </xf>
    <xf numFmtId="3" fontId="39" fillId="0" borderId="57" xfId="5" applyNumberFormat="1" applyFont="1" applyFill="1" applyBorder="1" applyAlignment="1">
      <alignment horizontal="right" vertical="center" wrapText="1"/>
    </xf>
    <xf numFmtId="165" fontId="39" fillId="0" borderId="50" xfId="6" applyNumberFormat="1" applyFont="1" applyFill="1" applyBorder="1" applyAlignment="1">
      <alignment horizontal="right" vertical="center" wrapText="1"/>
    </xf>
    <xf numFmtId="166" fontId="39" fillId="0" borderId="50" xfId="2" applyNumberFormat="1" applyFont="1" applyFill="1" applyBorder="1" applyAlignment="1">
      <alignment horizontal="right" vertical="center" wrapText="1"/>
    </xf>
    <xf numFmtId="3" fontId="39" fillId="0" borderId="22" xfId="5" applyNumberFormat="1" applyFont="1" applyFill="1" applyBorder="1" applyAlignment="1">
      <alignment horizontal="right" vertical="center" wrapText="1"/>
    </xf>
    <xf numFmtId="165" fontId="39" fillId="0" borderId="23" xfId="6" applyNumberFormat="1" applyFont="1" applyFill="1" applyBorder="1" applyAlignment="1">
      <alignment horizontal="right" vertical="center" wrapText="1"/>
    </xf>
    <xf numFmtId="166" fontId="39" fillId="0" borderId="23" xfId="2" applyNumberFormat="1" applyFont="1" applyFill="1" applyBorder="1" applyAlignment="1">
      <alignment horizontal="right" vertical="center" wrapText="1"/>
    </xf>
    <xf numFmtId="3" fontId="10" fillId="2" borderId="19" xfId="2" applyNumberFormat="1" applyFont="1" applyFill="1" applyBorder="1" applyAlignment="1">
      <alignment horizontal="right" vertical="center" wrapText="1"/>
    </xf>
    <xf numFmtId="3" fontId="10" fillId="2" borderId="43" xfId="2" applyNumberFormat="1" applyFont="1" applyFill="1" applyBorder="1" applyAlignment="1">
      <alignment horizontal="right" vertical="center" wrapText="1"/>
    </xf>
    <xf numFmtId="3" fontId="10" fillId="2" borderId="15" xfId="2" applyNumberFormat="1" applyFont="1" applyFill="1" applyBorder="1" applyAlignment="1">
      <alignment horizontal="right" vertical="center" wrapText="1"/>
    </xf>
    <xf numFmtId="3" fontId="10" fillId="2" borderId="20" xfId="2" applyNumberFormat="1" applyFont="1" applyFill="1" applyBorder="1" applyAlignment="1">
      <alignment horizontal="right" vertical="center" wrapText="1"/>
    </xf>
    <xf numFmtId="3" fontId="10" fillId="2" borderId="5" xfId="2" applyNumberFormat="1" applyFont="1" applyFill="1" applyBorder="1" applyAlignment="1">
      <alignment horizontal="right" vertical="center" wrapText="1"/>
    </xf>
    <xf numFmtId="3" fontId="38" fillId="2" borderId="19" xfId="2" applyNumberFormat="1" applyFont="1" applyFill="1" applyBorder="1" applyAlignment="1">
      <alignment horizontal="right" vertical="center" wrapText="1"/>
    </xf>
    <xf numFmtId="165" fontId="38" fillId="2" borderId="17" xfId="2" applyNumberFormat="1" applyFont="1" applyFill="1" applyBorder="1" applyAlignment="1">
      <alignment horizontal="right" vertical="center" wrapText="1"/>
    </xf>
    <xf numFmtId="3" fontId="38" fillId="2" borderId="42" xfId="2" applyNumberFormat="1" applyFont="1" applyFill="1" applyBorder="1" applyAlignment="1">
      <alignment horizontal="right" vertical="center" wrapText="1"/>
    </xf>
    <xf numFmtId="165" fontId="38" fillId="2" borderId="18" xfId="2" applyNumberFormat="1" applyFont="1" applyFill="1" applyBorder="1" applyAlignment="1">
      <alignment horizontal="right" vertical="center" wrapText="1"/>
    </xf>
    <xf numFmtId="0" fontId="10" fillId="0" borderId="20" xfId="2" applyFont="1" applyFill="1" applyBorder="1" applyAlignment="1">
      <alignment horizontal="right" vertical="center" wrapText="1"/>
    </xf>
    <xf numFmtId="0" fontId="9" fillId="0" borderId="18" xfId="0" applyFont="1" applyBorder="1" applyAlignment="1">
      <alignment horizontal="right" vertical="center" wrapText="1"/>
    </xf>
    <xf numFmtId="0" fontId="40" fillId="0" borderId="0" xfId="0" applyFont="1" applyAlignment="1">
      <alignment vertical="center"/>
    </xf>
    <xf numFmtId="0" fontId="40" fillId="0" borderId="0" xfId="0" applyFont="1" applyAlignment="1">
      <alignment horizontal="right" vertical="center" wrapText="1"/>
    </xf>
    <xf numFmtId="0" fontId="40" fillId="0" borderId="0" xfId="0" applyFont="1" applyAlignment="1">
      <alignment horizontal="right" vertical="center"/>
    </xf>
    <xf numFmtId="0" fontId="3" fillId="0" borderId="28" xfId="0" applyFont="1" applyFill="1" applyBorder="1" applyAlignment="1">
      <alignment horizontal="center" vertical="center"/>
    </xf>
    <xf numFmtId="164" fontId="10" fillId="7" borderId="42" xfId="0" applyNumberFormat="1" applyFont="1" applyFill="1" applyBorder="1" applyAlignment="1">
      <alignment horizontal="center" vertical="center" textRotation="90" wrapText="1"/>
    </xf>
    <xf numFmtId="0" fontId="10" fillId="0" borderId="0" xfId="0" applyFont="1" applyFill="1" applyAlignment="1">
      <alignment horizontal="center" vertical="center"/>
    </xf>
    <xf numFmtId="0" fontId="9" fillId="0" borderId="0" xfId="0" applyFont="1" applyAlignment="1">
      <alignment vertical="center" wrapText="1"/>
    </xf>
    <xf numFmtId="0" fontId="9" fillId="0" borderId="35" xfId="0" applyFont="1" applyBorder="1" applyAlignment="1">
      <alignment horizontal="center" vertical="center" wrapText="1"/>
    </xf>
    <xf numFmtId="0" fontId="9" fillId="0" borderId="28" xfId="0" applyFont="1" applyBorder="1" applyAlignment="1">
      <alignment horizontal="center" vertical="center" wrapText="1"/>
    </xf>
    <xf numFmtId="0" fontId="10" fillId="0" borderId="0" xfId="2" applyFont="1" applyFill="1" applyAlignment="1">
      <alignment vertical="center" wrapText="1"/>
    </xf>
    <xf numFmtId="0" fontId="10" fillId="0" borderId="0" xfId="0" applyFont="1" applyFill="1" applyAlignment="1">
      <alignment vertical="center" wrapText="1"/>
    </xf>
    <xf numFmtId="0" fontId="10" fillId="7" borderId="53" xfId="0" applyFont="1" applyFill="1" applyBorder="1" applyAlignment="1">
      <alignment horizontal="center" vertical="center" wrapText="1"/>
    </xf>
    <xf numFmtId="0" fontId="10" fillId="7" borderId="60" xfId="0" applyFont="1" applyFill="1" applyBorder="1" applyAlignment="1">
      <alignment horizontal="center" vertical="center" wrapText="1"/>
    </xf>
    <xf numFmtId="0" fontId="9" fillId="0" borderId="0" xfId="12" applyFont="1" applyAlignment="1">
      <alignment vertical="center" wrapText="1"/>
    </xf>
    <xf numFmtId="0" fontId="49" fillId="0" borderId="0" xfId="12" applyFont="1" applyAlignment="1">
      <alignment vertical="center" wrapText="1"/>
    </xf>
    <xf numFmtId="0" fontId="48" fillId="0" borderId="0" xfId="12" applyFont="1" applyAlignment="1">
      <alignment vertical="center" wrapText="1"/>
    </xf>
    <xf numFmtId="0" fontId="9" fillId="0" borderId="52" xfId="0" applyFont="1" applyBorder="1" applyAlignment="1">
      <alignment vertical="center"/>
    </xf>
    <xf numFmtId="0" fontId="9" fillId="0" borderId="45" xfId="0" applyFont="1" applyBorder="1" applyAlignment="1">
      <alignment vertical="center"/>
    </xf>
    <xf numFmtId="4" fontId="9" fillId="0" borderId="4" xfId="0" applyNumberFormat="1" applyFont="1" applyBorder="1" applyAlignment="1">
      <alignment vertical="center"/>
    </xf>
    <xf numFmtId="0" fontId="9" fillId="0" borderId="13" xfId="0" applyFont="1" applyBorder="1" applyAlignment="1">
      <alignment vertical="center"/>
    </xf>
    <xf numFmtId="170" fontId="9" fillId="0" borderId="28" xfId="10" applyNumberFormat="1" applyFont="1" applyBorder="1" applyAlignment="1">
      <alignment vertical="center"/>
    </xf>
    <xf numFmtId="0" fontId="9" fillId="0" borderId="28" xfId="2" applyFont="1" applyBorder="1" applyAlignment="1">
      <alignment vertical="center"/>
    </xf>
    <xf numFmtId="170" fontId="9" fillId="0" borderId="0" xfId="10" applyNumberFormat="1" applyFont="1" applyAlignment="1">
      <alignment vertical="center"/>
    </xf>
    <xf numFmtId="170" fontId="10" fillId="0" borderId="28" xfId="10" applyNumberFormat="1" applyFont="1" applyBorder="1" applyAlignment="1">
      <alignment vertical="center"/>
    </xf>
    <xf numFmtId="0" fontId="10" fillId="0" borderId="28" xfId="2" applyFont="1" applyBorder="1" applyAlignment="1">
      <alignment vertical="center"/>
    </xf>
    <xf numFmtId="0" fontId="3" fillId="0" borderId="28" xfId="2" applyFont="1" applyBorder="1" applyAlignment="1">
      <alignment horizontal="center" vertical="center"/>
    </xf>
    <xf numFmtId="170" fontId="9" fillId="0" borderId="0" xfId="2" applyNumberFormat="1" applyFont="1" applyAlignment="1">
      <alignment vertical="center"/>
    </xf>
    <xf numFmtId="170" fontId="9" fillId="0" borderId="28" xfId="2" applyNumberFormat="1" applyFont="1" applyBorder="1" applyAlignment="1">
      <alignment vertical="center"/>
    </xf>
    <xf numFmtId="170" fontId="9" fillId="0" borderId="0" xfId="10" applyNumberFormat="1" applyFont="1"/>
    <xf numFmtId="170" fontId="27" fillId="0" borderId="0" xfId="10" applyNumberFormat="1" applyFont="1"/>
    <xf numFmtId="170" fontId="10" fillId="2" borderId="18" xfId="10" applyNumberFormat="1" applyFont="1" applyFill="1" applyBorder="1" applyAlignment="1">
      <alignment vertical="center"/>
    </xf>
    <xf numFmtId="170" fontId="10" fillId="2" borderId="20" xfId="10" applyNumberFormat="1" applyFont="1" applyFill="1" applyBorder="1" applyAlignment="1">
      <alignment vertical="center"/>
    </xf>
    <xf numFmtId="170" fontId="10" fillId="2" borderId="19" xfId="10" applyNumberFormat="1" applyFont="1" applyFill="1" applyBorder="1" applyAlignment="1">
      <alignment vertical="center"/>
    </xf>
    <xf numFmtId="166" fontId="9" fillId="0" borderId="4" xfId="17" applyNumberFormat="1" applyFont="1" applyBorder="1" applyAlignment="1">
      <alignment vertical="center"/>
    </xf>
    <xf numFmtId="170" fontId="9" fillId="0" borderId="0" xfId="10" applyNumberFormat="1" applyFont="1" applyBorder="1" applyAlignment="1">
      <alignment vertical="center"/>
    </xf>
    <xf numFmtId="166" fontId="10" fillId="4" borderId="4" xfId="17" applyNumberFormat="1" applyFont="1" applyFill="1" applyBorder="1" applyAlignment="1">
      <alignment vertical="center"/>
    </xf>
    <xf numFmtId="170" fontId="10" fillId="4" borderId="0" xfId="10" applyNumberFormat="1" applyFont="1" applyFill="1" applyBorder="1" applyAlignment="1">
      <alignment vertical="center"/>
    </xf>
    <xf numFmtId="0" fontId="10" fillId="4" borderId="14" xfId="2" applyFont="1" applyFill="1" applyBorder="1" applyAlignment="1">
      <alignment horizontal="center" vertical="center"/>
    </xf>
    <xf numFmtId="0" fontId="9" fillId="4" borderId="0" xfId="2" applyFont="1" applyFill="1" applyBorder="1" applyAlignment="1">
      <alignment vertical="center"/>
    </xf>
    <xf numFmtId="0" fontId="10" fillId="4" borderId="3" xfId="2" applyFont="1" applyFill="1" applyBorder="1" applyAlignment="1">
      <alignment vertical="center"/>
    </xf>
    <xf numFmtId="174" fontId="10" fillId="4" borderId="0" xfId="17" applyFont="1" applyFill="1" applyBorder="1" applyAlignment="1">
      <alignment vertical="center"/>
    </xf>
    <xf numFmtId="166" fontId="10" fillId="4" borderId="0" xfId="17" applyNumberFormat="1" applyFont="1" applyFill="1" applyBorder="1" applyAlignment="1">
      <alignment vertical="center"/>
    </xf>
    <xf numFmtId="0" fontId="9" fillId="4" borderId="14" xfId="2" applyFont="1" applyFill="1" applyBorder="1" applyAlignment="1">
      <alignment horizontal="center" vertical="center"/>
    </xf>
    <xf numFmtId="0" fontId="10" fillId="4" borderId="0" xfId="2" applyFont="1" applyFill="1" applyBorder="1" applyAlignment="1">
      <alignment vertical="center"/>
    </xf>
    <xf numFmtId="0" fontId="9" fillId="10" borderId="4" xfId="2" applyFont="1" applyFill="1" applyBorder="1" applyAlignment="1">
      <alignment vertical="center"/>
    </xf>
    <xf numFmtId="0" fontId="9" fillId="10" borderId="0" xfId="2" applyFont="1" applyFill="1" applyBorder="1" applyAlignment="1">
      <alignment vertical="center"/>
    </xf>
    <xf numFmtId="166" fontId="9" fillId="10" borderId="4" xfId="17" applyNumberFormat="1" applyFont="1" applyFill="1" applyBorder="1" applyAlignment="1">
      <alignment vertical="center"/>
    </xf>
    <xf numFmtId="0" fontId="9" fillId="10" borderId="14" xfId="2" applyFont="1" applyFill="1" applyBorder="1" applyAlignment="1">
      <alignment horizontal="center" vertical="center"/>
    </xf>
    <xf numFmtId="0" fontId="9" fillId="4" borderId="4" xfId="2" applyFont="1" applyFill="1" applyBorder="1" applyAlignment="1">
      <alignment vertical="center"/>
    </xf>
    <xf numFmtId="166" fontId="9" fillId="4" borderId="4" xfId="17" applyNumberFormat="1" applyFont="1" applyFill="1" applyBorder="1" applyAlignment="1">
      <alignment vertical="center"/>
    </xf>
    <xf numFmtId="10" fontId="0" fillId="0" borderId="0" xfId="0" applyNumberFormat="1"/>
    <xf numFmtId="9" fontId="0" fillId="0" borderId="0" xfId="0" applyNumberFormat="1"/>
    <xf numFmtId="170" fontId="9" fillId="10" borderId="0" xfId="10" applyNumberFormat="1" applyFont="1" applyFill="1" applyBorder="1" applyAlignment="1">
      <alignment vertical="center"/>
    </xf>
    <xf numFmtId="166" fontId="9" fillId="3" borderId="4" xfId="17" applyNumberFormat="1" applyFont="1" applyFill="1" applyBorder="1" applyAlignment="1">
      <alignment vertical="center"/>
    </xf>
    <xf numFmtId="0" fontId="9" fillId="3" borderId="0" xfId="2" applyFont="1" applyFill="1" applyBorder="1" applyAlignment="1">
      <alignment vertical="center"/>
    </xf>
    <xf numFmtId="170" fontId="9" fillId="3" borderId="0" xfId="10" applyNumberFormat="1" applyFont="1" applyFill="1" applyBorder="1" applyAlignment="1">
      <alignment vertical="center"/>
    </xf>
    <xf numFmtId="0" fontId="9" fillId="3" borderId="14" xfId="2" applyFont="1" applyFill="1" applyBorder="1" applyAlignment="1">
      <alignment horizontal="center" vertical="center"/>
    </xf>
    <xf numFmtId="176" fontId="9" fillId="0" borderId="0" xfId="2" applyNumberFormat="1" applyFont="1" applyAlignment="1">
      <alignment vertical="center"/>
    </xf>
    <xf numFmtId="170" fontId="10" fillId="2" borderId="43" xfId="10" applyNumberFormat="1" applyFont="1" applyFill="1" applyBorder="1" applyAlignment="1">
      <alignment vertical="center"/>
    </xf>
    <xf numFmtId="170" fontId="10" fillId="2" borderId="16" xfId="10" applyNumberFormat="1" applyFont="1" applyFill="1" applyBorder="1" applyAlignment="1">
      <alignment vertical="center"/>
    </xf>
    <xf numFmtId="170" fontId="10" fillId="2" borderId="42" xfId="10" applyNumberFormat="1" applyFont="1" applyFill="1" applyBorder="1" applyAlignment="1">
      <alignment vertical="center"/>
    </xf>
    <xf numFmtId="166" fontId="9" fillId="0" borderId="8" xfId="17" applyNumberFormat="1" applyFont="1" applyBorder="1" applyAlignment="1">
      <alignment vertical="center"/>
    </xf>
    <xf numFmtId="0" fontId="9" fillId="0" borderId="83" xfId="2" applyFont="1" applyBorder="1" applyAlignment="1">
      <alignment vertical="center"/>
    </xf>
    <xf numFmtId="0" fontId="9" fillId="0" borderId="7" xfId="2" applyFont="1" applyBorder="1" applyAlignment="1">
      <alignment vertical="center"/>
    </xf>
    <xf numFmtId="0" fontId="9" fillId="0" borderId="3" xfId="2" applyFont="1" applyBorder="1" applyAlignment="1">
      <alignment vertical="center"/>
    </xf>
    <xf numFmtId="170" fontId="9" fillId="0" borderId="4" xfId="10" applyNumberFormat="1" applyFont="1" applyBorder="1" applyAlignment="1">
      <alignment vertical="center"/>
    </xf>
    <xf numFmtId="0" fontId="9" fillId="4" borderId="3" xfId="2" applyFont="1" applyFill="1" applyBorder="1" applyAlignment="1">
      <alignment vertical="center"/>
    </xf>
    <xf numFmtId="0" fontId="9" fillId="10" borderId="3" xfId="2" applyFont="1" applyFill="1" applyBorder="1" applyAlignment="1">
      <alignment vertical="center"/>
    </xf>
    <xf numFmtId="170" fontId="10" fillId="4" borderId="4" xfId="10" applyNumberFormat="1" applyFont="1" applyFill="1" applyBorder="1" applyAlignment="1">
      <alignment vertical="center"/>
    </xf>
    <xf numFmtId="177" fontId="9" fillId="0" borderId="0" xfId="2" applyNumberFormat="1" applyFont="1" applyAlignment="1">
      <alignment vertical="center"/>
    </xf>
    <xf numFmtId="177" fontId="10" fillId="2" borderId="18" xfId="22" applyNumberFormat="1" applyFont="1" applyFill="1" applyBorder="1" applyAlignment="1">
      <alignment vertical="center"/>
    </xf>
    <xf numFmtId="177" fontId="10" fillId="2" borderId="20" xfId="22" applyNumberFormat="1" applyFont="1" applyFill="1" applyBorder="1" applyAlignment="1">
      <alignment horizontal="center" vertical="center"/>
    </xf>
    <xf numFmtId="174" fontId="9" fillId="0" borderId="4" xfId="17" applyFont="1" applyBorder="1" applyAlignment="1">
      <alignment vertical="center"/>
    </xf>
    <xf numFmtId="177" fontId="10" fillId="4" borderId="4" xfId="22" applyNumberFormat="1" applyFont="1" applyFill="1" applyBorder="1" applyAlignment="1">
      <alignment vertical="center"/>
    </xf>
    <xf numFmtId="177" fontId="10" fillId="4" borderId="0" xfId="22" applyNumberFormat="1" applyFont="1" applyFill="1" applyBorder="1" applyAlignment="1">
      <alignment horizontal="center" vertical="center"/>
    </xf>
    <xf numFmtId="0" fontId="9" fillId="4" borderId="0" xfId="2" applyFont="1" applyFill="1" applyBorder="1" applyAlignment="1">
      <alignment horizontal="center" vertical="center"/>
    </xf>
    <xf numFmtId="177" fontId="9" fillId="0" borderId="4" xfId="22" applyNumberFormat="1" applyFont="1" applyBorder="1" applyAlignment="1">
      <alignment vertical="center"/>
    </xf>
    <xf numFmtId="177" fontId="9" fillId="0" borderId="4" xfId="22" applyNumberFormat="1" applyFont="1" applyFill="1" applyBorder="1" applyAlignment="1">
      <alignment vertical="center"/>
    </xf>
    <xf numFmtId="0" fontId="10" fillId="4" borderId="0" xfId="2" applyFont="1" applyFill="1" applyBorder="1" applyAlignment="1">
      <alignment horizontal="center" vertical="center"/>
    </xf>
    <xf numFmtId="177" fontId="9" fillId="0" borderId="0" xfId="0" applyNumberFormat="1" applyFont="1"/>
    <xf numFmtId="170" fontId="2" fillId="0" borderId="0" xfId="10" applyNumberFormat="1" applyFont="1"/>
    <xf numFmtId="3" fontId="10" fillId="4" borderId="0" xfId="2" applyNumberFormat="1" applyFont="1" applyFill="1" applyBorder="1" applyAlignment="1">
      <alignment horizontal="center" vertical="center"/>
    </xf>
    <xf numFmtId="43" fontId="9" fillId="0" borderId="0" xfId="10" applyFont="1"/>
    <xf numFmtId="0" fontId="54" fillId="0" borderId="0" xfId="0" applyFont="1"/>
    <xf numFmtId="0" fontId="37" fillId="0" borderId="0" xfId="0" applyFont="1"/>
    <xf numFmtId="177" fontId="10" fillId="2" borderId="18" xfId="22" applyNumberFormat="1" applyFont="1" applyFill="1" applyBorder="1" applyAlignment="1">
      <alignment horizontal="center" vertical="center"/>
    </xf>
    <xf numFmtId="177" fontId="10" fillId="2" borderId="19" xfId="22" applyNumberFormat="1" applyFont="1" applyFill="1" applyBorder="1" applyAlignment="1">
      <alignment horizontal="center" vertical="center"/>
    </xf>
    <xf numFmtId="170" fontId="9" fillId="0" borderId="0" xfId="0" applyNumberFormat="1" applyFont="1"/>
    <xf numFmtId="0" fontId="10" fillId="3" borderId="14" xfId="2" applyFont="1" applyFill="1" applyBorder="1" applyAlignment="1">
      <alignment horizontal="center" vertical="center"/>
    </xf>
    <xf numFmtId="174" fontId="10" fillId="4" borderId="13" xfId="17" applyFont="1" applyFill="1" applyBorder="1" applyAlignment="1">
      <alignment vertical="center"/>
    </xf>
    <xf numFmtId="166" fontId="9" fillId="0" borderId="0" xfId="17" applyNumberFormat="1" applyFont="1" applyBorder="1" applyAlignment="1">
      <alignment vertical="center"/>
    </xf>
    <xf numFmtId="0" fontId="9" fillId="3" borderId="4" xfId="2" applyFont="1" applyFill="1" applyBorder="1" applyAlignment="1">
      <alignment vertical="center"/>
    </xf>
    <xf numFmtId="166" fontId="0" fillId="0" borderId="0" xfId="0" applyNumberFormat="1"/>
    <xf numFmtId="166" fontId="8" fillId="0" borderId="0" xfId="2" applyNumberFormat="1" applyFont="1" applyFill="1" applyAlignment="1">
      <alignment vertical="center"/>
    </xf>
    <xf numFmtId="166" fontId="10" fillId="4" borderId="13" xfId="17" applyNumberFormat="1" applyFont="1" applyFill="1" applyBorder="1" applyAlignment="1">
      <alignment vertical="center"/>
    </xf>
    <xf numFmtId="166" fontId="10" fillId="4" borderId="0" xfId="2" applyNumberFormat="1" applyFont="1" applyFill="1" applyBorder="1" applyAlignment="1">
      <alignment vertical="center"/>
    </xf>
    <xf numFmtId="166" fontId="10" fillId="4" borderId="3" xfId="2" applyNumberFormat="1" applyFont="1" applyFill="1" applyBorder="1" applyAlignment="1">
      <alignment vertical="center"/>
    </xf>
    <xf numFmtId="166" fontId="9" fillId="0" borderId="0" xfId="2" applyNumberFormat="1" applyFont="1" applyAlignment="1">
      <alignment vertical="center"/>
    </xf>
    <xf numFmtId="166" fontId="55" fillId="0" borderId="0" xfId="0" applyNumberFormat="1" applyFont="1" applyAlignment="1">
      <alignment horizontal="center"/>
    </xf>
    <xf numFmtId="166" fontId="9" fillId="0" borderId="0" xfId="0" applyNumberFormat="1" applyFont="1"/>
    <xf numFmtId="166" fontId="10" fillId="2" borderId="18" xfId="17" applyNumberFormat="1" applyFont="1" applyFill="1" applyBorder="1" applyAlignment="1">
      <alignment vertical="center"/>
    </xf>
    <xf numFmtId="166" fontId="10" fillId="2" borderId="20" xfId="17" applyNumberFormat="1" applyFont="1" applyFill="1" applyBorder="1" applyAlignment="1">
      <alignment vertical="center"/>
    </xf>
    <xf numFmtId="166" fontId="9" fillId="0" borderId="4" xfId="2" applyNumberFormat="1" applyFont="1" applyBorder="1" applyAlignment="1">
      <alignment vertical="center"/>
    </xf>
    <xf numFmtId="9" fontId="9" fillId="0" borderId="0" xfId="0" applyNumberFormat="1" applyFont="1"/>
    <xf numFmtId="10" fontId="9" fillId="0" borderId="0" xfId="0" applyNumberFormat="1" applyFont="1"/>
    <xf numFmtId="43" fontId="55" fillId="0" borderId="0" xfId="10" applyFont="1"/>
    <xf numFmtId="0" fontId="9" fillId="0" borderId="0" xfId="2" applyFont="1" applyFill="1" applyBorder="1" applyAlignment="1">
      <alignment vertical="center"/>
    </xf>
    <xf numFmtId="166" fontId="10" fillId="3" borderId="4" xfId="17" applyNumberFormat="1" applyFont="1" applyFill="1" applyBorder="1" applyAlignment="1">
      <alignment vertical="center"/>
    </xf>
    <xf numFmtId="0" fontId="10" fillId="3" borderId="0" xfId="2" applyFont="1" applyFill="1" applyBorder="1" applyAlignment="1">
      <alignment vertical="center"/>
    </xf>
    <xf numFmtId="174" fontId="10" fillId="4" borderId="4" xfId="17" applyFont="1" applyFill="1" applyBorder="1" applyAlignment="1">
      <alignment vertical="center"/>
    </xf>
    <xf numFmtId="0" fontId="10" fillId="3" borderId="3" xfId="2" applyFont="1" applyFill="1" applyBorder="1" applyAlignment="1">
      <alignment vertical="center"/>
    </xf>
    <xf numFmtId="170" fontId="9" fillId="10" borderId="4" xfId="10" applyNumberFormat="1" applyFont="1" applyFill="1" applyBorder="1" applyAlignment="1">
      <alignment vertical="center"/>
    </xf>
    <xf numFmtId="170" fontId="10" fillId="2" borderId="18" xfId="2" applyNumberFormat="1" applyFont="1" applyFill="1" applyBorder="1" applyAlignment="1">
      <alignment vertical="center"/>
    </xf>
    <xf numFmtId="170" fontId="10" fillId="2" borderId="42" xfId="2" applyNumberFormat="1" applyFont="1" applyFill="1" applyBorder="1" applyAlignment="1">
      <alignment vertical="center"/>
    </xf>
    <xf numFmtId="41" fontId="10" fillId="2" borderId="42" xfId="2" applyNumberFormat="1" applyFont="1" applyFill="1" applyBorder="1" applyAlignment="1">
      <alignment vertical="center"/>
    </xf>
    <xf numFmtId="170" fontId="10" fillId="2" borderId="20" xfId="2" applyNumberFormat="1" applyFont="1" applyFill="1" applyBorder="1" applyAlignment="1">
      <alignment vertical="center"/>
    </xf>
    <xf numFmtId="41" fontId="10" fillId="2" borderId="15" xfId="2" applyNumberFormat="1" applyFont="1" applyFill="1" applyBorder="1" applyAlignment="1">
      <alignment vertical="center"/>
    </xf>
    <xf numFmtId="170" fontId="10" fillId="0" borderId="29" xfId="2" applyNumberFormat="1" applyFont="1" applyFill="1" applyBorder="1" applyAlignment="1">
      <alignment vertical="center"/>
    </xf>
    <xf numFmtId="170" fontId="9" fillId="0" borderId="26" xfId="2" applyNumberFormat="1" applyFont="1" applyFill="1" applyBorder="1" applyAlignment="1">
      <alignment vertical="center"/>
    </xf>
    <xf numFmtId="170" fontId="9" fillId="0" borderId="62" xfId="10" applyNumberFormat="1" applyFont="1" applyFill="1" applyBorder="1" applyAlignment="1">
      <alignment vertical="center"/>
    </xf>
    <xf numFmtId="41" fontId="9" fillId="0" borderId="26" xfId="2" applyNumberFormat="1" applyFont="1" applyFill="1" applyBorder="1" applyAlignment="1">
      <alignment vertical="center"/>
    </xf>
    <xf numFmtId="0" fontId="10" fillId="7" borderId="68" xfId="2" applyFont="1" applyFill="1" applyBorder="1" applyAlignment="1">
      <alignment horizontal="center" vertical="center" wrapText="1"/>
    </xf>
    <xf numFmtId="0" fontId="10" fillId="7" borderId="67" xfId="2" applyFont="1" applyFill="1" applyBorder="1" applyAlignment="1">
      <alignment horizontal="center" vertical="center" wrapText="1"/>
    </xf>
    <xf numFmtId="41" fontId="10" fillId="0" borderId="26" xfId="2" applyNumberFormat="1" applyFont="1" applyFill="1" applyBorder="1" applyAlignment="1">
      <alignment vertical="center"/>
    </xf>
    <xf numFmtId="41" fontId="10" fillId="0" borderId="27" xfId="2" applyNumberFormat="1" applyFont="1" applyFill="1" applyBorder="1" applyAlignment="1">
      <alignment vertical="center"/>
    </xf>
    <xf numFmtId="170" fontId="9" fillId="0" borderId="27" xfId="10" applyNumberFormat="1" applyFont="1" applyFill="1" applyBorder="1" applyAlignment="1">
      <alignment vertical="center"/>
    </xf>
    <xf numFmtId="170" fontId="10" fillId="0" borderId="0" xfId="10" applyNumberFormat="1" applyFont="1" applyFill="1" applyBorder="1" applyAlignment="1">
      <alignment vertical="center"/>
    </xf>
    <xf numFmtId="3" fontId="9" fillId="0" borderId="0" xfId="0" applyNumberFormat="1" applyFont="1"/>
    <xf numFmtId="3" fontId="10" fillId="2" borderId="18" xfId="2" applyNumberFormat="1" applyFont="1" applyFill="1" applyBorder="1" applyAlignment="1">
      <alignment vertical="center"/>
    </xf>
    <xf numFmtId="3" fontId="10" fillId="2" borderId="42" xfId="2" applyNumberFormat="1" applyFont="1" applyFill="1" applyBorder="1" applyAlignment="1">
      <alignment vertical="center"/>
    </xf>
    <xf numFmtId="170" fontId="9" fillId="0" borderId="26" xfId="10" applyNumberFormat="1" applyFont="1" applyFill="1" applyBorder="1" applyAlignment="1">
      <alignment vertical="center"/>
    </xf>
    <xf numFmtId="3" fontId="10" fillId="0" borderId="0" xfId="2" applyNumberFormat="1" applyFont="1" applyFill="1" applyBorder="1" applyAlignment="1">
      <alignment vertical="center"/>
    </xf>
    <xf numFmtId="4" fontId="10" fillId="2" borderId="43" xfId="2" applyNumberFormat="1" applyFont="1" applyFill="1" applyBorder="1" applyAlignment="1">
      <alignment vertical="center"/>
    </xf>
    <xf numFmtId="4" fontId="10" fillId="2" borderId="18" xfId="2" applyNumberFormat="1" applyFont="1" applyFill="1" applyBorder="1" applyAlignment="1">
      <alignment vertical="center"/>
    </xf>
    <xf numFmtId="0" fontId="9" fillId="0" borderId="26" xfId="2" applyFont="1" applyFill="1" applyBorder="1" applyAlignment="1">
      <alignment vertical="center"/>
    </xf>
    <xf numFmtId="0" fontId="9" fillId="0" borderId="27" xfId="2" applyFont="1" applyFill="1" applyBorder="1" applyAlignment="1">
      <alignment vertical="center"/>
    </xf>
    <xf numFmtId="41" fontId="9" fillId="0" borderId="30" xfId="2" applyNumberFormat="1" applyFont="1" applyFill="1" applyBorder="1" applyAlignment="1">
      <alignment vertical="center"/>
    </xf>
    <xf numFmtId="0" fontId="10" fillId="7" borderId="42" xfId="2" applyFont="1" applyFill="1" applyBorder="1" applyAlignment="1">
      <alignment horizontal="center" vertical="center" wrapText="1"/>
    </xf>
    <xf numFmtId="0" fontId="9" fillId="0" borderId="93" xfId="2" applyFont="1" applyBorder="1" applyAlignment="1">
      <alignment horizontal="center" vertical="center"/>
    </xf>
    <xf numFmtId="1" fontId="10" fillId="4" borderId="93" xfId="2" applyNumberFormat="1" applyFont="1" applyFill="1" applyBorder="1" applyAlignment="1">
      <alignment horizontal="center" vertical="center"/>
    </xf>
    <xf numFmtId="0" fontId="10" fillId="4" borderId="93" xfId="2" applyFont="1" applyFill="1" applyBorder="1" applyAlignment="1">
      <alignment horizontal="center" vertical="center"/>
    </xf>
    <xf numFmtId="0" fontId="9" fillId="4" borderId="93" xfId="2" applyFont="1" applyFill="1" applyBorder="1" applyAlignment="1">
      <alignment horizontal="center" vertical="center"/>
    </xf>
    <xf numFmtId="3" fontId="10" fillId="4" borderId="14" xfId="2" applyNumberFormat="1" applyFont="1" applyFill="1" applyBorder="1" applyAlignment="1">
      <alignment horizontal="center" vertical="center"/>
    </xf>
    <xf numFmtId="170" fontId="10" fillId="4" borderId="43" xfId="10" applyNumberFormat="1" applyFont="1" applyFill="1" applyBorder="1" applyAlignment="1">
      <alignment horizontal="right" vertical="center"/>
    </xf>
    <xf numFmtId="1" fontId="10" fillId="4" borderId="20" xfId="0" applyNumberFormat="1" applyFont="1" applyFill="1" applyBorder="1" applyAlignment="1">
      <alignment horizontal="center" vertical="center"/>
    </xf>
    <xf numFmtId="170" fontId="10" fillId="4" borderId="16" xfId="10" applyNumberFormat="1" applyFont="1" applyFill="1" applyBorder="1" applyAlignment="1">
      <alignment horizontal="right" vertical="center"/>
    </xf>
    <xf numFmtId="4" fontId="10" fillId="4" borderId="42" xfId="0" applyNumberFormat="1" applyFont="1" applyFill="1" applyBorder="1" applyAlignment="1">
      <alignment horizontal="right" vertical="center"/>
    </xf>
    <xf numFmtId="1" fontId="10" fillId="4" borderId="5" xfId="0" applyNumberFormat="1" applyFont="1" applyFill="1" applyBorder="1" applyAlignment="1">
      <alignment horizontal="center" vertical="center"/>
    </xf>
    <xf numFmtId="0" fontId="10" fillId="4" borderId="5" xfId="0" applyFont="1" applyFill="1" applyBorder="1" applyAlignment="1">
      <alignment horizontal="center" vertical="center"/>
    </xf>
    <xf numFmtId="4" fontId="9" fillId="0" borderId="14" xfId="0" applyNumberFormat="1" applyFont="1" applyBorder="1" applyAlignment="1">
      <alignment vertical="center"/>
    </xf>
    <xf numFmtId="0" fontId="9" fillId="0" borderId="14" xfId="0" applyFont="1" applyBorder="1" applyAlignment="1">
      <alignment horizontal="center" vertical="center"/>
    </xf>
    <xf numFmtId="0" fontId="9" fillId="0" borderId="4" xfId="0" applyNumberFormat="1" applyFont="1" applyBorder="1" applyAlignment="1">
      <alignment horizontal="center" vertical="center"/>
    </xf>
    <xf numFmtId="4" fontId="9" fillId="0" borderId="13" xfId="0" applyNumberFormat="1" applyFont="1" applyBorder="1" applyAlignment="1">
      <alignment vertical="center"/>
    </xf>
    <xf numFmtId="4" fontId="9" fillId="0" borderId="56" xfId="0" applyNumberFormat="1" applyFont="1" applyBorder="1" applyAlignment="1">
      <alignment vertical="center"/>
    </xf>
    <xf numFmtId="4" fontId="9" fillId="0" borderId="50" xfId="0" applyNumberFormat="1" applyFont="1" applyBorder="1" applyAlignment="1">
      <alignment vertical="center"/>
    </xf>
    <xf numFmtId="0" fontId="9" fillId="0" borderId="50" xfId="0" applyFont="1" applyBorder="1" applyAlignment="1">
      <alignment vertical="center"/>
    </xf>
    <xf numFmtId="170" fontId="9" fillId="0" borderId="13" xfId="10" applyNumberFormat="1" applyFont="1" applyBorder="1" applyAlignment="1">
      <alignment vertical="center"/>
    </xf>
    <xf numFmtId="4" fontId="9" fillId="0" borderId="57" xfId="0" applyNumberFormat="1" applyFont="1" applyBorder="1" applyAlignment="1">
      <alignment vertical="center"/>
    </xf>
    <xf numFmtId="170" fontId="9" fillId="0" borderId="57" xfId="10" applyNumberFormat="1" applyFont="1" applyBorder="1" applyAlignment="1">
      <alignment vertical="center"/>
    </xf>
    <xf numFmtId="1" fontId="10" fillId="4" borderId="0" xfId="0" applyNumberFormat="1" applyFont="1" applyFill="1" applyBorder="1" applyAlignment="1">
      <alignment horizontal="center" vertical="center"/>
    </xf>
    <xf numFmtId="4" fontId="10" fillId="3" borderId="14" xfId="0" applyNumberFormat="1" applyFont="1" applyFill="1" applyBorder="1" applyAlignment="1">
      <alignment vertical="center"/>
    </xf>
    <xf numFmtId="0" fontId="10" fillId="3" borderId="14" xfId="0" applyNumberFormat="1" applyFont="1" applyFill="1" applyBorder="1" applyAlignment="1">
      <alignment horizontal="center" vertical="center"/>
    </xf>
    <xf numFmtId="4" fontId="10" fillId="3" borderId="4" xfId="0" applyNumberFormat="1" applyFont="1" applyFill="1" applyBorder="1" applyAlignment="1">
      <alignment vertical="center"/>
    </xf>
    <xf numFmtId="4" fontId="10" fillId="3" borderId="13" xfId="0" applyNumberFormat="1" applyFont="1" applyFill="1" applyBorder="1" applyAlignment="1">
      <alignment vertical="center"/>
    </xf>
    <xf numFmtId="4" fontId="10" fillId="3" borderId="56" xfId="0" applyNumberFormat="1" applyFont="1" applyFill="1" applyBorder="1" applyAlignment="1">
      <alignment vertical="center"/>
    </xf>
    <xf numFmtId="4" fontId="10" fillId="3" borderId="50" xfId="0" applyNumberFormat="1" applyFont="1" applyFill="1" applyBorder="1" applyAlignment="1">
      <alignment vertical="center"/>
    </xf>
    <xf numFmtId="0" fontId="10" fillId="3" borderId="0" xfId="0" applyFont="1" applyFill="1" applyBorder="1" applyAlignment="1">
      <alignment vertical="center"/>
    </xf>
    <xf numFmtId="0" fontId="10" fillId="3" borderId="13" xfId="0" applyFont="1" applyFill="1" applyBorder="1" applyAlignment="1">
      <alignment vertical="center"/>
    </xf>
    <xf numFmtId="0" fontId="10" fillId="3" borderId="50" xfId="0" applyFont="1" applyFill="1" applyBorder="1" applyAlignment="1">
      <alignment vertical="center"/>
    </xf>
    <xf numFmtId="170" fontId="10" fillId="3" borderId="13" xfId="10" applyNumberFormat="1" applyFont="1" applyFill="1" applyBorder="1" applyAlignment="1">
      <alignment vertical="center"/>
    </xf>
    <xf numFmtId="170" fontId="10" fillId="3" borderId="57" xfId="10" applyNumberFormat="1" applyFont="1" applyFill="1" applyBorder="1" applyAlignment="1">
      <alignment vertical="center"/>
    </xf>
    <xf numFmtId="0" fontId="10" fillId="3" borderId="14" xfId="0" applyFont="1" applyFill="1" applyBorder="1" applyAlignment="1">
      <alignment horizontal="center" vertical="center"/>
    </xf>
    <xf numFmtId="0" fontId="10" fillId="3" borderId="57" xfId="0" applyNumberFormat="1" applyFont="1" applyFill="1" applyBorder="1" applyAlignment="1">
      <alignment horizontal="center" vertical="center"/>
    </xf>
    <xf numFmtId="4" fontId="10" fillId="3" borderId="57" xfId="0" applyNumberFormat="1" applyFont="1" applyFill="1" applyBorder="1" applyAlignment="1">
      <alignment vertical="center"/>
    </xf>
    <xf numFmtId="4" fontId="9" fillId="4" borderId="13" xfId="0" applyNumberFormat="1" applyFont="1" applyFill="1" applyBorder="1" applyAlignment="1">
      <alignment vertical="center"/>
    </xf>
    <xf numFmtId="0" fontId="9" fillId="4" borderId="13" xfId="0" applyFont="1" applyFill="1" applyBorder="1" applyAlignment="1">
      <alignment vertical="center"/>
    </xf>
    <xf numFmtId="4" fontId="9" fillId="4" borderId="56" xfId="0" applyNumberFormat="1" applyFont="1" applyFill="1" applyBorder="1" applyAlignment="1">
      <alignment vertical="center"/>
    </xf>
    <xf numFmtId="4" fontId="9" fillId="4" borderId="50" xfId="0" applyNumberFormat="1" applyFont="1" applyFill="1" applyBorder="1" applyAlignment="1">
      <alignment vertical="center"/>
    </xf>
    <xf numFmtId="0" fontId="9" fillId="4" borderId="50" xfId="0" applyFont="1" applyFill="1" applyBorder="1" applyAlignment="1">
      <alignment vertical="center"/>
    </xf>
    <xf numFmtId="4" fontId="9" fillId="4" borderId="57" xfId="0" applyNumberFormat="1" applyFont="1" applyFill="1" applyBorder="1" applyAlignment="1">
      <alignment vertical="center"/>
    </xf>
    <xf numFmtId="0" fontId="9" fillId="4" borderId="14" xfId="0" applyFont="1" applyFill="1" applyBorder="1" applyAlignment="1">
      <alignment vertical="center"/>
    </xf>
    <xf numFmtId="0" fontId="10" fillId="7" borderId="53" xfId="0" applyFont="1" applyFill="1" applyBorder="1" applyAlignment="1">
      <alignment horizontal="center" vertical="center" textRotation="90" wrapText="1"/>
    </xf>
    <xf numFmtId="0" fontId="10" fillId="7" borderId="54" xfId="0" applyFont="1" applyFill="1" applyBorder="1" applyAlignment="1">
      <alignment horizontal="center" vertical="center" textRotation="90" wrapText="1"/>
    </xf>
    <xf numFmtId="170" fontId="57" fillId="0" borderId="8" xfId="10" applyNumberFormat="1" applyFont="1" applyBorder="1" applyAlignment="1">
      <alignment horizontal="right" vertical="center"/>
    </xf>
    <xf numFmtId="170" fontId="9" fillId="0" borderId="11" xfId="10" applyNumberFormat="1" applyFont="1" applyBorder="1" applyAlignment="1">
      <alignment vertical="center"/>
    </xf>
    <xf numFmtId="170" fontId="9" fillId="0" borderId="51" xfId="10" applyNumberFormat="1" applyFont="1" applyBorder="1" applyAlignment="1">
      <alignment vertical="center"/>
    </xf>
    <xf numFmtId="3" fontId="60" fillId="0" borderId="51" xfId="2" applyNumberFormat="1" applyFont="1" applyBorder="1" applyAlignment="1">
      <alignment horizontal="right" vertical="center"/>
    </xf>
    <xf numFmtId="3" fontId="53" fillId="0" borderId="51" xfId="2" applyNumberFormat="1" applyFont="1" applyBorder="1" applyAlignment="1">
      <alignment horizontal="right" vertical="center"/>
    </xf>
    <xf numFmtId="3" fontId="53" fillId="0" borderId="9" xfId="2" applyNumberFormat="1" applyFont="1" applyBorder="1" applyAlignment="1">
      <alignment horizontal="center" vertical="center"/>
    </xf>
    <xf numFmtId="3" fontId="53" fillId="0" borderId="8" xfId="2" applyNumberFormat="1" applyFont="1" applyBorder="1" applyAlignment="1">
      <alignment horizontal="right" vertical="center"/>
    </xf>
    <xf numFmtId="170" fontId="61" fillId="0" borderId="4" xfId="10" applyNumberFormat="1" applyFont="1" applyBorder="1" applyAlignment="1">
      <alignment horizontal="right" vertical="center"/>
    </xf>
    <xf numFmtId="3" fontId="9" fillId="0" borderId="4" xfId="2" applyNumberFormat="1" applyFont="1" applyBorder="1" applyAlignment="1">
      <alignment horizontal="right" vertical="center"/>
    </xf>
    <xf numFmtId="170" fontId="9" fillId="0" borderId="50" xfId="10" applyNumberFormat="1" applyFont="1" applyBorder="1" applyAlignment="1">
      <alignment vertical="center"/>
    </xf>
    <xf numFmtId="3" fontId="60" fillId="0" borderId="50" xfId="2" applyNumberFormat="1" applyFont="1" applyBorder="1" applyAlignment="1">
      <alignment horizontal="right" vertical="center"/>
    </xf>
    <xf numFmtId="3" fontId="53" fillId="0" borderId="50" xfId="2" applyNumberFormat="1" applyFont="1" applyBorder="1" applyAlignment="1">
      <alignment horizontal="right" vertical="center"/>
    </xf>
    <xf numFmtId="3" fontId="53" fillId="0" borderId="57" xfId="2" applyNumberFormat="1" applyFont="1" applyBorder="1" applyAlignment="1">
      <alignment horizontal="center" vertical="center"/>
    </xf>
    <xf numFmtId="3" fontId="53" fillId="0" borderId="4" xfId="2" applyNumberFormat="1" applyFont="1" applyBorder="1" applyAlignment="1">
      <alignment horizontal="right" vertical="center"/>
    </xf>
    <xf numFmtId="170" fontId="59" fillId="0" borderId="4" xfId="10" applyNumberFormat="1" applyFont="1" applyBorder="1" applyAlignment="1">
      <alignment horizontal="right" vertical="center"/>
    </xf>
    <xf numFmtId="3" fontId="60" fillId="0" borderId="57" xfId="2" applyNumberFormat="1" applyFont="1" applyBorder="1" applyAlignment="1">
      <alignment horizontal="center" vertical="center"/>
    </xf>
    <xf numFmtId="170" fontId="57" fillId="4" borderId="4" xfId="10" applyNumberFormat="1" applyFont="1" applyFill="1" applyBorder="1" applyAlignment="1">
      <alignment horizontal="right" vertical="center"/>
    </xf>
    <xf numFmtId="3" fontId="57" fillId="4" borderId="4" xfId="2" applyNumberFormat="1" applyFont="1" applyFill="1" applyBorder="1" applyAlignment="1">
      <alignment horizontal="center" vertical="center"/>
    </xf>
    <xf numFmtId="3" fontId="58" fillId="4" borderId="4" xfId="2" applyNumberFormat="1" applyFont="1" applyFill="1" applyBorder="1" applyAlignment="1">
      <alignment horizontal="center" vertical="center"/>
    </xf>
    <xf numFmtId="170" fontId="58" fillId="4" borderId="56" xfId="10" applyNumberFormat="1" applyFont="1" applyFill="1" applyBorder="1" applyAlignment="1">
      <alignment horizontal="center" vertical="center"/>
    </xf>
    <xf numFmtId="170" fontId="58" fillId="4" borderId="50" xfId="10" applyNumberFormat="1" applyFont="1" applyFill="1" applyBorder="1" applyAlignment="1">
      <alignment horizontal="center" vertical="center"/>
    </xf>
    <xf numFmtId="3" fontId="58" fillId="4" borderId="50" xfId="2" applyNumberFormat="1" applyFont="1" applyFill="1" applyBorder="1" applyAlignment="1">
      <alignment horizontal="center" vertical="center"/>
    </xf>
    <xf numFmtId="3" fontId="58" fillId="4" borderId="57" xfId="2" applyNumberFormat="1" applyFont="1" applyFill="1" applyBorder="1" applyAlignment="1">
      <alignment horizontal="center" vertical="center"/>
    </xf>
    <xf numFmtId="3" fontId="58" fillId="4" borderId="4" xfId="2" applyNumberFormat="1" applyFont="1" applyFill="1" applyBorder="1" applyAlignment="1">
      <alignment horizontal="right" vertical="center"/>
    </xf>
    <xf numFmtId="0" fontId="58" fillId="4" borderId="3" xfId="2" applyFont="1" applyFill="1" applyBorder="1" applyAlignment="1">
      <alignment horizontal="justify" vertical="center" wrapText="1"/>
    </xf>
    <xf numFmtId="3" fontId="60" fillId="0" borderId="50" xfId="2" applyNumberFormat="1" applyFont="1" applyBorder="1" applyAlignment="1">
      <alignment vertical="center"/>
    </xf>
    <xf numFmtId="3" fontId="53" fillId="0" borderId="50" xfId="2" applyNumberFormat="1" applyFont="1" applyBorder="1" applyAlignment="1">
      <alignment vertical="center"/>
    </xf>
    <xf numFmtId="3" fontId="53" fillId="0" borderId="50" xfId="7" applyNumberFormat="1" applyFont="1" applyBorder="1" applyAlignment="1">
      <alignment vertical="center"/>
    </xf>
    <xf numFmtId="3" fontId="53" fillId="0" borderId="57" xfId="7" applyNumberFormat="1" applyFont="1" applyBorder="1" applyAlignment="1">
      <alignment vertical="center"/>
    </xf>
    <xf numFmtId="3" fontId="53" fillId="0" borderId="4" xfId="2" applyNumberFormat="1" applyFont="1" applyBorder="1" applyAlignment="1">
      <alignment vertical="center"/>
    </xf>
    <xf numFmtId="170" fontId="57" fillId="0" borderId="4" xfId="10" applyNumberFormat="1" applyFont="1" applyFill="1" applyBorder="1" applyAlignment="1">
      <alignment horizontal="right" vertical="center"/>
    </xf>
    <xf numFmtId="3" fontId="59" fillId="0" borderId="4" xfId="2" applyNumberFormat="1" applyFont="1" applyFill="1" applyBorder="1" applyAlignment="1">
      <alignment horizontal="center" vertical="center"/>
    </xf>
    <xf numFmtId="3" fontId="60" fillId="0" borderId="50" xfId="2" applyNumberFormat="1" applyFont="1" applyFill="1" applyBorder="1" applyAlignment="1">
      <alignment horizontal="right" vertical="center"/>
    </xf>
    <xf numFmtId="3" fontId="53" fillId="0" borderId="50" xfId="2" applyNumberFormat="1" applyFont="1" applyFill="1" applyBorder="1" applyAlignment="1">
      <alignment horizontal="right" vertical="center"/>
    </xf>
    <xf numFmtId="3" fontId="53" fillId="0" borderId="57" xfId="2" applyNumberFormat="1" applyFont="1" applyFill="1" applyBorder="1" applyAlignment="1">
      <alignment horizontal="center" vertical="center"/>
    </xf>
    <xf numFmtId="3" fontId="53" fillId="0" borderId="4" xfId="2" applyNumberFormat="1" applyFont="1" applyFill="1" applyBorder="1" applyAlignment="1">
      <alignment horizontal="right" vertical="center"/>
    </xf>
    <xf numFmtId="0" fontId="53" fillId="0" borderId="3" xfId="2" applyFont="1" applyBorder="1" applyAlignment="1">
      <alignment horizontal="justify" vertical="center" wrapText="1"/>
    </xf>
    <xf numFmtId="170" fontId="57" fillId="4" borderId="4" xfId="10" applyNumberFormat="1" applyFont="1" applyFill="1" applyBorder="1" applyAlignment="1">
      <alignment horizontal="right" vertical="center" wrapText="1"/>
    </xf>
    <xf numFmtId="3" fontId="57" fillId="4" borderId="4" xfId="2" applyNumberFormat="1" applyFont="1" applyFill="1" applyBorder="1" applyAlignment="1">
      <alignment horizontal="center" vertical="center" wrapText="1"/>
    </xf>
    <xf numFmtId="3" fontId="10" fillId="4" borderId="14" xfId="2" applyNumberFormat="1" applyFont="1" applyFill="1" applyBorder="1" applyAlignment="1">
      <alignment horizontal="center" vertical="center" wrapText="1"/>
    </xf>
    <xf numFmtId="3" fontId="58" fillId="4" borderId="4" xfId="2" applyNumberFormat="1" applyFont="1" applyFill="1" applyBorder="1" applyAlignment="1">
      <alignment horizontal="center" vertical="center" wrapText="1"/>
    </xf>
    <xf numFmtId="170" fontId="58" fillId="4" borderId="56" xfId="10" applyNumberFormat="1" applyFont="1" applyFill="1" applyBorder="1" applyAlignment="1">
      <alignment horizontal="center" vertical="center" wrapText="1"/>
    </xf>
    <xf numFmtId="170" fontId="58" fillId="4" borderId="50" xfId="10" applyNumberFormat="1" applyFont="1" applyFill="1" applyBorder="1" applyAlignment="1">
      <alignment horizontal="center" vertical="center" wrapText="1"/>
    </xf>
    <xf numFmtId="3" fontId="58" fillId="4" borderId="50" xfId="2" applyNumberFormat="1" applyFont="1" applyFill="1" applyBorder="1" applyAlignment="1">
      <alignment horizontal="center" vertical="center" wrapText="1"/>
    </xf>
    <xf numFmtId="3" fontId="58" fillId="4" borderId="57" xfId="2" applyNumberFormat="1" applyFont="1" applyFill="1" applyBorder="1" applyAlignment="1">
      <alignment horizontal="center" vertical="center" wrapText="1"/>
    </xf>
    <xf numFmtId="3" fontId="58" fillId="4" borderId="4" xfId="2" applyNumberFormat="1" applyFont="1" applyFill="1" applyBorder="1" applyAlignment="1">
      <alignment horizontal="right" vertical="center" wrapText="1"/>
    </xf>
    <xf numFmtId="170" fontId="59" fillId="0" borderId="4" xfId="10" applyNumberFormat="1" applyFont="1" applyFill="1" applyBorder="1" applyAlignment="1">
      <alignment horizontal="right" vertical="center"/>
    </xf>
    <xf numFmtId="3" fontId="60" fillId="0" borderId="57" xfId="2" applyNumberFormat="1" applyFont="1" applyFill="1" applyBorder="1" applyAlignment="1">
      <alignment horizontal="center" vertical="center"/>
    </xf>
    <xf numFmtId="170" fontId="61" fillId="0" borderId="4" xfId="10" applyNumberFormat="1" applyFont="1" applyFill="1" applyBorder="1" applyAlignment="1">
      <alignment horizontal="right" vertical="center"/>
    </xf>
    <xf numFmtId="3" fontId="60" fillId="0" borderId="4" xfId="2" applyNumberFormat="1" applyFont="1" applyFill="1" applyBorder="1" applyAlignment="1">
      <alignment horizontal="center" vertical="center"/>
    </xf>
    <xf numFmtId="170" fontId="57" fillId="0" borderId="4" xfId="10" applyNumberFormat="1" applyFont="1" applyBorder="1" applyAlignment="1">
      <alignment horizontal="right" vertical="center"/>
    </xf>
    <xf numFmtId="3" fontId="60" fillId="0" borderId="4" xfId="2" applyNumberFormat="1" applyFont="1" applyBorder="1" applyAlignment="1">
      <alignment horizontal="center" vertical="center"/>
    </xf>
    <xf numFmtId="3" fontId="59" fillId="0" borderId="4" xfId="2" applyNumberFormat="1" applyFont="1" applyBorder="1" applyAlignment="1">
      <alignment horizontal="center" vertical="center"/>
    </xf>
    <xf numFmtId="170" fontId="60" fillId="0" borderId="4" xfId="10" applyNumberFormat="1" applyFont="1" applyBorder="1" applyAlignment="1">
      <alignment horizontal="right" vertical="center"/>
    </xf>
    <xf numFmtId="170" fontId="10" fillId="7" borderId="50" xfId="10" applyNumberFormat="1" applyFont="1" applyFill="1" applyBorder="1" applyAlignment="1">
      <alignment horizontal="center" vertical="center" textRotation="90" wrapText="1"/>
    </xf>
    <xf numFmtId="170" fontId="10" fillId="5" borderId="0" xfId="10" applyNumberFormat="1" applyFont="1" applyFill="1" applyAlignment="1">
      <alignment vertical="center"/>
    </xf>
    <xf numFmtId="0" fontId="3" fillId="0" borderId="0" xfId="2" applyFont="1" applyAlignment="1">
      <alignment horizontal="center" vertical="center"/>
    </xf>
    <xf numFmtId="3" fontId="62" fillId="5" borderId="28" xfId="2" applyNumberFormat="1" applyFont="1" applyFill="1" applyBorder="1" applyAlignment="1">
      <alignment horizontal="right" vertical="center"/>
    </xf>
    <xf numFmtId="3" fontId="3" fillId="5" borderId="28" xfId="2" applyNumberFormat="1" applyFont="1" applyFill="1" applyBorder="1" applyAlignment="1">
      <alignment vertical="center"/>
    </xf>
    <xf numFmtId="178" fontId="3" fillId="5" borderId="28" xfId="25" applyNumberFormat="1" applyFont="1" applyFill="1" applyBorder="1" applyAlignment="1">
      <alignment horizontal="center" vertical="center" wrapText="1"/>
    </xf>
    <xf numFmtId="0" fontId="6" fillId="0" borderId="28" xfId="2" applyFont="1" applyBorder="1" applyAlignment="1">
      <alignment horizontal="center" vertical="center" wrapText="1"/>
    </xf>
    <xf numFmtId="3" fontId="3" fillId="5" borderId="50" xfId="2" applyNumberFormat="1" applyFont="1" applyFill="1" applyBorder="1" applyAlignment="1">
      <alignment vertical="center"/>
    </xf>
    <xf numFmtId="3" fontId="18" fillId="5" borderId="28" xfId="26" applyNumberFormat="1" applyFont="1" applyFill="1" applyBorder="1" applyAlignment="1">
      <alignment horizontal="right" vertical="center"/>
    </xf>
    <xf numFmtId="0" fontId="6" fillId="4" borderId="28" xfId="2" applyFont="1" applyFill="1" applyBorder="1" applyAlignment="1">
      <alignment horizontal="center" vertical="center" wrapText="1"/>
    </xf>
    <xf numFmtId="0" fontId="3" fillId="5" borderId="35" xfId="2" applyFont="1" applyFill="1" applyBorder="1" applyAlignment="1">
      <alignment horizontal="center" vertical="center" wrapText="1"/>
    </xf>
    <xf numFmtId="0" fontId="3" fillId="5" borderId="28" xfId="2" applyFont="1" applyFill="1" applyBorder="1" applyAlignment="1">
      <alignment horizontal="center" vertical="center" wrapText="1"/>
    </xf>
    <xf numFmtId="0" fontId="6" fillId="16" borderId="28" xfId="2" applyFont="1" applyFill="1" applyBorder="1" applyAlignment="1">
      <alignment horizontal="center" vertical="center" wrapText="1"/>
    </xf>
    <xf numFmtId="3" fontId="6" fillId="4" borderId="28" xfId="20" applyNumberFormat="1" applyFont="1" applyFill="1" applyBorder="1" applyAlignment="1">
      <alignment vertical="center"/>
    </xf>
    <xf numFmtId="3" fontId="3" fillId="4" borderId="28" xfId="20" applyNumberFormat="1" applyFont="1" applyFill="1" applyBorder="1" applyAlignment="1">
      <alignment vertical="center"/>
    </xf>
    <xf numFmtId="0" fontId="6" fillId="3" borderId="28" xfId="2" applyFont="1" applyFill="1" applyBorder="1" applyAlignment="1">
      <alignment horizontal="center" vertical="center" wrapText="1"/>
    </xf>
    <xf numFmtId="0" fontId="3" fillId="0" borderId="28" xfId="2" applyFont="1" applyBorder="1" applyAlignment="1">
      <alignment horizontal="center" vertical="center" wrapText="1"/>
    </xf>
    <xf numFmtId="0" fontId="3" fillId="5" borderId="28" xfId="2" applyFont="1" applyFill="1" applyBorder="1" applyAlignment="1">
      <alignment horizontal="center" vertical="center"/>
    </xf>
    <xf numFmtId="3" fontId="10" fillId="2" borderId="28" xfId="2" applyNumberFormat="1" applyFont="1" applyFill="1" applyBorder="1" applyAlignment="1">
      <alignment vertical="center"/>
    </xf>
    <xf numFmtId="0" fontId="10" fillId="4" borderId="3" xfId="2" applyFont="1" applyFill="1" applyBorder="1" applyAlignment="1">
      <alignment horizontal="center" vertical="center" wrapText="1"/>
    </xf>
    <xf numFmtId="3" fontId="6" fillId="16" borderId="28" xfId="7" applyNumberFormat="1" applyFont="1" applyFill="1" applyBorder="1" applyAlignment="1">
      <alignment vertical="center"/>
    </xf>
    <xf numFmtId="0" fontId="10" fillId="16" borderId="3" xfId="2" applyFont="1" applyFill="1" applyBorder="1" applyAlignment="1">
      <alignment horizontal="left" vertical="center" wrapText="1"/>
    </xf>
    <xf numFmtId="0" fontId="6" fillId="2" borderId="28" xfId="2" applyFont="1" applyFill="1" applyBorder="1" applyAlignment="1">
      <alignment horizontal="center" vertical="center" wrapText="1"/>
    </xf>
    <xf numFmtId="0" fontId="6" fillId="16" borderId="23" xfId="2" applyFont="1" applyFill="1" applyBorder="1" applyAlignment="1">
      <alignment horizontal="center" vertical="center" wrapText="1"/>
    </xf>
    <xf numFmtId="0" fontId="9" fillId="0" borderId="14" xfId="2" applyFont="1" applyFill="1" applyBorder="1" applyAlignment="1">
      <alignment horizontal="center" vertical="center"/>
    </xf>
    <xf numFmtId="3" fontId="9" fillId="0" borderId="4" xfId="4" applyNumberFormat="1" applyFont="1" applyBorder="1"/>
    <xf numFmtId="0" fontId="9" fillId="0" borderId="14" xfId="4" applyFont="1" applyBorder="1"/>
    <xf numFmtId="0" fontId="9" fillId="0" borderId="14" xfId="2" applyFont="1" applyBorder="1" applyAlignment="1">
      <alignment horizontal="center" vertical="center" wrapText="1"/>
    </xf>
    <xf numFmtId="0" fontId="9" fillId="4" borderId="14" xfId="2" applyFont="1" applyFill="1" applyBorder="1" applyAlignment="1">
      <alignment horizontal="center" vertical="center" wrapText="1"/>
    </xf>
    <xf numFmtId="0" fontId="9" fillId="10" borderId="14" xfId="2" applyFont="1" applyFill="1" applyBorder="1" applyAlignment="1">
      <alignment horizontal="center" vertical="center" wrapText="1"/>
    </xf>
    <xf numFmtId="0" fontId="53" fillId="0" borderId="14" xfId="2" applyFont="1" applyBorder="1" applyAlignment="1">
      <alignment horizontal="center" vertical="center" wrapText="1"/>
    </xf>
    <xf numFmtId="0" fontId="9" fillId="3" borderId="14" xfId="2" applyFont="1" applyFill="1" applyBorder="1" applyAlignment="1">
      <alignment horizontal="center" vertical="center" wrapText="1"/>
    </xf>
    <xf numFmtId="0" fontId="10" fillId="4" borderId="14" xfId="2" applyFont="1" applyFill="1" applyBorder="1" applyAlignment="1">
      <alignment horizontal="center" vertical="center" wrapText="1"/>
    </xf>
    <xf numFmtId="0" fontId="40" fillId="5" borderId="0" xfId="0" applyFont="1" applyFill="1" applyBorder="1"/>
    <xf numFmtId="0" fontId="40" fillId="0" borderId="0" xfId="0" applyFont="1"/>
    <xf numFmtId="0" fontId="64" fillId="5" borderId="0" xfId="0" applyFont="1" applyFill="1" applyBorder="1"/>
    <xf numFmtId="0" fontId="64" fillId="0" borderId="0" xfId="0" applyFont="1"/>
    <xf numFmtId="0" fontId="40" fillId="0" borderId="0" xfId="2" applyFont="1" applyAlignment="1">
      <alignment vertical="center"/>
    </xf>
    <xf numFmtId="0" fontId="65" fillId="0" borderId="0" xfId="2" applyFont="1" applyFill="1" applyBorder="1" applyAlignment="1">
      <alignment horizontal="center" vertical="center"/>
    </xf>
    <xf numFmtId="0" fontId="10" fillId="2" borderId="14" xfId="2" applyFont="1" applyFill="1" applyBorder="1" applyAlignment="1">
      <alignment horizontal="center" vertical="center" wrapText="1"/>
    </xf>
    <xf numFmtId="0" fontId="10" fillId="3" borderId="14" xfId="2" applyFont="1" applyFill="1" applyBorder="1" applyAlignment="1">
      <alignment horizontal="center" vertical="center" wrapText="1"/>
    </xf>
    <xf numFmtId="0" fontId="10" fillId="4" borderId="93" xfId="2" applyFont="1" applyFill="1" applyBorder="1" applyAlignment="1">
      <alignment horizontal="center" vertical="center" wrapText="1"/>
    </xf>
    <xf numFmtId="0" fontId="9" fillId="0" borderId="93" xfId="2" applyFont="1" applyBorder="1" applyAlignment="1">
      <alignment horizontal="center" vertical="center" wrapText="1"/>
    </xf>
    <xf numFmtId="0" fontId="10" fillId="16" borderId="14" xfId="2" applyFont="1" applyFill="1" applyBorder="1" applyAlignment="1">
      <alignment horizontal="center" vertical="center" wrapText="1"/>
    </xf>
    <xf numFmtId="0" fontId="6" fillId="0" borderId="14" xfId="2" applyFont="1" applyBorder="1" applyAlignment="1">
      <alignment vertical="center" wrapText="1"/>
    </xf>
    <xf numFmtId="0" fontId="9" fillId="0" borderId="14" xfId="2" applyFont="1" applyFill="1" applyBorder="1" applyAlignment="1">
      <alignment horizontal="center" vertical="center" wrapText="1"/>
    </xf>
    <xf numFmtId="0" fontId="58" fillId="15" borderId="6" xfId="2" applyFont="1" applyFill="1" applyBorder="1" applyAlignment="1">
      <alignment horizontal="center" vertical="center" wrapText="1"/>
    </xf>
    <xf numFmtId="0" fontId="58" fillId="2" borderId="3" xfId="2" applyFont="1" applyFill="1" applyBorder="1" applyAlignment="1">
      <alignment horizontal="center" vertical="center" wrapText="1"/>
    </xf>
    <xf numFmtId="0" fontId="53" fillId="0" borderId="3" xfId="2" applyFont="1" applyBorder="1" applyAlignment="1">
      <alignment horizontal="center" vertical="center" wrapText="1"/>
    </xf>
    <xf numFmtId="0" fontId="58" fillId="4" borderId="3" xfId="2" applyFont="1" applyFill="1" applyBorder="1" applyAlignment="1">
      <alignment horizontal="center" vertical="center" wrapText="1"/>
    </xf>
    <xf numFmtId="0" fontId="58" fillId="15" borderId="3" xfId="2" applyFont="1" applyFill="1" applyBorder="1" applyAlignment="1">
      <alignment horizontal="center" vertical="center" wrapText="1"/>
    </xf>
    <xf numFmtId="0" fontId="58" fillId="0" borderId="3" xfId="2" applyFont="1" applyBorder="1" applyAlignment="1">
      <alignment horizontal="center" vertical="center" wrapText="1"/>
    </xf>
    <xf numFmtId="0" fontId="10" fillId="4" borderId="14"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9" fillId="0" borderId="14" xfId="0" applyFont="1" applyBorder="1" applyAlignment="1">
      <alignment horizontal="center" vertical="center" wrapText="1"/>
    </xf>
    <xf numFmtId="0" fontId="53" fillId="0" borderId="7" xfId="2" applyFont="1" applyBorder="1" applyAlignment="1">
      <alignment horizontal="center" vertical="center" wrapText="1"/>
    </xf>
    <xf numFmtId="3" fontId="3" fillId="5" borderId="28" xfId="20" applyNumberFormat="1" applyFont="1" applyFill="1" applyBorder="1" applyAlignment="1">
      <alignment vertical="center"/>
    </xf>
    <xf numFmtId="0" fontId="23" fillId="0" borderId="57" xfId="2" applyFont="1" applyFill="1" applyBorder="1" applyAlignment="1">
      <alignment vertical="center"/>
    </xf>
    <xf numFmtId="165" fontId="39" fillId="0" borderId="50" xfId="6" applyNumberFormat="1" applyFont="1" applyFill="1" applyBorder="1" applyAlignment="1">
      <alignment vertical="center"/>
    </xf>
    <xf numFmtId="3" fontId="58" fillId="4" borderId="4" xfId="7" applyNumberFormat="1" applyFont="1" applyFill="1" applyBorder="1" applyAlignment="1">
      <alignment vertical="center"/>
    </xf>
    <xf numFmtId="170" fontId="9" fillId="0" borderId="91" xfId="10" applyNumberFormat="1" applyFont="1" applyBorder="1" applyAlignment="1">
      <alignment vertical="center"/>
    </xf>
    <xf numFmtId="3" fontId="16" fillId="12" borderId="4" xfId="0" applyNumberFormat="1" applyFont="1" applyFill="1" applyBorder="1" applyAlignment="1">
      <alignment vertical="center"/>
    </xf>
    <xf numFmtId="3" fontId="3" fillId="0" borderId="50" xfId="0" applyNumberFormat="1" applyFont="1" applyBorder="1" applyAlignment="1">
      <alignment vertical="center"/>
    </xf>
    <xf numFmtId="3" fontId="3" fillId="0" borderId="26" xfId="3" applyNumberFormat="1" applyFont="1" applyBorder="1" applyAlignment="1">
      <alignment vertical="center"/>
    </xf>
    <xf numFmtId="0" fontId="3" fillId="0" borderId="0" xfId="0" applyFont="1" applyAlignment="1">
      <alignment vertical="center"/>
    </xf>
    <xf numFmtId="3" fontId="53" fillId="0" borderId="4" xfId="7" applyNumberFormat="1" applyFont="1" applyBorder="1" applyAlignment="1">
      <alignment horizontal="right" vertical="center"/>
    </xf>
    <xf numFmtId="0" fontId="10" fillId="5" borderId="0" xfId="0" applyFont="1" applyFill="1" applyAlignment="1">
      <alignment vertical="center"/>
    </xf>
    <xf numFmtId="0" fontId="9" fillId="5" borderId="0" xfId="0" applyFont="1" applyFill="1" applyAlignment="1">
      <alignment vertical="center"/>
    </xf>
    <xf numFmtId="170" fontId="9" fillId="5" borderId="0" xfId="10" applyNumberFormat="1" applyFont="1" applyFill="1" applyAlignment="1">
      <alignment vertical="center"/>
    </xf>
    <xf numFmtId="0" fontId="10" fillId="5" borderId="0" xfId="0" applyFont="1" applyFill="1" applyBorder="1" applyAlignment="1">
      <alignment vertical="center"/>
    </xf>
    <xf numFmtId="0" fontId="10" fillId="7" borderId="14" xfId="0" applyFont="1" applyFill="1" applyBorder="1" applyAlignment="1">
      <alignment horizontal="center" vertical="center"/>
    </xf>
    <xf numFmtId="0" fontId="10" fillId="7" borderId="13" xfId="0" applyFont="1" applyFill="1" applyBorder="1" applyAlignment="1">
      <alignment horizontal="center" vertical="center"/>
    </xf>
    <xf numFmtId="0" fontId="10" fillId="7" borderId="50" xfId="0" applyFont="1" applyFill="1" applyBorder="1" applyAlignment="1">
      <alignment horizontal="center" vertical="center"/>
    </xf>
    <xf numFmtId="0" fontId="10" fillId="7" borderId="50" xfId="0" quotePrefix="1" applyFont="1" applyFill="1" applyBorder="1" applyAlignment="1">
      <alignment horizontal="center" vertical="center"/>
    </xf>
    <xf numFmtId="170" fontId="10" fillId="7" borderId="50" xfId="10" quotePrefix="1" applyNumberFormat="1" applyFont="1" applyFill="1" applyBorder="1" applyAlignment="1">
      <alignment horizontal="center" vertical="center"/>
    </xf>
    <xf numFmtId="0" fontId="10" fillId="7" borderId="55" xfId="0" quotePrefix="1" applyFont="1" applyFill="1" applyBorder="1" applyAlignment="1">
      <alignment horizontal="center" vertical="center"/>
    </xf>
    <xf numFmtId="0" fontId="10" fillId="7" borderId="57" xfId="0" quotePrefix="1" applyFont="1" applyFill="1" applyBorder="1" applyAlignment="1">
      <alignment horizontal="center" vertical="center"/>
    </xf>
    <xf numFmtId="0" fontId="10" fillId="7" borderId="4" xfId="0" quotePrefix="1" applyFont="1" applyFill="1" applyBorder="1" applyAlignment="1">
      <alignment horizontal="center" vertical="center"/>
    </xf>
    <xf numFmtId="0" fontId="10" fillId="7" borderId="8" xfId="0" applyFont="1" applyFill="1" applyBorder="1" applyAlignment="1">
      <alignment horizontal="center" vertical="center"/>
    </xf>
    <xf numFmtId="3" fontId="58" fillId="15" borderId="60" xfId="7" applyNumberFormat="1" applyFont="1" applyFill="1" applyBorder="1" applyAlignment="1">
      <alignment horizontal="center" vertical="center"/>
    </xf>
    <xf numFmtId="3" fontId="58" fillId="15" borderId="49" xfId="7" applyNumberFormat="1" applyFont="1" applyFill="1" applyBorder="1" applyAlignment="1">
      <alignment horizontal="center" vertical="center"/>
    </xf>
    <xf numFmtId="3" fontId="58" fillId="15" borderId="21" xfId="7" applyNumberFormat="1" applyFont="1" applyFill="1" applyBorder="1" applyAlignment="1">
      <alignment horizontal="right" vertical="center"/>
    </xf>
    <xf numFmtId="170" fontId="58" fillId="15" borderId="49" xfId="10" applyNumberFormat="1" applyFont="1" applyFill="1" applyBorder="1" applyAlignment="1">
      <alignment horizontal="center" vertical="center"/>
    </xf>
    <xf numFmtId="170" fontId="58" fillId="15" borderId="54" xfId="10" applyNumberFormat="1" applyFont="1" applyFill="1" applyBorder="1" applyAlignment="1">
      <alignment horizontal="center" vertical="center"/>
    </xf>
    <xf numFmtId="3" fontId="58" fillId="15" borderId="21" xfId="7" applyNumberFormat="1" applyFont="1" applyFill="1" applyBorder="1" applyAlignment="1">
      <alignment horizontal="center" vertical="center"/>
    </xf>
    <xf numFmtId="3" fontId="10" fillId="15" borderId="12" xfId="7" applyNumberFormat="1" applyFont="1" applyFill="1" applyBorder="1" applyAlignment="1">
      <alignment horizontal="center" vertical="center"/>
    </xf>
    <xf numFmtId="3" fontId="57" fillId="15" borderId="21" xfId="7" applyNumberFormat="1" applyFont="1" applyFill="1" applyBorder="1" applyAlignment="1">
      <alignment horizontal="center" vertical="center"/>
    </xf>
    <xf numFmtId="170" fontId="57" fillId="15" borderId="21" xfId="10" applyNumberFormat="1" applyFont="1" applyFill="1" applyBorder="1" applyAlignment="1">
      <alignment horizontal="right" vertical="center"/>
    </xf>
    <xf numFmtId="3" fontId="58" fillId="4" borderId="57" xfId="7" applyNumberFormat="1" applyFont="1" applyFill="1" applyBorder="1" applyAlignment="1">
      <alignment horizontal="center" vertical="center"/>
    </xf>
    <xf numFmtId="3" fontId="58" fillId="4" borderId="50" xfId="7" applyNumberFormat="1" applyFont="1" applyFill="1" applyBorder="1" applyAlignment="1">
      <alignment horizontal="center" vertical="center"/>
    </xf>
    <xf numFmtId="3" fontId="58" fillId="4" borderId="4" xfId="7" applyNumberFormat="1" applyFont="1" applyFill="1" applyBorder="1" applyAlignment="1">
      <alignment horizontal="right" vertical="center"/>
    </xf>
    <xf numFmtId="3" fontId="58" fillId="4" borderId="4" xfId="7" applyNumberFormat="1" applyFont="1" applyFill="1" applyBorder="1" applyAlignment="1">
      <alignment horizontal="center" vertical="center"/>
    </xf>
    <xf numFmtId="3" fontId="10" fillId="4" borderId="14" xfId="7" applyNumberFormat="1" applyFont="1" applyFill="1" applyBorder="1" applyAlignment="1">
      <alignment horizontal="center" vertical="center"/>
    </xf>
    <xf numFmtId="3" fontId="57" fillId="4" borderId="4" xfId="7" applyNumberFormat="1" applyFont="1" applyFill="1" applyBorder="1" applyAlignment="1">
      <alignment horizontal="center" vertical="center"/>
    </xf>
    <xf numFmtId="3" fontId="53" fillId="0" borderId="50" xfId="7" applyNumberFormat="1" applyFont="1" applyBorder="1" applyAlignment="1">
      <alignment horizontal="right" vertical="center"/>
    </xf>
    <xf numFmtId="170" fontId="9" fillId="0" borderId="56" xfId="10" applyNumberFormat="1" applyFont="1" applyBorder="1" applyAlignment="1">
      <alignment vertical="center"/>
    </xf>
    <xf numFmtId="3" fontId="53" fillId="0" borderId="57" xfId="7" applyNumberFormat="1" applyFont="1" applyBorder="1" applyAlignment="1">
      <alignment horizontal="center" vertical="center"/>
    </xf>
    <xf numFmtId="3" fontId="9" fillId="0" borderId="50" xfId="0" applyNumberFormat="1" applyFont="1" applyBorder="1" applyAlignment="1">
      <alignment vertical="center"/>
    </xf>
    <xf numFmtId="3" fontId="60" fillId="0" borderId="4" xfId="7" applyNumberFormat="1" applyFont="1" applyBorder="1" applyAlignment="1">
      <alignment horizontal="center" vertical="center"/>
    </xf>
    <xf numFmtId="3" fontId="59" fillId="0" borderId="4" xfId="7" applyNumberFormat="1" applyFont="1" applyBorder="1" applyAlignment="1">
      <alignment horizontal="center" vertical="center"/>
    </xf>
    <xf numFmtId="0" fontId="9" fillId="0" borderId="4" xfId="0" applyFont="1" applyBorder="1" applyAlignment="1">
      <alignment vertical="center"/>
    </xf>
    <xf numFmtId="0" fontId="9" fillId="0" borderId="14" xfId="0" applyFont="1" applyBorder="1" applyAlignment="1">
      <alignment vertical="center"/>
    </xf>
    <xf numFmtId="3" fontId="58" fillId="15" borderId="57" xfId="7" applyNumberFormat="1" applyFont="1" applyFill="1" applyBorder="1" applyAlignment="1">
      <alignment horizontal="center" vertical="center"/>
    </xf>
    <xf numFmtId="3" fontId="58" fillId="15" borderId="50" xfId="7" applyNumberFormat="1" applyFont="1" applyFill="1" applyBorder="1" applyAlignment="1">
      <alignment horizontal="center" vertical="center"/>
    </xf>
    <xf numFmtId="3" fontId="58" fillId="15" borderId="4" xfId="7" applyNumberFormat="1" applyFont="1" applyFill="1" applyBorder="1" applyAlignment="1">
      <alignment horizontal="right" vertical="center"/>
    </xf>
    <xf numFmtId="170" fontId="58" fillId="15" borderId="50" xfId="10" applyNumberFormat="1" applyFont="1" applyFill="1" applyBorder="1" applyAlignment="1">
      <alignment horizontal="center" vertical="center"/>
    </xf>
    <xf numFmtId="170" fontId="58" fillId="15" borderId="56" xfId="10" applyNumberFormat="1" applyFont="1" applyFill="1" applyBorder="1" applyAlignment="1">
      <alignment horizontal="center" vertical="center"/>
    </xf>
    <xf numFmtId="3" fontId="58" fillId="15" borderId="4" xfId="7" applyNumberFormat="1" applyFont="1" applyFill="1" applyBorder="1" applyAlignment="1">
      <alignment horizontal="center" vertical="center"/>
    </xf>
    <xf numFmtId="3" fontId="10" fillId="15" borderId="14" xfId="7" applyNumberFormat="1" applyFont="1" applyFill="1" applyBorder="1" applyAlignment="1">
      <alignment horizontal="center" vertical="center"/>
    </xf>
    <xf numFmtId="3" fontId="57" fillId="15" borderId="4" xfId="7" applyNumberFormat="1" applyFont="1" applyFill="1" applyBorder="1" applyAlignment="1">
      <alignment horizontal="center" vertical="center"/>
    </xf>
    <xf numFmtId="170" fontId="57" fillId="15" borderId="4" xfId="10" applyNumberFormat="1" applyFont="1" applyFill="1" applyBorder="1" applyAlignment="1">
      <alignment horizontal="right" vertical="center"/>
    </xf>
    <xf numFmtId="3" fontId="58" fillId="0" borderId="50" xfId="7" applyNumberFormat="1" applyFont="1" applyBorder="1" applyAlignment="1">
      <alignment horizontal="right" vertical="center"/>
    </xf>
    <xf numFmtId="3" fontId="61" fillId="0" borderId="50" xfId="7" applyNumberFormat="1" applyFont="1" applyBorder="1" applyAlignment="1">
      <alignment horizontal="right" vertical="center"/>
    </xf>
    <xf numFmtId="3" fontId="61" fillId="0" borderId="4" xfId="7" applyNumberFormat="1" applyFont="1" applyBorder="1" applyAlignment="1">
      <alignment horizontal="center" vertical="center"/>
    </xf>
    <xf numFmtId="3" fontId="60" fillId="0" borderId="57" xfId="7" applyNumberFormat="1" applyFont="1" applyBorder="1" applyAlignment="1">
      <alignment horizontal="center" vertical="center"/>
    </xf>
    <xf numFmtId="3" fontId="60" fillId="0" borderId="50" xfId="7" applyNumberFormat="1" applyFont="1" applyBorder="1" applyAlignment="1">
      <alignment horizontal="right" vertical="center"/>
    </xf>
    <xf numFmtId="0" fontId="9" fillId="0" borderId="51" xfId="0" applyFont="1" applyBorder="1" applyAlignment="1">
      <alignment vertical="center"/>
    </xf>
    <xf numFmtId="170" fontId="9" fillId="0" borderId="84" xfId="10" applyNumberFormat="1" applyFont="1" applyBorder="1" applyAlignment="1">
      <alignment vertical="center"/>
    </xf>
    <xf numFmtId="3" fontId="9" fillId="0" borderId="51" xfId="0" applyNumberFormat="1" applyFont="1" applyBorder="1" applyAlignment="1">
      <alignment vertical="center"/>
    </xf>
    <xf numFmtId="170" fontId="9" fillId="0" borderId="8" xfId="10" applyNumberFormat="1" applyFont="1" applyBorder="1" applyAlignment="1">
      <alignment vertical="center"/>
    </xf>
    <xf numFmtId="3" fontId="59" fillId="0" borderId="8" xfId="7" applyNumberFormat="1" applyFont="1" applyBorder="1" applyAlignment="1">
      <alignment horizontal="center" vertical="center"/>
    </xf>
    <xf numFmtId="0" fontId="58" fillId="15" borderId="7" xfId="7" applyFont="1" applyFill="1" applyBorder="1" applyAlignment="1">
      <alignment horizontal="center" vertical="center" wrapText="1"/>
    </xf>
    <xf numFmtId="3" fontId="58" fillId="15" borderId="11" xfId="7" applyNumberFormat="1" applyFont="1" applyFill="1" applyBorder="1" applyAlignment="1">
      <alignment horizontal="center" vertical="center"/>
    </xf>
    <xf numFmtId="3" fontId="58" fillId="15" borderId="8" xfId="7" applyNumberFormat="1" applyFont="1" applyFill="1" applyBorder="1" applyAlignment="1">
      <alignment horizontal="right" vertical="center"/>
    </xf>
    <xf numFmtId="170" fontId="58" fillId="15" borderId="11" xfId="10" applyNumberFormat="1" applyFont="1" applyFill="1" applyBorder="1" applyAlignment="1">
      <alignment horizontal="center" vertical="center"/>
    </xf>
    <xf numFmtId="3" fontId="10" fillId="15" borderId="11" xfId="7" applyNumberFormat="1" applyFont="1" applyFill="1" applyBorder="1" applyAlignment="1">
      <alignment horizontal="center" vertical="center"/>
    </xf>
    <xf numFmtId="3" fontId="57" fillId="15" borderId="8" xfId="7" applyNumberFormat="1" applyFont="1" applyFill="1" applyBorder="1" applyAlignment="1">
      <alignment vertical="center"/>
    </xf>
    <xf numFmtId="170" fontId="57" fillId="15" borderId="8" xfId="10" applyNumberFormat="1" applyFont="1" applyFill="1" applyBorder="1" applyAlignment="1">
      <alignment horizontal="right" vertical="center"/>
    </xf>
    <xf numFmtId="1" fontId="10" fillId="5" borderId="0" xfId="0" applyNumberFormat="1" applyFont="1" applyFill="1" applyAlignment="1">
      <alignment vertical="center"/>
    </xf>
    <xf numFmtId="0" fontId="10" fillId="7" borderId="10" xfId="0" applyFont="1" applyFill="1" applyBorder="1" applyAlignment="1">
      <alignment horizontal="center" vertical="center"/>
    </xf>
    <xf numFmtId="0" fontId="10" fillId="7" borderId="51" xfId="0" applyFont="1" applyFill="1" applyBorder="1" applyAlignment="1">
      <alignment horizontal="center" vertical="center"/>
    </xf>
    <xf numFmtId="0" fontId="10" fillId="7" borderId="51" xfId="0" quotePrefix="1" applyFont="1" applyFill="1" applyBorder="1" applyAlignment="1">
      <alignment horizontal="center" vertical="center"/>
    </xf>
    <xf numFmtId="0" fontId="10" fillId="7" borderId="58" xfId="0" quotePrefix="1" applyFont="1" applyFill="1" applyBorder="1" applyAlignment="1">
      <alignment horizontal="center" vertical="center"/>
    </xf>
    <xf numFmtId="0" fontId="10" fillId="7" borderId="9" xfId="0" quotePrefix="1" applyFont="1" applyFill="1" applyBorder="1" applyAlignment="1">
      <alignment horizontal="center" vertical="center"/>
    </xf>
    <xf numFmtId="0" fontId="10" fillId="7" borderId="8" xfId="0" quotePrefix="1" applyFont="1" applyFill="1" applyBorder="1" applyAlignment="1">
      <alignment horizontal="center" vertical="center"/>
    </xf>
    <xf numFmtId="0" fontId="9" fillId="0" borderId="12" xfId="0" applyFont="1" applyBorder="1" applyAlignment="1">
      <alignment vertical="center" wrapText="1"/>
    </xf>
    <xf numFmtId="0" fontId="9" fillId="0" borderId="57" xfId="0" applyFont="1" applyBorder="1" applyAlignment="1">
      <alignment vertical="center"/>
    </xf>
    <xf numFmtId="3" fontId="3" fillId="16" borderId="28" xfId="7" applyNumberFormat="1" applyFont="1" applyFill="1" applyBorder="1" applyAlignment="1">
      <alignment vertical="center"/>
    </xf>
    <xf numFmtId="3" fontId="3" fillId="16" borderId="23" xfId="7" applyNumberFormat="1" applyFont="1" applyFill="1" applyBorder="1" applyAlignment="1">
      <alignment vertical="center"/>
    </xf>
    <xf numFmtId="0" fontId="3" fillId="5" borderId="28" xfId="20" applyFont="1" applyFill="1" applyBorder="1" applyAlignment="1">
      <alignment vertical="center"/>
    </xf>
    <xf numFmtId="3" fontId="3" fillId="5" borderId="28" xfId="24" applyNumberFormat="1" applyFont="1" applyFill="1" applyBorder="1" applyAlignment="1">
      <alignment vertical="center"/>
    </xf>
    <xf numFmtId="4" fontId="3" fillId="5" borderId="28" xfId="24" applyNumberFormat="1" applyFont="1" applyFill="1" applyBorder="1" applyAlignment="1">
      <alignment vertical="center"/>
    </xf>
    <xf numFmtId="3" fontId="3" fillId="0" borderId="28" xfId="20" applyNumberFormat="1" applyFont="1" applyBorder="1" applyAlignment="1">
      <alignment vertical="center"/>
    </xf>
    <xf numFmtId="4" fontId="3" fillId="0" borderId="28" xfId="24" applyNumberFormat="1" applyFont="1" applyBorder="1" applyAlignment="1">
      <alignment vertical="center"/>
    </xf>
    <xf numFmtId="3" fontId="3" fillId="0" borderId="28" xfId="24" applyNumberFormat="1" applyFont="1" applyBorder="1" applyAlignment="1">
      <alignment vertical="center"/>
    </xf>
    <xf numFmtId="3" fontId="3" fillId="4" borderId="28" xfId="7" applyNumberFormat="1" applyFont="1" applyFill="1" applyBorder="1" applyAlignment="1">
      <alignment vertical="center"/>
    </xf>
    <xf numFmtId="0" fontId="3" fillId="0" borderId="28" xfId="7" applyFont="1" applyBorder="1" applyAlignment="1">
      <alignment vertical="center"/>
    </xf>
    <xf numFmtId="0" fontId="3" fillId="4" borderId="28" xfId="7" applyFont="1" applyFill="1" applyBorder="1" applyAlignment="1">
      <alignment vertical="center"/>
    </xf>
    <xf numFmtId="0" fontId="3" fillId="5" borderId="28" xfId="7" applyFont="1" applyFill="1" applyBorder="1" applyAlignment="1">
      <alignment vertical="center"/>
    </xf>
    <xf numFmtId="3" fontId="3" fillId="5" borderId="28" xfId="7" applyNumberFormat="1" applyFont="1" applyFill="1" applyBorder="1" applyAlignment="1">
      <alignment vertical="center"/>
    </xf>
    <xf numFmtId="3" fontId="3" fillId="5" borderId="28" xfId="27" applyNumberFormat="1" applyFont="1" applyFill="1" applyBorder="1" applyAlignment="1">
      <alignment vertical="center"/>
    </xf>
    <xf numFmtId="3" fontId="6" fillId="12" borderId="28" xfId="20" applyNumberFormat="1" applyFont="1" applyFill="1" applyBorder="1" applyAlignment="1">
      <alignment vertical="center"/>
    </xf>
    <xf numFmtId="3" fontId="3" fillId="0" borderId="28" xfId="7" applyNumberFormat="1" applyFont="1" applyBorder="1" applyAlignment="1">
      <alignment vertical="center"/>
    </xf>
    <xf numFmtId="3" fontId="62" fillId="5" borderId="28" xfId="27" applyNumberFormat="1" applyFont="1" applyFill="1" applyBorder="1" applyAlignment="1">
      <alignment vertical="center"/>
    </xf>
    <xf numFmtId="0" fontId="62" fillId="5" borderId="28" xfId="7" applyFont="1" applyFill="1" applyBorder="1" applyAlignment="1">
      <alignment vertical="center"/>
    </xf>
    <xf numFmtId="177" fontId="25" fillId="5" borderId="28" xfId="22" applyNumberFormat="1" applyFont="1" applyFill="1" applyBorder="1" applyAlignment="1">
      <alignment vertical="center"/>
    </xf>
    <xf numFmtId="3" fontId="63" fillId="5" borderId="28" xfId="24" applyNumberFormat="1" applyFont="1" applyFill="1" applyBorder="1" applyAlignment="1">
      <alignment vertical="center"/>
    </xf>
    <xf numFmtId="3" fontId="3" fillId="4" borderId="28" xfId="7" applyNumberFormat="1" applyFont="1" applyFill="1" applyBorder="1" applyAlignment="1">
      <alignment horizontal="center" vertical="center"/>
    </xf>
    <xf numFmtId="3" fontId="3" fillId="4" borderId="28" xfId="7" applyNumberFormat="1" applyFont="1" applyFill="1" applyBorder="1" applyAlignment="1">
      <alignment horizontal="right" vertical="center"/>
    </xf>
    <xf numFmtId="177" fontId="25" fillId="5" borderId="28" xfId="22" applyNumberFormat="1" applyFont="1" applyFill="1" applyBorder="1" applyAlignment="1">
      <alignment horizontal="center" vertical="center"/>
    </xf>
    <xf numFmtId="177" fontId="25" fillId="5" borderId="28" xfId="22" applyNumberFormat="1" applyFont="1" applyFill="1" applyBorder="1" applyAlignment="1">
      <alignment horizontal="right" vertical="center"/>
    </xf>
    <xf numFmtId="0" fontId="3" fillId="0" borderId="28" xfId="7" applyFont="1" applyBorder="1" applyAlignment="1">
      <alignment horizontal="right" vertical="center"/>
    </xf>
    <xf numFmtId="3" fontId="3" fillId="5" borderId="28" xfId="7" applyNumberFormat="1" applyFont="1" applyFill="1" applyBorder="1" applyAlignment="1">
      <alignment horizontal="right" vertical="center"/>
    </xf>
    <xf numFmtId="177" fontId="25" fillId="4" borderId="28" xfId="22" applyNumberFormat="1" applyFont="1" applyFill="1" applyBorder="1" applyAlignment="1">
      <alignment vertical="center"/>
    </xf>
    <xf numFmtId="177" fontId="3" fillId="4" borderId="28" xfId="22" applyNumberFormat="1" applyFont="1" applyFill="1" applyBorder="1" applyAlignment="1">
      <alignment vertical="center"/>
    </xf>
    <xf numFmtId="177" fontId="25" fillId="5" borderId="35" xfId="22" applyNumberFormat="1" applyFont="1" applyFill="1" applyBorder="1" applyAlignment="1">
      <alignment vertical="center"/>
    </xf>
    <xf numFmtId="3" fontId="6" fillId="4" borderId="28" xfId="7" applyNumberFormat="1" applyFont="1" applyFill="1" applyBorder="1" applyAlignment="1">
      <alignment vertical="center"/>
    </xf>
    <xf numFmtId="3" fontId="6" fillId="12" borderId="28" xfId="25" applyNumberFormat="1" applyFont="1" applyFill="1" applyBorder="1" applyAlignment="1">
      <alignment vertical="center"/>
    </xf>
    <xf numFmtId="3" fontId="6" fillId="12" borderId="28" xfId="25" applyNumberFormat="1" applyFont="1" applyFill="1" applyBorder="1" applyAlignment="1">
      <alignment horizontal="right" vertical="center"/>
    </xf>
    <xf numFmtId="4" fontId="3" fillId="5" borderId="28" xfId="7" applyNumberFormat="1" applyFont="1" applyFill="1" applyBorder="1" applyAlignment="1">
      <alignment vertical="center"/>
    </xf>
    <xf numFmtId="3" fontId="18" fillId="5" borderId="50" xfId="26" applyNumberFormat="1" applyFont="1" applyFill="1" applyBorder="1" applyAlignment="1">
      <alignment vertical="center"/>
    </xf>
    <xf numFmtId="3" fontId="62" fillId="5" borderId="50" xfId="26" applyNumberFormat="1" applyFont="1" applyFill="1" applyBorder="1" applyAlignment="1">
      <alignment horizontal="right" vertical="center"/>
    </xf>
    <xf numFmtId="177" fontId="25" fillId="0" borderId="0" xfId="22" applyNumberFormat="1" applyFont="1" applyBorder="1" applyAlignment="1">
      <alignment vertical="center"/>
    </xf>
    <xf numFmtId="3" fontId="3" fillId="0" borderId="0" xfId="20" applyNumberFormat="1" applyFont="1" applyAlignment="1">
      <alignment vertical="center"/>
    </xf>
    <xf numFmtId="0" fontId="6" fillId="10" borderId="5" xfId="7" applyFont="1" applyFill="1" applyBorder="1" applyAlignment="1">
      <alignment horizontal="center" vertical="center"/>
    </xf>
    <xf numFmtId="3" fontId="3" fillId="10" borderId="5" xfId="7" applyNumberFormat="1" applyFont="1" applyFill="1" applyBorder="1" applyAlignment="1">
      <alignment vertical="center"/>
    </xf>
    <xf numFmtId="0" fontId="10" fillId="7" borderId="84" xfId="0" quotePrefix="1" applyFont="1" applyFill="1" applyBorder="1" applyAlignment="1">
      <alignment horizontal="center" vertical="center"/>
    </xf>
    <xf numFmtId="0" fontId="10" fillId="7" borderId="10" xfId="0" quotePrefix="1" applyFont="1" applyFill="1" applyBorder="1" applyAlignment="1">
      <alignment horizontal="center" vertical="center"/>
    </xf>
    <xf numFmtId="0" fontId="9" fillId="0" borderId="60" xfId="0" applyFont="1" applyBorder="1" applyAlignment="1">
      <alignment vertical="center"/>
    </xf>
    <xf numFmtId="0" fontId="9" fillId="0" borderId="53" xfId="0" applyFont="1" applyBorder="1" applyAlignment="1">
      <alignment vertical="center"/>
    </xf>
    <xf numFmtId="0" fontId="9" fillId="0" borderId="49" xfId="0" applyFont="1" applyBorder="1" applyAlignment="1">
      <alignment vertical="center"/>
    </xf>
    <xf numFmtId="0" fontId="9" fillId="0" borderId="56" xfId="0" applyFont="1" applyBorder="1" applyAlignment="1">
      <alignment vertical="center"/>
    </xf>
    <xf numFmtId="0" fontId="9" fillId="0" borderId="35" xfId="0" applyFont="1" applyBorder="1" applyAlignment="1">
      <alignment vertical="center"/>
    </xf>
    <xf numFmtId="0" fontId="9" fillId="0" borderId="6" xfId="0" applyFont="1" applyBorder="1" applyAlignment="1">
      <alignment vertical="center"/>
    </xf>
    <xf numFmtId="0" fontId="9" fillId="0" borderId="54" xfId="0" applyFont="1" applyBorder="1" applyAlignment="1">
      <alignment vertical="center"/>
    </xf>
    <xf numFmtId="0" fontId="9" fillId="4" borderId="0" xfId="0" applyFont="1" applyFill="1" applyBorder="1" applyAlignment="1">
      <alignment vertical="center"/>
    </xf>
    <xf numFmtId="0" fontId="9" fillId="4" borderId="0" xfId="0" applyFont="1" applyFill="1" applyAlignment="1">
      <alignment vertical="center"/>
    </xf>
    <xf numFmtId="0" fontId="9" fillId="4" borderId="3" xfId="0" applyFont="1" applyFill="1" applyBorder="1" applyAlignment="1">
      <alignment vertical="center"/>
    </xf>
    <xf numFmtId="0" fontId="9" fillId="4" borderId="56" xfId="0" applyFont="1" applyFill="1" applyBorder="1" applyAlignment="1">
      <alignment vertical="center"/>
    </xf>
    <xf numFmtId="0" fontId="9" fillId="4" borderId="4" xfId="0" applyFont="1" applyFill="1" applyBorder="1" applyAlignment="1">
      <alignment vertical="center"/>
    </xf>
    <xf numFmtId="4" fontId="9" fillId="0" borderId="0" xfId="0" applyNumberFormat="1" applyFont="1" applyAlignment="1">
      <alignment vertical="center"/>
    </xf>
    <xf numFmtId="170" fontId="10" fillId="4" borderId="92" xfId="10" applyNumberFormat="1" applyFont="1" applyFill="1" applyBorder="1" applyAlignment="1">
      <alignment vertical="center"/>
    </xf>
    <xf numFmtId="170" fontId="10" fillId="4" borderId="91" xfId="10" applyNumberFormat="1" applyFont="1" applyFill="1" applyBorder="1" applyAlignment="1">
      <alignment vertical="center"/>
    </xf>
    <xf numFmtId="176" fontId="9" fillId="0" borderId="0" xfId="0" applyNumberFormat="1" applyFont="1" applyAlignment="1">
      <alignment vertical="center"/>
    </xf>
    <xf numFmtId="0" fontId="9" fillId="0" borderId="3" xfId="0" applyFont="1" applyBorder="1" applyAlignment="1">
      <alignment vertical="center"/>
    </xf>
    <xf numFmtId="0" fontId="9" fillId="0" borderId="12" xfId="0" applyFont="1" applyBorder="1" applyAlignment="1">
      <alignment vertical="center"/>
    </xf>
    <xf numFmtId="177" fontId="10" fillId="4" borderId="93" xfId="23" applyNumberFormat="1" applyFont="1" applyFill="1" applyBorder="1" applyAlignment="1">
      <alignment vertical="center"/>
    </xf>
    <xf numFmtId="170" fontId="9" fillId="4" borderId="91" xfId="10" applyNumberFormat="1" applyFont="1" applyFill="1" applyBorder="1" applyAlignment="1">
      <alignment vertical="center"/>
    </xf>
    <xf numFmtId="170" fontId="10" fillId="4" borderId="89" xfId="10" applyNumberFormat="1" applyFont="1" applyFill="1" applyBorder="1" applyAlignment="1">
      <alignment vertical="center"/>
    </xf>
    <xf numFmtId="170" fontId="10" fillId="4" borderId="90" xfId="10" applyNumberFormat="1" applyFont="1" applyFill="1" applyBorder="1" applyAlignment="1">
      <alignment vertical="center"/>
    </xf>
    <xf numFmtId="170" fontId="10" fillId="4" borderId="94" xfId="10" applyNumberFormat="1" applyFont="1" applyFill="1" applyBorder="1" applyAlignment="1">
      <alignment vertical="center"/>
    </xf>
    <xf numFmtId="170" fontId="10" fillId="4" borderId="14" xfId="10" applyNumberFormat="1" applyFont="1" applyFill="1" applyBorder="1" applyAlignment="1">
      <alignment vertical="center"/>
    </xf>
    <xf numFmtId="177" fontId="10" fillId="4" borderId="0" xfId="23" applyNumberFormat="1" applyFont="1" applyFill="1" applyBorder="1" applyAlignment="1">
      <alignment horizontal="center" vertical="center"/>
    </xf>
    <xf numFmtId="170" fontId="10" fillId="4" borderId="93" xfId="10" applyNumberFormat="1" applyFont="1" applyFill="1" applyBorder="1" applyAlignment="1">
      <alignment vertical="center"/>
    </xf>
    <xf numFmtId="170" fontId="10" fillId="4" borderId="91" xfId="10" applyNumberFormat="1" applyFont="1" applyFill="1" applyBorder="1" applyAlignment="1">
      <alignment horizontal="center" vertical="center"/>
    </xf>
    <xf numFmtId="170" fontId="10" fillId="4" borderId="89" xfId="10" applyNumberFormat="1" applyFont="1" applyFill="1" applyBorder="1" applyAlignment="1">
      <alignment horizontal="center" vertical="center"/>
    </xf>
    <xf numFmtId="170" fontId="10" fillId="4" borderId="90" xfId="10" applyNumberFormat="1" applyFont="1" applyFill="1" applyBorder="1" applyAlignment="1">
      <alignment horizontal="center" vertical="center"/>
    </xf>
    <xf numFmtId="170" fontId="10" fillId="4" borderId="94" xfId="10" applyNumberFormat="1" applyFont="1" applyFill="1" applyBorder="1" applyAlignment="1">
      <alignment horizontal="center" vertical="center"/>
    </xf>
    <xf numFmtId="170" fontId="10" fillId="4" borderId="93" xfId="10" applyNumberFormat="1" applyFont="1" applyFill="1" applyBorder="1" applyAlignment="1">
      <alignment horizontal="center" vertical="center"/>
    </xf>
    <xf numFmtId="170" fontId="9" fillId="0" borderId="92" xfId="10" applyNumberFormat="1" applyFont="1" applyBorder="1" applyAlignment="1">
      <alignment vertical="center"/>
    </xf>
    <xf numFmtId="170" fontId="9" fillId="0" borderId="89" xfId="10" applyNumberFormat="1" applyFont="1" applyBorder="1" applyAlignment="1">
      <alignment vertical="center"/>
    </xf>
    <xf numFmtId="170" fontId="9" fillId="0" borderId="90" xfId="10" applyNumberFormat="1" applyFont="1" applyBorder="1" applyAlignment="1">
      <alignment vertical="center"/>
    </xf>
    <xf numFmtId="170" fontId="9" fillId="0" borderId="94" xfId="10" applyNumberFormat="1" applyFont="1" applyBorder="1" applyAlignment="1">
      <alignment vertical="center"/>
    </xf>
    <xf numFmtId="170" fontId="9" fillId="0" borderId="14" xfId="10" applyNumberFormat="1" applyFont="1" applyBorder="1" applyAlignment="1">
      <alignment vertical="center"/>
    </xf>
    <xf numFmtId="177" fontId="9" fillId="0" borderId="0" xfId="23" applyNumberFormat="1" applyFont="1" applyBorder="1" applyAlignment="1">
      <alignment horizontal="center" vertical="center"/>
    </xf>
    <xf numFmtId="170" fontId="9" fillId="4" borderId="14" xfId="10" applyNumberFormat="1" applyFont="1" applyFill="1" applyBorder="1" applyAlignment="1">
      <alignment vertical="center"/>
    </xf>
    <xf numFmtId="177" fontId="9" fillId="4" borderId="0" xfId="23" applyNumberFormat="1" applyFont="1" applyFill="1" applyBorder="1" applyAlignment="1">
      <alignment horizontal="center" vertical="center"/>
    </xf>
    <xf numFmtId="170" fontId="9" fillId="4" borderId="92" xfId="10" applyNumberFormat="1" applyFont="1" applyFill="1" applyBorder="1" applyAlignment="1">
      <alignment vertical="center"/>
    </xf>
    <xf numFmtId="170" fontId="9" fillId="4" borderId="89" xfId="10" applyNumberFormat="1" applyFont="1" applyFill="1" applyBorder="1" applyAlignment="1">
      <alignment vertical="center"/>
    </xf>
    <xf numFmtId="170" fontId="9" fillId="4" borderId="90" xfId="10" applyNumberFormat="1" applyFont="1" applyFill="1" applyBorder="1" applyAlignment="1">
      <alignment vertical="center"/>
    </xf>
    <xf numFmtId="170" fontId="9" fillId="4" borderId="94" xfId="10" applyNumberFormat="1" applyFont="1" applyFill="1" applyBorder="1" applyAlignment="1">
      <alignment vertical="center"/>
    </xf>
    <xf numFmtId="1" fontId="9" fillId="0" borderId="93" xfId="17" applyNumberFormat="1" applyFont="1" applyBorder="1" applyAlignment="1">
      <alignment horizontal="center" vertical="center"/>
    </xf>
    <xf numFmtId="0" fontId="9" fillId="0" borderId="0" xfId="7" applyFont="1" applyBorder="1" applyAlignment="1">
      <alignment horizontal="center" vertical="center"/>
    </xf>
    <xf numFmtId="1" fontId="9" fillId="0" borderId="88" xfId="17" applyNumberFormat="1" applyFont="1" applyBorder="1" applyAlignment="1">
      <alignment horizontal="center" vertical="center"/>
    </xf>
    <xf numFmtId="0" fontId="10" fillId="4" borderId="5" xfId="0" applyFont="1" applyFill="1" applyBorder="1" applyAlignment="1">
      <alignment horizontal="center" vertical="center" wrapText="1"/>
    </xf>
    <xf numFmtId="0" fontId="10" fillId="4" borderId="18" xfId="0" applyFont="1" applyFill="1" applyBorder="1" applyAlignment="1">
      <alignment vertical="center"/>
    </xf>
    <xf numFmtId="170" fontId="10" fillId="4" borderId="16" xfId="10" applyNumberFormat="1" applyFont="1" applyFill="1" applyBorder="1" applyAlignment="1">
      <alignment vertical="center"/>
    </xf>
    <xf numFmtId="170" fontId="10" fillId="4" borderId="42" xfId="10" applyNumberFormat="1" applyFont="1" applyFill="1" applyBorder="1" applyAlignment="1">
      <alignment vertical="center"/>
    </xf>
    <xf numFmtId="170" fontId="10" fillId="4" borderId="5" xfId="0" applyNumberFormat="1" applyFont="1" applyFill="1" applyBorder="1" applyAlignment="1">
      <alignment vertical="center"/>
    </xf>
    <xf numFmtId="170" fontId="10" fillId="4" borderId="15" xfId="10" applyNumberFormat="1" applyFont="1" applyFill="1" applyBorder="1" applyAlignment="1">
      <alignment vertical="center"/>
    </xf>
    <xf numFmtId="0" fontId="10" fillId="4" borderId="42" xfId="0" applyNumberFormat="1" applyFont="1" applyFill="1" applyBorder="1" applyAlignment="1">
      <alignment horizontal="center" vertical="center"/>
    </xf>
    <xf numFmtId="43" fontId="10" fillId="4" borderId="42" xfId="0" applyNumberFormat="1" applyFont="1" applyFill="1" applyBorder="1" applyAlignment="1">
      <alignment vertical="center"/>
    </xf>
    <xf numFmtId="170" fontId="10" fillId="4" borderId="5" xfId="10" applyNumberFormat="1" applyFont="1" applyFill="1" applyBorder="1" applyAlignment="1">
      <alignment vertical="center"/>
    </xf>
    <xf numFmtId="0" fontId="9" fillId="0" borderId="14" xfId="0" applyFont="1" applyBorder="1" applyAlignment="1">
      <alignment vertical="center" wrapText="1"/>
    </xf>
    <xf numFmtId="0" fontId="9" fillId="0" borderId="11" xfId="0" applyFont="1" applyBorder="1" applyAlignment="1">
      <alignment vertical="center" wrapText="1"/>
    </xf>
    <xf numFmtId="0" fontId="9" fillId="0" borderId="69" xfId="0" applyFont="1" applyBorder="1" applyAlignment="1">
      <alignment vertical="center"/>
    </xf>
    <xf numFmtId="0" fontId="9" fillId="0" borderId="44" xfId="0" applyFont="1" applyBorder="1" applyAlignment="1">
      <alignment vertical="center"/>
    </xf>
    <xf numFmtId="0" fontId="9" fillId="0" borderId="22" xfId="0" applyFont="1" applyBorder="1" applyAlignment="1">
      <alignment vertical="center"/>
    </xf>
    <xf numFmtId="0" fontId="9" fillId="0" borderId="59" xfId="0" applyFont="1" applyBorder="1" applyAlignment="1">
      <alignment vertical="center"/>
    </xf>
    <xf numFmtId="0" fontId="10" fillId="0" borderId="11" xfId="0" applyFont="1" applyBorder="1" applyAlignment="1">
      <alignment horizontal="center" vertical="center"/>
    </xf>
    <xf numFmtId="0" fontId="9" fillId="0" borderId="66" xfId="0" applyFont="1" applyBorder="1" applyAlignment="1">
      <alignment vertical="center"/>
    </xf>
    <xf numFmtId="0" fontId="9" fillId="0" borderId="40" xfId="0" applyFont="1" applyBorder="1" applyAlignment="1">
      <alignment vertical="center"/>
    </xf>
    <xf numFmtId="0" fontId="9" fillId="0" borderId="41" xfId="0" applyFont="1" applyBorder="1" applyAlignment="1">
      <alignment vertical="center"/>
    </xf>
    <xf numFmtId="0" fontId="9" fillId="0" borderId="38" xfId="0" applyFont="1" applyBorder="1" applyAlignment="1">
      <alignment vertical="center"/>
    </xf>
    <xf numFmtId="0" fontId="9" fillId="0" borderId="8" xfId="0" applyFont="1" applyBorder="1" applyAlignment="1">
      <alignment vertical="center"/>
    </xf>
    <xf numFmtId="0" fontId="9" fillId="0" borderId="11" xfId="0" applyFont="1" applyBorder="1" applyAlignment="1">
      <alignment vertical="center"/>
    </xf>
    <xf numFmtId="0" fontId="8" fillId="0" borderId="0" xfId="0" applyFont="1" applyFill="1" applyAlignment="1">
      <alignment vertical="center"/>
    </xf>
    <xf numFmtId="0" fontId="4" fillId="5" borderId="0" xfId="0" applyFont="1" applyFill="1" applyAlignment="1">
      <alignment vertical="center"/>
    </xf>
    <xf numFmtId="0" fontId="9" fillId="0" borderId="48" xfId="0" applyFont="1" applyBorder="1" applyAlignment="1">
      <alignment vertical="center"/>
    </xf>
    <xf numFmtId="170" fontId="9" fillId="0" borderId="21" xfId="10" applyNumberFormat="1" applyFont="1" applyBorder="1" applyAlignment="1">
      <alignment vertical="center"/>
    </xf>
    <xf numFmtId="0" fontId="9" fillId="0" borderId="21" xfId="0" applyFont="1" applyBorder="1" applyAlignment="1">
      <alignment vertical="center"/>
    </xf>
    <xf numFmtId="3" fontId="4" fillId="0" borderId="5" xfId="0" applyNumberFormat="1" applyFont="1" applyBorder="1" applyAlignment="1">
      <alignment vertical="center"/>
    </xf>
    <xf numFmtId="0" fontId="4" fillId="0" borderId="5" xfId="0" applyFont="1" applyBorder="1" applyAlignment="1">
      <alignment vertical="center"/>
    </xf>
    <xf numFmtId="170" fontId="4" fillId="0" borderId="5" xfId="10" applyNumberFormat="1" applyFont="1" applyBorder="1" applyAlignment="1">
      <alignment vertical="center"/>
    </xf>
    <xf numFmtId="3" fontId="4" fillId="0" borderId="18" xfId="0" applyNumberFormat="1" applyFont="1" applyBorder="1" applyAlignment="1">
      <alignment vertical="center"/>
    </xf>
    <xf numFmtId="0" fontId="10" fillId="16" borderId="47" xfId="2" applyFont="1" applyFill="1" applyBorder="1" applyAlignment="1">
      <alignment horizontal="left" vertical="center" wrapText="1"/>
    </xf>
    <xf numFmtId="0" fontId="10" fillId="2" borderId="47" xfId="2" applyFont="1" applyFill="1" applyBorder="1" applyAlignment="1">
      <alignment horizontal="left" vertical="center" wrapText="1"/>
    </xf>
    <xf numFmtId="0" fontId="9" fillId="0" borderId="47" xfId="2" applyFont="1" applyBorder="1" applyAlignment="1">
      <alignment horizontal="center" vertical="center" wrapText="1"/>
    </xf>
    <xf numFmtId="0" fontId="10" fillId="2" borderId="47" xfId="2" applyFont="1" applyFill="1" applyBorder="1" applyAlignment="1">
      <alignment horizontal="center" vertical="center" wrapText="1"/>
    </xf>
    <xf numFmtId="0" fontId="10" fillId="4" borderId="47" xfId="2" applyFont="1" applyFill="1" applyBorder="1" applyAlignment="1">
      <alignment horizontal="center" vertical="center" wrapText="1"/>
    </xf>
    <xf numFmtId="0" fontId="10" fillId="16" borderId="47" xfId="2" applyFont="1" applyFill="1" applyBorder="1" applyAlignment="1">
      <alignment horizontal="center" vertical="center" wrapText="1"/>
    </xf>
    <xf numFmtId="0" fontId="9" fillId="0" borderId="47" xfId="2" applyFont="1" applyBorder="1" applyAlignment="1">
      <alignment horizontal="left" vertical="center" wrapText="1"/>
    </xf>
    <xf numFmtId="0" fontId="10" fillId="3" borderId="47" xfId="2" applyFont="1" applyFill="1" applyBorder="1" applyAlignment="1">
      <alignment horizontal="center" vertical="center" wrapText="1"/>
    </xf>
    <xf numFmtId="0" fontId="10" fillId="4" borderId="47" xfId="2" applyFont="1" applyFill="1" applyBorder="1" applyAlignment="1">
      <alignment horizontal="left" vertical="center" wrapText="1"/>
    </xf>
    <xf numFmtId="0" fontId="10" fillId="0" borderId="47" xfId="2" applyFont="1" applyFill="1" applyBorder="1" applyAlignment="1">
      <alignment horizontal="center" vertical="center" wrapText="1"/>
    </xf>
    <xf numFmtId="39" fontId="9" fillId="0" borderId="47" xfId="0" applyNumberFormat="1" applyFont="1" applyFill="1" applyBorder="1" applyAlignment="1">
      <alignment horizontal="center" vertical="center" wrapText="1"/>
    </xf>
    <xf numFmtId="0" fontId="9" fillId="0" borderId="47" xfId="0" applyFont="1" applyFill="1" applyBorder="1" applyAlignment="1" applyProtection="1">
      <alignment horizontal="center" vertical="center" wrapText="1"/>
    </xf>
    <xf numFmtId="0" fontId="9" fillId="0" borderId="95" xfId="0" applyFont="1" applyFill="1" applyBorder="1" applyAlignment="1" applyProtection="1">
      <alignment horizontal="center" vertical="center" wrapText="1"/>
    </xf>
    <xf numFmtId="0" fontId="10" fillId="0" borderId="5" xfId="0" applyFont="1" applyBorder="1" applyAlignment="1">
      <alignment horizontal="center" vertical="center" wrapText="1"/>
    </xf>
    <xf numFmtId="3" fontId="10" fillId="16" borderId="26" xfId="11" applyNumberFormat="1" applyFont="1" applyFill="1" applyBorder="1" applyAlignment="1">
      <alignment vertical="center"/>
    </xf>
    <xf numFmtId="3" fontId="10" fillId="16" borderId="28" xfId="11" applyNumberFormat="1" applyFont="1" applyFill="1" applyBorder="1" applyAlignment="1">
      <alignment vertical="center"/>
    </xf>
    <xf numFmtId="170" fontId="10" fillId="16" borderId="29" xfId="10" applyNumberFormat="1" applyFont="1" applyFill="1" applyBorder="1" applyAlignment="1">
      <alignment vertical="center"/>
    </xf>
    <xf numFmtId="3" fontId="10" fillId="16" borderId="67" xfId="11" applyNumberFormat="1" applyFont="1" applyFill="1" applyBorder="1" applyAlignment="1">
      <alignment vertical="center"/>
    </xf>
    <xf numFmtId="170" fontId="10" fillId="16" borderId="31" xfId="10" applyNumberFormat="1" applyFont="1" applyFill="1" applyBorder="1" applyAlignment="1">
      <alignment vertical="center"/>
    </xf>
    <xf numFmtId="3" fontId="10" fillId="4" borderId="26" xfId="20" applyNumberFormat="1" applyFont="1" applyFill="1" applyBorder="1" applyAlignment="1">
      <alignment vertical="center"/>
    </xf>
    <xf numFmtId="3" fontId="10" fillId="4" borderId="28" xfId="20" applyNumberFormat="1" applyFont="1" applyFill="1" applyBorder="1" applyAlignment="1">
      <alignment vertical="center"/>
    </xf>
    <xf numFmtId="170" fontId="10" fillId="4" borderId="29" xfId="10" applyNumberFormat="1" applyFont="1" applyFill="1" applyBorder="1" applyAlignment="1">
      <alignment vertical="center"/>
    </xf>
    <xf numFmtId="3" fontId="10" fillId="4" borderId="27" xfId="20" applyNumberFormat="1" applyFont="1" applyFill="1" applyBorder="1" applyAlignment="1">
      <alignment vertical="center"/>
    </xf>
    <xf numFmtId="0" fontId="9" fillId="0" borderId="26" xfId="20" applyFont="1" applyBorder="1" applyAlignment="1">
      <alignment vertical="center"/>
    </xf>
    <xf numFmtId="3" fontId="9" fillId="0" borderId="28" xfId="20" applyNumberFormat="1" applyFont="1" applyBorder="1" applyAlignment="1">
      <alignment vertical="center"/>
    </xf>
    <xf numFmtId="170" fontId="9" fillId="0" borderId="29" xfId="10" applyNumberFormat="1" applyFont="1" applyBorder="1" applyAlignment="1">
      <alignment vertical="center"/>
    </xf>
    <xf numFmtId="3" fontId="9" fillId="0" borderId="26" xfId="0" applyNumberFormat="1" applyFont="1" applyBorder="1" applyAlignment="1">
      <alignment vertical="center"/>
    </xf>
    <xf numFmtId="0" fontId="9" fillId="0" borderId="27" xfId="20" applyFont="1" applyBorder="1" applyAlignment="1">
      <alignment vertical="center"/>
    </xf>
    <xf numFmtId="3" fontId="9" fillId="0" borderId="26" xfId="20" applyNumberFormat="1" applyFont="1" applyBorder="1" applyAlignment="1">
      <alignment vertical="center"/>
    </xf>
    <xf numFmtId="3" fontId="9" fillId="0" borderId="27" xfId="20" applyNumberFormat="1" applyFont="1" applyBorder="1" applyAlignment="1">
      <alignment vertical="center"/>
    </xf>
    <xf numFmtId="172" fontId="9" fillId="0" borderId="28" xfId="28" applyNumberFormat="1" applyFont="1" applyFill="1" applyBorder="1" applyAlignment="1" applyProtection="1">
      <alignment vertical="center"/>
    </xf>
    <xf numFmtId="3" fontId="9" fillId="0" borderId="28" xfId="24" applyNumberFormat="1" applyFont="1" applyBorder="1" applyAlignment="1">
      <alignment vertical="center"/>
    </xf>
    <xf numFmtId="3" fontId="9" fillId="0" borderId="28" xfId="27" applyNumberFormat="1" applyFont="1" applyBorder="1" applyAlignment="1">
      <alignment vertical="center"/>
    </xf>
    <xf numFmtId="170" fontId="9" fillId="0" borderId="29" xfId="10" applyNumberFormat="1" applyFont="1" applyFill="1" applyBorder="1" applyAlignment="1">
      <alignment vertical="center"/>
    </xf>
    <xf numFmtId="3" fontId="10" fillId="4" borderId="26" xfId="11" applyNumberFormat="1" applyFont="1" applyFill="1" applyBorder="1" applyAlignment="1">
      <alignment vertical="center"/>
    </xf>
    <xf numFmtId="3" fontId="10" fillId="4" borderId="28" xfId="11" applyNumberFormat="1" applyFont="1" applyFill="1" applyBorder="1" applyAlignment="1">
      <alignment vertical="center"/>
    </xf>
    <xf numFmtId="3" fontId="10" fillId="4" borderId="27" xfId="11" applyNumberFormat="1" applyFont="1" applyFill="1" applyBorder="1" applyAlignment="1">
      <alignment vertical="center"/>
    </xf>
    <xf numFmtId="0" fontId="9" fillId="0" borderId="26" xfId="11" applyFont="1" applyBorder="1" applyAlignment="1">
      <alignment vertical="center"/>
    </xf>
    <xf numFmtId="0" fontId="9" fillId="0" borderId="28" xfId="11" applyFont="1" applyBorder="1" applyAlignment="1">
      <alignment vertical="center"/>
    </xf>
    <xf numFmtId="41" fontId="9" fillId="0" borderId="27" xfId="11" applyNumberFormat="1" applyFont="1" applyBorder="1" applyAlignment="1">
      <alignment vertical="center"/>
    </xf>
    <xf numFmtId="0" fontId="9" fillId="4" borderId="26" xfId="11" applyFont="1" applyFill="1" applyBorder="1" applyAlignment="1">
      <alignment vertical="center"/>
    </xf>
    <xf numFmtId="0" fontId="9" fillId="4" borderId="28" xfId="11" applyFont="1" applyFill="1" applyBorder="1" applyAlignment="1">
      <alignment vertical="center"/>
    </xf>
    <xf numFmtId="170" fontId="9" fillId="4" borderId="29" xfId="10" applyNumberFormat="1" applyFont="1" applyFill="1" applyBorder="1" applyAlignment="1">
      <alignment vertical="center"/>
    </xf>
    <xf numFmtId="0" fontId="9" fillId="0" borderId="27" xfId="11" applyFont="1" applyBorder="1" applyAlignment="1">
      <alignment vertical="center"/>
    </xf>
    <xf numFmtId="3" fontId="10" fillId="16" borderId="27" xfId="11" applyNumberFormat="1" applyFont="1" applyFill="1" applyBorder="1" applyAlignment="1">
      <alignment vertical="center"/>
    </xf>
    <xf numFmtId="43" fontId="9" fillId="0" borderId="28" xfId="11" applyNumberFormat="1" applyFont="1" applyBorder="1" applyAlignment="1">
      <alignment vertical="center"/>
    </xf>
    <xf numFmtId="3" fontId="9" fillId="0" borderId="26" xfId="11" applyNumberFormat="1" applyFont="1" applyBorder="1" applyAlignment="1">
      <alignment vertical="center"/>
    </xf>
    <xf numFmtId="3" fontId="9" fillId="0" borderId="27" xfId="11" applyNumberFormat="1" applyFont="1" applyBorder="1" applyAlignment="1">
      <alignment vertical="center"/>
    </xf>
    <xf numFmtId="3" fontId="10" fillId="4" borderId="26" xfId="22" applyNumberFormat="1" applyFont="1" applyFill="1" applyBorder="1" applyAlignment="1">
      <alignment vertical="center"/>
    </xf>
    <xf numFmtId="3" fontId="10" fillId="4" borderId="28" xfId="11" applyNumberFormat="1" applyFont="1" applyFill="1" applyBorder="1" applyAlignment="1">
      <alignment horizontal="right" vertical="center"/>
    </xf>
    <xf numFmtId="0" fontId="10" fillId="4" borderId="28" xfId="11" applyFont="1" applyFill="1" applyBorder="1" applyAlignment="1">
      <alignment horizontal="right" vertical="center"/>
    </xf>
    <xf numFmtId="177" fontId="10" fillId="4" borderId="28" xfId="22" applyNumberFormat="1" applyFont="1" applyFill="1" applyBorder="1" applyAlignment="1">
      <alignment horizontal="right" vertical="center"/>
    </xf>
    <xf numFmtId="170" fontId="10" fillId="4" borderId="29" xfId="10" applyNumberFormat="1" applyFont="1" applyFill="1" applyBorder="1" applyAlignment="1">
      <alignment horizontal="right" vertical="center"/>
    </xf>
    <xf numFmtId="3" fontId="10" fillId="4" borderId="26" xfId="20" applyNumberFormat="1" applyFont="1" applyFill="1" applyBorder="1" applyAlignment="1">
      <alignment horizontal="right" vertical="center"/>
    </xf>
    <xf numFmtId="3" fontId="10" fillId="4" borderId="28" xfId="22" applyNumberFormat="1" applyFont="1" applyFill="1" applyBorder="1" applyAlignment="1">
      <alignment horizontal="right" vertical="center"/>
    </xf>
    <xf numFmtId="3" fontId="10" fillId="4" borderId="26" xfId="22" applyNumberFormat="1" applyFont="1" applyFill="1" applyBorder="1" applyAlignment="1">
      <alignment horizontal="right" vertical="center"/>
    </xf>
    <xf numFmtId="3" fontId="10" fillId="4" borderId="27" xfId="22" applyNumberFormat="1" applyFont="1" applyFill="1" applyBorder="1" applyAlignment="1">
      <alignment horizontal="right" vertical="center"/>
    </xf>
    <xf numFmtId="3" fontId="9" fillId="0" borderId="28" xfId="11" applyNumberFormat="1" applyFont="1" applyBorder="1" applyAlignment="1">
      <alignment vertical="center"/>
    </xf>
    <xf numFmtId="3" fontId="9" fillId="0" borderId="28" xfId="10" applyNumberFormat="1" applyFont="1" applyFill="1" applyBorder="1" applyAlignment="1">
      <alignment horizontal="right" vertical="center"/>
    </xf>
    <xf numFmtId="3" fontId="9" fillId="17" borderId="28" xfId="2" applyNumberFormat="1" applyFont="1" applyFill="1" applyBorder="1" applyAlignment="1">
      <alignment vertical="center"/>
    </xf>
    <xf numFmtId="3" fontId="9" fillId="0" borderId="28" xfId="0" applyNumberFormat="1" applyFont="1" applyFill="1" applyBorder="1" applyAlignment="1" applyProtection="1">
      <alignment horizontal="right" vertical="center"/>
    </xf>
    <xf numFmtId="170" fontId="10" fillId="16" borderId="28" xfId="10" applyNumberFormat="1" applyFont="1" applyFill="1" applyBorder="1" applyAlignment="1">
      <alignment vertical="center"/>
    </xf>
    <xf numFmtId="177" fontId="23" fillId="0" borderId="28" xfId="22" applyNumberFormat="1" applyFont="1" applyBorder="1" applyAlignment="1">
      <alignment vertical="center"/>
    </xf>
    <xf numFmtId="3" fontId="66" fillId="4" borderId="26" xfId="22" applyNumberFormat="1" applyFont="1" applyFill="1" applyBorder="1" applyAlignment="1">
      <alignment vertical="center"/>
    </xf>
    <xf numFmtId="177" fontId="66" fillId="4" borderId="28" xfId="22" applyNumberFormat="1" applyFont="1" applyFill="1" applyBorder="1" applyAlignment="1">
      <alignment vertical="center"/>
    </xf>
    <xf numFmtId="3" fontId="66" fillId="4" borderId="28" xfId="22" applyNumberFormat="1" applyFont="1" applyFill="1" applyBorder="1" applyAlignment="1">
      <alignment vertical="center"/>
    </xf>
    <xf numFmtId="170" fontId="66" fillId="4" borderId="29" xfId="10" applyNumberFormat="1" applyFont="1" applyFill="1" applyBorder="1" applyAlignment="1">
      <alignment vertical="center"/>
    </xf>
    <xf numFmtId="177" fontId="66" fillId="4" borderId="26" xfId="22" applyNumberFormat="1" applyFont="1" applyFill="1" applyBorder="1" applyAlignment="1">
      <alignment vertical="center"/>
    </xf>
    <xf numFmtId="3" fontId="66" fillId="4" borderId="27" xfId="22" applyNumberFormat="1" applyFont="1" applyFill="1" applyBorder="1" applyAlignment="1">
      <alignment vertical="center"/>
    </xf>
    <xf numFmtId="3" fontId="9" fillId="0" borderId="26" xfId="11" applyNumberFormat="1" applyFont="1" applyFill="1" applyBorder="1" applyAlignment="1">
      <alignment vertical="center"/>
    </xf>
    <xf numFmtId="3" fontId="9" fillId="0" borderId="26" xfId="24" applyNumberFormat="1" applyFont="1" applyBorder="1" applyAlignment="1">
      <alignment vertical="center"/>
    </xf>
    <xf numFmtId="3" fontId="9" fillId="0" borderId="27" xfId="24" applyNumberFormat="1" applyFont="1" applyBorder="1" applyAlignment="1">
      <alignment vertical="center"/>
    </xf>
    <xf numFmtId="3" fontId="10" fillId="4" borderId="28" xfId="22" applyNumberFormat="1" applyFont="1" applyFill="1" applyBorder="1" applyAlignment="1">
      <alignment vertical="center"/>
    </xf>
    <xf numFmtId="3" fontId="10" fillId="4" borderId="27" xfId="22" applyNumberFormat="1" applyFont="1" applyFill="1" applyBorder="1" applyAlignment="1">
      <alignment vertical="center"/>
    </xf>
    <xf numFmtId="3" fontId="9" fillId="0" borderId="26" xfId="2" applyNumberFormat="1" applyFont="1" applyBorder="1" applyAlignment="1">
      <alignment horizontal="right" vertical="center"/>
    </xf>
    <xf numFmtId="3" fontId="10" fillId="0" borderId="28" xfId="11" applyNumberFormat="1" applyFont="1" applyFill="1" applyBorder="1" applyAlignment="1">
      <alignment vertical="center"/>
    </xf>
    <xf numFmtId="3" fontId="9" fillId="0" borderId="27" xfId="11" applyNumberFormat="1" applyFont="1" applyFill="1" applyBorder="1" applyAlignment="1">
      <alignment vertical="center"/>
    </xf>
    <xf numFmtId="3" fontId="9" fillId="0" borderId="26" xfId="2" applyNumberFormat="1" applyFont="1" applyFill="1" applyBorder="1" applyAlignment="1">
      <alignment horizontal="right" vertical="center"/>
    </xf>
    <xf numFmtId="3" fontId="9" fillId="0" borderId="34" xfId="2" applyNumberFormat="1" applyFont="1" applyFill="1" applyBorder="1" applyAlignment="1">
      <alignment horizontal="right" vertical="center"/>
    </xf>
    <xf numFmtId="3" fontId="10" fillId="0" borderId="35" xfId="11" applyNumberFormat="1" applyFont="1" applyFill="1" applyBorder="1" applyAlignment="1">
      <alignment vertical="center"/>
    </xf>
    <xf numFmtId="3" fontId="9" fillId="0" borderId="35" xfId="24" applyNumberFormat="1" applyFont="1" applyBorder="1" applyAlignment="1">
      <alignment vertical="center"/>
    </xf>
    <xf numFmtId="3" fontId="9" fillId="0" borderId="35" xfId="27" applyNumberFormat="1" applyFont="1" applyBorder="1" applyAlignment="1">
      <alignment vertical="center"/>
    </xf>
    <xf numFmtId="170" fontId="9" fillId="0" borderId="37" xfId="10" applyNumberFormat="1" applyFont="1" applyBorder="1" applyAlignment="1">
      <alignment vertical="center"/>
    </xf>
    <xf numFmtId="3" fontId="9" fillId="0" borderId="34" xfId="11" applyNumberFormat="1" applyFont="1" applyFill="1" applyBorder="1" applyAlignment="1">
      <alignment vertical="center"/>
    </xf>
    <xf numFmtId="3" fontId="9" fillId="0" borderId="82" xfId="11" applyNumberFormat="1" applyFont="1" applyFill="1" applyBorder="1" applyAlignment="1">
      <alignment vertical="center"/>
    </xf>
    <xf numFmtId="170" fontId="9" fillId="0" borderId="37" xfId="10" applyNumberFormat="1" applyFont="1" applyFill="1" applyBorder="1" applyAlignment="1">
      <alignment vertical="center"/>
    </xf>
    <xf numFmtId="3" fontId="9" fillId="0" borderId="14" xfId="0" applyNumberFormat="1" applyFont="1" applyBorder="1" applyAlignment="1">
      <alignment vertical="center"/>
    </xf>
    <xf numFmtId="3" fontId="9" fillId="0" borderId="13" xfId="0" applyNumberFormat="1" applyFont="1" applyBorder="1" applyAlignment="1">
      <alignment vertical="center"/>
    </xf>
    <xf numFmtId="3" fontId="9" fillId="0" borderId="0" xfId="0" applyNumberFormat="1" applyFont="1" applyBorder="1" applyAlignment="1">
      <alignment vertical="center"/>
    </xf>
    <xf numFmtId="3" fontId="9" fillId="0" borderId="57" xfId="0" applyNumberFormat="1" applyFont="1" applyBorder="1" applyAlignment="1">
      <alignment vertical="center"/>
    </xf>
    <xf numFmtId="3" fontId="9" fillId="0" borderId="4" xfId="0" applyNumberFormat="1" applyFont="1" applyBorder="1" applyAlignment="1">
      <alignment vertical="center"/>
    </xf>
    <xf numFmtId="3" fontId="9" fillId="0" borderId="14" xfId="4" applyNumberFormat="1" applyFont="1" applyFill="1" applyBorder="1" applyAlignment="1">
      <alignment vertical="center"/>
    </xf>
    <xf numFmtId="3" fontId="9" fillId="0" borderId="69" xfId="0" applyNumberFormat="1" applyFont="1" applyBorder="1" applyAlignment="1">
      <alignment vertical="center"/>
    </xf>
    <xf numFmtId="3" fontId="9" fillId="0" borderId="45" xfId="0" applyNumberFormat="1" applyFont="1" applyBorder="1" applyAlignment="1">
      <alignment vertical="center"/>
    </xf>
    <xf numFmtId="3" fontId="9" fillId="0" borderId="44" xfId="0" applyNumberFormat="1" applyFont="1" applyBorder="1" applyAlignment="1">
      <alignment vertical="center"/>
    </xf>
    <xf numFmtId="3" fontId="9" fillId="0" borderId="22" xfId="0" applyNumberFormat="1" applyFont="1" applyBorder="1" applyAlignment="1">
      <alignment vertical="center"/>
    </xf>
    <xf numFmtId="3" fontId="9" fillId="0" borderId="59" xfId="0" applyNumberFormat="1" applyFont="1" applyBorder="1" applyAlignment="1">
      <alignment vertical="center"/>
    </xf>
    <xf numFmtId="0" fontId="10" fillId="0" borderId="11" xfId="0" applyFont="1" applyBorder="1" applyAlignment="1">
      <alignment horizontal="center" vertical="center" wrapText="1"/>
    </xf>
    <xf numFmtId="0" fontId="10" fillId="0" borderId="66" xfId="0" applyFont="1" applyBorder="1" applyAlignment="1">
      <alignment vertical="center"/>
    </xf>
    <xf numFmtId="3" fontId="10" fillId="0" borderId="52" xfId="0" applyNumberFormat="1" applyFont="1" applyBorder="1" applyAlignment="1">
      <alignment vertical="center"/>
    </xf>
    <xf numFmtId="3" fontId="10" fillId="0" borderId="40" xfId="0" applyNumberFormat="1" applyFont="1" applyBorder="1" applyAlignment="1">
      <alignment vertical="center"/>
    </xf>
    <xf numFmtId="3" fontId="10" fillId="0" borderId="41" xfId="0" applyNumberFormat="1" applyFont="1" applyBorder="1" applyAlignment="1">
      <alignment vertical="center"/>
    </xf>
    <xf numFmtId="3" fontId="10" fillId="0" borderId="38" xfId="0" applyNumberFormat="1" applyFont="1" applyBorder="1" applyAlignment="1">
      <alignment vertical="center"/>
    </xf>
    <xf numFmtId="3" fontId="10" fillId="0" borderId="8" xfId="0" applyNumberFormat="1" applyFont="1" applyBorder="1" applyAlignment="1">
      <alignment vertical="center"/>
    </xf>
    <xf numFmtId="3" fontId="10" fillId="0" borderId="11" xfId="0" applyNumberFormat="1" applyFont="1" applyBorder="1" applyAlignment="1">
      <alignment vertical="center"/>
    </xf>
    <xf numFmtId="0" fontId="10" fillId="0" borderId="0" xfId="0" applyFont="1" applyAlignment="1">
      <alignment vertical="center"/>
    </xf>
    <xf numFmtId="0" fontId="10" fillId="3" borderId="14" xfId="0" applyFont="1" applyFill="1" applyBorder="1" applyAlignment="1">
      <alignment vertical="center" wrapText="1"/>
    </xf>
    <xf numFmtId="3" fontId="10" fillId="3" borderId="14" xfId="0" applyNumberFormat="1" applyFont="1" applyFill="1" applyBorder="1" applyAlignment="1">
      <alignment horizontal="center" vertical="center"/>
    </xf>
    <xf numFmtId="3" fontId="10" fillId="3" borderId="13" xfId="0" applyNumberFormat="1" applyFont="1" applyFill="1" applyBorder="1" applyAlignment="1">
      <alignment vertical="center"/>
    </xf>
    <xf numFmtId="3" fontId="10" fillId="3" borderId="13" xfId="0" applyNumberFormat="1" applyFont="1" applyFill="1" applyBorder="1" applyAlignment="1">
      <alignment horizontal="center" vertical="center"/>
    </xf>
    <xf numFmtId="3" fontId="10" fillId="3" borderId="0" xfId="0" applyNumberFormat="1" applyFont="1" applyFill="1" applyBorder="1" applyAlignment="1">
      <alignment vertical="center"/>
    </xf>
    <xf numFmtId="166" fontId="10" fillId="3" borderId="57" xfId="17" applyNumberFormat="1" applyFont="1" applyFill="1" applyBorder="1" applyAlignment="1">
      <alignment vertical="center"/>
    </xf>
    <xf numFmtId="166" fontId="10" fillId="3" borderId="13" xfId="17" applyNumberFormat="1" applyFont="1" applyFill="1" applyBorder="1" applyAlignment="1">
      <alignment vertical="center"/>
    </xf>
    <xf numFmtId="3" fontId="10" fillId="3" borderId="0" xfId="0" applyNumberFormat="1" applyFont="1" applyFill="1" applyBorder="1" applyAlignment="1">
      <alignment horizontal="center" vertical="center"/>
    </xf>
    <xf numFmtId="3" fontId="10" fillId="3" borderId="3" xfId="0" applyNumberFormat="1" applyFont="1" applyFill="1" applyBorder="1" applyAlignment="1">
      <alignment vertical="center"/>
    </xf>
    <xf numFmtId="3" fontId="10" fillId="3" borderId="56" xfId="0" applyNumberFormat="1" applyFont="1" applyFill="1" applyBorder="1" applyAlignment="1">
      <alignment vertical="center"/>
    </xf>
    <xf numFmtId="3" fontId="10" fillId="3" borderId="4" xfId="0" applyNumberFormat="1" applyFont="1" applyFill="1" applyBorder="1" applyAlignment="1">
      <alignment vertical="center"/>
    </xf>
    <xf numFmtId="3" fontId="10" fillId="3" borderId="14" xfId="0" applyNumberFormat="1" applyFont="1" applyFill="1" applyBorder="1" applyAlignment="1">
      <alignment vertical="center"/>
    </xf>
    <xf numFmtId="3" fontId="10" fillId="3" borderId="3" xfId="0" applyNumberFormat="1" applyFont="1" applyFill="1" applyBorder="1" applyAlignment="1">
      <alignment horizontal="center" vertical="center"/>
    </xf>
    <xf numFmtId="166" fontId="9" fillId="0" borderId="13" xfId="17" applyNumberFormat="1" applyFont="1" applyBorder="1" applyAlignment="1">
      <alignment vertical="center"/>
    </xf>
    <xf numFmtId="1" fontId="9" fillId="0" borderId="13" xfId="0" applyNumberFormat="1" applyFont="1" applyBorder="1" applyAlignment="1">
      <alignment vertical="center"/>
    </xf>
    <xf numFmtId="166" fontId="9" fillId="0" borderId="57" xfId="17" applyNumberFormat="1" applyFont="1" applyBorder="1" applyAlignment="1">
      <alignment vertical="center"/>
    </xf>
    <xf numFmtId="166" fontId="9" fillId="0" borderId="14" xfId="0" applyNumberFormat="1" applyFont="1" applyBorder="1" applyAlignment="1">
      <alignment vertical="center"/>
    </xf>
    <xf numFmtId="0" fontId="9" fillId="0" borderId="4" xfId="0" applyFont="1" applyBorder="1" applyAlignment="1">
      <alignment horizontal="center" vertical="center"/>
    </xf>
    <xf numFmtId="166" fontId="9" fillId="0" borderId="14" xfId="17" applyNumberFormat="1" applyFont="1" applyBorder="1" applyAlignment="1">
      <alignment vertical="center"/>
    </xf>
    <xf numFmtId="3" fontId="10" fillId="0" borderId="16" xfId="0" applyNumberFormat="1" applyFont="1" applyBorder="1" applyAlignment="1">
      <alignment horizontal="center" vertical="center"/>
    </xf>
    <xf numFmtId="3" fontId="10" fillId="0" borderId="16" xfId="0" applyNumberFormat="1" applyFont="1" applyBorder="1" applyAlignment="1">
      <alignment vertical="center"/>
    </xf>
    <xf numFmtId="3" fontId="10" fillId="0" borderId="17" xfId="0" applyNumberFormat="1" applyFont="1" applyBorder="1" applyAlignment="1">
      <alignment vertical="center"/>
    </xf>
    <xf numFmtId="3" fontId="10" fillId="0" borderId="5" xfId="0" applyNumberFormat="1" applyFont="1" applyBorder="1" applyAlignment="1">
      <alignment horizontal="center" vertical="center"/>
    </xf>
    <xf numFmtId="3" fontId="10" fillId="0" borderId="15" xfId="0" applyNumberFormat="1" applyFont="1" applyBorder="1" applyAlignment="1">
      <alignment vertical="center"/>
    </xf>
    <xf numFmtId="3" fontId="10" fillId="0" borderId="43" xfId="0" applyNumberFormat="1" applyFont="1" applyBorder="1" applyAlignment="1">
      <alignment vertical="center"/>
    </xf>
    <xf numFmtId="3" fontId="9" fillId="0" borderId="0" xfId="0" applyNumberFormat="1" applyFont="1" applyAlignment="1">
      <alignment vertical="center"/>
    </xf>
    <xf numFmtId="0" fontId="3" fillId="0" borderId="14" xfId="0" applyFont="1" applyBorder="1" applyAlignment="1">
      <alignment horizontal="left" vertical="center" wrapText="1"/>
    </xf>
    <xf numFmtId="0" fontId="9" fillId="0" borderId="0" xfId="0" applyFont="1" applyAlignment="1">
      <alignment horizontal="left" vertical="center" wrapText="1"/>
    </xf>
    <xf numFmtId="0" fontId="10" fillId="18" borderId="14" xfId="4" applyFont="1" applyFill="1" applyBorder="1" applyAlignment="1">
      <alignment vertical="center" wrapText="1"/>
    </xf>
    <xf numFmtId="0" fontId="9" fillId="18" borderId="14" xfId="4" applyFont="1" applyFill="1" applyBorder="1" applyAlignment="1">
      <alignment vertical="center"/>
    </xf>
    <xf numFmtId="0" fontId="9" fillId="18" borderId="13" xfId="4" applyFont="1" applyFill="1" applyBorder="1" applyAlignment="1">
      <alignment vertical="center"/>
    </xf>
    <xf numFmtId="0" fontId="9" fillId="18" borderId="56" xfId="4" applyFont="1" applyFill="1" applyBorder="1" applyAlignment="1">
      <alignment vertical="center"/>
    </xf>
    <xf numFmtId="0" fontId="9" fillId="18" borderId="4" xfId="4" applyFont="1" applyFill="1" applyBorder="1" applyAlignment="1">
      <alignment vertical="center"/>
    </xf>
    <xf numFmtId="0" fontId="9" fillId="18" borderId="14" xfId="0" applyFont="1" applyFill="1" applyBorder="1" applyAlignment="1">
      <alignment vertical="center"/>
    </xf>
    <xf numFmtId="0" fontId="9" fillId="18" borderId="13" xfId="0" applyFont="1" applyFill="1" applyBorder="1" applyAlignment="1">
      <alignment vertical="center"/>
    </xf>
    <xf numFmtId="0" fontId="9" fillId="18" borderId="0" xfId="0" applyFont="1" applyFill="1" applyBorder="1" applyAlignment="1">
      <alignment vertical="center"/>
    </xf>
    <xf numFmtId="0" fontId="9" fillId="18" borderId="57" xfId="0" applyFont="1" applyFill="1" applyBorder="1" applyAlignment="1">
      <alignment vertical="center"/>
    </xf>
    <xf numFmtId="0" fontId="9" fillId="18" borderId="4" xfId="0" applyFont="1" applyFill="1" applyBorder="1" applyAlignment="1">
      <alignment vertical="center"/>
    </xf>
    <xf numFmtId="0" fontId="9" fillId="4" borderId="14" xfId="4" applyFont="1" applyFill="1" applyBorder="1" applyAlignment="1">
      <alignment vertical="center" wrapText="1"/>
    </xf>
    <xf numFmtId="0" fontId="9" fillId="4" borderId="14" xfId="4" applyFont="1" applyFill="1" applyBorder="1" applyAlignment="1">
      <alignment vertical="center"/>
    </xf>
    <xf numFmtId="3" fontId="9" fillId="4" borderId="13" xfId="4" applyNumberFormat="1" applyFont="1" applyFill="1" applyBorder="1" applyAlignment="1">
      <alignment vertical="center"/>
    </xf>
    <xf numFmtId="3" fontId="9" fillId="4" borderId="56" xfId="4" applyNumberFormat="1" applyFont="1" applyFill="1" applyBorder="1" applyAlignment="1">
      <alignment vertical="center"/>
    </xf>
    <xf numFmtId="3" fontId="9" fillId="4" borderId="14" xfId="0" applyNumberFormat="1" applyFont="1" applyFill="1" applyBorder="1" applyAlignment="1">
      <alignment vertical="center"/>
    </xf>
    <xf numFmtId="0" fontId="9" fillId="0" borderId="14" xfId="4" applyFont="1" applyBorder="1" applyAlignment="1">
      <alignment vertical="center" wrapText="1"/>
    </xf>
    <xf numFmtId="3" fontId="9" fillId="0" borderId="13" xfId="4" applyNumberFormat="1" applyFont="1" applyBorder="1" applyAlignment="1">
      <alignment vertical="center"/>
    </xf>
    <xf numFmtId="0" fontId="9" fillId="0" borderId="13" xfId="4" applyFont="1" applyBorder="1" applyAlignment="1">
      <alignment vertical="center"/>
    </xf>
    <xf numFmtId="3" fontId="9" fillId="0" borderId="56" xfId="4" applyNumberFormat="1" applyFont="1" applyBorder="1" applyAlignment="1">
      <alignment vertical="center"/>
    </xf>
    <xf numFmtId="0" fontId="10" fillId="3" borderId="5" xfId="0" applyFont="1" applyFill="1" applyBorder="1" applyAlignment="1">
      <alignment horizontal="center" vertical="center" wrapText="1"/>
    </xf>
    <xf numFmtId="0" fontId="9" fillId="3" borderId="5" xfId="4" applyFont="1" applyFill="1" applyBorder="1" applyAlignment="1">
      <alignment vertical="center"/>
    </xf>
    <xf numFmtId="3" fontId="9" fillId="3" borderId="15" xfId="4" applyNumberFormat="1" applyFont="1" applyFill="1" applyBorder="1" applyAlignment="1">
      <alignment vertical="center"/>
    </xf>
    <xf numFmtId="0" fontId="9" fillId="3" borderId="16" xfId="4" applyFont="1" applyFill="1" applyBorder="1" applyAlignment="1">
      <alignment vertical="center"/>
    </xf>
    <xf numFmtId="3" fontId="9" fillId="3" borderId="43" xfId="4" applyNumberFormat="1" applyFont="1" applyFill="1" applyBorder="1" applyAlignment="1">
      <alignment vertical="center"/>
    </xf>
    <xf numFmtId="0" fontId="9" fillId="3" borderId="43" xfId="0" applyFont="1" applyFill="1" applyBorder="1" applyAlignment="1">
      <alignment vertical="center"/>
    </xf>
    <xf numFmtId="0" fontId="9" fillId="3" borderId="18" xfId="0" applyFont="1" applyFill="1" applyBorder="1" applyAlignment="1">
      <alignment vertical="center"/>
    </xf>
    <xf numFmtId="3" fontId="9" fillId="3" borderId="5" xfId="0" applyNumberFormat="1" applyFont="1" applyFill="1" applyBorder="1" applyAlignment="1">
      <alignment vertical="center"/>
    </xf>
    <xf numFmtId="0" fontId="9" fillId="0" borderId="0" xfId="0" applyFont="1" applyAlignment="1">
      <alignment horizontal="right" vertical="center" wrapText="1"/>
    </xf>
    <xf numFmtId="0" fontId="3" fillId="0" borderId="0" xfId="0" applyFont="1" applyAlignment="1">
      <alignment vertical="center" wrapText="1"/>
    </xf>
    <xf numFmtId="0" fontId="42" fillId="0" borderId="29" xfId="0" applyFont="1" applyBorder="1" applyAlignment="1">
      <alignment vertical="center" wrapText="1"/>
    </xf>
    <xf numFmtId="0" fontId="9" fillId="0" borderId="23" xfId="0" applyFont="1" applyBorder="1" applyAlignment="1">
      <alignment horizontal="center" vertical="center" wrapText="1"/>
    </xf>
    <xf numFmtId="0" fontId="3" fillId="0" borderId="28" xfId="0" applyFont="1" applyFill="1" applyBorder="1" applyAlignment="1">
      <alignment horizontal="center" vertical="center" wrapText="1"/>
    </xf>
    <xf numFmtId="0" fontId="10" fillId="0" borderId="42" xfId="0" applyFont="1" applyBorder="1" applyAlignment="1">
      <alignment horizontal="center" vertical="center" wrapText="1"/>
    </xf>
    <xf numFmtId="49" fontId="44" fillId="0" borderId="26" xfId="0" applyNumberFormat="1" applyFont="1" applyFill="1" applyBorder="1" applyAlignment="1">
      <alignment horizontal="center" vertical="center" wrapText="1"/>
    </xf>
    <xf numFmtId="0" fontId="44" fillId="0" borderId="28" xfId="0" applyFont="1" applyFill="1" applyBorder="1" applyAlignment="1">
      <alignment horizontal="center" vertical="center" wrapText="1"/>
    </xf>
    <xf numFmtId="0" fontId="44" fillId="0" borderId="28" xfId="0" applyFont="1" applyFill="1" applyBorder="1" applyAlignment="1">
      <alignment horizontal="left" vertical="center" wrapText="1"/>
    </xf>
    <xf numFmtId="4" fontId="44" fillId="0" borderId="28" xfId="4" applyNumberFormat="1" applyFont="1" applyFill="1" applyBorder="1" applyAlignment="1">
      <alignment horizontal="center" vertical="center" wrapText="1" shrinkToFit="1"/>
    </xf>
    <xf numFmtId="49" fontId="44" fillId="0" borderId="28" xfId="4" applyNumberFormat="1" applyFont="1" applyFill="1" applyBorder="1" applyAlignment="1">
      <alignment horizontal="left" vertical="center" wrapText="1"/>
    </xf>
    <xf numFmtId="1" fontId="44" fillId="0" borderId="28" xfId="0" applyNumberFormat="1" applyFont="1" applyFill="1" applyBorder="1" applyAlignment="1">
      <alignment horizontal="center" vertical="center" wrapText="1"/>
    </xf>
    <xf numFmtId="43" fontId="44" fillId="0" borderId="28" xfId="10" applyFont="1" applyFill="1" applyBorder="1" applyAlignment="1">
      <alignment horizontal="right" vertical="center" wrapText="1"/>
    </xf>
    <xf numFmtId="43" fontId="44" fillId="0" borderId="29" xfId="10" applyFont="1" applyFill="1" applyBorder="1" applyAlignment="1">
      <alignment horizontal="right" vertical="center" wrapText="1"/>
    </xf>
    <xf numFmtId="0" fontId="44" fillId="0" borderId="23" xfId="0" applyFont="1" applyFill="1" applyBorder="1" applyAlignment="1">
      <alignment horizontal="center" vertical="center" wrapText="1"/>
    </xf>
    <xf numFmtId="0" fontId="44" fillId="0" borderId="23" xfId="0" applyFont="1" applyFill="1" applyBorder="1" applyAlignment="1">
      <alignment horizontal="left" vertical="center" wrapText="1"/>
    </xf>
    <xf numFmtId="4" fontId="44" fillId="0" borderId="23" xfId="4" applyNumberFormat="1" applyFont="1" applyFill="1" applyBorder="1" applyAlignment="1">
      <alignment horizontal="center" vertical="center" wrapText="1" shrinkToFit="1"/>
    </xf>
    <xf numFmtId="1" fontId="44" fillId="0" borderId="23" xfId="0" applyNumberFormat="1" applyFont="1" applyFill="1" applyBorder="1" applyAlignment="1">
      <alignment horizontal="center" vertical="center" wrapText="1"/>
    </xf>
    <xf numFmtId="43" fontId="44" fillId="0" borderId="23" xfId="10" applyFont="1" applyFill="1" applyBorder="1" applyAlignment="1">
      <alignment horizontal="right" vertical="center" wrapText="1"/>
    </xf>
    <xf numFmtId="43" fontId="44" fillId="0" borderId="25" xfId="10" applyFont="1" applyFill="1" applyBorder="1" applyAlignment="1">
      <alignment horizontal="right" vertical="center" wrapText="1"/>
    </xf>
    <xf numFmtId="49" fontId="44" fillId="0" borderId="28" xfId="4" applyNumberFormat="1" applyFont="1" applyFill="1" applyBorder="1" applyAlignment="1">
      <alignment horizontal="center" vertical="center" wrapText="1"/>
    </xf>
    <xf numFmtId="0" fontId="42" fillId="0" borderId="28" xfId="0" applyFont="1" applyFill="1" applyBorder="1" applyAlignment="1">
      <alignment horizontal="center" vertical="center" wrapText="1"/>
    </xf>
    <xf numFmtId="0" fontId="42" fillId="0" borderId="28" xfId="0" applyFont="1" applyFill="1" applyBorder="1" applyAlignment="1">
      <alignment horizontal="left" vertical="center" wrapText="1"/>
    </xf>
    <xf numFmtId="43" fontId="42" fillId="0" borderId="28" xfId="10" applyFont="1" applyFill="1" applyBorder="1" applyAlignment="1">
      <alignment horizontal="right" vertical="center" wrapText="1"/>
    </xf>
    <xf numFmtId="43" fontId="42" fillId="0" borderId="29" xfId="10" applyFont="1" applyFill="1" applyBorder="1" applyAlignment="1">
      <alignment horizontal="right" vertical="center" wrapText="1"/>
    </xf>
    <xf numFmtId="4" fontId="44" fillId="0" borderId="28" xfId="4" applyNumberFormat="1" applyFont="1" applyFill="1" applyBorder="1" applyAlignment="1">
      <alignment horizontal="center" vertical="center" wrapText="1"/>
    </xf>
    <xf numFmtId="0" fontId="44" fillId="0" borderId="28" xfId="0" applyFont="1" applyFill="1" applyBorder="1" applyAlignment="1">
      <alignment vertical="center" wrapText="1"/>
    </xf>
    <xf numFmtId="0" fontId="67" fillId="0" borderId="28" xfId="0" applyFont="1" applyFill="1" applyBorder="1" applyAlignment="1">
      <alignment horizontal="left" vertical="center" wrapText="1"/>
    </xf>
    <xf numFmtId="49" fontId="42" fillId="0" borderId="28" xfId="0" applyNumberFormat="1" applyFont="1" applyFill="1" applyBorder="1" applyAlignment="1">
      <alignment horizontal="center" vertical="center" wrapText="1"/>
    </xf>
    <xf numFmtId="14" fontId="68" fillId="0" borderId="28" xfId="4" applyNumberFormat="1" applyFont="1" applyFill="1" applyBorder="1" applyAlignment="1">
      <alignment horizontal="center" vertical="center" wrapText="1"/>
    </xf>
    <xf numFmtId="49" fontId="44" fillId="0" borderId="28" xfId="0" applyNumberFormat="1" applyFont="1" applyFill="1" applyBorder="1" applyAlignment="1">
      <alignment horizontal="center" vertical="center" wrapText="1"/>
    </xf>
    <xf numFmtId="0" fontId="67" fillId="0" borderId="28" xfId="0" applyFont="1" applyFill="1" applyBorder="1" applyAlignment="1">
      <alignment horizontal="center" vertical="center" wrapText="1"/>
    </xf>
    <xf numFmtId="0" fontId="44" fillId="0" borderId="40" xfId="0" applyFont="1" applyFill="1" applyBorder="1" applyAlignment="1">
      <alignment horizontal="center" vertical="center" wrapText="1"/>
    </xf>
    <xf numFmtId="49" fontId="44" fillId="0" borderId="40" xfId="4" applyNumberFormat="1" applyFont="1" applyFill="1" applyBorder="1" applyAlignment="1">
      <alignment horizontal="left" vertical="center" wrapText="1"/>
    </xf>
    <xf numFmtId="4" fontId="44" fillId="0" borderId="40" xfId="4" applyNumberFormat="1" applyFont="1" applyFill="1" applyBorder="1" applyAlignment="1">
      <alignment horizontal="center" vertical="center" wrapText="1" shrinkToFit="1"/>
    </xf>
    <xf numFmtId="0" fontId="44" fillId="0" borderId="40" xfId="0" applyFont="1" applyFill="1" applyBorder="1" applyAlignment="1">
      <alignment horizontal="left" vertical="center" wrapText="1"/>
    </xf>
    <xf numFmtId="1" fontId="44" fillId="0" borderId="40" xfId="0" applyNumberFormat="1" applyFont="1" applyFill="1" applyBorder="1" applyAlignment="1">
      <alignment horizontal="center" vertical="center" wrapText="1"/>
    </xf>
    <xf numFmtId="43" fontId="44" fillId="0" borderId="40" xfId="10" applyFont="1" applyFill="1" applyBorder="1" applyAlignment="1">
      <alignment horizontal="right" vertical="center" wrapText="1"/>
    </xf>
    <xf numFmtId="43" fontId="44" fillId="0" borderId="39" xfId="10" applyFont="1" applyFill="1" applyBorder="1" applyAlignment="1">
      <alignment horizontal="right" vertical="center" wrapText="1"/>
    </xf>
    <xf numFmtId="0" fontId="9" fillId="0" borderId="22" xfId="0" quotePrefix="1" applyFont="1" applyBorder="1" applyAlignment="1">
      <alignment horizontal="center" vertical="center" wrapText="1"/>
    </xf>
    <xf numFmtId="0" fontId="9" fillId="0" borderId="40" xfId="0" applyFont="1" applyBorder="1" applyAlignment="1">
      <alignment horizontal="center" vertical="center" wrapText="1"/>
    </xf>
    <xf numFmtId="0" fontId="10" fillId="0" borderId="0" xfId="0" applyFont="1" applyFill="1" applyAlignment="1">
      <alignment horizontal="left" vertical="center"/>
    </xf>
    <xf numFmtId="0" fontId="10" fillId="5" borderId="0" xfId="0" applyFont="1" applyFill="1" applyAlignment="1">
      <alignment horizontal="left" vertical="center"/>
    </xf>
    <xf numFmtId="0" fontId="10" fillId="0" borderId="15" xfId="0" applyFont="1" applyBorder="1" applyAlignment="1">
      <alignment horizontal="center" vertical="center" wrapText="1"/>
    </xf>
    <xf numFmtId="164" fontId="9" fillId="0" borderId="0" xfId="0" applyNumberFormat="1" applyFont="1" applyAlignment="1">
      <alignment vertical="center" wrapText="1"/>
    </xf>
    <xf numFmtId="0" fontId="42" fillId="0" borderId="28" xfId="19" applyFont="1" applyBorder="1" applyAlignment="1">
      <alignment horizontal="left" vertical="center" wrapText="1"/>
    </xf>
    <xf numFmtId="0" fontId="42" fillId="0" borderId="29" xfId="19" applyFont="1" applyBorder="1" applyAlignment="1">
      <alignment horizontal="left" vertical="center" wrapText="1"/>
    </xf>
    <xf numFmtId="0" fontId="9" fillId="0" borderId="16" xfId="0" applyFont="1" applyBorder="1" applyAlignment="1">
      <alignment vertical="center" wrapText="1"/>
    </xf>
    <xf numFmtId="0" fontId="9" fillId="0" borderId="20" xfId="0" applyFont="1" applyBorder="1" applyAlignment="1">
      <alignment vertical="center" wrapText="1"/>
    </xf>
    <xf numFmtId="0" fontId="9" fillId="0" borderId="18" xfId="0" applyFont="1" applyBorder="1" applyAlignment="1">
      <alignment vertical="center" wrapText="1"/>
    </xf>
    <xf numFmtId="164" fontId="9" fillId="0" borderId="42" xfId="0" applyNumberFormat="1" applyFont="1" applyBorder="1" applyAlignment="1">
      <alignment vertical="center" wrapText="1"/>
    </xf>
    <xf numFmtId="164" fontId="9" fillId="0" borderId="16" xfId="0" applyNumberFormat="1" applyFont="1" applyBorder="1" applyAlignment="1">
      <alignment vertical="center" wrapText="1"/>
    </xf>
    <xf numFmtId="0" fontId="10" fillId="5" borderId="83" xfId="0" applyFont="1" applyFill="1" applyBorder="1" applyAlignment="1">
      <alignment vertical="center"/>
    </xf>
    <xf numFmtId="0" fontId="42" fillId="0" borderId="28" xfId="0" applyFont="1" applyBorder="1" applyAlignment="1">
      <alignment vertical="center" wrapText="1"/>
    </xf>
    <xf numFmtId="0" fontId="42" fillId="0" borderId="35" xfId="0" applyFont="1" applyBorder="1" applyAlignment="1">
      <alignment vertical="center" wrapText="1"/>
    </xf>
    <xf numFmtId="0" fontId="42" fillId="0" borderId="37" xfId="0" applyFont="1" applyBorder="1" applyAlignment="1">
      <alignment vertical="center" wrapText="1"/>
    </xf>
    <xf numFmtId="3" fontId="9" fillId="0" borderId="0" xfId="0" applyNumberFormat="1" applyFont="1" applyFill="1" applyAlignment="1">
      <alignment vertical="center"/>
    </xf>
    <xf numFmtId="164" fontId="10" fillId="7" borderId="54" xfId="0" applyNumberFormat="1" applyFont="1" applyFill="1" applyBorder="1" applyAlignment="1">
      <alignment horizontal="center" vertical="center" textRotation="90" wrapText="1"/>
    </xf>
    <xf numFmtId="0" fontId="9" fillId="0" borderId="0" xfId="7" applyFont="1" applyAlignment="1">
      <alignment vertical="center"/>
    </xf>
    <xf numFmtId="0" fontId="3" fillId="5" borderId="0" xfId="0" applyFont="1" applyFill="1" applyAlignment="1">
      <alignment vertical="center"/>
    </xf>
    <xf numFmtId="0" fontId="9" fillId="0" borderId="0" xfId="0" applyFont="1" applyAlignment="1">
      <alignment horizontal="left" vertical="center"/>
    </xf>
    <xf numFmtId="164" fontId="10" fillId="7" borderId="43" xfId="0" applyNumberFormat="1" applyFont="1" applyFill="1" applyBorder="1" applyAlignment="1">
      <alignment horizontal="right" vertical="center" textRotation="90" wrapText="1"/>
    </xf>
    <xf numFmtId="0" fontId="44" fillId="0" borderId="0" xfId="0" applyFont="1" applyFill="1" applyAlignment="1">
      <alignment vertical="center" wrapText="1"/>
    </xf>
    <xf numFmtId="0" fontId="42" fillId="0" borderId="0" xfId="0" applyFont="1" applyFill="1" applyAlignment="1">
      <alignment vertical="center" wrapText="1"/>
    </xf>
    <xf numFmtId="0" fontId="42" fillId="0" borderId="0" xfId="0" applyFont="1" applyFill="1" applyAlignment="1">
      <alignment vertical="center"/>
    </xf>
    <xf numFmtId="0" fontId="9" fillId="0" borderId="16" xfId="0" applyFont="1" applyBorder="1" applyAlignment="1">
      <alignment horizontal="left" vertical="center" wrapText="1"/>
    </xf>
    <xf numFmtId="0" fontId="9" fillId="0" borderId="15" xfId="0" applyFont="1" applyBorder="1" applyAlignment="1">
      <alignment horizontal="left" vertical="center" wrapText="1"/>
    </xf>
    <xf numFmtId="43" fontId="9" fillId="0" borderId="18" xfId="0" applyNumberFormat="1" applyFont="1" applyBorder="1" applyAlignment="1">
      <alignment horizontal="right" vertical="center" wrapText="1"/>
    </xf>
    <xf numFmtId="0" fontId="44" fillId="0" borderId="23" xfId="0" applyFont="1" applyBorder="1" applyAlignment="1">
      <alignment horizontal="left" vertical="center" wrapText="1"/>
    </xf>
    <xf numFmtId="169" fontId="44" fillId="0" borderId="25" xfId="0" applyNumberFormat="1" applyFont="1" applyBorder="1" applyAlignment="1">
      <alignment horizontal="center" vertical="center" wrapText="1"/>
    </xf>
    <xf numFmtId="168" fontId="44" fillId="0" borderId="78" xfId="0" applyNumberFormat="1" applyFont="1" applyBorder="1" applyAlignment="1">
      <alignment horizontal="center" vertical="center" wrapText="1"/>
    </xf>
    <xf numFmtId="0" fontId="44" fillId="0" borderId="23" xfId="0" applyFont="1" applyFill="1" applyBorder="1" applyAlignment="1">
      <alignment vertical="center" wrapText="1"/>
    </xf>
    <xf numFmtId="0" fontId="44" fillId="0" borderId="23" xfId="2" applyFont="1" applyBorder="1" applyAlignment="1">
      <alignment horizontal="center" vertical="center" wrapText="1"/>
    </xf>
    <xf numFmtId="0" fontId="44" fillId="0" borderId="25" xfId="2" applyFont="1" applyBorder="1" applyAlignment="1">
      <alignment horizontal="center" vertical="center" wrapText="1"/>
    </xf>
    <xf numFmtId="167" fontId="44" fillId="0" borderId="22" xfId="0" applyNumberFormat="1" applyFont="1" applyFill="1" applyBorder="1" applyAlignment="1">
      <alignment horizontal="center" vertical="center" wrapText="1"/>
    </xf>
    <xf numFmtId="0" fontId="44" fillId="0" borderId="23" xfId="0" applyNumberFormat="1" applyFont="1" applyFill="1" applyBorder="1" applyAlignment="1">
      <alignment horizontal="center" vertical="center" wrapText="1"/>
    </xf>
    <xf numFmtId="44" fontId="44" fillId="0" borderId="25" xfId="0" applyNumberFormat="1" applyFont="1" applyFill="1" applyBorder="1" applyAlignment="1">
      <alignment horizontal="right" vertical="center" wrapText="1"/>
    </xf>
    <xf numFmtId="0" fontId="44" fillId="0" borderId="25" xfId="2" applyFont="1" applyBorder="1" applyAlignment="1">
      <alignment vertical="center" wrapText="1"/>
    </xf>
    <xf numFmtId="0" fontId="44" fillId="5" borderId="23" xfId="0" applyFont="1" applyFill="1" applyBorder="1" applyAlignment="1">
      <alignment horizontal="left" vertical="center" wrapText="1"/>
    </xf>
    <xf numFmtId="168" fontId="44" fillId="5" borderId="78" xfId="0" applyNumberFormat="1" applyFont="1" applyFill="1" applyBorder="1" applyAlignment="1">
      <alignment horizontal="center" vertical="center" wrapText="1"/>
    </xf>
    <xf numFmtId="0" fontId="44" fillId="5" borderId="23" xfId="0" applyFont="1" applyFill="1" applyBorder="1" applyAlignment="1">
      <alignment vertical="center" wrapText="1"/>
    </xf>
    <xf numFmtId="0" fontId="44" fillId="5" borderId="25" xfId="2" applyFont="1" applyFill="1" applyBorder="1" applyAlignment="1">
      <alignment horizontal="center" vertical="center" wrapText="1"/>
    </xf>
    <xf numFmtId="167" fontId="44" fillId="5" borderId="22" xfId="0" applyNumberFormat="1" applyFont="1" applyFill="1" applyBorder="1" applyAlignment="1">
      <alignment horizontal="center" vertical="center" wrapText="1"/>
    </xf>
    <xf numFmtId="0" fontId="44" fillId="5" borderId="23" xfId="0" applyNumberFormat="1" applyFont="1" applyFill="1" applyBorder="1" applyAlignment="1">
      <alignment horizontal="center" vertical="center" wrapText="1"/>
    </xf>
    <xf numFmtId="44" fontId="44" fillId="5" borderId="25" xfId="0" applyNumberFormat="1" applyFont="1" applyFill="1" applyBorder="1" applyAlignment="1">
      <alignment horizontal="right" vertical="center" wrapText="1"/>
    </xf>
    <xf numFmtId="0" fontId="44" fillId="5" borderId="23" xfId="2" applyFont="1" applyFill="1" applyBorder="1" applyAlignment="1">
      <alignment horizontal="center" vertical="center" wrapText="1"/>
    </xf>
    <xf numFmtId="0" fontId="44" fillId="0" borderId="25" xfId="0" applyFont="1" applyBorder="1" applyAlignment="1">
      <alignment horizontal="center" vertical="center" wrapText="1"/>
    </xf>
    <xf numFmtId="44" fontId="44" fillId="0" borderId="25" xfId="0" applyNumberFormat="1" applyFont="1" applyFill="1" applyBorder="1" applyAlignment="1">
      <alignment vertical="center" wrapText="1"/>
    </xf>
    <xf numFmtId="44" fontId="44" fillId="0" borderId="23" xfId="0" applyNumberFormat="1" applyFont="1" applyFill="1" applyBorder="1" applyAlignment="1">
      <alignment horizontal="center" vertical="center" wrapText="1"/>
    </xf>
    <xf numFmtId="0" fontId="44" fillId="0" borderId="28" xfId="0" applyFont="1" applyBorder="1" applyAlignment="1">
      <alignment horizontal="left" vertical="center" wrapText="1"/>
    </xf>
    <xf numFmtId="0" fontId="44" fillId="0" borderId="29" xfId="0" applyFont="1" applyBorder="1" applyAlignment="1">
      <alignment horizontal="center" vertical="center" wrapText="1"/>
    </xf>
    <xf numFmtId="168" fontId="44" fillId="0" borderId="2" xfId="0" quotePrefix="1" applyNumberFormat="1" applyFont="1" applyBorder="1" applyAlignment="1">
      <alignment horizontal="center" vertical="center" wrapText="1"/>
    </xf>
    <xf numFmtId="0" fontId="44" fillId="0" borderId="28" xfId="2" applyFont="1" applyBorder="1" applyAlignment="1">
      <alignment horizontal="center" vertical="center" wrapText="1"/>
    </xf>
    <xf numFmtId="0" fontId="44" fillId="0" borderId="29" xfId="2" applyFont="1" applyBorder="1" applyAlignment="1">
      <alignment horizontal="center" vertical="center" wrapText="1"/>
    </xf>
    <xf numFmtId="167" fontId="44" fillId="0" borderId="26" xfId="0" applyNumberFormat="1" applyFont="1" applyFill="1" applyBorder="1" applyAlignment="1">
      <alignment horizontal="center" vertical="center" wrapText="1"/>
    </xf>
    <xf numFmtId="0" fontId="44" fillId="0" borderId="28" xfId="0" applyNumberFormat="1" applyFont="1" applyFill="1" applyBorder="1" applyAlignment="1">
      <alignment horizontal="center" vertical="center" wrapText="1"/>
    </xf>
    <xf numFmtId="44" fontId="44" fillId="0" borderId="29" xfId="0" applyNumberFormat="1" applyFont="1" applyFill="1" applyBorder="1" applyAlignment="1">
      <alignment vertical="center" wrapText="1"/>
    </xf>
    <xf numFmtId="44" fontId="44" fillId="0" borderId="28" xfId="0" applyNumberFormat="1" applyFont="1" applyFill="1" applyBorder="1" applyAlignment="1">
      <alignment horizontal="center" vertical="center" wrapText="1"/>
    </xf>
    <xf numFmtId="168" fontId="44" fillId="0" borderId="2" xfId="0" applyNumberFormat="1" applyFont="1" applyBorder="1" applyAlignment="1">
      <alignment horizontal="center" vertical="center" wrapText="1"/>
    </xf>
    <xf numFmtId="0" fontId="44" fillId="0" borderId="28" xfId="0" applyFont="1" applyBorder="1" applyAlignment="1">
      <alignment horizontal="center" vertical="center" wrapText="1"/>
    </xf>
    <xf numFmtId="0" fontId="44" fillId="5" borderId="28" xfId="0" applyFont="1" applyFill="1" applyBorder="1" applyAlignment="1">
      <alignment horizontal="left" vertical="center" wrapText="1"/>
    </xf>
    <xf numFmtId="0" fontId="44" fillId="5" borderId="28" xfId="0" applyFont="1" applyFill="1" applyBorder="1" applyAlignment="1">
      <alignment vertical="center" wrapText="1"/>
    </xf>
    <xf numFmtId="168" fontId="44" fillId="0" borderId="2" xfId="0" quotePrefix="1" applyNumberFormat="1" applyFont="1" applyFill="1" applyBorder="1" applyAlignment="1">
      <alignment horizontal="center" vertical="center" wrapText="1"/>
    </xf>
    <xf numFmtId="164" fontId="44" fillId="0" borderId="28" xfId="0" applyNumberFormat="1" applyFont="1" applyFill="1" applyBorder="1" applyAlignment="1">
      <alignment vertical="center" wrapText="1"/>
    </xf>
    <xf numFmtId="0" fontId="44" fillId="0" borderId="29" xfId="0" applyFont="1" applyFill="1" applyBorder="1" applyAlignment="1">
      <alignment vertical="center" wrapText="1"/>
    </xf>
    <xf numFmtId="168" fontId="44" fillId="0" borderId="2" xfId="0" applyNumberFormat="1" applyFont="1" applyFill="1" applyBorder="1" applyAlignment="1">
      <alignment horizontal="center" vertical="center" wrapText="1"/>
    </xf>
    <xf numFmtId="168" fontId="44" fillId="0" borderId="3" xfId="0" applyNumberFormat="1" applyFont="1" applyFill="1" applyBorder="1" applyAlignment="1">
      <alignment horizontal="center" vertical="center" wrapText="1"/>
    </xf>
    <xf numFmtId="0" fontId="44" fillId="0" borderId="0" xfId="0" applyFont="1" applyFill="1" applyBorder="1" applyAlignment="1">
      <alignment vertical="center" wrapText="1"/>
    </xf>
    <xf numFmtId="0" fontId="44" fillId="0" borderId="28" xfId="0" applyFont="1" applyBorder="1" applyAlignment="1">
      <alignment vertical="center" wrapText="1"/>
    </xf>
    <xf numFmtId="0" fontId="44" fillId="0" borderId="35" xfId="0" applyFont="1" applyFill="1" applyBorder="1" applyAlignment="1">
      <alignment horizontal="left" vertical="center" wrapText="1"/>
    </xf>
    <xf numFmtId="168" fontId="44" fillId="0" borderId="80" xfId="0" quotePrefix="1" applyNumberFormat="1" applyFont="1" applyFill="1" applyBorder="1" applyAlignment="1">
      <alignment horizontal="center" vertical="center" wrapText="1"/>
    </xf>
    <xf numFmtId="164" fontId="44" fillId="0" borderId="28" xfId="0" applyNumberFormat="1" applyFont="1" applyFill="1" applyBorder="1" applyAlignment="1">
      <alignment horizontal="center" vertical="center" wrapText="1"/>
    </xf>
    <xf numFmtId="164" fontId="44" fillId="0" borderId="29" xfId="0" applyNumberFormat="1" applyFont="1" applyFill="1" applyBorder="1" applyAlignment="1">
      <alignment vertical="center" wrapText="1"/>
    </xf>
    <xf numFmtId="0" fontId="44" fillId="0" borderId="40" xfId="0" applyFont="1" applyBorder="1" applyAlignment="1">
      <alignment horizontal="left" vertical="center" wrapText="1"/>
    </xf>
    <xf numFmtId="0" fontId="44" fillId="0" borderId="39" xfId="0" applyFont="1" applyBorder="1" applyAlignment="1">
      <alignment horizontal="center" vertical="center" wrapText="1"/>
    </xf>
    <xf numFmtId="0" fontId="44" fillId="0" borderId="16" xfId="0" applyFont="1" applyBorder="1" applyAlignment="1">
      <alignment vertical="center" wrapText="1"/>
    </xf>
    <xf numFmtId="0" fontId="44" fillId="0" borderId="18" xfId="0" applyFont="1" applyBorder="1" applyAlignment="1">
      <alignment horizontal="center" vertical="center" wrapText="1"/>
    </xf>
    <xf numFmtId="0" fontId="68" fillId="0" borderId="42" xfId="0" applyFont="1" applyBorder="1" applyAlignment="1">
      <alignment horizontal="center" vertical="center" wrapText="1"/>
    </xf>
    <xf numFmtId="0" fontId="44" fillId="0" borderId="15" xfId="0" applyFont="1" applyBorder="1" applyAlignment="1">
      <alignment vertical="center" wrapText="1"/>
    </xf>
    <xf numFmtId="0" fontId="44" fillId="0" borderId="18" xfId="0" applyFont="1" applyBorder="1" applyAlignment="1">
      <alignment vertical="center" wrapText="1"/>
    </xf>
    <xf numFmtId="164" fontId="44" fillId="0" borderId="42" xfId="0" applyNumberFormat="1" applyFont="1" applyBorder="1" applyAlignment="1">
      <alignment vertical="center" wrapText="1"/>
    </xf>
    <xf numFmtId="164" fontId="44" fillId="0" borderId="16" xfId="0" applyNumberFormat="1" applyFont="1" applyBorder="1" applyAlignment="1">
      <alignment vertical="center" wrapText="1"/>
    </xf>
    <xf numFmtId="44" fontId="68" fillId="0" borderId="18" xfId="0" applyNumberFormat="1" applyFont="1" applyBorder="1" applyAlignment="1">
      <alignment vertical="center" wrapText="1"/>
    </xf>
    <xf numFmtId="164" fontId="68" fillId="0" borderId="42" xfId="0" applyNumberFormat="1" applyFont="1" applyBorder="1" applyAlignment="1">
      <alignment horizontal="center" vertical="center" wrapText="1"/>
    </xf>
    <xf numFmtId="164" fontId="68" fillId="0" borderId="16" xfId="0" applyNumberFormat="1" applyFont="1" applyBorder="1" applyAlignment="1">
      <alignment horizontal="center" vertical="center" wrapText="1"/>
    </xf>
    <xf numFmtId="0" fontId="44" fillId="0" borderId="28" xfId="7" applyFont="1" applyBorder="1" applyAlignment="1">
      <alignment vertical="center" wrapText="1"/>
    </xf>
    <xf numFmtId="0" fontId="44" fillId="0" borderId="28" xfId="7" applyFont="1" applyBorder="1" applyAlignment="1">
      <alignment horizontal="center" vertical="center" wrapText="1"/>
    </xf>
    <xf numFmtId="3" fontId="44" fillId="0" borderId="1" xfId="7" applyNumberFormat="1" applyFont="1" applyBorder="1" applyAlignment="1">
      <alignment vertical="center" wrapText="1"/>
    </xf>
    <xf numFmtId="0" fontId="44" fillId="0" borderId="26" xfId="7" applyFont="1" applyBorder="1" applyAlignment="1">
      <alignment horizontal="center" vertical="center" wrapText="1"/>
    </xf>
    <xf numFmtId="0" fontId="44" fillId="0" borderId="29" xfId="7" applyFont="1" applyBorder="1" applyAlignment="1">
      <alignment vertical="center" wrapText="1"/>
    </xf>
    <xf numFmtId="3" fontId="44" fillId="0" borderId="26" xfId="7" applyNumberFormat="1" applyFont="1" applyFill="1" applyBorder="1" applyAlignment="1">
      <alignment vertical="center" wrapText="1"/>
    </xf>
    <xf numFmtId="3" fontId="44" fillId="0" borderId="28" xfId="7" applyNumberFormat="1" applyFont="1" applyFill="1" applyBorder="1" applyAlignment="1">
      <alignment vertical="center" wrapText="1"/>
    </xf>
    <xf numFmtId="3" fontId="44" fillId="0" borderId="29" xfId="7" applyNumberFormat="1" applyFont="1" applyFill="1" applyBorder="1" applyAlignment="1">
      <alignment vertical="center" wrapText="1"/>
    </xf>
    <xf numFmtId="0" fontId="44" fillId="0" borderId="26" xfId="7" applyFont="1" applyFill="1" applyBorder="1" applyAlignment="1">
      <alignment horizontal="right" vertical="center" wrapText="1"/>
    </xf>
    <xf numFmtId="0" fontId="44" fillId="0" borderId="28" xfId="7" applyFont="1" applyFill="1" applyBorder="1" applyAlignment="1">
      <alignment horizontal="right" vertical="center" wrapText="1"/>
    </xf>
    <xf numFmtId="0" fontId="44" fillId="0" borderId="28" xfId="7" applyFont="1" applyFill="1" applyBorder="1" applyAlignment="1">
      <alignment vertical="center" wrapText="1"/>
    </xf>
    <xf numFmtId="3" fontId="44" fillId="0" borderId="26" xfId="7" applyNumberFormat="1" applyFont="1" applyFill="1" applyBorder="1" applyAlignment="1">
      <alignment horizontal="right" vertical="center" wrapText="1"/>
    </xf>
    <xf numFmtId="3" fontId="44" fillId="0" borderId="28" xfId="7" applyNumberFormat="1" applyFont="1" applyFill="1" applyBorder="1" applyAlignment="1">
      <alignment horizontal="right" vertical="center" wrapText="1"/>
    </xf>
    <xf numFmtId="0" fontId="68" fillId="0" borderId="15" xfId="0" applyFont="1" applyBorder="1" applyAlignment="1">
      <alignment horizontal="center" vertical="center" wrapText="1"/>
    </xf>
    <xf numFmtId="0" fontId="44" fillId="0" borderId="20" xfId="0" applyFont="1" applyBorder="1" applyAlignment="1">
      <alignment vertical="center" wrapText="1"/>
    </xf>
    <xf numFmtId="3" fontId="44" fillId="0" borderId="18" xfId="0" applyNumberFormat="1" applyFont="1" applyBorder="1" applyAlignment="1">
      <alignment vertical="center" wrapText="1"/>
    </xf>
    <xf numFmtId="0" fontId="44" fillId="0" borderId="30" xfId="0" applyFont="1" applyBorder="1" applyAlignment="1">
      <alignment horizontal="center" vertical="center" wrapText="1"/>
    </xf>
    <xf numFmtId="0" fontId="44" fillId="0" borderId="67" xfId="0" applyFont="1" applyBorder="1" applyAlignment="1">
      <alignment horizontal="center" vertical="center" wrapText="1"/>
    </xf>
    <xf numFmtId="0" fontId="44" fillId="0" borderId="32" xfId="0" applyFont="1" applyBorder="1" applyAlignment="1">
      <alignment vertical="center" wrapText="1"/>
    </xf>
    <xf numFmtId="4" fontId="44" fillId="0" borderId="61" xfId="0" applyNumberFormat="1" applyFont="1" applyBorder="1" applyAlignment="1">
      <alignment vertical="center" wrapText="1"/>
    </xf>
    <xf numFmtId="168" fontId="44" fillId="0" borderId="67" xfId="0" applyNumberFormat="1" applyFont="1" applyBorder="1" applyAlignment="1">
      <alignment horizontal="center" vertical="center" wrapText="1"/>
    </xf>
    <xf numFmtId="0" fontId="44" fillId="0" borderId="32" xfId="0" applyFont="1" applyBorder="1" applyAlignment="1">
      <alignment horizontal="center" vertical="center" wrapText="1"/>
    </xf>
    <xf numFmtId="0" fontId="44" fillId="0" borderId="68" xfId="0" applyNumberFormat="1" applyFont="1" applyBorder="1" applyAlignment="1">
      <alignment horizontal="center" vertical="center" wrapText="1"/>
    </xf>
    <xf numFmtId="1" fontId="44" fillId="0" borderId="30" xfId="0" applyNumberFormat="1" applyFont="1" applyBorder="1" applyAlignment="1">
      <alignment horizontal="center" vertical="center" wrapText="1"/>
    </xf>
    <xf numFmtId="1" fontId="44" fillId="0" borderId="32" xfId="0" applyNumberFormat="1" applyFont="1" applyBorder="1" applyAlignment="1">
      <alignment horizontal="center" vertical="center" wrapText="1"/>
    </xf>
    <xf numFmtId="170" fontId="44" fillId="0" borderId="61" xfId="10" applyNumberFormat="1" applyFont="1" applyBorder="1" applyAlignment="1">
      <alignment vertical="center" wrapText="1"/>
    </xf>
    <xf numFmtId="170" fontId="44" fillId="0" borderId="30" xfId="10" applyNumberFormat="1" applyFont="1" applyBorder="1" applyAlignment="1">
      <alignment horizontal="center" vertical="center" wrapText="1"/>
    </xf>
    <xf numFmtId="170" fontId="44" fillId="0" borderId="32" xfId="10" applyNumberFormat="1" applyFont="1" applyBorder="1" applyAlignment="1">
      <alignment horizontal="center" vertic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4" fontId="44" fillId="0" borderId="62" xfId="0" applyNumberFormat="1" applyFont="1" applyBorder="1" applyAlignment="1">
      <alignment vertical="center" wrapText="1"/>
    </xf>
    <xf numFmtId="168" fontId="44" fillId="0" borderId="27" xfId="0" applyNumberFormat="1" applyFont="1" applyBorder="1" applyAlignment="1">
      <alignment horizontal="center" vertical="center" wrapText="1"/>
    </xf>
    <xf numFmtId="0" fontId="44" fillId="0" borderId="76" xfId="0" applyNumberFormat="1" applyFont="1" applyBorder="1" applyAlignment="1">
      <alignment horizontal="center" vertical="center" wrapText="1"/>
    </xf>
    <xf numFmtId="1" fontId="44" fillId="0" borderId="26" xfId="0" applyNumberFormat="1" applyFont="1" applyBorder="1" applyAlignment="1">
      <alignment horizontal="center" vertical="center" wrapText="1"/>
    </xf>
    <xf numFmtId="1" fontId="44" fillId="0" borderId="28" xfId="0" applyNumberFormat="1" applyFont="1" applyBorder="1" applyAlignment="1">
      <alignment horizontal="center" vertical="center" wrapText="1"/>
    </xf>
    <xf numFmtId="170" fontId="44" fillId="0" borderId="62" xfId="10" applyNumberFormat="1" applyFont="1" applyBorder="1" applyAlignment="1">
      <alignment vertical="center" wrapText="1"/>
    </xf>
    <xf numFmtId="170" fontId="44" fillId="0" borderId="26" xfId="10" applyNumberFormat="1" applyFont="1" applyBorder="1" applyAlignment="1">
      <alignment horizontal="center" vertical="center" wrapText="1"/>
    </xf>
    <xf numFmtId="170" fontId="44" fillId="0" borderId="28" xfId="10" applyNumberFormat="1" applyFont="1" applyBorder="1" applyAlignment="1">
      <alignment horizontal="center" vertical="center" wrapText="1"/>
    </xf>
    <xf numFmtId="0" fontId="44" fillId="0" borderId="76" xfId="0" applyNumberFormat="1" applyFont="1" applyBorder="1" applyAlignment="1">
      <alignment vertical="center" wrapText="1"/>
    </xf>
    <xf numFmtId="164" fontId="44" fillId="0" borderId="26" xfId="0" applyNumberFormat="1" applyFont="1" applyBorder="1" applyAlignment="1">
      <alignment vertical="center" wrapText="1"/>
    </xf>
    <xf numFmtId="164" fontId="44" fillId="0" borderId="28" xfId="0" applyNumberFormat="1" applyFont="1" applyBorder="1" applyAlignment="1">
      <alignment vertical="center" wrapText="1"/>
    </xf>
    <xf numFmtId="0" fontId="44" fillId="0" borderId="26" xfId="0" applyFont="1" applyBorder="1" applyAlignment="1">
      <alignment horizontal="center" vertical="center"/>
    </xf>
    <xf numFmtId="0" fontId="44" fillId="0" borderId="27" xfId="0" applyFont="1" applyBorder="1" applyAlignment="1">
      <alignment horizontal="center" vertical="center"/>
    </xf>
    <xf numFmtId="4" fontId="44" fillId="0" borderId="62" xfId="0" applyNumberFormat="1" applyFont="1" applyBorder="1" applyAlignment="1">
      <alignment vertical="center"/>
    </xf>
    <xf numFmtId="168" fontId="43" fillId="0" borderId="27" xfId="0" applyNumberFormat="1" applyFont="1" applyBorder="1" applyAlignment="1">
      <alignment horizontal="center" vertical="center"/>
    </xf>
    <xf numFmtId="0" fontId="44" fillId="0" borderId="28" xfId="0" applyFont="1" applyBorder="1" applyAlignment="1">
      <alignment vertical="center"/>
    </xf>
    <xf numFmtId="0" fontId="44" fillId="0" borderId="28" xfId="0" applyFont="1" applyBorder="1" applyAlignment="1">
      <alignment horizontal="center" vertical="center"/>
    </xf>
    <xf numFmtId="164" fontId="44" fillId="0" borderId="26" xfId="0" applyNumberFormat="1" applyFont="1" applyBorder="1" applyAlignment="1">
      <alignment vertical="center"/>
    </xf>
    <xf numFmtId="164" fontId="44" fillId="0" borderId="28" xfId="0" applyNumberFormat="1" applyFont="1" applyBorder="1" applyAlignment="1">
      <alignment vertical="center"/>
    </xf>
    <xf numFmtId="170" fontId="44" fillId="0" borderId="62" xfId="10" applyNumberFormat="1" applyFont="1" applyBorder="1" applyAlignment="1">
      <alignment vertical="center"/>
    </xf>
    <xf numFmtId="170" fontId="44" fillId="0" borderId="26" xfId="10" applyNumberFormat="1" applyFont="1" applyBorder="1" applyAlignment="1">
      <alignment horizontal="center" vertical="center"/>
    </xf>
    <xf numFmtId="170" fontId="44" fillId="0" borderId="28" xfId="10" applyNumberFormat="1" applyFont="1" applyBorder="1" applyAlignment="1">
      <alignment horizontal="center" vertical="center"/>
    </xf>
    <xf numFmtId="168" fontId="44" fillId="0" borderId="27" xfId="0" applyNumberFormat="1" applyFont="1" applyBorder="1" applyAlignment="1">
      <alignment horizontal="center" vertical="center"/>
    </xf>
    <xf numFmtId="0" fontId="44" fillId="0" borderId="27" xfId="0" applyNumberFormat="1" applyFont="1" applyBorder="1" applyAlignment="1">
      <alignment horizontal="center" vertical="center" wrapText="1"/>
    </xf>
    <xf numFmtId="1" fontId="44" fillId="0" borderId="26" xfId="0" applyNumberFormat="1" applyFont="1" applyBorder="1" applyAlignment="1">
      <alignment horizontal="center" vertical="center"/>
    </xf>
    <xf numFmtId="1" fontId="44" fillId="0" borderId="28" xfId="0" applyNumberFormat="1" applyFont="1" applyBorder="1" applyAlignment="1">
      <alignment horizontal="center" vertical="center"/>
    </xf>
    <xf numFmtId="0" fontId="44" fillId="0" borderId="28" xfId="0" applyNumberFormat="1" applyFont="1" applyBorder="1" applyAlignment="1">
      <alignment horizontal="center" vertical="center" wrapText="1"/>
    </xf>
    <xf numFmtId="0" fontId="44" fillId="0" borderId="26" xfId="0" applyFont="1" applyBorder="1" applyAlignment="1">
      <alignment vertical="center"/>
    </xf>
    <xf numFmtId="0" fontId="44" fillId="0" borderId="34" xfId="0" applyFont="1" applyBorder="1" applyAlignment="1">
      <alignment vertical="center"/>
    </xf>
    <xf numFmtId="0" fontId="44" fillId="0" borderId="35" xfId="0" applyFont="1" applyBorder="1" applyAlignment="1">
      <alignment horizontal="center" vertical="center" wrapText="1"/>
    </xf>
    <xf numFmtId="0" fontId="44" fillId="0" borderId="82" xfId="0" applyFont="1" applyBorder="1" applyAlignment="1">
      <alignment horizontal="center" vertical="center"/>
    </xf>
    <xf numFmtId="0" fontId="44" fillId="0" borderId="35" xfId="0" applyFont="1" applyBorder="1" applyAlignment="1">
      <alignment horizontal="left" vertical="center" wrapText="1"/>
    </xf>
    <xf numFmtId="4" fontId="44" fillId="0" borderId="81" xfId="0" applyNumberFormat="1" applyFont="1" applyBorder="1" applyAlignment="1">
      <alignment vertical="center"/>
    </xf>
    <xf numFmtId="168" fontId="44" fillId="0" borderId="82" xfId="0" applyNumberFormat="1" applyFont="1" applyBorder="1" applyAlignment="1">
      <alignment horizontal="center" vertical="center"/>
    </xf>
    <xf numFmtId="0" fontId="44" fillId="0" borderId="35" xfId="0" applyNumberFormat="1" applyFont="1" applyBorder="1" applyAlignment="1">
      <alignment horizontal="center" vertical="center" wrapText="1"/>
    </xf>
    <xf numFmtId="0" fontId="44" fillId="0" borderId="82" xfId="0" applyNumberFormat="1" applyFont="1" applyBorder="1" applyAlignment="1">
      <alignment horizontal="center" vertical="center" wrapText="1"/>
    </xf>
    <xf numFmtId="0" fontId="44" fillId="0" borderId="77" xfId="0" applyNumberFormat="1" applyFont="1" applyBorder="1" applyAlignment="1">
      <alignment horizontal="center" vertical="center" wrapText="1"/>
    </xf>
    <xf numFmtId="1" fontId="44" fillId="0" borderId="34" xfId="0" applyNumberFormat="1" applyFont="1" applyBorder="1" applyAlignment="1">
      <alignment horizontal="center" vertical="center"/>
    </xf>
    <xf numFmtId="1" fontId="44" fillId="0" borderId="35" xfId="0" applyNumberFormat="1" applyFont="1" applyBorder="1" applyAlignment="1">
      <alignment horizontal="center" vertical="center"/>
    </xf>
    <xf numFmtId="170" fontId="44" fillId="0" borderId="81" xfId="10" applyNumberFormat="1" applyFont="1" applyBorder="1" applyAlignment="1">
      <alignment vertical="center"/>
    </xf>
    <xf numFmtId="170" fontId="44" fillId="0" borderId="34" xfId="10" applyNumberFormat="1" applyFont="1" applyBorder="1" applyAlignment="1">
      <alignment horizontal="center" vertical="center"/>
    </xf>
    <xf numFmtId="170" fontId="44" fillId="0" borderId="35" xfId="10" applyNumberFormat="1" applyFont="1" applyBorder="1" applyAlignment="1">
      <alignment horizontal="center" vertical="center"/>
    </xf>
    <xf numFmtId="0" fontId="44" fillId="0" borderId="57" xfId="0" applyFont="1" applyBorder="1" applyAlignment="1">
      <alignment vertical="center"/>
    </xf>
    <xf numFmtId="0" fontId="44" fillId="0" borderId="50" xfId="0" applyFont="1" applyBorder="1" applyAlignment="1">
      <alignment horizontal="center" vertical="center" wrapText="1"/>
    </xf>
    <xf numFmtId="0" fontId="44" fillId="0" borderId="13" xfId="0" applyFont="1" applyBorder="1" applyAlignment="1">
      <alignment horizontal="center" vertical="center"/>
    </xf>
    <xf numFmtId="0" fontId="44" fillId="0" borderId="50" xfId="0" applyFont="1" applyBorder="1" applyAlignment="1">
      <alignment horizontal="left" vertical="center" wrapText="1"/>
    </xf>
    <xf numFmtId="4" fontId="44" fillId="0" borderId="4" xfId="0" applyNumberFormat="1" applyFont="1" applyBorder="1" applyAlignment="1">
      <alignment vertical="center"/>
    </xf>
    <xf numFmtId="168" fontId="44" fillId="0" borderId="13" xfId="0" applyNumberFormat="1" applyFont="1" applyBorder="1" applyAlignment="1">
      <alignment horizontal="center" vertical="center"/>
    </xf>
    <xf numFmtId="0" fontId="44" fillId="0" borderId="50" xfId="0" applyNumberFormat="1" applyFont="1" applyBorder="1" applyAlignment="1">
      <alignment horizontal="center" vertical="center" wrapText="1"/>
    </xf>
    <xf numFmtId="0" fontId="44" fillId="0" borderId="13" xfId="0" applyNumberFormat="1" applyFont="1" applyBorder="1" applyAlignment="1">
      <alignment horizontal="center" vertical="center" wrapText="1"/>
    </xf>
    <xf numFmtId="0" fontId="44" fillId="0" borderId="0" xfId="0" applyNumberFormat="1" applyFont="1" applyAlignment="1">
      <alignment horizontal="center" vertical="center" wrapText="1"/>
    </xf>
    <xf numFmtId="1" fontId="44" fillId="0" borderId="57" xfId="0" applyNumberFormat="1" applyFont="1" applyBorder="1" applyAlignment="1">
      <alignment horizontal="center" vertical="center"/>
    </xf>
    <xf numFmtId="1" fontId="44" fillId="0" borderId="50" xfId="0" applyNumberFormat="1" applyFont="1" applyBorder="1" applyAlignment="1">
      <alignment horizontal="center" vertical="center"/>
    </xf>
    <xf numFmtId="170" fontId="44" fillId="0" borderId="4" xfId="10" applyNumberFormat="1" applyFont="1" applyBorder="1" applyAlignment="1">
      <alignment vertical="center"/>
    </xf>
    <xf numFmtId="170" fontId="44" fillId="0" borderId="57" xfId="10" applyNumberFormat="1" applyFont="1" applyBorder="1" applyAlignment="1">
      <alignment horizontal="center" vertical="center"/>
    </xf>
    <xf numFmtId="170" fontId="44" fillId="0" borderId="50" xfId="10" applyNumberFormat="1" applyFont="1" applyBorder="1" applyAlignment="1">
      <alignment horizontal="center" vertical="center"/>
    </xf>
    <xf numFmtId="0" fontId="68" fillId="0" borderId="42" xfId="0" applyFont="1" applyBorder="1" applyAlignment="1">
      <alignment horizontal="center" vertical="center"/>
    </xf>
    <xf numFmtId="0" fontId="68" fillId="0" borderId="15" xfId="0" applyFont="1" applyBorder="1" applyAlignment="1">
      <alignment horizontal="center" vertical="center"/>
    </xf>
    <xf numFmtId="0" fontId="68" fillId="0" borderId="16" xfId="0" applyFont="1" applyBorder="1" applyAlignment="1">
      <alignment vertical="center" wrapText="1"/>
    </xf>
    <xf numFmtId="0" fontId="68" fillId="0" borderId="18" xfId="0" applyFont="1" applyBorder="1" applyAlignment="1">
      <alignment vertical="center"/>
    </xf>
    <xf numFmtId="0" fontId="68" fillId="0" borderId="16" xfId="0" applyFont="1" applyBorder="1" applyAlignment="1">
      <alignment vertical="center"/>
    </xf>
    <xf numFmtId="0" fontId="68" fillId="0" borderId="16" xfId="0" applyFont="1" applyBorder="1" applyAlignment="1">
      <alignment horizontal="center" vertical="center"/>
    </xf>
    <xf numFmtId="0" fontId="68" fillId="0" borderId="20" xfId="0" applyFont="1" applyBorder="1" applyAlignment="1">
      <alignment horizontal="center" vertical="center"/>
    </xf>
    <xf numFmtId="164" fontId="68" fillId="0" borderId="42" xfId="0" applyNumberFormat="1" applyFont="1" applyBorder="1" applyAlignment="1">
      <alignment vertical="center"/>
    </xf>
    <xf numFmtId="164" fontId="68" fillId="0" borderId="16" xfId="0" applyNumberFormat="1" applyFont="1" applyBorder="1" applyAlignment="1">
      <alignment vertical="center"/>
    </xf>
    <xf numFmtId="170" fontId="68" fillId="0" borderId="18" xfId="10" applyNumberFormat="1" applyFont="1" applyBorder="1" applyAlignment="1">
      <alignment vertical="center"/>
    </xf>
    <xf numFmtId="170" fontId="68" fillId="0" borderId="42" xfId="10" applyNumberFormat="1" applyFont="1" applyBorder="1" applyAlignment="1">
      <alignment vertical="center"/>
    </xf>
    <xf numFmtId="170" fontId="68" fillId="0" borderId="16" xfId="10" applyNumberFormat="1" applyFont="1" applyBorder="1" applyAlignment="1">
      <alignment vertical="center"/>
    </xf>
    <xf numFmtId="0" fontId="44" fillId="0" borderId="26" xfId="11" applyFont="1" applyBorder="1" applyAlignment="1">
      <alignment horizontal="center" vertical="center" wrapText="1"/>
    </xf>
    <xf numFmtId="0" fontId="44" fillId="0" borderId="28" xfId="11" applyFont="1" applyBorder="1" applyAlignment="1">
      <alignment horizontal="center" vertical="center" wrapText="1"/>
    </xf>
    <xf numFmtId="171" fontId="69" fillId="0" borderId="28" xfId="0" applyNumberFormat="1" applyFont="1" applyBorder="1" applyAlignment="1">
      <alignment vertical="center" wrapText="1"/>
    </xf>
    <xf numFmtId="4" fontId="44" fillId="0" borderId="28" xfId="0" applyNumberFormat="1" applyFont="1" applyFill="1" applyBorder="1" applyAlignment="1">
      <alignment vertical="center" wrapText="1"/>
    </xf>
    <xf numFmtId="171" fontId="44" fillId="0" borderId="28" xfId="0" applyNumberFormat="1" applyFont="1" applyFill="1" applyBorder="1" applyAlignment="1">
      <alignment vertical="center" wrapText="1"/>
    </xf>
    <xf numFmtId="171" fontId="69" fillId="0" borderId="28" xfId="0" applyNumberFormat="1" applyFont="1" applyFill="1" applyBorder="1" applyAlignment="1">
      <alignment vertical="center" wrapText="1"/>
    </xf>
    <xf numFmtId="171" fontId="69" fillId="0" borderId="1" xfId="0" applyNumberFormat="1" applyFont="1" applyFill="1" applyBorder="1" applyAlignment="1">
      <alignment vertical="center" wrapText="1"/>
    </xf>
    <xf numFmtId="49" fontId="69" fillId="0" borderId="26" xfId="0" applyNumberFormat="1" applyFont="1" applyFill="1" applyBorder="1" applyAlignment="1">
      <alignment horizontal="center" vertical="center" wrapText="1"/>
    </xf>
    <xf numFmtId="1" fontId="69" fillId="0" borderId="28" xfId="0" applyNumberFormat="1" applyFont="1" applyFill="1" applyBorder="1" applyAlignment="1">
      <alignment horizontal="center" vertical="center" wrapText="1"/>
    </xf>
    <xf numFmtId="170" fontId="44" fillId="0" borderId="28" xfId="10" applyNumberFormat="1" applyFont="1" applyBorder="1" applyAlignment="1">
      <alignment vertical="center" wrapText="1"/>
    </xf>
    <xf numFmtId="171" fontId="44" fillId="0" borderId="28" xfId="0" applyNumberFormat="1" applyFont="1" applyFill="1" applyBorder="1" applyAlignment="1">
      <alignment horizontal="center" vertical="center" wrapText="1"/>
    </xf>
    <xf numFmtId="171" fontId="44" fillId="0" borderId="1" xfId="0" applyNumberFormat="1" applyFont="1" applyFill="1" applyBorder="1" applyAlignment="1">
      <alignment vertical="center" wrapText="1"/>
    </xf>
    <xf numFmtId="4" fontId="69" fillId="0" borderId="28" xfId="0" applyNumberFormat="1" applyFont="1" applyFill="1" applyBorder="1" applyAlignment="1">
      <alignment vertical="center" wrapText="1"/>
    </xf>
    <xf numFmtId="171" fontId="69" fillId="0" borderId="28" xfId="0" applyNumberFormat="1" applyFont="1" applyFill="1" applyBorder="1" applyAlignment="1">
      <alignment horizontal="center" vertical="center" wrapText="1"/>
    </xf>
    <xf numFmtId="171" fontId="69" fillId="0" borderId="28" xfId="0" applyNumberFormat="1" applyFont="1" applyFill="1" applyBorder="1" applyAlignment="1">
      <alignment horizontal="left" vertical="center" wrapText="1"/>
    </xf>
    <xf numFmtId="4" fontId="69" fillId="0" borderId="28" xfId="0" applyNumberFormat="1" applyFont="1" applyFill="1" applyBorder="1" applyAlignment="1">
      <alignment horizontal="right" vertical="center" wrapText="1"/>
    </xf>
    <xf numFmtId="171" fontId="44" fillId="0" borderId="28" xfId="0" applyNumberFormat="1" applyFont="1" applyFill="1" applyBorder="1" applyAlignment="1">
      <alignment horizontal="left" vertical="center" wrapText="1"/>
    </xf>
    <xf numFmtId="171" fontId="69" fillId="0" borderId="1" xfId="0" applyNumberFormat="1" applyFont="1" applyFill="1" applyBorder="1" applyAlignment="1">
      <alignment horizontal="left" vertical="center" wrapText="1"/>
    </xf>
    <xf numFmtId="4" fontId="44" fillId="0" borderId="28" xfId="0" applyNumberFormat="1" applyFont="1" applyFill="1" applyBorder="1" applyAlignment="1">
      <alignment horizontal="right" vertical="center" wrapText="1"/>
    </xf>
    <xf numFmtId="171" fontId="44" fillId="0" borderId="1" xfId="0" applyNumberFormat="1" applyFont="1" applyFill="1" applyBorder="1" applyAlignment="1">
      <alignment horizontal="left" vertical="center" wrapText="1"/>
    </xf>
    <xf numFmtId="2" fontId="69" fillId="0" borderId="22" xfId="0" applyNumberFormat="1" applyFont="1" applyFill="1" applyBorder="1" applyAlignment="1">
      <alignment horizontal="center" vertical="center" wrapText="1"/>
    </xf>
    <xf numFmtId="2" fontId="69" fillId="0" borderId="23" xfId="0" applyNumberFormat="1" applyFont="1" applyFill="1" applyBorder="1" applyAlignment="1">
      <alignment horizontal="center" vertical="center" wrapText="1"/>
    </xf>
    <xf numFmtId="2" fontId="69" fillId="0" borderId="9" xfId="0" applyNumberFormat="1" applyFont="1" applyFill="1" applyBorder="1" applyAlignment="1">
      <alignment horizontal="center" vertical="center" wrapText="1"/>
    </xf>
    <xf numFmtId="2" fontId="69" fillId="0" borderId="51" xfId="0" applyNumberFormat="1" applyFont="1" applyFill="1" applyBorder="1" applyAlignment="1">
      <alignment horizontal="center" vertical="center" wrapText="1"/>
    </xf>
    <xf numFmtId="170" fontId="44" fillId="0" borderId="18" xfId="0" applyNumberFormat="1" applyFont="1" applyBorder="1" applyAlignment="1">
      <alignment vertical="center" wrapText="1"/>
    </xf>
    <xf numFmtId="0" fontId="44" fillId="0" borderId="26" xfId="7" applyFont="1" applyFill="1" applyBorder="1" applyAlignment="1">
      <alignment horizontal="center" vertical="center" wrapText="1"/>
    </xf>
    <xf numFmtId="0" fontId="44" fillId="0" borderId="28" xfId="7" applyFont="1" applyFill="1" applyBorder="1" applyAlignment="1">
      <alignment horizontal="center" vertical="center" wrapText="1"/>
    </xf>
    <xf numFmtId="0" fontId="44" fillId="0" borderId="32" xfId="7" applyFont="1" applyFill="1" applyBorder="1" applyAlignment="1">
      <alignment horizontal="center" vertical="center" wrapText="1"/>
    </xf>
    <xf numFmtId="0" fontId="44" fillId="0" borderId="32" xfId="13" applyFont="1" applyFill="1" applyBorder="1" applyAlignment="1" applyProtection="1">
      <alignment vertical="center" wrapText="1"/>
    </xf>
    <xf numFmtId="4" fontId="44" fillId="0" borderId="31" xfId="12" applyNumberFormat="1" applyFont="1" applyFill="1" applyBorder="1" applyAlignment="1" applyProtection="1">
      <alignment vertical="center" wrapText="1"/>
    </xf>
    <xf numFmtId="168" fontId="44" fillId="0" borderId="30" xfId="12" applyNumberFormat="1" applyFont="1" applyFill="1" applyBorder="1" applyAlignment="1" applyProtection="1">
      <alignment horizontal="right" vertical="center" wrapText="1"/>
    </xf>
    <xf numFmtId="0" fontId="44" fillId="0" borderId="32" xfId="12" applyFont="1" applyFill="1" applyBorder="1" applyAlignment="1" applyProtection="1">
      <alignment horizontal="left" vertical="center" wrapText="1"/>
    </xf>
    <xf numFmtId="0" fontId="44" fillId="0" borderId="32" xfId="13" applyFont="1" applyFill="1" applyBorder="1" applyAlignment="1" applyProtection="1">
      <alignment horizontal="left" vertical="center" wrapText="1"/>
    </xf>
    <xf numFmtId="0" fontId="44" fillId="0" borderId="31" xfId="13" applyFont="1" applyFill="1" applyBorder="1" applyAlignment="1" applyProtection="1">
      <alignment vertical="center" wrapText="1"/>
    </xf>
    <xf numFmtId="1" fontId="44" fillId="0" borderId="30" xfId="12" applyNumberFormat="1" applyFont="1" applyFill="1" applyBorder="1" applyAlignment="1" applyProtection="1">
      <alignment vertical="center" wrapText="1"/>
    </xf>
    <xf numFmtId="1" fontId="44" fillId="0" borderId="32" xfId="12" applyNumberFormat="1" applyFont="1" applyFill="1" applyBorder="1" applyAlignment="1" applyProtection="1">
      <alignment vertical="center" wrapText="1"/>
    </xf>
    <xf numFmtId="3" fontId="44" fillId="0" borderId="31" xfId="12" applyNumberFormat="1" applyFont="1" applyFill="1" applyBorder="1" applyAlignment="1" applyProtection="1">
      <alignment vertical="center" wrapText="1"/>
    </xf>
    <xf numFmtId="3" fontId="44" fillId="0" borderId="31" xfId="7" applyNumberFormat="1" applyFont="1" applyFill="1" applyBorder="1" applyAlignment="1">
      <alignment vertical="center" wrapText="1"/>
    </xf>
    <xf numFmtId="0" fontId="44" fillId="0" borderId="28" xfId="12" applyFont="1" applyFill="1" applyBorder="1" applyAlignment="1" applyProtection="1">
      <alignment vertical="center" wrapText="1"/>
    </xf>
    <xf numFmtId="4" fontId="44" fillId="0" borderId="29" xfId="12" applyNumberFormat="1" applyFont="1" applyFill="1" applyBorder="1" applyAlignment="1" applyProtection="1">
      <alignment vertical="center" wrapText="1"/>
    </xf>
    <xf numFmtId="168" fontId="44" fillId="0" borderId="26" xfId="12" applyNumberFormat="1" applyFont="1" applyFill="1" applyBorder="1" applyAlignment="1" applyProtection="1">
      <alignment horizontal="right" vertical="center" wrapText="1"/>
    </xf>
    <xf numFmtId="0" fontId="44" fillId="0" borderId="28" xfId="12" applyFont="1" applyFill="1" applyBorder="1" applyAlignment="1" applyProtection="1">
      <alignment horizontal="left" vertical="center" wrapText="1"/>
    </xf>
    <xf numFmtId="0" fontId="44" fillId="0" borderId="28" xfId="13" applyFont="1" applyFill="1" applyBorder="1" applyAlignment="1" applyProtection="1">
      <alignment horizontal="left" vertical="center" wrapText="1"/>
    </xf>
    <xf numFmtId="0" fontId="44" fillId="0" borderId="28" xfId="13" applyFont="1" applyFill="1" applyBorder="1" applyAlignment="1" applyProtection="1">
      <alignment vertical="center" wrapText="1"/>
    </xf>
    <xf numFmtId="0" fontId="44" fillId="0" borderId="29" xfId="13" applyFont="1" applyFill="1" applyBorder="1" applyAlignment="1" applyProtection="1">
      <alignment vertical="center" wrapText="1"/>
    </xf>
    <xf numFmtId="1" fontId="44" fillId="0" borderId="26" xfId="12" applyNumberFormat="1" applyFont="1" applyFill="1" applyBorder="1" applyAlignment="1" applyProtection="1">
      <alignment vertical="center" wrapText="1"/>
    </xf>
    <xf numFmtId="1" fontId="44" fillId="0" borderId="28" xfId="12" applyNumberFormat="1" applyFont="1" applyFill="1" applyBorder="1" applyAlignment="1" applyProtection="1">
      <alignment vertical="center" wrapText="1"/>
    </xf>
    <xf numFmtId="3" fontId="44" fillId="0" borderId="29" xfId="12" applyNumberFormat="1" applyFont="1" applyFill="1" applyBorder="1" applyAlignment="1" applyProtection="1">
      <alignment vertical="center" wrapText="1"/>
    </xf>
    <xf numFmtId="4" fontId="44" fillId="0" borderId="29" xfId="12" applyNumberFormat="1" applyFont="1" applyFill="1" applyBorder="1" applyAlignment="1" applyProtection="1">
      <alignment horizontal="right" vertical="center" wrapText="1"/>
    </xf>
    <xf numFmtId="2" fontId="44" fillId="0" borderId="26" xfId="14" applyNumberFormat="1" applyFont="1" applyFill="1" applyBorder="1" applyAlignment="1" applyProtection="1">
      <alignment horizontal="right" vertical="center" wrapText="1"/>
    </xf>
    <xf numFmtId="0" fontId="44" fillId="0" borderId="26" xfId="12" applyFont="1" applyFill="1" applyBorder="1" applyAlignment="1" applyProtection="1">
      <alignment horizontal="right" vertical="center" wrapText="1"/>
    </xf>
    <xf numFmtId="0" fontId="44" fillId="0" borderId="26" xfId="7" applyFont="1" applyFill="1" applyBorder="1" applyAlignment="1">
      <alignment vertical="center" wrapText="1"/>
    </xf>
    <xf numFmtId="0" fontId="44" fillId="0" borderId="28" xfId="7" applyFont="1" applyFill="1" applyBorder="1" applyAlignment="1">
      <alignment horizontal="left" vertical="center" wrapText="1"/>
    </xf>
    <xf numFmtId="0" fontId="44" fillId="0" borderId="29" xfId="7" applyFont="1" applyFill="1" applyBorder="1" applyAlignment="1">
      <alignment vertical="center" wrapText="1"/>
    </xf>
    <xf numFmtId="0" fontId="44" fillId="0" borderId="28" xfId="16" applyFont="1" applyFill="1" applyBorder="1" applyAlignment="1" applyProtection="1">
      <alignment horizontal="left" vertical="center" wrapText="1"/>
    </xf>
    <xf numFmtId="0" fontId="44" fillId="0" borderId="28" xfId="15" applyFont="1" applyFill="1" applyBorder="1" applyAlignment="1" applyProtection="1">
      <alignment horizontal="left" vertical="center" wrapText="1"/>
    </xf>
    <xf numFmtId="0" fontId="44" fillId="0" borderId="29" xfId="15" applyFont="1" applyFill="1" applyBorder="1" applyAlignment="1" applyProtection="1">
      <alignment horizontal="left" vertical="center" wrapText="1"/>
    </xf>
    <xf numFmtId="0" fontId="44" fillId="0" borderId="26" xfId="0" applyFont="1" applyFill="1" applyBorder="1" applyAlignment="1">
      <alignment vertical="center" wrapText="1"/>
    </xf>
    <xf numFmtId="1" fontId="44" fillId="0" borderId="26" xfId="14" applyNumberFormat="1" applyFont="1" applyFill="1" applyBorder="1" applyAlignment="1" applyProtection="1">
      <alignment horizontal="right" vertical="center" wrapText="1"/>
    </xf>
    <xf numFmtId="1" fontId="68" fillId="0" borderId="28" xfId="12" applyNumberFormat="1" applyFont="1" applyFill="1" applyBorder="1" applyAlignment="1" applyProtection="1">
      <alignment vertical="center" wrapText="1"/>
    </xf>
    <xf numFmtId="0" fontId="44" fillId="0" borderId="38" xfId="7" applyFont="1" applyFill="1" applyBorder="1" applyAlignment="1">
      <alignment horizontal="center" vertical="center" wrapText="1"/>
    </xf>
    <xf numFmtId="0" fontId="44" fillId="0" borderId="40" xfId="7" applyFont="1" applyFill="1" applyBorder="1" applyAlignment="1">
      <alignment horizontal="center" vertical="center" wrapText="1"/>
    </xf>
    <xf numFmtId="0" fontId="44" fillId="0" borderId="40" xfId="0" applyFont="1" applyFill="1" applyBorder="1" applyAlignment="1">
      <alignment vertical="center" wrapText="1"/>
    </xf>
    <xf numFmtId="4" fontId="44" fillId="0" borderId="39" xfId="12" applyNumberFormat="1" applyFont="1" applyFill="1" applyBorder="1" applyAlignment="1" applyProtection="1">
      <alignment vertical="center" wrapText="1"/>
    </xf>
    <xf numFmtId="0" fontId="44" fillId="0" borderId="34" xfId="0" applyFont="1" applyFill="1" applyBorder="1" applyAlignment="1">
      <alignment vertical="center" wrapText="1"/>
    </xf>
    <xf numFmtId="0" fontId="44" fillId="0" borderId="35" xfId="0" applyFont="1" applyFill="1" applyBorder="1" applyAlignment="1">
      <alignment vertical="center" wrapText="1"/>
    </xf>
    <xf numFmtId="0" fontId="44" fillId="0" borderId="37" xfId="0" applyFont="1" applyFill="1" applyBorder="1" applyAlignment="1">
      <alignment vertical="center" wrapText="1"/>
    </xf>
    <xf numFmtId="1" fontId="44" fillId="0" borderId="34" xfId="12" applyNumberFormat="1" applyFont="1" applyFill="1" applyBorder="1" applyAlignment="1" applyProtection="1">
      <alignment vertical="center" wrapText="1"/>
    </xf>
    <xf numFmtId="1" fontId="44" fillId="0" borderId="35" xfId="12" applyNumberFormat="1" applyFont="1" applyFill="1" applyBorder="1" applyAlignment="1" applyProtection="1">
      <alignment vertical="center" wrapText="1"/>
    </xf>
    <xf numFmtId="3" fontId="44" fillId="0" borderId="37" xfId="12" applyNumberFormat="1" applyFont="1" applyFill="1" applyBorder="1" applyAlignment="1" applyProtection="1">
      <alignment vertical="center" wrapText="1"/>
    </xf>
    <xf numFmtId="3" fontId="44" fillId="0" borderId="37" xfId="7" applyNumberFormat="1" applyFont="1" applyFill="1" applyBorder="1" applyAlignment="1">
      <alignment vertical="center" wrapText="1"/>
    </xf>
    <xf numFmtId="0" fontId="68" fillId="0" borderId="9" xfId="0" applyFont="1" applyBorder="1" applyAlignment="1">
      <alignment horizontal="center" vertical="center" wrapText="1"/>
    </xf>
    <xf numFmtId="0" fontId="68" fillId="0" borderId="51" xfId="0" applyFont="1" applyBorder="1" applyAlignment="1">
      <alignment horizontal="center" vertical="center" wrapText="1"/>
    </xf>
    <xf numFmtId="0" fontId="44" fillId="0" borderId="51" xfId="0" applyFont="1" applyBorder="1" applyAlignment="1">
      <alignment vertical="center" wrapText="1"/>
    </xf>
    <xf numFmtId="0" fontId="44" fillId="0" borderId="84" xfId="0" applyFont="1" applyBorder="1" applyAlignment="1">
      <alignment vertical="center" wrapText="1"/>
    </xf>
    <xf numFmtId="0" fontId="44" fillId="0" borderId="43" xfId="0" applyFont="1" applyBorder="1" applyAlignment="1">
      <alignment vertical="center" wrapText="1"/>
    </xf>
    <xf numFmtId="3" fontId="68" fillId="0" borderId="43" xfId="7" applyNumberFormat="1" applyFont="1" applyFill="1" applyBorder="1" applyAlignment="1">
      <alignment vertical="center" wrapText="1"/>
    </xf>
    <xf numFmtId="164" fontId="68" fillId="0" borderId="42" xfId="0" applyNumberFormat="1" applyFont="1" applyBorder="1" applyAlignment="1">
      <alignment vertical="center" wrapText="1"/>
    </xf>
    <xf numFmtId="164" fontId="68" fillId="0" borderId="16" xfId="0" applyNumberFormat="1" applyFont="1" applyBorder="1" applyAlignment="1">
      <alignment vertical="center" wrapText="1"/>
    </xf>
    <xf numFmtId="0" fontId="44" fillId="0" borderId="57" xfId="0" applyFont="1" applyFill="1" applyBorder="1" applyAlignment="1">
      <alignment horizontal="center" vertical="center" wrapText="1"/>
    </xf>
    <xf numFmtId="0" fontId="44" fillId="0" borderId="13" xfId="0" applyFont="1" applyFill="1" applyBorder="1" applyAlignment="1">
      <alignment horizontal="center" vertical="center" wrapText="1"/>
    </xf>
    <xf numFmtId="0" fontId="44" fillId="0" borderId="50" xfId="0" applyFont="1" applyFill="1" applyBorder="1" applyAlignment="1">
      <alignment vertical="center" wrapText="1"/>
    </xf>
    <xf numFmtId="0" fontId="44" fillId="0" borderId="4" xfId="0" applyFont="1" applyFill="1" applyBorder="1" applyAlignment="1">
      <alignment horizontal="center" vertical="center" wrapText="1"/>
    </xf>
    <xf numFmtId="0" fontId="44" fillId="0" borderId="13" xfId="0" applyFont="1" applyFill="1" applyBorder="1" applyAlignment="1">
      <alignment vertical="center" wrapText="1"/>
    </xf>
    <xf numFmtId="164" fontId="44" fillId="0" borderId="57" xfId="0" quotePrefix="1" applyNumberFormat="1" applyFont="1" applyFill="1" applyBorder="1" applyAlignment="1">
      <alignment horizontal="center" vertical="center" wrapText="1"/>
    </xf>
    <xf numFmtId="164" fontId="44" fillId="0" borderId="50" xfId="0" quotePrefix="1" applyNumberFormat="1" applyFont="1" applyFill="1" applyBorder="1" applyAlignment="1">
      <alignment horizontal="center" vertical="center" wrapText="1"/>
    </xf>
    <xf numFmtId="3" fontId="44" fillId="0" borderId="4" xfId="0" applyNumberFormat="1" applyFont="1" applyFill="1" applyBorder="1" applyAlignment="1">
      <alignment vertical="center" wrapText="1"/>
    </xf>
    <xf numFmtId="0" fontId="44" fillId="0" borderId="50" xfId="2" applyFont="1" applyFill="1" applyBorder="1" applyAlignment="1">
      <alignment horizontal="left" vertical="center" wrapText="1"/>
    </xf>
    <xf numFmtId="0" fontId="44" fillId="0" borderId="13" xfId="2" applyFont="1" applyFill="1" applyBorder="1" applyAlignment="1">
      <alignment horizontal="left" vertical="center" wrapText="1"/>
    </xf>
    <xf numFmtId="164" fontId="44" fillId="0" borderId="57" xfId="0" applyNumberFormat="1" applyFont="1" applyFill="1" applyBorder="1" applyAlignment="1">
      <alignment horizontal="center" vertical="center" wrapText="1"/>
    </xf>
    <xf numFmtId="164" fontId="44" fillId="0" borderId="50" xfId="0" applyNumberFormat="1" applyFont="1" applyFill="1" applyBorder="1" applyAlignment="1">
      <alignment horizontal="center" vertical="center" wrapText="1"/>
    </xf>
    <xf numFmtId="0" fontId="44" fillId="0" borderId="13" xfId="0" quotePrefix="1" applyFont="1" applyFill="1" applyBorder="1" applyAlignment="1">
      <alignment horizontal="center" vertical="center" wrapText="1"/>
    </xf>
    <xf numFmtId="3" fontId="44" fillId="0" borderId="42" xfId="0" applyNumberFormat="1" applyFont="1" applyBorder="1" applyAlignment="1">
      <alignment vertical="center" wrapText="1"/>
    </xf>
    <xf numFmtId="3" fontId="44" fillId="0" borderId="16" xfId="0" applyNumberFormat="1" applyFont="1" applyBorder="1" applyAlignment="1">
      <alignment vertical="center" wrapText="1"/>
    </xf>
    <xf numFmtId="0" fontId="44" fillId="0" borderId="34" xfId="0" applyFont="1" applyBorder="1" applyAlignment="1">
      <alignment horizontal="center" vertical="center" wrapText="1"/>
    </xf>
    <xf numFmtId="0" fontId="44" fillId="0" borderId="35" xfId="0" applyFont="1" applyBorder="1" applyAlignment="1">
      <alignment vertical="center" wrapText="1"/>
    </xf>
    <xf numFmtId="4" fontId="42" fillId="0" borderId="37" xfId="0" applyNumberFormat="1" applyFont="1" applyFill="1" applyBorder="1" applyAlignment="1">
      <alignment horizontal="center" vertical="center" wrapText="1"/>
    </xf>
    <xf numFmtId="0" fontId="67" fillId="0" borderId="34" xfId="0" applyFont="1" applyBorder="1" applyAlignment="1">
      <alignment horizontal="center" vertical="center" wrapText="1"/>
    </xf>
    <xf numFmtId="4" fontId="42" fillId="0" borderId="35" xfId="0" applyNumberFormat="1" applyFont="1" applyFill="1" applyBorder="1" applyAlignment="1">
      <alignment horizontal="left" vertical="center" wrapText="1"/>
    </xf>
    <xf numFmtId="0" fontId="44" fillId="0" borderId="37" xfId="0" applyFont="1" applyBorder="1" applyAlignment="1">
      <alignment vertical="center" wrapText="1"/>
    </xf>
    <xf numFmtId="173" fontId="44" fillId="0" borderId="34" xfId="0" applyNumberFormat="1" applyFont="1" applyBorder="1" applyAlignment="1">
      <alignment horizontal="center" vertical="center" wrapText="1"/>
    </xf>
    <xf numFmtId="173" fontId="44" fillId="0" borderId="35" xfId="0" applyNumberFormat="1" applyFont="1" applyBorder="1" applyAlignment="1">
      <alignment horizontal="center" vertical="center" wrapText="1"/>
    </xf>
    <xf numFmtId="172" fontId="44" fillId="0" borderId="37" xfId="0" applyNumberFormat="1" applyFont="1" applyBorder="1" applyAlignment="1">
      <alignment horizontal="right" vertical="center" wrapText="1"/>
    </xf>
    <xf numFmtId="0" fontId="44" fillId="0" borderId="23" xfId="0" applyFont="1" applyBorder="1" applyAlignment="1">
      <alignment vertical="center" wrapText="1"/>
    </xf>
    <xf numFmtId="4" fontId="42" fillId="0" borderId="25" xfId="0" applyNumberFormat="1" applyFont="1" applyFill="1" applyBorder="1" applyAlignment="1">
      <alignment horizontal="center" vertical="center" wrapText="1"/>
    </xf>
    <xf numFmtId="0" fontId="67" fillId="0" borderId="22" xfId="0" applyFont="1" applyBorder="1" applyAlignment="1">
      <alignment horizontal="center" vertical="center" wrapText="1"/>
    </xf>
    <xf numFmtId="4" fontId="42" fillId="0" borderId="23" xfId="0" applyNumberFormat="1" applyFont="1" applyFill="1" applyBorder="1" applyAlignment="1">
      <alignment horizontal="left" vertical="center" wrapText="1"/>
    </xf>
    <xf numFmtId="0" fontId="44" fillId="0" borderId="25" xfId="0" applyFont="1" applyBorder="1" applyAlignment="1">
      <alignment vertical="center" wrapText="1"/>
    </xf>
    <xf numFmtId="173" fontId="44" fillId="0" borderId="22" xfId="0" applyNumberFormat="1" applyFont="1" applyBorder="1" applyAlignment="1">
      <alignment horizontal="center" vertical="center" wrapText="1"/>
    </xf>
    <xf numFmtId="173" fontId="44" fillId="0" borderId="23" xfId="0" applyNumberFormat="1" applyFont="1" applyBorder="1" applyAlignment="1">
      <alignment horizontal="center" vertical="center" wrapText="1"/>
    </xf>
    <xf numFmtId="172" fontId="44" fillId="0" borderId="25" xfId="0" applyNumberFormat="1" applyFont="1" applyBorder="1" applyAlignment="1">
      <alignment horizontal="right" vertical="center" wrapText="1"/>
    </xf>
    <xf numFmtId="4" fontId="42" fillId="0" borderId="29" xfId="0" applyNumberFormat="1" applyFont="1" applyFill="1" applyBorder="1" applyAlignment="1">
      <alignment horizontal="center" vertical="center" wrapText="1"/>
    </xf>
    <xf numFmtId="0" fontId="67" fillId="0" borderId="26" xfId="0" applyFont="1" applyBorder="1" applyAlignment="1">
      <alignment horizontal="center" vertical="center" wrapText="1"/>
    </xf>
    <xf numFmtId="4" fontId="42" fillId="0" borderId="28" xfId="0" applyNumberFormat="1" applyFont="1" applyFill="1" applyBorder="1" applyAlignment="1">
      <alignment horizontal="left" vertical="center" wrapText="1"/>
    </xf>
    <xf numFmtId="0" fontId="44" fillId="0" borderId="29" xfId="0" applyFont="1" applyBorder="1" applyAlignment="1">
      <alignment vertical="center" wrapText="1"/>
    </xf>
    <xf numFmtId="173" fontId="44" fillId="0" borderId="26" xfId="0" applyNumberFormat="1" applyFont="1" applyBorder="1" applyAlignment="1">
      <alignment horizontal="center" vertical="center" wrapText="1"/>
    </xf>
    <xf numFmtId="173" fontId="44" fillId="0" borderId="28" xfId="0" applyNumberFormat="1" applyFont="1" applyBorder="1" applyAlignment="1">
      <alignment horizontal="center" vertical="center" wrapText="1"/>
    </xf>
    <xf numFmtId="172" fontId="44" fillId="0" borderId="29" xfId="0" applyNumberFormat="1" applyFont="1" applyBorder="1" applyAlignment="1">
      <alignment horizontal="right" vertical="center" wrapText="1"/>
    </xf>
    <xf numFmtId="49" fontId="44" fillId="0" borderId="26" xfId="0" applyNumberFormat="1" applyFont="1" applyBorder="1" applyAlignment="1">
      <alignment horizontal="center" vertical="center" wrapText="1"/>
    </xf>
    <xf numFmtId="0" fontId="67" fillId="0" borderId="26" xfId="0" quotePrefix="1" applyFont="1" applyBorder="1" applyAlignment="1">
      <alignment horizontal="center" vertical="center" wrapText="1"/>
    </xf>
    <xf numFmtId="4" fontId="42" fillId="0" borderId="26" xfId="0" applyNumberFormat="1" applyFont="1" applyFill="1" applyBorder="1" applyAlignment="1">
      <alignment horizontal="center" vertical="center" wrapText="1"/>
    </xf>
    <xf numFmtId="0" fontId="42" fillId="0" borderId="26" xfId="0" applyFont="1" applyBorder="1" applyAlignment="1">
      <alignment horizontal="center" vertical="center" wrapText="1"/>
    </xf>
    <xf numFmtId="0" fontId="42" fillId="0" borderId="26" xfId="0" quotePrefix="1" applyFont="1" applyBorder="1" applyAlignment="1">
      <alignment horizontal="center" vertical="center" wrapText="1"/>
    </xf>
    <xf numFmtId="173" fontId="44" fillId="0" borderId="26" xfId="0" applyNumberFormat="1" applyFont="1" applyFill="1" applyBorder="1" applyAlignment="1">
      <alignment horizontal="center" vertical="center" wrapText="1"/>
    </xf>
    <xf numFmtId="173" fontId="44" fillId="0" borderId="28" xfId="0" applyNumberFormat="1" applyFont="1" applyFill="1" applyBorder="1" applyAlignment="1">
      <alignment horizontal="center" vertical="center" wrapText="1"/>
    </xf>
    <xf numFmtId="0" fontId="42" fillId="0" borderId="34" xfId="0" applyFont="1" applyBorder="1" applyAlignment="1">
      <alignment horizontal="center" vertical="center" wrapText="1"/>
    </xf>
    <xf numFmtId="173" fontId="44" fillId="0" borderId="34" xfId="0" applyNumberFormat="1" applyFont="1" applyFill="1" applyBorder="1" applyAlignment="1">
      <alignment horizontal="center" vertical="center" wrapText="1"/>
    </xf>
    <xf numFmtId="173" fontId="44" fillId="0" borderId="35" xfId="0" applyNumberFormat="1" applyFont="1" applyFill="1" applyBorder="1" applyAlignment="1">
      <alignment horizontal="center" vertical="center" wrapText="1"/>
    </xf>
    <xf numFmtId="172" fontId="68" fillId="0" borderId="18" xfId="0" applyNumberFormat="1" applyFont="1" applyBorder="1" applyAlignment="1">
      <alignment vertical="center" wrapText="1"/>
    </xf>
    <xf numFmtId="0" fontId="44" fillId="0" borderId="32" xfId="18" applyFont="1" applyBorder="1" applyAlignment="1">
      <alignment horizontal="center" vertical="center" wrapText="1"/>
    </xf>
    <xf numFmtId="0" fontId="44" fillId="0" borderId="32" xfId="18" applyFont="1" applyBorder="1" applyAlignment="1">
      <alignment horizontal="center" vertical="center"/>
    </xf>
    <xf numFmtId="0" fontId="70" fillId="5" borderId="32" xfId="18" applyFont="1" applyFill="1" applyBorder="1" applyAlignment="1">
      <alignment horizontal="left" vertical="center" wrapText="1"/>
    </xf>
    <xf numFmtId="169" fontId="70" fillId="5" borderId="32" xfId="18" applyNumberFormat="1" applyFont="1" applyFill="1" applyBorder="1" applyAlignment="1">
      <alignment horizontal="center" vertical="center"/>
    </xf>
    <xf numFmtId="49" fontId="70" fillId="0" borderId="32" xfId="18" applyNumberFormat="1" applyFont="1" applyFill="1" applyBorder="1" applyAlignment="1">
      <alignment horizontal="center" vertical="center"/>
    </xf>
    <xf numFmtId="0" fontId="70" fillId="5" borderId="32" xfId="18" applyFont="1" applyFill="1" applyBorder="1" applyAlignment="1">
      <alignment vertical="center"/>
    </xf>
    <xf numFmtId="1" fontId="44" fillId="0" borderId="32" xfId="18" applyNumberFormat="1" applyFont="1" applyBorder="1" applyAlignment="1">
      <alignment horizontal="center" vertical="center"/>
    </xf>
    <xf numFmtId="174" fontId="44" fillId="0" borderId="32" xfId="17" applyFont="1" applyBorder="1" applyAlignment="1">
      <alignment horizontal="center" vertical="center"/>
    </xf>
    <xf numFmtId="174" fontId="44" fillId="0" borderId="31" xfId="17" applyFont="1" applyBorder="1" applyAlignment="1">
      <alignment horizontal="center" vertical="center"/>
    </xf>
    <xf numFmtId="0" fontId="44" fillId="0" borderId="28" xfId="18" applyFont="1" applyBorder="1" applyAlignment="1">
      <alignment horizontal="center" vertical="center" wrapText="1"/>
    </xf>
    <xf numFmtId="0" fontId="44" fillId="5" borderId="28" xfId="18" applyFont="1" applyFill="1" applyBorder="1" applyAlignment="1">
      <alignment vertical="center" wrapText="1"/>
    </xf>
    <xf numFmtId="169" fontId="44" fillId="5" borderId="28" xfId="18" applyNumberFormat="1" applyFont="1" applyFill="1" applyBorder="1" applyAlignment="1">
      <alignment horizontal="center" vertical="center" wrapText="1"/>
    </xf>
    <xf numFmtId="49" fontId="44" fillId="0" borderId="28" xfId="18" applyNumberFormat="1" applyFont="1" applyFill="1" applyBorder="1" applyAlignment="1">
      <alignment horizontal="center" vertical="center" wrapText="1"/>
    </xf>
    <xf numFmtId="1" fontId="44" fillId="0" borderId="28" xfId="18" applyNumberFormat="1" applyFont="1" applyBorder="1" applyAlignment="1">
      <alignment horizontal="center" vertical="center" wrapText="1"/>
    </xf>
    <xf numFmtId="174" fontId="44" fillId="0" borderId="28" xfId="17" applyFont="1" applyBorder="1" applyAlignment="1">
      <alignment horizontal="center" vertical="center" wrapText="1"/>
    </xf>
    <xf numFmtId="174" fontId="44" fillId="0" borderId="29" xfId="17" applyFont="1" applyBorder="1" applyAlignment="1">
      <alignment horizontal="center" vertical="center" wrapText="1"/>
    </xf>
    <xf numFmtId="49" fontId="44" fillId="5" borderId="28" xfId="18" applyNumberFormat="1" applyFont="1" applyFill="1" applyBorder="1" applyAlignment="1">
      <alignment horizontal="center" vertical="center" wrapText="1"/>
    </xf>
    <xf numFmtId="0" fontId="44" fillId="5" borderId="28" xfId="18" applyFont="1" applyFill="1" applyBorder="1" applyAlignment="1">
      <alignment horizontal="left" vertical="center" wrapText="1"/>
    </xf>
    <xf numFmtId="0" fontId="44" fillId="0" borderId="28" xfId="18" applyFont="1" applyBorder="1" applyAlignment="1">
      <alignment vertical="center" wrapText="1"/>
    </xf>
    <xf numFmtId="49" fontId="44" fillId="0" borderId="28" xfId="18" applyNumberFormat="1" applyFont="1" applyFill="1" applyBorder="1" applyAlignment="1">
      <alignment horizontal="left" vertical="center" wrapText="1"/>
    </xf>
    <xf numFmtId="1" fontId="44" fillId="0" borderId="35" xfId="18" applyNumberFormat="1" applyFont="1" applyBorder="1" applyAlignment="1">
      <alignment horizontal="center" vertical="center" wrapText="1"/>
    </xf>
    <xf numFmtId="174" fontId="44" fillId="0" borderId="35" xfId="17" applyFont="1" applyBorder="1" applyAlignment="1">
      <alignment horizontal="center" vertical="center" wrapText="1"/>
    </xf>
    <xf numFmtId="174" fontId="44" fillId="0" borderId="37" xfId="17" applyFont="1" applyBorder="1" applyAlignment="1">
      <alignment horizontal="center" vertical="center" wrapText="1"/>
    </xf>
    <xf numFmtId="174" fontId="44" fillId="0" borderId="18" xfId="0" applyNumberFormat="1" applyFont="1" applyBorder="1" applyAlignment="1">
      <alignment vertical="center" wrapText="1"/>
    </xf>
    <xf numFmtId="0" fontId="51" fillId="0" borderId="26" xfId="12" applyFont="1" applyFill="1" applyBorder="1" applyAlignment="1">
      <alignment horizontal="center" vertical="center" wrapText="1"/>
    </xf>
    <xf numFmtId="0" fontId="51" fillId="0" borderId="28" xfId="19" applyFont="1" applyBorder="1" applyAlignment="1">
      <alignment horizontal="center" vertical="center" wrapText="1"/>
    </xf>
    <xf numFmtId="0" fontId="51" fillId="5" borderId="28" xfId="19" applyFont="1" applyFill="1" applyBorder="1" applyAlignment="1">
      <alignment horizontal="center" vertical="center" wrapText="1"/>
    </xf>
    <xf numFmtId="0" fontId="51" fillId="0" borderId="28" xfId="12" applyFont="1" applyFill="1" applyBorder="1" applyAlignment="1">
      <alignment vertical="center" wrapText="1"/>
    </xf>
    <xf numFmtId="174" fontId="51" fillId="0" borderId="29" xfId="17" applyFont="1" applyBorder="1" applyAlignment="1">
      <alignment vertical="center" wrapText="1"/>
    </xf>
    <xf numFmtId="49" fontId="71" fillId="5" borderId="26" xfId="19" applyNumberFormat="1" applyFont="1" applyFill="1" applyBorder="1" applyAlignment="1">
      <alignment horizontal="center" vertical="center" wrapText="1"/>
    </xf>
    <xf numFmtId="0" fontId="51" fillId="5" borderId="1" xfId="19" applyFont="1" applyFill="1" applyBorder="1" applyAlignment="1">
      <alignment horizontal="left" vertical="center" wrapText="1"/>
    </xf>
    <xf numFmtId="0" fontId="72" fillId="14" borderId="28" xfId="19" applyFont="1" applyFill="1" applyBorder="1" applyAlignment="1">
      <alignment vertical="center" wrapText="1"/>
    </xf>
    <xf numFmtId="0" fontId="51" fillId="0" borderId="27" xfId="19" applyFont="1" applyBorder="1" applyAlignment="1">
      <alignment vertical="center" wrapText="1"/>
    </xf>
    <xf numFmtId="0" fontId="50" fillId="0" borderId="29" xfId="19" applyFont="1" applyBorder="1" applyAlignment="1">
      <alignment vertical="center" wrapText="1"/>
    </xf>
    <xf numFmtId="0" fontId="51" fillId="0" borderId="26" xfId="19" applyFont="1" applyBorder="1" applyAlignment="1">
      <alignment horizontal="center" vertical="center" wrapText="1"/>
    </xf>
    <xf numFmtId="0" fontId="42" fillId="0" borderId="26" xfId="12" applyFont="1" applyFill="1" applyBorder="1" applyAlignment="1">
      <alignment horizontal="center" vertical="center" wrapText="1"/>
    </xf>
    <xf numFmtId="0" fontId="42" fillId="0" borderId="28" xfId="19" applyFont="1" applyBorder="1" applyAlignment="1">
      <alignment horizontal="center" vertical="center" wrapText="1"/>
    </xf>
    <xf numFmtId="0" fontId="42" fillId="5" borderId="28" xfId="19" applyFont="1" applyFill="1" applyBorder="1" applyAlignment="1">
      <alignment horizontal="center" vertical="center" wrapText="1"/>
    </xf>
    <xf numFmtId="0" fontId="42" fillId="0" borderId="28" xfId="12" applyFont="1" applyFill="1" applyBorder="1" applyAlignment="1">
      <alignment vertical="center" wrapText="1"/>
    </xf>
    <xf numFmtId="174" fontId="42" fillId="0" borderId="29" xfId="17" applyFont="1" applyBorder="1" applyAlignment="1">
      <alignment vertical="center" wrapText="1"/>
    </xf>
    <xf numFmtId="49" fontId="44" fillId="5" borderId="26" xfId="21" applyNumberFormat="1" applyFont="1" applyFill="1" applyBorder="1" applyAlignment="1">
      <alignment horizontal="center" vertical="center" wrapText="1"/>
    </xf>
    <xf numFmtId="0" fontId="42" fillId="5" borderId="1" xfId="19" applyFont="1" applyFill="1" applyBorder="1" applyAlignment="1">
      <alignment horizontal="left" vertical="center" wrapText="1"/>
    </xf>
    <xf numFmtId="0" fontId="67" fillId="14" borderId="28" xfId="19" applyFont="1" applyFill="1" applyBorder="1" applyAlignment="1">
      <alignment vertical="center" wrapText="1"/>
    </xf>
    <xf numFmtId="0" fontId="42" fillId="0" borderId="27" xfId="19" applyFont="1" applyBorder="1" applyAlignment="1">
      <alignment vertical="center" wrapText="1"/>
    </xf>
    <xf numFmtId="0" fontId="42" fillId="0" borderId="29" xfId="19" applyFont="1" applyBorder="1" applyAlignment="1">
      <alignment vertical="center" wrapText="1"/>
    </xf>
    <xf numFmtId="0" fontId="42" fillId="0" borderId="26" xfId="19" applyFont="1" applyBorder="1" applyAlignment="1">
      <alignment horizontal="center" vertical="center" wrapText="1"/>
    </xf>
    <xf numFmtId="49" fontId="42" fillId="5" borderId="26" xfId="19" applyNumberFormat="1" applyFont="1" applyFill="1" applyBorder="1" applyAlignment="1">
      <alignment horizontal="center" vertical="center" wrapText="1"/>
    </xf>
    <xf numFmtId="0" fontId="42" fillId="5" borderId="26" xfId="19" applyFont="1" applyFill="1" applyBorder="1" applyAlignment="1">
      <alignment horizontal="center" vertical="center" wrapText="1"/>
    </xf>
    <xf numFmtId="174" fontId="42" fillId="0" borderId="29" xfId="17" applyFont="1" applyBorder="1" applyAlignment="1">
      <alignment horizontal="right" vertical="center" wrapText="1"/>
    </xf>
    <xf numFmtId="0" fontId="67" fillId="5" borderId="1" xfId="19" applyFont="1" applyFill="1" applyBorder="1" applyAlignment="1">
      <alignment vertical="center" wrapText="1"/>
    </xf>
    <xf numFmtId="0" fontId="67" fillId="5" borderId="1" xfId="19" applyFont="1" applyFill="1" applyBorder="1" applyAlignment="1">
      <alignment horizontal="justify" vertical="center" wrapText="1"/>
    </xf>
    <xf numFmtId="0" fontId="44" fillId="5" borderId="28" xfId="19" applyFont="1" applyFill="1" applyBorder="1" applyAlignment="1">
      <alignment horizontal="center" vertical="center" wrapText="1"/>
    </xf>
    <xf numFmtId="0" fontId="44" fillId="5" borderId="1" xfId="19" applyFont="1" applyFill="1" applyBorder="1" applyAlignment="1">
      <alignment vertical="center" wrapText="1"/>
    </xf>
    <xf numFmtId="0" fontId="42" fillId="14" borderId="28" xfId="19" applyFont="1" applyFill="1" applyBorder="1" applyAlignment="1">
      <alignment vertical="center" wrapText="1"/>
    </xf>
    <xf numFmtId="0" fontId="44" fillId="0" borderId="26" xfId="20" applyNumberFormat="1" applyFont="1" applyFill="1" applyBorder="1" applyAlignment="1">
      <alignment horizontal="center" vertical="center" wrapText="1"/>
    </xf>
    <xf numFmtId="0" fontId="42" fillId="5" borderId="28" xfId="19" applyFont="1" applyFill="1" applyBorder="1" applyAlignment="1">
      <alignment vertical="center" wrapText="1"/>
    </xf>
    <xf numFmtId="0" fontId="42" fillId="5" borderId="1" xfId="19" applyFont="1" applyFill="1" applyBorder="1" applyAlignment="1">
      <alignment vertical="center" wrapText="1"/>
    </xf>
    <xf numFmtId="0" fontId="44" fillId="0" borderId="26" xfId="12" applyFont="1" applyBorder="1" applyAlignment="1">
      <alignment horizontal="center" vertical="center" wrapText="1"/>
    </xf>
    <xf numFmtId="0" fontId="42" fillId="5" borderId="28" xfId="12" applyFont="1" applyFill="1" applyBorder="1" applyAlignment="1">
      <alignment vertical="center" wrapText="1"/>
    </xf>
    <xf numFmtId="0" fontId="44" fillId="0" borderId="28" xfId="2" applyFont="1" applyBorder="1" applyAlignment="1">
      <alignment horizontal="left" vertical="center" wrapText="1"/>
    </xf>
    <xf numFmtId="0" fontId="44" fillId="0" borderId="29" xfId="2" applyFont="1" applyBorder="1" applyAlignment="1">
      <alignment horizontal="left" vertical="center" wrapText="1"/>
    </xf>
    <xf numFmtId="0" fontId="44" fillId="0" borderId="28" xfId="12" applyFont="1" applyBorder="1" applyAlignment="1">
      <alignment vertical="center" wrapText="1"/>
    </xf>
    <xf numFmtId="0" fontId="69" fillId="0" borderId="1" xfId="19" applyFont="1" applyFill="1" applyBorder="1" applyAlignment="1">
      <alignment vertical="center" wrapText="1"/>
    </xf>
    <xf numFmtId="174" fontId="42" fillId="0" borderId="29" xfId="17" applyFont="1" applyBorder="1" applyAlignment="1">
      <alignment horizontal="center" vertical="center" wrapText="1"/>
    </xf>
    <xf numFmtId="1" fontId="44" fillId="0" borderId="26" xfId="12" applyNumberFormat="1" applyFont="1" applyBorder="1" applyAlignment="1">
      <alignment horizontal="center" vertical="center" wrapText="1"/>
    </xf>
    <xf numFmtId="166" fontId="44" fillId="0" borderId="28" xfId="17" applyNumberFormat="1" applyFont="1" applyBorder="1" applyAlignment="1">
      <alignment horizontal="left" vertical="center" wrapText="1"/>
    </xf>
    <xf numFmtId="166" fontId="44" fillId="0" borderId="28" xfId="17" applyNumberFormat="1" applyFont="1" applyBorder="1" applyAlignment="1">
      <alignment horizontal="center" vertical="center" wrapText="1"/>
    </xf>
    <xf numFmtId="1" fontId="44" fillId="0" borderId="28" xfId="17" applyNumberFormat="1" applyFont="1" applyBorder="1" applyAlignment="1">
      <alignment horizontal="center" vertical="center" wrapText="1"/>
    </xf>
    <xf numFmtId="174" fontId="44" fillId="0" borderId="29" xfId="17" applyFont="1" applyBorder="1" applyAlignment="1">
      <alignment vertical="center" wrapText="1"/>
    </xf>
    <xf numFmtId="0" fontId="67" fillId="0" borderId="86" xfId="20" applyNumberFormat="1" applyFont="1" applyFill="1" applyBorder="1" applyAlignment="1">
      <alignment horizontal="center" vertical="center" wrapText="1"/>
    </xf>
    <xf numFmtId="0" fontId="44" fillId="0" borderId="29" xfId="12" applyFont="1" applyBorder="1" applyAlignment="1">
      <alignment vertical="center" wrapText="1"/>
    </xf>
    <xf numFmtId="0" fontId="67" fillId="5" borderId="86" xfId="20" applyNumberFormat="1" applyFont="1" applyFill="1" applyBorder="1" applyAlignment="1">
      <alignment horizontal="center" vertical="center" wrapText="1"/>
    </xf>
    <xf numFmtId="0" fontId="67" fillId="0" borderId="85" xfId="20" applyNumberFormat="1" applyFont="1" applyFill="1" applyBorder="1" applyAlignment="1">
      <alignment horizontal="center" vertical="center" wrapText="1"/>
    </xf>
    <xf numFmtId="166" fontId="44" fillId="0" borderId="28" xfId="17" applyNumberFormat="1" applyFont="1" applyBorder="1" applyAlignment="1">
      <alignment vertical="center" wrapText="1"/>
    </xf>
    <xf numFmtId="0" fontId="44" fillId="0" borderId="3" xfId="19" applyFont="1" applyBorder="1" applyAlignment="1">
      <alignment horizontal="center" vertical="center" wrapText="1"/>
    </xf>
    <xf numFmtId="0" fontId="44" fillId="5" borderId="28" xfId="12" applyFont="1" applyFill="1" applyBorder="1" applyAlignment="1">
      <alignment vertical="center" wrapText="1"/>
    </xf>
    <xf numFmtId="0" fontId="44" fillId="0" borderId="29" xfId="12" applyFont="1" applyBorder="1" applyAlignment="1">
      <alignment horizontal="left" vertical="center" wrapText="1"/>
    </xf>
    <xf numFmtId="49" fontId="44" fillId="5" borderId="22" xfId="12" applyNumberFormat="1" applyFont="1" applyFill="1" applyBorder="1" applyAlignment="1">
      <alignment horizontal="center" vertical="center" wrapText="1"/>
    </xf>
    <xf numFmtId="0" fontId="44" fillId="0" borderId="85" xfId="20" applyNumberFormat="1" applyFont="1" applyFill="1" applyBorder="1" applyAlignment="1">
      <alignment horizontal="center" vertical="center" wrapText="1"/>
    </xf>
    <xf numFmtId="0" fontId="44" fillId="5" borderId="26" xfId="12" applyFont="1" applyFill="1" applyBorder="1" applyAlignment="1">
      <alignment horizontal="center" vertical="center" wrapText="1"/>
    </xf>
    <xf numFmtId="0" fontId="44" fillId="0" borderId="28" xfId="12" applyFont="1" applyFill="1" applyBorder="1" applyAlignment="1">
      <alignment vertical="center" wrapText="1"/>
    </xf>
    <xf numFmtId="0" fontId="44" fillId="5" borderId="34" xfId="12" applyFont="1" applyFill="1" applyBorder="1" applyAlignment="1">
      <alignment horizontal="center" vertical="center" wrapText="1"/>
    </xf>
    <xf numFmtId="0" fontId="42" fillId="5" borderId="28" xfId="19" applyFont="1" applyFill="1" applyBorder="1" applyAlignment="1">
      <alignment horizontal="left" vertical="center" wrapText="1"/>
    </xf>
    <xf numFmtId="1" fontId="44" fillId="0" borderId="28" xfId="12" applyNumberFormat="1" applyFont="1" applyBorder="1" applyAlignment="1">
      <alignment horizontal="center" vertical="center" wrapText="1"/>
    </xf>
    <xf numFmtId="0" fontId="42" fillId="0" borderId="38" xfId="12" applyFont="1" applyFill="1" applyBorder="1" applyAlignment="1">
      <alignment horizontal="center" vertical="center" wrapText="1"/>
    </xf>
    <xf numFmtId="0" fontId="42" fillId="5" borderId="40" xfId="19" applyFont="1" applyFill="1" applyBorder="1" applyAlignment="1">
      <alignment horizontal="center" vertical="center" wrapText="1"/>
    </xf>
    <xf numFmtId="0" fontId="42" fillId="0" borderId="40" xfId="12" applyFont="1" applyFill="1" applyBorder="1" applyAlignment="1">
      <alignment vertical="center" wrapText="1"/>
    </xf>
    <xf numFmtId="174" fontId="44" fillId="0" borderId="39" xfId="17" applyFont="1" applyBorder="1" applyAlignment="1">
      <alignment vertical="center" wrapText="1"/>
    </xf>
    <xf numFmtId="174" fontId="68" fillId="0" borderId="18" xfId="0" applyNumberFormat="1" applyFont="1" applyBorder="1" applyAlignment="1">
      <alignment vertical="center" wrapText="1"/>
    </xf>
    <xf numFmtId="0" fontId="44" fillId="0" borderId="57" xfId="0" applyFont="1" applyBorder="1" applyAlignment="1">
      <alignment horizontal="center" vertical="center"/>
    </xf>
    <xf numFmtId="0" fontId="44" fillId="0" borderId="50" xfId="0" applyFont="1" applyBorder="1" applyAlignment="1">
      <alignment vertical="center" wrapText="1"/>
    </xf>
    <xf numFmtId="175" fontId="44" fillId="0" borderId="4" xfId="0" applyNumberFormat="1" applyFont="1" applyBorder="1" applyAlignment="1">
      <alignment vertical="center"/>
    </xf>
    <xf numFmtId="0" fontId="44" fillId="0" borderId="13" xfId="0" applyFont="1" applyBorder="1" applyAlignment="1">
      <alignment vertical="center"/>
    </xf>
    <xf numFmtId="0" fontId="44" fillId="0" borderId="0" xfId="0" applyFont="1" applyBorder="1" applyAlignment="1">
      <alignment vertical="center" wrapText="1"/>
    </xf>
    <xf numFmtId="1" fontId="44" fillId="0" borderId="57" xfId="0" applyNumberFormat="1" applyFont="1" applyBorder="1" applyAlignment="1">
      <alignment vertical="center"/>
    </xf>
    <xf numFmtId="1" fontId="44" fillId="0" borderId="50" xfId="0" applyNumberFormat="1" applyFont="1" applyBorder="1" applyAlignment="1">
      <alignment vertical="center"/>
    </xf>
    <xf numFmtId="0" fontId="44" fillId="0" borderId="22" xfId="0" applyFont="1" applyBorder="1" applyAlignment="1">
      <alignment horizontal="center" vertical="center" wrapText="1"/>
    </xf>
    <xf numFmtId="0" fontId="44" fillId="0" borderId="45" xfId="0" applyFont="1" applyBorder="1" applyAlignment="1">
      <alignment horizontal="center" vertical="center" wrapText="1"/>
    </xf>
    <xf numFmtId="175" fontId="44" fillId="0" borderId="59" xfId="0" applyNumberFormat="1" applyFont="1" applyBorder="1" applyAlignment="1">
      <alignment vertical="center" wrapText="1"/>
    </xf>
    <xf numFmtId="0" fontId="44" fillId="0" borderId="45" xfId="0" applyFont="1" applyBorder="1" applyAlignment="1">
      <alignment vertical="center" wrapText="1"/>
    </xf>
    <xf numFmtId="0" fontId="44" fillId="0" borderId="44" xfId="0" applyFont="1" applyBorder="1" applyAlignment="1">
      <alignment vertical="center" wrapText="1"/>
    </xf>
    <xf numFmtId="1" fontId="44" fillId="0" borderId="22" xfId="0" applyNumberFormat="1" applyFont="1" applyBorder="1" applyAlignment="1">
      <alignment vertical="center" wrapText="1"/>
    </xf>
    <xf numFmtId="1" fontId="44" fillId="0" borderId="23" xfId="0" applyNumberFormat="1" applyFont="1" applyBorder="1" applyAlignment="1">
      <alignment vertical="center" wrapText="1"/>
    </xf>
    <xf numFmtId="4" fontId="44" fillId="0" borderId="59" xfId="0" applyNumberFormat="1" applyFont="1" applyBorder="1" applyAlignment="1">
      <alignment vertical="center" wrapText="1"/>
    </xf>
    <xf numFmtId="175" fontId="44" fillId="0" borderId="62" xfId="0" applyNumberFormat="1" applyFont="1" applyBorder="1" applyAlignment="1">
      <alignment vertical="center" wrapText="1"/>
    </xf>
    <xf numFmtId="0" fontId="44" fillId="0" borderId="27" xfId="0" applyFont="1" applyBorder="1" applyAlignment="1">
      <alignment vertical="center" wrapText="1"/>
    </xf>
    <xf numFmtId="0" fontId="44" fillId="0" borderId="76" xfId="0" applyFont="1" applyBorder="1" applyAlignment="1">
      <alignment vertical="center" wrapText="1"/>
    </xf>
    <xf numFmtId="1" fontId="44" fillId="0" borderId="26" xfId="0" applyNumberFormat="1" applyFont="1" applyBorder="1" applyAlignment="1">
      <alignment vertical="center" wrapText="1"/>
    </xf>
    <xf numFmtId="1" fontId="44" fillId="0" borderId="28" xfId="0" applyNumberFormat="1" applyFont="1" applyBorder="1" applyAlignment="1">
      <alignment vertical="center" wrapText="1"/>
    </xf>
    <xf numFmtId="0" fontId="44" fillId="0" borderId="52" xfId="0" applyFont="1" applyBorder="1" applyAlignment="1">
      <alignment horizontal="center" vertical="center" wrapText="1"/>
    </xf>
    <xf numFmtId="0" fontId="44" fillId="0" borderId="40" xfId="0" applyFont="1" applyBorder="1" applyAlignment="1">
      <alignment vertical="center" wrapText="1"/>
    </xf>
    <xf numFmtId="175" fontId="44" fillId="0" borderId="79" xfId="0" applyNumberFormat="1" applyFont="1" applyBorder="1" applyAlignment="1">
      <alignment vertical="center" wrapText="1"/>
    </xf>
    <xf numFmtId="0" fontId="44" fillId="0" borderId="52" xfId="0" applyFont="1" applyBorder="1" applyAlignment="1">
      <alignment vertical="center" wrapText="1"/>
    </xf>
    <xf numFmtId="0" fontId="44" fillId="0" borderId="87" xfId="0" applyFont="1" applyBorder="1" applyAlignment="1">
      <alignment vertical="center" wrapText="1"/>
    </xf>
    <xf numFmtId="1" fontId="44" fillId="0" borderId="38" xfId="0" applyNumberFormat="1" applyFont="1" applyBorder="1" applyAlignment="1">
      <alignment vertical="center" wrapText="1"/>
    </xf>
    <xf numFmtId="1" fontId="44" fillId="0" borderId="40" xfId="0" applyNumberFormat="1" applyFont="1" applyBorder="1" applyAlignment="1">
      <alignment vertical="center" wrapText="1"/>
    </xf>
    <xf numFmtId="4" fontId="44" fillId="0" borderId="79" xfId="0" applyNumberFormat="1" applyFont="1" applyBorder="1" applyAlignment="1">
      <alignment vertical="center" wrapText="1"/>
    </xf>
    <xf numFmtId="175" fontId="68" fillId="0" borderId="18" xfId="0" applyNumberFormat="1" applyFont="1" applyBorder="1" applyAlignment="1">
      <alignment vertical="center" wrapText="1"/>
    </xf>
    <xf numFmtId="0" fontId="68" fillId="0" borderId="15" xfId="0" applyFont="1" applyBorder="1" applyAlignment="1">
      <alignment vertical="center" wrapText="1"/>
    </xf>
    <xf numFmtId="0" fontId="68" fillId="0" borderId="20" xfId="0" applyFont="1" applyBorder="1" applyAlignment="1">
      <alignment vertical="center" wrapText="1"/>
    </xf>
    <xf numFmtId="1" fontId="68" fillId="0" borderId="42" xfId="0" applyNumberFormat="1" applyFont="1" applyBorder="1" applyAlignment="1">
      <alignment vertical="center" wrapText="1"/>
    </xf>
    <xf numFmtId="1" fontId="68" fillId="0" borderId="16" xfId="0" applyNumberFormat="1" applyFont="1" applyBorder="1" applyAlignment="1">
      <alignment vertical="center" wrapText="1"/>
    </xf>
    <xf numFmtId="0" fontId="44" fillId="0" borderId="23" xfId="2" applyFont="1" applyBorder="1" applyAlignment="1">
      <alignment horizontal="left" vertical="center" wrapText="1"/>
    </xf>
    <xf numFmtId="0" fontId="44" fillId="0" borderId="45" xfId="2" applyFont="1" applyBorder="1" applyAlignment="1">
      <alignment horizontal="left" vertical="center" wrapText="1"/>
    </xf>
    <xf numFmtId="0" fontId="44" fillId="0" borderId="22" xfId="0" applyNumberFormat="1" applyFont="1" applyBorder="1" applyAlignment="1">
      <alignment horizontal="center" vertical="center" wrapText="1"/>
    </xf>
    <xf numFmtId="0" fontId="44" fillId="0" borderId="23" xfId="0" applyNumberFormat="1" applyFont="1" applyBorder="1" applyAlignment="1">
      <alignment horizontal="center" vertical="center" wrapText="1"/>
    </xf>
    <xf numFmtId="0" fontId="44" fillId="0" borderId="27" xfId="2" applyFont="1" applyBorder="1" applyAlignment="1">
      <alignment horizontal="left" vertical="center" wrapText="1"/>
    </xf>
    <xf numFmtId="0" fontId="44" fillId="0" borderId="26" xfId="0" applyNumberFormat="1" applyFont="1" applyBorder="1" applyAlignment="1">
      <alignment horizontal="center" vertical="center" wrapText="1"/>
    </xf>
    <xf numFmtId="0" fontId="44" fillId="0" borderId="60" xfId="0" applyFont="1" applyBorder="1" applyAlignment="1">
      <alignment horizontal="center" vertical="center" wrapText="1"/>
    </xf>
    <xf numFmtId="0" fontId="44" fillId="0" borderId="53" xfId="0" applyFont="1" applyBorder="1" applyAlignment="1">
      <alignment horizontal="center" vertical="center" wrapText="1"/>
    </xf>
    <xf numFmtId="0" fontId="44" fillId="0" borderId="49" xfId="0" applyFont="1" applyBorder="1" applyAlignment="1">
      <alignment vertical="center" wrapText="1"/>
    </xf>
    <xf numFmtId="4" fontId="44" fillId="0" borderId="4" xfId="0" applyNumberFormat="1" applyFont="1" applyBorder="1" applyAlignment="1">
      <alignment vertical="center" wrapText="1"/>
    </xf>
    <xf numFmtId="0" fontId="44" fillId="0" borderId="13" xfId="0" applyFont="1" applyBorder="1" applyAlignment="1">
      <alignment vertical="center" wrapText="1"/>
    </xf>
    <xf numFmtId="0" fontId="44" fillId="0" borderId="50" xfId="2" applyFont="1" applyBorder="1" applyAlignment="1">
      <alignment horizontal="left" vertical="center" wrapText="1"/>
    </xf>
    <xf numFmtId="0" fontId="44" fillId="0" borderId="13" xfId="2" applyFont="1" applyBorder="1" applyAlignment="1">
      <alignment horizontal="left" vertical="center" wrapText="1"/>
    </xf>
    <xf numFmtId="0" fontId="44" fillId="0" borderId="60" xfId="0" applyNumberFormat="1" applyFont="1" applyBorder="1" applyAlignment="1">
      <alignment horizontal="center" vertical="center" wrapText="1"/>
    </xf>
    <xf numFmtId="0" fontId="44" fillId="0" borderId="49" xfId="0" applyNumberFormat="1" applyFont="1" applyBorder="1" applyAlignment="1">
      <alignment horizontal="center" vertical="center" wrapText="1"/>
    </xf>
    <xf numFmtId="0" fontId="44" fillId="0" borderId="82" xfId="0" applyFont="1" applyBorder="1" applyAlignment="1">
      <alignment horizontal="center" vertical="center" wrapText="1"/>
    </xf>
    <xf numFmtId="4" fontId="44" fillId="0" borderId="81" xfId="0" applyNumberFormat="1" applyFont="1" applyBorder="1" applyAlignment="1">
      <alignment vertical="center" wrapText="1"/>
    </xf>
    <xf numFmtId="0" fontId="44" fillId="0" borderId="82" xfId="0" applyFont="1" applyBorder="1" applyAlignment="1">
      <alignment vertical="center" wrapText="1"/>
    </xf>
    <xf numFmtId="0" fontId="44" fillId="0" borderId="35" xfId="2" applyFont="1" applyBorder="1" applyAlignment="1">
      <alignment horizontal="left" vertical="center" wrapText="1"/>
    </xf>
    <xf numFmtId="0" fontId="44" fillId="0" borderId="82" xfId="2" applyFont="1" applyBorder="1" applyAlignment="1">
      <alignment horizontal="left" vertical="center" wrapText="1"/>
    </xf>
    <xf numFmtId="0" fontId="44" fillId="0" borderId="77" xfId="0" applyFont="1" applyBorder="1" applyAlignment="1">
      <alignment vertical="center" wrapText="1"/>
    </xf>
    <xf numFmtId="0" fontId="44" fillId="0" borderId="34" xfId="0" applyNumberFormat="1" applyFont="1" applyBorder="1" applyAlignment="1">
      <alignment horizontal="center" vertical="center" wrapText="1"/>
    </xf>
    <xf numFmtId="0" fontId="44" fillId="0" borderId="57" xfId="0" applyFont="1" applyBorder="1" applyAlignment="1">
      <alignment horizontal="center" vertical="center" wrapText="1"/>
    </xf>
    <xf numFmtId="0" fontId="44" fillId="0" borderId="13" xfId="0" applyFont="1" applyBorder="1" applyAlignment="1">
      <alignment horizontal="center" vertical="center" wrapText="1"/>
    </xf>
    <xf numFmtId="0" fontId="44" fillId="0" borderId="57" xfId="0" applyNumberFormat="1" applyFont="1" applyBorder="1" applyAlignment="1">
      <alignment horizontal="center" vertical="center" wrapText="1"/>
    </xf>
    <xf numFmtId="4" fontId="44" fillId="0" borderId="28" xfId="0" applyNumberFormat="1" applyFont="1" applyBorder="1" applyAlignment="1">
      <alignment vertical="center" wrapText="1"/>
    </xf>
    <xf numFmtId="4" fontId="68" fillId="0" borderId="28" xfId="0" applyNumberFormat="1" applyFont="1" applyBorder="1" applyAlignment="1">
      <alignment vertical="center" wrapText="1"/>
    </xf>
    <xf numFmtId="0" fontId="3" fillId="19" borderId="28" xfId="0" applyFont="1" applyFill="1" applyBorder="1" applyAlignment="1">
      <alignment horizontal="justify" vertical="center" wrapText="1"/>
    </xf>
    <xf numFmtId="1" fontId="3" fillId="19" borderId="28" xfId="0" applyNumberFormat="1" applyFont="1" applyFill="1" applyBorder="1" applyAlignment="1">
      <alignment horizontal="center" vertical="center" wrapText="1"/>
    </xf>
    <xf numFmtId="0" fontId="3" fillId="19" borderId="28" xfId="0" applyFont="1" applyFill="1" applyBorder="1" applyAlignment="1">
      <alignment horizontal="center" vertical="center" wrapText="1"/>
    </xf>
    <xf numFmtId="9" fontId="3" fillId="19" borderId="28" xfId="6" applyFont="1" applyFill="1" applyBorder="1" applyAlignment="1">
      <alignment horizontal="center" vertical="center" wrapText="1"/>
    </xf>
    <xf numFmtId="165" fontId="3" fillId="19" borderId="28" xfId="0" applyNumberFormat="1" applyFont="1" applyFill="1" applyBorder="1" applyAlignment="1">
      <alignment horizontal="center" vertical="center" wrapText="1"/>
    </xf>
    <xf numFmtId="9" fontId="3" fillId="19" borderId="28" xfId="0" applyNumberFormat="1" applyFont="1" applyFill="1" applyBorder="1" applyAlignment="1">
      <alignment horizontal="center" vertical="center" wrapText="1"/>
    </xf>
    <xf numFmtId="0" fontId="3" fillId="0" borderId="28" xfId="0" applyFont="1" applyFill="1" applyBorder="1" applyAlignment="1">
      <alignment horizontal="justify" vertical="center" wrapText="1"/>
    </xf>
    <xf numFmtId="9" fontId="3" fillId="0" borderId="28" xfId="0" applyNumberFormat="1" applyFont="1" applyFill="1" applyBorder="1" applyAlignment="1">
      <alignment horizontal="center" vertical="center" wrapText="1"/>
    </xf>
    <xf numFmtId="9" fontId="3" fillId="0" borderId="28" xfId="6" applyFont="1" applyFill="1" applyBorder="1" applyAlignment="1">
      <alignment horizontal="center" vertical="center" wrapText="1"/>
    </xf>
    <xf numFmtId="9" fontId="3" fillId="0" borderId="28" xfId="6" applyNumberFormat="1" applyFont="1" applyFill="1" applyBorder="1" applyAlignment="1">
      <alignment horizontal="center" vertical="center" wrapText="1"/>
    </xf>
    <xf numFmtId="0" fontId="5" fillId="0" borderId="28" xfId="0" applyFont="1" applyFill="1" applyBorder="1" applyAlignment="1">
      <alignment horizontal="center" vertical="center" wrapText="1"/>
    </xf>
    <xf numFmtId="2" fontId="3" fillId="0" borderId="28" xfId="0" applyNumberFormat="1" applyFont="1" applyFill="1" applyBorder="1" applyAlignment="1">
      <alignment horizontal="center" vertical="center" wrapText="1"/>
    </xf>
    <xf numFmtId="0" fontId="6" fillId="0" borderId="0" xfId="0" applyFont="1" applyFill="1" applyAlignment="1">
      <alignment horizontal="left" vertical="center"/>
    </xf>
    <xf numFmtId="0" fontId="3" fillId="0" borderId="0" xfId="0" applyFont="1" applyFill="1" applyAlignment="1">
      <alignment horizontal="left" vertical="center"/>
    </xf>
    <xf numFmtId="0" fontId="3" fillId="19" borderId="28" xfId="0" applyFont="1" applyFill="1" applyBorder="1" applyAlignment="1">
      <alignment horizontal="center" vertical="center"/>
    </xf>
    <xf numFmtId="165" fontId="4" fillId="0" borderId="0" xfId="6" applyNumberFormat="1" applyFont="1"/>
    <xf numFmtId="0" fontId="74" fillId="0" borderId="0" xfId="0" applyFont="1" applyAlignment="1">
      <alignment vertical="center"/>
    </xf>
    <xf numFmtId="0" fontId="10" fillId="0" borderId="14" xfId="2" applyFont="1" applyFill="1" applyBorder="1" applyAlignment="1">
      <alignment horizontal="center" vertical="center" wrapText="1"/>
    </xf>
    <xf numFmtId="0" fontId="10" fillId="0" borderId="0" xfId="0" applyFont="1" applyBorder="1" applyAlignment="1">
      <alignment vertical="center"/>
    </xf>
    <xf numFmtId="0" fontId="10" fillId="0" borderId="57" xfId="2" applyFont="1" applyFill="1" applyBorder="1" applyAlignment="1">
      <alignment vertical="center"/>
    </xf>
    <xf numFmtId="0" fontId="10" fillId="0" borderId="56" xfId="2" applyFont="1" applyFill="1" applyBorder="1" applyAlignment="1">
      <alignment vertical="center"/>
    </xf>
    <xf numFmtId="179" fontId="10" fillId="2" borderId="42" xfId="2" applyNumberFormat="1" applyFont="1" applyFill="1" applyBorder="1" applyAlignment="1">
      <alignment vertical="center"/>
    </xf>
    <xf numFmtId="180" fontId="44" fillId="0" borderId="28" xfId="0" applyNumberFormat="1" applyFont="1" applyBorder="1" applyAlignment="1">
      <alignment horizontal="center" vertical="center" wrapText="1"/>
    </xf>
    <xf numFmtId="0" fontId="44" fillId="0" borderId="28" xfId="0" applyFont="1" applyBorder="1" applyAlignment="1">
      <alignment wrapText="1"/>
    </xf>
    <xf numFmtId="0" fontId="68" fillId="0" borderId="28" xfId="2" applyFont="1" applyBorder="1" applyAlignment="1">
      <alignment horizontal="left" vertical="center"/>
    </xf>
    <xf numFmtId="4" fontId="44" fillId="0" borderId="28" xfId="0" applyNumberFormat="1" applyFont="1" applyBorder="1" applyAlignment="1">
      <alignment horizontal="center" vertical="center" wrapText="1"/>
    </xf>
    <xf numFmtId="0" fontId="68" fillId="0" borderId="28" xfId="2" applyFont="1" applyBorder="1" applyAlignment="1">
      <alignment vertical="center"/>
    </xf>
    <xf numFmtId="180" fontId="44" fillId="0" borderId="35" xfId="0" applyNumberFormat="1" applyFont="1" applyBorder="1" applyAlignment="1">
      <alignment horizontal="center" vertical="center" wrapText="1"/>
    </xf>
    <xf numFmtId="4" fontId="44" fillId="0" borderId="35" xfId="0" applyNumberFormat="1" applyFont="1" applyBorder="1" applyAlignment="1">
      <alignment vertical="center" wrapText="1"/>
    </xf>
    <xf numFmtId="180" fontId="10" fillId="2" borderId="20" xfId="2" applyNumberFormat="1" applyFont="1" applyFill="1" applyBorder="1" applyAlignment="1">
      <alignment horizontal="center" vertical="center"/>
    </xf>
    <xf numFmtId="4" fontId="10" fillId="2" borderId="19" xfId="2" applyNumberFormat="1" applyFont="1" applyFill="1" applyBorder="1" applyAlignment="1">
      <alignment horizontal="right" vertical="center"/>
    </xf>
    <xf numFmtId="0" fontId="9" fillId="0" borderId="14" xfId="2" applyNumberFormat="1" applyFont="1" applyFill="1" applyBorder="1" applyAlignment="1">
      <alignment horizontal="center" vertical="center" wrapText="1"/>
    </xf>
    <xf numFmtId="0" fontId="9" fillId="0" borderId="57" xfId="2" applyFont="1" applyFill="1" applyBorder="1" applyAlignment="1">
      <alignment vertical="center" wrapText="1"/>
    </xf>
    <xf numFmtId="44" fontId="9" fillId="0" borderId="50" xfId="9" applyFont="1" applyFill="1" applyBorder="1" applyAlignment="1">
      <alignment vertical="center" wrapText="1"/>
    </xf>
    <xf numFmtId="0" fontId="9" fillId="5" borderId="56" xfId="2" applyFont="1" applyFill="1" applyBorder="1" applyAlignment="1">
      <alignment horizontal="center" vertical="center" wrapText="1"/>
    </xf>
    <xf numFmtId="0" fontId="9" fillId="0" borderId="56" xfId="2" applyFont="1" applyFill="1" applyBorder="1" applyAlignment="1">
      <alignment horizontal="center" vertical="center" wrapText="1"/>
    </xf>
    <xf numFmtId="44" fontId="9" fillId="0" borderId="57" xfId="2" applyNumberFormat="1" applyFont="1" applyFill="1" applyBorder="1" applyAlignment="1">
      <alignment vertical="center" wrapText="1"/>
    </xf>
    <xf numFmtId="0" fontId="9" fillId="0" borderId="0" xfId="2" applyFont="1" applyFill="1" applyBorder="1" applyAlignment="1">
      <alignment vertical="center" wrapText="1"/>
    </xf>
    <xf numFmtId="0" fontId="9" fillId="5" borderId="56" xfId="2" applyFont="1" applyFill="1" applyBorder="1" applyAlignment="1">
      <alignment vertical="center" wrapText="1"/>
    </xf>
    <xf numFmtId="0" fontId="9" fillId="0" borderId="56" xfId="2" applyFont="1" applyFill="1" applyBorder="1" applyAlignment="1">
      <alignment vertical="center" wrapText="1"/>
    </xf>
    <xf numFmtId="3" fontId="9" fillId="0" borderId="57" xfId="2" applyNumberFormat="1" applyFont="1" applyFill="1" applyBorder="1" applyAlignment="1">
      <alignment vertical="center"/>
    </xf>
    <xf numFmtId="0" fontId="10" fillId="0" borderId="50" xfId="2" applyFont="1" applyFill="1" applyBorder="1" applyAlignment="1">
      <alignment vertical="center"/>
    </xf>
    <xf numFmtId="0" fontId="9" fillId="0" borderId="56" xfId="2" applyFont="1" applyFill="1" applyBorder="1" applyAlignment="1">
      <alignment vertical="center"/>
    </xf>
    <xf numFmtId="0" fontId="9" fillId="0" borderId="11" xfId="2" applyFont="1" applyBorder="1" applyAlignment="1">
      <alignment horizontal="center" vertical="center"/>
    </xf>
    <xf numFmtId="0" fontId="9" fillId="0" borderId="57" xfId="2" applyFont="1" applyBorder="1" applyAlignment="1">
      <alignment vertical="center"/>
    </xf>
    <xf numFmtId="0" fontId="9" fillId="0" borderId="50" xfId="2" applyFont="1" applyBorder="1" applyAlignment="1">
      <alignment vertical="center"/>
    </xf>
    <xf numFmtId="0" fontId="9" fillId="0" borderId="56" xfId="2" applyFont="1" applyBorder="1" applyAlignment="1">
      <alignment vertical="center"/>
    </xf>
    <xf numFmtId="0" fontId="10" fillId="2" borderId="16" xfId="2" applyFont="1" applyFill="1" applyBorder="1" applyAlignment="1">
      <alignment vertical="center"/>
    </xf>
    <xf numFmtId="0" fontId="9" fillId="0" borderId="12" xfId="4" applyFont="1" applyBorder="1"/>
    <xf numFmtId="0" fontId="9" fillId="0" borderId="21" xfId="4" applyFont="1" applyBorder="1"/>
    <xf numFmtId="49" fontId="9" fillId="0" borderId="0" xfId="4" applyNumberFormat="1" applyFont="1" applyBorder="1"/>
    <xf numFmtId="1" fontId="9" fillId="0" borderId="14" xfId="4" applyNumberFormat="1" applyFont="1" applyBorder="1" applyAlignment="1">
      <alignment horizontal="center"/>
    </xf>
    <xf numFmtId="3" fontId="9" fillId="0" borderId="4" xfId="4" applyNumberFormat="1" applyFont="1" applyBorder="1" applyAlignment="1">
      <alignment horizontal="center"/>
    </xf>
    <xf numFmtId="4" fontId="9" fillId="0" borderId="4" xfId="4" applyNumberFormat="1" applyFont="1" applyBorder="1"/>
    <xf numFmtId="0" fontId="9" fillId="0" borderId="4" xfId="4" applyFont="1" applyBorder="1"/>
    <xf numFmtId="49" fontId="9" fillId="0" borderId="0" xfId="4" applyNumberFormat="1" applyFont="1" applyBorder="1" applyAlignment="1"/>
    <xf numFmtId="3" fontId="9" fillId="0" borderId="0" xfId="4" applyNumberFormat="1" applyFont="1" applyBorder="1"/>
    <xf numFmtId="0" fontId="9" fillId="0" borderId="11" xfId="4" applyFont="1" applyBorder="1"/>
    <xf numFmtId="0" fontId="9" fillId="0" borderId="8" xfId="4" applyFont="1" applyBorder="1"/>
    <xf numFmtId="0" fontId="9" fillId="0" borderId="0" xfId="4" applyFont="1" applyBorder="1"/>
    <xf numFmtId="0" fontId="10" fillId="0" borderId="7" xfId="4" applyFont="1" applyBorder="1" applyAlignment="1">
      <alignment horizontal="center"/>
    </xf>
    <xf numFmtId="0" fontId="10" fillId="0" borderId="11" xfId="4" applyFont="1" applyBorder="1" applyAlignment="1">
      <alignment horizontal="center"/>
    </xf>
    <xf numFmtId="0" fontId="9" fillId="0" borderId="20" xfId="4" applyFont="1" applyBorder="1"/>
    <xf numFmtId="4" fontId="10" fillId="0" borderId="5" xfId="4" applyNumberFormat="1" applyFont="1" applyBorder="1"/>
    <xf numFmtId="0" fontId="9" fillId="0" borderId="4" xfId="2" applyFont="1" applyFill="1" applyBorder="1" applyAlignment="1">
      <alignment horizontal="left" vertical="center" wrapText="1"/>
    </xf>
    <xf numFmtId="0" fontId="9" fillId="0" borderId="4" xfId="2" applyFont="1" applyFill="1" applyBorder="1" applyAlignment="1">
      <alignment vertical="center" wrapText="1"/>
    </xf>
    <xf numFmtId="0" fontId="9" fillId="0" borderId="14" xfId="2" applyFont="1" applyFill="1" applyBorder="1" applyAlignment="1">
      <alignment vertical="center" wrapText="1"/>
    </xf>
    <xf numFmtId="3" fontId="10" fillId="0" borderId="14" xfId="2" applyNumberFormat="1" applyFont="1" applyFill="1" applyBorder="1" applyAlignment="1">
      <alignment vertical="center"/>
    </xf>
    <xf numFmtId="0" fontId="9" fillId="0" borderId="11" xfId="2" applyFont="1" applyBorder="1" applyAlignment="1">
      <alignment vertical="center"/>
    </xf>
    <xf numFmtId="4" fontId="10" fillId="3" borderId="16" xfId="4" applyNumberFormat="1" applyFont="1" applyFill="1" applyBorder="1" applyAlignment="1"/>
    <xf numFmtId="4" fontId="10" fillId="3" borderId="43" xfId="4" applyNumberFormat="1" applyFont="1" applyFill="1" applyBorder="1" applyAlignment="1"/>
    <xf numFmtId="0" fontId="9" fillId="0" borderId="5" xfId="4" applyFont="1" applyBorder="1" applyAlignment="1"/>
    <xf numFmtId="0" fontId="9" fillId="0" borderId="30" xfId="2" applyFont="1" applyFill="1" applyBorder="1" applyAlignment="1">
      <alignment horizontal="left" vertical="center" wrapText="1"/>
    </xf>
    <xf numFmtId="0" fontId="9" fillId="0" borderId="32" xfId="2" applyFont="1" applyFill="1" applyBorder="1" applyAlignment="1">
      <alignment horizontal="left" vertical="center" wrapText="1"/>
    </xf>
    <xf numFmtId="4" fontId="9" fillId="0" borderId="32" xfId="2" applyNumberFormat="1" applyFont="1" applyFill="1" applyBorder="1" applyAlignment="1">
      <alignment horizontal="left" vertical="center" wrapText="1"/>
    </xf>
    <xf numFmtId="0" fontId="9" fillId="0" borderId="31" xfId="2" applyFont="1" applyFill="1" applyBorder="1" applyAlignment="1">
      <alignment horizontal="left" vertical="center" wrapText="1"/>
    </xf>
    <xf numFmtId="0" fontId="9" fillId="0" borderId="26" xfId="2" applyFont="1" applyFill="1" applyBorder="1" applyAlignment="1">
      <alignment horizontal="left" vertical="center" wrapText="1"/>
    </xf>
    <xf numFmtId="4" fontId="9" fillId="0" borderId="28" xfId="2" applyNumberFormat="1" applyFont="1" applyFill="1" applyBorder="1" applyAlignment="1">
      <alignment horizontal="left" vertical="center" wrapText="1"/>
    </xf>
    <xf numFmtId="0" fontId="9" fillId="0" borderId="29" xfId="2" applyFont="1" applyFill="1" applyBorder="1" applyAlignment="1">
      <alignment horizontal="left" vertical="center" wrapText="1"/>
    </xf>
    <xf numFmtId="0" fontId="9" fillId="0" borderId="38" xfId="2" applyFont="1" applyFill="1" applyBorder="1" applyAlignment="1">
      <alignment horizontal="left" vertical="center" wrapText="1"/>
    </xf>
    <xf numFmtId="0" fontId="9" fillId="0" borderId="40" xfId="2" applyFont="1" applyFill="1" applyBorder="1" applyAlignment="1">
      <alignment horizontal="left" vertical="center" wrapText="1"/>
    </xf>
    <xf numFmtId="0" fontId="10" fillId="0" borderId="40" xfId="2" applyFont="1" applyFill="1" applyBorder="1" applyAlignment="1">
      <alignment horizontal="left" vertical="center" wrapText="1"/>
    </xf>
    <xf numFmtId="4" fontId="9" fillId="0" borderId="40" xfId="2" applyNumberFormat="1" applyFont="1" applyFill="1" applyBorder="1" applyAlignment="1">
      <alignment horizontal="left" vertical="center" wrapText="1"/>
    </xf>
    <xf numFmtId="0" fontId="9" fillId="0" borderId="39" xfId="2" applyFont="1" applyFill="1" applyBorder="1" applyAlignment="1">
      <alignment horizontal="left" vertical="center" wrapText="1"/>
    </xf>
    <xf numFmtId="0" fontId="9" fillId="0" borderId="14" xfId="4" applyFont="1" applyBorder="1" applyAlignment="1">
      <alignment horizontal="center"/>
    </xf>
    <xf numFmtId="4" fontId="9" fillId="0" borderId="14" xfId="4" applyNumberFormat="1" applyFont="1" applyBorder="1"/>
    <xf numFmtId="0" fontId="9" fillId="0" borderId="11" xfId="4" applyFont="1" applyBorder="1" applyAlignment="1">
      <alignment horizontal="center"/>
    </xf>
    <xf numFmtId="4" fontId="9" fillId="0" borderId="11" xfId="4" applyNumberFormat="1" applyFont="1" applyBorder="1"/>
    <xf numFmtId="0" fontId="9" fillId="0" borderId="12" xfId="4" applyFont="1" applyBorder="1" applyAlignment="1">
      <alignment horizontal="center"/>
    </xf>
    <xf numFmtId="4" fontId="9" fillId="0" borderId="12" xfId="4" applyNumberFormat="1" applyFont="1" applyBorder="1"/>
    <xf numFmtId="0" fontId="9" fillId="0" borderId="83" xfId="4" applyFont="1" applyBorder="1"/>
    <xf numFmtId="0" fontId="63" fillId="0" borderId="28" xfId="7" applyFont="1" applyBorder="1" applyAlignment="1">
      <alignment vertical="center"/>
    </xf>
    <xf numFmtId="0" fontId="63" fillId="0" borderId="28" xfId="2" applyFont="1" applyBorder="1" applyAlignment="1">
      <alignment horizontal="left" vertical="center" wrapText="1"/>
    </xf>
    <xf numFmtId="49" fontId="63" fillId="0" borderId="28" xfId="7" applyNumberFormat="1" applyFont="1" applyBorder="1" applyAlignment="1">
      <alignment horizontal="left" vertical="center"/>
    </xf>
    <xf numFmtId="0" fontId="63" fillId="0" borderId="28" xfId="7" applyFont="1" applyBorder="1" applyAlignment="1">
      <alignment horizontal="center" vertical="center"/>
    </xf>
    <xf numFmtId="49" fontId="63" fillId="0" borderId="28" xfId="7" applyNumberFormat="1" applyFont="1" applyBorder="1" applyAlignment="1">
      <alignment vertical="center"/>
    </xf>
    <xf numFmtId="4" fontId="63" fillId="0" borderId="28" xfId="2" applyNumberFormat="1" applyFont="1" applyBorder="1" applyAlignment="1">
      <alignment horizontal="right" vertical="center"/>
    </xf>
    <xf numFmtId="0" fontId="53" fillId="0" borderId="28" xfId="7" applyFont="1" applyBorder="1" applyAlignment="1">
      <alignment vertical="center"/>
    </xf>
    <xf numFmtId="0" fontId="63" fillId="0" borderId="28" xfId="7" applyFont="1" applyBorder="1" applyAlignment="1">
      <alignment horizontal="center" vertical="center" wrapText="1"/>
    </xf>
    <xf numFmtId="0" fontId="76" fillId="0" borderId="28" xfId="7" applyFont="1" applyBorder="1" applyAlignment="1">
      <alignment horizontal="left" vertical="center" wrapText="1"/>
    </xf>
    <xf numFmtId="1" fontId="63" fillId="5" borderId="28" xfId="7" applyNumberFormat="1" applyFont="1" applyFill="1" applyBorder="1" applyAlignment="1">
      <alignment horizontal="center" vertical="center" wrapText="1"/>
    </xf>
    <xf numFmtId="0" fontId="63" fillId="5" borderId="28" xfId="7" quotePrefix="1" applyFont="1" applyFill="1" applyBorder="1" applyAlignment="1">
      <alignment vertical="center"/>
    </xf>
    <xf numFmtId="184" fontId="63" fillId="0" borderId="28" xfId="7" applyNumberFormat="1" applyFont="1" applyBorder="1" applyAlignment="1">
      <alignment vertical="center" wrapText="1"/>
    </xf>
    <xf numFmtId="4" fontId="63" fillId="5" borderId="28" xfId="7" applyNumberFormat="1" applyFont="1" applyFill="1" applyBorder="1" applyAlignment="1">
      <alignment horizontal="right" vertical="center" wrapText="1"/>
    </xf>
    <xf numFmtId="0" fontId="76" fillId="0" borderId="28" xfId="7" applyFont="1" applyBorder="1" applyAlignment="1">
      <alignment horizontal="center" vertical="center"/>
    </xf>
    <xf numFmtId="0" fontId="76" fillId="0" borderId="28" xfId="7" applyFont="1" applyBorder="1" applyAlignment="1">
      <alignment horizontal="center" vertical="center" wrapText="1"/>
    </xf>
    <xf numFmtId="0" fontId="76" fillId="0" borderId="28" xfId="7" quotePrefix="1" applyFont="1" applyBorder="1" applyAlignment="1">
      <alignment horizontal="center" vertical="center" wrapText="1"/>
    </xf>
    <xf numFmtId="14" fontId="76" fillId="0" borderId="28" xfId="7" applyNumberFormat="1" applyFont="1" applyBorder="1" applyAlignment="1">
      <alignment horizontal="center" vertical="center" wrapText="1"/>
    </xf>
    <xf numFmtId="0" fontId="76" fillId="5" borderId="28" xfId="7" applyFont="1" applyFill="1" applyBorder="1" applyAlignment="1">
      <alignment horizontal="justify" vertical="center"/>
    </xf>
    <xf numFmtId="0" fontId="78" fillId="0" borderId="28" xfId="7" applyFont="1" applyBorder="1" applyAlignment="1">
      <alignment vertical="center" wrapText="1"/>
    </xf>
    <xf numFmtId="185" fontId="78" fillId="0" borderId="28" xfId="7" applyNumberFormat="1" applyFont="1" applyBorder="1" applyAlignment="1">
      <alignment vertical="center" wrapText="1"/>
    </xf>
    <xf numFmtId="4" fontId="78" fillId="5" borderId="28" xfId="7" applyNumberFormat="1" applyFont="1" applyFill="1" applyBorder="1" applyAlignment="1">
      <alignment horizontal="right" vertical="center" wrapText="1"/>
    </xf>
    <xf numFmtId="0" fontId="63" fillId="14" borderId="28" xfId="7" applyFont="1" applyFill="1" applyBorder="1" applyAlignment="1">
      <alignment horizontal="center" vertical="center"/>
    </xf>
    <xf numFmtId="0" fontId="63" fillId="5" borderId="28" xfId="7" applyFont="1" applyFill="1" applyBorder="1" applyAlignment="1">
      <alignment vertical="center"/>
    </xf>
    <xf numFmtId="186" fontId="63" fillId="5" borderId="28" xfId="7" applyNumberFormat="1" applyFont="1" applyFill="1" applyBorder="1" applyAlignment="1">
      <alignment horizontal="center" vertical="center"/>
    </xf>
    <xf numFmtId="4" fontId="63" fillId="5" borderId="28" xfId="7" applyNumberFormat="1" applyFont="1" applyFill="1" applyBorder="1" applyAlignment="1">
      <alignment horizontal="right" vertical="center"/>
    </xf>
    <xf numFmtId="164" fontId="63" fillId="5" borderId="28" xfId="7" applyNumberFormat="1" applyFont="1" applyFill="1" applyBorder="1" applyAlignment="1">
      <alignment vertical="center"/>
    </xf>
    <xf numFmtId="0" fontId="76" fillId="0" borderId="28" xfId="4" applyFont="1" applyBorder="1" applyAlignment="1">
      <alignment horizontal="center" vertical="center" wrapText="1"/>
    </xf>
    <xf numFmtId="0" fontId="76" fillId="0" borderId="28" xfId="4" applyFont="1" applyBorder="1" applyAlignment="1">
      <alignment horizontal="center" vertical="center"/>
    </xf>
    <xf numFmtId="17" fontId="76" fillId="0" borderId="28" xfId="4" applyNumberFormat="1" applyFont="1" applyBorder="1" applyAlignment="1">
      <alignment horizontal="center" vertical="center" wrapText="1"/>
    </xf>
    <xf numFmtId="4" fontId="63" fillId="5" borderId="28" xfId="7" applyNumberFormat="1" applyFont="1" applyFill="1" applyBorder="1" applyAlignment="1">
      <alignment vertical="center"/>
    </xf>
    <xf numFmtId="0" fontId="63" fillId="14" borderId="28" xfId="7" applyFont="1" applyFill="1" applyBorder="1" applyAlignment="1">
      <alignment horizontal="justify" vertical="center"/>
    </xf>
    <xf numFmtId="187" fontId="76" fillId="5" borderId="28" xfId="7" applyNumberFormat="1" applyFont="1" applyFill="1" applyBorder="1" applyAlignment="1">
      <alignment horizontal="right" vertical="center"/>
    </xf>
    <xf numFmtId="0" fontId="63" fillId="14" borderId="28" xfId="7" applyFont="1" applyFill="1" applyBorder="1" applyAlignment="1">
      <alignment horizontal="left" vertical="center"/>
    </xf>
    <xf numFmtId="0" fontId="76" fillId="0" borderId="28" xfId="7" applyFont="1" applyBorder="1" applyAlignment="1">
      <alignment horizontal="justify" vertical="center"/>
    </xf>
    <xf numFmtId="14" fontId="63" fillId="5" borderId="28" xfId="7" applyNumberFormat="1" applyFont="1" applyFill="1" applyBorder="1" applyAlignment="1">
      <alignment horizontal="center" vertical="center"/>
    </xf>
    <xf numFmtId="0" fontId="80" fillId="5" borderId="28" xfId="7" applyFont="1" applyFill="1" applyBorder="1" applyAlignment="1">
      <alignment horizontal="center" vertical="center"/>
    </xf>
    <xf numFmtId="188" fontId="63" fillId="5" borderId="28" xfId="7" applyNumberFormat="1" applyFont="1" applyFill="1" applyBorder="1" applyAlignment="1">
      <alignment horizontal="center" vertical="center"/>
    </xf>
    <xf numFmtId="14" fontId="76" fillId="5" borderId="28" xfId="7" applyNumberFormat="1" applyFont="1" applyFill="1" applyBorder="1" applyAlignment="1">
      <alignment horizontal="center" vertical="center"/>
    </xf>
    <xf numFmtId="0" fontId="76" fillId="0" borderId="28" xfId="4" applyFont="1" applyBorder="1" applyAlignment="1">
      <alignment horizontal="left" vertical="center" wrapText="1"/>
    </xf>
    <xf numFmtId="0" fontId="76" fillId="5" borderId="28" xfId="7" applyFont="1" applyFill="1" applyBorder="1" applyAlignment="1">
      <alignment horizontal="left" vertical="center"/>
    </xf>
    <xf numFmtId="0" fontId="76" fillId="5" borderId="28" xfId="7" applyFont="1" applyFill="1" applyBorder="1" applyAlignment="1">
      <alignment horizontal="center" vertical="center"/>
    </xf>
    <xf numFmtId="0" fontId="63" fillId="5" borderId="28" xfId="7" applyFont="1" applyFill="1" applyBorder="1" applyAlignment="1">
      <alignment horizontal="center" vertical="center"/>
    </xf>
    <xf numFmtId="0" fontId="76" fillId="0" borderId="28" xfId="7" applyFont="1" applyBorder="1" applyAlignment="1">
      <alignment vertical="center"/>
    </xf>
    <xf numFmtId="4" fontId="76" fillId="5" borderId="28" xfId="7" applyNumberFormat="1" applyFont="1" applyFill="1" applyBorder="1" applyAlignment="1">
      <alignment horizontal="right" vertical="center"/>
    </xf>
    <xf numFmtId="0" fontId="76" fillId="0" borderId="28" xfId="7" applyFont="1" applyBorder="1" applyAlignment="1">
      <alignment horizontal="left" vertical="center"/>
    </xf>
    <xf numFmtId="49" fontId="76" fillId="0" borderId="28" xfId="7" applyNumberFormat="1" applyFont="1" applyBorder="1" applyAlignment="1">
      <alignment vertical="center"/>
    </xf>
    <xf numFmtId="4" fontId="76" fillId="5" borderId="28" xfId="7" applyNumberFormat="1" applyFont="1" applyFill="1" applyBorder="1" applyAlignment="1">
      <alignment vertical="center"/>
    </xf>
    <xf numFmtId="0" fontId="78" fillId="0" borderId="28" xfId="7" applyFont="1" applyBorder="1" applyAlignment="1">
      <alignment horizontal="center" vertical="center" wrapText="1"/>
    </xf>
    <xf numFmtId="4" fontId="78" fillId="5" borderId="28" xfId="7" applyNumberFormat="1" applyFont="1" applyFill="1" applyBorder="1" applyAlignment="1">
      <alignment vertical="center" wrapText="1"/>
    </xf>
    <xf numFmtId="14" fontId="63" fillId="14" borderId="28" xfId="7" applyNumberFormat="1" applyFont="1" applyFill="1" applyBorder="1" applyAlignment="1">
      <alignment horizontal="center" vertical="center"/>
    </xf>
    <xf numFmtId="14" fontId="78" fillId="0" borderId="28" xfId="7" applyNumberFormat="1" applyFont="1" applyBorder="1" applyAlignment="1">
      <alignment horizontal="justify" vertical="center"/>
    </xf>
    <xf numFmtId="0" fontId="78" fillId="0" borderId="28" xfId="7" applyFont="1" applyBorder="1" applyAlignment="1">
      <alignment horizontal="justify" vertical="center" wrapText="1"/>
    </xf>
    <xf numFmtId="0" fontId="76" fillId="0" borderId="28" xfId="7" quotePrefix="1" applyFont="1" applyBorder="1" applyAlignment="1">
      <alignment horizontal="center" vertical="center"/>
    </xf>
    <xf numFmtId="4" fontId="76" fillId="0" borderId="28" xfId="7" applyNumberFormat="1" applyFont="1" applyBorder="1" applyAlignment="1">
      <alignment vertical="center"/>
    </xf>
    <xf numFmtId="0" fontId="76" fillId="14" borderId="28" xfId="7" applyFont="1" applyFill="1" applyBorder="1" applyAlignment="1">
      <alignment horizontal="justify" vertical="center" wrapText="1"/>
    </xf>
    <xf numFmtId="0" fontId="76" fillId="14" borderId="28" xfId="7" applyFont="1" applyFill="1" applyBorder="1" applyAlignment="1">
      <alignment horizontal="center" vertical="center"/>
    </xf>
    <xf numFmtId="0" fontId="76" fillId="14" borderId="28" xfId="7" quotePrefix="1" applyFont="1" applyFill="1" applyBorder="1" applyAlignment="1">
      <alignment horizontal="center" vertical="center"/>
    </xf>
    <xf numFmtId="0" fontId="76" fillId="14" borderId="28" xfId="7" applyFont="1" applyFill="1" applyBorder="1" applyAlignment="1">
      <alignment horizontal="justify" vertical="center"/>
    </xf>
    <xf numFmtId="4" fontId="76" fillId="14" borderId="28" xfId="7" applyNumberFormat="1" applyFont="1" applyFill="1" applyBorder="1" applyAlignment="1">
      <alignment horizontal="right" vertical="center" wrapText="1"/>
    </xf>
    <xf numFmtId="4" fontId="76" fillId="14" borderId="28" xfId="7" applyNumberFormat="1" applyFont="1" applyFill="1" applyBorder="1" applyAlignment="1">
      <alignment horizontal="left" vertical="center" wrapText="1"/>
    </xf>
    <xf numFmtId="4" fontId="76" fillId="5" borderId="28" xfId="7" quotePrefix="1" applyNumberFormat="1" applyFont="1" applyFill="1" applyBorder="1" applyAlignment="1">
      <alignment horizontal="center" vertical="center" wrapText="1"/>
    </xf>
    <xf numFmtId="0" fontId="76" fillId="0" borderId="28" xfId="4" quotePrefix="1" applyFont="1" applyBorder="1" applyAlignment="1">
      <alignment horizontal="center" vertical="center" wrapText="1"/>
    </xf>
    <xf numFmtId="4" fontId="79" fillId="5" borderId="28" xfId="7" applyNumberFormat="1" applyFont="1" applyFill="1" applyBorder="1" applyAlignment="1">
      <alignment vertical="center"/>
    </xf>
    <xf numFmtId="189" fontId="76" fillId="0" borderId="28" xfId="4" applyNumberFormat="1" applyFont="1" applyBorder="1" applyAlignment="1">
      <alignment horizontal="center" vertical="center" wrapText="1"/>
    </xf>
    <xf numFmtId="0" fontId="76" fillId="0" borderId="28" xfId="4" applyFont="1" applyFill="1" applyBorder="1" applyAlignment="1">
      <alignment horizontal="center" vertical="center"/>
    </xf>
    <xf numFmtId="4" fontId="75" fillId="3" borderId="28" xfId="7" applyNumberFormat="1" applyFont="1" applyFill="1" applyBorder="1" applyAlignment="1">
      <alignment vertical="center"/>
    </xf>
    <xf numFmtId="4" fontId="75" fillId="8" borderId="28" xfId="7" applyNumberFormat="1" applyFont="1" applyFill="1" applyBorder="1" applyAlignment="1">
      <alignment vertical="center"/>
    </xf>
    <xf numFmtId="0" fontId="3" fillId="0" borderId="28" xfId="2" applyFont="1" applyFill="1" applyBorder="1" applyAlignment="1">
      <alignment horizontal="left" vertical="center" wrapText="1"/>
    </xf>
    <xf numFmtId="3" fontId="9" fillId="0" borderId="28" xfId="2" applyNumberFormat="1" applyFont="1" applyFill="1" applyBorder="1" applyAlignment="1">
      <alignment horizontal="left" vertical="center" wrapText="1"/>
    </xf>
    <xf numFmtId="4" fontId="10" fillId="2" borderId="9" xfId="2" applyNumberFormat="1" applyFont="1" applyFill="1" applyBorder="1" applyAlignment="1">
      <alignment vertical="center"/>
    </xf>
    <xf numFmtId="0" fontId="10" fillId="2" borderId="84" xfId="2" applyFont="1" applyFill="1" applyBorder="1" applyAlignment="1">
      <alignment vertical="center"/>
    </xf>
    <xf numFmtId="3" fontId="9" fillId="0" borderId="14" xfId="4" applyNumberFormat="1" applyFont="1" applyBorder="1"/>
    <xf numFmtId="0" fontId="10" fillId="0" borderId="14" xfId="4" applyFont="1" applyBorder="1"/>
    <xf numFmtId="0" fontId="9" fillId="0" borderId="4" xfId="4" applyFont="1" applyBorder="1" applyAlignment="1">
      <alignment horizontal="center"/>
    </xf>
    <xf numFmtId="3" fontId="9" fillId="0" borderId="0" xfId="4" applyNumberFormat="1" applyFont="1" applyBorder="1" applyAlignment="1">
      <alignment horizontal="center"/>
    </xf>
    <xf numFmtId="3" fontId="9" fillId="0" borderId="14" xfId="4" applyNumberFormat="1" applyFont="1" applyBorder="1" applyAlignment="1">
      <alignment horizontal="center"/>
    </xf>
    <xf numFmtId="1" fontId="9" fillId="0" borderId="0" xfId="4" applyNumberFormat="1" applyFont="1" applyBorder="1" applyAlignment="1">
      <alignment horizontal="center"/>
    </xf>
    <xf numFmtId="4" fontId="9" fillId="0" borderId="0" xfId="4" applyNumberFormat="1" applyFont="1" applyBorder="1" applyAlignment="1">
      <alignment horizontal="right"/>
    </xf>
    <xf numFmtId="4" fontId="9" fillId="0" borderId="14" xfId="4" applyNumberFormat="1" applyFont="1" applyBorder="1" applyAlignment="1">
      <alignment horizontal="right"/>
    </xf>
    <xf numFmtId="4" fontId="9" fillId="0" borderId="0" xfId="4" applyNumberFormat="1" applyFont="1" applyBorder="1"/>
    <xf numFmtId="0" fontId="3" fillId="0" borderId="14" xfId="4" applyFont="1" applyBorder="1" applyAlignment="1">
      <alignment wrapText="1"/>
    </xf>
    <xf numFmtId="4" fontId="9" fillId="0" borderId="0" xfId="4" applyNumberFormat="1" applyFont="1" applyBorder="1" applyAlignment="1">
      <alignment horizontal="center"/>
    </xf>
    <xf numFmtId="4" fontId="9" fillId="0" borderId="14" xfId="4" applyNumberFormat="1" applyFont="1" applyBorder="1" applyAlignment="1">
      <alignment horizontal="center"/>
    </xf>
    <xf numFmtId="4" fontId="9" fillId="0" borderId="0" xfId="4" applyNumberFormat="1" applyFont="1"/>
    <xf numFmtId="4" fontId="2" fillId="0" borderId="0" xfId="4" applyNumberFormat="1" applyFont="1" applyBorder="1"/>
    <xf numFmtId="4" fontId="2" fillId="0" borderId="14" xfId="4" applyNumberFormat="1" applyFont="1" applyBorder="1"/>
    <xf numFmtId="0" fontId="9" fillId="0" borderId="0" xfId="4" applyFont="1" applyBorder="1" applyAlignment="1">
      <alignment horizontal="center"/>
    </xf>
    <xf numFmtId="0" fontId="9" fillId="0" borderId="83" xfId="4" applyFont="1" applyBorder="1" applyAlignment="1">
      <alignment horizontal="center"/>
    </xf>
    <xf numFmtId="3" fontId="9" fillId="0" borderId="3" xfId="2" applyNumberFormat="1" applyFont="1" applyFill="1" applyBorder="1" applyAlignment="1">
      <alignment horizontal="right" vertical="center"/>
    </xf>
    <xf numFmtId="0" fontId="9" fillId="0" borderId="3" xfId="2" applyFont="1" applyFill="1" applyBorder="1" applyAlignment="1">
      <alignment horizontal="left" vertical="center"/>
    </xf>
    <xf numFmtId="0" fontId="9" fillId="0" borderId="4" xfId="2" applyFont="1" applyFill="1" applyBorder="1" applyAlignment="1">
      <alignment vertical="center"/>
    </xf>
    <xf numFmtId="0" fontId="9" fillId="0" borderId="14" xfId="2" applyFont="1" applyFill="1" applyBorder="1" applyAlignment="1">
      <alignment vertical="center"/>
    </xf>
    <xf numFmtId="0" fontId="9" fillId="0" borderId="3" xfId="2" applyFont="1" applyFill="1" applyBorder="1" applyAlignment="1">
      <alignment vertical="center"/>
    </xf>
    <xf numFmtId="3" fontId="9" fillId="0" borderId="3" xfId="2" applyNumberFormat="1" applyFont="1" applyBorder="1" applyAlignment="1">
      <alignment horizontal="right" vertical="center"/>
    </xf>
    <xf numFmtId="3" fontId="10" fillId="2" borderId="19" xfId="2" applyNumberFormat="1" applyFont="1" applyFill="1" applyBorder="1" applyAlignment="1">
      <alignment horizontal="right" vertical="center"/>
    </xf>
    <xf numFmtId="0" fontId="9" fillId="0" borderId="4" xfId="4" quotePrefix="1" applyFont="1" applyBorder="1"/>
    <xf numFmtId="3" fontId="10" fillId="0" borderId="19" xfId="4" applyNumberFormat="1" applyFont="1" applyBorder="1"/>
    <xf numFmtId="0" fontId="10" fillId="0" borderId="5" xfId="4" applyFont="1" applyBorder="1"/>
    <xf numFmtId="0" fontId="10" fillId="0" borderId="4" xfId="2" applyFont="1" applyFill="1" applyBorder="1" applyAlignment="1">
      <alignment horizontal="left" vertical="center"/>
    </xf>
    <xf numFmtId="0" fontId="9" fillId="0" borderId="4" xfId="4" applyFont="1" applyBorder="1" applyAlignment="1">
      <alignment horizontal="center" vertical="center" wrapText="1"/>
    </xf>
    <xf numFmtId="3" fontId="9" fillId="0" borderId="4" xfId="4" applyNumberFormat="1" applyFont="1" applyBorder="1" applyAlignment="1">
      <alignment horizontal="center" vertical="center" wrapText="1"/>
    </xf>
    <xf numFmtId="3" fontId="9" fillId="0" borderId="4" xfId="4" applyNumberFormat="1" applyFont="1" applyBorder="1" applyAlignment="1"/>
    <xf numFmtId="3" fontId="9" fillId="0" borderId="0" xfId="4" applyNumberFormat="1" applyFont="1" applyBorder="1" applyAlignment="1"/>
    <xf numFmtId="3" fontId="9" fillId="0" borderId="14" xfId="4" applyNumberFormat="1" applyFont="1" applyBorder="1" applyAlignment="1"/>
    <xf numFmtId="0" fontId="9" fillId="0" borderId="5" xfId="4" applyFont="1" applyBorder="1"/>
    <xf numFmtId="174" fontId="10" fillId="0" borderId="50" xfId="17" applyFont="1" applyFill="1" applyBorder="1" applyAlignment="1">
      <alignment vertical="center"/>
    </xf>
    <xf numFmtId="174" fontId="10" fillId="2" borderId="42" xfId="2" applyNumberFormat="1" applyFont="1" applyFill="1" applyBorder="1" applyAlignment="1">
      <alignment vertical="center"/>
    </xf>
    <xf numFmtId="0" fontId="10" fillId="0" borderId="56" xfId="2" applyFont="1" applyFill="1" applyBorder="1" applyAlignment="1">
      <alignment vertical="center" wrapText="1"/>
    </xf>
    <xf numFmtId="174" fontId="9" fillId="0" borderId="50" xfId="17" applyFont="1" applyFill="1" applyBorder="1" applyAlignment="1">
      <alignment vertical="center" wrapText="1"/>
    </xf>
    <xf numFmtId="0" fontId="9" fillId="0" borderId="55" xfId="2" applyFont="1" applyFill="1" applyBorder="1" applyAlignment="1">
      <alignment vertical="center" wrapText="1"/>
    </xf>
    <xf numFmtId="0" fontId="9" fillId="0" borderId="50" xfId="2" applyFont="1" applyFill="1" applyBorder="1" applyAlignment="1">
      <alignment vertical="center" wrapText="1"/>
    </xf>
    <xf numFmtId="0" fontId="9" fillId="0" borderId="14" xfId="4" applyFont="1" applyFill="1" applyBorder="1"/>
    <xf numFmtId="0" fontId="9" fillId="0" borderId="4" xfId="4" applyFont="1" applyFill="1" applyBorder="1"/>
    <xf numFmtId="3" fontId="9" fillId="0" borderId="4" xfId="4" applyNumberFormat="1" applyFont="1" applyFill="1" applyBorder="1"/>
    <xf numFmtId="3" fontId="9" fillId="0" borderId="0" xfId="4" applyNumberFormat="1" applyFont="1" applyFill="1" applyBorder="1"/>
    <xf numFmtId="3" fontId="9" fillId="0" borderId="14" xfId="4" applyNumberFormat="1" applyFont="1" applyFill="1" applyBorder="1"/>
    <xf numFmtId="4" fontId="9" fillId="0" borderId="4" xfId="4" applyNumberFormat="1" applyFont="1" applyFill="1" applyBorder="1"/>
    <xf numFmtId="3" fontId="9" fillId="0" borderId="14" xfId="4" applyNumberFormat="1" applyFont="1" applyFill="1" applyBorder="1" applyAlignment="1"/>
    <xf numFmtId="4" fontId="9" fillId="0" borderId="5" xfId="4" applyNumberFormat="1" applyFont="1" applyBorder="1"/>
    <xf numFmtId="0" fontId="9" fillId="0" borderId="0" xfId="2" applyFont="1" applyFill="1" applyBorder="1" applyAlignment="1">
      <alignment horizontal="left" vertical="center" wrapText="1"/>
    </xf>
    <xf numFmtId="175" fontId="9" fillId="0" borderId="3" xfId="2" applyNumberFormat="1" applyFont="1" applyFill="1" applyBorder="1" applyAlignment="1">
      <alignment horizontal="right" vertical="center" wrapText="1"/>
    </xf>
    <xf numFmtId="0" fontId="9" fillId="0" borderId="3" xfId="2" applyFont="1" applyFill="1" applyBorder="1" applyAlignment="1">
      <alignment horizontal="left" vertical="center" wrapText="1"/>
    </xf>
    <xf numFmtId="14" fontId="9" fillId="0" borderId="4" xfId="2" applyNumberFormat="1" applyFont="1" applyFill="1" applyBorder="1" applyAlignment="1">
      <alignment vertical="center" wrapText="1"/>
    </xf>
    <xf numFmtId="0" fontId="9" fillId="0" borderId="3" xfId="2" applyFont="1" applyFill="1" applyBorder="1" applyAlignment="1">
      <alignment vertical="center" wrapText="1"/>
    </xf>
    <xf numFmtId="0" fontId="9" fillId="0" borderId="0" xfId="2" applyFont="1" applyBorder="1" applyAlignment="1">
      <alignment horizontal="center" vertical="center" wrapText="1"/>
    </xf>
    <xf numFmtId="0" fontId="9" fillId="0" borderId="3" xfId="2" applyFont="1" applyBorder="1" applyAlignment="1">
      <alignment horizontal="center" vertical="center" wrapText="1"/>
    </xf>
    <xf numFmtId="0" fontId="10" fillId="2" borderId="11" xfId="2" applyFont="1" applyFill="1" applyBorder="1" applyAlignment="1">
      <alignment horizontal="center" vertical="center" wrapText="1"/>
    </xf>
    <xf numFmtId="0" fontId="10" fillId="2" borderId="7" xfId="2" applyFont="1" applyFill="1" applyBorder="1" applyAlignment="1">
      <alignment horizontal="center" vertical="center" wrapText="1"/>
    </xf>
    <xf numFmtId="0" fontId="10" fillId="2" borderId="5" xfId="2" applyFont="1" applyFill="1" applyBorder="1" applyAlignment="1">
      <alignment horizontal="center" vertical="center" wrapText="1"/>
    </xf>
    <xf numFmtId="0" fontId="10" fillId="2" borderId="20" xfId="2" applyFont="1" applyFill="1" applyBorder="1" applyAlignment="1">
      <alignment horizontal="center" vertical="center" wrapText="1"/>
    </xf>
    <xf numFmtId="0" fontId="10" fillId="2" borderId="19" xfId="2" applyFont="1" applyFill="1" applyBorder="1" applyAlignment="1">
      <alignment horizontal="center" vertical="center" wrapText="1"/>
    </xf>
    <xf numFmtId="0" fontId="10" fillId="2" borderId="5" xfId="2" applyFont="1" applyFill="1" applyBorder="1" applyAlignment="1">
      <alignment vertical="center" wrapText="1"/>
    </xf>
    <xf numFmtId="0" fontId="10" fillId="2" borderId="18" xfId="2" applyFont="1" applyFill="1" applyBorder="1" applyAlignment="1">
      <alignment vertical="center" wrapText="1"/>
    </xf>
    <xf numFmtId="0" fontId="9" fillId="0" borderId="14" xfId="2" applyFont="1" applyFill="1" applyBorder="1" applyAlignment="1">
      <alignment horizontal="left" vertical="top" wrapText="1"/>
    </xf>
    <xf numFmtId="43" fontId="9" fillId="0" borderId="50" xfId="5" applyFont="1" applyFill="1" applyBorder="1" applyAlignment="1">
      <alignment vertical="center" wrapText="1"/>
    </xf>
    <xf numFmtId="0" fontId="9" fillId="0" borderId="56" xfId="2" applyFont="1" applyFill="1" applyBorder="1" applyAlignment="1">
      <alignment horizontal="left" vertical="center" wrapText="1"/>
    </xf>
    <xf numFmtId="175" fontId="9" fillId="0" borderId="4" xfId="4" applyNumberFormat="1" applyFont="1" applyBorder="1"/>
    <xf numFmtId="1" fontId="9" fillId="0" borderId="14" xfId="4" applyNumberFormat="1" applyFont="1" applyBorder="1"/>
    <xf numFmtId="1" fontId="9" fillId="0" borderId="14" xfId="4" applyNumberFormat="1" applyFont="1" applyBorder="1" applyAlignment="1"/>
    <xf numFmtId="0" fontId="10" fillId="0" borderId="20" xfId="4" applyFont="1" applyBorder="1"/>
    <xf numFmtId="175" fontId="10" fillId="0" borderId="20" xfId="4" applyNumberFormat="1" applyFont="1" applyBorder="1"/>
    <xf numFmtId="175" fontId="10" fillId="0" borderId="5" xfId="4" applyNumberFormat="1" applyFont="1" applyBorder="1"/>
    <xf numFmtId="0" fontId="44" fillId="0" borderId="50" xfId="2" applyFont="1" applyFill="1" applyBorder="1" applyAlignment="1">
      <alignment horizontal="center" vertical="center" wrapText="1"/>
    </xf>
    <xf numFmtId="0" fontId="44" fillId="0" borderId="50" xfId="2" applyFont="1" applyFill="1" applyBorder="1" applyAlignment="1">
      <alignment horizontal="center" vertical="center"/>
    </xf>
    <xf numFmtId="174" fontId="44" fillId="0" borderId="50" xfId="2" applyNumberFormat="1" applyFont="1" applyFill="1" applyBorder="1" applyAlignment="1">
      <alignment horizontal="left" vertical="center"/>
    </xf>
    <xf numFmtId="14" fontId="44" fillId="0" borderId="50" xfId="2" quotePrefix="1" applyNumberFormat="1" applyFont="1" applyFill="1" applyBorder="1" applyAlignment="1">
      <alignment horizontal="center" vertical="center"/>
    </xf>
    <xf numFmtId="188" fontId="44" fillId="0" borderId="50" xfId="2" applyNumberFormat="1" applyFont="1" applyFill="1" applyBorder="1" applyAlignment="1">
      <alignment horizontal="center" vertical="center"/>
    </xf>
    <xf numFmtId="0" fontId="44" fillId="0" borderId="50" xfId="2" applyFont="1" applyFill="1" applyBorder="1" applyAlignment="1">
      <alignment vertical="center" wrapText="1"/>
    </xf>
    <xf numFmtId="14" fontId="44" fillId="0" borderId="50" xfId="2" applyNumberFormat="1" applyFont="1" applyFill="1" applyBorder="1" applyAlignment="1">
      <alignment horizontal="center" vertical="center"/>
    </xf>
    <xf numFmtId="174" fontId="44" fillId="0" borderId="50" xfId="2" applyNumberFormat="1" applyFont="1" applyFill="1" applyBorder="1" applyAlignment="1">
      <alignment vertical="center"/>
    </xf>
    <xf numFmtId="0" fontId="68" fillId="0" borderId="50" xfId="2" applyFont="1" applyBorder="1" applyAlignment="1">
      <alignment horizontal="left" vertical="center"/>
    </xf>
    <xf numFmtId="0" fontId="44" fillId="0" borderId="50" xfId="2" applyFont="1" applyBorder="1" applyAlignment="1">
      <alignment horizontal="center" vertical="center"/>
    </xf>
    <xf numFmtId="174" fontId="44" fillId="0" borderId="50" xfId="2" applyNumberFormat="1" applyFont="1" applyBorder="1" applyAlignment="1">
      <alignment horizontal="center" vertical="center"/>
    </xf>
    <xf numFmtId="14" fontId="44" fillId="0" borderId="50" xfId="2" applyNumberFormat="1" applyFont="1" applyBorder="1" applyAlignment="1">
      <alignment horizontal="center" vertical="center"/>
    </xf>
    <xf numFmtId="188" fontId="44" fillId="0" borderId="50" xfId="2" applyNumberFormat="1" applyFont="1" applyBorder="1" applyAlignment="1">
      <alignment horizontal="center" vertical="center"/>
    </xf>
    <xf numFmtId="0" fontId="44" fillId="0" borderId="50" xfId="2" applyFont="1" applyBorder="1" applyAlignment="1">
      <alignment vertical="center"/>
    </xf>
    <xf numFmtId="0" fontId="44" fillId="0" borderId="28" xfId="2" applyFont="1" applyFill="1" applyBorder="1" applyAlignment="1">
      <alignment horizontal="left" vertical="center" wrapText="1"/>
    </xf>
    <xf numFmtId="0" fontId="44" fillId="0" borderId="28" xfId="2" applyFont="1" applyFill="1" applyBorder="1" applyAlignment="1">
      <alignment horizontal="center" vertical="center" wrapText="1"/>
    </xf>
    <xf numFmtId="174" fontId="44" fillId="0" borderId="28" xfId="2" applyNumberFormat="1" applyFont="1" applyFill="1" applyBorder="1" applyAlignment="1">
      <alignment horizontal="center" vertical="center" wrapText="1"/>
    </xf>
    <xf numFmtId="14" fontId="44" fillId="0" borderId="28" xfId="2" applyNumberFormat="1" applyFont="1" applyFill="1" applyBorder="1" applyAlignment="1">
      <alignment horizontal="center" vertical="center" wrapText="1"/>
    </xf>
    <xf numFmtId="0" fontId="44" fillId="0" borderId="28" xfId="2" applyFont="1" applyFill="1" applyBorder="1" applyAlignment="1">
      <alignment horizontal="center" vertical="center"/>
    </xf>
    <xf numFmtId="174" fontId="44" fillId="0" borderId="28" xfId="2" applyNumberFormat="1" applyFont="1" applyFill="1" applyBorder="1" applyAlignment="1">
      <alignment horizontal="left" vertical="center"/>
    </xf>
    <xf numFmtId="14" fontId="44" fillId="0" borderId="28" xfId="2" applyNumberFormat="1" applyFont="1" applyFill="1" applyBorder="1" applyAlignment="1">
      <alignment horizontal="center" vertical="center"/>
    </xf>
    <xf numFmtId="14" fontId="44" fillId="0" borderId="28" xfId="2" quotePrefix="1" applyNumberFormat="1" applyFont="1" applyFill="1" applyBorder="1" applyAlignment="1">
      <alignment horizontal="center" vertical="center"/>
    </xf>
    <xf numFmtId="188" fontId="44" fillId="0" borderId="28" xfId="2" applyNumberFormat="1" applyFont="1" applyFill="1" applyBorder="1" applyAlignment="1">
      <alignment horizontal="center" vertical="center"/>
    </xf>
    <xf numFmtId="0" fontId="44" fillId="0" borderId="28" xfId="2" applyFont="1" applyFill="1" applyBorder="1" applyAlignment="1">
      <alignment vertical="center" wrapText="1"/>
    </xf>
    <xf numFmtId="0" fontId="44" fillId="0" borderId="28" xfId="2" quotePrefix="1" applyFont="1" applyFill="1" applyBorder="1" applyAlignment="1">
      <alignment horizontal="center" vertical="center"/>
    </xf>
    <xf numFmtId="0" fontId="44" fillId="0" borderId="28" xfId="2" quotePrefix="1" applyFont="1" applyFill="1" applyBorder="1" applyAlignment="1">
      <alignment vertical="center"/>
    </xf>
    <xf numFmtId="0" fontId="9" fillId="0" borderId="35" xfId="12" applyFont="1" applyBorder="1"/>
    <xf numFmtId="3" fontId="9" fillId="0" borderId="35" xfId="12" applyNumberFormat="1" applyFont="1" applyBorder="1"/>
    <xf numFmtId="49" fontId="9" fillId="0" borderId="35" xfId="12" applyNumberFormat="1" applyFont="1" applyBorder="1" applyAlignment="1">
      <alignment horizontal="center"/>
    </xf>
    <xf numFmtId="190" fontId="9" fillId="0" borderId="35" xfId="12" applyNumberFormat="1" applyFont="1" applyBorder="1"/>
    <xf numFmtId="0" fontId="9" fillId="0" borderId="50" xfId="12" applyFont="1" applyBorder="1" applyAlignment="1">
      <alignment vertical="center"/>
    </xf>
    <xf numFmtId="0" fontId="9" fillId="0" borderId="50" xfId="12" applyFont="1" applyBorder="1" applyAlignment="1">
      <alignment horizontal="center" vertical="center"/>
    </xf>
    <xf numFmtId="3" fontId="9" fillId="0" borderId="50" xfId="12" applyNumberFormat="1" applyFont="1" applyBorder="1" applyAlignment="1">
      <alignment vertical="center"/>
    </xf>
    <xf numFmtId="49" fontId="9" fillId="0" borderId="50" xfId="12" applyNumberFormat="1" applyFont="1" applyBorder="1" applyAlignment="1">
      <alignment horizontal="center" vertical="center"/>
    </xf>
    <xf numFmtId="190" fontId="9" fillId="0" borderId="50" xfId="12" applyNumberFormat="1" applyFont="1" applyBorder="1" applyAlignment="1">
      <alignment vertical="center"/>
    </xf>
    <xf numFmtId="0" fontId="9" fillId="0" borderId="23" xfId="12" applyFont="1" applyBorder="1" applyAlignment="1">
      <alignment vertical="center"/>
    </xf>
    <xf numFmtId="0" fontId="9" fillId="0" borderId="23" xfId="12" applyFont="1" applyBorder="1" applyAlignment="1">
      <alignment horizontal="center" vertical="center"/>
    </xf>
    <xf numFmtId="3" fontId="9" fillId="0" borderId="23" xfId="12" applyNumberFormat="1" applyFont="1" applyBorder="1" applyAlignment="1">
      <alignment vertical="center"/>
    </xf>
    <xf numFmtId="49" fontId="9" fillId="0" borderId="23" xfId="12" applyNumberFormat="1" applyFont="1" applyBorder="1" applyAlignment="1">
      <alignment vertical="center"/>
    </xf>
    <xf numFmtId="49" fontId="9" fillId="0" borderId="23" xfId="12" applyNumberFormat="1" applyFont="1" applyBorder="1" applyAlignment="1">
      <alignment horizontal="center" vertical="center"/>
    </xf>
    <xf numFmtId="190" fontId="9" fillId="0" borderId="23" xfId="12" applyNumberFormat="1" applyFont="1" applyBorder="1" applyAlignment="1">
      <alignment vertical="center"/>
    </xf>
    <xf numFmtId="0" fontId="10" fillId="0" borderId="7" xfId="12" applyFont="1" applyBorder="1" applyAlignment="1">
      <alignment horizontal="center"/>
    </xf>
    <xf numFmtId="0" fontId="10" fillId="0" borderId="11" xfId="12" applyFont="1" applyBorder="1" applyAlignment="1">
      <alignment horizontal="center"/>
    </xf>
    <xf numFmtId="0" fontId="9" fillId="0" borderId="83" xfId="12" applyFont="1" applyBorder="1"/>
    <xf numFmtId="190" fontId="9" fillId="0" borderId="11" xfId="12" applyNumberFormat="1" applyFont="1" applyBorder="1"/>
    <xf numFmtId="49" fontId="10" fillId="0" borderId="0" xfId="2" applyNumberFormat="1" applyFont="1" applyFill="1" applyBorder="1" applyAlignment="1">
      <alignment horizontal="center" vertical="center" wrapText="1"/>
    </xf>
    <xf numFmtId="4" fontId="10" fillId="0" borderId="12" xfId="2" applyNumberFormat="1" applyFont="1" applyFill="1" applyBorder="1" applyAlignment="1">
      <alignment horizontal="right" vertical="center"/>
    </xf>
    <xf numFmtId="0" fontId="10" fillId="0" borderId="3" xfId="2" applyFont="1" applyFill="1" applyBorder="1" applyAlignment="1">
      <alignment horizontal="center" vertical="center" wrapText="1"/>
    </xf>
    <xf numFmtId="14" fontId="10" fillId="0" borderId="4" xfId="2" applyNumberFormat="1" applyFont="1" applyFill="1" applyBorder="1" applyAlignment="1">
      <alignment horizontal="center" vertical="center"/>
    </xf>
    <xf numFmtId="4" fontId="10" fillId="0" borderId="14" xfId="2" applyNumberFormat="1" applyFont="1" applyFill="1" applyBorder="1" applyAlignment="1">
      <alignment horizontal="right" vertical="center"/>
    </xf>
    <xf numFmtId="0" fontId="10" fillId="0" borderId="4" xfId="2" applyFont="1" applyFill="1" applyBorder="1" applyAlignment="1">
      <alignment horizontal="center" vertical="center"/>
    </xf>
    <xf numFmtId="49" fontId="10" fillId="0" borderId="14" xfId="2" applyNumberFormat="1" applyFont="1" applyFill="1" applyBorder="1" applyAlignment="1">
      <alignment horizontal="center" vertical="center"/>
    </xf>
    <xf numFmtId="174" fontId="10" fillId="0" borderId="57" xfId="17" applyFont="1" applyFill="1" applyBorder="1" applyAlignment="1">
      <alignment vertical="center"/>
    </xf>
    <xf numFmtId="174" fontId="10" fillId="0" borderId="0" xfId="17" applyFont="1" applyFill="1" applyBorder="1" applyAlignment="1">
      <alignment vertical="center"/>
    </xf>
    <xf numFmtId="174" fontId="9" fillId="0" borderId="57" xfId="17" applyFont="1" applyBorder="1" applyAlignment="1">
      <alignment vertical="center"/>
    </xf>
    <xf numFmtId="49" fontId="9" fillId="0" borderId="4" xfId="4" applyNumberFormat="1" applyFont="1" applyBorder="1"/>
    <xf numFmtId="0" fontId="63" fillId="0" borderId="28" xfId="7" applyFont="1" applyBorder="1" applyAlignment="1">
      <alignment vertical="center" wrapText="1"/>
    </xf>
    <xf numFmtId="0" fontId="63" fillId="5" borderId="28" xfId="7" applyFont="1" applyFill="1" applyBorder="1" applyAlignment="1">
      <alignment vertical="center" wrapText="1"/>
    </xf>
    <xf numFmtId="0" fontId="10" fillId="7" borderId="28" xfId="0" applyFont="1" applyFill="1" applyBorder="1" applyAlignment="1">
      <alignment horizontal="center" vertical="center" wrapText="1"/>
    </xf>
    <xf numFmtId="164" fontId="10" fillId="7" borderId="28" xfId="0" applyNumberFormat="1" applyFont="1" applyFill="1" applyBorder="1" applyAlignment="1">
      <alignment horizontal="center" vertical="center" textRotation="90" wrapText="1"/>
    </xf>
    <xf numFmtId="0" fontId="9" fillId="0" borderId="28" xfId="0" applyFont="1" applyBorder="1" applyAlignment="1">
      <alignment vertical="center" wrapText="1"/>
    </xf>
    <xf numFmtId="15" fontId="9" fillId="0" borderId="28" xfId="0" applyNumberFormat="1" applyFont="1" applyBorder="1" applyAlignment="1">
      <alignment horizontal="center" vertical="center" wrapText="1"/>
    </xf>
    <xf numFmtId="3" fontId="9" fillId="0" borderId="28" xfId="0" applyNumberFormat="1" applyFont="1" applyBorder="1" applyAlignment="1">
      <alignment horizontal="right" vertical="center" wrapText="1"/>
    </xf>
    <xf numFmtId="0" fontId="9" fillId="0" borderId="28" xfId="7" applyFont="1" applyBorder="1" applyAlignment="1">
      <alignment vertical="center" wrapText="1"/>
    </xf>
    <xf numFmtId="0" fontId="9" fillId="0" borderId="28" xfId="7" applyFont="1" applyBorder="1" applyAlignment="1">
      <alignment horizontal="center" vertical="center" wrapText="1"/>
    </xf>
    <xf numFmtId="3" fontId="9" fillId="0" borderId="28" xfId="7" applyNumberFormat="1" applyFont="1" applyBorder="1" applyAlignment="1">
      <alignment vertical="center" wrapText="1"/>
    </xf>
    <xf numFmtId="3" fontId="9" fillId="0" borderId="28" xfId="7" applyNumberFormat="1" applyFont="1" applyBorder="1" applyAlignment="1">
      <alignment horizontal="right" vertical="center" wrapText="1"/>
    </xf>
    <xf numFmtId="0" fontId="9" fillId="0" borderId="28" xfId="7" applyFont="1" applyBorder="1" applyAlignment="1">
      <alignment horizontal="left" vertical="center" wrapText="1"/>
    </xf>
    <xf numFmtId="0" fontId="9" fillId="0" borderId="28" xfId="7" applyFont="1" applyBorder="1" applyAlignment="1">
      <alignment horizontal="right" vertical="center" wrapText="1"/>
    </xf>
    <xf numFmtId="0" fontId="63" fillId="0" borderId="28" xfId="2" applyFont="1" applyBorder="1" applyAlignment="1">
      <alignment horizontal="left" vertical="center"/>
    </xf>
    <xf numFmtId="0" fontId="63" fillId="0" borderId="28" xfId="2" applyFont="1" applyBorder="1" applyAlignment="1">
      <alignment horizontal="center" vertical="center"/>
    </xf>
    <xf numFmtId="2" fontId="63" fillId="0" borderId="28" xfId="7" applyNumberFormat="1" applyFont="1" applyBorder="1" applyAlignment="1">
      <alignment horizontal="center" vertical="center"/>
    </xf>
    <xf numFmtId="182" fontId="63" fillId="0" borderId="28" xfId="29" applyNumberFormat="1" applyFont="1" applyBorder="1" applyAlignment="1">
      <alignment vertical="center"/>
    </xf>
    <xf numFmtId="4" fontId="63" fillId="0" borderId="28" xfId="7" applyNumberFormat="1" applyFont="1" applyBorder="1" applyAlignment="1">
      <alignment horizontal="right" vertical="center"/>
    </xf>
    <xf numFmtId="4" fontId="63" fillId="0" borderId="28" xfId="7" applyNumberFormat="1" applyFont="1" applyBorder="1" applyAlignment="1">
      <alignment horizontal="center" vertical="center"/>
    </xf>
    <xf numFmtId="0" fontId="63" fillId="0" borderId="28" xfId="7" applyFont="1" applyBorder="1" applyAlignment="1">
      <alignment horizontal="left" vertical="center"/>
    </xf>
    <xf numFmtId="2" fontId="63" fillId="5" borderId="28" xfId="7" applyNumberFormat="1" applyFont="1" applyFill="1" applyBorder="1" applyAlignment="1">
      <alignment horizontal="center" vertical="center"/>
    </xf>
    <xf numFmtId="0" fontId="63" fillId="5" borderId="28" xfId="2" applyFont="1" applyFill="1" applyBorder="1" applyAlignment="1">
      <alignment horizontal="center" vertical="center"/>
    </xf>
    <xf numFmtId="49" fontId="63" fillId="5" borderId="28" xfId="7" applyNumberFormat="1" applyFont="1" applyFill="1" applyBorder="1" applyAlignment="1">
      <alignment horizontal="center" vertical="center"/>
    </xf>
    <xf numFmtId="182" fontId="63" fillId="5" borderId="28" xfId="29" applyNumberFormat="1" applyFont="1" applyFill="1" applyBorder="1" applyAlignment="1">
      <alignment vertical="center"/>
    </xf>
    <xf numFmtId="182" fontId="63" fillId="0" borderId="28" xfId="30" applyNumberFormat="1" applyFont="1" applyBorder="1" applyAlignment="1">
      <alignment horizontal="left" vertical="center"/>
    </xf>
    <xf numFmtId="0" fontId="63" fillId="0" borderId="28" xfId="2" quotePrefix="1" applyFont="1" applyBorder="1" applyAlignment="1">
      <alignment horizontal="center" vertical="center"/>
    </xf>
    <xf numFmtId="4" fontId="58" fillId="3" borderId="28" xfId="7" applyNumberFormat="1" applyFont="1" applyFill="1" applyBorder="1" applyAlignment="1">
      <alignment vertical="center"/>
    </xf>
    <xf numFmtId="0" fontId="75" fillId="5" borderId="28" xfId="7" applyFont="1" applyFill="1" applyBorder="1" applyAlignment="1">
      <alignment vertical="center"/>
    </xf>
    <xf numFmtId="4" fontId="63" fillId="5" borderId="28" xfId="7" applyNumberFormat="1" applyFont="1" applyFill="1" applyBorder="1" applyAlignment="1">
      <alignment horizontal="center" vertical="center" wrapText="1"/>
    </xf>
    <xf numFmtId="0" fontId="63" fillId="5" borderId="28" xfId="7" applyFont="1" applyFill="1" applyBorder="1" applyAlignment="1">
      <alignment horizontal="justify" vertical="center"/>
    </xf>
    <xf numFmtId="0" fontId="63" fillId="5" borderId="28" xfId="7" applyFont="1" applyFill="1" applyBorder="1" applyAlignment="1">
      <alignment horizontal="left" vertical="center"/>
    </xf>
    <xf numFmtId="164" fontId="63" fillId="0" borderId="28" xfId="7" applyNumberFormat="1" applyFont="1" applyBorder="1" applyAlignment="1">
      <alignment vertical="center"/>
    </xf>
    <xf numFmtId="0" fontId="58" fillId="0" borderId="28" xfId="7" applyFont="1" applyBorder="1" applyAlignment="1">
      <alignment vertical="center" wrapText="1"/>
    </xf>
    <xf numFmtId="0" fontId="58" fillId="0" borderId="28" xfId="7" applyFont="1" applyBorder="1" applyAlignment="1">
      <alignment vertical="center"/>
    </xf>
    <xf numFmtId="4" fontId="63" fillId="0" borderId="28" xfId="7" applyNumberFormat="1" applyFont="1" applyBorder="1" applyAlignment="1">
      <alignment vertical="center"/>
    </xf>
    <xf numFmtId="0" fontId="9" fillId="0" borderId="28" xfId="2" applyFont="1" applyBorder="1" applyAlignment="1">
      <alignment horizontal="left" vertical="center" wrapText="1"/>
    </xf>
    <xf numFmtId="49" fontId="9" fillId="0" borderId="28" xfId="2" applyNumberFormat="1" applyFont="1" applyBorder="1" applyAlignment="1">
      <alignment horizontal="center" vertical="center"/>
    </xf>
    <xf numFmtId="0" fontId="9" fillId="0" borderId="28" xfId="0" applyFont="1" applyBorder="1" applyAlignment="1">
      <alignment horizontal="center" vertical="center"/>
    </xf>
    <xf numFmtId="4" fontId="23" fillId="0" borderId="28" xfId="0" applyNumberFormat="1" applyFont="1" applyBorder="1" applyAlignment="1">
      <alignment vertical="center"/>
    </xf>
    <xf numFmtId="0" fontId="9" fillId="0" borderId="28" xfId="0" applyFont="1" applyBorder="1"/>
    <xf numFmtId="174" fontId="23" fillId="0" borderId="28" xfId="17" applyFont="1" applyBorder="1" applyAlignment="1">
      <alignment horizontal="right" vertical="center"/>
    </xf>
    <xf numFmtId="174" fontId="9" fillId="0" borderId="28" xfId="17" applyFont="1" applyBorder="1" applyAlignment="1">
      <alignment vertical="center"/>
    </xf>
    <xf numFmtId="4" fontId="82" fillId="0" borderId="28" xfId="0" applyNumberFormat="1" applyFont="1" applyBorder="1" applyAlignment="1">
      <alignment vertical="center"/>
    </xf>
    <xf numFmtId="0" fontId="9" fillId="0" borderId="28" xfId="0" applyFont="1" applyFill="1" applyBorder="1" applyAlignment="1">
      <alignment horizontal="center" vertical="center" wrapText="1"/>
    </xf>
    <xf numFmtId="0" fontId="9" fillId="0" borderId="28" xfId="0" applyFont="1" applyBorder="1" applyAlignment="1">
      <alignment vertical="center"/>
    </xf>
    <xf numFmtId="14" fontId="9" fillId="0" borderId="28" xfId="0" applyNumberFormat="1" applyFont="1" applyBorder="1" applyAlignment="1">
      <alignment horizontal="center" vertical="center" wrapText="1"/>
    </xf>
    <xf numFmtId="0" fontId="10" fillId="0" borderId="28" xfId="0" applyFont="1" applyBorder="1" applyAlignment="1">
      <alignment horizontal="center"/>
    </xf>
    <xf numFmtId="174" fontId="9" fillId="0" borderId="28" xfId="0" applyNumberFormat="1" applyFont="1" applyBorder="1"/>
    <xf numFmtId="0" fontId="9" fillId="0" borderId="28" xfId="0" applyFont="1" applyBorder="1" applyAlignment="1">
      <alignment wrapText="1"/>
    </xf>
    <xf numFmtId="0" fontId="9" fillId="0" borderId="28" xfId="2" applyFont="1" applyBorder="1" applyAlignment="1">
      <alignment horizontal="center" vertical="center"/>
    </xf>
    <xf numFmtId="0" fontId="9" fillId="0" borderId="28" xfId="4" applyFont="1" applyBorder="1" applyAlignment="1">
      <alignment horizontal="center" vertical="center"/>
    </xf>
    <xf numFmtId="0" fontId="3" fillId="0" borderId="28" xfId="4" applyFont="1" applyBorder="1" applyAlignment="1">
      <alignment horizontal="left" vertical="top" wrapText="1"/>
    </xf>
    <xf numFmtId="14" fontId="9" fillId="0" borderId="28" xfId="4" applyNumberFormat="1" applyFont="1" applyBorder="1" applyAlignment="1">
      <alignment horizontal="center" vertical="center"/>
    </xf>
    <xf numFmtId="174" fontId="9" fillId="0" borderId="28" xfId="2" applyNumberFormat="1" applyFont="1" applyBorder="1" applyAlignment="1">
      <alignment horizontal="center" vertical="center"/>
    </xf>
    <xf numFmtId="175" fontId="9" fillId="0" borderId="28" xfId="0" applyNumberFormat="1" applyFont="1" applyFill="1" applyBorder="1" applyAlignment="1">
      <alignment vertical="center"/>
    </xf>
    <xf numFmtId="175" fontId="9" fillId="0" borderId="28" xfId="0" applyNumberFormat="1" applyFont="1" applyBorder="1" applyAlignment="1">
      <alignment vertical="center"/>
    </xf>
    <xf numFmtId="0" fontId="2" fillId="5" borderId="1" xfId="0" applyFont="1" applyFill="1" applyBorder="1" applyAlignment="1">
      <alignment horizontal="left" vertical="center" wrapText="1"/>
    </xf>
    <xf numFmtId="0" fontId="2" fillId="5" borderId="76"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3" fillId="0" borderId="28" xfId="0" applyFont="1" applyFill="1" applyBorder="1" applyAlignment="1">
      <alignment horizontal="center" vertical="center" wrapText="1"/>
    </xf>
    <xf numFmtId="0" fontId="3" fillId="0" borderId="28" xfId="0" applyFont="1" applyFill="1" applyBorder="1" applyAlignment="1">
      <alignment horizontal="center" vertical="center"/>
    </xf>
    <xf numFmtId="0" fontId="2" fillId="0" borderId="28" xfId="0" applyFont="1" applyFill="1" applyBorder="1" applyAlignment="1">
      <alignment horizontal="center" vertical="center" wrapText="1"/>
    </xf>
    <xf numFmtId="0" fontId="6" fillId="7" borderId="49" xfId="0" applyFont="1" applyFill="1" applyBorder="1" applyAlignment="1">
      <alignment horizontal="center" vertical="center" wrapText="1"/>
    </xf>
    <xf numFmtId="0" fontId="6" fillId="7" borderId="23" xfId="0" applyFont="1" applyFill="1" applyBorder="1" applyAlignment="1">
      <alignment horizontal="center" vertical="center" wrapText="1"/>
    </xf>
    <xf numFmtId="0" fontId="6" fillId="7" borderId="33" xfId="0" applyFont="1" applyFill="1" applyBorder="1" applyAlignment="1">
      <alignment horizontal="center" vertical="center" wrapText="1"/>
    </xf>
    <xf numFmtId="0" fontId="6" fillId="7" borderId="67" xfId="0" applyFont="1" applyFill="1" applyBorder="1" applyAlignment="1">
      <alignment horizontal="center" vertical="center" wrapText="1"/>
    </xf>
    <xf numFmtId="0" fontId="6" fillId="7" borderId="60" xfId="0" applyFont="1" applyFill="1" applyBorder="1" applyAlignment="1">
      <alignment horizontal="center" vertical="center" wrapText="1"/>
    </xf>
    <xf numFmtId="0" fontId="6" fillId="7" borderId="22"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2" fillId="0" borderId="28" xfId="0" applyFont="1" applyFill="1" applyBorder="1" applyAlignment="1">
      <alignment horizontal="center" vertical="center"/>
    </xf>
    <xf numFmtId="0" fontId="2" fillId="19" borderId="28" xfId="0" applyFont="1" applyFill="1" applyBorder="1" applyAlignment="1">
      <alignment horizontal="center" vertical="center" wrapText="1"/>
    </xf>
    <xf numFmtId="49" fontId="3" fillId="0" borderId="14" xfId="3" applyFont="1" applyBorder="1" applyAlignment="1">
      <alignment horizontal="left" vertical="center"/>
    </xf>
    <xf numFmtId="49" fontId="3" fillId="0" borderId="69" xfId="3" applyFont="1" applyBorder="1" applyAlignment="1">
      <alignment horizontal="left" vertical="center"/>
    </xf>
    <xf numFmtId="49" fontId="6" fillId="7" borderId="12" xfId="3" applyNumberFormat="1" applyFont="1" applyFill="1" applyBorder="1" applyAlignment="1" applyProtection="1">
      <alignment horizontal="center" vertical="center" wrapText="1"/>
    </xf>
    <xf numFmtId="49" fontId="6" fillId="7" borderId="11" xfId="3" applyNumberFormat="1" applyFont="1" applyFill="1" applyBorder="1" applyAlignment="1" applyProtection="1">
      <alignment horizontal="center" vertical="center" wrapText="1"/>
    </xf>
    <xf numFmtId="49" fontId="6" fillId="7" borderId="6" xfId="3" applyFont="1" applyFill="1" applyBorder="1" applyAlignment="1">
      <alignment horizontal="center" vertical="center" wrapText="1"/>
    </xf>
    <xf numFmtId="49" fontId="6" fillId="7" borderId="48" xfId="3" applyFont="1" applyFill="1" applyBorder="1" applyAlignment="1">
      <alignment horizontal="center" vertical="center" wrapText="1"/>
    </xf>
    <xf numFmtId="49" fontId="6" fillId="7" borderId="21" xfId="3" applyFont="1" applyFill="1" applyBorder="1" applyAlignment="1">
      <alignment horizontal="center" vertical="center" wrapText="1"/>
    </xf>
    <xf numFmtId="49" fontId="3" fillId="0" borderId="12" xfId="3" applyFont="1" applyBorder="1" applyAlignment="1">
      <alignment horizontal="left" vertical="center"/>
    </xf>
    <xf numFmtId="49" fontId="3" fillId="0" borderId="11" xfId="3" applyFont="1" applyBorder="1" applyAlignment="1">
      <alignment horizontal="left" vertical="center"/>
    </xf>
    <xf numFmtId="49" fontId="3" fillId="0" borderId="12" xfId="3" applyFont="1" applyBorder="1" applyAlignment="1">
      <alignment horizontal="center" vertical="center"/>
    </xf>
    <xf numFmtId="49" fontId="3" fillId="0" borderId="14" xfId="3" applyFont="1" applyBorder="1" applyAlignment="1">
      <alignment horizontal="center" vertical="center"/>
    </xf>
    <xf numFmtId="0" fontId="6" fillId="7" borderId="19" xfId="0" applyFont="1" applyFill="1" applyBorder="1" applyAlignment="1">
      <alignment horizontal="center" wrapText="1"/>
    </xf>
    <xf numFmtId="0" fontId="6" fillId="7" borderId="20" xfId="0" applyFont="1" applyFill="1" applyBorder="1" applyAlignment="1">
      <alignment horizontal="center" wrapText="1"/>
    </xf>
    <xf numFmtId="0" fontId="6" fillId="7" borderId="18" xfId="0" applyFont="1" applyFill="1" applyBorder="1" applyAlignment="1">
      <alignment horizontal="center" wrapText="1"/>
    </xf>
    <xf numFmtId="0" fontId="6" fillId="7" borderId="6" xfId="0" applyFont="1" applyFill="1" applyBorder="1" applyAlignment="1">
      <alignment horizontal="center" wrapText="1"/>
    </xf>
    <xf numFmtId="0" fontId="6" fillId="7" borderId="48" xfId="0" applyFont="1" applyFill="1" applyBorder="1" applyAlignment="1">
      <alignment horizontal="center" wrapText="1"/>
    </xf>
    <xf numFmtId="0" fontId="6" fillId="7" borderId="12" xfId="0" applyFont="1" applyFill="1" applyBorder="1" applyAlignment="1">
      <alignment horizontal="center" vertical="center"/>
    </xf>
    <xf numFmtId="0" fontId="6" fillId="7" borderId="11" xfId="0" applyFont="1" applyFill="1" applyBorder="1" applyAlignment="1">
      <alignment horizontal="center" vertical="center"/>
    </xf>
    <xf numFmtId="0" fontId="17" fillId="7" borderId="19" xfId="0" applyFont="1" applyFill="1" applyBorder="1" applyAlignment="1">
      <alignment horizontal="center"/>
    </xf>
    <xf numFmtId="0" fontId="17" fillId="7" borderId="18" xfId="0" applyFont="1" applyFill="1" applyBorder="1" applyAlignment="1">
      <alignment horizontal="center"/>
    </xf>
    <xf numFmtId="0" fontId="17" fillId="7" borderId="5" xfId="0" applyFont="1" applyFill="1" applyBorder="1" applyAlignment="1">
      <alignment horizontal="center"/>
    </xf>
    <xf numFmtId="0" fontId="17" fillId="7" borderId="20" xfId="0" applyFont="1" applyFill="1" applyBorder="1" applyAlignment="1">
      <alignment horizontal="center"/>
    </xf>
    <xf numFmtId="0" fontId="17" fillId="7" borderId="5" xfId="0" applyFont="1" applyFill="1" applyBorder="1" applyAlignment="1">
      <alignment horizontal="center" vertical="center"/>
    </xf>
    <xf numFmtId="0" fontId="17" fillId="7" borderId="11" xfId="0" applyFont="1" applyFill="1" applyBorder="1" applyAlignment="1">
      <alignment horizontal="center" vertical="center"/>
    </xf>
    <xf numFmtId="49" fontId="17" fillId="0" borderId="19" xfId="3" applyFont="1" applyBorder="1" applyAlignment="1">
      <alignment horizontal="left" vertical="center" wrapText="1"/>
    </xf>
    <xf numFmtId="49" fontId="17" fillId="0" borderId="20" xfId="3" applyFont="1" applyBorder="1" applyAlignment="1">
      <alignment horizontal="left" vertical="center" wrapText="1"/>
    </xf>
    <xf numFmtId="49" fontId="17" fillId="0" borderId="18" xfId="3" applyFont="1" applyBorder="1" applyAlignment="1">
      <alignment horizontal="left" vertical="center" wrapText="1"/>
    </xf>
    <xf numFmtId="0" fontId="4" fillId="0" borderId="19" xfId="0" applyFont="1" applyBorder="1" applyAlignment="1">
      <alignment horizontal="left"/>
    </xf>
    <xf numFmtId="0" fontId="4" fillId="0" borderId="20" xfId="0" applyFont="1" applyBorder="1" applyAlignment="1">
      <alignment horizontal="left"/>
    </xf>
    <xf numFmtId="0" fontId="4" fillId="0" borderId="18" xfId="0" applyFont="1" applyBorder="1" applyAlignment="1">
      <alignment horizontal="left"/>
    </xf>
    <xf numFmtId="49" fontId="10" fillId="7" borderId="32" xfId="3" applyFont="1" applyFill="1" applyBorder="1" applyAlignment="1">
      <alignment horizontal="center" vertical="center" wrapText="1"/>
    </xf>
    <xf numFmtId="49" fontId="10" fillId="7" borderId="31" xfId="3" applyFont="1" applyFill="1" applyBorder="1" applyAlignment="1">
      <alignment horizontal="center" vertical="center" wrapText="1"/>
    </xf>
    <xf numFmtId="0" fontId="10" fillId="7" borderId="12" xfId="0" applyFont="1" applyFill="1" applyBorder="1" applyAlignment="1">
      <alignment horizontal="center" vertical="center"/>
    </xf>
    <xf numFmtId="0" fontId="10" fillId="7" borderId="11" xfId="0" applyFont="1" applyFill="1" applyBorder="1" applyAlignment="1">
      <alignment horizontal="center" vertical="center"/>
    </xf>
    <xf numFmtId="49" fontId="10" fillId="7" borderId="30" xfId="3" applyFont="1" applyFill="1" applyBorder="1" applyAlignment="1">
      <alignment horizontal="center" vertical="center"/>
    </xf>
    <xf numFmtId="49" fontId="10" fillId="7" borderId="32" xfId="3" applyFont="1" applyFill="1" applyBorder="1" applyAlignment="1">
      <alignment horizontal="center" vertical="center"/>
    </xf>
    <xf numFmtId="49" fontId="10" fillId="7" borderId="31" xfId="3" applyFont="1" applyFill="1" applyBorder="1" applyAlignment="1">
      <alignment horizontal="center" vertical="center"/>
    </xf>
    <xf numFmtId="49" fontId="10" fillId="7" borderId="30" xfId="3" applyFont="1" applyFill="1" applyBorder="1" applyAlignment="1">
      <alignment horizontal="center" vertical="center" wrapText="1"/>
    </xf>
    <xf numFmtId="49" fontId="10" fillId="7" borderId="67" xfId="3" applyFont="1" applyFill="1" applyBorder="1" applyAlignment="1">
      <alignment horizontal="center" vertical="center" wrapText="1"/>
    </xf>
    <xf numFmtId="0" fontId="10" fillId="7" borderId="12" xfId="0" applyFont="1" applyFill="1" applyBorder="1" applyAlignment="1">
      <alignment horizontal="center" vertical="center" wrapText="1"/>
    </xf>
    <xf numFmtId="0" fontId="10" fillId="7" borderId="11" xfId="0" applyFont="1" applyFill="1" applyBorder="1" applyAlignment="1">
      <alignment horizontal="center" vertical="center" wrapText="1"/>
    </xf>
    <xf numFmtId="0" fontId="6" fillId="3" borderId="63" xfId="4" applyFont="1" applyFill="1" applyBorder="1" applyAlignment="1">
      <alignment horizontal="center" vertical="center" wrapText="1"/>
    </xf>
    <xf numFmtId="0" fontId="6" fillId="3" borderId="79" xfId="4" applyFont="1" applyFill="1" applyBorder="1" applyAlignment="1">
      <alignment horizontal="center" vertical="center" wrapText="1"/>
    </xf>
    <xf numFmtId="0" fontId="3" fillId="0" borderId="12" xfId="4" quotePrefix="1" applyFont="1" applyBorder="1" applyAlignment="1">
      <alignment horizontal="left" vertical="center" wrapText="1"/>
    </xf>
    <xf numFmtId="0" fontId="3" fillId="0" borderId="14" xfId="4" quotePrefix="1" applyFont="1" applyBorder="1" applyAlignment="1">
      <alignment horizontal="left" vertical="center" wrapText="1"/>
    </xf>
    <xf numFmtId="0" fontId="10" fillId="3" borderId="12" xfId="4" applyFont="1" applyFill="1" applyBorder="1" applyAlignment="1">
      <alignment horizontal="left" vertical="center" wrapText="1"/>
    </xf>
    <xf numFmtId="0" fontId="10" fillId="3" borderId="14" xfId="4" applyFont="1" applyFill="1" applyBorder="1" applyAlignment="1">
      <alignment horizontal="left" vertical="center" wrapText="1"/>
    </xf>
    <xf numFmtId="0" fontId="10" fillId="3" borderId="69" xfId="4" applyFont="1" applyFill="1" applyBorder="1" applyAlignment="1">
      <alignment horizontal="left" vertical="center" wrapText="1"/>
    </xf>
    <xf numFmtId="0" fontId="6" fillId="7" borderId="64" xfId="2" applyFont="1" applyFill="1" applyBorder="1" applyAlignment="1">
      <alignment horizontal="center" vertical="center"/>
    </xf>
    <xf numFmtId="0" fontId="6" fillId="7" borderId="68" xfId="2" applyFont="1" applyFill="1" applyBorder="1" applyAlignment="1">
      <alignment horizontal="center" vertical="center"/>
    </xf>
    <xf numFmtId="0" fontId="6" fillId="7" borderId="61" xfId="2" applyFont="1" applyFill="1" applyBorder="1" applyAlignment="1">
      <alignment horizontal="center" vertical="center"/>
    </xf>
    <xf numFmtId="0" fontId="24" fillId="5" borderId="26" xfId="0" applyFont="1" applyFill="1" applyBorder="1" applyAlignment="1">
      <alignment horizontal="left"/>
    </xf>
    <xf numFmtId="0" fontId="24" fillId="5" borderId="28" xfId="0" applyFont="1" applyFill="1" applyBorder="1" applyAlignment="1">
      <alignment horizontal="left"/>
    </xf>
    <xf numFmtId="0" fontId="24" fillId="5" borderId="29" xfId="0" applyFont="1" applyFill="1" applyBorder="1" applyAlignment="1">
      <alignment horizontal="left"/>
    </xf>
    <xf numFmtId="0" fontId="64" fillId="0" borderId="2" xfId="2" applyFont="1" applyBorder="1" applyAlignment="1">
      <alignment horizontal="center" vertical="center" wrapText="1"/>
    </xf>
    <xf numFmtId="0" fontId="64" fillId="0" borderId="76" xfId="2" applyFont="1" applyBorder="1" applyAlignment="1">
      <alignment horizontal="center" vertical="center" wrapText="1"/>
    </xf>
    <xf numFmtId="0" fontId="64" fillId="0" borderId="62" xfId="2" applyFont="1" applyBorder="1" applyAlignment="1">
      <alignment horizontal="center" vertical="center" wrapText="1"/>
    </xf>
    <xf numFmtId="0" fontId="40" fillId="0" borderId="80" xfId="0" applyFont="1" applyBorder="1" applyAlignment="1">
      <alignment horizontal="center"/>
    </xf>
    <xf numFmtId="0" fontId="40" fillId="0" borderId="77" xfId="0" applyFont="1" applyBorder="1" applyAlignment="1">
      <alignment horizontal="center"/>
    </xf>
    <xf numFmtId="0" fontId="40" fillId="0" borderId="81" xfId="0" applyFont="1" applyBorder="1" applyAlignment="1">
      <alignment horizontal="center"/>
    </xf>
    <xf numFmtId="0" fontId="10" fillId="7" borderId="6" xfId="2" applyFont="1" applyFill="1" applyBorder="1" applyAlignment="1">
      <alignment horizontal="center" vertical="center"/>
    </xf>
    <xf numFmtId="0" fontId="10" fillId="7" borderId="21" xfId="2" applyFont="1" applyFill="1" applyBorder="1" applyAlignment="1">
      <alignment horizontal="center" vertical="center"/>
    </xf>
    <xf numFmtId="0" fontId="10" fillId="7" borderId="20" xfId="2" applyFont="1" applyFill="1" applyBorder="1" applyAlignment="1">
      <alignment horizontal="center" vertical="center"/>
    </xf>
    <xf numFmtId="0" fontId="10" fillId="7" borderId="19" xfId="2" applyFont="1" applyFill="1" applyBorder="1" applyAlignment="1">
      <alignment horizontal="center" vertical="center"/>
    </xf>
    <xf numFmtId="0" fontId="10" fillId="7" borderId="18" xfId="2" applyFont="1" applyFill="1" applyBorder="1" applyAlignment="1">
      <alignment horizontal="center" vertical="center"/>
    </xf>
    <xf numFmtId="0" fontId="10" fillId="7" borderId="48" xfId="2" applyFont="1" applyFill="1" applyBorder="1" applyAlignment="1">
      <alignment horizontal="center" vertical="center"/>
    </xf>
    <xf numFmtId="0" fontId="10" fillId="7" borderId="14" xfId="0" applyFont="1" applyFill="1" applyBorder="1" applyAlignment="1">
      <alignment horizontal="center" vertical="center" wrapText="1"/>
    </xf>
    <xf numFmtId="0" fontId="9" fillId="7" borderId="11" xfId="0" applyFont="1" applyFill="1" applyBorder="1" applyAlignment="1">
      <alignment horizontal="center" vertical="center" wrapText="1"/>
    </xf>
    <xf numFmtId="0" fontId="10" fillId="7" borderId="20" xfId="0" applyFont="1" applyFill="1" applyBorder="1" applyAlignment="1">
      <alignment horizontal="center" vertical="center"/>
    </xf>
    <xf numFmtId="0" fontId="10" fillId="7" borderId="19" xfId="0" applyFont="1" applyFill="1" applyBorder="1" applyAlignment="1">
      <alignment horizontal="center" vertical="center"/>
    </xf>
    <xf numFmtId="0" fontId="10" fillId="7" borderId="18" xfId="0" applyFont="1" applyFill="1" applyBorder="1" applyAlignment="1">
      <alignment horizontal="center" vertical="center"/>
    </xf>
    <xf numFmtId="0" fontId="10" fillId="7" borderId="19" xfId="0" applyFont="1" applyFill="1" applyBorder="1" applyAlignment="1">
      <alignment horizontal="center" vertical="center" wrapText="1"/>
    </xf>
    <xf numFmtId="0" fontId="10" fillId="7" borderId="18" xfId="0" applyFont="1" applyFill="1" applyBorder="1" applyAlignment="1">
      <alignment horizontal="center" vertical="center" wrapText="1"/>
    </xf>
    <xf numFmtId="3" fontId="59" fillId="0" borderId="4" xfId="7" applyNumberFormat="1" applyFont="1" applyBorder="1" applyAlignment="1">
      <alignment horizontal="center" vertical="center"/>
    </xf>
    <xf numFmtId="170" fontId="59" fillId="0" borderId="14" xfId="10" applyNumberFormat="1" applyFont="1" applyBorder="1" applyAlignment="1">
      <alignment horizontal="center" vertical="center"/>
    </xf>
    <xf numFmtId="0" fontId="9" fillId="0" borderId="0" xfId="0" applyFont="1" applyAlignment="1">
      <alignment horizontal="left" vertical="center" wrapText="1"/>
    </xf>
    <xf numFmtId="0" fontId="10" fillId="7" borderId="6" xfId="2" applyFont="1" applyFill="1" applyBorder="1" applyAlignment="1">
      <alignment horizontal="center" vertical="center" wrapText="1"/>
    </xf>
    <xf numFmtId="0" fontId="10" fillId="7" borderId="19" xfId="2" applyFont="1" applyFill="1" applyBorder="1" applyAlignment="1">
      <alignment horizontal="center" vertical="center" wrapText="1"/>
    </xf>
    <xf numFmtId="0" fontId="10" fillId="7" borderId="30" xfId="2" applyFont="1" applyFill="1" applyBorder="1" applyAlignment="1">
      <alignment horizontal="center" vertical="center" wrapText="1"/>
    </xf>
    <xf numFmtId="0" fontId="10" fillId="7" borderId="57" xfId="2" applyFont="1" applyFill="1" applyBorder="1" applyAlignment="1">
      <alignment horizontal="center" vertical="center" wrapText="1"/>
    </xf>
    <xf numFmtId="0" fontId="10" fillId="7" borderId="38" xfId="2" applyFont="1" applyFill="1" applyBorder="1" applyAlignment="1">
      <alignment horizontal="center" vertical="center" wrapText="1"/>
    </xf>
    <xf numFmtId="0" fontId="10" fillId="7" borderId="33" xfId="2" applyFont="1" applyFill="1" applyBorder="1" applyAlignment="1">
      <alignment horizontal="center" vertical="center" wrapText="1"/>
    </xf>
    <xf numFmtId="0" fontId="10" fillId="7" borderId="55" xfId="2" applyFont="1" applyFill="1" applyBorder="1" applyAlignment="1">
      <alignment horizontal="center" vertical="center" wrapText="1"/>
    </xf>
    <xf numFmtId="0" fontId="10" fillId="7" borderId="41" xfId="2" applyFont="1" applyFill="1" applyBorder="1" applyAlignment="1">
      <alignment horizontal="center" vertical="center" wrapText="1"/>
    </xf>
    <xf numFmtId="0" fontId="10" fillId="7" borderId="31" xfId="2" applyFont="1" applyFill="1" applyBorder="1" applyAlignment="1">
      <alignment horizontal="center" vertical="center" wrapText="1"/>
    </xf>
    <xf numFmtId="0" fontId="10" fillId="7" borderId="56" xfId="2" applyFont="1" applyFill="1" applyBorder="1" applyAlignment="1">
      <alignment horizontal="center" vertical="center" wrapText="1"/>
    </xf>
    <xf numFmtId="0" fontId="10" fillId="7" borderId="39" xfId="2" applyFont="1" applyFill="1" applyBorder="1" applyAlignment="1">
      <alignment horizontal="center" vertical="center" wrapText="1"/>
    </xf>
    <xf numFmtId="0" fontId="10" fillId="13" borderId="31" xfId="2" applyFont="1" applyFill="1" applyBorder="1" applyAlignment="1">
      <alignment horizontal="center" vertical="center" wrapText="1"/>
    </xf>
    <xf numFmtId="0" fontId="10" fillId="13" borderId="56" xfId="2" applyFont="1" applyFill="1" applyBorder="1" applyAlignment="1">
      <alignment horizontal="center" vertical="center" wrapText="1"/>
    </xf>
    <xf numFmtId="0" fontId="10" fillId="13" borderId="39" xfId="2" applyFont="1" applyFill="1" applyBorder="1" applyAlignment="1">
      <alignment horizontal="center" vertical="center" wrapText="1"/>
    </xf>
    <xf numFmtId="0" fontId="26" fillId="9" borderId="19" xfId="2" applyFont="1" applyFill="1" applyBorder="1" applyAlignment="1">
      <alignment horizontal="left" vertical="center"/>
    </xf>
    <xf numFmtId="0" fontId="26" fillId="9" borderId="20" xfId="2" applyFont="1" applyFill="1" applyBorder="1" applyAlignment="1">
      <alignment horizontal="left" vertical="center"/>
    </xf>
    <xf numFmtId="0" fontId="8" fillId="0" borderId="19" xfId="2" applyFont="1" applyFill="1" applyBorder="1" applyAlignment="1">
      <alignment horizontal="left" vertical="center" wrapText="1"/>
    </xf>
    <xf numFmtId="0" fontId="8" fillId="0" borderId="20" xfId="2" applyFont="1" applyFill="1" applyBorder="1" applyAlignment="1">
      <alignment horizontal="left" vertical="center" wrapText="1"/>
    </xf>
    <xf numFmtId="0" fontId="8" fillId="0" borderId="18" xfId="2" applyFont="1" applyFill="1" applyBorder="1" applyAlignment="1">
      <alignment horizontal="left" vertical="center" wrapText="1"/>
    </xf>
    <xf numFmtId="0" fontId="10" fillId="0" borderId="6" xfId="2" applyFont="1" applyFill="1" applyBorder="1" applyAlignment="1">
      <alignment horizontal="left" vertical="center" wrapText="1"/>
    </xf>
    <xf numFmtId="0" fontId="10" fillId="0" borderId="48" xfId="2" applyFont="1" applyFill="1" applyBorder="1" applyAlignment="1">
      <alignment horizontal="left" vertical="center" wrapText="1"/>
    </xf>
    <xf numFmtId="0" fontId="10" fillId="0" borderId="21" xfId="2" applyFont="1" applyFill="1" applyBorder="1" applyAlignment="1">
      <alignment horizontal="left" vertical="center" wrapText="1"/>
    </xf>
    <xf numFmtId="0" fontId="10" fillId="0" borderId="19" xfId="2" applyFont="1" applyFill="1" applyBorder="1" applyAlignment="1">
      <alignment horizontal="left" vertical="center"/>
    </xf>
    <xf numFmtId="0" fontId="10" fillId="0" borderId="20" xfId="2" applyFont="1" applyFill="1" applyBorder="1" applyAlignment="1">
      <alignment horizontal="left" vertical="center"/>
    </xf>
    <xf numFmtId="0" fontId="10" fillId="0" borderId="18" xfId="2" applyFont="1" applyFill="1" applyBorder="1" applyAlignment="1">
      <alignment horizontal="left" vertical="center"/>
    </xf>
    <xf numFmtId="0" fontId="26" fillId="9" borderId="18" xfId="2" applyFont="1" applyFill="1" applyBorder="1" applyAlignment="1">
      <alignment horizontal="left" vertical="center"/>
    </xf>
    <xf numFmtId="0" fontId="10" fillId="0" borderId="19" xfId="2" applyFont="1" applyFill="1" applyBorder="1" applyAlignment="1">
      <alignment horizontal="left" vertical="center" wrapText="1"/>
    </xf>
    <xf numFmtId="0" fontId="10" fillId="0" borderId="20" xfId="2" applyFont="1" applyFill="1" applyBorder="1" applyAlignment="1">
      <alignment horizontal="left" vertical="center" wrapText="1"/>
    </xf>
    <xf numFmtId="0" fontId="10" fillId="0" borderId="18" xfId="2" applyFont="1" applyFill="1" applyBorder="1" applyAlignment="1">
      <alignment horizontal="left" vertical="center" wrapText="1"/>
    </xf>
    <xf numFmtId="0" fontId="10" fillId="3" borderId="42" xfId="4" applyFont="1" applyFill="1" applyBorder="1" applyAlignment="1">
      <alignment horizontal="center"/>
    </xf>
    <xf numFmtId="0" fontId="10" fillId="3" borderId="16" xfId="4" applyFont="1" applyFill="1" applyBorder="1" applyAlignment="1">
      <alignment horizontal="center"/>
    </xf>
    <xf numFmtId="0" fontId="10" fillId="7" borderId="12" xfId="2" applyFont="1" applyFill="1" applyBorder="1" applyAlignment="1">
      <alignment horizontal="center" vertical="center" wrapText="1"/>
    </xf>
    <xf numFmtId="0" fontId="10" fillId="7" borderId="11" xfId="2" applyFont="1" applyFill="1" applyBorder="1" applyAlignment="1">
      <alignment horizontal="center" vertical="center" wrapText="1"/>
    </xf>
    <xf numFmtId="0" fontId="10" fillId="0" borderId="28" xfId="4" applyFont="1" applyBorder="1" applyAlignment="1">
      <alignment horizontal="left" vertical="center"/>
    </xf>
    <xf numFmtId="0" fontId="10" fillId="8" borderId="19" xfId="4" applyFont="1" applyFill="1" applyBorder="1" applyAlignment="1">
      <alignment horizontal="center" vertical="center"/>
    </xf>
    <xf numFmtId="0" fontId="10" fillId="8" borderId="20" xfId="4" applyFont="1" applyFill="1" applyBorder="1" applyAlignment="1">
      <alignment horizontal="center" vertical="center"/>
    </xf>
    <xf numFmtId="0" fontId="10" fillId="8" borderId="5" xfId="4" applyFont="1" applyFill="1" applyBorder="1" applyAlignment="1">
      <alignment horizontal="center" vertical="center"/>
    </xf>
    <xf numFmtId="0" fontId="10" fillId="8" borderId="14" xfId="4" applyFont="1" applyFill="1" applyBorder="1" applyAlignment="1">
      <alignment horizontal="center" vertical="center"/>
    </xf>
    <xf numFmtId="0" fontId="10" fillId="0" borderId="19" xfId="4" applyFont="1" applyBorder="1" applyAlignment="1">
      <alignment horizontal="right"/>
    </xf>
    <xf numFmtId="0" fontId="10" fillId="0" borderId="20" xfId="4" applyFont="1" applyBorder="1" applyAlignment="1">
      <alignment horizontal="right"/>
    </xf>
    <xf numFmtId="0" fontId="10" fillId="7" borderId="20"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16" xfId="0" applyFont="1" applyFill="1" applyBorder="1" applyAlignment="1">
      <alignment horizontal="center" vertical="center" wrapText="1"/>
    </xf>
    <xf numFmtId="0" fontId="10" fillId="7" borderId="17" xfId="0" applyFont="1" applyFill="1" applyBorder="1" applyAlignment="1">
      <alignment horizontal="center" vertical="center" wrapText="1"/>
    </xf>
    <xf numFmtId="0" fontId="10" fillId="7" borderId="43" xfId="0" applyFont="1" applyFill="1" applyBorder="1" applyAlignment="1">
      <alignment horizontal="center" vertical="center" wrapText="1"/>
    </xf>
    <xf numFmtId="164" fontId="10" fillId="7" borderId="19" xfId="0" applyNumberFormat="1" applyFont="1" applyFill="1" applyBorder="1" applyAlignment="1">
      <alignment horizontal="center" vertical="center" wrapText="1"/>
    </xf>
    <xf numFmtId="164" fontId="10" fillId="7" borderId="20" xfId="0" applyNumberFormat="1" applyFont="1" applyFill="1" applyBorder="1" applyAlignment="1">
      <alignment horizontal="center" vertical="center" wrapText="1"/>
    </xf>
    <xf numFmtId="164" fontId="10" fillId="7" borderId="18" xfId="0" applyNumberFormat="1" applyFont="1" applyFill="1" applyBorder="1" applyAlignment="1">
      <alignment horizontal="center" vertical="center" wrapText="1"/>
    </xf>
    <xf numFmtId="0" fontId="75" fillId="3" borderId="28" xfId="7" applyFont="1" applyFill="1" applyBorder="1" applyAlignment="1">
      <alignment horizontal="center" vertical="center"/>
    </xf>
    <xf numFmtId="0" fontId="75" fillId="8" borderId="28" xfId="7" applyFont="1" applyFill="1" applyBorder="1" applyAlignment="1">
      <alignment horizontal="center" vertical="center"/>
    </xf>
    <xf numFmtId="0" fontId="75" fillId="3" borderId="28" xfId="7" applyFont="1" applyFill="1" applyBorder="1" applyAlignment="1">
      <alignment horizontal="right" vertical="center"/>
    </xf>
    <xf numFmtId="0" fontId="76" fillId="5" borderId="28" xfId="7" applyFont="1" applyFill="1" applyBorder="1" applyAlignment="1">
      <alignment horizontal="center" vertical="center"/>
    </xf>
    <xf numFmtId="0" fontId="76" fillId="5" borderId="28" xfId="7" applyFont="1" applyFill="1" applyBorder="1" applyAlignment="1">
      <alignment horizontal="left" vertical="center"/>
    </xf>
    <xf numFmtId="0" fontId="63" fillId="5" borderId="28" xfId="7" applyFont="1" applyFill="1" applyBorder="1" applyAlignment="1">
      <alignment horizontal="center" vertical="center"/>
    </xf>
    <xf numFmtId="0" fontId="10" fillId="0" borderId="28" xfId="4" applyFont="1" applyFill="1" applyBorder="1" applyAlignment="1">
      <alignment horizontal="left" vertical="center"/>
    </xf>
    <xf numFmtId="0" fontId="26" fillId="9" borderId="28" xfId="2" applyFont="1" applyFill="1" applyBorder="1" applyAlignment="1">
      <alignment horizontal="left" vertical="center"/>
    </xf>
    <xf numFmtId="0" fontId="10" fillId="7" borderId="28" xfId="0" applyFont="1" applyFill="1" applyBorder="1" applyAlignment="1">
      <alignment horizontal="center" vertical="center" wrapText="1"/>
    </xf>
  </cellXfs>
  <cellStyles count="31">
    <cellStyle name="Cancel 2 3" xfId="25" xr:uid="{00000000-0005-0000-0000-000000000000}"/>
    <cellStyle name="Cancel 3" xfId="26" xr:uid="{00000000-0005-0000-0000-000001000000}"/>
    <cellStyle name="Incorrecto" xfId="8" builtinId="27"/>
    <cellStyle name="Millares" xfId="5" builtinId="3"/>
    <cellStyle name="Millares [0] 2" xfId="23" xr:uid="{00000000-0005-0000-0000-000004000000}"/>
    <cellStyle name="Millares 10 4" xfId="22" xr:uid="{00000000-0005-0000-0000-000005000000}"/>
    <cellStyle name="Millares 19" xfId="27" xr:uid="{00000000-0005-0000-0000-000006000000}"/>
    <cellStyle name="Millares 2" xfId="10" xr:uid="{00000000-0005-0000-0000-000007000000}"/>
    <cellStyle name="Millares 2 2" xfId="17" xr:uid="{00000000-0005-0000-0000-000008000000}"/>
    <cellStyle name="Moneda" xfId="9" builtinId="4"/>
    <cellStyle name="Moneda 2" xfId="29" xr:uid="{00000000-0005-0000-0000-00000A000000}"/>
    <cellStyle name="Moneda 3" xfId="30" xr:uid="{00000000-0005-0000-0000-00000B000000}"/>
    <cellStyle name="Normal" xfId="0" builtinId="0"/>
    <cellStyle name="Normal 10" xfId="7" xr:uid="{00000000-0005-0000-0000-00000D000000}"/>
    <cellStyle name="Normal 10 2" xfId="13" xr:uid="{00000000-0005-0000-0000-00000E000000}"/>
    <cellStyle name="Normal 10 2 3 2" xfId="11" xr:uid="{00000000-0005-0000-0000-00000F000000}"/>
    <cellStyle name="Normal 12" xfId="24" xr:uid="{00000000-0005-0000-0000-000010000000}"/>
    <cellStyle name="Normal 2" xfId="4" xr:uid="{00000000-0005-0000-0000-000011000000}"/>
    <cellStyle name="Normal 2 2" xfId="12" xr:uid="{00000000-0005-0000-0000-000012000000}"/>
    <cellStyle name="Normal 3" xfId="28" xr:uid="{00000000-0005-0000-0000-000013000000}"/>
    <cellStyle name="Normal 3 2" xfId="20" xr:uid="{00000000-0005-0000-0000-000014000000}"/>
    <cellStyle name="Normal 3 2 2" xfId="16" xr:uid="{00000000-0005-0000-0000-000015000000}"/>
    <cellStyle name="Normal 3 3" xfId="14" xr:uid="{00000000-0005-0000-0000-000016000000}"/>
    <cellStyle name="Normal 7" xfId="19" xr:uid="{00000000-0005-0000-0000-000017000000}"/>
    <cellStyle name="Normal_EECC NOMBRADOS" xfId="21" xr:uid="{00000000-0005-0000-0000-000018000000}"/>
    <cellStyle name="Normal_ESTR98" xfId="1" xr:uid="{00000000-0005-0000-0000-000019000000}"/>
    <cellStyle name="Normal_F-17" xfId="18" xr:uid="{00000000-0005-0000-0000-00001A000000}"/>
    <cellStyle name="Normal_PLAZAS98" xfId="2" xr:uid="{00000000-0005-0000-0000-00001B000000}"/>
    <cellStyle name="Normal_PLAZAS98 2" xfId="15" xr:uid="{00000000-0005-0000-0000-00001C000000}"/>
    <cellStyle name="Normal_SPGG98" xfId="3" xr:uid="{00000000-0005-0000-0000-00001D000000}"/>
    <cellStyle name="Porcentaje" xfId="6"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drawing1.xml><?xml version="1.0" encoding="utf-8"?>
<xdr:wsDr xmlns:xdr="http://schemas.openxmlformats.org/drawingml/2006/spreadsheetDrawing" xmlns:a="http://schemas.openxmlformats.org/drawingml/2006/main">
  <xdr:oneCellAnchor>
    <xdr:from>
      <xdr:col>1</xdr:col>
      <xdr:colOff>19051</xdr:colOff>
      <xdr:row>8</xdr:row>
      <xdr:rowOff>19050</xdr:rowOff>
    </xdr:from>
    <xdr:ext cx="5734049" cy="3223190"/>
    <xdr:sp macro="" textlink="">
      <xdr:nvSpPr>
        <xdr:cNvPr id="2" name="Rectángulo 1">
          <a:extLst>
            <a:ext uri="{FF2B5EF4-FFF2-40B4-BE49-F238E27FC236}">
              <a16:creationId xmlns:a16="http://schemas.microsoft.com/office/drawing/2014/main" id="{00000000-0008-0000-0600-000002000000}"/>
            </a:ext>
          </a:extLst>
        </xdr:cNvPr>
        <xdr:cNvSpPr/>
      </xdr:nvSpPr>
      <xdr:spPr>
        <a:xfrm>
          <a:off x="2657476" y="1466850"/>
          <a:ext cx="5734049" cy="3223190"/>
        </a:xfrm>
        <a:prstGeom prst="rect">
          <a:avLst/>
        </a:prstGeom>
        <a:noFill/>
      </xdr:spPr>
      <xdr:txBody>
        <a:bodyPr wrap="square" lIns="91440" tIns="45720" rIns="91440" bIns="45720">
          <a:spAutoFit/>
        </a:bodyPr>
        <a:lstStyle/>
        <a:p>
          <a:pPr algn="ctr"/>
          <a:r>
            <a:rPr lang="es-ES" sz="10000" b="1" cap="none" spc="0">
              <a:ln w="0"/>
              <a:solidFill>
                <a:schemeClr val="tx1"/>
              </a:solidFill>
              <a:effectLst>
                <a:outerShdw blurRad="38100" dist="19050" dir="2700000" algn="tl" rotWithShape="0">
                  <a:schemeClr val="dk1">
                    <a:alpha val="40000"/>
                  </a:schemeClr>
                </a:outerShdw>
              </a:effectLst>
            </a:rPr>
            <a:t>NO APLICA</a:t>
          </a: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231</xdr:row>
      <xdr:rowOff>0</xdr:rowOff>
    </xdr:from>
    <xdr:ext cx="2127250" cy="593304"/>
    <xdr:sp macro="" textlink="">
      <xdr:nvSpPr>
        <xdr:cNvPr id="2" name="Rectángulo 1">
          <a:extLst>
            <a:ext uri="{FF2B5EF4-FFF2-40B4-BE49-F238E27FC236}">
              <a16:creationId xmlns:a16="http://schemas.microsoft.com/office/drawing/2014/main" id="{00000000-0008-0000-3500-000002000000}"/>
            </a:ext>
          </a:extLst>
        </xdr:cNvPr>
        <xdr:cNvSpPr/>
      </xdr:nvSpPr>
      <xdr:spPr>
        <a:xfrm>
          <a:off x="0" y="349986600"/>
          <a:ext cx="2127250" cy="593304"/>
        </a:xfrm>
        <a:prstGeom prst="rect">
          <a:avLst/>
        </a:prstGeom>
        <a:noFill/>
      </xdr:spPr>
      <xdr:txBody>
        <a:bodyPr wrap="square" lIns="91440" tIns="45720" rIns="91440" bIns="45720">
          <a:spAutoFit/>
        </a:bodyPr>
        <a:lstStyle/>
        <a:p>
          <a:pPr algn="l"/>
          <a:r>
            <a:rPr lang="es-ES" sz="3200" b="1" cap="none" spc="0">
              <a:ln w="0"/>
              <a:solidFill>
                <a:schemeClr val="tx1"/>
              </a:solidFill>
              <a:effectLst>
                <a:outerShdw blurRad="38100" dist="19050" dir="2700000" algn="tl" rotWithShape="0">
                  <a:schemeClr val="dk1">
                    <a:alpha val="40000"/>
                  </a:schemeClr>
                </a:outerShdw>
              </a:effectLst>
            </a:rPr>
            <a:t>NO APLICA</a:t>
          </a:r>
        </a:p>
      </xdr:txBody>
    </xdr:sp>
    <xdr:clientData/>
  </xdr:oneCellAnchor>
  <xdr:oneCellAnchor>
    <xdr:from>
      <xdr:col>0</xdr:col>
      <xdr:colOff>0</xdr:colOff>
      <xdr:row>236</xdr:row>
      <xdr:rowOff>0</xdr:rowOff>
    </xdr:from>
    <xdr:ext cx="2127250" cy="593304"/>
    <xdr:sp macro="" textlink="">
      <xdr:nvSpPr>
        <xdr:cNvPr id="3" name="Rectángulo 2">
          <a:extLst>
            <a:ext uri="{FF2B5EF4-FFF2-40B4-BE49-F238E27FC236}">
              <a16:creationId xmlns:a16="http://schemas.microsoft.com/office/drawing/2014/main" id="{00000000-0008-0000-3500-000003000000}"/>
            </a:ext>
          </a:extLst>
        </xdr:cNvPr>
        <xdr:cNvSpPr/>
      </xdr:nvSpPr>
      <xdr:spPr>
        <a:xfrm>
          <a:off x="0" y="350767650"/>
          <a:ext cx="2127250" cy="593304"/>
        </a:xfrm>
        <a:prstGeom prst="rect">
          <a:avLst/>
        </a:prstGeom>
        <a:noFill/>
      </xdr:spPr>
      <xdr:txBody>
        <a:bodyPr wrap="square" lIns="91440" tIns="45720" rIns="91440" bIns="45720">
          <a:spAutoFit/>
        </a:bodyPr>
        <a:lstStyle/>
        <a:p>
          <a:pPr algn="l"/>
          <a:r>
            <a:rPr lang="es-ES" sz="3200" b="1" cap="none" spc="0">
              <a:ln w="0"/>
              <a:solidFill>
                <a:schemeClr val="tx1"/>
              </a:solidFill>
              <a:effectLst>
                <a:outerShdw blurRad="38100" dist="19050" dir="2700000" algn="tl" rotWithShape="0">
                  <a:schemeClr val="dk1">
                    <a:alpha val="40000"/>
                  </a:schemeClr>
                </a:outerShdw>
              </a:effectLst>
            </a:rPr>
            <a:t>NO APLICA</a:t>
          </a:r>
        </a:p>
      </xdr:txBody>
    </xdr:sp>
    <xdr:clientData/>
  </xdr:oneCellAnchor>
  <xdr:oneCellAnchor>
    <xdr:from>
      <xdr:col>0</xdr:col>
      <xdr:colOff>0</xdr:colOff>
      <xdr:row>241</xdr:row>
      <xdr:rowOff>0</xdr:rowOff>
    </xdr:from>
    <xdr:ext cx="2127250" cy="593304"/>
    <xdr:sp macro="" textlink="">
      <xdr:nvSpPr>
        <xdr:cNvPr id="4" name="Rectángulo 3">
          <a:extLst>
            <a:ext uri="{FF2B5EF4-FFF2-40B4-BE49-F238E27FC236}">
              <a16:creationId xmlns:a16="http://schemas.microsoft.com/office/drawing/2014/main" id="{00000000-0008-0000-3500-000004000000}"/>
            </a:ext>
          </a:extLst>
        </xdr:cNvPr>
        <xdr:cNvSpPr/>
      </xdr:nvSpPr>
      <xdr:spPr>
        <a:xfrm>
          <a:off x="0" y="351548700"/>
          <a:ext cx="2127250" cy="593304"/>
        </a:xfrm>
        <a:prstGeom prst="rect">
          <a:avLst/>
        </a:prstGeom>
        <a:noFill/>
      </xdr:spPr>
      <xdr:txBody>
        <a:bodyPr wrap="square" lIns="91440" tIns="45720" rIns="91440" bIns="45720">
          <a:spAutoFit/>
        </a:bodyPr>
        <a:lstStyle/>
        <a:p>
          <a:pPr algn="l"/>
          <a:r>
            <a:rPr lang="es-ES" sz="3200" b="1" cap="none" spc="0">
              <a:ln w="0"/>
              <a:solidFill>
                <a:schemeClr val="tx1"/>
              </a:solidFill>
              <a:effectLst>
                <a:outerShdw blurRad="38100" dist="19050" dir="2700000" algn="tl" rotWithShape="0">
                  <a:schemeClr val="dk1">
                    <a:alpha val="40000"/>
                  </a:schemeClr>
                </a:outerShdw>
              </a:effectLst>
            </a:rPr>
            <a:t>NO APLICA</a:t>
          </a:r>
        </a:p>
      </xdr:txBody>
    </xdr:sp>
    <xdr:clientData/>
  </xdr:oneCellAnchor>
  <xdr:oneCellAnchor>
    <xdr:from>
      <xdr:col>0</xdr:col>
      <xdr:colOff>0</xdr:colOff>
      <xdr:row>279</xdr:row>
      <xdr:rowOff>0</xdr:rowOff>
    </xdr:from>
    <xdr:ext cx="2127250" cy="593304"/>
    <xdr:sp macro="" textlink="">
      <xdr:nvSpPr>
        <xdr:cNvPr id="5" name="Rectángulo 4">
          <a:extLst>
            <a:ext uri="{FF2B5EF4-FFF2-40B4-BE49-F238E27FC236}">
              <a16:creationId xmlns:a16="http://schemas.microsoft.com/office/drawing/2014/main" id="{00000000-0008-0000-3500-000005000000}"/>
            </a:ext>
          </a:extLst>
        </xdr:cNvPr>
        <xdr:cNvSpPr/>
      </xdr:nvSpPr>
      <xdr:spPr>
        <a:xfrm>
          <a:off x="0" y="411508575"/>
          <a:ext cx="2127250" cy="593304"/>
        </a:xfrm>
        <a:prstGeom prst="rect">
          <a:avLst/>
        </a:prstGeom>
        <a:noFill/>
      </xdr:spPr>
      <xdr:txBody>
        <a:bodyPr wrap="square" lIns="91440" tIns="45720" rIns="91440" bIns="45720">
          <a:spAutoFit/>
        </a:bodyPr>
        <a:lstStyle/>
        <a:p>
          <a:pPr algn="l"/>
          <a:r>
            <a:rPr lang="es-ES" sz="3200" b="1" cap="none" spc="0">
              <a:ln w="0"/>
              <a:solidFill>
                <a:schemeClr val="tx1"/>
              </a:solidFill>
              <a:effectLst>
                <a:outerShdw blurRad="38100" dist="19050" dir="2700000" algn="tl" rotWithShape="0">
                  <a:schemeClr val="dk1">
                    <a:alpha val="40000"/>
                  </a:schemeClr>
                </a:outerShdw>
              </a:effectLst>
            </a:rPr>
            <a:t>NO APLICA</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2</xdr:col>
      <xdr:colOff>0</xdr:colOff>
      <xdr:row>10</xdr:row>
      <xdr:rowOff>0</xdr:rowOff>
    </xdr:from>
    <xdr:ext cx="2127250" cy="593304"/>
    <xdr:sp macro="" textlink="">
      <xdr:nvSpPr>
        <xdr:cNvPr id="2" name="Rectángulo 1">
          <a:extLst>
            <a:ext uri="{FF2B5EF4-FFF2-40B4-BE49-F238E27FC236}">
              <a16:creationId xmlns:a16="http://schemas.microsoft.com/office/drawing/2014/main" id="{00000000-0008-0000-4300-000002000000}"/>
            </a:ext>
          </a:extLst>
        </xdr:cNvPr>
        <xdr:cNvSpPr/>
      </xdr:nvSpPr>
      <xdr:spPr>
        <a:xfrm>
          <a:off x="1876425" y="3133725"/>
          <a:ext cx="2127250" cy="593304"/>
        </a:xfrm>
        <a:prstGeom prst="rect">
          <a:avLst/>
        </a:prstGeom>
        <a:noFill/>
      </xdr:spPr>
      <xdr:txBody>
        <a:bodyPr wrap="square" lIns="91440" tIns="45720" rIns="91440" bIns="45720">
          <a:spAutoFit/>
        </a:bodyPr>
        <a:lstStyle/>
        <a:p>
          <a:pPr algn="l"/>
          <a:r>
            <a:rPr lang="es-ES" sz="3200" b="1" cap="none" spc="0">
              <a:ln w="0"/>
              <a:solidFill>
                <a:schemeClr val="tx1"/>
              </a:solidFill>
              <a:effectLst>
                <a:outerShdw blurRad="38100" dist="19050" dir="2700000" algn="tl" rotWithShape="0">
                  <a:schemeClr val="dk1">
                    <a:alpha val="40000"/>
                  </a:schemeClr>
                </a:outerShdw>
              </a:effectLst>
            </a:rPr>
            <a:t>NO APLICA</a:t>
          </a:r>
        </a:p>
      </xdr:txBody>
    </xdr:sp>
    <xdr:clientData/>
  </xdr:oneCellAnchor>
  <xdr:oneCellAnchor>
    <xdr:from>
      <xdr:col>1</xdr:col>
      <xdr:colOff>0</xdr:colOff>
      <xdr:row>277</xdr:row>
      <xdr:rowOff>0</xdr:rowOff>
    </xdr:from>
    <xdr:ext cx="2127250" cy="593304"/>
    <xdr:sp macro="" textlink="">
      <xdr:nvSpPr>
        <xdr:cNvPr id="3" name="Rectángulo 2">
          <a:extLst>
            <a:ext uri="{FF2B5EF4-FFF2-40B4-BE49-F238E27FC236}">
              <a16:creationId xmlns:a16="http://schemas.microsoft.com/office/drawing/2014/main" id="{00000000-0008-0000-4300-000003000000}"/>
            </a:ext>
          </a:extLst>
        </xdr:cNvPr>
        <xdr:cNvSpPr/>
      </xdr:nvSpPr>
      <xdr:spPr>
        <a:xfrm>
          <a:off x="809625" y="97821750"/>
          <a:ext cx="2127250" cy="593304"/>
        </a:xfrm>
        <a:prstGeom prst="rect">
          <a:avLst/>
        </a:prstGeom>
        <a:noFill/>
      </xdr:spPr>
      <xdr:txBody>
        <a:bodyPr wrap="square" lIns="91440" tIns="45720" rIns="91440" bIns="45720">
          <a:spAutoFit/>
        </a:bodyPr>
        <a:lstStyle/>
        <a:p>
          <a:pPr algn="l"/>
          <a:r>
            <a:rPr lang="es-ES" sz="3200" b="1" cap="none" spc="0">
              <a:ln w="0"/>
              <a:solidFill>
                <a:schemeClr val="tx1"/>
              </a:solidFill>
              <a:effectLst>
                <a:outerShdw blurRad="38100" dist="19050" dir="2700000" algn="tl" rotWithShape="0">
                  <a:schemeClr val="dk1">
                    <a:alpha val="40000"/>
                  </a:schemeClr>
                </a:outerShdw>
              </a:effectLst>
            </a:rPr>
            <a:t>NO APLICA</a:t>
          </a:r>
        </a:p>
      </xdr:txBody>
    </xdr:sp>
    <xdr:clientData/>
  </xdr:oneCellAnchor>
  <xdr:oneCellAnchor>
    <xdr:from>
      <xdr:col>1</xdr:col>
      <xdr:colOff>0</xdr:colOff>
      <xdr:row>282</xdr:row>
      <xdr:rowOff>0</xdr:rowOff>
    </xdr:from>
    <xdr:ext cx="2127250" cy="593304"/>
    <xdr:sp macro="" textlink="">
      <xdr:nvSpPr>
        <xdr:cNvPr id="4" name="Rectángulo 3">
          <a:extLst>
            <a:ext uri="{FF2B5EF4-FFF2-40B4-BE49-F238E27FC236}">
              <a16:creationId xmlns:a16="http://schemas.microsoft.com/office/drawing/2014/main" id="{00000000-0008-0000-4300-000004000000}"/>
            </a:ext>
          </a:extLst>
        </xdr:cNvPr>
        <xdr:cNvSpPr/>
      </xdr:nvSpPr>
      <xdr:spPr>
        <a:xfrm>
          <a:off x="809625" y="98583750"/>
          <a:ext cx="2127250" cy="593304"/>
        </a:xfrm>
        <a:prstGeom prst="rect">
          <a:avLst/>
        </a:prstGeom>
        <a:noFill/>
      </xdr:spPr>
      <xdr:txBody>
        <a:bodyPr wrap="square" lIns="91440" tIns="45720" rIns="91440" bIns="45720">
          <a:spAutoFit/>
        </a:bodyPr>
        <a:lstStyle/>
        <a:p>
          <a:pPr algn="l"/>
          <a:r>
            <a:rPr lang="es-ES" sz="3200" b="1" cap="none" spc="0">
              <a:ln w="0"/>
              <a:solidFill>
                <a:schemeClr val="tx1"/>
              </a:solidFill>
              <a:effectLst>
                <a:outerShdw blurRad="38100" dist="19050" dir="2700000" algn="tl" rotWithShape="0">
                  <a:schemeClr val="dk1">
                    <a:alpha val="40000"/>
                  </a:schemeClr>
                </a:outerShdw>
              </a:effectLst>
            </a:rPr>
            <a:t>NO APLICA</a:t>
          </a:r>
        </a:p>
      </xdr:txBody>
    </xdr:sp>
    <xdr:clientData/>
  </xdr:oneCellAnchor>
  <xdr:oneCellAnchor>
    <xdr:from>
      <xdr:col>1</xdr:col>
      <xdr:colOff>0</xdr:colOff>
      <xdr:row>287</xdr:row>
      <xdr:rowOff>0</xdr:rowOff>
    </xdr:from>
    <xdr:ext cx="2127250" cy="593304"/>
    <xdr:sp macro="" textlink="">
      <xdr:nvSpPr>
        <xdr:cNvPr id="5" name="Rectángulo 4">
          <a:extLst>
            <a:ext uri="{FF2B5EF4-FFF2-40B4-BE49-F238E27FC236}">
              <a16:creationId xmlns:a16="http://schemas.microsoft.com/office/drawing/2014/main" id="{00000000-0008-0000-4300-000005000000}"/>
            </a:ext>
          </a:extLst>
        </xdr:cNvPr>
        <xdr:cNvSpPr/>
      </xdr:nvSpPr>
      <xdr:spPr>
        <a:xfrm>
          <a:off x="809625" y="99345750"/>
          <a:ext cx="2127250" cy="593304"/>
        </a:xfrm>
        <a:prstGeom prst="rect">
          <a:avLst/>
        </a:prstGeom>
        <a:noFill/>
      </xdr:spPr>
      <xdr:txBody>
        <a:bodyPr wrap="square" lIns="91440" tIns="45720" rIns="91440" bIns="45720">
          <a:spAutoFit/>
        </a:bodyPr>
        <a:lstStyle/>
        <a:p>
          <a:pPr algn="l"/>
          <a:r>
            <a:rPr lang="es-ES" sz="3200" b="1" cap="none" spc="0">
              <a:ln w="0"/>
              <a:solidFill>
                <a:schemeClr val="tx1"/>
              </a:solidFill>
              <a:effectLst>
                <a:outerShdw blurRad="38100" dist="19050" dir="2700000" algn="tl" rotWithShape="0">
                  <a:schemeClr val="dk1">
                    <a:alpha val="40000"/>
                  </a:schemeClr>
                </a:outerShdw>
              </a:effectLst>
            </a:rPr>
            <a:t>NO APLICA</a:t>
          </a:r>
        </a:p>
      </xdr:txBody>
    </xdr:sp>
    <xdr:clientData/>
  </xdr:oneCellAnchor>
  <xdr:oneCellAnchor>
    <xdr:from>
      <xdr:col>1</xdr:col>
      <xdr:colOff>0</xdr:colOff>
      <xdr:row>317</xdr:row>
      <xdr:rowOff>0</xdr:rowOff>
    </xdr:from>
    <xdr:ext cx="2127250" cy="593304"/>
    <xdr:sp macro="" textlink="">
      <xdr:nvSpPr>
        <xdr:cNvPr id="6" name="Rectángulo 5">
          <a:extLst>
            <a:ext uri="{FF2B5EF4-FFF2-40B4-BE49-F238E27FC236}">
              <a16:creationId xmlns:a16="http://schemas.microsoft.com/office/drawing/2014/main" id="{00000000-0008-0000-4300-000006000000}"/>
            </a:ext>
          </a:extLst>
        </xdr:cNvPr>
        <xdr:cNvSpPr/>
      </xdr:nvSpPr>
      <xdr:spPr>
        <a:xfrm>
          <a:off x="809625" y="117405150"/>
          <a:ext cx="2127250" cy="593304"/>
        </a:xfrm>
        <a:prstGeom prst="rect">
          <a:avLst/>
        </a:prstGeom>
        <a:noFill/>
      </xdr:spPr>
      <xdr:txBody>
        <a:bodyPr wrap="square" lIns="91440" tIns="45720" rIns="91440" bIns="45720">
          <a:spAutoFit/>
        </a:bodyPr>
        <a:lstStyle/>
        <a:p>
          <a:pPr algn="l"/>
          <a:r>
            <a:rPr lang="es-ES" sz="3200" b="1" cap="none" spc="0">
              <a:ln w="0"/>
              <a:solidFill>
                <a:schemeClr val="tx1"/>
              </a:solidFill>
              <a:effectLst>
                <a:outerShdw blurRad="38100" dist="19050" dir="2700000" algn="tl" rotWithShape="0">
                  <a:schemeClr val="dk1">
                    <a:alpha val="40000"/>
                  </a:schemeClr>
                </a:outerShdw>
              </a:effectLst>
            </a:rPr>
            <a:t>NO APLICA</a:t>
          </a:r>
        </a:p>
      </xdr:txBody>
    </xdr:sp>
    <xdr:clientData/>
  </xdr:oneCellAnchor>
  <xdr:oneCellAnchor>
    <xdr:from>
      <xdr:col>1</xdr:col>
      <xdr:colOff>0</xdr:colOff>
      <xdr:row>322</xdr:row>
      <xdr:rowOff>0</xdr:rowOff>
    </xdr:from>
    <xdr:ext cx="2127250" cy="593304"/>
    <xdr:sp macro="" textlink="">
      <xdr:nvSpPr>
        <xdr:cNvPr id="7" name="Rectángulo 6">
          <a:extLst>
            <a:ext uri="{FF2B5EF4-FFF2-40B4-BE49-F238E27FC236}">
              <a16:creationId xmlns:a16="http://schemas.microsoft.com/office/drawing/2014/main" id="{00000000-0008-0000-4300-000007000000}"/>
            </a:ext>
          </a:extLst>
        </xdr:cNvPr>
        <xdr:cNvSpPr/>
      </xdr:nvSpPr>
      <xdr:spPr>
        <a:xfrm>
          <a:off x="809625" y="118176675"/>
          <a:ext cx="2127250" cy="593304"/>
        </a:xfrm>
        <a:prstGeom prst="rect">
          <a:avLst/>
        </a:prstGeom>
        <a:noFill/>
      </xdr:spPr>
      <xdr:txBody>
        <a:bodyPr wrap="square" lIns="91440" tIns="45720" rIns="91440" bIns="45720">
          <a:spAutoFit/>
        </a:bodyPr>
        <a:lstStyle/>
        <a:p>
          <a:pPr algn="l"/>
          <a:r>
            <a:rPr lang="es-ES" sz="3200" b="1" cap="none" spc="0">
              <a:ln w="0"/>
              <a:solidFill>
                <a:schemeClr val="tx1"/>
              </a:solidFill>
              <a:effectLst>
                <a:outerShdw blurRad="38100" dist="19050" dir="2700000" algn="tl" rotWithShape="0">
                  <a:schemeClr val="dk1">
                    <a:alpha val="40000"/>
                  </a:schemeClr>
                </a:outerShdw>
              </a:effectLst>
            </a:rPr>
            <a:t>NO APLICA</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876300</xdr:colOff>
      <xdr:row>9</xdr:row>
      <xdr:rowOff>28575</xdr:rowOff>
    </xdr:from>
    <xdr:ext cx="4057650" cy="1125501"/>
    <xdr:sp macro="" textlink="">
      <xdr:nvSpPr>
        <xdr:cNvPr id="3" name="Rectángulo 2">
          <a:extLst>
            <a:ext uri="{FF2B5EF4-FFF2-40B4-BE49-F238E27FC236}">
              <a16:creationId xmlns:a16="http://schemas.microsoft.com/office/drawing/2014/main" id="{00000000-0008-0000-2100-000003000000}"/>
            </a:ext>
          </a:extLst>
        </xdr:cNvPr>
        <xdr:cNvSpPr/>
      </xdr:nvSpPr>
      <xdr:spPr>
        <a:xfrm>
          <a:off x="5010150" y="1714500"/>
          <a:ext cx="4057650" cy="1125501"/>
        </a:xfrm>
        <a:prstGeom prst="rect">
          <a:avLst/>
        </a:prstGeom>
        <a:noFill/>
      </xdr:spPr>
      <xdr:txBody>
        <a:bodyPr wrap="square" lIns="91440" tIns="45720" rIns="91440" bIns="45720">
          <a:spAutoFit/>
        </a:bodyPr>
        <a:lstStyle/>
        <a:p>
          <a:pPr algn="l"/>
          <a:r>
            <a:rPr lang="es-ES" sz="6600" b="1" cap="none" spc="0">
              <a:ln w="0"/>
              <a:solidFill>
                <a:schemeClr val="tx1"/>
              </a:solidFill>
              <a:effectLst>
                <a:outerShdw blurRad="38100" dist="19050" dir="2700000" algn="tl" rotWithShape="0">
                  <a:schemeClr val="dk1">
                    <a:alpha val="40000"/>
                  </a:schemeClr>
                </a:outerShdw>
              </a:effectLst>
            </a:rPr>
            <a:t>NO APLICA</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876300</xdr:colOff>
      <xdr:row>9</xdr:row>
      <xdr:rowOff>19050</xdr:rowOff>
    </xdr:from>
    <xdr:ext cx="4057650" cy="1125501"/>
    <xdr:sp macro="" textlink="">
      <xdr:nvSpPr>
        <xdr:cNvPr id="3" name="Rectángulo 2">
          <a:extLst>
            <a:ext uri="{FF2B5EF4-FFF2-40B4-BE49-F238E27FC236}">
              <a16:creationId xmlns:a16="http://schemas.microsoft.com/office/drawing/2014/main" id="{00000000-0008-0000-2200-000003000000}"/>
            </a:ext>
          </a:extLst>
        </xdr:cNvPr>
        <xdr:cNvSpPr/>
      </xdr:nvSpPr>
      <xdr:spPr>
        <a:xfrm>
          <a:off x="5010150" y="1704975"/>
          <a:ext cx="4057650" cy="1125501"/>
        </a:xfrm>
        <a:prstGeom prst="rect">
          <a:avLst/>
        </a:prstGeom>
        <a:noFill/>
      </xdr:spPr>
      <xdr:txBody>
        <a:bodyPr wrap="square" lIns="91440" tIns="45720" rIns="91440" bIns="45720">
          <a:spAutoFit/>
        </a:bodyPr>
        <a:lstStyle/>
        <a:p>
          <a:pPr algn="l"/>
          <a:r>
            <a:rPr lang="es-ES" sz="6600" b="1" cap="none" spc="0">
              <a:ln w="0"/>
              <a:solidFill>
                <a:schemeClr val="tx1"/>
              </a:solidFill>
              <a:effectLst>
                <a:outerShdw blurRad="38100" dist="19050" dir="2700000" algn="tl" rotWithShape="0">
                  <a:schemeClr val="dk1">
                    <a:alpha val="40000"/>
                  </a:schemeClr>
                </a:outerShdw>
              </a:effectLst>
            </a:rPr>
            <a:t>NO APLICA</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876300</xdr:colOff>
      <xdr:row>9</xdr:row>
      <xdr:rowOff>28575</xdr:rowOff>
    </xdr:from>
    <xdr:ext cx="4057650" cy="1125501"/>
    <xdr:sp macro="" textlink="">
      <xdr:nvSpPr>
        <xdr:cNvPr id="3" name="Rectángulo 2">
          <a:extLst>
            <a:ext uri="{FF2B5EF4-FFF2-40B4-BE49-F238E27FC236}">
              <a16:creationId xmlns:a16="http://schemas.microsoft.com/office/drawing/2014/main" id="{00000000-0008-0000-2300-000003000000}"/>
            </a:ext>
          </a:extLst>
        </xdr:cNvPr>
        <xdr:cNvSpPr/>
      </xdr:nvSpPr>
      <xdr:spPr>
        <a:xfrm>
          <a:off x="5010150" y="1714500"/>
          <a:ext cx="4057650" cy="1125501"/>
        </a:xfrm>
        <a:prstGeom prst="rect">
          <a:avLst/>
        </a:prstGeom>
        <a:noFill/>
      </xdr:spPr>
      <xdr:txBody>
        <a:bodyPr wrap="square" lIns="91440" tIns="45720" rIns="91440" bIns="45720">
          <a:spAutoFit/>
        </a:bodyPr>
        <a:lstStyle/>
        <a:p>
          <a:pPr algn="l"/>
          <a:r>
            <a:rPr lang="es-ES" sz="6600" b="1" cap="none" spc="0">
              <a:ln w="0"/>
              <a:solidFill>
                <a:schemeClr val="tx1"/>
              </a:solidFill>
              <a:effectLst>
                <a:outerShdw blurRad="38100" dist="19050" dir="2700000" algn="tl" rotWithShape="0">
                  <a:schemeClr val="dk1">
                    <a:alpha val="40000"/>
                  </a:schemeClr>
                </a:outerShdw>
              </a:effectLst>
            </a:rPr>
            <a:t>NO APLICA</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57150</xdr:colOff>
      <xdr:row>11</xdr:row>
      <xdr:rowOff>161925</xdr:rowOff>
    </xdr:from>
    <xdr:ext cx="6915150" cy="1892569"/>
    <xdr:sp macro="" textlink="">
      <xdr:nvSpPr>
        <xdr:cNvPr id="3" name="Rectángulo 2">
          <a:extLst>
            <a:ext uri="{FF2B5EF4-FFF2-40B4-BE49-F238E27FC236}">
              <a16:creationId xmlns:a16="http://schemas.microsoft.com/office/drawing/2014/main" id="{00000000-0008-0000-2D00-000003000000}"/>
            </a:ext>
          </a:extLst>
        </xdr:cNvPr>
        <xdr:cNvSpPr/>
      </xdr:nvSpPr>
      <xdr:spPr>
        <a:xfrm>
          <a:off x="2962275" y="3448050"/>
          <a:ext cx="6915150" cy="1892569"/>
        </a:xfrm>
        <a:prstGeom prst="rect">
          <a:avLst/>
        </a:prstGeom>
        <a:noFill/>
      </xdr:spPr>
      <xdr:txBody>
        <a:bodyPr wrap="square" lIns="91440" tIns="45720" rIns="91440" bIns="45720">
          <a:spAutoFit/>
        </a:bodyPr>
        <a:lstStyle/>
        <a:p>
          <a:pPr algn="l"/>
          <a:r>
            <a:rPr lang="es-ES" sz="11500" b="1" cap="none" spc="0">
              <a:ln w="0"/>
              <a:solidFill>
                <a:schemeClr val="tx1"/>
              </a:solidFill>
              <a:effectLst>
                <a:outerShdw blurRad="38100" dist="19050" dir="2700000" algn="tl" rotWithShape="0">
                  <a:schemeClr val="dk1">
                    <a:alpha val="40000"/>
                  </a:schemeClr>
                </a:outerShdw>
              </a:effectLst>
            </a:rPr>
            <a:t>NO APLICA</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5</xdr:col>
      <xdr:colOff>57150</xdr:colOff>
      <xdr:row>11</xdr:row>
      <xdr:rowOff>161925</xdr:rowOff>
    </xdr:from>
    <xdr:ext cx="6915150" cy="1892569"/>
    <xdr:sp macro="" textlink="">
      <xdr:nvSpPr>
        <xdr:cNvPr id="4" name="Rectángulo 3">
          <a:extLst>
            <a:ext uri="{FF2B5EF4-FFF2-40B4-BE49-F238E27FC236}">
              <a16:creationId xmlns:a16="http://schemas.microsoft.com/office/drawing/2014/main" id="{00000000-0008-0000-2E00-000004000000}"/>
            </a:ext>
          </a:extLst>
        </xdr:cNvPr>
        <xdr:cNvSpPr/>
      </xdr:nvSpPr>
      <xdr:spPr>
        <a:xfrm>
          <a:off x="3171825" y="3448050"/>
          <a:ext cx="6915150" cy="1892569"/>
        </a:xfrm>
        <a:prstGeom prst="rect">
          <a:avLst/>
        </a:prstGeom>
        <a:noFill/>
      </xdr:spPr>
      <xdr:txBody>
        <a:bodyPr wrap="square" lIns="91440" tIns="45720" rIns="91440" bIns="45720">
          <a:spAutoFit/>
        </a:bodyPr>
        <a:lstStyle/>
        <a:p>
          <a:pPr algn="l"/>
          <a:r>
            <a:rPr lang="es-ES" sz="11500" b="1" cap="none" spc="0">
              <a:ln w="0"/>
              <a:solidFill>
                <a:schemeClr val="tx1"/>
              </a:solidFill>
              <a:effectLst>
                <a:outerShdw blurRad="38100" dist="19050" dir="2700000" algn="tl" rotWithShape="0">
                  <a:schemeClr val="dk1">
                    <a:alpha val="40000"/>
                  </a:schemeClr>
                </a:outerShdw>
              </a:effectLst>
            </a:rPr>
            <a:t>NO APLICA</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5</xdr:col>
      <xdr:colOff>57150</xdr:colOff>
      <xdr:row>11</xdr:row>
      <xdr:rowOff>161925</xdr:rowOff>
    </xdr:from>
    <xdr:ext cx="6915150" cy="1892569"/>
    <xdr:sp macro="" textlink="">
      <xdr:nvSpPr>
        <xdr:cNvPr id="3" name="Rectángulo 2">
          <a:extLst>
            <a:ext uri="{FF2B5EF4-FFF2-40B4-BE49-F238E27FC236}">
              <a16:creationId xmlns:a16="http://schemas.microsoft.com/office/drawing/2014/main" id="{00000000-0008-0000-2F00-000003000000}"/>
            </a:ext>
          </a:extLst>
        </xdr:cNvPr>
        <xdr:cNvSpPr/>
      </xdr:nvSpPr>
      <xdr:spPr>
        <a:xfrm>
          <a:off x="3171825" y="3448050"/>
          <a:ext cx="6915150" cy="1892569"/>
        </a:xfrm>
        <a:prstGeom prst="rect">
          <a:avLst/>
        </a:prstGeom>
        <a:noFill/>
      </xdr:spPr>
      <xdr:txBody>
        <a:bodyPr wrap="square" lIns="91440" tIns="45720" rIns="91440" bIns="45720">
          <a:spAutoFit/>
        </a:bodyPr>
        <a:lstStyle/>
        <a:p>
          <a:pPr algn="l"/>
          <a:r>
            <a:rPr lang="es-ES" sz="11500" b="1" cap="none" spc="0">
              <a:ln w="0"/>
              <a:solidFill>
                <a:schemeClr val="tx1"/>
              </a:solidFill>
              <a:effectLst>
                <a:outerShdw blurRad="38100" dist="19050" dir="2700000" algn="tl" rotWithShape="0">
                  <a:schemeClr val="dk1">
                    <a:alpha val="40000"/>
                  </a:schemeClr>
                </a:outerShdw>
              </a:effectLst>
            </a:rPr>
            <a:t>NO APLICA</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5</xdr:col>
      <xdr:colOff>57150</xdr:colOff>
      <xdr:row>11</xdr:row>
      <xdr:rowOff>161925</xdr:rowOff>
    </xdr:from>
    <xdr:ext cx="6915150" cy="1892569"/>
    <xdr:sp macro="" textlink="">
      <xdr:nvSpPr>
        <xdr:cNvPr id="3" name="Rectángulo 2">
          <a:extLst>
            <a:ext uri="{FF2B5EF4-FFF2-40B4-BE49-F238E27FC236}">
              <a16:creationId xmlns:a16="http://schemas.microsoft.com/office/drawing/2014/main" id="{00000000-0008-0000-3000-000003000000}"/>
            </a:ext>
          </a:extLst>
        </xdr:cNvPr>
        <xdr:cNvSpPr/>
      </xdr:nvSpPr>
      <xdr:spPr>
        <a:xfrm>
          <a:off x="3000375" y="3448050"/>
          <a:ext cx="6915150" cy="1892569"/>
        </a:xfrm>
        <a:prstGeom prst="rect">
          <a:avLst/>
        </a:prstGeom>
        <a:noFill/>
      </xdr:spPr>
      <xdr:txBody>
        <a:bodyPr wrap="square" lIns="91440" tIns="45720" rIns="91440" bIns="45720">
          <a:spAutoFit/>
        </a:bodyPr>
        <a:lstStyle/>
        <a:p>
          <a:pPr algn="l"/>
          <a:r>
            <a:rPr lang="es-ES" sz="11500" b="1" cap="none" spc="0">
              <a:ln w="0"/>
              <a:solidFill>
                <a:schemeClr val="tx1"/>
              </a:solidFill>
              <a:effectLst>
                <a:outerShdw blurRad="38100" dist="19050" dir="2700000" algn="tl" rotWithShape="0">
                  <a:schemeClr val="dk1">
                    <a:alpha val="40000"/>
                  </a:schemeClr>
                </a:outerShdw>
              </a:effectLst>
            </a:rPr>
            <a:t>NO APLICA</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7</xdr:row>
      <xdr:rowOff>0</xdr:rowOff>
    </xdr:from>
    <xdr:ext cx="2127250" cy="593304"/>
    <xdr:sp macro="" textlink="">
      <xdr:nvSpPr>
        <xdr:cNvPr id="2" name="Rectángulo 1">
          <a:extLst>
            <a:ext uri="{FF2B5EF4-FFF2-40B4-BE49-F238E27FC236}">
              <a16:creationId xmlns:a16="http://schemas.microsoft.com/office/drawing/2014/main" id="{00000000-0008-0000-3300-000002000000}"/>
            </a:ext>
          </a:extLst>
        </xdr:cNvPr>
        <xdr:cNvSpPr/>
      </xdr:nvSpPr>
      <xdr:spPr>
        <a:xfrm>
          <a:off x="2095500" y="1375833"/>
          <a:ext cx="2127250" cy="593304"/>
        </a:xfrm>
        <a:prstGeom prst="rect">
          <a:avLst/>
        </a:prstGeom>
        <a:noFill/>
      </xdr:spPr>
      <xdr:txBody>
        <a:bodyPr wrap="square" lIns="91440" tIns="45720" rIns="91440" bIns="45720">
          <a:spAutoFit/>
        </a:bodyPr>
        <a:lstStyle/>
        <a:p>
          <a:pPr algn="l"/>
          <a:r>
            <a:rPr lang="es-ES" sz="3200" b="1" cap="none" spc="0">
              <a:ln w="0"/>
              <a:solidFill>
                <a:schemeClr val="tx1"/>
              </a:solidFill>
              <a:effectLst>
                <a:outerShdw blurRad="38100" dist="19050" dir="2700000" algn="tl" rotWithShape="0">
                  <a:schemeClr val="dk1">
                    <a:alpha val="40000"/>
                  </a:schemeClr>
                </a:outerShdw>
              </a:effectLst>
            </a:rPr>
            <a:t>NO APLICA</a:t>
          </a:r>
        </a:p>
      </xdr:txBody>
    </xdr:sp>
    <xdr:clientData/>
  </xdr:oneCellAnchor>
  <xdr:oneCellAnchor>
    <xdr:from>
      <xdr:col>0</xdr:col>
      <xdr:colOff>2084916</xdr:colOff>
      <xdr:row>13</xdr:row>
      <xdr:rowOff>42332</xdr:rowOff>
    </xdr:from>
    <xdr:ext cx="2127250" cy="593304"/>
    <xdr:sp macro="" textlink="">
      <xdr:nvSpPr>
        <xdr:cNvPr id="3" name="Rectángulo 2">
          <a:extLst>
            <a:ext uri="{FF2B5EF4-FFF2-40B4-BE49-F238E27FC236}">
              <a16:creationId xmlns:a16="http://schemas.microsoft.com/office/drawing/2014/main" id="{00000000-0008-0000-3300-000003000000}"/>
            </a:ext>
          </a:extLst>
        </xdr:cNvPr>
        <xdr:cNvSpPr/>
      </xdr:nvSpPr>
      <xdr:spPr>
        <a:xfrm>
          <a:off x="2084916" y="2317749"/>
          <a:ext cx="2127250" cy="593304"/>
        </a:xfrm>
        <a:prstGeom prst="rect">
          <a:avLst/>
        </a:prstGeom>
        <a:noFill/>
      </xdr:spPr>
      <xdr:txBody>
        <a:bodyPr wrap="square" lIns="91440" tIns="45720" rIns="91440" bIns="45720">
          <a:spAutoFit/>
        </a:bodyPr>
        <a:lstStyle/>
        <a:p>
          <a:pPr algn="l"/>
          <a:r>
            <a:rPr lang="es-ES" sz="3200" b="1" cap="none" spc="0">
              <a:ln w="0"/>
              <a:solidFill>
                <a:schemeClr val="tx1"/>
              </a:solidFill>
              <a:effectLst>
                <a:outerShdw blurRad="38100" dist="19050" dir="2700000" algn="tl" rotWithShape="0">
                  <a:schemeClr val="dk1">
                    <a:alpha val="40000"/>
                  </a:schemeClr>
                </a:outerShdw>
              </a:effectLst>
            </a:rPr>
            <a:t>NO APLICA</a:t>
          </a:r>
        </a:p>
      </xdr:txBody>
    </xdr:sp>
    <xdr:clientData/>
  </xdr:oneCellAnchor>
  <xdr:oneCellAnchor>
    <xdr:from>
      <xdr:col>1</xdr:col>
      <xdr:colOff>0</xdr:colOff>
      <xdr:row>52</xdr:row>
      <xdr:rowOff>0</xdr:rowOff>
    </xdr:from>
    <xdr:ext cx="2127250" cy="593304"/>
    <xdr:sp macro="" textlink="">
      <xdr:nvSpPr>
        <xdr:cNvPr id="4" name="Rectángulo 3">
          <a:extLst>
            <a:ext uri="{FF2B5EF4-FFF2-40B4-BE49-F238E27FC236}">
              <a16:creationId xmlns:a16="http://schemas.microsoft.com/office/drawing/2014/main" id="{00000000-0008-0000-3300-000004000000}"/>
            </a:ext>
          </a:extLst>
        </xdr:cNvPr>
        <xdr:cNvSpPr/>
      </xdr:nvSpPr>
      <xdr:spPr>
        <a:xfrm>
          <a:off x="2095500" y="44934188"/>
          <a:ext cx="2127250" cy="593304"/>
        </a:xfrm>
        <a:prstGeom prst="rect">
          <a:avLst/>
        </a:prstGeom>
        <a:noFill/>
      </xdr:spPr>
      <xdr:txBody>
        <a:bodyPr wrap="square" lIns="91440" tIns="45720" rIns="91440" bIns="45720">
          <a:spAutoFit/>
        </a:bodyPr>
        <a:lstStyle/>
        <a:p>
          <a:pPr algn="l"/>
          <a:r>
            <a:rPr lang="es-ES" sz="3200" b="1" cap="none" spc="0">
              <a:ln w="0"/>
              <a:solidFill>
                <a:schemeClr val="tx1"/>
              </a:solidFill>
              <a:effectLst>
                <a:outerShdw blurRad="38100" dist="19050" dir="2700000" algn="tl" rotWithShape="0">
                  <a:schemeClr val="dk1">
                    <a:alpha val="40000"/>
                  </a:schemeClr>
                </a:outerShdw>
              </a:effectLst>
            </a:rPr>
            <a:t>NO APLICA</a:t>
          </a:r>
        </a:p>
      </xdr:txBody>
    </xdr:sp>
    <xdr:clientData/>
  </xdr:oneCellAnchor>
  <xdr:oneCellAnchor>
    <xdr:from>
      <xdr:col>1</xdr:col>
      <xdr:colOff>11907</xdr:colOff>
      <xdr:row>57</xdr:row>
      <xdr:rowOff>11907</xdr:rowOff>
    </xdr:from>
    <xdr:ext cx="2127250" cy="593304"/>
    <xdr:sp macro="" textlink="">
      <xdr:nvSpPr>
        <xdr:cNvPr id="5" name="Rectángulo 4">
          <a:extLst>
            <a:ext uri="{FF2B5EF4-FFF2-40B4-BE49-F238E27FC236}">
              <a16:creationId xmlns:a16="http://schemas.microsoft.com/office/drawing/2014/main" id="{00000000-0008-0000-3300-000005000000}"/>
            </a:ext>
          </a:extLst>
        </xdr:cNvPr>
        <xdr:cNvSpPr/>
      </xdr:nvSpPr>
      <xdr:spPr>
        <a:xfrm>
          <a:off x="2107407" y="45791438"/>
          <a:ext cx="2127250" cy="593304"/>
        </a:xfrm>
        <a:prstGeom prst="rect">
          <a:avLst/>
        </a:prstGeom>
        <a:noFill/>
      </xdr:spPr>
      <xdr:txBody>
        <a:bodyPr wrap="square" lIns="91440" tIns="45720" rIns="91440" bIns="45720">
          <a:spAutoFit/>
        </a:bodyPr>
        <a:lstStyle/>
        <a:p>
          <a:pPr algn="l"/>
          <a:r>
            <a:rPr lang="es-ES" sz="3200" b="1" cap="none" spc="0">
              <a:ln w="0"/>
              <a:solidFill>
                <a:schemeClr val="tx1"/>
              </a:solidFill>
              <a:effectLst>
                <a:outerShdw blurRad="38100" dist="19050" dir="2700000" algn="tl" rotWithShape="0">
                  <a:schemeClr val="dk1">
                    <a:alpha val="40000"/>
                  </a:schemeClr>
                </a:outerShdw>
              </a:effectLst>
            </a:rPr>
            <a:t>NO APLICA</a:t>
          </a:r>
        </a:p>
      </xdr:txBody>
    </xdr:sp>
    <xdr:clientData/>
  </xdr:oneCellAnchor>
  <xdr:oneCellAnchor>
    <xdr:from>
      <xdr:col>1</xdr:col>
      <xdr:colOff>0</xdr:colOff>
      <xdr:row>63</xdr:row>
      <xdr:rowOff>0</xdr:rowOff>
    </xdr:from>
    <xdr:ext cx="2127250" cy="593304"/>
    <xdr:sp macro="" textlink="">
      <xdr:nvSpPr>
        <xdr:cNvPr id="6" name="Rectángulo 5">
          <a:extLst>
            <a:ext uri="{FF2B5EF4-FFF2-40B4-BE49-F238E27FC236}">
              <a16:creationId xmlns:a16="http://schemas.microsoft.com/office/drawing/2014/main" id="{00000000-0008-0000-3300-000006000000}"/>
            </a:ext>
          </a:extLst>
        </xdr:cNvPr>
        <xdr:cNvSpPr/>
      </xdr:nvSpPr>
      <xdr:spPr>
        <a:xfrm>
          <a:off x="2095500" y="46779656"/>
          <a:ext cx="2127250" cy="593304"/>
        </a:xfrm>
        <a:prstGeom prst="rect">
          <a:avLst/>
        </a:prstGeom>
        <a:noFill/>
      </xdr:spPr>
      <xdr:txBody>
        <a:bodyPr wrap="square" lIns="91440" tIns="45720" rIns="91440" bIns="45720">
          <a:spAutoFit/>
        </a:bodyPr>
        <a:lstStyle/>
        <a:p>
          <a:pPr algn="l"/>
          <a:r>
            <a:rPr lang="es-ES" sz="3200" b="1" cap="none" spc="0">
              <a:ln w="0"/>
              <a:solidFill>
                <a:schemeClr val="tx1"/>
              </a:solidFill>
              <a:effectLst>
                <a:outerShdw blurRad="38100" dist="19050" dir="2700000" algn="tl" rotWithShape="0">
                  <a:schemeClr val="dk1">
                    <a:alpha val="40000"/>
                  </a:schemeClr>
                </a:outerShdw>
              </a:effectLst>
            </a:rPr>
            <a:t>NO APLICA</a:t>
          </a:r>
        </a:p>
      </xdr:txBody>
    </xdr:sp>
    <xdr:clientData/>
  </xdr:oneCellAnchor>
  <xdr:oneCellAnchor>
    <xdr:from>
      <xdr:col>1</xdr:col>
      <xdr:colOff>0</xdr:colOff>
      <xdr:row>74</xdr:row>
      <xdr:rowOff>0</xdr:rowOff>
    </xdr:from>
    <xdr:ext cx="2127250" cy="593304"/>
    <xdr:sp macro="" textlink="">
      <xdr:nvSpPr>
        <xdr:cNvPr id="7" name="Rectángulo 6">
          <a:extLst>
            <a:ext uri="{FF2B5EF4-FFF2-40B4-BE49-F238E27FC236}">
              <a16:creationId xmlns:a16="http://schemas.microsoft.com/office/drawing/2014/main" id="{00000000-0008-0000-3300-000007000000}"/>
            </a:ext>
          </a:extLst>
        </xdr:cNvPr>
        <xdr:cNvSpPr/>
      </xdr:nvSpPr>
      <xdr:spPr>
        <a:xfrm>
          <a:off x="2095500" y="53542406"/>
          <a:ext cx="2127250" cy="593304"/>
        </a:xfrm>
        <a:prstGeom prst="rect">
          <a:avLst/>
        </a:prstGeom>
        <a:noFill/>
      </xdr:spPr>
      <xdr:txBody>
        <a:bodyPr wrap="square" lIns="91440" tIns="45720" rIns="91440" bIns="45720">
          <a:spAutoFit/>
        </a:bodyPr>
        <a:lstStyle/>
        <a:p>
          <a:pPr algn="l"/>
          <a:r>
            <a:rPr lang="es-ES" sz="3200" b="1" cap="none" spc="0">
              <a:ln w="0"/>
              <a:solidFill>
                <a:schemeClr val="tx1"/>
              </a:solidFill>
              <a:effectLst>
                <a:outerShdw blurRad="38100" dist="19050" dir="2700000" algn="tl" rotWithShape="0">
                  <a:schemeClr val="dk1">
                    <a:alpha val="40000"/>
                  </a:schemeClr>
                </a:outerShdw>
              </a:effectLst>
            </a:rPr>
            <a:t>NO APLICA</a:t>
          </a:r>
        </a:p>
      </xdr:txBody>
    </xdr:sp>
    <xdr:clientData/>
  </xdr:oneCellAnchor>
  <xdr:oneCellAnchor>
    <xdr:from>
      <xdr:col>1</xdr:col>
      <xdr:colOff>0</xdr:colOff>
      <xdr:row>79</xdr:row>
      <xdr:rowOff>0</xdr:rowOff>
    </xdr:from>
    <xdr:ext cx="2127250" cy="593304"/>
    <xdr:sp macro="" textlink="">
      <xdr:nvSpPr>
        <xdr:cNvPr id="8" name="Rectángulo 7">
          <a:extLst>
            <a:ext uri="{FF2B5EF4-FFF2-40B4-BE49-F238E27FC236}">
              <a16:creationId xmlns:a16="http://schemas.microsoft.com/office/drawing/2014/main" id="{00000000-0008-0000-3300-000008000000}"/>
            </a:ext>
          </a:extLst>
        </xdr:cNvPr>
        <xdr:cNvSpPr/>
      </xdr:nvSpPr>
      <xdr:spPr>
        <a:xfrm>
          <a:off x="2095500" y="54340125"/>
          <a:ext cx="2127250" cy="593304"/>
        </a:xfrm>
        <a:prstGeom prst="rect">
          <a:avLst/>
        </a:prstGeom>
        <a:noFill/>
      </xdr:spPr>
      <xdr:txBody>
        <a:bodyPr wrap="square" lIns="91440" tIns="45720" rIns="91440" bIns="45720">
          <a:spAutoFit/>
        </a:bodyPr>
        <a:lstStyle/>
        <a:p>
          <a:pPr algn="l"/>
          <a:r>
            <a:rPr lang="es-ES" sz="3200" b="1" cap="none" spc="0">
              <a:ln w="0"/>
              <a:solidFill>
                <a:schemeClr val="tx1"/>
              </a:solidFill>
              <a:effectLst>
                <a:outerShdw blurRad="38100" dist="19050" dir="2700000" algn="tl" rotWithShape="0">
                  <a:schemeClr val="dk1">
                    <a:alpha val="40000"/>
                  </a:schemeClr>
                </a:outerShdw>
              </a:effectLst>
            </a:rPr>
            <a:t>NO APLICA</a:t>
          </a:r>
        </a:p>
      </xdr:txBody>
    </xdr:sp>
    <xdr:clientData/>
  </xdr:oneCellAnchor>
  <xdr:oneCellAnchor>
    <xdr:from>
      <xdr:col>1</xdr:col>
      <xdr:colOff>0</xdr:colOff>
      <xdr:row>84</xdr:row>
      <xdr:rowOff>0</xdr:rowOff>
    </xdr:from>
    <xdr:ext cx="2127250" cy="593304"/>
    <xdr:sp macro="" textlink="">
      <xdr:nvSpPr>
        <xdr:cNvPr id="9" name="Rectángulo 8">
          <a:extLst>
            <a:ext uri="{FF2B5EF4-FFF2-40B4-BE49-F238E27FC236}">
              <a16:creationId xmlns:a16="http://schemas.microsoft.com/office/drawing/2014/main" id="{00000000-0008-0000-3300-000009000000}"/>
            </a:ext>
          </a:extLst>
        </xdr:cNvPr>
        <xdr:cNvSpPr/>
      </xdr:nvSpPr>
      <xdr:spPr>
        <a:xfrm>
          <a:off x="2095500" y="55137844"/>
          <a:ext cx="2127250" cy="593304"/>
        </a:xfrm>
        <a:prstGeom prst="rect">
          <a:avLst/>
        </a:prstGeom>
        <a:noFill/>
      </xdr:spPr>
      <xdr:txBody>
        <a:bodyPr wrap="square" lIns="91440" tIns="45720" rIns="91440" bIns="45720">
          <a:spAutoFit/>
        </a:bodyPr>
        <a:lstStyle/>
        <a:p>
          <a:pPr algn="l"/>
          <a:r>
            <a:rPr lang="es-ES" sz="3200" b="1" cap="none" spc="0">
              <a:ln w="0"/>
              <a:solidFill>
                <a:schemeClr val="tx1"/>
              </a:solidFill>
              <a:effectLst>
                <a:outerShdw blurRad="38100" dist="19050" dir="2700000" algn="tl" rotWithShape="0">
                  <a:schemeClr val="dk1">
                    <a:alpha val="40000"/>
                  </a:schemeClr>
                </a:outerShdw>
              </a:effectLst>
            </a:rPr>
            <a:t>NO APLICA</a:t>
          </a:r>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SR34"/>
  <sheetViews>
    <sheetView tabSelected="1" view="pageBreakPreview" zoomScaleNormal="100" zoomScaleSheetLayoutView="100" workbookViewId="0">
      <selection activeCell="B8" sqref="B8"/>
    </sheetView>
  </sheetViews>
  <sheetFormatPr baseColWidth="10" defaultRowHeight="12.75"/>
  <cols>
    <col min="1" max="1" width="19.85546875" style="63" customWidth="1"/>
    <col min="2" max="2" width="69.85546875" style="64" customWidth="1"/>
    <col min="3" max="5" width="8.7109375" style="63" customWidth="1"/>
    <col min="6" max="16384" width="11.42578125" style="63"/>
  </cols>
  <sheetData>
    <row r="1" spans="1:512" s="62" customFormat="1" ht="15.75">
      <c r="A1" s="60" t="s">
        <v>328</v>
      </c>
      <c r="B1" s="61"/>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row>
    <row r="2" spans="1:512">
      <c r="C2" s="340"/>
      <c r="D2" s="340"/>
      <c r="E2" s="110"/>
      <c r="F2" s="67"/>
    </row>
    <row r="3" spans="1:512">
      <c r="A3" s="65" t="s">
        <v>348</v>
      </c>
      <c r="E3" s="67"/>
      <c r="F3" s="67"/>
    </row>
    <row r="4" spans="1:512">
      <c r="E4" s="67"/>
      <c r="F4" s="67"/>
    </row>
    <row r="5" spans="1:512" s="189" customFormat="1" ht="27" customHeight="1">
      <c r="A5" s="192" t="s">
        <v>330</v>
      </c>
      <c r="B5" s="1938" t="s">
        <v>329</v>
      </c>
      <c r="C5" s="1939"/>
      <c r="D5" s="1939"/>
      <c r="E5" s="1940"/>
      <c r="F5" s="193"/>
    </row>
    <row r="6" spans="1:512">
      <c r="A6" s="65"/>
      <c r="B6" s="188"/>
      <c r="C6" s="189"/>
      <c r="D6" s="189"/>
      <c r="E6" s="190"/>
      <c r="F6" s="67"/>
    </row>
    <row r="7" spans="1:512">
      <c r="A7" s="65" t="s">
        <v>349</v>
      </c>
      <c r="B7" s="188"/>
      <c r="C7" s="189"/>
      <c r="D7" s="189"/>
      <c r="E7" s="190"/>
      <c r="F7" s="67"/>
    </row>
    <row r="8" spans="1:512">
      <c r="A8" s="65"/>
      <c r="B8" s="188"/>
      <c r="C8" s="189"/>
      <c r="D8" s="189"/>
      <c r="E8" s="190"/>
      <c r="F8" s="67"/>
    </row>
    <row r="9" spans="1:512" s="189" customFormat="1" ht="27" customHeight="1">
      <c r="A9" s="192" t="s">
        <v>331</v>
      </c>
      <c r="B9" s="1938" t="s">
        <v>423</v>
      </c>
      <c r="C9" s="1939"/>
      <c r="D9" s="1939"/>
      <c r="E9" s="1940"/>
      <c r="F9" s="190"/>
    </row>
    <row r="10" spans="1:512" s="189" customFormat="1" ht="27" customHeight="1">
      <c r="A10" s="192" t="s">
        <v>332</v>
      </c>
      <c r="B10" s="1938" t="s">
        <v>424</v>
      </c>
      <c r="C10" s="1939"/>
      <c r="D10" s="1939"/>
      <c r="E10" s="1940"/>
      <c r="F10" s="190"/>
    </row>
    <row r="11" spans="1:512" s="189" customFormat="1" ht="27" customHeight="1">
      <c r="A11" s="192" t="s">
        <v>333</v>
      </c>
      <c r="B11" s="1938" t="s">
        <v>425</v>
      </c>
      <c r="C11" s="1939"/>
      <c r="D11" s="1939"/>
      <c r="E11" s="1940"/>
      <c r="F11" s="190"/>
    </row>
    <row r="12" spans="1:512" s="189" customFormat="1" ht="27" customHeight="1">
      <c r="A12" s="192" t="s">
        <v>334</v>
      </c>
      <c r="B12" s="1938" t="s">
        <v>426</v>
      </c>
      <c r="C12" s="1939"/>
      <c r="D12" s="1939"/>
      <c r="E12" s="1940"/>
      <c r="F12" s="190"/>
    </row>
    <row r="13" spans="1:512" s="189" customFormat="1" ht="27" customHeight="1">
      <c r="A13" s="192" t="s">
        <v>335</v>
      </c>
      <c r="B13" s="1938" t="s">
        <v>427</v>
      </c>
      <c r="C13" s="1939"/>
      <c r="D13" s="1939"/>
      <c r="E13" s="1940"/>
      <c r="F13" s="190"/>
    </row>
    <row r="14" spans="1:512" s="189" customFormat="1" ht="27" customHeight="1">
      <c r="A14" s="192" t="s">
        <v>336</v>
      </c>
      <c r="B14" s="1938" t="s">
        <v>428</v>
      </c>
      <c r="C14" s="1939"/>
      <c r="D14" s="1939"/>
      <c r="E14" s="1940"/>
      <c r="F14" s="190"/>
    </row>
    <row r="15" spans="1:512" s="189" customFormat="1" ht="27" customHeight="1">
      <c r="A15" s="192" t="s">
        <v>337</v>
      </c>
      <c r="B15" s="1938" t="s">
        <v>429</v>
      </c>
      <c r="C15" s="1939"/>
      <c r="D15" s="1939"/>
      <c r="E15" s="1940"/>
      <c r="F15" s="190"/>
    </row>
    <row r="16" spans="1:512">
      <c r="A16" s="65"/>
      <c r="B16" s="188"/>
      <c r="C16" s="189"/>
      <c r="D16" s="189"/>
      <c r="E16" s="190"/>
      <c r="F16" s="67"/>
    </row>
    <row r="17" spans="1:6">
      <c r="A17" s="65" t="s">
        <v>350</v>
      </c>
      <c r="B17" s="188"/>
      <c r="C17" s="189"/>
      <c r="D17" s="189"/>
      <c r="E17" s="190"/>
      <c r="F17" s="67"/>
    </row>
    <row r="18" spans="1:6">
      <c r="A18" s="65"/>
      <c r="B18" s="188"/>
      <c r="C18" s="189"/>
      <c r="D18" s="189"/>
      <c r="E18" s="190"/>
      <c r="F18" s="67"/>
    </row>
    <row r="19" spans="1:6" s="189" customFormat="1" ht="27" customHeight="1">
      <c r="A19" s="192" t="s">
        <v>338</v>
      </c>
      <c r="B19" s="1938" t="s">
        <v>430</v>
      </c>
      <c r="C19" s="1939"/>
      <c r="D19" s="1939"/>
      <c r="E19" s="1940"/>
      <c r="F19" s="190"/>
    </row>
    <row r="20" spans="1:6" s="189" customFormat="1" ht="27" customHeight="1">
      <c r="A20" s="192" t="s">
        <v>339</v>
      </c>
      <c r="B20" s="1938" t="s">
        <v>431</v>
      </c>
      <c r="C20" s="1939"/>
      <c r="D20" s="1939"/>
      <c r="E20" s="1940"/>
      <c r="F20" s="190"/>
    </row>
    <row r="21" spans="1:6" s="189" customFormat="1" ht="27" customHeight="1">
      <c r="A21" s="192" t="s">
        <v>340</v>
      </c>
      <c r="B21" s="1938" t="s">
        <v>432</v>
      </c>
      <c r="C21" s="1939"/>
      <c r="D21" s="1939"/>
      <c r="E21" s="1940"/>
      <c r="F21" s="190"/>
    </row>
    <row r="22" spans="1:6">
      <c r="A22" s="65"/>
      <c r="B22" s="188"/>
      <c r="C22" s="189"/>
      <c r="D22" s="189"/>
      <c r="E22" s="190"/>
      <c r="F22" s="67"/>
    </row>
    <row r="23" spans="1:6">
      <c r="A23" s="65" t="s">
        <v>351</v>
      </c>
      <c r="B23" s="188"/>
      <c r="C23" s="189"/>
      <c r="D23" s="189"/>
      <c r="E23" s="190"/>
      <c r="F23" s="67"/>
    </row>
    <row r="24" spans="1:6">
      <c r="A24" s="65"/>
      <c r="B24" s="188"/>
      <c r="C24" s="189"/>
      <c r="D24" s="189"/>
      <c r="E24" s="190"/>
      <c r="F24" s="67"/>
    </row>
    <row r="25" spans="1:6" s="189" customFormat="1" ht="27" customHeight="1">
      <c r="A25" s="192" t="s">
        <v>341</v>
      </c>
      <c r="B25" s="1938" t="s">
        <v>433</v>
      </c>
      <c r="C25" s="1939"/>
      <c r="D25" s="1939"/>
      <c r="E25" s="1940"/>
      <c r="F25" s="190"/>
    </row>
    <row r="26" spans="1:6" s="189" customFormat="1" ht="27" customHeight="1">
      <c r="A26" s="192" t="s">
        <v>342</v>
      </c>
      <c r="B26" s="1938" t="s">
        <v>434</v>
      </c>
      <c r="C26" s="1939"/>
      <c r="D26" s="1939"/>
      <c r="E26" s="1940"/>
      <c r="F26" s="190"/>
    </row>
    <row r="27" spans="1:6" s="189" customFormat="1" ht="27" customHeight="1">
      <c r="A27" s="192" t="s">
        <v>343</v>
      </c>
      <c r="B27" s="1938" t="s">
        <v>435</v>
      </c>
      <c r="C27" s="1939"/>
      <c r="D27" s="1939"/>
      <c r="E27" s="1940"/>
      <c r="F27" s="190"/>
    </row>
    <row r="28" spans="1:6" s="189" customFormat="1" ht="27" customHeight="1">
      <c r="A28" s="192" t="s">
        <v>344</v>
      </c>
      <c r="B28" s="1938" t="s">
        <v>436</v>
      </c>
      <c r="C28" s="1939"/>
      <c r="D28" s="1939"/>
      <c r="E28" s="1940"/>
      <c r="F28" s="190"/>
    </row>
    <row r="29" spans="1:6" s="189" customFormat="1" ht="27" customHeight="1">
      <c r="A29" s="192" t="s">
        <v>345</v>
      </c>
      <c r="B29" s="1938" t="s">
        <v>437</v>
      </c>
      <c r="C29" s="1939"/>
      <c r="D29" s="1939"/>
      <c r="E29" s="1940"/>
      <c r="F29" s="190"/>
    </row>
    <row r="30" spans="1:6">
      <c r="A30" s="65"/>
      <c r="B30" s="188"/>
      <c r="C30" s="189"/>
      <c r="D30" s="189"/>
      <c r="E30" s="190"/>
      <c r="F30" s="67"/>
    </row>
    <row r="31" spans="1:6">
      <c r="A31" s="65" t="s">
        <v>24</v>
      </c>
      <c r="B31" s="188"/>
      <c r="C31" s="189"/>
      <c r="D31" s="189"/>
      <c r="E31" s="190"/>
      <c r="F31" s="67"/>
    </row>
    <row r="32" spans="1:6">
      <c r="A32" s="65"/>
      <c r="B32" s="188"/>
      <c r="C32" s="189"/>
      <c r="D32" s="189"/>
      <c r="E32" s="190"/>
      <c r="F32" s="67"/>
    </row>
    <row r="33" spans="1:6" s="189" customFormat="1" ht="27" customHeight="1">
      <c r="A33" s="192" t="s">
        <v>346</v>
      </c>
      <c r="B33" s="1938" t="s">
        <v>438</v>
      </c>
      <c r="C33" s="1939"/>
      <c r="D33" s="1939"/>
      <c r="E33" s="1940"/>
      <c r="F33" s="190"/>
    </row>
    <row r="34" spans="1:6" s="189" customFormat="1" ht="27" customHeight="1">
      <c r="A34" s="192" t="s">
        <v>347</v>
      </c>
      <c r="B34" s="1938" t="s">
        <v>439</v>
      </c>
      <c r="C34" s="1939"/>
      <c r="D34" s="1939"/>
      <c r="E34" s="1940"/>
      <c r="F34" s="190"/>
    </row>
  </sheetData>
  <mergeCells count="18">
    <mergeCell ref="B33:E33"/>
    <mergeCell ref="B34:E34"/>
    <mergeCell ref="B9:E9"/>
    <mergeCell ref="B10:E10"/>
    <mergeCell ref="B11:E11"/>
    <mergeCell ref="B15:E15"/>
    <mergeCell ref="B21:E21"/>
    <mergeCell ref="B25:E25"/>
    <mergeCell ref="B26:E26"/>
    <mergeCell ref="B27:E27"/>
    <mergeCell ref="B28:E28"/>
    <mergeCell ref="B29:E29"/>
    <mergeCell ref="B20:E20"/>
    <mergeCell ref="B5:E5"/>
    <mergeCell ref="B12:E12"/>
    <mergeCell ref="B13:E13"/>
    <mergeCell ref="B14:E14"/>
    <mergeCell ref="B19:E19"/>
  </mergeCells>
  <printOptions horizontalCentered="1"/>
  <pageMargins left="0.19685039370078741" right="0.19685039370078741" top="0.78740157480314965" bottom="0.78740157480314965" header="0.19685039370078741" footer="0.19685039370078741"/>
  <pageSetup paperSize="9" orientation="landscape" r:id="rId1"/>
  <headerFooter alignWithMargins="0">
    <oddHeader>&amp;C&amp;"Arial,Negrita"&amp;18FORMATOS DEL 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2060"/>
  </sheetPr>
  <dimension ref="A1:X371"/>
  <sheetViews>
    <sheetView topLeftCell="A259" zoomScale="85" zoomScaleNormal="85" workbookViewId="0">
      <selection activeCell="B8" sqref="B8"/>
    </sheetView>
  </sheetViews>
  <sheetFormatPr baseColWidth="10" defaultColWidth="11.42578125" defaultRowHeight="12"/>
  <cols>
    <col min="1" max="1" width="29.28515625" style="11" customWidth="1"/>
    <col min="2" max="2" width="7.5703125" style="11" bestFit="1" customWidth="1"/>
    <col min="3" max="3" width="5.85546875" style="11" bestFit="1" customWidth="1"/>
    <col min="4" max="4" width="7.28515625" style="11" bestFit="1" customWidth="1"/>
    <col min="5" max="6" width="6" style="11" bestFit="1" customWidth="1"/>
    <col min="7" max="7" width="6.5703125" style="11" bestFit="1" customWidth="1"/>
    <col min="8" max="8" width="6.28515625" style="11" bestFit="1" customWidth="1"/>
    <col min="9" max="9" width="6.85546875" style="11" bestFit="1" customWidth="1"/>
    <col min="10" max="10" width="7.5703125" style="11" bestFit="1" customWidth="1"/>
    <col min="11" max="11" width="8.5703125" style="11" bestFit="1" customWidth="1"/>
    <col min="12" max="13" width="13.42578125" style="11" bestFit="1" customWidth="1"/>
    <col min="14" max="14" width="8.5703125" style="11" bestFit="1" customWidth="1"/>
    <col min="15" max="15" width="7.28515625" style="11" bestFit="1" customWidth="1"/>
    <col min="16" max="20" width="5.140625" style="11" bestFit="1" customWidth="1"/>
    <col min="21" max="21" width="7.5703125" style="11" bestFit="1" customWidth="1"/>
    <col min="22" max="22" width="8.5703125" style="11" bestFit="1" customWidth="1"/>
    <col min="23" max="23" width="13.42578125" style="11" bestFit="1" customWidth="1"/>
    <col min="24" max="24" width="1.7109375" style="52" customWidth="1"/>
    <col min="25" max="16384" width="11.42578125" style="68"/>
  </cols>
  <sheetData>
    <row r="1" spans="1:24" s="72" customFormat="1" ht="15.75">
      <c r="A1" s="186" t="s">
        <v>458</v>
      </c>
      <c r="B1" s="71"/>
      <c r="C1" s="71"/>
      <c r="D1" s="71"/>
      <c r="E1" s="71"/>
      <c r="F1" s="71"/>
      <c r="G1" s="71"/>
      <c r="H1" s="71"/>
      <c r="I1" s="71"/>
      <c r="J1" s="71"/>
      <c r="K1" s="71"/>
      <c r="L1" s="71"/>
      <c r="M1" s="71"/>
      <c r="N1" s="71"/>
      <c r="O1" s="71"/>
      <c r="P1" s="71"/>
      <c r="Q1" s="71"/>
      <c r="R1" s="71"/>
      <c r="S1" s="71"/>
      <c r="T1" s="71"/>
      <c r="U1" s="71"/>
      <c r="V1" s="71"/>
      <c r="W1" s="71"/>
      <c r="X1" s="73"/>
    </row>
    <row r="2" spans="1:24" s="72" customFormat="1" ht="15.75">
      <c r="A2" s="186" t="s">
        <v>382</v>
      </c>
      <c r="B2" s="71"/>
      <c r="C2" s="71"/>
      <c r="D2" s="71"/>
      <c r="E2" s="71"/>
      <c r="F2" s="71"/>
      <c r="G2" s="71"/>
      <c r="H2" s="71"/>
      <c r="I2" s="71"/>
      <c r="J2" s="71"/>
      <c r="K2" s="71"/>
      <c r="L2" s="71"/>
      <c r="M2" s="71"/>
      <c r="N2" s="71"/>
      <c r="O2" s="71"/>
      <c r="P2" s="71"/>
      <c r="Q2" s="71"/>
      <c r="R2" s="71"/>
      <c r="S2" s="71"/>
      <c r="T2" s="71"/>
      <c r="U2" s="71"/>
      <c r="V2" s="71"/>
      <c r="W2" s="71"/>
      <c r="X2" s="73"/>
    </row>
    <row r="3" spans="1:24" s="710" customFormat="1" ht="9" thickBot="1">
      <c r="A3" s="713"/>
      <c r="B3" s="713"/>
      <c r="C3" s="713"/>
      <c r="D3" s="713"/>
      <c r="E3" s="713"/>
      <c r="F3" s="713"/>
      <c r="G3" s="713"/>
      <c r="H3" s="713"/>
      <c r="I3" s="713"/>
      <c r="J3" s="713"/>
      <c r="K3" s="713"/>
      <c r="L3" s="714"/>
      <c r="M3" s="713"/>
      <c r="N3" s="713"/>
      <c r="O3" s="713"/>
      <c r="P3" s="713"/>
      <c r="Q3" s="713"/>
      <c r="R3" s="713"/>
      <c r="S3" s="713"/>
      <c r="T3" s="713"/>
      <c r="U3" s="713"/>
      <c r="V3" s="713"/>
      <c r="W3" s="714"/>
      <c r="X3" s="709"/>
    </row>
    <row r="4" spans="1:24" s="41" customFormat="1" ht="11.25">
      <c r="A4" s="120" t="s">
        <v>10</v>
      </c>
      <c r="B4" s="2001" t="s">
        <v>456</v>
      </c>
      <c r="C4" s="2002"/>
      <c r="D4" s="2002"/>
      <c r="E4" s="2002"/>
      <c r="F4" s="2002"/>
      <c r="G4" s="2002"/>
      <c r="H4" s="2002"/>
      <c r="I4" s="2002"/>
      <c r="J4" s="2002"/>
      <c r="K4" s="2002"/>
      <c r="L4" s="2003"/>
      <c r="M4" s="2001" t="s">
        <v>457</v>
      </c>
      <c r="N4" s="2002"/>
      <c r="O4" s="2002"/>
      <c r="P4" s="2002"/>
      <c r="Q4" s="2002"/>
      <c r="R4" s="2002"/>
      <c r="S4" s="2002"/>
      <c r="T4" s="2002"/>
      <c r="U4" s="2002"/>
      <c r="V4" s="2002"/>
      <c r="W4" s="2003"/>
      <c r="X4" s="53"/>
    </row>
    <row r="5" spans="1:24" s="42" customFormat="1" ht="99">
      <c r="A5" s="121" t="s">
        <v>9</v>
      </c>
      <c r="B5" s="122" t="s">
        <v>310</v>
      </c>
      <c r="C5" s="122" t="s">
        <v>118</v>
      </c>
      <c r="D5" s="123" t="s">
        <v>266</v>
      </c>
      <c r="E5" s="123" t="s">
        <v>259</v>
      </c>
      <c r="F5" s="123" t="s">
        <v>268</v>
      </c>
      <c r="G5" s="123" t="s">
        <v>269</v>
      </c>
      <c r="H5" s="123" t="s">
        <v>270</v>
      </c>
      <c r="I5" s="123" t="s">
        <v>277</v>
      </c>
      <c r="J5" s="124" t="s">
        <v>272</v>
      </c>
      <c r="K5" s="125" t="s">
        <v>274</v>
      </c>
      <c r="L5" s="126" t="s">
        <v>276</v>
      </c>
      <c r="M5" s="122" t="s">
        <v>310</v>
      </c>
      <c r="N5" s="122" t="s">
        <v>118</v>
      </c>
      <c r="O5" s="123" t="s">
        <v>266</v>
      </c>
      <c r="P5" s="123" t="s">
        <v>259</v>
      </c>
      <c r="Q5" s="123" t="s">
        <v>268</v>
      </c>
      <c r="R5" s="123" t="s">
        <v>269</v>
      </c>
      <c r="S5" s="123" t="s">
        <v>270</v>
      </c>
      <c r="T5" s="123" t="s">
        <v>277</v>
      </c>
      <c r="U5" s="124" t="s">
        <v>272</v>
      </c>
      <c r="V5" s="125" t="s">
        <v>274</v>
      </c>
      <c r="W5" s="126" t="s">
        <v>275</v>
      </c>
      <c r="X5" s="54"/>
    </row>
    <row r="6" spans="1:24" s="712" customFormat="1" ht="6">
      <c r="A6" s="2007"/>
      <c r="B6" s="2008"/>
      <c r="C6" s="2008"/>
      <c r="D6" s="2008"/>
      <c r="E6" s="2008"/>
      <c r="F6" s="2008"/>
      <c r="G6" s="2008"/>
      <c r="H6" s="2008"/>
      <c r="I6" s="2008"/>
      <c r="J6" s="2008"/>
      <c r="K6" s="2008"/>
      <c r="L6" s="2008"/>
      <c r="M6" s="2008"/>
      <c r="N6" s="2008"/>
      <c r="O6" s="2008"/>
      <c r="P6" s="2008"/>
      <c r="Q6" s="2008"/>
      <c r="R6" s="2008"/>
      <c r="S6" s="2008"/>
      <c r="T6" s="2008"/>
      <c r="U6" s="2008"/>
      <c r="V6" s="2008"/>
      <c r="W6" s="2009"/>
      <c r="X6" s="711"/>
    </row>
    <row r="7" spans="1:24" ht="15">
      <c r="A7" s="2004" t="s">
        <v>7176</v>
      </c>
      <c r="B7" s="2005"/>
      <c r="C7" s="2005"/>
      <c r="D7" s="2005"/>
      <c r="E7" s="2005"/>
      <c r="F7" s="2005"/>
      <c r="G7" s="2005"/>
      <c r="H7" s="2005"/>
      <c r="I7" s="2005"/>
      <c r="J7" s="2005"/>
      <c r="K7" s="2005"/>
      <c r="L7" s="2005"/>
      <c r="M7" s="2005"/>
      <c r="N7" s="2005"/>
      <c r="O7" s="2005"/>
      <c r="P7" s="2005"/>
      <c r="Q7" s="2005"/>
      <c r="R7" s="2005"/>
      <c r="S7" s="2005"/>
      <c r="T7" s="2005"/>
      <c r="U7" s="2005"/>
      <c r="V7" s="2005"/>
      <c r="W7" s="2006"/>
    </row>
    <row r="8" spans="1:24" s="710" customFormat="1" ht="8.25">
      <c r="A8" s="2010"/>
      <c r="B8" s="2011"/>
      <c r="C8" s="2011"/>
      <c r="D8" s="2011"/>
      <c r="E8" s="2011"/>
      <c r="F8" s="2011"/>
      <c r="G8" s="2011"/>
      <c r="H8" s="2011"/>
      <c r="I8" s="2011"/>
      <c r="J8" s="2011"/>
      <c r="K8" s="2011"/>
      <c r="L8" s="2011"/>
      <c r="M8" s="2011"/>
      <c r="N8" s="2011"/>
      <c r="O8" s="2011"/>
      <c r="P8" s="2011"/>
      <c r="Q8" s="2011"/>
      <c r="R8" s="2011"/>
      <c r="S8" s="2011"/>
      <c r="T8" s="2011"/>
      <c r="U8" s="2011"/>
      <c r="V8" s="2011"/>
      <c r="W8" s="2012"/>
      <c r="X8" s="709"/>
    </row>
    <row r="9" spans="1:24">
      <c r="A9" s="704" t="s">
        <v>48</v>
      </c>
      <c r="B9" s="482">
        <f t="shared" ref="B9:W9" si="0">B10+B19+B26+B33+B41+B45</f>
        <v>11619</v>
      </c>
      <c r="C9" s="482">
        <f t="shared" si="0"/>
        <v>35</v>
      </c>
      <c r="D9" s="482">
        <f t="shared" si="0"/>
        <v>0</v>
      </c>
      <c r="E9" s="482">
        <f t="shared" si="0"/>
        <v>4</v>
      </c>
      <c r="F9" s="482">
        <f t="shared" si="0"/>
        <v>0</v>
      </c>
      <c r="G9" s="482">
        <f t="shared" si="0"/>
        <v>0</v>
      </c>
      <c r="H9" s="482">
        <f t="shared" si="0"/>
        <v>0</v>
      </c>
      <c r="I9" s="482">
        <f t="shared" si="0"/>
        <v>0</v>
      </c>
      <c r="J9" s="482">
        <f t="shared" si="0"/>
        <v>0</v>
      </c>
      <c r="K9" s="482">
        <f t="shared" si="0"/>
        <v>11658</v>
      </c>
      <c r="L9" s="474">
        <f t="shared" si="0"/>
        <v>354928623.0035162</v>
      </c>
      <c r="M9" s="482">
        <f t="shared" si="0"/>
        <v>11524</v>
      </c>
      <c r="N9" s="482">
        <f t="shared" si="0"/>
        <v>37</v>
      </c>
      <c r="O9" s="482">
        <f t="shared" si="0"/>
        <v>0</v>
      </c>
      <c r="P9" s="482">
        <f t="shared" si="0"/>
        <v>4</v>
      </c>
      <c r="Q9" s="482">
        <f t="shared" si="0"/>
        <v>0</v>
      </c>
      <c r="R9" s="482">
        <f t="shared" si="0"/>
        <v>0</v>
      </c>
      <c r="S9" s="482">
        <f t="shared" si="0"/>
        <v>0</v>
      </c>
      <c r="T9" s="482">
        <f t="shared" si="0"/>
        <v>0</v>
      </c>
      <c r="U9" s="482">
        <f t="shared" si="0"/>
        <v>0</v>
      </c>
      <c r="V9" s="482">
        <f t="shared" si="0"/>
        <v>11565</v>
      </c>
      <c r="W9" s="474">
        <f t="shared" si="0"/>
        <v>353657468.88369364</v>
      </c>
      <c r="X9" s="55"/>
    </row>
    <row r="10" spans="1:24">
      <c r="A10" s="705" t="s">
        <v>7</v>
      </c>
      <c r="B10" s="484">
        <f t="shared" ref="B10:W10" si="1">SUM(B11:B18)</f>
        <v>124</v>
      </c>
      <c r="C10" s="484">
        <f t="shared" si="1"/>
        <v>0</v>
      </c>
      <c r="D10" s="484">
        <f t="shared" si="1"/>
        <v>0</v>
      </c>
      <c r="E10" s="484">
        <f t="shared" si="1"/>
        <v>0</v>
      </c>
      <c r="F10" s="484">
        <f t="shared" si="1"/>
        <v>0</v>
      </c>
      <c r="G10" s="484">
        <f t="shared" si="1"/>
        <v>0</v>
      </c>
      <c r="H10" s="484">
        <f t="shared" si="1"/>
        <v>0</v>
      </c>
      <c r="I10" s="484">
        <f t="shared" si="1"/>
        <v>0</v>
      </c>
      <c r="J10" s="484">
        <f t="shared" si="1"/>
        <v>0</v>
      </c>
      <c r="K10" s="484">
        <f t="shared" si="1"/>
        <v>124</v>
      </c>
      <c r="L10" s="485">
        <f t="shared" si="1"/>
        <v>4735437.9699194254</v>
      </c>
      <c r="M10" s="484">
        <f t="shared" si="1"/>
        <v>119</v>
      </c>
      <c r="N10" s="484">
        <f t="shared" si="1"/>
        <v>1</v>
      </c>
      <c r="O10" s="484">
        <f t="shared" si="1"/>
        <v>0</v>
      </c>
      <c r="P10" s="484">
        <f t="shared" si="1"/>
        <v>0</v>
      </c>
      <c r="Q10" s="484">
        <f t="shared" si="1"/>
        <v>0</v>
      </c>
      <c r="R10" s="484">
        <f t="shared" si="1"/>
        <v>0</v>
      </c>
      <c r="S10" s="484">
        <f t="shared" si="1"/>
        <v>0</v>
      </c>
      <c r="T10" s="484">
        <f t="shared" si="1"/>
        <v>0</v>
      </c>
      <c r="U10" s="484">
        <f t="shared" si="1"/>
        <v>0</v>
      </c>
      <c r="V10" s="484">
        <f t="shared" si="1"/>
        <v>120</v>
      </c>
      <c r="W10" s="485">
        <f t="shared" si="1"/>
        <v>4454465.6828720002</v>
      </c>
    </row>
    <row r="11" spans="1:24">
      <c r="A11" s="703" t="s">
        <v>3</v>
      </c>
      <c r="B11" s="13">
        <f>'F-09 OGA'!B12+'F-09 CCFFAA'!B12+'F-09 EP'!B12+'F-09 MGP'!B12+'F-09 FAP'!B12+'F-09 CONIDA'!B12+'F-09 ENAMM'!B12+'F-09 OPREFA'!B12+'F-09 INDECI'!B12</f>
        <v>0</v>
      </c>
      <c r="C11" s="13"/>
      <c r="D11" s="13"/>
      <c r="E11" s="13"/>
      <c r="F11" s="13"/>
      <c r="G11" s="13"/>
      <c r="H11" s="13"/>
      <c r="I11" s="13"/>
      <c r="J11" s="13"/>
      <c r="K11" s="13">
        <f t="shared" ref="K11:K18" si="2">SUM(B11:J11)</f>
        <v>0</v>
      </c>
      <c r="L11" s="472">
        <f>'F-09 OGA'!L12+'F-09 CCFFAA'!L12+'F-09 EP'!L12+'F-09 MGP'!L12+'F-09 FAP'!L12+'F-09 CONIDA'!L12+'F-09 ENAMM'!L12+'F-09 OPREFA'!L12+'F-09 INDECI'!L12</f>
        <v>0</v>
      </c>
      <c r="M11" s="13">
        <f>'F-09 OGA'!M12+'F-09 CCFFAA'!M12+'F-09 EP'!M12+'F-09 MGP'!M12+'F-09 FAP'!M12+'F-09 CONIDA'!M12+'F-09 ENAMM'!M12+'F-09 OPREFA'!M12+'F-09 INDECI'!M12</f>
        <v>0</v>
      </c>
      <c r="N11" s="13"/>
      <c r="O11" s="13"/>
      <c r="P11" s="13"/>
      <c r="Q11" s="13"/>
      <c r="R11" s="13"/>
      <c r="S11" s="13"/>
      <c r="T11" s="13"/>
      <c r="U11" s="13"/>
      <c r="V11" s="13">
        <f t="shared" ref="V11:V18" si="3">SUM(M11:U11)</f>
        <v>0</v>
      </c>
      <c r="W11" s="472">
        <f>'F-09 OGA'!W12+'F-09 CCFFAA'!W12+'F-09 EP'!W12+'F-09 MGP'!W12+'F-09 FAP'!W12+'F-09 CONIDA'!W12+'F-09 ENAMM'!W12+'F-09 OPREFA'!W12+'F-09 INDECI'!W12</f>
        <v>0</v>
      </c>
    </row>
    <row r="12" spans="1:24">
      <c r="A12" s="703" t="s">
        <v>7062</v>
      </c>
      <c r="B12" s="13">
        <f>'F-09 OGA'!B13+'F-09 CCFFAA'!B13+'F-09 EP'!B13+'F-09 MGP'!B13+'F-09 FAP'!B13+'F-09 CONIDA'!B13+'F-09 ENAMM'!B13+'F-09 OPREFA'!B13+'F-09 INDECI'!B13</f>
        <v>0</v>
      </c>
      <c r="C12" s="13"/>
      <c r="D12" s="13"/>
      <c r="E12" s="13"/>
      <c r="F12" s="13"/>
      <c r="G12" s="13"/>
      <c r="H12" s="13"/>
      <c r="I12" s="13"/>
      <c r="J12" s="13"/>
      <c r="K12" s="13">
        <f t="shared" si="2"/>
        <v>0</v>
      </c>
      <c r="L12" s="472">
        <f>'F-09 OGA'!L13+'F-09 CCFFAA'!L13+'F-09 EP'!L13+'F-09 MGP'!L13+'F-09 FAP'!L13+'F-09 CONIDA'!L13+'F-09 ENAMM'!L13+'F-09 OPREFA'!L13+'F-09 INDECI'!L13</f>
        <v>0</v>
      </c>
      <c r="M12" s="13">
        <f>'F-09 OGA'!M13+'F-09 CCFFAA'!M13+'F-09 EP'!M13+'F-09 MGP'!M13+'F-09 FAP'!M13+'F-09 CONIDA'!M13+'F-09 ENAMM'!M13+'F-09 OPREFA'!M13+'F-09 INDECI'!M13</f>
        <v>0</v>
      </c>
      <c r="N12" s="13"/>
      <c r="O12" s="13"/>
      <c r="P12" s="13"/>
      <c r="Q12" s="13"/>
      <c r="R12" s="13"/>
      <c r="S12" s="13"/>
      <c r="T12" s="13"/>
      <c r="U12" s="13"/>
      <c r="V12" s="13">
        <f t="shared" si="3"/>
        <v>0</v>
      </c>
      <c r="W12" s="472">
        <f>'F-09 OGA'!W13+'F-09 CCFFAA'!W13+'F-09 EP'!W13+'F-09 MGP'!W13+'F-09 FAP'!W13+'F-09 CONIDA'!W13+'F-09 ENAMM'!W13+'F-09 OPREFA'!W13+'F-09 INDECI'!W13</f>
        <v>0</v>
      </c>
    </row>
    <row r="13" spans="1:24">
      <c r="A13" s="703" t="s">
        <v>7061</v>
      </c>
      <c r="B13" s="13">
        <f>'F-09 OGA'!B14+'F-09 CCFFAA'!B14+'F-09 EP'!B14+'F-09 MGP'!B14+'F-09 FAP'!B14+'F-09 CONIDA'!B14+'F-09 ENAMM'!B14+'F-09 OPREFA'!B14+'F-09 INDECI'!B14</f>
        <v>1</v>
      </c>
      <c r="C13" s="13"/>
      <c r="D13" s="13"/>
      <c r="E13" s="13"/>
      <c r="F13" s="13"/>
      <c r="G13" s="13"/>
      <c r="H13" s="13"/>
      <c r="I13" s="13"/>
      <c r="J13" s="13"/>
      <c r="K13" s="13">
        <f t="shared" si="2"/>
        <v>1</v>
      </c>
      <c r="L13" s="472">
        <f>'F-09 OGA'!L14+'F-09 CCFFAA'!L14+'F-09 EP'!L14+'F-09 MGP'!L14+'F-09 FAP'!L14+'F-09 CONIDA'!L14+'F-09 ENAMM'!L14+'F-09 OPREFA'!L14+'F-09 INDECI'!L14</f>
        <v>39444.539199999999</v>
      </c>
      <c r="M13" s="13">
        <f>'F-09 OGA'!M14+'F-09 CCFFAA'!M14+'F-09 EP'!M14+'F-09 MGP'!M14+'F-09 FAP'!M14+'F-09 CONIDA'!M14+'F-09 ENAMM'!M14+'F-09 OPREFA'!M14+'F-09 INDECI'!M14</f>
        <v>1</v>
      </c>
      <c r="N13" s="13"/>
      <c r="O13" s="13"/>
      <c r="P13" s="13"/>
      <c r="Q13" s="13"/>
      <c r="R13" s="13"/>
      <c r="S13" s="13"/>
      <c r="T13" s="13"/>
      <c r="U13" s="13"/>
      <c r="V13" s="13">
        <f t="shared" si="3"/>
        <v>1</v>
      </c>
      <c r="W13" s="472">
        <f>'F-09 OGA'!W14+'F-09 CCFFAA'!W14+'F-09 EP'!W14+'F-09 MGP'!W14+'F-09 FAP'!W14+'F-09 CONIDA'!W14+'F-09 ENAMM'!W14+'F-09 OPREFA'!W14+'F-09 INDECI'!W14</f>
        <v>37444</v>
      </c>
    </row>
    <row r="14" spans="1:24">
      <c r="A14" s="703" t="s">
        <v>7060</v>
      </c>
      <c r="B14" s="13">
        <f>'F-09 OGA'!B15+'F-09 CCFFAA'!B15+'F-09 EP'!B15+'F-09 MGP'!B15+'F-09 FAP'!B15+'F-09 CONIDA'!B15+'F-09 ENAMM'!B15+'F-09 OPREFA'!B15+'F-09 INDECI'!B15</f>
        <v>11</v>
      </c>
      <c r="C14" s="13"/>
      <c r="D14" s="13"/>
      <c r="E14" s="13"/>
      <c r="F14" s="13"/>
      <c r="G14" s="13"/>
      <c r="H14" s="13"/>
      <c r="I14" s="13"/>
      <c r="J14" s="13"/>
      <c r="K14" s="13">
        <f t="shared" si="2"/>
        <v>11</v>
      </c>
      <c r="L14" s="472">
        <f>'F-09 OGA'!L15+'F-09 CCFFAA'!L15+'F-09 EP'!L15+'F-09 MGP'!L15+'F-09 FAP'!L15+'F-09 CONIDA'!L15+'F-09 ENAMM'!L15+'F-09 OPREFA'!L15+'F-09 INDECI'!L15</f>
        <v>458528.07405595161</v>
      </c>
      <c r="M14" s="13">
        <f>'F-09 OGA'!M15+'F-09 CCFFAA'!M15+'F-09 EP'!M15+'F-09 MGP'!M15+'F-09 FAP'!M15+'F-09 CONIDA'!M15+'F-09 ENAMM'!M15+'F-09 OPREFA'!M15+'F-09 INDECI'!M15</f>
        <v>10</v>
      </c>
      <c r="N14" s="13"/>
      <c r="O14" s="13"/>
      <c r="P14" s="13"/>
      <c r="Q14" s="13"/>
      <c r="R14" s="13"/>
      <c r="S14" s="13"/>
      <c r="T14" s="13"/>
      <c r="U14" s="13"/>
      <c r="V14" s="13">
        <f t="shared" si="3"/>
        <v>10</v>
      </c>
      <c r="W14" s="472">
        <f>'F-09 OGA'!W15+'F-09 CCFFAA'!W15+'F-09 EP'!W15+'F-09 MGP'!W15+'F-09 FAP'!W15+'F-09 CONIDA'!W15+'F-09 ENAMM'!W15+'F-09 OPREFA'!W15+'F-09 INDECI'!W15</f>
        <v>354345.71808399999</v>
      </c>
    </row>
    <row r="15" spans="1:24">
      <c r="A15" s="703" t="s">
        <v>7059</v>
      </c>
      <c r="B15" s="13">
        <f>'F-09 OGA'!B16+'F-09 CCFFAA'!B16+'F-09 EP'!B16+'F-09 MGP'!B16+'F-09 FAP'!B16+'F-09 CONIDA'!B16+'F-09 ENAMM'!B16+'F-09 OPREFA'!B16+'F-09 INDECI'!B16</f>
        <v>15</v>
      </c>
      <c r="C15" s="13"/>
      <c r="D15" s="13"/>
      <c r="E15" s="13"/>
      <c r="F15" s="13"/>
      <c r="G15" s="13"/>
      <c r="H15" s="13"/>
      <c r="I15" s="13"/>
      <c r="J15" s="13"/>
      <c r="K15" s="13">
        <f t="shared" si="2"/>
        <v>15</v>
      </c>
      <c r="L15" s="472">
        <f>'F-09 OGA'!L16+'F-09 CCFFAA'!L16+'F-09 EP'!L16+'F-09 MGP'!L16+'F-09 FAP'!L16+'F-09 CONIDA'!L16+'F-09 ENAMM'!L16+'F-09 OPREFA'!L16+'F-09 INDECI'!L16</f>
        <v>650835.32788963604</v>
      </c>
      <c r="M15" s="13">
        <f>'F-09 OGA'!M16+'F-09 CCFFAA'!M16+'F-09 EP'!M16+'F-09 MGP'!M16+'F-09 FAP'!M16+'F-09 CONIDA'!M16+'F-09 ENAMM'!M16+'F-09 OPREFA'!M16+'F-09 INDECI'!M16</f>
        <v>13</v>
      </c>
      <c r="N15" s="13">
        <f>'F-09 OGA'!N16+'F-09 CCFFAA'!N16+'F-09 EP'!N16+'F-09 MGP'!N16+'F-09 FAP'!N16+'F-09 CONIDA'!N16+'F-09 ENAMM'!N16+'F-09 OPREFA'!N16</f>
        <v>1</v>
      </c>
      <c r="O15" s="13"/>
      <c r="P15" s="13"/>
      <c r="Q15" s="13"/>
      <c r="R15" s="13"/>
      <c r="S15" s="13"/>
      <c r="T15" s="13"/>
      <c r="U15" s="13"/>
      <c r="V15" s="13">
        <f t="shared" si="3"/>
        <v>14</v>
      </c>
      <c r="W15" s="472">
        <f>'F-09 OGA'!W16+'F-09 CCFFAA'!W16+'F-09 EP'!W16+'F-09 MGP'!W16+'F-09 FAP'!W16+'F-09 CONIDA'!W16+'F-09 ENAMM'!W16+'F-09 OPREFA'!W16+'F-09 INDECI'!W16</f>
        <v>595089.45523200009</v>
      </c>
    </row>
    <row r="16" spans="1:24">
      <c r="A16" s="703" t="s">
        <v>7058</v>
      </c>
      <c r="B16" s="13">
        <f>'F-09 OGA'!B17+'F-09 CCFFAA'!B17+'F-09 EP'!B17+'F-09 MGP'!B17+'F-09 FAP'!B17+'F-09 CONIDA'!B17+'F-09 ENAMM'!B17+'F-09 OPREFA'!B17+'F-09 INDECI'!B17</f>
        <v>52</v>
      </c>
      <c r="C16" s="13"/>
      <c r="D16" s="13"/>
      <c r="E16" s="13"/>
      <c r="F16" s="13"/>
      <c r="G16" s="13"/>
      <c r="H16" s="13"/>
      <c r="I16" s="13"/>
      <c r="J16" s="13"/>
      <c r="K16" s="13">
        <f t="shared" si="2"/>
        <v>52</v>
      </c>
      <c r="L16" s="472">
        <f>'F-09 OGA'!L17+'F-09 CCFFAA'!L17+'F-09 EP'!L17+'F-09 MGP'!L17+'F-09 FAP'!L17+'F-09 CONIDA'!L17+'F-09 ENAMM'!L17+'F-09 OPREFA'!L17+'F-09 INDECI'!L17</f>
        <v>1944162.7098665542</v>
      </c>
      <c r="M16" s="13">
        <f>'F-09 OGA'!M17+'F-09 CCFFAA'!M17+'F-09 EP'!M17+'F-09 MGP'!M17+'F-09 FAP'!M17+'F-09 CONIDA'!M17+'F-09 ENAMM'!M17+'F-09 OPREFA'!M17+'F-09 INDECI'!M17</f>
        <v>50</v>
      </c>
      <c r="N16" s="13"/>
      <c r="O16" s="13"/>
      <c r="P16" s="13"/>
      <c r="Q16" s="13"/>
      <c r="R16" s="13"/>
      <c r="S16" s="13"/>
      <c r="T16" s="13"/>
      <c r="U16" s="13"/>
      <c r="V16" s="13">
        <f t="shared" si="3"/>
        <v>50</v>
      </c>
      <c r="W16" s="472">
        <f>'F-09 OGA'!W17+'F-09 CCFFAA'!W17+'F-09 EP'!W17+'F-09 MGP'!W17+'F-09 FAP'!W17+'F-09 CONIDA'!W17+'F-09 ENAMM'!W17+'F-09 OPREFA'!W17+'F-09 INDECI'!W17</f>
        <v>1830557.283148</v>
      </c>
    </row>
    <row r="17" spans="1:24">
      <c r="A17" s="703" t="s">
        <v>7057</v>
      </c>
      <c r="B17" s="13">
        <f>'F-09 OGA'!B18+'F-09 CCFFAA'!B18+'F-09 EP'!B18+'F-09 MGP'!B18+'F-09 FAP'!B18+'F-09 CONIDA'!B18+'F-09 ENAMM'!B18+'F-09 OPREFA'!B18+'F-09 INDECI'!B18</f>
        <v>27</v>
      </c>
      <c r="C17" s="13"/>
      <c r="D17" s="13"/>
      <c r="E17" s="13"/>
      <c r="F17" s="13"/>
      <c r="G17" s="13"/>
      <c r="H17" s="13"/>
      <c r="I17" s="13"/>
      <c r="J17" s="13"/>
      <c r="K17" s="13">
        <f t="shared" si="2"/>
        <v>27</v>
      </c>
      <c r="L17" s="472">
        <f>'F-09 OGA'!L18+'F-09 CCFFAA'!L18+'F-09 EP'!L18+'F-09 MGP'!L18+'F-09 FAP'!L18+'F-09 CONIDA'!L18+'F-09 ENAMM'!L18+'F-09 OPREFA'!L18+'F-09 INDECI'!L18</f>
        <v>993251.03200510156</v>
      </c>
      <c r="M17" s="13">
        <f>'F-09 OGA'!M18+'F-09 CCFFAA'!M18+'F-09 EP'!M18+'F-09 MGP'!M18+'F-09 FAP'!M18+'F-09 CONIDA'!M18+'F-09 ENAMM'!M18+'F-09 OPREFA'!M18+'F-09 INDECI'!M18</f>
        <v>27</v>
      </c>
      <c r="N17" s="13"/>
      <c r="O17" s="13"/>
      <c r="P17" s="13"/>
      <c r="Q17" s="13"/>
      <c r="R17" s="13"/>
      <c r="S17" s="13"/>
      <c r="T17" s="13"/>
      <c r="U17" s="13"/>
      <c r="V17" s="13">
        <f t="shared" si="3"/>
        <v>27</v>
      </c>
      <c r="W17" s="472">
        <f>'F-09 OGA'!W18+'F-09 CCFFAA'!W18+'F-09 EP'!W18+'F-09 MGP'!W18+'F-09 FAP'!W18+'F-09 CONIDA'!W18+'F-09 ENAMM'!W18+'F-09 OPREFA'!W18+'F-09 INDECI'!W18</f>
        <v>994642.10576000006</v>
      </c>
      <c r="X17" s="55"/>
    </row>
    <row r="18" spans="1:24">
      <c r="A18" s="703" t="s">
        <v>12</v>
      </c>
      <c r="B18" s="13">
        <f>'F-09 OGA'!B19+'F-09 CCFFAA'!B19+'F-09 EP'!B19+'F-09 MGP'!B19+'F-09 FAP'!B19+'F-09 CONIDA'!B19+'F-09 ENAMM'!B19+'F-09 OPREFA'!B19+'F-09 INDECI'!B19</f>
        <v>18</v>
      </c>
      <c r="C18" s="13"/>
      <c r="D18" s="13"/>
      <c r="E18" s="13"/>
      <c r="F18" s="13"/>
      <c r="G18" s="13"/>
      <c r="H18" s="13"/>
      <c r="I18" s="13"/>
      <c r="J18" s="13"/>
      <c r="K18" s="13">
        <f t="shared" si="2"/>
        <v>18</v>
      </c>
      <c r="L18" s="472">
        <f>'F-09 OGA'!L19+'F-09 CCFFAA'!L19+'F-09 EP'!L19+'F-09 MGP'!L19+'F-09 FAP'!L19+'F-09 CONIDA'!L19+'F-09 ENAMM'!L19+'F-09 OPREFA'!L19+'F-09 INDECI'!L19</f>
        <v>649216.28690218157</v>
      </c>
      <c r="M18" s="13">
        <f>'F-09 OGA'!M19+'F-09 CCFFAA'!M19+'F-09 EP'!M19+'F-09 MGP'!M19+'F-09 FAP'!M19+'F-09 CONIDA'!M19+'F-09 ENAMM'!M19+'F-09 OPREFA'!M19+'F-09 INDECI'!M19</f>
        <v>18</v>
      </c>
      <c r="N18" s="13"/>
      <c r="O18" s="13"/>
      <c r="P18" s="13"/>
      <c r="Q18" s="13"/>
      <c r="R18" s="13"/>
      <c r="S18" s="13"/>
      <c r="T18" s="13"/>
      <c r="U18" s="13"/>
      <c r="V18" s="13">
        <f t="shared" si="3"/>
        <v>18</v>
      </c>
      <c r="W18" s="472">
        <f>'F-09 OGA'!W19+'F-09 CCFFAA'!W19+'F-09 EP'!W19+'F-09 MGP'!W19+'F-09 FAP'!W19+'F-09 CONIDA'!W19+'F-09 ENAMM'!W19+'F-09 OPREFA'!W19+'F-09 INDECI'!W19</f>
        <v>642387.12064800004</v>
      </c>
    </row>
    <row r="19" spans="1:24">
      <c r="A19" s="705" t="s">
        <v>4</v>
      </c>
      <c r="B19" s="484">
        <f t="shared" ref="B19:W19" si="4">SUM(B20:B25)</f>
        <v>997</v>
      </c>
      <c r="C19" s="484">
        <f t="shared" si="4"/>
        <v>0</v>
      </c>
      <c r="D19" s="484">
        <f t="shared" si="4"/>
        <v>0</v>
      </c>
      <c r="E19" s="484">
        <f t="shared" si="4"/>
        <v>0</v>
      </c>
      <c r="F19" s="484">
        <f t="shared" si="4"/>
        <v>0</v>
      </c>
      <c r="G19" s="484">
        <f t="shared" si="4"/>
        <v>0</v>
      </c>
      <c r="H19" s="484">
        <f t="shared" si="4"/>
        <v>0</v>
      </c>
      <c r="I19" s="484">
        <f t="shared" si="4"/>
        <v>0</v>
      </c>
      <c r="J19" s="484">
        <f t="shared" si="4"/>
        <v>0</v>
      </c>
      <c r="K19" s="484">
        <f t="shared" si="4"/>
        <v>997</v>
      </c>
      <c r="L19" s="485">
        <f t="shared" si="4"/>
        <v>32232936.875717916</v>
      </c>
      <c r="M19" s="484">
        <f t="shared" si="4"/>
        <v>1021</v>
      </c>
      <c r="N19" s="484">
        <f t="shared" si="4"/>
        <v>0</v>
      </c>
      <c r="O19" s="484">
        <f t="shared" si="4"/>
        <v>0</v>
      </c>
      <c r="P19" s="484">
        <f t="shared" si="4"/>
        <v>0</v>
      </c>
      <c r="Q19" s="484">
        <f t="shared" si="4"/>
        <v>0</v>
      </c>
      <c r="R19" s="484">
        <f t="shared" si="4"/>
        <v>0</v>
      </c>
      <c r="S19" s="484">
        <f t="shared" si="4"/>
        <v>0</v>
      </c>
      <c r="T19" s="484">
        <f t="shared" si="4"/>
        <v>0</v>
      </c>
      <c r="U19" s="484">
        <f t="shared" si="4"/>
        <v>0</v>
      </c>
      <c r="V19" s="484">
        <f t="shared" si="4"/>
        <v>1021</v>
      </c>
      <c r="W19" s="485">
        <f t="shared" si="4"/>
        <v>32053714.810484</v>
      </c>
    </row>
    <row r="20" spans="1:24">
      <c r="A20" s="703" t="s">
        <v>13</v>
      </c>
      <c r="B20" s="13">
        <f>'F-09 OGA'!B21+'F-09 CCFFAA'!B21+'F-09 EP'!B21+'F-09 MGP'!B21+'F-09 FAP'!B21+'F-09 CONIDA'!B21+'F-09 ENAMM'!B21+'F-09 OPREFA'!B21+'F-09 INDECI'!B21</f>
        <v>163</v>
      </c>
      <c r="C20" s="13"/>
      <c r="D20" s="13"/>
      <c r="E20" s="13"/>
      <c r="F20" s="13"/>
      <c r="G20" s="13"/>
      <c r="H20" s="13"/>
      <c r="I20" s="13"/>
      <c r="J20" s="13"/>
      <c r="K20" s="13">
        <f t="shared" ref="K20:K25" si="5">SUM(B20:J20)</f>
        <v>163</v>
      </c>
      <c r="L20" s="472">
        <f>'F-09 OGA'!L21+'F-09 CCFFAA'!L21+'F-09 EP'!L21+'F-09 MGP'!L21+'F-09 FAP'!L21+'F-09 CONIDA'!L21+'F-09 ENAMM'!L21+'F-09 OPREFA'!L21+'F-09 INDECI'!L21</f>
        <v>5468894.9599611219</v>
      </c>
      <c r="M20" s="13">
        <f>'F-09 OGA'!M21+'F-09 CCFFAA'!M21+'F-09 EP'!M21+'F-09 MGP'!M21+'F-09 FAP'!M21+'F-09 CONIDA'!M21+'F-09 ENAMM'!M21+'F-09 OPREFA'!M21+'F-09 INDECI'!M21</f>
        <v>164</v>
      </c>
      <c r="N20" s="13"/>
      <c r="O20" s="13"/>
      <c r="P20" s="13"/>
      <c r="Q20" s="13"/>
      <c r="R20" s="13"/>
      <c r="S20" s="13"/>
      <c r="T20" s="13"/>
      <c r="U20" s="13"/>
      <c r="V20" s="13">
        <f t="shared" ref="V20:V25" si="6">SUM(M20:U20)</f>
        <v>164</v>
      </c>
      <c r="W20" s="472">
        <f>'F-09 OGA'!W21+'F-09 CCFFAA'!W21+'F-09 EP'!W21+'F-09 MGP'!W21+'F-09 FAP'!W21+'F-09 CONIDA'!W21+'F-09 ENAMM'!W21+'F-09 OPREFA'!W21+'F-09 INDECI'!W21</f>
        <v>5318913.0669879997</v>
      </c>
    </row>
    <row r="21" spans="1:24">
      <c r="A21" s="703" t="s">
        <v>6978</v>
      </c>
      <c r="B21" s="13">
        <f>'F-09 OGA'!B22+'F-09 CCFFAA'!B22+'F-09 EP'!B22+'F-09 MGP'!B22+'F-09 FAP'!B22+'F-09 CONIDA'!B22+'F-09 ENAMM'!B22+'F-09 OPREFA'!B22+'F-09 INDECI'!B22</f>
        <v>104</v>
      </c>
      <c r="C21" s="13"/>
      <c r="D21" s="13"/>
      <c r="E21" s="13"/>
      <c r="F21" s="13"/>
      <c r="G21" s="13"/>
      <c r="H21" s="13"/>
      <c r="I21" s="13"/>
      <c r="J21" s="13"/>
      <c r="K21" s="13">
        <f t="shared" si="5"/>
        <v>104</v>
      </c>
      <c r="L21" s="472">
        <f>'F-09 OGA'!L22+'F-09 CCFFAA'!L22+'F-09 EP'!L22+'F-09 MGP'!L22+'F-09 FAP'!L22+'F-09 CONIDA'!L22+'F-09 ENAMM'!L22+'F-09 OPREFA'!L22+'F-09 INDECI'!L22</f>
        <v>3427663.2557083485</v>
      </c>
      <c r="M21" s="13">
        <f>'F-09 OGA'!M22+'F-09 CCFFAA'!M22+'F-09 EP'!M22+'F-09 MGP'!M22+'F-09 FAP'!M22+'F-09 CONIDA'!M22+'F-09 ENAMM'!M22+'F-09 OPREFA'!M22+'F-09 INDECI'!M22</f>
        <v>103</v>
      </c>
      <c r="N21" s="13"/>
      <c r="O21" s="13"/>
      <c r="P21" s="13"/>
      <c r="Q21" s="13"/>
      <c r="R21" s="13"/>
      <c r="S21" s="13"/>
      <c r="T21" s="13"/>
      <c r="U21" s="13"/>
      <c r="V21" s="13">
        <f t="shared" si="6"/>
        <v>103</v>
      </c>
      <c r="W21" s="472">
        <f>'F-09 OGA'!W22+'F-09 CCFFAA'!W22+'F-09 EP'!W22+'F-09 MGP'!W22+'F-09 FAP'!W22+'F-09 CONIDA'!W22+'F-09 ENAMM'!W22+'F-09 OPREFA'!W22+'F-09 INDECI'!W22</f>
        <v>3299834.6940800003</v>
      </c>
    </row>
    <row r="22" spans="1:24">
      <c r="A22" s="703" t="s">
        <v>6977</v>
      </c>
      <c r="B22" s="13">
        <f>'F-09 OGA'!B23+'F-09 CCFFAA'!B23+'F-09 EP'!B23+'F-09 MGP'!B23+'F-09 FAP'!B23+'F-09 CONIDA'!B23+'F-09 ENAMM'!B23+'F-09 OPREFA'!B23+'F-09 INDECI'!B23</f>
        <v>216</v>
      </c>
      <c r="C22" s="13"/>
      <c r="D22" s="13"/>
      <c r="E22" s="13"/>
      <c r="F22" s="13"/>
      <c r="G22" s="13"/>
      <c r="H22" s="13"/>
      <c r="I22" s="13"/>
      <c r="J22" s="13"/>
      <c r="K22" s="13">
        <f t="shared" si="5"/>
        <v>216</v>
      </c>
      <c r="L22" s="472">
        <f>'F-09 OGA'!L23+'F-09 CCFFAA'!L23+'F-09 EP'!L23+'F-09 MGP'!L23+'F-09 FAP'!L23+'F-09 CONIDA'!L23+'F-09 ENAMM'!L23+'F-09 OPREFA'!L23+'F-09 INDECI'!L23</f>
        <v>7005929.7046315689</v>
      </c>
      <c r="M22" s="13">
        <f>'F-09 OGA'!M23+'F-09 CCFFAA'!M23+'F-09 EP'!M23+'F-09 MGP'!M23+'F-09 FAP'!M23+'F-09 CONIDA'!M23+'F-09 ENAMM'!M23+'F-09 OPREFA'!M23+'F-09 INDECI'!M23</f>
        <v>218</v>
      </c>
      <c r="N22" s="13"/>
      <c r="O22" s="13"/>
      <c r="P22" s="13"/>
      <c r="Q22" s="13"/>
      <c r="R22" s="13"/>
      <c r="S22" s="13"/>
      <c r="T22" s="13"/>
      <c r="U22" s="13"/>
      <c r="V22" s="13">
        <f t="shared" si="6"/>
        <v>218</v>
      </c>
      <c r="W22" s="472">
        <f>'F-09 OGA'!W23+'F-09 CCFFAA'!W23+'F-09 EP'!W23+'F-09 MGP'!W23+'F-09 FAP'!W23+'F-09 CONIDA'!W23+'F-09 ENAMM'!W23+'F-09 OPREFA'!W23+'F-09 INDECI'!W23</f>
        <v>6850447.5806360003</v>
      </c>
      <c r="X22" s="55"/>
    </row>
    <row r="23" spans="1:24">
      <c r="A23" s="703" t="s">
        <v>6976</v>
      </c>
      <c r="B23" s="13">
        <f>'F-09 OGA'!B24+'F-09 CCFFAA'!B24+'F-09 EP'!B24+'F-09 MGP'!B24+'F-09 FAP'!B24+'F-09 CONIDA'!B24+'F-09 ENAMM'!B24+'F-09 OPREFA'!B24+'F-09 INDECI'!B24</f>
        <v>267</v>
      </c>
      <c r="C23" s="13"/>
      <c r="D23" s="13"/>
      <c r="E23" s="13"/>
      <c r="F23" s="13"/>
      <c r="G23" s="13"/>
      <c r="H23" s="13"/>
      <c r="I23" s="13"/>
      <c r="J23" s="13"/>
      <c r="K23" s="13">
        <f t="shared" si="5"/>
        <v>267</v>
      </c>
      <c r="L23" s="472">
        <f>'F-09 OGA'!L24+'F-09 CCFFAA'!L24+'F-09 EP'!L24+'F-09 MGP'!L24+'F-09 FAP'!L24+'F-09 CONIDA'!L24+'F-09 ENAMM'!L24+'F-09 OPREFA'!L24+'F-09 INDECI'!L24</f>
        <v>8553797.5310093183</v>
      </c>
      <c r="M23" s="13">
        <f>'F-09 OGA'!M24+'F-09 CCFFAA'!M24+'F-09 EP'!M24+'F-09 MGP'!M24+'F-09 FAP'!M24+'F-09 CONIDA'!M24+'F-09 ENAMM'!M24+'F-09 OPREFA'!M24+'F-09 INDECI'!M24</f>
        <v>271</v>
      </c>
      <c r="N23" s="13"/>
      <c r="O23" s="13"/>
      <c r="P23" s="13"/>
      <c r="Q23" s="13"/>
      <c r="R23" s="13"/>
      <c r="S23" s="13"/>
      <c r="T23" s="13"/>
      <c r="U23" s="13"/>
      <c r="V23" s="13">
        <f t="shared" si="6"/>
        <v>271</v>
      </c>
      <c r="W23" s="472">
        <f>'F-09 OGA'!W24+'F-09 CCFFAA'!W24+'F-09 EP'!W24+'F-09 MGP'!W24+'F-09 FAP'!W24+'F-09 CONIDA'!W24+'F-09 ENAMM'!W24+'F-09 OPREFA'!W24+'F-09 INDECI'!W24</f>
        <v>8437040.9130400009</v>
      </c>
    </row>
    <row r="24" spans="1:24">
      <c r="A24" s="703" t="s">
        <v>14</v>
      </c>
      <c r="B24" s="13">
        <f>'F-09 OGA'!B25+'F-09 CCFFAA'!B25+'F-09 EP'!B25+'F-09 MGP'!B25+'F-09 FAP'!B25+'F-09 CONIDA'!B25+'F-09 ENAMM'!B25+'F-09 OPREFA'!B25+'F-09 INDECI'!B25</f>
        <v>133</v>
      </c>
      <c r="C24" s="13"/>
      <c r="D24" s="13"/>
      <c r="E24" s="13"/>
      <c r="F24" s="13"/>
      <c r="G24" s="13"/>
      <c r="H24" s="13"/>
      <c r="I24" s="13"/>
      <c r="J24" s="13"/>
      <c r="K24" s="13">
        <f t="shared" si="5"/>
        <v>133</v>
      </c>
      <c r="L24" s="472">
        <f>'F-09 OGA'!L25+'F-09 CCFFAA'!L25+'F-09 EP'!L25+'F-09 MGP'!L25+'F-09 FAP'!L25+'F-09 CONIDA'!L25+'F-09 ENAMM'!L25+'F-09 OPREFA'!L25+'F-09 INDECI'!L25</f>
        <v>4181789.0593139576</v>
      </c>
      <c r="M24" s="13">
        <f>'F-09 OGA'!M25+'F-09 CCFFAA'!M25+'F-09 EP'!M25+'F-09 MGP'!M25+'F-09 FAP'!M25+'F-09 CONIDA'!M25+'F-09 ENAMM'!M25+'F-09 OPREFA'!M25+'F-09 INDECI'!M25</f>
        <v>133</v>
      </c>
      <c r="N24" s="13"/>
      <c r="O24" s="13"/>
      <c r="P24" s="13"/>
      <c r="Q24" s="13"/>
      <c r="R24" s="13"/>
      <c r="S24" s="13"/>
      <c r="T24" s="13"/>
      <c r="U24" s="13"/>
      <c r="V24" s="13">
        <f t="shared" si="6"/>
        <v>133</v>
      </c>
      <c r="W24" s="472">
        <f>'F-09 OGA'!W25+'F-09 CCFFAA'!W25+'F-09 EP'!W25+'F-09 MGP'!W25+'F-09 FAP'!W25+'F-09 CONIDA'!W25+'F-09 ENAMM'!W25+'F-09 OPREFA'!W25+'F-09 INDECI'!W25</f>
        <v>4069915.9484239994</v>
      </c>
    </row>
    <row r="25" spans="1:24">
      <c r="A25" s="703" t="s">
        <v>6975</v>
      </c>
      <c r="B25" s="13">
        <f>'F-09 OGA'!B26+'F-09 CCFFAA'!B26+'F-09 EP'!B26+'F-09 MGP'!B26+'F-09 FAP'!B26+'F-09 CONIDA'!B26+'F-09 ENAMM'!B26+'F-09 OPREFA'!B26+'F-09 INDECI'!B26</f>
        <v>114</v>
      </c>
      <c r="C25" s="13"/>
      <c r="D25" s="13"/>
      <c r="E25" s="13"/>
      <c r="F25" s="13"/>
      <c r="G25" s="13"/>
      <c r="H25" s="13"/>
      <c r="I25" s="13"/>
      <c r="J25" s="13"/>
      <c r="K25" s="13">
        <f t="shared" si="5"/>
        <v>114</v>
      </c>
      <c r="L25" s="472">
        <f>'F-09 OGA'!L26+'F-09 CCFFAA'!L26+'F-09 EP'!L26+'F-09 MGP'!L26+'F-09 FAP'!L26+'F-09 CONIDA'!L26+'F-09 ENAMM'!L26+'F-09 OPREFA'!L26+'F-09 INDECI'!L26</f>
        <v>3594862.3650935991</v>
      </c>
      <c r="M25" s="13">
        <f>'F-09 OGA'!M26+'F-09 CCFFAA'!M26+'F-09 EP'!M26+'F-09 MGP'!M26+'F-09 FAP'!M26+'F-09 CONIDA'!M26+'F-09 ENAMM'!M26+'F-09 OPREFA'!M26+'F-09 INDECI'!M26</f>
        <v>132</v>
      </c>
      <c r="N25" s="13"/>
      <c r="O25" s="13"/>
      <c r="P25" s="13"/>
      <c r="Q25" s="13"/>
      <c r="R25" s="13"/>
      <c r="S25" s="13"/>
      <c r="T25" s="13"/>
      <c r="U25" s="13"/>
      <c r="V25" s="13">
        <f t="shared" si="6"/>
        <v>132</v>
      </c>
      <c r="W25" s="472">
        <f>'F-09 OGA'!W26+'F-09 CCFFAA'!W26+'F-09 EP'!W26+'F-09 MGP'!W26+'F-09 FAP'!W26+'F-09 CONIDA'!W26+'F-09 ENAMM'!W26+'F-09 OPREFA'!W26+'F-09 INDECI'!W26</f>
        <v>4077562.6073160004</v>
      </c>
    </row>
    <row r="26" spans="1:24">
      <c r="A26" s="705" t="s">
        <v>5</v>
      </c>
      <c r="B26" s="484">
        <f t="shared" ref="B26:W26" si="7">SUM(B27:B32)</f>
        <v>6775</v>
      </c>
      <c r="C26" s="484">
        <f t="shared" si="7"/>
        <v>0</v>
      </c>
      <c r="D26" s="484">
        <f t="shared" si="7"/>
        <v>0</v>
      </c>
      <c r="E26" s="484">
        <f t="shared" si="7"/>
        <v>0</v>
      </c>
      <c r="F26" s="484">
        <f t="shared" si="7"/>
        <v>0</v>
      </c>
      <c r="G26" s="484">
        <f t="shared" si="7"/>
        <v>0</v>
      </c>
      <c r="H26" s="484">
        <f t="shared" si="7"/>
        <v>0</v>
      </c>
      <c r="I26" s="484">
        <f t="shared" si="7"/>
        <v>0</v>
      </c>
      <c r="J26" s="484">
        <f t="shared" si="7"/>
        <v>0</v>
      </c>
      <c r="K26" s="484">
        <f t="shared" si="7"/>
        <v>6775</v>
      </c>
      <c r="L26" s="485">
        <f t="shared" si="7"/>
        <v>205875450.35395378</v>
      </c>
      <c r="M26" s="484">
        <f t="shared" si="7"/>
        <v>6660</v>
      </c>
      <c r="N26" s="484">
        <f t="shared" si="7"/>
        <v>0</v>
      </c>
      <c r="O26" s="484">
        <f t="shared" si="7"/>
        <v>0</v>
      </c>
      <c r="P26" s="484">
        <f t="shared" si="7"/>
        <v>0</v>
      </c>
      <c r="Q26" s="484">
        <f t="shared" si="7"/>
        <v>0</v>
      </c>
      <c r="R26" s="484">
        <f t="shared" si="7"/>
        <v>0</v>
      </c>
      <c r="S26" s="484">
        <f t="shared" si="7"/>
        <v>0</v>
      </c>
      <c r="T26" s="484">
        <f t="shared" si="7"/>
        <v>0</v>
      </c>
      <c r="U26" s="484">
        <f t="shared" si="7"/>
        <v>0</v>
      </c>
      <c r="V26" s="484">
        <f t="shared" si="7"/>
        <v>6660</v>
      </c>
      <c r="W26" s="485">
        <f t="shared" si="7"/>
        <v>203380385.90427202</v>
      </c>
    </row>
    <row r="27" spans="1:24">
      <c r="A27" s="703" t="s">
        <v>15</v>
      </c>
      <c r="B27" s="13">
        <f>'F-09 OGA'!B28+'F-09 CCFFAA'!B28+'F-09 EP'!B28+'F-09 MGP'!B28+'F-09 FAP'!B28+'F-09 CONIDA'!B28+'F-09 ENAMM'!B28+'F-09 OPREFA'!B28+'F-09 INDECI'!B28</f>
        <v>2590</v>
      </c>
      <c r="C27" s="13"/>
      <c r="D27" s="13"/>
      <c r="E27" s="13"/>
      <c r="F27" s="13"/>
      <c r="G27" s="13"/>
      <c r="H27" s="13"/>
      <c r="I27" s="13"/>
      <c r="J27" s="13"/>
      <c r="K27" s="13">
        <f t="shared" ref="K27:K32" si="8">SUM(B27:J27)</f>
        <v>2590</v>
      </c>
      <c r="L27" s="472">
        <f>'F-09 OGA'!L28+'F-09 CCFFAA'!L28+'F-09 EP'!L28+'F-09 MGP'!L28+'F-09 FAP'!L28+'F-09 CONIDA'!L28+'F-09 ENAMM'!L28+'F-09 OPREFA'!L28+'F-09 INDECI'!L28</f>
        <v>78923563.145378292</v>
      </c>
      <c r="M27" s="13">
        <f>'F-09 OGA'!M28+'F-09 CCFFAA'!M28+'F-09 EP'!M28+'F-09 MGP'!M28+'F-09 FAP'!M28+'F-09 CONIDA'!M28+'F-09 ENAMM'!M28+'F-09 OPREFA'!M28+'F-09 INDECI'!M28</f>
        <v>2518</v>
      </c>
      <c r="N27" s="13"/>
      <c r="O27" s="13"/>
      <c r="P27" s="13"/>
      <c r="Q27" s="13"/>
      <c r="R27" s="13"/>
      <c r="S27" s="13"/>
      <c r="T27" s="13"/>
      <c r="U27" s="13"/>
      <c r="V27" s="13">
        <f t="shared" ref="V27:V32" si="9">SUM(M27:U27)</f>
        <v>2518</v>
      </c>
      <c r="W27" s="472">
        <f>'F-09 OGA'!W28+'F-09 CCFFAA'!W28+'F-09 EP'!W28+'F-09 MGP'!W28+'F-09 FAP'!W28+'F-09 CONIDA'!W28+'F-09 ENAMM'!W28+'F-09 OPREFA'!W28+'F-09 INDECI'!W28</f>
        <v>77442521.700800002</v>
      </c>
      <c r="X27" s="55"/>
    </row>
    <row r="28" spans="1:24">
      <c r="A28" s="703" t="s">
        <v>7056</v>
      </c>
      <c r="B28" s="13">
        <f>'F-09 OGA'!B29+'F-09 CCFFAA'!B29+'F-09 EP'!B29+'F-09 MGP'!B29+'F-09 FAP'!B29+'F-09 CONIDA'!B29+'F-09 ENAMM'!B29+'F-09 OPREFA'!B29+'F-09 INDECI'!B29</f>
        <v>885</v>
      </c>
      <c r="C28" s="13"/>
      <c r="D28" s="13"/>
      <c r="E28" s="13"/>
      <c r="F28" s="13"/>
      <c r="G28" s="13"/>
      <c r="H28" s="13"/>
      <c r="I28" s="13"/>
      <c r="J28" s="13"/>
      <c r="K28" s="13">
        <f t="shared" si="8"/>
        <v>885</v>
      </c>
      <c r="L28" s="472">
        <f>'F-09 OGA'!L29+'F-09 CCFFAA'!L29+'F-09 EP'!L29+'F-09 MGP'!L29+'F-09 FAP'!L29+'F-09 CONIDA'!L29+'F-09 ENAMM'!L29+'F-09 OPREFA'!L29+'F-09 INDECI'!L29</f>
        <v>26921557.209155694</v>
      </c>
      <c r="M28" s="13">
        <f>'F-09 OGA'!M29+'F-09 CCFFAA'!M29+'F-09 EP'!M29+'F-09 MGP'!M29+'F-09 FAP'!M29+'F-09 CONIDA'!M29+'F-09 ENAMM'!M29+'F-09 OPREFA'!M29+'F-09 INDECI'!M29</f>
        <v>870</v>
      </c>
      <c r="N28" s="13"/>
      <c r="O28" s="13"/>
      <c r="P28" s="13"/>
      <c r="Q28" s="13"/>
      <c r="R28" s="13"/>
      <c r="S28" s="13"/>
      <c r="T28" s="13"/>
      <c r="U28" s="13"/>
      <c r="V28" s="13">
        <f t="shared" si="9"/>
        <v>870</v>
      </c>
      <c r="W28" s="472">
        <f>'F-09 OGA'!W29+'F-09 CCFFAA'!W29+'F-09 EP'!W29+'F-09 MGP'!W29+'F-09 FAP'!W29+'F-09 CONIDA'!W29+'F-09 ENAMM'!W29+'F-09 OPREFA'!W29+'F-09 INDECI'!W29</f>
        <v>26759561.963600002</v>
      </c>
    </row>
    <row r="29" spans="1:24">
      <c r="A29" s="703" t="s">
        <v>6972</v>
      </c>
      <c r="B29" s="13">
        <f>'F-09 OGA'!B30+'F-09 CCFFAA'!B30+'F-09 EP'!B30+'F-09 MGP'!B30+'F-09 FAP'!B30+'F-09 CONIDA'!B30+'F-09 ENAMM'!B30+'F-09 OPREFA'!B30+'F-09 INDECI'!B30</f>
        <v>1087</v>
      </c>
      <c r="C29" s="13"/>
      <c r="D29" s="13"/>
      <c r="E29" s="13"/>
      <c r="F29" s="13"/>
      <c r="G29" s="13"/>
      <c r="H29" s="13"/>
      <c r="I29" s="13"/>
      <c r="J29" s="13"/>
      <c r="K29" s="13">
        <f t="shared" si="8"/>
        <v>1087</v>
      </c>
      <c r="L29" s="472">
        <f>'F-09 OGA'!L30+'F-09 CCFFAA'!L30+'F-09 EP'!L30+'F-09 MGP'!L30+'F-09 FAP'!L30+'F-09 CONIDA'!L30+'F-09 ENAMM'!L30+'F-09 OPREFA'!L30+'F-09 INDECI'!L30</f>
        <v>33136644.736664381</v>
      </c>
      <c r="M29" s="13">
        <f>'F-09 OGA'!M30+'F-09 CCFFAA'!M30+'F-09 EP'!M30+'F-09 MGP'!M30+'F-09 FAP'!M30+'F-09 CONIDA'!M30+'F-09 ENAMM'!M30+'F-09 OPREFA'!M30+'F-09 INDECI'!M30</f>
        <v>1074</v>
      </c>
      <c r="N29" s="13"/>
      <c r="O29" s="13"/>
      <c r="P29" s="13"/>
      <c r="Q29" s="13"/>
      <c r="R29" s="13"/>
      <c r="S29" s="13"/>
      <c r="T29" s="13"/>
      <c r="U29" s="13"/>
      <c r="V29" s="13">
        <f t="shared" si="9"/>
        <v>1074</v>
      </c>
      <c r="W29" s="472">
        <f>'F-09 OGA'!W30+'F-09 CCFFAA'!W30+'F-09 EP'!W30+'F-09 MGP'!W30+'F-09 FAP'!W30+'F-09 CONIDA'!W30+'F-09 ENAMM'!W30+'F-09 OPREFA'!W30+'F-09 INDECI'!W30</f>
        <v>32899432.105599999</v>
      </c>
    </row>
    <row r="30" spans="1:24">
      <c r="A30" s="703" t="s">
        <v>6971</v>
      </c>
      <c r="B30" s="13">
        <f>'F-09 OGA'!B31+'F-09 CCFFAA'!B31+'F-09 EP'!B31+'F-09 MGP'!B31+'F-09 FAP'!B31+'F-09 CONIDA'!B31+'F-09 ENAMM'!B31+'F-09 OPREFA'!B31+'F-09 INDECI'!B31</f>
        <v>776</v>
      </c>
      <c r="C30" s="13"/>
      <c r="D30" s="13"/>
      <c r="E30" s="13"/>
      <c r="F30" s="13"/>
      <c r="G30" s="13"/>
      <c r="H30" s="13"/>
      <c r="I30" s="13"/>
      <c r="J30" s="13"/>
      <c r="K30" s="13">
        <f t="shared" si="8"/>
        <v>776</v>
      </c>
      <c r="L30" s="472">
        <f>'F-09 OGA'!L31+'F-09 CCFFAA'!L31+'F-09 EP'!L31+'F-09 MGP'!L31+'F-09 FAP'!L31+'F-09 CONIDA'!L31+'F-09 ENAMM'!L31+'F-09 OPREFA'!L31+'F-09 INDECI'!L31</f>
        <v>23744549.242064089</v>
      </c>
      <c r="M30" s="13">
        <f>'F-09 OGA'!M31+'F-09 CCFFAA'!M31+'F-09 EP'!M31+'F-09 MGP'!M31+'F-09 FAP'!M31+'F-09 CONIDA'!M31+'F-09 ENAMM'!M31+'F-09 OPREFA'!M31+'F-09 INDECI'!M31</f>
        <v>769</v>
      </c>
      <c r="N30" s="13"/>
      <c r="O30" s="13"/>
      <c r="P30" s="13"/>
      <c r="Q30" s="13"/>
      <c r="R30" s="13"/>
      <c r="S30" s="13"/>
      <c r="T30" s="13"/>
      <c r="U30" s="13"/>
      <c r="V30" s="13">
        <f t="shared" si="9"/>
        <v>769</v>
      </c>
      <c r="W30" s="472">
        <f>'F-09 OGA'!W31+'F-09 CCFFAA'!W31+'F-09 EP'!W31+'F-09 MGP'!W31+'F-09 FAP'!W31+'F-09 CONIDA'!W31+'F-09 ENAMM'!W31+'F-09 OPREFA'!W31+'F-09 INDECI'!W31</f>
        <v>23315472.120000001</v>
      </c>
    </row>
    <row r="31" spans="1:24">
      <c r="A31" s="703" t="s">
        <v>16</v>
      </c>
      <c r="B31" s="13">
        <f>'F-09 OGA'!B32+'F-09 CCFFAA'!B32+'F-09 EP'!B32+'F-09 MGP'!B32+'F-09 FAP'!B32+'F-09 CONIDA'!B32+'F-09 ENAMM'!B32+'F-09 OPREFA'!B32+'F-09 INDECI'!B32</f>
        <v>251</v>
      </c>
      <c r="C31" s="13"/>
      <c r="D31" s="13"/>
      <c r="E31" s="13"/>
      <c r="F31" s="13"/>
      <c r="G31" s="13"/>
      <c r="H31" s="13"/>
      <c r="I31" s="13"/>
      <c r="J31" s="13"/>
      <c r="K31" s="13">
        <f t="shared" si="8"/>
        <v>251</v>
      </c>
      <c r="L31" s="472">
        <f>'F-09 OGA'!L32+'F-09 CCFFAA'!L32+'F-09 EP'!L32+'F-09 MGP'!L32+'F-09 FAP'!L32+'F-09 CONIDA'!L32+'F-09 ENAMM'!L32+'F-09 OPREFA'!L32+'F-09 INDECI'!L32</f>
        <v>7536525.0088518681</v>
      </c>
      <c r="M31" s="13">
        <f>'F-09 OGA'!M32+'F-09 CCFFAA'!M32+'F-09 EP'!M32+'F-09 MGP'!M32+'F-09 FAP'!M32+'F-09 CONIDA'!M32+'F-09 ENAMM'!M32+'F-09 OPREFA'!M32+'F-09 INDECI'!M32</f>
        <v>250</v>
      </c>
      <c r="N31" s="13"/>
      <c r="O31" s="13"/>
      <c r="P31" s="13"/>
      <c r="Q31" s="13"/>
      <c r="R31" s="13"/>
      <c r="S31" s="13"/>
      <c r="T31" s="13"/>
      <c r="U31" s="13"/>
      <c r="V31" s="13">
        <f t="shared" si="9"/>
        <v>250</v>
      </c>
      <c r="W31" s="472">
        <f>'F-09 OGA'!W32+'F-09 CCFFAA'!W32+'F-09 EP'!W32+'F-09 MGP'!W32+'F-09 FAP'!W32+'F-09 CONIDA'!W32+'F-09 ENAMM'!W32+'F-09 OPREFA'!W32+'F-09 INDECI'!W32</f>
        <v>7517979.757472001</v>
      </c>
    </row>
    <row r="32" spans="1:24">
      <c r="A32" s="703" t="s">
        <v>6970</v>
      </c>
      <c r="B32" s="13">
        <f>'F-09 OGA'!B33+'F-09 CCFFAA'!B33+'F-09 EP'!B33+'F-09 MGP'!B33+'F-09 FAP'!B33+'F-09 CONIDA'!B33+'F-09 ENAMM'!B33+'F-09 OPREFA'!B33+'F-09 INDECI'!B33</f>
        <v>1186</v>
      </c>
      <c r="C32" s="13"/>
      <c r="D32" s="13"/>
      <c r="E32" s="13"/>
      <c r="F32" s="13"/>
      <c r="G32" s="13"/>
      <c r="H32" s="13"/>
      <c r="I32" s="13"/>
      <c r="J32" s="13"/>
      <c r="K32" s="13">
        <f t="shared" si="8"/>
        <v>1186</v>
      </c>
      <c r="L32" s="472">
        <f>'F-09 OGA'!L33+'F-09 CCFFAA'!L33+'F-09 EP'!L33+'F-09 MGP'!L33+'F-09 FAP'!L33+'F-09 CONIDA'!L33+'F-09 ENAMM'!L33+'F-09 OPREFA'!L33+'F-09 INDECI'!L33</f>
        <v>35612611.011839479</v>
      </c>
      <c r="M32" s="13">
        <f>'F-09 OGA'!M33+'F-09 CCFFAA'!M33+'F-09 EP'!M33+'F-09 MGP'!M33+'F-09 FAP'!M33+'F-09 CONIDA'!M33+'F-09 ENAMM'!M33+'F-09 OPREFA'!M33+'F-09 INDECI'!M33</f>
        <v>1179</v>
      </c>
      <c r="N32" s="13"/>
      <c r="O32" s="13"/>
      <c r="P32" s="13"/>
      <c r="Q32" s="13"/>
      <c r="R32" s="13"/>
      <c r="S32" s="13"/>
      <c r="T32" s="13"/>
      <c r="U32" s="13"/>
      <c r="V32" s="13">
        <f t="shared" si="9"/>
        <v>1179</v>
      </c>
      <c r="W32" s="472">
        <f>'F-09 OGA'!W33+'F-09 CCFFAA'!W33+'F-09 EP'!W33+'F-09 MGP'!W33+'F-09 FAP'!W33+'F-09 CONIDA'!W33+'F-09 ENAMM'!W33+'F-09 OPREFA'!W33+'F-09 INDECI'!W33</f>
        <v>35445418.256799996</v>
      </c>
    </row>
    <row r="33" spans="1:23">
      <c r="A33" s="705" t="s">
        <v>6</v>
      </c>
      <c r="B33" s="484">
        <f t="shared" ref="B33:W33" si="10">SUM(B34:B39)</f>
        <v>3697</v>
      </c>
      <c r="C33" s="484">
        <f t="shared" si="10"/>
        <v>0</v>
      </c>
      <c r="D33" s="484">
        <f t="shared" si="10"/>
        <v>0</v>
      </c>
      <c r="E33" s="484">
        <f t="shared" si="10"/>
        <v>0</v>
      </c>
      <c r="F33" s="484">
        <f t="shared" si="10"/>
        <v>0</v>
      </c>
      <c r="G33" s="484">
        <f t="shared" si="10"/>
        <v>0</v>
      </c>
      <c r="H33" s="484">
        <f t="shared" si="10"/>
        <v>0</v>
      </c>
      <c r="I33" s="484">
        <f t="shared" si="10"/>
        <v>0</v>
      </c>
      <c r="J33" s="484">
        <f t="shared" si="10"/>
        <v>0</v>
      </c>
      <c r="K33" s="484">
        <f t="shared" si="10"/>
        <v>3697</v>
      </c>
      <c r="L33" s="485">
        <f t="shared" si="10"/>
        <v>108824337.16552503</v>
      </c>
      <c r="M33" s="484">
        <f t="shared" si="10"/>
        <v>3698</v>
      </c>
      <c r="N33" s="484">
        <f t="shared" si="10"/>
        <v>0</v>
      </c>
      <c r="O33" s="484">
        <f t="shared" si="10"/>
        <v>0</v>
      </c>
      <c r="P33" s="484">
        <f t="shared" si="10"/>
        <v>0</v>
      </c>
      <c r="Q33" s="484">
        <f t="shared" si="10"/>
        <v>0</v>
      </c>
      <c r="R33" s="484">
        <f t="shared" si="10"/>
        <v>0</v>
      </c>
      <c r="S33" s="484">
        <f t="shared" si="10"/>
        <v>0</v>
      </c>
      <c r="T33" s="484">
        <f t="shared" si="10"/>
        <v>0</v>
      </c>
      <c r="U33" s="484">
        <f t="shared" si="10"/>
        <v>0</v>
      </c>
      <c r="V33" s="484">
        <f t="shared" si="10"/>
        <v>3698</v>
      </c>
      <c r="W33" s="485">
        <f t="shared" si="10"/>
        <v>110121950.12639996</v>
      </c>
    </row>
    <row r="34" spans="1:23">
      <c r="A34" s="703" t="s">
        <v>17</v>
      </c>
      <c r="B34" s="13">
        <f>'F-09 OGA'!B35+'F-09 CCFFAA'!B35+'F-09 EP'!B35+'F-09 MGP'!B35+'F-09 FAP'!B35+'F-09 CONIDA'!B35+'F-09 ENAMM'!B35+'F-09 OPREFA'!B35+'F-09 INDECI'!B35</f>
        <v>954</v>
      </c>
      <c r="C34" s="13"/>
      <c r="D34" s="13"/>
      <c r="E34" s="13"/>
      <c r="F34" s="13"/>
      <c r="G34" s="13"/>
      <c r="H34" s="13"/>
      <c r="I34" s="13"/>
      <c r="J34" s="13"/>
      <c r="K34" s="13">
        <f t="shared" ref="K34:K40" si="11">SUM(B34:J34)</f>
        <v>954</v>
      </c>
      <c r="L34" s="472">
        <f>'F-09 OGA'!L35+'F-09 CCFFAA'!L35+'F-09 EP'!L35+'F-09 MGP'!L35+'F-09 FAP'!L35+'F-09 CONIDA'!L35+'F-09 ENAMM'!L35+'F-09 OPREFA'!L35+'F-09 INDECI'!L35</f>
        <v>31117070.548333291</v>
      </c>
      <c r="M34" s="13">
        <f>'F-09 OGA'!M35+'F-09 CCFFAA'!M35+'F-09 EP'!M35+'F-09 MGP'!M35+'F-09 FAP'!M35+'F-09 CONIDA'!M35+'F-09 ENAMM'!M35+'F-09 OPREFA'!M35+'F-09 INDECI'!M35</f>
        <v>962</v>
      </c>
      <c r="N34" s="13"/>
      <c r="O34" s="13"/>
      <c r="P34" s="13"/>
      <c r="Q34" s="13"/>
      <c r="R34" s="13"/>
      <c r="S34" s="13"/>
      <c r="T34" s="13"/>
      <c r="U34" s="13"/>
      <c r="V34" s="13">
        <f t="shared" ref="V34:V40" si="12">SUM(M34:U34)</f>
        <v>962</v>
      </c>
      <c r="W34" s="472">
        <f>'F-09 OGA'!W35+'F-09 CCFFAA'!W35+'F-09 EP'!W35+'F-09 MGP'!W35+'F-09 FAP'!W35+'F-09 CONIDA'!W35+'F-09 ENAMM'!W35+'F-09 OPREFA'!W35+'F-09 INDECI'!W35</f>
        <v>28728046.545600001</v>
      </c>
    </row>
    <row r="35" spans="1:23">
      <c r="A35" s="703" t="s">
        <v>6969</v>
      </c>
      <c r="B35" s="13">
        <f>'F-09 OGA'!B36+'F-09 CCFFAA'!B36+'F-09 EP'!B36+'F-09 MGP'!B36+'F-09 FAP'!B36+'F-09 CONIDA'!B36+'F-09 ENAMM'!B36+'F-09 OPREFA'!B36+'F-09 INDECI'!B36</f>
        <v>624</v>
      </c>
      <c r="C35" s="13"/>
      <c r="D35" s="13"/>
      <c r="E35" s="13"/>
      <c r="F35" s="13"/>
      <c r="G35" s="13"/>
      <c r="H35" s="13"/>
      <c r="I35" s="13"/>
      <c r="J35" s="13"/>
      <c r="K35" s="13">
        <f t="shared" si="11"/>
        <v>624</v>
      </c>
      <c r="L35" s="472">
        <f>'F-09 OGA'!L36+'F-09 CCFFAA'!L36+'F-09 EP'!L36+'F-09 MGP'!L36+'F-09 FAP'!L36+'F-09 CONIDA'!L36+'F-09 ENAMM'!L36+'F-09 OPREFA'!L36+'F-09 INDECI'!L36</f>
        <v>18895620.527546059</v>
      </c>
      <c r="M35" s="13">
        <f>'F-09 OGA'!M36+'F-09 CCFFAA'!M36+'F-09 EP'!M36+'F-09 MGP'!M36+'F-09 FAP'!M36+'F-09 CONIDA'!M36+'F-09 ENAMM'!M36+'F-09 OPREFA'!M36+'F-09 INDECI'!M36</f>
        <v>621</v>
      </c>
      <c r="N35" s="13"/>
      <c r="O35" s="13"/>
      <c r="P35" s="13"/>
      <c r="Q35" s="13"/>
      <c r="R35" s="13"/>
      <c r="S35" s="13"/>
      <c r="T35" s="13"/>
      <c r="U35" s="13"/>
      <c r="V35" s="13">
        <f t="shared" si="12"/>
        <v>621</v>
      </c>
      <c r="W35" s="472">
        <f>'F-09 OGA'!W36+'F-09 CCFFAA'!W36+'F-09 EP'!W36+'F-09 MGP'!W36+'F-09 FAP'!W36+'F-09 CONIDA'!W36+'F-09 ENAMM'!W36+'F-09 OPREFA'!W36+'F-09 INDECI'!W36</f>
        <v>18627385.40000001</v>
      </c>
    </row>
    <row r="36" spans="1:23">
      <c r="A36" s="703" t="s">
        <v>6968</v>
      </c>
      <c r="B36" s="13">
        <f>'F-09 OGA'!B37+'F-09 CCFFAA'!B37+'F-09 EP'!B37+'F-09 MGP'!B37+'F-09 FAP'!B37+'F-09 CONIDA'!B37+'F-09 ENAMM'!B37+'F-09 OPREFA'!B37+'F-09 INDECI'!B37</f>
        <v>994</v>
      </c>
      <c r="C36" s="13"/>
      <c r="D36" s="13"/>
      <c r="E36" s="13"/>
      <c r="F36" s="13"/>
      <c r="G36" s="13"/>
      <c r="H36" s="13"/>
      <c r="I36" s="13"/>
      <c r="J36" s="13"/>
      <c r="K36" s="13">
        <f t="shared" si="11"/>
        <v>994</v>
      </c>
      <c r="L36" s="472">
        <f>'F-09 OGA'!L37+'F-09 CCFFAA'!L37+'F-09 EP'!L37+'F-09 MGP'!L37+'F-09 FAP'!L37+'F-09 CONIDA'!L37+'F-09 ENAMM'!L37+'F-09 OPREFA'!L37+'F-09 INDECI'!L37</f>
        <v>29708717.872302622</v>
      </c>
      <c r="M36" s="13">
        <f>'F-09 OGA'!M37+'F-09 CCFFAA'!M37+'F-09 EP'!M37+'F-09 MGP'!M37+'F-09 FAP'!M37+'F-09 CONIDA'!M37+'F-09 ENAMM'!M37+'F-09 OPREFA'!M37+'F-09 INDECI'!M37</f>
        <v>988</v>
      </c>
      <c r="N36" s="13"/>
      <c r="O36" s="13"/>
      <c r="P36" s="13"/>
      <c r="Q36" s="13"/>
      <c r="R36" s="13"/>
      <c r="S36" s="13"/>
      <c r="T36" s="13"/>
      <c r="U36" s="13"/>
      <c r="V36" s="13">
        <f t="shared" si="12"/>
        <v>988</v>
      </c>
      <c r="W36" s="472">
        <f>'F-09 OGA'!W37+'F-09 CCFFAA'!W37+'F-09 EP'!W37+'F-09 MGP'!W37+'F-09 FAP'!W37+'F-09 CONIDA'!W37+'F-09 ENAMM'!W37+'F-09 OPREFA'!W37+'F-09 INDECI'!W37</f>
        <v>29375307.337599955</v>
      </c>
    </row>
    <row r="37" spans="1:23">
      <c r="A37" s="703" t="s">
        <v>6967</v>
      </c>
      <c r="B37" s="13">
        <f>'F-09 OGA'!B38+'F-09 CCFFAA'!B38+'F-09 EP'!B38+'F-09 MGP'!B38+'F-09 FAP'!B38+'F-09 CONIDA'!B38+'F-09 ENAMM'!B38+'F-09 OPREFA'!B38+'F-09 INDECI'!B38</f>
        <v>223</v>
      </c>
      <c r="C37" s="13"/>
      <c r="D37" s="13"/>
      <c r="E37" s="13"/>
      <c r="F37" s="13"/>
      <c r="G37" s="13"/>
      <c r="H37" s="13"/>
      <c r="I37" s="13"/>
      <c r="J37" s="13"/>
      <c r="K37" s="13">
        <f t="shared" si="11"/>
        <v>223</v>
      </c>
      <c r="L37" s="472">
        <f>'F-09 OGA'!L38+'F-09 CCFFAA'!L38+'F-09 EP'!L38+'F-09 MGP'!L38+'F-09 FAP'!L38+'F-09 CONIDA'!L38+'F-09 ENAMM'!L38+'F-09 OPREFA'!L38+'F-09 INDECI'!L38</f>
        <v>7614611.846663462</v>
      </c>
      <c r="M37" s="13">
        <f>'F-09 OGA'!M38+'F-09 CCFFAA'!M38+'F-09 EP'!M38+'F-09 MGP'!M38+'F-09 FAP'!M38+'F-09 CONIDA'!M38+'F-09 ENAMM'!M38+'F-09 OPREFA'!M38+'F-09 INDECI'!M38</f>
        <v>224</v>
      </c>
      <c r="N37" s="13"/>
      <c r="O37" s="13"/>
      <c r="P37" s="13"/>
      <c r="Q37" s="13"/>
      <c r="R37" s="13"/>
      <c r="S37" s="13"/>
      <c r="T37" s="13"/>
      <c r="U37" s="13"/>
      <c r="V37" s="13">
        <f t="shared" si="12"/>
        <v>224</v>
      </c>
      <c r="W37" s="472">
        <f>'F-09 OGA'!W38+'F-09 CCFFAA'!W38+'F-09 EP'!W38+'F-09 MGP'!W38+'F-09 FAP'!W38+'F-09 CONIDA'!W38+'F-09 ENAMM'!W38+'F-09 OPREFA'!W38+'F-09 INDECI'!W38</f>
        <v>6552062.3600000003</v>
      </c>
    </row>
    <row r="38" spans="1:23">
      <c r="A38" s="703" t="s">
        <v>18</v>
      </c>
      <c r="B38" s="13">
        <f>'F-09 OGA'!B39+'F-09 CCFFAA'!B39+'F-09 EP'!B39+'F-09 MGP'!B39+'F-09 FAP'!B39+'F-09 CONIDA'!B39+'F-09 ENAMM'!B39+'F-09 OPREFA'!B39+'F-09 INDECI'!B39</f>
        <v>584</v>
      </c>
      <c r="C38" s="13"/>
      <c r="D38" s="13"/>
      <c r="E38" s="13"/>
      <c r="F38" s="13"/>
      <c r="G38" s="13"/>
      <c r="H38" s="13"/>
      <c r="I38" s="13"/>
      <c r="J38" s="13"/>
      <c r="K38" s="13">
        <f t="shared" si="11"/>
        <v>584</v>
      </c>
      <c r="L38" s="472">
        <f>'F-09 OGA'!L39+'F-09 CCFFAA'!L39+'F-09 EP'!L39+'F-09 MGP'!L39+'F-09 FAP'!L39+'F-09 CONIDA'!L39+'F-09 ENAMM'!L39+'F-09 OPREFA'!L39+'F-09 INDECI'!L39</f>
        <v>18308753.791479599</v>
      </c>
      <c r="M38" s="13">
        <f>'F-09 OGA'!M39+'F-09 CCFFAA'!M39+'F-09 EP'!M39+'F-09 MGP'!M39+'F-09 FAP'!M39+'F-09 CONIDA'!M39+'F-09 ENAMM'!M39+'F-09 OPREFA'!M39+'F-09 INDECI'!M39</f>
        <v>581</v>
      </c>
      <c r="N38" s="13"/>
      <c r="O38" s="13"/>
      <c r="P38" s="13"/>
      <c r="Q38" s="13"/>
      <c r="R38" s="13"/>
      <c r="S38" s="13"/>
      <c r="T38" s="13"/>
      <c r="U38" s="13"/>
      <c r="V38" s="13">
        <f t="shared" si="12"/>
        <v>581</v>
      </c>
      <c r="W38" s="472">
        <f>'F-09 OGA'!W39+'F-09 CCFFAA'!W39+'F-09 EP'!W39+'F-09 MGP'!W39+'F-09 FAP'!W39+'F-09 CONIDA'!W39+'F-09 ENAMM'!W39+'F-09 OPREFA'!W39+'F-09 INDECI'!W39</f>
        <v>17554051.7632</v>
      </c>
    </row>
    <row r="39" spans="1:23">
      <c r="A39" s="703" t="s">
        <v>6966</v>
      </c>
      <c r="B39" s="13">
        <f>'F-09 OGA'!B40+'F-09 CCFFAA'!B40+'F-09 EP'!B40+'F-09 MGP'!B40+'F-09 FAP'!B40+'F-09 CONIDA'!B40+'F-09 ENAMM'!B40+'F-09 OPREFA'!B40+'F-09 INDECI'!B40</f>
        <v>318</v>
      </c>
      <c r="C39" s="13"/>
      <c r="D39" s="13"/>
      <c r="E39" s="13"/>
      <c r="F39" s="13"/>
      <c r="G39" s="13"/>
      <c r="H39" s="13"/>
      <c r="I39" s="13"/>
      <c r="J39" s="13"/>
      <c r="K39" s="13">
        <f t="shared" si="11"/>
        <v>318</v>
      </c>
      <c r="L39" s="472">
        <f>'F-09 OGA'!L40+'F-09 CCFFAA'!L40+'F-09 EP'!L40+'F-09 MGP'!L40+'F-09 FAP'!L40+'F-09 CONIDA'!L40+'F-09 ENAMM'!L40+'F-09 OPREFA'!L40+'F-09 INDECI'!L40</f>
        <v>3179562.5792000005</v>
      </c>
      <c r="M39" s="13">
        <f>'F-09 OGA'!M40+'F-09 CCFFAA'!M40+'F-09 EP'!M40+'F-09 MGP'!M40+'F-09 FAP'!M40+'F-09 CONIDA'!M40+'F-09 ENAMM'!M40+'F-09 OPREFA'!M40+'F-09 INDECI'!M40</f>
        <v>322</v>
      </c>
      <c r="N39" s="13"/>
      <c r="O39" s="13"/>
      <c r="P39" s="13"/>
      <c r="Q39" s="13"/>
      <c r="R39" s="13"/>
      <c r="S39" s="13"/>
      <c r="T39" s="13"/>
      <c r="U39" s="13"/>
      <c r="V39" s="13">
        <f t="shared" si="12"/>
        <v>322</v>
      </c>
      <c r="W39" s="472">
        <f>'F-09 OGA'!W40+'F-09 CCFFAA'!W40+'F-09 EP'!W40+'F-09 MGP'!W40+'F-09 FAP'!W40+'F-09 CONIDA'!W40+'F-09 ENAMM'!W40+'F-09 OPREFA'!W40+'F-09 INDECI'!W40</f>
        <v>9285096.7200000007</v>
      </c>
    </row>
    <row r="40" spans="1:23">
      <c r="A40" s="703" t="s">
        <v>7055</v>
      </c>
      <c r="B40" s="13"/>
      <c r="C40" s="13"/>
      <c r="D40" s="13"/>
      <c r="E40" s="13"/>
      <c r="F40" s="13"/>
      <c r="G40" s="13"/>
      <c r="H40" s="13"/>
      <c r="I40" s="13"/>
      <c r="J40" s="13"/>
      <c r="K40" s="13">
        <f t="shared" si="11"/>
        <v>0</v>
      </c>
      <c r="L40" s="472"/>
      <c r="M40" s="13">
        <f>'F-09 OGA'!M41+'F-09 CCFFAA'!M41+'F-09 EP'!M41+'F-09 MGP'!M41+'F-09 FAP'!M41+'F-09 CONIDA'!M41+'F-09 ENAMM'!M41+'F-09 OPREFA'!M41</f>
        <v>0</v>
      </c>
      <c r="N40" s="13"/>
      <c r="O40" s="13"/>
      <c r="P40" s="13"/>
      <c r="Q40" s="13"/>
      <c r="R40" s="13"/>
      <c r="S40" s="13"/>
      <c r="T40" s="13"/>
      <c r="U40" s="13"/>
      <c r="V40" s="13">
        <f t="shared" si="12"/>
        <v>0</v>
      </c>
      <c r="W40" s="472"/>
    </row>
    <row r="41" spans="1:23">
      <c r="A41" s="705" t="s">
        <v>7054</v>
      </c>
      <c r="B41" s="484">
        <f t="shared" ref="B41:W41" si="13">SUM(B42:B43)</f>
        <v>26</v>
      </c>
      <c r="C41" s="484">
        <f t="shared" si="13"/>
        <v>35</v>
      </c>
      <c r="D41" s="484">
        <f t="shared" si="13"/>
        <v>0</v>
      </c>
      <c r="E41" s="484">
        <f t="shared" si="13"/>
        <v>0</v>
      </c>
      <c r="F41" s="484">
        <f t="shared" si="13"/>
        <v>0</v>
      </c>
      <c r="G41" s="484">
        <f t="shared" si="13"/>
        <v>0</v>
      </c>
      <c r="H41" s="484">
        <f t="shared" si="13"/>
        <v>0</v>
      </c>
      <c r="I41" s="484">
        <f t="shared" si="13"/>
        <v>0</v>
      </c>
      <c r="J41" s="484">
        <f t="shared" si="13"/>
        <v>0</v>
      </c>
      <c r="K41" s="484">
        <f t="shared" si="13"/>
        <v>61</v>
      </c>
      <c r="L41" s="485">
        <f t="shared" si="13"/>
        <v>1706460.6384000001</v>
      </c>
      <c r="M41" s="484">
        <f t="shared" si="13"/>
        <v>26</v>
      </c>
      <c r="N41" s="484">
        <f t="shared" si="13"/>
        <v>36</v>
      </c>
      <c r="O41" s="484">
        <f t="shared" si="13"/>
        <v>0</v>
      </c>
      <c r="P41" s="484">
        <f t="shared" si="13"/>
        <v>0</v>
      </c>
      <c r="Q41" s="484">
        <f t="shared" si="13"/>
        <v>0</v>
      </c>
      <c r="R41" s="484">
        <f t="shared" si="13"/>
        <v>0</v>
      </c>
      <c r="S41" s="484">
        <f t="shared" si="13"/>
        <v>0</v>
      </c>
      <c r="T41" s="484">
        <f t="shared" si="13"/>
        <v>0</v>
      </c>
      <c r="U41" s="484">
        <f t="shared" si="13"/>
        <v>0</v>
      </c>
      <c r="V41" s="484">
        <f t="shared" si="13"/>
        <v>62</v>
      </c>
      <c r="W41" s="485">
        <f t="shared" si="13"/>
        <v>1973072.3596657142</v>
      </c>
    </row>
    <row r="42" spans="1:23">
      <c r="A42" s="703" t="s">
        <v>7053</v>
      </c>
      <c r="B42" s="13">
        <f>'F-09 EP'!B43+'F-09 MGP'!B43+'F-09 FAP'!B43</f>
        <v>26</v>
      </c>
      <c r="C42" s="13">
        <f>'F-09 EP'!C43+'F-09 MGP'!C43+'F-09 FAP'!C43</f>
        <v>0</v>
      </c>
      <c r="D42" s="13"/>
      <c r="E42" s="13"/>
      <c r="F42" s="13"/>
      <c r="G42" s="13"/>
      <c r="H42" s="13"/>
      <c r="I42" s="13"/>
      <c r="J42" s="13"/>
      <c r="K42" s="13">
        <f>'F-09 EP'!K43+'F-09 MGP'!K43+'F-09 FAP'!K43</f>
        <v>26</v>
      </c>
      <c r="L42" s="472">
        <f>'F-09 EP'!L43+'F-09 MGP'!L43+'F-09 FAP'!L43</f>
        <v>1109210.8384</v>
      </c>
      <c r="M42" s="13">
        <f>'F-09 EP'!M43+'F-09 MGP'!M43+'F-09 FAP'!M43</f>
        <v>26</v>
      </c>
      <c r="N42" s="13">
        <f>'F-09 EP'!N43+'F-09 MGP'!N43+'F-09 FAP'!N43</f>
        <v>0</v>
      </c>
      <c r="O42" s="13"/>
      <c r="P42" s="13"/>
      <c r="Q42" s="13"/>
      <c r="R42" s="13"/>
      <c r="S42" s="13"/>
      <c r="T42" s="13"/>
      <c r="U42" s="13"/>
      <c r="V42" s="13">
        <f>'F-09 EP'!V43+'F-09 MGP'!V43+'F-09 FAP'!V43</f>
        <v>26</v>
      </c>
      <c r="W42" s="472">
        <f>'F-09 EP'!W43+'F-09 MGP'!W43+'F-09 FAP'!W43</f>
        <v>1349675.5413799998</v>
      </c>
    </row>
    <row r="43" spans="1:23">
      <c r="A43" s="703" t="s">
        <v>57</v>
      </c>
      <c r="B43" s="13">
        <f>'F-09 EP'!B44+'F-09 MGP'!B44+'F-09 FAP'!B44</f>
        <v>0</v>
      </c>
      <c r="C43" s="13">
        <f>'F-09 EP'!C44+'F-09 MGP'!C44+'F-09 FAP'!C44</f>
        <v>35</v>
      </c>
      <c r="D43" s="13"/>
      <c r="E43" s="13"/>
      <c r="F43" s="13"/>
      <c r="G43" s="13"/>
      <c r="H43" s="13"/>
      <c r="I43" s="13"/>
      <c r="J43" s="13"/>
      <c r="K43" s="13">
        <f>'F-09 EP'!K44+'F-09 MGP'!K44+'F-09 FAP'!K44</f>
        <v>35</v>
      </c>
      <c r="L43" s="472">
        <f>'F-09 EP'!L44+'F-09 MGP'!L44+'F-09 FAP'!L44</f>
        <v>597249.79999999993</v>
      </c>
      <c r="M43" s="13">
        <f>'F-09 EP'!M44+'F-09 MGP'!M44+'F-09 FAP'!M44</f>
        <v>0</v>
      </c>
      <c r="N43" s="13">
        <f>'F-09 EP'!N44+'F-09 MGP'!N44+'F-09 FAP'!N44</f>
        <v>36</v>
      </c>
      <c r="O43" s="13"/>
      <c r="P43" s="13"/>
      <c r="Q43" s="13"/>
      <c r="R43" s="13"/>
      <c r="S43" s="13"/>
      <c r="T43" s="13"/>
      <c r="U43" s="13"/>
      <c r="V43" s="13">
        <f>'F-09 EP'!V44+'F-09 MGP'!V44+'F-09 FAP'!V44</f>
        <v>36</v>
      </c>
      <c r="W43" s="472">
        <f>'F-09 EP'!W44+'F-09 MGP'!W44+'F-09 FAP'!W44</f>
        <v>623396.81828571425</v>
      </c>
    </row>
    <row r="44" spans="1:23">
      <c r="A44" s="703"/>
      <c r="B44" s="13"/>
      <c r="C44" s="13"/>
      <c r="D44" s="13"/>
      <c r="E44" s="13"/>
      <c r="F44" s="13"/>
      <c r="G44" s="13"/>
      <c r="H44" s="13"/>
      <c r="I44" s="13"/>
      <c r="J44" s="13"/>
      <c r="K44" s="13"/>
      <c r="L44" s="16"/>
      <c r="M44" s="13"/>
      <c r="N44" s="13"/>
      <c r="O44" s="13"/>
      <c r="P44" s="13"/>
      <c r="Q44" s="13"/>
      <c r="R44" s="13"/>
      <c r="S44" s="13"/>
      <c r="T44" s="13"/>
      <c r="U44" s="13"/>
      <c r="V44" s="13">
        <f>SUM(M44:U44)</f>
        <v>0</v>
      </c>
      <c r="W44" s="472"/>
    </row>
    <row r="45" spans="1:23">
      <c r="A45" s="705" t="s">
        <v>7052</v>
      </c>
      <c r="B45" s="484">
        <f>SUM(B46:B47)</f>
        <v>0</v>
      </c>
      <c r="C45" s="484">
        <f>SUM(C46:C47)</f>
        <v>0</v>
      </c>
      <c r="D45" s="484">
        <f>SUM(D46:D47)</f>
        <v>0</v>
      </c>
      <c r="E45" s="484">
        <f>SUM(E46:E48)</f>
        <v>4</v>
      </c>
      <c r="F45" s="484">
        <f>SUM(F46:F47)</f>
        <v>0</v>
      </c>
      <c r="G45" s="484">
        <f>SUM(G46:G47)</f>
        <v>0</v>
      </c>
      <c r="H45" s="484">
        <f>SUM(H46:H47)</f>
        <v>0</v>
      </c>
      <c r="I45" s="484">
        <f>SUM(I46:I47)</f>
        <v>0</v>
      </c>
      <c r="J45" s="484">
        <f>SUM(J46:J47)</f>
        <v>0</v>
      </c>
      <c r="K45" s="484">
        <f>SUM(K46:K48)</f>
        <v>4</v>
      </c>
      <c r="L45" s="485">
        <f>SUM(L46:L48)</f>
        <v>1554000</v>
      </c>
      <c r="M45" s="484">
        <f>SUM(M46:M47)</f>
        <v>0</v>
      </c>
      <c r="N45" s="484">
        <f>SUM(N46:N47)</f>
        <v>0</v>
      </c>
      <c r="O45" s="484">
        <f>SUM(O46:O47)</f>
        <v>0</v>
      </c>
      <c r="P45" s="484">
        <f>SUM(P46:P48)</f>
        <v>4</v>
      </c>
      <c r="Q45" s="484">
        <f>SUM(Q46:Q47)</f>
        <v>0</v>
      </c>
      <c r="R45" s="484">
        <f>SUM(R46:R47)</f>
        <v>0</v>
      </c>
      <c r="S45" s="484">
        <f>SUM(S46:S47)</f>
        <v>0</v>
      </c>
      <c r="T45" s="484">
        <f>SUM(T46:T47)</f>
        <v>0</v>
      </c>
      <c r="U45" s="484">
        <f>SUM(U46:U47)</f>
        <v>0</v>
      </c>
      <c r="V45" s="484">
        <f>SUM(V46:V48)</f>
        <v>4</v>
      </c>
      <c r="W45" s="485">
        <f>SUM(W46:W48)</f>
        <v>1673880</v>
      </c>
    </row>
    <row r="46" spans="1:23">
      <c r="A46" s="703" t="s">
        <v>7051</v>
      </c>
      <c r="B46" s="13"/>
      <c r="C46" s="13"/>
      <c r="D46" s="13"/>
      <c r="E46" s="13">
        <f>'F-09 OGA'!E42</f>
        <v>1</v>
      </c>
      <c r="F46" s="13"/>
      <c r="G46" s="13"/>
      <c r="H46" s="13"/>
      <c r="I46" s="13"/>
      <c r="J46" s="13"/>
      <c r="K46" s="13">
        <f>SUM(B46:J46)</f>
        <v>1</v>
      </c>
      <c r="L46" s="472">
        <f>'F-09 OGA'!L42</f>
        <v>420000</v>
      </c>
      <c r="M46" s="13"/>
      <c r="N46" s="13"/>
      <c r="O46" s="13"/>
      <c r="P46" s="13">
        <f>'F-09 OGA'!P42</f>
        <v>1</v>
      </c>
      <c r="Q46" s="13"/>
      <c r="R46" s="13"/>
      <c r="S46" s="13"/>
      <c r="T46" s="13"/>
      <c r="U46" s="13"/>
      <c r="V46" s="13">
        <f>SUM(M46:U46)</f>
        <v>1</v>
      </c>
      <c r="W46" s="472">
        <f>'F-09 OGA'!W42</f>
        <v>452400</v>
      </c>
    </row>
    <row r="47" spans="1:23">
      <c r="A47" s="703" t="s">
        <v>7050</v>
      </c>
      <c r="B47" s="13"/>
      <c r="C47" s="13"/>
      <c r="D47" s="13"/>
      <c r="E47" s="13">
        <f>'F-09 OGA'!E43</f>
        <v>2</v>
      </c>
      <c r="F47" s="13"/>
      <c r="G47" s="13"/>
      <c r="H47" s="13"/>
      <c r="I47" s="13"/>
      <c r="J47" s="13"/>
      <c r="K47" s="13">
        <f>SUM(B47:J47)</f>
        <v>2</v>
      </c>
      <c r="L47" s="472">
        <f>'F-09 OGA'!L43</f>
        <v>784000</v>
      </c>
      <c r="M47" s="13"/>
      <c r="N47" s="13"/>
      <c r="O47" s="13"/>
      <c r="P47" s="13">
        <f>'F-09 OGA'!P43</f>
        <v>2</v>
      </c>
      <c r="Q47" s="13"/>
      <c r="R47" s="13"/>
      <c r="S47" s="13"/>
      <c r="T47" s="13"/>
      <c r="U47" s="13"/>
      <c r="V47" s="13">
        <f>SUM(M47:U47)</f>
        <v>2</v>
      </c>
      <c r="W47" s="472">
        <f>'F-09 OGA'!W43</f>
        <v>844480</v>
      </c>
    </row>
    <row r="48" spans="1:23">
      <c r="A48" s="703" t="s">
        <v>7049</v>
      </c>
      <c r="B48" s="13"/>
      <c r="C48" s="13"/>
      <c r="D48" s="13"/>
      <c r="E48" s="13">
        <f>'F-09 OGA'!E44</f>
        <v>1</v>
      </c>
      <c r="F48" s="13"/>
      <c r="G48" s="13"/>
      <c r="H48" s="13"/>
      <c r="I48" s="13"/>
      <c r="J48" s="13"/>
      <c r="K48" s="13">
        <f>SUM(B48:J48)</f>
        <v>1</v>
      </c>
      <c r="L48" s="472">
        <f>'F-09 OGA'!L44</f>
        <v>350000</v>
      </c>
      <c r="M48" s="13"/>
      <c r="N48" s="13"/>
      <c r="O48" s="13"/>
      <c r="P48" s="13">
        <f>'F-09 OGA'!P44</f>
        <v>1</v>
      </c>
      <c r="Q48" s="13"/>
      <c r="R48" s="13"/>
      <c r="S48" s="13"/>
      <c r="T48" s="13"/>
      <c r="U48" s="13"/>
      <c r="V48" s="13">
        <f>SUM(M48:U48)</f>
        <v>1</v>
      </c>
      <c r="W48" s="472">
        <f>'F-09 OGA'!W44</f>
        <v>377000</v>
      </c>
    </row>
    <row r="49" spans="1:23">
      <c r="A49" s="704" t="s">
        <v>51</v>
      </c>
      <c r="B49" s="482">
        <f t="shared" ref="B49:W49" si="14">SUM(B50:B65)</f>
        <v>1790</v>
      </c>
      <c r="C49" s="482">
        <f t="shared" si="14"/>
        <v>0</v>
      </c>
      <c r="D49" s="482">
        <f t="shared" si="14"/>
        <v>0</v>
      </c>
      <c r="E49" s="482">
        <f t="shared" si="14"/>
        <v>0</v>
      </c>
      <c r="F49" s="482">
        <f t="shared" si="14"/>
        <v>0</v>
      </c>
      <c r="G49" s="482">
        <f t="shared" si="14"/>
        <v>0</v>
      </c>
      <c r="H49" s="482">
        <f t="shared" si="14"/>
        <v>0</v>
      </c>
      <c r="I49" s="482">
        <f t="shared" si="14"/>
        <v>0</v>
      </c>
      <c r="J49" s="482">
        <f t="shared" si="14"/>
        <v>0</v>
      </c>
      <c r="K49" s="482">
        <f t="shared" si="14"/>
        <v>1790</v>
      </c>
      <c r="L49" s="474">
        <f t="shared" si="14"/>
        <v>45779605.756080009</v>
      </c>
      <c r="M49" s="482">
        <f t="shared" si="14"/>
        <v>1752</v>
      </c>
      <c r="N49" s="482">
        <f t="shared" si="14"/>
        <v>0</v>
      </c>
      <c r="O49" s="482">
        <f t="shared" si="14"/>
        <v>0</v>
      </c>
      <c r="P49" s="482">
        <f t="shared" si="14"/>
        <v>0</v>
      </c>
      <c r="Q49" s="482">
        <f t="shared" si="14"/>
        <v>0</v>
      </c>
      <c r="R49" s="482">
        <f t="shared" si="14"/>
        <v>0</v>
      </c>
      <c r="S49" s="482">
        <f t="shared" si="14"/>
        <v>0</v>
      </c>
      <c r="T49" s="482">
        <f t="shared" si="14"/>
        <v>0</v>
      </c>
      <c r="U49" s="482">
        <f t="shared" si="14"/>
        <v>0</v>
      </c>
      <c r="V49" s="482">
        <f t="shared" si="14"/>
        <v>1752</v>
      </c>
      <c r="W49" s="474">
        <f t="shared" si="14"/>
        <v>48418049.790963992</v>
      </c>
    </row>
    <row r="50" spans="1:23" ht="14.25">
      <c r="A50" s="706" t="s">
        <v>7048</v>
      </c>
      <c r="B50" s="13">
        <f>'F-09 EP'!B51+'F-09 MGP'!B51+'F-09 FAP'!B51</f>
        <v>145</v>
      </c>
      <c r="C50" s="13"/>
      <c r="D50" s="13"/>
      <c r="E50" s="13"/>
      <c r="F50" s="13"/>
      <c r="G50" s="13"/>
      <c r="H50" s="13"/>
      <c r="I50" s="13"/>
      <c r="J50" s="13"/>
      <c r="K50" s="13">
        <f t="shared" ref="K50:K65" si="15">SUM(B50:J50)</f>
        <v>145</v>
      </c>
      <c r="L50" s="472">
        <f>'F-09 EP'!L51+'F-09 MGP'!L51+'F-09 FAP'!L51</f>
        <v>5127160.5356799997</v>
      </c>
      <c r="M50" s="13">
        <f>'F-09 EP'!M51+'F-09 MGP'!M51+'F-09 FAP'!M51</f>
        <v>86</v>
      </c>
      <c r="N50" s="13"/>
      <c r="O50" s="13"/>
      <c r="P50" s="13"/>
      <c r="Q50" s="13"/>
      <c r="R50" s="13"/>
      <c r="S50" s="13"/>
      <c r="T50" s="13"/>
      <c r="U50" s="13"/>
      <c r="V50" s="13">
        <f t="shared" ref="V50:V65" si="16">SUM(M50:U50)</f>
        <v>86</v>
      </c>
      <c r="W50" s="472">
        <f>'F-09 EP'!W51+'F-09 MGP'!W51+'F-09 FAP'!W51</f>
        <v>2775957.4860800002</v>
      </c>
    </row>
    <row r="51" spans="1:23" ht="14.25">
      <c r="A51" s="706" t="s">
        <v>7047</v>
      </c>
      <c r="B51" s="13">
        <f>'F-09 EP'!B52+'F-09 MGP'!B52+'F-09 FAP'!B52</f>
        <v>10</v>
      </c>
      <c r="C51" s="13"/>
      <c r="D51" s="13"/>
      <c r="E51" s="13"/>
      <c r="F51" s="13"/>
      <c r="G51" s="13"/>
      <c r="H51" s="13"/>
      <c r="I51" s="13"/>
      <c r="J51" s="13"/>
      <c r="K51" s="13">
        <f t="shared" si="15"/>
        <v>10</v>
      </c>
      <c r="L51" s="472">
        <f>'F-09 EP'!L52+'F-09 MGP'!L52+'F-09 FAP'!L52</f>
        <v>379652.8</v>
      </c>
      <c r="M51" s="13">
        <f>'F-09 EP'!M52+'F-09 MGP'!M52+'F-09 FAP'!M52</f>
        <v>20</v>
      </c>
      <c r="N51" s="13"/>
      <c r="O51" s="13"/>
      <c r="P51" s="13"/>
      <c r="Q51" s="13"/>
      <c r="R51" s="13"/>
      <c r="S51" s="13"/>
      <c r="T51" s="13"/>
      <c r="U51" s="13"/>
      <c r="V51" s="13">
        <f t="shared" si="16"/>
        <v>20</v>
      </c>
      <c r="W51" s="472">
        <f>'F-09 EP'!W52+'F-09 MGP'!W52+'F-09 FAP'!W52</f>
        <v>687657.04399999976</v>
      </c>
    </row>
    <row r="52" spans="1:23" ht="14.25">
      <c r="A52" s="706" t="s">
        <v>7046</v>
      </c>
      <c r="B52" s="13">
        <f>'F-09 EP'!B53+'F-09 MGP'!B53+'F-09 FAP'!B53</f>
        <v>644</v>
      </c>
      <c r="C52" s="13"/>
      <c r="D52" s="13"/>
      <c r="E52" s="13"/>
      <c r="F52" s="13"/>
      <c r="G52" s="13"/>
      <c r="H52" s="13"/>
      <c r="I52" s="13"/>
      <c r="J52" s="13"/>
      <c r="K52" s="13">
        <f t="shared" si="15"/>
        <v>644</v>
      </c>
      <c r="L52" s="472">
        <f>'F-09 EP'!L53+'F-09 MGP'!L53+'F-09 FAP'!L53</f>
        <v>20581422.312799998</v>
      </c>
      <c r="M52" s="13">
        <f>'F-09 EP'!M53+'F-09 MGP'!M53+'F-09 FAP'!M53</f>
        <v>656</v>
      </c>
      <c r="N52" s="13"/>
      <c r="O52" s="13"/>
      <c r="P52" s="13"/>
      <c r="Q52" s="13"/>
      <c r="R52" s="13"/>
      <c r="S52" s="13"/>
      <c r="T52" s="13"/>
      <c r="U52" s="13"/>
      <c r="V52" s="13">
        <f t="shared" si="16"/>
        <v>656</v>
      </c>
      <c r="W52" s="472">
        <f>'F-09 EP'!W53+'F-09 MGP'!W53+'F-09 FAP'!W53</f>
        <v>23486875.270399995</v>
      </c>
    </row>
    <row r="53" spans="1:23" ht="14.25">
      <c r="A53" s="706" t="s">
        <v>7045</v>
      </c>
      <c r="B53" s="13">
        <f>'F-09 EP'!B54+'F-09 MGP'!B54+'F-09 FAP'!B54</f>
        <v>10</v>
      </c>
      <c r="C53" s="13"/>
      <c r="D53" s="13"/>
      <c r="E53" s="13"/>
      <c r="F53" s="13"/>
      <c r="G53" s="13"/>
      <c r="H53" s="13"/>
      <c r="I53" s="13"/>
      <c r="J53" s="13"/>
      <c r="K53" s="13">
        <f t="shared" si="15"/>
        <v>10</v>
      </c>
      <c r="L53" s="472">
        <f>'F-09 EP'!L54+'F-09 MGP'!L54+'F-09 FAP'!L54</f>
        <v>312443.2</v>
      </c>
      <c r="M53" s="13">
        <f>'F-09 EP'!M54+'F-09 MGP'!M54+'F-09 FAP'!M54</f>
        <v>10</v>
      </c>
      <c r="N53" s="13"/>
      <c r="O53" s="13"/>
      <c r="P53" s="13"/>
      <c r="Q53" s="13"/>
      <c r="R53" s="13"/>
      <c r="S53" s="13"/>
      <c r="T53" s="13"/>
      <c r="U53" s="13"/>
      <c r="V53" s="13">
        <f t="shared" si="16"/>
        <v>10</v>
      </c>
      <c r="W53" s="472">
        <f>'F-09 EP'!W54+'F-09 MGP'!W54+'F-09 FAP'!W54</f>
        <v>313613.19999999995</v>
      </c>
    </row>
    <row r="54" spans="1:23" ht="14.25">
      <c r="A54" s="706" t="s">
        <v>7044</v>
      </c>
      <c r="B54" s="13">
        <f>'F-09 EP'!B55+'F-09 MGP'!B55+'F-09 FAP'!B55</f>
        <v>332</v>
      </c>
      <c r="C54" s="13"/>
      <c r="D54" s="13"/>
      <c r="E54" s="13"/>
      <c r="F54" s="13"/>
      <c r="G54" s="13"/>
      <c r="H54" s="13"/>
      <c r="I54" s="13"/>
      <c r="J54" s="13"/>
      <c r="K54" s="13">
        <f t="shared" si="15"/>
        <v>332</v>
      </c>
      <c r="L54" s="472">
        <f>'F-09 EP'!L55+'F-09 MGP'!L55+'F-09 FAP'!L55</f>
        <v>8594474.3599999994</v>
      </c>
      <c r="M54" s="13">
        <f>'F-09 EP'!M55+'F-09 MGP'!M55+'F-09 FAP'!M55</f>
        <v>490</v>
      </c>
      <c r="N54" s="13"/>
      <c r="O54" s="13"/>
      <c r="P54" s="13"/>
      <c r="Q54" s="13"/>
      <c r="R54" s="13"/>
      <c r="S54" s="13"/>
      <c r="T54" s="13"/>
      <c r="U54" s="13"/>
      <c r="V54" s="13">
        <f t="shared" si="16"/>
        <v>490</v>
      </c>
      <c r="W54" s="472">
        <f>'F-09 EP'!W55+'F-09 MGP'!W55+'F-09 FAP'!W55</f>
        <v>12692339.199999999</v>
      </c>
    </row>
    <row r="55" spans="1:23" ht="14.25">
      <c r="A55" s="706" t="s">
        <v>7043</v>
      </c>
      <c r="B55" s="13">
        <f>'F-09 EP'!B56+'F-09 MGP'!B56+'F-09 FAP'!B56</f>
        <v>72</v>
      </c>
      <c r="C55" s="13"/>
      <c r="D55" s="13"/>
      <c r="E55" s="13"/>
      <c r="F55" s="13"/>
      <c r="G55" s="13"/>
      <c r="H55" s="13"/>
      <c r="I55" s="13"/>
      <c r="J55" s="13"/>
      <c r="K55" s="13">
        <f t="shared" si="15"/>
        <v>72</v>
      </c>
      <c r="L55" s="472">
        <f>'F-09 EP'!L56+'F-09 MGP'!L56+'F-09 FAP'!L56</f>
        <v>1886659.2000000002</v>
      </c>
      <c r="M55" s="13">
        <f>'F-09 EP'!M56+'F-09 MGP'!M56+'F-09 FAP'!M56</f>
        <v>72</v>
      </c>
      <c r="N55" s="13"/>
      <c r="O55" s="13"/>
      <c r="P55" s="13"/>
      <c r="Q55" s="13"/>
      <c r="R55" s="13"/>
      <c r="S55" s="13"/>
      <c r="T55" s="13"/>
      <c r="U55" s="13"/>
      <c r="V55" s="13">
        <f t="shared" si="16"/>
        <v>72</v>
      </c>
      <c r="W55" s="472">
        <f>'F-09 EP'!W56+'F-09 MGP'!W56+'F-09 FAP'!W56</f>
        <v>2059286.4</v>
      </c>
    </row>
    <row r="56" spans="1:23">
      <c r="A56" s="703" t="s">
        <v>7012</v>
      </c>
      <c r="B56" s="13">
        <f>'F-09 EP'!B57+'F-09 MGP'!B57+'F-09 FAP'!B57</f>
        <v>0</v>
      </c>
      <c r="C56" s="13"/>
      <c r="D56" s="13"/>
      <c r="E56" s="13"/>
      <c r="F56" s="13"/>
      <c r="G56" s="13"/>
      <c r="H56" s="13"/>
      <c r="I56" s="13"/>
      <c r="J56" s="13"/>
      <c r="K56" s="13">
        <f t="shared" si="15"/>
        <v>0</v>
      </c>
      <c r="L56" s="472">
        <f>'F-09 EP'!L57+'F-09 MGP'!L57+'F-09 FAP'!L57</f>
        <v>0</v>
      </c>
      <c r="M56" s="13">
        <f>'F-09 EP'!M57+'F-09 MGP'!M57+'F-09 FAP'!M57</f>
        <v>0</v>
      </c>
      <c r="N56" s="13"/>
      <c r="O56" s="13"/>
      <c r="P56" s="13"/>
      <c r="Q56" s="13"/>
      <c r="R56" s="13"/>
      <c r="S56" s="13"/>
      <c r="T56" s="13"/>
      <c r="U56" s="13"/>
      <c r="V56" s="13">
        <f t="shared" si="16"/>
        <v>0</v>
      </c>
      <c r="W56" s="472">
        <f>'F-09 EP'!W57+'F-09 MGP'!W57+'F-09 FAP'!W57</f>
        <v>0</v>
      </c>
    </row>
    <row r="57" spans="1:23">
      <c r="A57" s="703" t="s">
        <v>7011</v>
      </c>
      <c r="B57" s="13">
        <f>'F-09 EP'!B58+'F-09 MGP'!B58+'F-09 FAP'!B58</f>
        <v>0</v>
      </c>
      <c r="C57" s="13"/>
      <c r="D57" s="13"/>
      <c r="E57" s="13"/>
      <c r="F57" s="13"/>
      <c r="G57" s="13"/>
      <c r="H57" s="13"/>
      <c r="I57" s="13"/>
      <c r="J57" s="13"/>
      <c r="K57" s="13">
        <f t="shared" si="15"/>
        <v>0</v>
      </c>
      <c r="L57" s="472">
        <f>'F-09 EP'!L58+'F-09 MGP'!L58+'F-09 FAP'!L58</f>
        <v>0</v>
      </c>
      <c r="M57" s="13">
        <f>'F-09 EP'!M58+'F-09 MGP'!M58+'F-09 FAP'!M58</f>
        <v>1</v>
      </c>
      <c r="N57" s="13"/>
      <c r="O57" s="13"/>
      <c r="P57" s="13"/>
      <c r="Q57" s="13"/>
      <c r="R57" s="13"/>
      <c r="S57" s="13"/>
      <c r="T57" s="13"/>
      <c r="U57" s="13"/>
      <c r="V57" s="13">
        <f t="shared" si="16"/>
        <v>1</v>
      </c>
      <c r="W57" s="472">
        <f>'F-09 EP'!W58+'F-09 MGP'!W58+'F-09 FAP'!W58</f>
        <v>16146.45</v>
      </c>
    </row>
    <row r="58" spans="1:23">
      <c r="A58" s="703" t="s">
        <v>7042</v>
      </c>
      <c r="B58" s="13">
        <f>'F-09 EP'!B59+'F-09 MGP'!B59+'F-09 FAP'!B59</f>
        <v>1</v>
      </c>
      <c r="C58" s="13"/>
      <c r="D58" s="13"/>
      <c r="E58" s="13"/>
      <c r="F58" s="13"/>
      <c r="G58" s="13"/>
      <c r="H58" s="13"/>
      <c r="I58" s="13"/>
      <c r="J58" s="13"/>
      <c r="K58" s="13">
        <f t="shared" si="15"/>
        <v>1</v>
      </c>
      <c r="L58" s="472">
        <f>'F-09 EP'!L59+'F-09 MGP'!L59+'F-09 FAP'!L59</f>
        <v>15970.839999999997</v>
      </c>
      <c r="M58" s="13">
        <f>'F-09 EP'!M59+'F-09 MGP'!M59+'F-09 FAP'!M59</f>
        <v>1</v>
      </c>
      <c r="N58" s="13"/>
      <c r="O58" s="13"/>
      <c r="P58" s="13"/>
      <c r="Q58" s="13"/>
      <c r="R58" s="13"/>
      <c r="S58" s="13"/>
      <c r="T58" s="13"/>
      <c r="U58" s="13"/>
      <c r="V58" s="13">
        <f t="shared" si="16"/>
        <v>1</v>
      </c>
      <c r="W58" s="472">
        <f>'F-09 EP'!W59+'F-09 MGP'!W59+'F-09 FAP'!W59</f>
        <v>15970.889999999996</v>
      </c>
    </row>
    <row r="59" spans="1:23">
      <c r="A59" s="703" t="s">
        <v>7041</v>
      </c>
      <c r="B59" s="13">
        <f>'F-09 EP'!B60+'F-09 MGP'!B60+'F-09 FAP'!B60</f>
        <v>0</v>
      </c>
      <c r="C59" s="13"/>
      <c r="D59" s="13"/>
      <c r="E59" s="13"/>
      <c r="F59" s="13"/>
      <c r="G59" s="13"/>
      <c r="H59" s="13"/>
      <c r="I59" s="13"/>
      <c r="J59" s="13"/>
      <c r="K59" s="13">
        <f t="shared" si="15"/>
        <v>0</v>
      </c>
      <c r="L59" s="472">
        <f>'F-09 EP'!L60+'F-09 MGP'!L60+'F-09 FAP'!L60</f>
        <v>0</v>
      </c>
      <c r="M59" s="13">
        <f>'F-09 EP'!M60+'F-09 MGP'!M60+'F-09 FAP'!M60</f>
        <v>0</v>
      </c>
      <c r="N59" s="13"/>
      <c r="O59" s="13"/>
      <c r="P59" s="13"/>
      <c r="Q59" s="13"/>
      <c r="R59" s="13"/>
      <c r="S59" s="13"/>
      <c r="T59" s="13"/>
      <c r="U59" s="13"/>
      <c r="V59" s="13">
        <f t="shared" si="16"/>
        <v>0</v>
      </c>
      <c r="W59" s="472">
        <f>'F-09 EP'!W60+'F-09 MGP'!W60+'F-09 FAP'!W60</f>
        <v>0</v>
      </c>
    </row>
    <row r="60" spans="1:23">
      <c r="A60" s="703" t="s">
        <v>7040</v>
      </c>
      <c r="B60" s="13">
        <f>'F-09 EP'!B61+'F-09 MGP'!B61+'F-09 FAP'!B61</f>
        <v>255</v>
      </c>
      <c r="C60" s="13"/>
      <c r="D60" s="13"/>
      <c r="E60" s="13"/>
      <c r="F60" s="13"/>
      <c r="G60" s="13"/>
      <c r="H60" s="13"/>
      <c r="I60" s="13"/>
      <c r="J60" s="13"/>
      <c r="K60" s="13">
        <f t="shared" si="15"/>
        <v>255</v>
      </c>
      <c r="L60" s="472">
        <f>'F-09 EP'!L61+'F-09 MGP'!L61+'F-09 FAP'!L61</f>
        <v>3866167.2</v>
      </c>
      <c r="M60" s="13">
        <f>'F-09 EP'!M61+'F-09 MGP'!M61+'F-09 FAP'!M61</f>
        <v>97</v>
      </c>
      <c r="N60" s="13"/>
      <c r="O60" s="13"/>
      <c r="P60" s="13"/>
      <c r="Q60" s="13"/>
      <c r="R60" s="13"/>
      <c r="S60" s="13"/>
      <c r="T60" s="13"/>
      <c r="U60" s="13"/>
      <c r="V60" s="13">
        <f t="shared" si="16"/>
        <v>97</v>
      </c>
      <c r="W60" s="472">
        <f>'F-09 EP'!W61+'F-09 MGP'!W61+'F-09 FAP'!W61</f>
        <v>1558181.0235240038</v>
      </c>
    </row>
    <row r="61" spans="1:23">
      <c r="A61" s="703" t="s">
        <v>7039</v>
      </c>
      <c r="B61" s="13">
        <f>'F-09 EP'!B62+'F-09 MGP'!B62+'F-09 FAP'!B62</f>
        <v>4</v>
      </c>
      <c r="C61" s="13"/>
      <c r="D61" s="13"/>
      <c r="E61" s="13"/>
      <c r="F61" s="13"/>
      <c r="G61" s="13"/>
      <c r="H61" s="13"/>
      <c r="I61" s="13"/>
      <c r="J61" s="13"/>
      <c r="K61" s="13">
        <f t="shared" si="15"/>
        <v>4</v>
      </c>
      <c r="L61" s="472">
        <f>'F-09 EP'!L62+'F-09 MGP'!L62+'F-09 FAP'!L62</f>
        <v>51601.600000000006</v>
      </c>
      <c r="M61" s="13">
        <f>'F-09 EP'!M62+'F-09 MGP'!M62+'F-09 FAP'!M62</f>
        <v>4</v>
      </c>
      <c r="N61" s="13"/>
      <c r="O61" s="13"/>
      <c r="P61" s="13"/>
      <c r="Q61" s="13"/>
      <c r="R61" s="13"/>
      <c r="S61" s="13"/>
      <c r="T61" s="13"/>
      <c r="U61" s="13"/>
      <c r="V61" s="13">
        <f t="shared" si="16"/>
        <v>4</v>
      </c>
      <c r="W61" s="472">
        <f>'F-09 EP'!W62+'F-09 MGP'!W62+'F-09 FAP'!W62</f>
        <v>51601.8</v>
      </c>
    </row>
    <row r="62" spans="1:23">
      <c r="A62" s="703" t="s">
        <v>7038</v>
      </c>
      <c r="B62" s="13">
        <f>'F-09 EP'!B63+'F-09 MGP'!B63+'F-09 FAP'!B63</f>
        <v>11</v>
      </c>
      <c r="C62" s="13"/>
      <c r="D62" s="13"/>
      <c r="E62" s="13"/>
      <c r="F62" s="13"/>
      <c r="G62" s="13"/>
      <c r="H62" s="13"/>
      <c r="I62" s="13"/>
      <c r="J62" s="13"/>
      <c r="K62" s="13">
        <f t="shared" si="15"/>
        <v>11</v>
      </c>
      <c r="L62" s="472">
        <f>'F-09 EP'!L63+'F-09 MGP'!L63+'F-09 FAP'!L63</f>
        <v>160252.40000000002</v>
      </c>
      <c r="M62" s="13">
        <f>'F-09 EP'!M63+'F-09 MGP'!M63+'F-09 FAP'!M63</f>
        <v>15</v>
      </c>
      <c r="N62" s="13"/>
      <c r="O62" s="13"/>
      <c r="P62" s="13"/>
      <c r="Q62" s="13"/>
      <c r="R62" s="13"/>
      <c r="S62" s="13"/>
      <c r="T62" s="13"/>
      <c r="U62" s="13"/>
      <c r="V62" s="13">
        <f t="shared" si="16"/>
        <v>15</v>
      </c>
      <c r="W62" s="472">
        <f>'F-09 EP'!W63+'F-09 MGP'!W63+'F-09 FAP'!W63</f>
        <v>255715.8</v>
      </c>
    </row>
    <row r="63" spans="1:23">
      <c r="A63" s="703" t="s">
        <v>7037</v>
      </c>
      <c r="B63" s="13">
        <f>'F-09 EP'!B64+'F-09 MGP'!B64+'F-09 FAP'!B64</f>
        <v>7</v>
      </c>
      <c r="C63" s="13"/>
      <c r="D63" s="13"/>
      <c r="E63" s="13"/>
      <c r="F63" s="13"/>
      <c r="G63" s="13"/>
      <c r="H63" s="13"/>
      <c r="I63" s="13"/>
      <c r="J63" s="13"/>
      <c r="K63" s="13">
        <f t="shared" si="15"/>
        <v>7</v>
      </c>
      <c r="L63" s="472">
        <f>'F-09 EP'!L64+'F-09 MGP'!L64+'F-09 FAP'!L64</f>
        <v>86799.58</v>
      </c>
      <c r="M63" s="13">
        <f>'F-09 EP'!M64+'F-09 MGP'!M64+'F-09 FAP'!M64</f>
        <v>18</v>
      </c>
      <c r="N63" s="13"/>
      <c r="O63" s="13"/>
      <c r="P63" s="13"/>
      <c r="Q63" s="13"/>
      <c r="R63" s="13"/>
      <c r="S63" s="13"/>
      <c r="T63" s="13"/>
      <c r="U63" s="13"/>
      <c r="V63" s="13">
        <f t="shared" si="16"/>
        <v>18</v>
      </c>
      <c r="W63" s="472">
        <f>'F-09 EP'!W64+'F-09 MGP'!W64+'F-09 FAP'!W64</f>
        <v>234265.49</v>
      </c>
    </row>
    <row r="64" spans="1:23">
      <c r="A64" s="703" t="s">
        <v>7036</v>
      </c>
      <c r="B64" s="13">
        <f>'F-09 EP'!B65+'F-09 MGP'!B65+'F-09 FAP'!B65</f>
        <v>20</v>
      </c>
      <c r="C64" s="13"/>
      <c r="D64" s="13"/>
      <c r="E64" s="13"/>
      <c r="F64" s="13"/>
      <c r="G64" s="13"/>
      <c r="H64" s="13"/>
      <c r="I64" s="13"/>
      <c r="J64" s="13"/>
      <c r="K64" s="13">
        <f t="shared" si="15"/>
        <v>20</v>
      </c>
      <c r="L64" s="472">
        <f>'F-09 EP'!L65+'F-09 MGP'!L65+'F-09 FAP'!L65</f>
        <v>274420.03999999998</v>
      </c>
      <c r="M64" s="13">
        <f>'F-09 EP'!M65+'F-09 MGP'!M65+'F-09 FAP'!M65</f>
        <v>41</v>
      </c>
      <c r="N64" s="13"/>
      <c r="O64" s="13"/>
      <c r="P64" s="13"/>
      <c r="Q64" s="13"/>
      <c r="R64" s="13"/>
      <c r="S64" s="13"/>
      <c r="T64" s="13"/>
      <c r="U64" s="13"/>
      <c r="V64" s="13">
        <f t="shared" si="16"/>
        <v>41</v>
      </c>
      <c r="W64" s="472">
        <f>'F-09 EP'!W65+'F-09 MGP'!W65+'F-09 FAP'!W65</f>
        <v>569398.39</v>
      </c>
    </row>
    <row r="65" spans="1:23">
      <c r="A65" s="703" t="s">
        <v>7035</v>
      </c>
      <c r="B65" s="13">
        <f>'F-09 EP'!B66+'F-09 MGP'!B66+'F-09 FAP'!B66</f>
        <v>279</v>
      </c>
      <c r="C65" s="13"/>
      <c r="D65" s="13"/>
      <c r="E65" s="13"/>
      <c r="F65" s="13"/>
      <c r="G65" s="13"/>
      <c r="H65" s="13"/>
      <c r="I65" s="13"/>
      <c r="J65" s="13"/>
      <c r="K65" s="13">
        <f t="shared" si="15"/>
        <v>279</v>
      </c>
      <c r="L65" s="472">
        <f>'F-09 EP'!L66+'F-09 MGP'!L66+'F-09 FAP'!L66</f>
        <v>4442581.6875999998</v>
      </c>
      <c r="M65" s="13">
        <f>'F-09 EP'!M66+'F-09 MGP'!M66+'F-09 FAP'!M66</f>
        <v>241</v>
      </c>
      <c r="N65" s="13"/>
      <c r="O65" s="13"/>
      <c r="P65" s="13"/>
      <c r="Q65" s="13"/>
      <c r="R65" s="13"/>
      <c r="S65" s="13"/>
      <c r="T65" s="13"/>
      <c r="U65" s="13"/>
      <c r="V65" s="13">
        <f t="shared" si="16"/>
        <v>241</v>
      </c>
      <c r="W65" s="472">
        <f>'F-09 EP'!W66+'F-09 MGP'!W66+'F-09 FAP'!W66</f>
        <v>3701041.3469600002</v>
      </c>
    </row>
    <row r="66" spans="1:23">
      <c r="A66" s="704" t="s">
        <v>54</v>
      </c>
      <c r="B66" s="482">
        <f t="shared" ref="B66:W66" si="17">SUM(B67:B77)</f>
        <v>399</v>
      </c>
      <c r="C66" s="482">
        <f t="shared" si="17"/>
        <v>0</v>
      </c>
      <c r="D66" s="482">
        <f t="shared" si="17"/>
        <v>0</v>
      </c>
      <c r="E66" s="482">
        <f t="shared" si="17"/>
        <v>0</v>
      </c>
      <c r="F66" s="482">
        <f t="shared" si="17"/>
        <v>0</v>
      </c>
      <c r="G66" s="482">
        <f t="shared" si="17"/>
        <v>0</v>
      </c>
      <c r="H66" s="482">
        <f t="shared" si="17"/>
        <v>0</v>
      </c>
      <c r="I66" s="482">
        <f t="shared" si="17"/>
        <v>0</v>
      </c>
      <c r="J66" s="482">
        <f t="shared" si="17"/>
        <v>0</v>
      </c>
      <c r="K66" s="482">
        <f t="shared" si="17"/>
        <v>399</v>
      </c>
      <c r="L66" s="474">
        <f t="shared" si="17"/>
        <v>6451974.5159999998</v>
      </c>
      <c r="M66" s="482">
        <f t="shared" si="17"/>
        <v>405</v>
      </c>
      <c r="N66" s="482">
        <f t="shared" si="17"/>
        <v>0</v>
      </c>
      <c r="O66" s="482">
        <f t="shared" si="17"/>
        <v>0</v>
      </c>
      <c r="P66" s="482">
        <f t="shared" si="17"/>
        <v>0</v>
      </c>
      <c r="Q66" s="482">
        <f t="shared" si="17"/>
        <v>0</v>
      </c>
      <c r="R66" s="482">
        <f t="shared" si="17"/>
        <v>0</v>
      </c>
      <c r="S66" s="482">
        <f t="shared" si="17"/>
        <v>0</v>
      </c>
      <c r="T66" s="482">
        <f t="shared" si="17"/>
        <v>0</v>
      </c>
      <c r="U66" s="482">
        <f t="shared" si="17"/>
        <v>0</v>
      </c>
      <c r="V66" s="482">
        <f t="shared" si="17"/>
        <v>405</v>
      </c>
      <c r="W66" s="474">
        <f t="shared" si="17"/>
        <v>6186513.2063999986</v>
      </c>
    </row>
    <row r="67" spans="1:23">
      <c r="A67" s="703" t="s">
        <v>7034</v>
      </c>
      <c r="B67" s="13">
        <f>'F-09 EP'!B68+'F-09 MGP'!B68+'F-09 FAP'!B68</f>
        <v>63</v>
      </c>
      <c r="C67" s="13"/>
      <c r="D67" s="13"/>
      <c r="E67" s="13"/>
      <c r="F67" s="13"/>
      <c r="G67" s="13"/>
      <c r="H67" s="13"/>
      <c r="I67" s="13"/>
      <c r="J67" s="13"/>
      <c r="K67" s="13">
        <f t="shared" ref="K67:K77" si="18">SUM(B67:J67)</f>
        <v>63</v>
      </c>
      <c r="L67" s="472">
        <f>'F-09 EP'!L68+'F-09 MGP'!L68+'F-09 FAP'!L68</f>
        <v>1073372.52</v>
      </c>
      <c r="M67" s="13">
        <f>'F-09 EP'!M68+'F-09 MGP'!M68+'F-09 FAP'!M68</f>
        <v>90</v>
      </c>
      <c r="N67" s="13"/>
      <c r="O67" s="13"/>
      <c r="P67" s="13"/>
      <c r="Q67" s="13"/>
      <c r="R67" s="13"/>
      <c r="S67" s="13"/>
      <c r="T67" s="13"/>
      <c r="U67" s="13"/>
      <c r="V67" s="13">
        <f t="shared" ref="V67:V77" si="19">SUM(M67:U67)</f>
        <v>90</v>
      </c>
      <c r="W67" s="472">
        <f>'F-09 EP'!W68+'F-09 MGP'!W68+'F-09 FAP'!W68</f>
        <v>1533661.0599999998</v>
      </c>
    </row>
    <row r="68" spans="1:23">
      <c r="A68" s="703" t="s">
        <v>7033</v>
      </c>
      <c r="B68" s="13">
        <f>'F-09 EP'!B69+'F-09 MGP'!B69+'F-09 FAP'!B69</f>
        <v>61</v>
      </c>
      <c r="C68" s="13"/>
      <c r="D68" s="13"/>
      <c r="E68" s="13"/>
      <c r="F68" s="13"/>
      <c r="G68" s="13"/>
      <c r="H68" s="13"/>
      <c r="I68" s="13"/>
      <c r="J68" s="13"/>
      <c r="K68" s="13">
        <f t="shared" si="18"/>
        <v>61</v>
      </c>
      <c r="L68" s="472">
        <f>'F-09 EP'!L69+'F-09 MGP'!L69+'F-09 FAP'!L69</f>
        <v>822306.39999999991</v>
      </c>
      <c r="M68" s="13">
        <f>'F-09 EP'!M69+'F-09 MGP'!M69+'F-09 FAP'!M69</f>
        <v>92</v>
      </c>
      <c r="N68" s="13"/>
      <c r="O68" s="13"/>
      <c r="P68" s="13"/>
      <c r="Q68" s="13"/>
      <c r="R68" s="13"/>
      <c r="S68" s="13"/>
      <c r="T68" s="13"/>
      <c r="U68" s="13"/>
      <c r="V68" s="13">
        <f t="shared" si="19"/>
        <v>92</v>
      </c>
      <c r="W68" s="472">
        <f>'F-09 EP'!W69+'F-09 MGP'!W69+'F-09 FAP'!W69</f>
        <v>1237891.31</v>
      </c>
    </row>
    <row r="69" spans="1:23">
      <c r="A69" s="703" t="s">
        <v>7032</v>
      </c>
      <c r="B69" s="13">
        <f>'F-09 EP'!B70+'F-09 MGP'!B70+'F-09 FAP'!B70</f>
        <v>10</v>
      </c>
      <c r="C69" s="13"/>
      <c r="D69" s="13"/>
      <c r="E69" s="13"/>
      <c r="F69" s="13"/>
      <c r="G69" s="13"/>
      <c r="H69" s="13"/>
      <c r="I69" s="13"/>
      <c r="J69" s="13"/>
      <c r="K69" s="13">
        <f t="shared" si="18"/>
        <v>10</v>
      </c>
      <c r="L69" s="472">
        <f>'F-09 EP'!L70+'F-09 MGP'!L70+'F-09 FAP'!L70</f>
        <v>118446.63999999998</v>
      </c>
      <c r="M69" s="13">
        <f>'F-09 EP'!M70+'F-09 MGP'!M70+'F-09 FAP'!M70</f>
        <v>11</v>
      </c>
      <c r="N69" s="13"/>
      <c r="O69" s="13"/>
      <c r="P69" s="13"/>
      <c r="Q69" s="13"/>
      <c r="R69" s="13"/>
      <c r="S69" s="13"/>
      <c r="T69" s="13"/>
      <c r="U69" s="13"/>
      <c r="V69" s="13">
        <f t="shared" si="19"/>
        <v>11</v>
      </c>
      <c r="W69" s="472">
        <f>'F-09 EP'!W70+'F-09 MGP'!W70+'F-09 FAP'!W70</f>
        <v>130073.93999999999</v>
      </c>
    </row>
    <row r="70" spans="1:23">
      <c r="A70" s="703" t="s">
        <v>7027</v>
      </c>
      <c r="B70" s="13">
        <f>'F-09 EP'!B71+'F-09 MGP'!B71+'F-09 FAP'!B71</f>
        <v>9</v>
      </c>
      <c r="C70" s="13"/>
      <c r="D70" s="13"/>
      <c r="E70" s="13"/>
      <c r="F70" s="13"/>
      <c r="G70" s="13"/>
      <c r="H70" s="13"/>
      <c r="I70" s="13"/>
      <c r="J70" s="13"/>
      <c r="K70" s="13">
        <f t="shared" si="18"/>
        <v>9</v>
      </c>
      <c r="L70" s="472">
        <f>'F-09 EP'!L71+'F-09 MGP'!L71+'F-09 FAP'!L71</f>
        <v>83196</v>
      </c>
      <c r="M70" s="13">
        <f>'F-09 EP'!M71+'F-09 MGP'!M71+'F-09 FAP'!M71</f>
        <v>15</v>
      </c>
      <c r="N70" s="13"/>
      <c r="O70" s="13"/>
      <c r="P70" s="13"/>
      <c r="Q70" s="13"/>
      <c r="R70" s="13"/>
      <c r="S70" s="13"/>
      <c r="T70" s="13"/>
      <c r="U70" s="13"/>
      <c r="V70" s="13">
        <f t="shared" si="19"/>
        <v>15</v>
      </c>
      <c r="W70" s="472">
        <f>'F-09 EP'!W71+'F-09 MGP'!W71+'F-09 FAP'!W71</f>
        <v>138660</v>
      </c>
    </row>
    <row r="71" spans="1:23">
      <c r="A71" s="703" t="s">
        <v>7026</v>
      </c>
      <c r="B71" s="13">
        <f>'F-09 EP'!B72+'F-09 MGP'!B72+'F-09 FAP'!B72</f>
        <v>12</v>
      </c>
      <c r="C71" s="13"/>
      <c r="D71" s="13"/>
      <c r="E71" s="13"/>
      <c r="F71" s="13"/>
      <c r="G71" s="13"/>
      <c r="H71" s="13"/>
      <c r="I71" s="13"/>
      <c r="J71" s="13"/>
      <c r="K71" s="13">
        <f t="shared" si="18"/>
        <v>12</v>
      </c>
      <c r="L71" s="472">
        <f>'F-09 EP'!L72+'F-09 MGP'!L72+'F-09 FAP'!L72</f>
        <v>307405.86719999998</v>
      </c>
      <c r="M71" s="13">
        <f>'F-09 EP'!M72+'F-09 MGP'!M72+'F-09 FAP'!M72</f>
        <v>5</v>
      </c>
      <c r="N71" s="13"/>
      <c r="O71" s="13"/>
      <c r="P71" s="13"/>
      <c r="Q71" s="13"/>
      <c r="R71" s="13"/>
      <c r="S71" s="13"/>
      <c r="T71" s="13"/>
      <c r="U71" s="13"/>
      <c r="V71" s="13">
        <f t="shared" si="19"/>
        <v>5</v>
      </c>
      <c r="W71" s="472">
        <f>'F-09 EP'!W72+'F-09 MGP'!W72+'F-09 FAP'!W72</f>
        <v>126347.83040000001</v>
      </c>
    </row>
    <row r="72" spans="1:23">
      <c r="A72" s="703" t="s">
        <v>7025</v>
      </c>
      <c r="B72" s="13">
        <f>'F-09 EP'!B73+'F-09 MGP'!B73+'F-09 FAP'!B73</f>
        <v>100</v>
      </c>
      <c r="C72" s="13"/>
      <c r="D72" s="13"/>
      <c r="E72" s="13"/>
      <c r="F72" s="13"/>
      <c r="G72" s="13"/>
      <c r="H72" s="13"/>
      <c r="I72" s="13"/>
      <c r="J72" s="13"/>
      <c r="K72" s="13">
        <f t="shared" si="18"/>
        <v>100</v>
      </c>
      <c r="L72" s="472">
        <f>'F-09 EP'!L73+'F-09 MGP'!L73+'F-09 FAP'!L73</f>
        <v>1762455.2047999999</v>
      </c>
      <c r="M72" s="13">
        <f>'F-09 EP'!M73+'F-09 MGP'!M73+'F-09 FAP'!M73</f>
        <v>108</v>
      </c>
      <c r="N72" s="13"/>
      <c r="O72" s="13"/>
      <c r="P72" s="13"/>
      <c r="Q72" s="13"/>
      <c r="R72" s="13"/>
      <c r="S72" s="13"/>
      <c r="T72" s="13"/>
      <c r="U72" s="13"/>
      <c r="V72" s="13">
        <f t="shared" si="19"/>
        <v>108</v>
      </c>
      <c r="W72" s="472">
        <f>'F-09 EP'!W73+'F-09 MGP'!W73+'F-09 FAP'!W73</f>
        <v>1713347.7807999998</v>
      </c>
    </row>
    <row r="73" spans="1:23">
      <c r="A73" s="703" t="s">
        <v>7024</v>
      </c>
      <c r="B73" s="13">
        <f>'F-09 EP'!B74+'F-09 MGP'!B74+'F-09 FAP'!B74</f>
        <v>68</v>
      </c>
      <c r="C73" s="13"/>
      <c r="D73" s="13"/>
      <c r="E73" s="13"/>
      <c r="F73" s="13"/>
      <c r="G73" s="13"/>
      <c r="H73" s="13"/>
      <c r="I73" s="13"/>
      <c r="J73" s="13"/>
      <c r="K73" s="13">
        <f t="shared" si="18"/>
        <v>68</v>
      </c>
      <c r="L73" s="472">
        <f>'F-09 EP'!L74+'F-09 MGP'!L74+'F-09 FAP'!L74</f>
        <v>1306842.3887999998</v>
      </c>
      <c r="M73" s="13">
        <f>'F-09 EP'!M74+'F-09 MGP'!M74+'F-09 FAP'!M74</f>
        <v>47</v>
      </c>
      <c r="N73" s="13"/>
      <c r="O73" s="13"/>
      <c r="P73" s="13"/>
      <c r="Q73" s="13"/>
      <c r="R73" s="13"/>
      <c r="S73" s="13"/>
      <c r="T73" s="13"/>
      <c r="U73" s="13"/>
      <c r="V73" s="13">
        <f t="shared" si="19"/>
        <v>47</v>
      </c>
      <c r="W73" s="472">
        <f>'F-09 EP'!W74+'F-09 MGP'!W74+'F-09 FAP'!W74</f>
        <v>823585.55839999998</v>
      </c>
    </row>
    <row r="74" spans="1:23">
      <c r="A74" s="703" t="s">
        <v>7023</v>
      </c>
      <c r="B74" s="13">
        <f>'F-09 EP'!B75+'F-09 MGP'!B75+'F-09 FAP'!B75</f>
        <v>28</v>
      </c>
      <c r="C74" s="13"/>
      <c r="D74" s="13"/>
      <c r="E74" s="13"/>
      <c r="F74" s="13"/>
      <c r="G74" s="13"/>
      <c r="H74" s="13"/>
      <c r="I74" s="13"/>
      <c r="J74" s="13"/>
      <c r="K74" s="13">
        <f t="shared" si="18"/>
        <v>28</v>
      </c>
      <c r="L74" s="472">
        <f>'F-09 EP'!L75+'F-09 MGP'!L75+'F-09 FAP'!L75</f>
        <v>419596.56599999999</v>
      </c>
      <c r="M74" s="13">
        <f>'F-09 EP'!M75+'F-09 MGP'!M75+'F-09 FAP'!M75</f>
        <v>20</v>
      </c>
      <c r="N74" s="13"/>
      <c r="O74" s="13"/>
      <c r="P74" s="13"/>
      <c r="Q74" s="13"/>
      <c r="R74" s="13"/>
      <c r="S74" s="13"/>
      <c r="T74" s="13"/>
      <c r="U74" s="13"/>
      <c r="V74" s="13">
        <f t="shared" si="19"/>
        <v>20</v>
      </c>
      <c r="W74" s="472">
        <f>'F-09 EP'!W75+'F-09 MGP'!W75+'F-09 FAP'!W75</f>
        <v>286171.91839999997</v>
      </c>
    </row>
    <row r="75" spans="1:23">
      <c r="A75" s="703" t="s">
        <v>7022</v>
      </c>
      <c r="B75" s="13">
        <f>'F-09 EP'!B76+'F-09 MGP'!B76+'F-09 FAP'!B76</f>
        <v>30</v>
      </c>
      <c r="C75" s="13"/>
      <c r="D75" s="13"/>
      <c r="E75" s="13"/>
      <c r="F75" s="13"/>
      <c r="G75" s="13"/>
      <c r="H75" s="13"/>
      <c r="I75" s="13"/>
      <c r="J75" s="13"/>
      <c r="K75" s="13">
        <f t="shared" si="18"/>
        <v>30</v>
      </c>
      <c r="L75" s="472">
        <f>'F-09 EP'!L76+'F-09 MGP'!L76+'F-09 FAP'!L76</f>
        <v>368422.19320000004</v>
      </c>
      <c r="M75" s="13">
        <f>'F-09 EP'!M76+'F-09 MGP'!M76+'F-09 FAP'!M76</f>
        <v>15</v>
      </c>
      <c r="N75" s="13"/>
      <c r="O75" s="13"/>
      <c r="P75" s="13"/>
      <c r="Q75" s="13"/>
      <c r="R75" s="13"/>
      <c r="S75" s="13"/>
      <c r="T75" s="13"/>
      <c r="U75" s="13"/>
      <c r="V75" s="13">
        <f t="shared" si="19"/>
        <v>15</v>
      </c>
      <c r="W75" s="472">
        <f>'F-09 EP'!W76+'F-09 MGP'!W76+'F-09 FAP'!W76</f>
        <v>170488.266</v>
      </c>
    </row>
    <row r="76" spans="1:23">
      <c r="A76" s="703" t="s">
        <v>7021</v>
      </c>
      <c r="B76" s="13">
        <f>'F-09 EP'!B77+'F-09 MGP'!B77+'F-09 FAP'!B77</f>
        <v>9</v>
      </c>
      <c r="C76" s="13"/>
      <c r="D76" s="13"/>
      <c r="E76" s="13"/>
      <c r="F76" s="13"/>
      <c r="G76" s="13"/>
      <c r="H76" s="13"/>
      <c r="I76" s="13"/>
      <c r="J76" s="13"/>
      <c r="K76" s="13">
        <f t="shared" si="18"/>
        <v>9</v>
      </c>
      <c r="L76" s="472">
        <f>'F-09 EP'!L77+'F-09 MGP'!L77+'F-09 FAP'!L77</f>
        <v>88099.199999999997</v>
      </c>
      <c r="M76" s="13">
        <f>'F-09 EP'!M77+'F-09 MGP'!M77+'F-09 FAP'!M77</f>
        <v>0</v>
      </c>
      <c r="N76" s="13"/>
      <c r="O76" s="13"/>
      <c r="P76" s="13"/>
      <c r="Q76" s="13"/>
      <c r="R76" s="13"/>
      <c r="S76" s="13"/>
      <c r="T76" s="13"/>
      <c r="U76" s="13"/>
      <c r="V76" s="13">
        <f t="shared" si="19"/>
        <v>0</v>
      </c>
      <c r="W76" s="472">
        <f>'F-09 EP'!W77+'F-09 MGP'!W77+'F-09 FAP'!W77</f>
        <v>0</v>
      </c>
    </row>
    <row r="77" spans="1:23">
      <c r="A77" s="703" t="s">
        <v>7020</v>
      </c>
      <c r="B77" s="13">
        <f>'F-09 EP'!B78+'F-09 MGP'!B78+'F-09 FAP'!B78</f>
        <v>9</v>
      </c>
      <c r="C77" s="13"/>
      <c r="D77" s="13"/>
      <c r="E77" s="13"/>
      <c r="F77" s="13"/>
      <c r="G77" s="13"/>
      <c r="H77" s="13"/>
      <c r="I77" s="13"/>
      <c r="J77" s="13"/>
      <c r="K77" s="13">
        <f t="shared" si="18"/>
        <v>9</v>
      </c>
      <c r="L77" s="472">
        <f>'F-09 EP'!L78+'F-09 MGP'!L78+'F-09 FAP'!L78</f>
        <v>101831.53599999999</v>
      </c>
      <c r="M77" s="13">
        <f>'F-09 EP'!M78+'F-09 MGP'!M78+'F-09 FAP'!M78</f>
        <v>2</v>
      </c>
      <c r="N77" s="13"/>
      <c r="O77" s="13"/>
      <c r="P77" s="13"/>
      <c r="Q77" s="13"/>
      <c r="R77" s="13"/>
      <c r="S77" s="13"/>
      <c r="T77" s="13"/>
      <c r="U77" s="13"/>
      <c r="V77" s="13">
        <f t="shared" si="19"/>
        <v>2</v>
      </c>
      <c r="W77" s="472">
        <f>'F-09 EP'!W78+'F-09 MGP'!W78+'F-09 FAP'!W78</f>
        <v>26285.542399999998</v>
      </c>
    </row>
    <row r="78" spans="1:23">
      <c r="A78" s="704" t="s">
        <v>7031</v>
      </c>
      <c r="B78" s="482">
        <f t="shared" ref="B78:W78" si="20">SUM(B79:B89)</f>
        <v>43</v>
      </c>
      <c r="C78" s="482">
        <f t="shared" si="20"/>
        <v>0</v>
      </c>
      <c r="D78" s="482">
        <f t="shared" si="20"/>
        <v>0</v>
      </c>
      <c r="E78" s="482">
        <f t="shared" si="20"/>
        <v>0</v>
      </c>
      <c r="F78" s="482">
        <f t="shared" si="20"/>
        <v>0</v>
      </c>
      <c r="G78" s="482">
        <f t="shared" si="20"/>
        <v>0</v>
      </c>
      <c r="H78" s="482">
        <f t="shared" si="20"/>
        <v>0</v>
      </c>
      <c r="I78" s="482">
        <f t="shared" si="20"/>
        <v>0</v>
      </c>
      <c r="J78" s="482">
        <f t="shared" si="20"/>
        <v>0</v>
      </c>
      <c r="K78" s="482">
        <f t="shared" si="20"/>
        <v>43</v>
      </c>
      <c r="L78" s="474">
        <f t="shared" si="20"/>
        <v>925197.28</v>
      </c>
      <c r="M78" s="482">
        <f t="shared" si="20"/>
        <v>179</v>
      </c>
      <c r="N78" s="482">
        <f t="shared" si="20"/>
        <v>0</v>
      </c>
      <c r="O78" s="482">
        <f t="shared" si="20"/>
        <v>0</v>
      </c>
      <c r="P78" s="482">
        <f t="shared" si="20"/>
        <v>0</v>
      </c>
      <c r="Q78" s="482">
        <f t="shared" si="20"/>
        <v>0</v>
      </c>
      <c r="R78" s="482">
        <f t="shared" si="20"/>
        <v>0</v>
      </c>
      <c r="S78" s="482">
        <f t="shared" si="20"/>
        <v>0</v>
      </c>
      <c r="T78" s="482">
        <f t="shared" si="20"/>
        <v>0</v>
      </c>
      <c r="U78" s="482">
        <f t="shared" si="20"/>
        <v>0</v>
      </c>
      <c r="V78" s="482">
        <f t="shared" si="20"/>
        <v>179</v>
      </c>
      <c r="W78" s="474">
        <f t="shared" si="20"/>
        <v>3511268.8499999996</v>
      </c>
    </row>
    <row r="79" spans="1:23">
      <c r="A79" s="703" t="s">
        <v>7030</v>
      </c>
      <c r="B79" s="13">
        <f>'F-09 MGP'!B80+'F-09 FAP'!B80</f>
        <v>11</v>
      </c>
      <c r="C79" s="13"/>
      <c r="D79" s="13"/>
      <c r="E79" s="13"/>
      <c r="F79" s="13"/>
      <c r="G79" s="13"/>
      <c r="H79" s="13"/>
      <c r="I79" s="13"/>
      <c r="J79" s="13"/>
      <c r="K79" s="13">
        <f t="shared" ref="K79:K89" si="21">SUM(B79:J79)</f>
        <v>11</v>
      </c>
      <c r="L79" s="472">
        <f>'F-09 MGP'!L80+'F-09 FAP'!L80</f>
        <v>353078</v>
      </c>
      <c r="M79" s="13">
        <f>'F-09 MGP'!M80+'F-09 FAP'!M80</f>
        <v>11</v>
      </c>
      <c r="N79" s="13"/>
      <c r="O79" s="13"/>
      <c r="P79" s="13"/>
      <c r="Q79" s="13"/>
      <c r="R79" s="13"/>
      <c r="S79" s="13"/>
      <c r="T79" s="13"/>
      <c r="U79" s="13"/>
      <c r="V79" s="13">
        <f t="shared" ref="V79:V89" si="22">SUM(M79:U79)</f>
        <v>11</v>
      </c>
      <c r="W79" s="472">
        <f>'F-09 MGP'!W80+'F-09 FAP'!W80</f>
        <v>353078</v>
      </c>
    </row>
    <row r="80" spans="1:23">
      <c r="A80" s="703" t="s">
        <v>7029</v>
      </c>
      <c r="B80" s="13">
        <f>'F-09 MGP'!B81+'F-09 FAP'!B81</f>
        <v>2</v>
      </c>
      <c r="C80" s="13"/>
      <c r="D80" s="13"/>
      <c r="E80" s="13"/>
      <c r="F80" s="13"/>
      <c r="G80" s="13"/>
      <c r="H80" s="13"/>
      <c r="I80" s="13"/>
      <c r="J80" s="13"/>
      <c r="K80" s="13">
        <f t="shared" si="21"/>
        <v>2</v>
      </c>
      <c r="L80" s="472">
        <f>'F-09 MGP'!L81+'F-09 FAP'!L81</f>
        <v>56732.479999999996</v>
      </c>
      <c r="M80" s="13">
        <f>'F-09 MGP'!M81+'F-09 FAP'!M81</f>
        <v>2</v>
      </c>
      <c r="N80" s="13"/>
      <c r="O80" s="13"/>
      <c r="P80" s="13"/>
      <c r="Q80" s="13"/>
      <c r="R80" s="13"/>
      <c r="S80" s="13"/>
      <c r="T80" s="13"/>
      <c r="U80" s="13"/>
      <c r="V80" s="13">
        <f t="shared" si="22"/>
        <v>2</v>
      </c>
      <c r="W80" s="472">
        <f>'F-09 MGP'!W81+'F-09 FAP'!W81</f>
        <v>56732.479999999996</v>
      </c>
    </row>
    <row r="81" spans="1:23">
      <c r="A81" s="703" t="s">
        <v>7028</v>
      </c>
      <c r="B81" s="13">
        <f>'F-09 MGP'!B82+'F-09 FAP'!B82</f>
        <v>9</v>
      </c>
      <c r="C81" s="13"/>
      <c r="D81" s="13"/>
      <c r="E81" s="13"/>
      <c r="F81" s="13"/>
      <c r="G81" s="13"/>
      <c r="H81" s="13"/>
      <c r="I81" s="13"/>
      <c r="J81" s="13"/>
      <c r="K81" s="13">
        <f t="shared" si="21"/>
        <v>9</v>
      </c>
      <c r="L81" s="472">
        <f>'F-09 MGP'!L82+'F-09 FAP'!L82</f>
        <v>232905.59999999998</v>
      </c>
      <c r="M81" s="13">
        <f>'F-09 MGP'!M82+'F-09 FAP'!M82</f>
        <v>16</v>
      </c>
      <c r="N81" s="13"/>
      <c r="O81" s="13"/>
      <c r="P81" s="13"/>
      <c r="Q81" s="13"/>
      <c r="R81" s="13"/>
      <c r="S81" s="13"/>
      <c r="T81" s="13"/>
      <c r="U81" s="13"/>
      <c r="V81" s="13">
        <f t="shared" si="22"/>
        <v>16</v>
      </c>
      <c r="W81" s="472">
        <f>'F-09 MGP'!W82+'F-09 FAP'!W82</f>
        <v>414054.39999999997</v>
      </c>
    </row>
    <row r="82" spans="1:23">
      <c r="A82" s="703" t="s">
        <v>7027</v>
      </c>
      <c r="B82" s="13">
        <f>'F-09 MGP'!B83+'F-09 FAP'!B83</f>
        <v>0</v>
      </c>
      <c r="C82" s="13"/>
      <c r="D82" s="13"/>
      <c r="E82" s="13"/>
      <c r="F82" s="13"/>
      <c r="G82" s="13"/>
      <c r="H82" s="13"/>
      <c r="I82" s="13"/>
      <c r="J82" s="13"/>
      <c r="K82" s="13">
        <f t="shared" si="21"/>
        <v>0</v>
      </c>
      <c r="L82" s="472">
        <f>'F-09 MGP'!L83+'F-09 FAP'!L83</f>
        <v>0</v>
      </c>
      <c r="M82" s="13">
        <f>'F-09 MGP'!M83+'F-09 FAP'!M83</f>
        <v>0</v>
      </c>
      <c r="N82" s="13"/>
      <c r="O82" s="13"/>
      <c r="P82" s="13"/>
      <c r="Q82" s="13"/>
      <c r="R82" s="13"/>
      <c r="S82" s="13"/>
      <c r="T82" s="13"/>
      <c r="U82" s="13"/>
      <c r="V82" s="13">
        <f t="shared" si="22"/>
        <v>0</v>
      </c>
      <c r="W82" s="472">
        <f>'F-09 MGP'!W83+'F-09 FAP'!W83</f>
        <v>0</v>
      </c>
    </row>
    <row r="83" spans="1:23">
      <c r="A83" s="703" t="s">
        <v>7026</v>
      </c>
      <c r="B83" s="13">
        <f>'F-09 MGP'!B84+'F-09 FAP'!B84</f>
        <v>0</v>
      </c>
      <c r="C83" s="13"/>
      <c r="D83" s="13"/>
      <c r="E83" s="13"/>
      <c r="F83" s="13"/>
      <c r="G83" s="13"/>
      <c r="H83" s="13"/>
      <c r="I83" s="13"/>
      <c r="J83" s="13"/>
      <c r="K83" s="13">
        <f t="shared" si="21"/>
        <v>0</v>
      </c>
      <c r="L83" s="472">
        <f>'F-09 MGP'!L84+'F-09 FAP'!L84</f>
        <v>0</v>
      </c>
      <c r="M83" s="13">
        <f>'F-09 MGP'!M84+'F-09 FAP'!M84</f>
        <v>4</v>
      </c>
      <c r="N83" s="13"/>
      <c r="O83" s="13"/>
      <c r="P83" s="13"/>
      <c r="Q83" s="13"/>
      <c r="R83" s="13"/>
      <c r="S83" s="13"/>
      <c r="T83" s="13"/>
      <c r="U83" s="13"/>
      <c r="V83" s="13">
        <f t="shared" si="22"/>
        <v>4</v>
      </c>
      <c r="W83" s="472">
        <f>'F-09 MGP'!W84+'F-09 FAP'!W84</f>
        <v>104738.94</v>
      </c>
    </row>
    <row r="84" spans="1:23">
      <c r="A84" s="703" t="s">
        <v>7025</v>
      </c>
      <c r="B84" s="13">
        <f>'F-09 MGP'!B85+'F-09 FAP'!B85</f>
        <v>0</v>
      </c>
      <c r="C84" s="13"/>
      <c r="D84" s="13"/>
      <c r="E84" s="13"/>
      <c r="F84" s="13"/>
      <c r="G84" s="13"/>
      <c r="H84" s="13"/>
      <c r="I84" s="13"/>
      <c r="J84" s="13"/>
      <c r="K84" s="13">
        <f t="shared" si="21"/>
        <v>0</v>
      </c>
      <c r="L84" s="472">
        <f>'F-09 MGP'!L85+'F-09 FAP'!L85</f>
        <v>0</v>
      </c>
      <c r="M84" s="13">
        <f>'F-09 MGP'!M85+'F-09 FAP'!M85</f>
        <v>17</v>
      </c>
      <c r="N84" s="13"/>
      <c r="O84" s="13"/>
      <c r="P84" s="13"/>
      <c r="Q84" s="13"/>
      <c r="R84" s="13"/>
      <c r="S84" s="13"/>
      <c r="T84" s="13"/>
      <c r="U84" s="13"/>
      <c r="V84" s="13">
        <f t="shared" si="22"/>
        <v>17</v>
      </c>
      <c r="W84" s="472">
        <f>'F-09 MGP'!W85+'F-09 FAP'!W85</f>
        <v>389269.4448</v>
      </c>
    </row>
    <row r="85" spans="1:23">
      <c r="A85" s="703" t="s">
        <v>7024</v>
      </c>
      <c r="B85" s="13">
        <f>'F-09 MGP'!B86+'F-09 FAP'!B86</f>
        <v>0</v>
      </c>
      <c r="C85" s="13"/>
      <c r="D85" s="13"/>
      <c r="E85" s="13"/>
      <c r="F85" s="13"/>
      <c r="G85" s="13"/>
      <c r="H85" s="13"/>
      <c r="I85" s="13"/>
      <c r="J85" s="13"/>
      <c r="K85" s="13">
        <f t="shared" si="21"/>
        <v>0</v>
      </c>
      <c r="L85" s="472">
        <f>'F-09 MGP'!L86+'F-09 FAP'!L86</f>
        <v>0</v>
      </c>
      <c r="M85" s="13">
        <f>'F-09 MGP'!M86+'F-09 FAP'!M86</f>
        <v>50</v>
      </c>
      <c r="N85" s="13"/>
      <c r="O85" s="13"/>
      <c r="P85" s="13"/>
      <c r="Q85" s="13"/>
      <c r="R85" s="13"/>
      <c r="S85" s="13"/>
      <c r="T85" s="13"/>
      <c r="U85" s="13"/>
      <c r="V85" s="13">
        <f t="shared" si="22"/>
        <v>50</v>
      </c>
      <c r="W85" s="472">
        <f>'F-09 MGP'!W86+'F-09 FAP'!W86</f>
        <v>1021411.6240000001</v>
      </c>
    </row>
    <row r="86" spans="1:23">
      <c r="A86" s="703" t="s">
        <v>7023</v>
      </c>
      <c r="B86" s="13">
        <f>'F-09 MGP'!B87+'F-09 FAP'!B87</f>
        <v>8</v>
      </c>
      <c r="C86" s="13"/>
      <c r="D86" s="13"/>
      <c r="E86" s="13"/>
      <c r="F86" s="13"/>
      <c r="G86" s="13"/>
      <c r="H86" s="13"/>
      <c r="I86" s="13"/>
      <c r="J86" s="13"/>
      <c r="K86" s="13">
        <f t="shared" si="21"/>
        <v>8</v>
      </c>
      <c r="L86" s="472">
        <f>'F-09 MGP'!L87+'F-09 FAP'!L87</f>
        <v>121291.52000000002</v>
      </c>
      <c r="M86" s="13">
        <f>'F-09 MGP'!M87+'F-09 FAP'!M87</f>
        <v>54</v>
      </c>
      <c r="N86" s="13"/>
      <c r="O86" s="13"/>
      <c r="P86" s="13"/>
      <c r="Q86" s="13"/>
      <c r="R86" s="13"/>
      <c r="S86" s="13"/>
      <c r="T86" s="13"/>
      <c r="U86" s="13"/>
      <c r="V86" s="13">
        <f t="shared" si="22"/>
        <v>54</v>
      </c>
      <c r="W86" s="472">
        <f>'F-09 MGP'!W87+'F-09 FAP'!W87</f>
        <v>842049.7524</v>
      </c>
    </row>
    <row r="87" spans="1:23">
      <c r="A87" s="703" t="s">
        <v>7022</v>
      </c>
      <c r="B87" s="13">
        <f>'F-09 MGP'!B88+'F-09 FAP'!B88</f>
        <v>5</v>
      </c>
      <c r="C87" s="13"/>
      <c r="D87" s="13"/>
      <c r="E87" s="13"/>
      <c r="F87" s="13"/>
      <c r="G87" s="13"/>
      <c r="H87" s="13"/>
      <c r="I87" s="13"/>
      <c r="J87" s="13"/>
      <c r="K87" s="13">
        <f t="shared" si="21"/>
        <v>5</v>
      </c>
      <c r="L87" s="472">
        <f>'F-09 MGP'!L88+'F-09 FAP'!L88</f>
        <v>64502</v>
      </c>
      <c r="M87" s="13">
        <f>'F-09 MGP'!M88+'F-09 FAP'!M88</f>
        <v>16</v>
      </c>
      <c r="N87" s="13"/>
      <c r="O87" s="13"/>
      <c r="P87" s="13"/>
      <c r="Q87" s="13"/>
      <c r="R87" s="13"/>
      <c r="S87" s="13"/>
      <c r="T87" s="13"/>
      <c r="U87" s="13"/>
      <c r="V87" s="13">
        <f t="shared" si="22"/>
        <v>16</v>
      </c>
      <c r="W87" s="472">
        <f>'F-09 MGP'!W88+'F-09 FAP'!W88</f>
        <v>220278.77999999997</v>
      </c>
    </row>
    <row r="88" spans="1:23">
      <c r="A88" s="703" t="s">
        <v>7021</v>
      </c>
      <c r="B88" s="13">
        <f>'F-09 MGP'!B89+'F-09 FAP'!B89</f>
        <v>3</v>
      </c>
      <c r="C88" s="13"/>
      <c r="D88" s="13"/>
      <c r="E88" s="13"/>
      <c r="F88" s="13"/>
      <c r="G88" s="13"/>
      <c r="H88" s="13"/>
      <c r="I88" s="13"/>
      <c r="J88" s="13"/>
      <c r="K88" s="13">
        <f t="shared" si="21"/>
        <v>3</v>
      </c>
      <c r="L88" s="472">
        <f>'F-09 MGP'!L89+'F-09 FAP'!L89</f>
        <v>36520.68</v>
      </c>
      <c r="M88" s="13">
        <f>'F-09 MGP'!M89+'F-09 FAP'!M89</f>
        <v>3</v>
      </c>
      <c r="N88" s="13"/>
      <c r="O88" s="13"/>
      <c r="P88" s="13"/>
      <c r="Q88" s="13"/>
      <c r="R88" s="13"/>
      <c r="S88" s="13"/>
      <c r="T88" s="13"/>
      <c r="U88" s="13"/>
      <c r="V88" s="13">
        <f t="shared" si="22"/>
        <v>3</v>
      </c>
      <c r="W88" s="472">
        <f>'F-09 MGP'!W89+'F-09 FAP'!W89</f>
        <v>36520.829999999994</v>
      </c>
    </row>
    <row r="89" spans="1:23">
      <c r="A89" s="703" t="s">
        <v>7020</v>
      </c>
      <c r="B89" s="13">
        <f>'F-09 MGP'!B90+'F-09 FAP'!B90</f>
        <v>5</v>
      </c>
      <c r="C89" s="13"/>
      <c r="D89" s="13"/>
      <c r="E89" s="13"/>
      <c r="F89" s="13"/>
      <c r="G89" s="13"/>
      <c r="H89" s="13"/>
      <c r="I89" s="13"/>
      <c r="J89" s="13"/>
      <c r="K89" s="13">
        <f t="shared" si="21"/>
        <v>5</v>
      </c>
      <c r="L89" s="472">
        <f>'F-09 MGP'!L90+'F-09 FAP'!L90</f>
        <v>60167</v>
      </c>
      <c r="M89" s="13">
        <f>'F-09 MGP'!M90+'F-09 FAP'!M90</f>
        <v>6</v>
      </c>
      <c r="N89" s="13"/>
      <c r="O89" s="13"/>
      <c r="P89" s="13"/>
      <c r="Q89" s="13"/>
      <c r="R89" s="13"/>
      <c r="S89" s="13"/>
      <c r="T89" s="13"/>
      <c r="U89" s="13"/>
      <c r="V89" s="13">
        <f t="shared" si="22"/>
        <v>6</v>
      </c>
      <c r="W89" s="472">
        <f>'F-09 MGP'!W90+'F-09 FAP'!W90</f>
        <v>73134.598800000007</v>
      </c>
    </row>
    <row r="90" spans="1:23">
      <c r="A90" s="704" t="s">
        <v>7019</v>
      </c>
      <c r="B90" s="482">
        <f t="shared" ref="B90:W90" si="23">B91+B98+B105+B111+B117+B123+B129+B135+B141+B147+B153+B159+B165+B171+B177+B184+B187+B191+B198+B205</f>
        <v>5500</v>
      </c>
      <c r="C90" s="482">
        <f t="shared" si="23"/>
        <v>0</v>
      </c>
      <c r="D90" s="482">
        <f t="shared" si="23"/>
        <v>0</v>
      </c>
      <c r="E90" s="482">
        <f t="shared" si="23"/>
        <v>0</v>
      </c>
      <c r="F90" s="482">
        <f t="shared" si="23"/>
        <v>0</v>
      </c>
      <c r="G90" s="482">
        <f t="shared" si="23"/>
        <v>0</v>
      </c>
      <c r="H90" s="482">
        <f t="shared" si="23"/>
        <v>0</v>
      </c>
      <c r="I90" s="482">
        <f t="shared" si="23"/>
        <v>0</v>
      </c>
      <c r="J90" s="482">
        <f t="shared" si="23"/>
        <v>0</v>
      </c>
      <c r="K90" s="482">
        <f t="shared" si="23"/>
        <v>5500</v>
      </c>
      <c r="L90" s="474">
        <f t="shared" si="23"/>
        <v>298435608.72121406</v>
      </c>
      <c r="M90" s="482">
        <f t="shared" si="23"/>
        <v>5561</v>
      </c>
      <c r="N90" s="482">
        <f t="shared" si="23"/>
        <v>0</v>
      </c>
      <c r="O90" s="482">
        <f t="shared" si="23"/>
        <v>0</v>
      </c>
      <c r="P90" s="482">
        <f t="shared" si="23"/>
        <v>0</v>
      </c>
      <c r="Q90" s="482">
        <f t="shared" si="23"/>
        <v>0</v>
      </c>
      <c r="R90" s="482">
        <f t="shared" si="23"/>
        <v>0</v>
      </c>
      <c r="S90" s="482">
        <f t="shared" si="23"/>
        <v>0</v>
      </c>
      <c r="T90" s="482">
        <f t="shared" si="23"/>
        <v>0</v>
      </c>
      <c r="U90" s="482">
        <f t="shared" si="23"/>
        <v>0</v>
      </c>
      <c r="V90" s="482">
        <f t="shared" si="23"/>
        <v>5561</v>
      </c>
      <c r="W90" s="474">
        <f t="shared" si="23"/>
        <v>284737454.48267341</v>
      </c>
    </row>
    <row r="91" spans="1:23">
      <c r="A91" s="705" t="s">
        <v>7018</v>
      </c>
      <c r="B91" s="484">
        <f t="shared" ref="B91:W91" si="24">SUM(B92:B97)</f>
        <v>766</v>
      </c>
      <c r="C91" s="484">
        <f t="shared" si="24"/>
        <v>0</v>
      </c>
      <c r="D91" s="484">
        <f t="shared" si="24"/>
        <v>0</v>
      </c>
      <c r="E91" s="484">
        <f t="shared" si="24"/>
        <v>0</v>
      </c>
      <c r="F91" s="484">
        <f t="shared" si="24"/>
        <v>0</v>
      </c>
      <c r="G91" s="484">
        <f t="shared" si="24"/>
        <v>0</v>
      </c>
      <c r="H91" s="484">
        <f t="shared" si="24"/>
        <v>0</v>
      </c>
      <c r="I91" s="484">
        <f t="shared" si="24"/>
        <v>0</v>
      </c>
      <c r="J91" s="484">
        <f t="shared" si="24"/>
        <v>0</v>
      </c>
      <c r="K91" s="484">
        <f t="shared" si="24"/>
        <v>766</v>
      </c>
      <c r="L91" s="485">
        <f t="shared" si="24"/>
        <v>67302288.555105388</v>
      </c>
      <c r="M91" s="484">
        <f t="shared" si="24"/>
        <v>759</v>
      </c>
      <c r="N91" s="484">
        <f t="shared" si="24"/>
        <v>0</v>
      </c>
      <c r="O91" s="484">
        <f t="shared" si="24"/>
        <v>0</v>
      </c>
      <c r="P91" s="484">
        <f t="shared" si="24"/>
        <v>0</v>
      </c>
      <c r="Q91" s="484">
        <f t="shared" si="24"/>
        <v>0</v>
      </c>
      <c r="R91" s="484">
        <f t="shared" si="24"/>
        <v>0</v>
      </c>
      <c r="S91" s="484">
        <f t="shared" si="24"/>
        <v>0</v>
      </c>
      <c r="T91" s="484">
        <f t="shared" si="24"/>
        <v>0</v>
      </c>
      <c r="U91" s="484">
        <f t="shared" si="24"/>
        <v>0</v>
      </c>
      <c r="V91" s="484">
        <f t="shared" si="24"/>
        <v>759</v>
      </c>
      <c r="W91" s="485">
        <f t="shared" si="24"/>
        <v>64600148.58297801</v>
      </c>
    </row>
    <row r="92" spans="1:23">
      <c r="A92" s="703" t="s">
        <v>7001</v>
      </c>
      <c r="B92" s="13">
        <f>'F-09 EP'!B81+'F-09 MGP'!B93+'F-09 FAP'!B93+'F-09 ENAMM'!B52</f>
        <v>90</v>
      </c>
      <c r="C92" s="13"/>
      <c r="D92" s="13"/>
      <c r="E92" s="13"/>
      <c r="F92" s="13"/>
      <c r="G92" s="13"/>
      <c r="H92" s="13"/>
      <c r="I92" s="13"/>
      <c r="J92" s="13"/>
      <c r="K92" s="13">
        <f t="shared" ref="K92:K97" si="25">SUM(B92:J92)</f>
        <v>90</v>
      </c>
      <c r="L92" s="472">
        <f>'F-09 EP'!L81+'F-09 MGP'!L93+'F-09 FAP'!L93+'F-09 ENAMM'!L52</f>
        <v>8859758.0405893456</v>
      </c>
      <c r="M92" s="13">
        <f>'F-09 EP'!M81+'F-09 MGP'!M93+'F-09 FAP'!M93+'F-09 ENAMM'!M52</f>
        <v>94</v>
      </c>
      <c r="N92" s="13"/>
      <c r="O92" s="13"/>
      <c r="P92" s="13"/>
      <c r="Q92" s="13"/>
      <c r="R92" s="13"/>
      <c r="S92" s="13"/>
      <c r="T92" s="13"/>
      <c r="U92" s="13"/>
      <c r="V92" s="13">
        <f t="shared" ref="V92:V97" si="26">SUM(M92:U92)</f>
        <v>94</v>
      </c>
      <c r="W92" s="472">
        <f>'F-09 EP'!W81+'F-09 MGP'!W93+'F-09 FAP'!W93+'F-09 ENAMM'!W52</f>
        <v>9677386.957829345</v>
      </c>
    </row>
    <row r="93" spans="1:23">
      <c r="A93" s="703" t="s">
        <v>7000</v>
      </c>
      <c r="B93" s="13">
        <f>'F-09 EP'!B82+'F-09 MGP'!B94+'F-09 FAP'!B94+'F-09 ENAMM'!B53</f>
        <v>75</v>
      </c>
      <c r="C93" s="13"/>
      <c r="D93" s="13"/>
      <c r="E93" s="13"/>
      <c r="F93" s="13"/>
      <c r="G93" s="13"/>
      <c r="H93" s="13"/>
      <c r="I93" s="13"/>
      <c r="J93" s="13"/>
      <c r="K93" s="13">
        <f t="shared" si="25"/>
        <v>75</v>
      </c>
      <c r="L93" s="472">
        <f>'F-09 EP'!L82+'F-09 MGP'!L94+'F-09 FAP'!L94+'F-09 ENAMM'!L53</f>
        <v>7330827.5601267703</v>
      </c>
      <c r="M93" s="13">
        <f>'F-09 EP'!M82+'F-09 MGP'!M94+'F-09 FAP'!M94+'F-09 ENAMM'!M53</f>
        <v>75</v>
      </c>
      <c r="N93" s="13"/>
      <c r="O93" s="13"/>
      <c r="P93" s="13"/>
      <c r="Q93" s="13"/>
      <c r="R93" s="13"/>
      <c r="S93" s="13"/>
      <c r="T93" s="13"/>
      <c r="U93" s="13"/>
      <c r="V93" s="13">
        <f t="shared" si="26"/>
        <v>75</v>
      </c>
      <c r="W93" s="472">
        <f>'F-09 EP'!W82+'F-09 MGP'!W94+'F-09 FAP'!W94+'F-09 ENAMM'!W53</f>
        <v>7286776.4736867696</v>
      </c>
    </row>
    <row r="94" spans="1:23">
      <c r="A94" s="703" t="s">
        <v>6999</v>
      </c>
      <c r="B94" s="13">
        <f>'F-09 EP'!B83+'F-09 MGP'!B95+'F-09 FAP'!B95+'F-09 ENAMM'!B54</f>
        <v>150</v>
      </c>
      <c r="C94" s="13"/>
      <c r="D94" s="13"/>
      <c r="E94" s="13"/>
      <c r="F94" s="13"/>
      <c r="G94" s="13"/>
      <c r="H94" s="13"/>
      <c r="I94" s="13"/>
      <c r="J94" s="13"/>
      <c r="K94" s="13">
        <f t="shared" si="25"/>
        <v>150</v>
      </c>
      <c r="L94" s="472">
        <f>'F-09 EP'!L83+'F-09 MGP'!L95+'F-09 FAP'!L95+'F-09 ENAMM'!L54</f>
        <v>14212590.675011935</v>
      </c>
      <c r="M94" s="13">
        <f>'F-09 EP'!M83+'F-09 MGP'!M95+'F-09 FAP'!M95+'F-09 ENAMM'!M54</f>
        <v>151</v>
      </c>
      <c r="N94" s="13"/>
      <c r="O94" s="13"/>
      <c r="P94" s="13"/>
      <c r="Q94" s="13"/>
      <c r="R94" s="13"/>
      <c r="S94" s="13"/>
      <c r="T94" s="13"/>
      <c r="U94" s="13"/>
      <c r="V94" s="13">
        <f t="shared" si="26"/>
        <v>151</v>
      </c>
      <c r="W94" s="472">
        <f>'F-09 EP'!W83+'F-09 MGP'!W95+'F-09 FAP'!W95+'F-09 ENAMM'!W54</f>
        <v>13458864.845311288</v>
      </c>
    </row>
    <row r="95" spans="1:23">
      <c r="A95" s="703" t="s">
        <v>6998</v>
      </c>
      <c r="B95" s="13">
        <f>'F-09 EP'!B84+'F-09 MGP'!B96+'F-09 FAP'!B96+'F-09 ENAMM'!B55</f>
        <v>121</v>
      </c>
      <c r="C95" s="13"/>
      <c r="D95" s="13"/>
      <c r="E95" s="13"/>
      <c r="F95" s="13"/>
      <c r="G95" s="13"/>
      <c r="H95" s="13"/>
      <c r="I95" s="13"/>
      <c r="J95" s="13"/>
      <c r="K95" s="13">
        <f t="shared" si="25"/>
        <v>121</v>
      </c>
      <c r="L95" s="472">
        <f>'F-09 EP'!L84+'F-09 MGP'!L96+'F-09 FAP'!L96+'F-09 ENAMM'!L55</f>
        <v>10643622.888683036</v>
      </c>
      <c r="M95" s="13">
        <f>'F-09 EP'!M84+'F-09 MGP'!M96+'F-09 FAP'!M96+'F-09 ENAMM'!M55</f>
        <v>119</v>
      </c>
      <c r="N95" s="13"/>
      <c r="O95" s="13"/>
      <c r="P95" s="13"/>
      <c r="Q95" s="13"/>
      <c r="R95" s="13"/>
      <c r="S95" s="13"/>
      <c r="T95" s="13"/>
      <c r="U95" s="13"/>
      <c r="V95" s="13">
        <f t="shared" si="26"/>
        <v>119</v>
      </c>
      <c r="W95" s="472">
        <f>'F-09 EP'!W84+'F-09 MGP'!W96+'F-09 FAP'!W96+'F-09 ENAMM'!W55</f>
        <v>10003016.835087741</v>
      </c>
    </row>
    <row r="96" spans="1:23">
      <c r="A96" s="703" t="s">
        <v>6997</v>
      </c>
      <c r="B96" s="13">
        <f>'F-09 EP'!B85+'F-09 MGP'!B97+'F-09 FAP'!B97+'F-09 ENAMM'!B56</f>
        <v>250</v>
      </c>
      <c r="C96" s="13"/>
      <c r="D96" s="13"/>
      <c r="E96" s="13"/>
      <c r="F96" s="13"/>
      <c r="G96" s="13"/>
      <c r="H96" s="13"/>
      <c r="I96" s="13"/>
      <c r="J96" s="13"/>
      <c r="K96" s="13">
        <f t="shared" si="25"/>
        <v>250</v>
      </c>
      <c r="L96" s="472">
        <f>'F-09 EP'!L85+'F-09 MGP'!L97+'F-09 FAP'!L97+'F-09 ENAMM'!L56</f>
        <v>20178927.786216903</v>
      </c>
      <c r="M96" s="13">
        <f>'F-09 EP'!M85+'F-09 MGP'!M97+'F-09 FAP'!M97+'F-09 ENAMM'!M56</f>
        <v>250</v>
      </c>
      <c r="N96" s="13"/>
      <c r="O96" s="13"/>
      <c r="P96" s="13"/>
      <c r="Q96" s="13"/>
      <c r="R96" s="13"/>
      <c r="S96" s="13"/>
      <c r="T96" s="13"/>
      <c r="U96" s="13"/>
      <c r="V96" s="13">
        <f t="shared" si="26"/>
        <v>250</v>
      </c>
      <c r="W96" s="472">
        <f>'F-09 EP'!W85+'F-09 MGP'!W97+'F-09 FAP'!W97+'F-09 ENAMM'!W56</f>
        <v>19181943.066585459</v>
      </c>
    </row>
    <row r="97" spans="1:23">
      <c r="A97" s="703" t="s">
        <v>7017</v>
      </c>
      <c r="B97" s="13">
        <f>'F-09 EP'!B86+'F-09 MGP'!B98+'F-09 FAP'!B98+'F-09 ENAMM'!B57</f>
        <v>80</v>
      </c>
      <c r="C97" s="13"/>
      <c r="D97" s="13"/>
      <c r="E97" s="13"/>
      <c r="F97" s="13"/>
      <c r="G97" s="13"/>
      <c r="H97" s="13"/>
      <c r="I97" s="13"/>
      <c r="J97" s="13"/>
      <c r="K97" s="13">
        <f t="shared" si="25"/>
        <v>80</v>
      </c>
      <c r="L97" s="472">
        <f>'F-09 EP'!L86+'F-09 MGP'!L98+'F-09 FAP'!L98+'F-09 ENAMM'!L57</f>
        <v>6076561.6044774111</v>
      </c>
      <c r="M97" s="13">
        <f>'F-09 EP'!M86+'F-09 MGP'!M98+'F-09 FAP'!M98+'F-09 ENAMM'!M57</f>
        <v>70</v>
      </c>
      <c r="N97" s="13"/>
      <c r="O97" s="13"/>
      <c r="P97" s="13"/>
      <c r="Q97" s="13"/>
      <c r="R97" s="13"/>
      <c r="S97" s="13"/>
      <c r="T97" s="13"/>
      <c r="U97" s="13"/>
      <c r="V97" s="13">
        <f t="shared" si="26"/>
        <v>70</v>
      </c>
      <c r="W97" s="472">
        <f>'F-09 EP'!W86+'F-09 MGP'!W98+'F-09 FAP'!W98+'F-09 ENAMM'!W57</f>
        <v>4992160.4044774109</v>
      </c>
    </row>
    <row r="98" spans="1:23" ht="24">
      <c r="A98" s="705" t="s">
        <v>7016</v>
      </c>
      <c r="B98" s="484">
        <f t="shared" ref="B98:K98" si="27">SUM(B99:B103)</f>
        <v>1201</v>
      </c>
      <c r="C98" s="484">
        <f t="shared" si="27"/>
        <v>0</v>
      </c>
      <c r="D98" s="484">
        <f t="shared" si="27"/>
        <v>0</v>
      </c>
      <c r="E98" s="484">
        <f t="shared" si="27"/>
        <v>0</v>
      </c>
      <c r="F98" s="484">
        <f t="shared" si="27"/>
        <v>0</v>
      </c>
      <c r="G98" s="484">
        <f t="shared" si="27"/>
        <v>0</v>
      </c>
      <c r="H98" s="484">
        <f t="shared" si="27"/>
        <v>0</v>
      </c>
      <c r="I98" s="484">
        <f t="shared" si="27"/>
        <v>0</v>
      </c>
      <c r="J98" s="484">
        <f t="shared" si="27"/>
        <v>0</v>
      </c>
      <c r="K98" s="484">
        <f t="shared" si="27"/>
        <v>1201</v>
      </c>
      <c r="L98" s="485">
        <f>SUM(L99:L104)</f>
        <v>88430403.237674847</v>
      </c>
      <c r="M98" s="484">
        <f t="shared" ref="M98:V98" si="28">SUM(M99:M103)</f>
        <v>323</v>
      </c>
      <c r="N98" s="484">
        <f t="shared" si="28"/>
        <v>0</v>
      </c>
      <c r="O98" s="484">
        <f t="shared" si="28"/>
        <v>0</v>
      </c>
      <c r="P98" s="484">
        <f t="shared" si="28"/>
        <v>0</v>
      </c>
      <c r="Q98" s="484">
        <f t="shared" si="28"/>
        <v>0</v>
      </c>
      <c r="R98" s="484">
        <f t="shared" si="28"/>
        <v>0</v>
      </c>
      <c r="S98" s="484">
        <f t="shared" si="28"/>
        <v>0</v>
      </c>
      <c r="T98" s="484">
        <f t="shared" si="28"/>
        <v>0</v>
      </c>
      <c r="U98" s="484">
        <f t="shared" si="28"/>
        <v>0</v>
      </c>
      <c r="V98" s="484">
        <f t="shared" si="28"/>
        <v>323</v>
      </c>
      <c r="W98" s="485">
        <f>SUM(W99:W104)</f>
        <v>34353012.853592411</v>
      </c>
    </row>
    <row r="99" spans="1:23">
      <c r="A99" s="703" t="s">
        <v>7015</v>
      </c>
      <c r="B99" s="13">
        <f>'F-09 EP'!B88+'F-09 MGP'!B100+'F-09 FAP'!B100</f>
        <v>102</v>
      </c>
      <c r="C99" s="13"/>
      <c r="D99" s="13"/>
      <c r="E99" s="13"/>
      <c r="F99" s="13"/>
      <c r="G99" s="13"/>
      <c r="H99" s="13"/>
      <c r="I99" s="13"/>
      <c r="J99" s="13"/>
      <c r="K99" s="13">
        <f>SUM(B99:J99)</f>
        <v>102</v>
      </c>
      <c r="L99" s="472">
        <f>'F-09 EP'!L88+'F-09 MGP'!L100+'F-09 FAP'!L100</f>
        <v>7158755.8408954833</v>
      </c>
      <c r="M99" s="13">
        <f>'F-09 EP'!M88+'F-09 MGP'!M100+'F-09 FAP'!M100</f>
        <v>32</v>
      </c>
      <c r="N99" s="13"/>
      <c r="O99" s="13"/>
      <c r="P99" s="13"/>
      <c r="Q99" s="13"/>
      <c r="R99" s="13"/>
      <c r="S99" s="13"/>
      <c r="T99" s="13"/>
      <c r="U99" s="13"/>
      <c r="V99" s="13">
        <f>SUM(M99:U99)</f>
        <v>32</v>
      </c>
      <c r="W99" s="472">
        <f>'F-09 EP'!W88+'F-09 MGP'!W100+'F-09 FAP'!W100</f>
        <v>1803920.0808954821</v>
      </c>
    </row>
    <row r="100" spans="1:23">
      <c r="A100" s="703" t="s">
        <v>7014</v>
      </c>
      <c r="B100" s="13">
        <f>'F-09 EP'!B89+'F-09 MGP'!B101+'F-09 FAP'!B101</f>
        <v>140</v>
      </c>
      <c r="C100" s="13"/>
      <c r="D100" s="13"/>
      <c r="E100" s="13"/>
      <c r="F100" s="13"/>
      <c r="G100" s="13"/>
      <c r="H100" s="13"/>
      <c r="I100" s="13"/>
      <c r="J100" s="13"/>
      <c r="K100" s="13">
        <f>SUM(B100:J100)</f>
        <v>140</v>
      </c>
      <c r="L100" s="472">
        <f>'F-09 EP'!L89+'F-09 MGP'!L101+'F-09 FAP'!L101</f>
        <v>9299608.3235819452</v>
      </c>
      <c r="M100" s="13">
        <f>'F-09 EP'!M89+'F-09 MGP'!M101+'F-09 FAP'!M101</f>
        <v>32</v>
      </c>
      <c r="N100" s="13"/>
      <c r="O100" s="13"/>
      <c r="P100" s="13"/>
      <c r="Q100" s="13"/>
      <c r="R100" s="13"/>
      <c r="S100" s="13"/>
      <c r="T100" s="13"/>
      <c r="U100" s="13"/>
      <c r="V100" s="13">
        <f>SUM(M100:U100)</f>
        <v>32</v>
      </c>
      <c r="W100" s="472">
        <f>'F-09 EP'!W89+'F-09 MGP'!W101+'F-09 FAP'!W101</f>
        <v>1690610.0910074173</v>
      </c>
    </row>
    <row r="101" spans="1:23">
      <c r="A101" s="703" t="s">
        <v>7013</v>
      </c>
      <c r="B101" s="13">
        <f>'F-09 EP'!B90+'F-09 MGP'!B102+'F-09 FAP'!B102</f>
        <v>377</v>
      </c>
      <c r="C101" s="13"/>
      <c r="D101" s="13"/>
      <c r="E101" s="13"/>
      <c r="F101" s="13"/>
      <c r="G101" s="13"/>
      <c r="H101" s="13"/>
      <c r="I101" s="13"/>
      <c r="J101" s="13"/>
      <c r="K101" s="13">
        <f>SUM(B101:J101)</f>
        <v>377</v>
      </c>
      <c r="L101" s="472">
        <f>'F-09 EP'!L90+'F-09 MGP'!L102+'F-09 FAP'!L102</f>
        <v>23851401.5403683</v>
      </c>
      <c r="M101" s="13">
        <f>'F-09 EP'!M90+'F-09 MGP'!M102+'F-09 FAP'!M102</f>
        <v>82</v>
      </c>
      <c r="N101" s="13"/>
      <c r="O101" s="13"/>
      <c r="P101" s="13"/>
      <c r="Q101" s="13"/>
      <c r="R101" s="13"/>
      <c r="S101" s="13"/>
      <c r="T101" s="13"/>
      <c r="U101" s="13"/>
      <c r="V101" s="13">
        <f>SUM(M101:U101)</f>
        <v>82</v>
      </c>
      <c r="W101" s="472">
        <f>'F-09 EP'!W90+'F-09 MGP'!W102+'F-09 FAP'!W102</f>
        <v>4098532.2629103167</v>
      </c>
    </row>
    <row r="102" spans="1:23">
      <c r="A102" s="703" t="s">
        <v>7012</v>
      </c>
      <c r="B102" s="13">
        <f>'F-09 EP'!B91+'F-09 MGP'!B103+'F-09 FAP'!B103</f>
        <v>401</v>
      </c>
      <c r="C102" s="13"/>
      <c r="D102" s="13"/>
      <c r="E102" s="13"/>
      <c r="F102" s="13"/>
      <c r="G102" s="13"/>
      <c r="H102" s="13"/>
      <c r="I102" s="13"/>
      <c r="J102" s="13"/>
      <c r="K102" s="13">
        <f>SUM(B102:J102)</f>
        <v>401</v>
      </c>
      <c r="L102" s="472">
        <f>'F-09 EP'!L91+'F-09 MGP'!L103+'F-09 FAP'!L103</f>
        <v>23641915.386697404</v>
      </c>
      <c r="M102" s="13">
        <f>'F-09 EP'!M91+'F-09 MGP'!M103+'F-09 FAP'!M103</f>
        <v>121</v>
      </c>
      <c r="N102" s="13"/>
      <c r="O102" s="13"/>
      <c r="P102" s="13"/>
      <c r="Q102" s="13"/>
      <c r="R102" s="13"/>
      <c r="S102" s="13"/>
      <c r="T102" s="13"/>
      <c r="U102" s="13"/>
      <c r="V102" s="13">
        <f>SUM(M102:U102)</f>
        <v>121</v>
      </c>
      <c r="W102" s="472">
        <f>'F-09 EP'!W91+'F-09 MGP'!W103+'F-09 FAP'!W103</f>
        <v>5923942.7179474039</v>
      </c>
    </row>
    <row r="103" spans="1:23">
      <c r="A103" s="703" t="s">
        <v>7011</v>
      </c>
      <c r="B103" s="13">
        <f>'F-09 EP'!B92+'F-09 MGP'!B104+'F-09 FAP'!B104</f>
        <v>181</v>
      </c>
      <c r="C103" s="13"/>
      <c r="D103" s="13"/>
      <c r="E103" s="13"/>
      <c r="F103" s="13"/>
      <c r="G103" s="13"/>
      <c r="H103" s="13"/>
      <c r="I103" s="13"/>
      <c r="J103" s="13"/>
      <c r="K103" s="13">
        <f>SUM(B103:J103)</f>
        <v>181</v>
      </c>
      <c r="L103" s="472">
        <f>'F-09 EP'!L92+'F-09 MGP'!L104+'F-09 FAP'!L104</f>
        <v>9947719.0261317138</v>
      </c>
      <c r="M103" s="13">
        <f>'F-09 EP'!M92+'F-09 MGP'!M104+'F-09 FAP'!M104</f>
        <v>56</v>
      </c>
      <c r="N103" s="13"/>
      <c r="O103" s="13"/>
      <c r="P103" s="13"/>
      <c r="Q103" s="13"/>
      <c r="R103" s="13"/>
      <c r="S103" s="13"/>
      <c r="T103" s="13"/>
      <c r="U103" s="13"/>
      <c r="V103" s="13">
        <f>SUM(M103:U103)</f>
        <v>56</v>
      </c>
      <c r="W103" s="472">
        <f>'F-09 EP'!W92+'F-09 MGP'!W104+'F-09 FAP'!W104</f>
        <v>2475218.2527983817</v>
      </c>
    </row>
    <row r="104" spans="1:23">
      <c r="A104" s="703" t="s">
        <v>7010</v>
      </c>
      <c r="B104" s="13">
        <f>'F-09 EP'!B93+'F-09 MGP'!B105+'F-09 FAP'!B105</f>
        <v>0</v>
      </c>
      <c r="C104" s="13"/>
      <c r="D104" s="13"/>
      <c r="E104" s="13"/>
      <c r="F104" s="13"/>
      <c r="G104" s="13"/>
      <c r="H104" s="13"/>
      <c r="I104" s="13"/>
      <c r="J104" s="13"/>
      <c r="K104" s="13"/>
      <c r="L104" s="472">
        <f>'F-09 EP'!L93+'F-09 MGP'!L105+'F-09 FAP'!L105</f>
        <v>14531003.120000001</v>
      </c>
      <c r="M104" s="13">
        <f>'F-09 EP'!M93+'F-09 MGP'!M105+'F-09 FAP'!M105</f>
        <v>0</v>
      </c>
      <c r="N104" s="13"/>
      <c r="O104" s="13"/>
      <c r="P104" s="13"/>
      <c r="Q104" s="13"/>
      <c r="R104" s="13"/>
      <c r="S104" s="13"/>
      <c r="T104" s="13"/>
      <c r="U104" s="13"/>
      <c r="V104" s="13"/>
      <c r="W104" s="472">
        <f>'F-09 EP'!W93+'F-09 MGP'!W105+'F-09 FAP'!W105</f>
        <v>18360789.448033411</v>
      </c>
    </row>
    <row r="105" spans="1:23">
      <c r="A105" s="705" t="s">
        <v>7009</v>
      </c>
      <c r="B105" s="484">
        <f t="shared" ref="B105:W105" si="29">SUM(B106:B110)</f>
        <v>635</v>
      </c>
      <c r="C105" s="484">
        <f t="shared" si="29"/>
        <v>0</v>
      </c>
      <c r="D105" s="484">
        <f t="shared" si="29"/>
        <v>0</v>
      </c>
      <c r="E105" s="484">
        <f t="shared" si="29"/>
        <v>0</v>
      </c>
      <c r="F105" s="484">
        <f t="shared" si="29"/>
        <v>0</v>
      </c>
      <c r="G105" s="484">
        <f t="shared" si="29"/>
        <v>0</v>
      </c>
      <c r="H105" s="484">
        <f t="shared" si="29"/>
        <v>0</v>
      </c>
      <c r="I105" s="484">
        <f t="shared" si="29"/>
        <v>0</v>
      </c>
      <c r="J105" s="484">
        <f t="shared" si="29"/>
        <v>0</v>
      </c>
      <c r="K105" s="484">
        <f t="shared" si="29"/>
        <v>635</v>
      </c>
      <c r="L105" s="485">
        <f t="shared" si="29"/>
        <v>34982936.254187994</v>
      </c>
      <c r="M105" s="484">
        <f t="shared" si="29"/>
        <v>1338</v>
      </c>
      <c r="N105" s="484">
        <f t="shared" si="29"/>
        <v>0</v>
      </c>
      <c r="O105" s="484">
        <f t="shared" si="29"/>
        <v>0</v>
      </c>
      <c r="P105" s="484">
        <f t="shared" si="29"/>
        <v>0</v>
      </c>
      <c r="Q105" s="484">
        <f t="shared" si="29"/>
        <v>0</v>
      </c>
      <c r="R105" s="484">
        <f t="shared" si="29"/>
        <v>0</v>
      </c>
      <c r="S105" s="484">
        <f t="shared" si="29"/>
        <v>0</v>
      </c>
      <c r="T105" s="484">
        <f t="shared" si="29"/>
        <v>0</v>
      </c>
      <c r="U105" s="484">
        <f t="shared" si="29"/>
        <v>0</v>
      </c>
      <c r="V105" s="484">
        <f t="shared" si="29"/>
        <v>1338</v>
      </c>
      <c r="W105" s="485">
        <f t="shared" si="29"/>
        <v>70021682.438728005</v>
      </c>
    </row>
    <row r="106" spans="1:23">
      <c r="A106" s="703" t="s">
        <v>7008</v>
      </c>
      <c r="B106" s="13">
        <f>'F-09 EP'!B95+'F-09 MGP'!B107+'F-09 FAP'!B107</f>
        <v>107</v>
      </c>
      <c r="C106" s="13"/>
      <c r="D106" s="13"/>
      <c r="E106" s="13"/>
      <c r="F106" s="13"/>
      <c r="G106" s="13"/>
      <c r="H106" s="13"/>
      <c r="I106" s="13"/>
      <c r="J106" s="13"/>
      <c r="K106" s="13">
        <f>SUM(B106:J106)</f>
        <v>107</v>
      </c>
      <c r="L106" s="472">
        <f>'F-09 EP'!L95+'F-09 MGP'!L107+'F-09 FAP'!L107</f>
        <v>6798987.8741416046</v>
      </c>
      <c r="M106" s="13">
        <f>'F-09 EP'!M95+'F-09 MGP'!M107+'F-09 FAP'!M107</f>
        <v>168</v>
      </c>
      <c r="N106" s="13"/>
      <c r="O106" s="13"/>
      <c r="P106" s="13"/>
      <c r="Q106" s="13"/>
      <c r="R106" s="13"/>
      <c r="S106" s="13"/>
      <c r="T106" s="13"/>
      <c r="U106" s="13"/>
      <c r="V106" s="13">
        <f>SUM(M106:U106)</f>
        <v>168</v>
      </c>
      <c r="W106" s="472">
        <f>'F-09 EP'!W95+'F-09 MGP'!W107+'F-09 FAP'!W107</f>
        <v>10603026.213281605</v>
      </c>
    </row>
    <row r="107" spans="1:23">
      <c r="A107" s="703" t="s">
        <v>7007</v>
      </c>
      <c r="B107" s="13">
        <f>'F-09 EP'!B96+'F-09 MGP'!B108+'F-09 FAP'!B108</f>
        <v>73</v>
      </c>
      <c r="C107" s="13"/>
      <c r="D107" s="13"/>
      <c r="E107" s="13"/>
      <c r="F107" s="13"/>
      <c r="G107" s="13"/>
      <c r="H107" s="13"/>
      <c r="I107" s="13"/>
      <c r="J107" s="13"/>
      <c r="K107" s="13">
        <f>SUM(B107:J107)</f>
        <v>73</v>
      </c>
      <c r="L107" s="472">
        <f>'F-09 EP'!L96+'F-09 MGP'!L108+'F-09 FAP'!L108</f>
        <v>4409672.1946222521</v>
      </c>
      <c r="M107" s="13">
        <f>'F-09 EP'!M96+'F-09 MGP'!M108+'F-09 FAP'!M108</f>
        <v>157</v>
      </c>
      <c r="N107" s="13"/>
      <c r="O107" s="13"/>
      <c r="P107" s="13"/>
      <c r="Q107" s="13"/>
      <c r="R107" s="13"/>
      <c r="S107" s="13"/>
      <c r="T107" s="13"/>
      <c r="U107" s="13"/>
      <c r="V107" s="13">
        <f>SUM(M107:U107)</f>
        <v>157</v>
      </c>
      <c r="W107" s="472">
        <f>'F-09 EP'!W96+'F-09 MGP'!W108+'F-09 FAP'!W108</f>
        <v>8851224.6690622531</v>
      </c>
    </row>
    <row r="108" spans="1:23">
      <c r="A108" s="703" t="s">
        <v>7006</v>
      </c>
      <c r="B108" s="13">
        <f>'F-09 EP'!B97+'F-09 MGP'!B109+'F-09 FAP'!B109</f>
        <v>149</v>
      </c>
      <c r="C108" s="13"/>
      <c r="D108" s="13"/>
      <c r="E108" s="13"/>
      <c r="F108" s="13"/>
      <c r="G108" s="13"/>
      <c r="H108" s="13"/>
      <c r="I108" s="13"/>
      <c r="J108" s="13"/>
      <c r="K108" s="13">
        <f>SUM(B108:J108)</f>
        <v>149</v>
      </c>
      <c r="L108" s="472">
        <f>'F-09 EP'!L97+'F-09 MGP'!L109+'F-09 FAP'!L109</f>
        <v>8142212.8088280512</v>
      </c>
      <c r="M108" s="13">
        <f>'F-09 EP'!M97+'F-09 MGP'!M109+'F-09 FAP'!M109</f>
        <v>399</v>
      </c>
      <c r="N108" s="13"/>
      <c r="O108" s="13"/>
      <c r="P108" s="13"/>
      <c r="Q108" s="13"/>
      <c r="R108" s="13"/>
      <c r="S108" s="13"/>
      <c r="T108" s="13"/>
      <c r="U108" s="13"/>
      <c r="V108" s="13">
        <f>SUM(M108:U108)</f>
        <v>399</v>
      </c>
      <c r="W108" s="472">
        <f>'F-09 EP'!W97+'F-09 MGP'!W109+'F-09 FAP'!W109</f>
        <v>20742513.54482805</v>
      </c>
    </row>
    <row r="109" spans="1:23">
      <c r="A109" s="703" t="s">
        <v>7005</v>
      </c>
      <c r="B109" s="13">
        <f>'F-09 EP'!B98+'F-09 MGP'!B110+'F-09 FAP'!B110</f>
        <v>227</v>
      </c>
      <c r="C109" s="13"/>
      <c r="D109" s="13"/>
      <c r="E109" s="13"/>
      <c r="F109" s="13"/>
      <c r="G109" s="13"/>
      <c r="H109" s="13"/>
      <c r="I109" s="13"/>
      <c r="J109" s="13"/>
      <c r="K109" s="13">
        <f>SUM(B109:J109)</f>
        <v>227</v>
      </c>
      <c r="L109" s="472">
        <f>'F-09 EP'!L98+'F-09 MGP'!L110+'F-09 FAP'!L110</f>
        <v>11921818.829111259</v>
      </c>
      <c r="M109" s="13">
        <f>'F-09 EP'!M98+'F-09 MGP'!M110+'F-09 FAP'!M110</f>
        <v>458</v>
      </c>
      <c r="N109" s="13"/>
      <c r="O109" s="13"/>
      <c r="P109" s="13"/>
      <c r="Q109" s="13"/>
      <c r="R109" s="13"/>
      <c r="S109" s="13"/>
      <c r="T109" s="13"/>
      <c r="U109" s="13"/>
      <c r="V109" s="13">
        <f>SUM(M109:U109)</f>
        <v>458</v>
      </c>
      <c r="W109" s="472">
        <f>'F-09 EP'!W98+'F-09 MGP'!W110+'F-09 FAP'!W110</f>
        <v>22777379.670311261</v>
      </c>
    </row>
    <row r="110" spans="1:23">
      <c r="A110" s="703" t="s">
        <v>7004</v>
      </c>
      <c r="B110" s="13">
        <f>'F-09 EP'!B99+'F-09 MGP'!B111+'F-09 FAP'!B111</f>
        <v>79</v>
      </c>
      <c r="C110" s="13"/>
      <c r="D110" s="13"/>
      <c r="E110" s="13"/>
      <c r="F110" s="13"/>
      <c r="G110" s="13"/>
      <c r="H110" s="13"/>
      <c r="I110" s="13"/>
      <c r="J110" s="13"/>
      <c r="K110" s="13">
        <f>SUM(B110:J110)</f>
        <v>79</v>
      </c>
      <c r="L110" s="472">
        <f>'F-09 EP'!L99+'F-09 MGP'!L111+'F-09 FAP'!L111</f>
        <v>3710244.5474848282</v>
      </c>
      <c r="M110" s="13">
        <f>'F-09 EP'!M99+'F-09 MGP'!M111+'F-09 FAP'!M111</f>
        <v>156</v>
      </c>
      <c r="N110" s="13"/>
      <c r="O110" s="13"/>
      <c r="P110" s="13"/>
      <c r="Q110" s="13"/>
      <c r="R110" s="13"/>
      <c r="S110" s="13"/>
      <c r="T110" s="13"/>
      <c r="U110" s="13"/>
      <c r="V110" s="13">
        <f>SUM(M110:U110)</f>
        <v>156</v>
      </c>
      <c r="W110" s="472">
        <f>'F-09 EP'!W99+'F-09 MGP'!W111+'F-09 FAP'!W111</f>
        <v>7047538.341244828</v>
      </c>
    </row>
    <row r="111" spans="1:23">
      <c r="A111" s="705" t="s">
        <v>7003</v>
      </c>
      <c r="B111" s="484">
        <f t="shared" ref="B111:W111" si="30">SUM(B112:B116)</f>
        <v>32</v>
      </c>
      <c r="C111" s="484">
        <f t="shared" si="30"/>
        <v>0</v>
      </c>
      <c r="D111" s="484">
        <f t="shared" si="30"/>
        <v>0</v>
      </c>
      <c r="E111" s="484">
        <f t="shared" si="30"/>
        <v>0</v>
      </c>
      <c r="F111" s="484">
        <f t="shared" si="30"/>
        <v>0</v>
      </c>
      <c r="G111" s="484">
        <f t="shared" si="30"/>
        <v>0</v>
      </c>
      <c r="H111" s="484">
        <f t="shared" si="30"/>
        <v>0</v>
      </c>
      <c r="I111" s="484">
        <f t="shared" si="30"/>
        <v>0</v>
      </c>
      <c r="J111" s="484">
        <f t="shared" si="30"/>
        <v>0</v>
      </c>
      <c r="K111" s="484">
        <f t="shared" si="30"/>
        <v>32</v>
      </c>
      <c r="L111" s="485">
        <f t="shared" si="30"/>
        <v>1510552.3807999999</v>
      </c>
      <c r="M111" s="484">
        <f t="shared" si="30"/>
        <v>79</v>
      </c>
      <c r="N111" s="484">
        <f t="shared" si="30"/>
        <v>0</v>
      </c>
      <c r="O111" s="484">
        <f t="shared" si="30"/>
        <v>0</v>
      </c>
      <c r="P111" s="484">
        <f t="shared" si="30"/>
        <v>0</v>
      </c>
      <c r="Q111" s="484">
        <f t="shared" si="30"/>
        <v>0</v>
      </c>
      <c r="R111" s="484">
        <f t="shared" si="30"/>
        <v>0</v>
      </c>
      <c r="S111" s="484">
        <f t="shared" si="30"/>
        <v>0</v>
      </c>
      <c r="T111" s="484">
        <f t="shared" si="30"/>
        <v>0</v>
      </c>
      <c r="U111" s="484">
        <f t="shared" si="30"/>
        <v>0</v>
      </c>
      <c r="V111" s="484">
        <f t="shared" si="30"/>
        <v>79</v>
      </c>
      <c r="W111" s="485">
        <f t="shared" si="30"/>
        <v>3931886.8269999996</v>
      </c>
    </row>
    <row r="112" spans="1:23">
      <c r="A112" s="703" t="s">
        <v>6985</v>
      </c>
      <c r="B112" s="13">
        <f>'F-09 EP'!B101+'F-09 MGP'!B113+'F-09 FAP'!B113</f>
        <v>7</v>
      </c>
      <c r="C112" s="13"/>
      <c r="D112" s="13"/>
      <c r="E112" s="13"/>
      <c r="F112" s="13"/>
      <c r="G112" s="13"/>
      <c r="H112" s="13"/>
      <c r="I112" s="13"/>
      <c r="J112" s="13"/>
      <c r="K112" s="13">
        <f>SUM(B112:J112)</f>
        <v>7</v>
      </c>
      <c r="L112" s="472">
        <f>'F-09 EP'!L101+'F-09 MGP'!L113+'F-09 FAP'!L113</f>
        <v>368467.75</v>
      </c>
      <c r="M112" s="13">
        <f>'F-09 EP'!M101+'F-09 MGP'!M113+'F-09 FAP'!M113</f>
        <v>12</v>
      </c>
      <c r="N112" s="13"/>
      <c r="O112" s="13"/>
      <c r="P112" s="13"/>
      <c r="Q112" s="13"/>
      <c r="R112" s="13"/>
      <c r="S112" s="13"/>
      <c r="T112" s="13"/>
      <c r="U112" s="13"/>
      <c r="V112" s="13">
        <f>SUM(M112:U112)</f>
        <v>12</v>
      </c>
      <c r="W112" s="472">
        <f>'F-09 EP'!W101+'F-09 MGP'!W113+'F-09 FAP'!W113</f>
        <v>702010.86072</v>
      </c>
    </row>
    <row r="113" spans="1:23">
      <c r="A113" s="703" t="s">
        <v>6984</v>
      </c>
      <c r="B113" s="13">
        <f>'F-09 EP'!B102+'F-09 MGP'!B114+'F-09 FAP'!B114</f>
        <v>3</v>
      </c>
      <c r="C113" s="13"/>
      <c r="D113" s="13"/>
      <c r="E113" s="13"/>
      <c r="F113" s="13"/>
      <c r="G113" s="13"/>
      <c r="H113" s="13"/>
      <c r="I113" s="13"/>
      <c r="J113" s="13"/>
      <c r="K113" s="13">
        <f>SUM(B113:J113)</f>
        <v>3</v>
      </c>
      <c r="L113" s="472">
        <f>'F-09 EP'!L102+'F-09 MGP'!L114+'F-09 FAP'!L114</f>
        <v>147704.36879999997</v>
      </c>
      <c r="M113" s="13">
        <f>'F-09 EP'!M102+'F-09 MGP'!M114+'F-09 FAP'!M114</f>
        <v>11</v>
      </c>
      <c r="N113" s="13"/>
      <c r="O113" s="13"/>
      <c r="P113" s="13"/>
      <c r="Q113" s="13"/>
      <c r="R113" s="13"/>
      <c r="S113" s="13"/>
      <c r="T113" s="13"/>
      <c r="U113" s="13"/>
      <c r="V113" s="13">
        <f>SUM(M113:U113)</f>
        <v>11</v>
      </c>
      <c r="W113" s="472">
        <f>'F-09 EP'!W102+'F-09 MGP'!W114+'F-09 FAP'!W114</f>
        <v>576814.90195999993</v>
      </c>
    </row>
    <row r="114" spans="1:23">
      <c r="A114" s="703" t="s">
        <v>6983</v>
      </c>
      <c r="B114" s="13">
        <f>'F-09 EP'!B103+'F-09 MGP'!B115+'F-09 FAP'!B115</f>
        <v>8</v>
      </c>
      <c r="C114" s="13"/>
      <c r="D114" s="13"/>
      <c r="E114" s="13"/>
      <c r="F114" s="13"/>
      <c r="G114" s="13"/>
      <c r="H114" s="13"/>
      <c r="I114" s="13"/>
      <c r="J114" s="13"/>
      <c r="K114" s="13">
        <f>SUM(B114:J114)</f>
        <v>8</v>
      </c>
      <c r="L114" s="472">
        <f>'F-09 EP'!L103+'F-09 MGP'!L115+'F-09 FAP'!L115</f>
        <v>371426.67200000002</v>
      </c>
      <c r="M114" s="13">
        <f>'F-09 EP'!M103+'F-09 MGP'!M115+'F-09 FAP'!M115</f>
        <v>21</v>
      </c>
      <c r="N114" s="13"/>
      <c r="O114" s="13"/>
      <c r="P114" s="13"/>
      <c r="Q114" s="13"/>
      <c r="R114" s="13"/>
      <c r="S114" s="13"/>
      <c r="T114" s="13"/>
      <c r="U114" s="13"/>
      <c r="V114" s="13">
        <f>SUM(M114:U114)</f>
        <v>21</v>
      </c>
      <c r="W114" s="472">
        <f>'F-09 EP'!W103+'F-09 MGP'!W115+'F-09 FAP'!W115</f>
        <v>1046217.648</v>
      </c>
    </row>
    <row r="115" spans="1:23">
      <c r="A115" s="703" t="s">
        <v>6982</v>
      </c>
      <c r="B115" s="13">
        <f>'F-09 EP'!B104+'F-09 MGP'!B116+'F-09 FAP'!B116</f>
        <v>12</v>
      </c>
      <c r="C115" s="13"/>
      <c r="D115" s="13"/>
      <c r="E115" s="13"/>
      <c r="F115" s="13"/>
      <c r="G115" s="13"/>
      <c r="H115" s="13"/>
      <c r="I115" s="13"/>
      <c r="J115" s="13"/>
      <c r="K115" s="13">
        <f>SUM(B115:J115)</f>
        <v>12</v>
      </c>
      <c r="L115" s="472">
        <f>'F-09 EP'!L104+'F-09 MGP'!L116+'F-09 FAP'!L116</f>
        <v>544436.90399999998</v>
      </c>
      <c r="M115" s="13">
        <f>'F-09 EP'!M104+'F-09 MGP'!M116+'F-09 FAP'!M116</f>
        <v>27</v>
      </c>
      <c r="N115" s="13"/>
      <c r="O115" s="13"/>
      <c r="P115" s="13"/>
      <c r="Q115" s="13"/>
      <c r="R115" s="13"/>
      <c r="S115" s="13"/>
      <c r="T115" s="13"/>
      <c r="U115" s="13"/>
      <c r="V115" s="13">
        <f>SUM(M115:U115)</f>
        <v>27</v>
      </c>
      <c r="W115" s="472">
        <f>'F-09 EP'!W104+'F-09 MGP'!W116+'F-09 FAP'!W116</f>
        <v>1270552.6368</v>
      </c>
    </row>
    <row r="116" spans="1:23">
      <c r="A116" s="703" t="s">
        <v>6981</v>
      </c>
      <c r="B116" s="13">
        <f>'F-09 EP'!B105+'F-09 MGP'!B117+'F-09 FAP'!B117</f>
        <v>2</v>
      </c>
      <c r="C116" s="13"/>
      <c r="D116" s="13"/>
      <c r="E116" s="13"/>
      <c r="F116" s="13"/>
      <c r="G116" s="13"/>
      <c r="H116" s="13"/>
      <c r="I116" s="13"/>
      <c r="J116" s="13"/>
      <c r="K116" s="13">
        <f>SUM(B116:J116)</f>
        <v>2</v>
      </c>
      <c r="L116" s="472">
        <f>'F-09 EP'!L105+'F-09 MGP'!L117+'F-09 FAP'!L117</f>
        <v>78516.686000000002</v>
      </c>
      <c r="M116" s="13">
        <f>'F-09 EP'!M105+'F-09 MGP'!M117+'F-09 FAP'!M117</f>
        <v>8</v>
      </c>
      <c r="N116" s="13"/>
      <c r="O116" s="13"/>
      <c r="P116" s="13"/>
      <c r="Q116" s="13"/>
      <c r="R116" s="13"/>
      <c r="S116" s="13"/>
      <c r="T116" s="13"/>
      <c r="U116" s="13"/>
      <c r="V116" s="13">
        <f>SUM(M116:U116)</f>
        <v>8</v>
      </c>
      <c r="W116" s="472">
        <f>'F-09 EP'!W105+'F-09 MGP'!W117+'F-09 FAP'!W117</f>
        <v>336290.77951999998</v>
      </c>
    </row>
    <row r="117" spans="1:23">
      <c r="A117" s="705" t="s">
        <v>2879</v>
      </c>
      <c r="B117" s="484">
        <f t="shared" ref="B117:W117" si="31">SUM(B118:B122)</f>
        <v>78</v>
      </c>
      <c r="C117" s="484">
        <f t="shared" si="31"/>
        <v>0</v>
      </c>
      <c r="D117" s="484">
        <f t="shared" si="31"/>
        <v>0</v>
      </c>
      <c r="E117" s="484">
        <f t="shared" si="31"/>
        <v>0</v>
      </c>
      <c r="F117" s="484">
        <f t="shared" si="31"/>
        <v>0</v>
      </c>
      <c r="G117" s="484">
        <f t="shared" si="31"/>
        <v>0</v>
      </c>
      <c r="H117" s="484">
        <f t="shared" si="31"/>
        <v>0</v>
      </c>
      <c r="I117" s="484">
        <f t="shared" si="31"/>
        <v>0</v>
      </c>
      <c r="J117" s="484">
        <f t="shared" si="31"/>
        <v>0</v>
      </c>
      <c r="K117" s="484">
        <f t="shared" si="31"/>
        <v>78</v>
      </c>
      <c r="L117" s="485">
        <f t="shared" si="31"/>
        <v>3743329.988493864</v>
      </c>
      <c r="M117" s="484">
        <f t="shared" si="31"/>
        <v>125</v>
      </c>
      <c r="N117" s="484">
        <f t="shared" si="31"/>
        <v>0</v>
      </c>
      <c r="O117" s="484">
        <f t="shared" si="31"/>
        <v>0</v>
      </c>
      <c r="P117" s="484">
        <f t="shared" si="31"/>
        <v>0</v>
      </c>
      <c r="Q117" s="484">
        <f t="shared" si="31"/>
        <v>0</v>
      </c>
      <c r="R117" s="484">
        <f t="shared" si="31"/>
        <v>0</v>
      </c>
      <c r="S117" s="484">
        <f t="shared" si="31"/>
        <v>0</v>
      </c>
      <c r="T117" s="484">
        <f t="shared" si="31"/>
        <v>0</v>
      </c>
      <c r="U117" s="484">
        <f t="shared" si="31"/>
        <v>0</v>
      </c>
      <c r="V117" s="484">
        <f t="shared" si="31"/>
        <v>125</v>
      </c>
      <c r="W117" s="485">
        <f t="shared" si="31"/>
        <v>6142573.1276938645</v>
      </c>
    </row>
    <row r="118" spans="1:23">
      <c r="A118" s="703" t="s">
        <v>6985</v>
      </c>
      <c r="B118" s="13">
        <f>'F-09 EP'!B107+'F-09 MGP'!B119+'F-09 FAP'!B119</f>
        <v>8</v>
      </c>
      <c r="C118" s="13"/>
      <c r="D118" s="13"/>
      <c r="E118" s="13"/>
      <c r="F118" s="13"/>
      <c r="G118" s="13"/>
      <c r="H118" s="13"/>
      <c r="I118" s="13"/>
      <c r="J118" s="13"/>
      <c r="K118" s="13">
        <f>SUM(B118:J118)</f>
        <v>8</v>
      </c>
      <c r="L118" s="472">
        <f>'F-09 EP'!L107+'F-09 MGP'!L119+'F-09 FAP'!L119</f>
        <v>474480.56067161157</v>
      </c>
      <c r="M118" s="13">
        <f>'F-09 EP'!M107+'F-09 MGP'!M119+'F-09 FAP'!M119</f>
        <v>11</v>
      </c>
      <c r="N118" s="13"/>
      <c r="O118" s="13"/>
      <c r="P118" s="13"/>
      <c r="Q118" s="13"/>
      <c r="R118" s="13"/>
      <c r="S118" s="13"/>
      <c r="T118" s="13"/>
      <c r="U118" s="13"/>
      <c r="V118" s="13">
        <f>SUM(M118:U118)</f>
        <v>11</v>
      </c>
      <c r="W118" s="472">
        <f>'F-09 EP'!W107+'F-09 MGP'!W119+'F-09 FAP'!W119</f>
        <v>654621.06735161156</v>
      </c>
    </row>
    <row r="119" spans="1:23">
      <c r="A119" s="703" t="s">
        <v>6984</v>
      </c>
      <c r="B119" s="13">
        <f>'F-09 EP'!B108+'F-09 MGP'!B120+'F-09 FAP'!B120</f>
        <v>9</v>
      </c>
      <c r="C119" s="13"/>
      <c r="D119" s="13"/>
      <c r="E119" s="13"/>
      <c r="F119" s="13"/>
      <c r="G119" s="13"/>
      <c r="H119" s="13"/>
      <c r="I119" s="13"/>
      <c r="J119" s="13"/>
      <c r="K119" s="13">
        <f>SUM(B119:J119)</f>
        <v>9</v>
      </c>
      <c r="L119" s="472">
        <f>'F-09 EP'!L108+'F-09 MGP'!L120+'F-09 FAP'!L120</f>
        <v>494372.42947161151</v>
      </c>
      <c r="M119" s="13">
        <f>'F-09 EP'!M108+'F-09 MGP'!M120+'F-09 FAP'!M120</f>
        <v>12</v>
      </c>
      <c r="N119" s="13"/>
      <c r="O119" s="13"/>
      <c r="P119" s="13"/>
      <c r="Q119" s="13"/>
      <c r="R119" s="13"/>
      <c r="S119" s="13"/>
      <c r="T119" s="13"/>
      <c r="U119" s="13"/>
      <c r="V119" s="13">
        <f>SUM(M119:U119)</f>
        <v>12</v>
      </c>
      <c r="W119" s="472">
        <f>'F-09 EP'!W108+'F-09 MGP'!W120+'F-09 FAP'!W120</f>
        <v>669002.96263161162</v>
      </c>
    </row>
    <row r="120" spans="1:23">
      <c r="A120" s="703" t="s">
        <v>6983</v>
      </c>
      <c r="B120" s="13">
        <f>'F-09 EP'!B109+'F-09 MGP'!B121+'F-09 FAP'!B121</f>
        <v>17</v>
      </c>
      <c r="C120" s="13"/>
      <c r="D120" s="13"/>
      <c r="E120" s="13"/>
      <c r="F120" s="13"/>
      <c r="G120" s="13"/>
      <c r="H120" s="13"/>
      <c r="I120" s="13"/>
      <c r="J120" s="13"/>
      <c r="K120" s="13">
        <f>SUM(B120:J120)</f>
        <v>17</v>
      </c>
      <c r="L120" s="472">
        <f>'F-09 EP'!L109+'F-09 MGP'!L121+'F-09 FAP'!L121</f>
        <v>814042.70633580582</v>
      </c>
      <c r="M120" s="13">
        <f>'F-09 EP'!M109+'F-09 MGP'!M121+'F-09 FAP'!M121</f>
        <v>28</v>
      </c>
      <c r="N120" s="13"/>
      <c r="O120" s="13"/>
      <c r="P120" s="13"/>
      <c r="Q120" s="13"/>
      <c r="R120" s="13"/>
      <c r="S120" s="13"/>
      <c r="T120" s="13"/>
      <c r="U120" s="13"/>
      <c r="V120" s="13">
        <f>SUM(M120:U120)</f>
        <v>28</v>
      </c>
      <c r="W120" s="472">
        <f>'F-09 EP'!W109+'F-09 MGP'!W121+'F-09 FAP'!W121</f>
        <v>1433276.9143358059</v>
      </c>
    </row>
    <row r="121" spans="1:23">
      <c r="A121" s="703" t="s">
        <v>6982</v>
      </c>
      <c r="B121" s="13">
        <f>'F-09 EP'!B110+'F-09 MGP'!B122+'F-09 FAP'!B122</f>
        <v>19</v>
      </c>
      <c r="C121" s="13"/>
      <c r="D121" s="13"/>
      <c r="E121" s="13"/>
      <c r="F121" s="13"/>
      <c r="G121" s="13"/>
      <c r="H121" s="13"/>
      <c r="I121" s="13"/>
      <c r="J121" s="13"/>
      <c r="K121" s="13">
        <f>SUM(B121:J121)</f>
        <v>19</v>
      </c>
      <c r="L121" s="472">
        <f>'F-09 EP'!L110+'F-09 MGP'!L122+'F-09 FAP'!L122</f>
        <v>865254.17044774105</v>
      </c>
      <c r="M121" s="13">
        <f>'F-09 EP'!M110+'F-09 MGP'!M122+'F-09 FAP'!M122</f>
        <v>30</v>
      </c>
      <c r="N121" s="13"/>
      <c r="O121" s="13"/>
      <c r="P121" s="13"/>
      <c r="Q121" s="13"/>
      <c r="R121" s="13"/>
      <c r="S121" s="13"/>
      <c r="T121" s="13"/>
      <c r="U121" s="13"/>
      <c r="V121" s="13">
        <f>SUM(M121:U121)</f>
        <v>30</v>
      </c>
      <c r="W121" s="472">
        <f>'F-09 EP'!W110+'F-09 MGP'!W122+'F-09 FAP'!W122</f>
        <v>1449766.7864477411</v>
      </c>
    </row>
    <row r="122" spans="1:23">
      <c r="A122" s="703" t="s">
        <v>6981</v>
      </c>
      <c r="B122" s="13">
        <f>'F-09 EP'!B111+'F-09 MGP'!B123+'F-09 FAP'!B123</f>
        <v>25</v>
      </c>
      <c r="C122" s="13"/>
      <c r="D122" s="13"/>
      <c r="E122" s="13"/>
      <c r="F122" s="13"/>
      <c r="G122" s="13"/>
      <c r="H122" s="13"/>
      <c r="I122" s="13"/>
      <c r="J122" s="13"/>
      <c r="K122" s="13">
        <f>SUM(B122:J122)</f>
        <v>25</v>
      </c>
      <c r="L122" s="472">
        <f>'F-09 EP'!L111+'F-09 MGP'!L123+'F-09 FAP'!L123</f>
        <v>1095180.1215670938</v>
      </c>
      <c r="M122" s="13">
        <f>'F-09 EP'!M111+'F-09 MGP'!M123+'F-09 FAP'!M123</f>
        <v>44</v>
      </c>
      <c r="N122" s="13"/>
      <c r="O122" s="13"/>
      <c r="P122" s="13"/>
      <c r="Q122" s="13"/>
      <c r="R122" s="13"/>
      <c r="S122" s="13"/>
      <c r="T122" s="13"/>
      <c r="U122" s="13"/>
      <c r="V122" s="13">
        <f>SUM(M122:U122)</f>
        <v>44</v>
      </c>
      <c r="W122" s="472">
        <f>'F-09 EP'!W111+'F-09 MGP'!W123+'F-09 FAP'!W123</f>
        <v>1935905.3969270939</v>
      </c>
    </row>
    <row r="123" spans="1:23">
      <c r="A123" s="705" t="s">
        <v>7002</v>
      </c>
      <c r="B123" s="484">
        <f t="shared" ref="B123:W123" si="32">SUM(B124:B128)</f>
        <v>112</v>
      </c>
      <c r="C123" s="484">
        <f t="shared" si="32"/>
        <v>0</v>
      </c>
      <c r="D123" s="484">
        <f t="shared" si="32"/>
        <v>0</v>
      </c>
      <c r="E123" s="484">
        <f t="shared" si="32"/>
        <v>0</v>
      </c>
      <c r="F123" s="484">
        <f t="shared" si="32"/>
        <v>0</v>
      </c>
      <c r="G123" s="484">
        <f t="shared" si="32"/>
        <v>0</v>
      </c>
      <c r="H123" s="484">
        <f t="shared" si="32"/>
        <v>0</v>
      </c>
      <c r="I123" s="484">
        <f t="shared" si="32"/>
        <v>0</v>
      </c>
      <c r="J123" s="484">
        <f t="shared" si="32"/>
        <v>0</v>
      </c>
      <c r="K123" s="484">
        <f t="shared" si="32"/>
        <v>112</v>
      </c>
      <c r="L123" s="485">
        <f t="shared" si="32"/>
        <v>5958472.5359654753</v>
      </c>
      <c r="M123" s="484">
        <f t="shared" si="32"/>
        <v>213</v>
      </c>
      <c r="N123" s="484">
        <f t="shared" si="32"/>
        <v>0</v>
      </c>
      <c r="O123" s="484">
        <f t="shared" si="32"/>
        <v>0</v>
      </c>
      <c r="P123" s="484">
        <f t="shared" si="32"/>
        <v>0</v>
      </c>
      <c r="Q123" s="484">
        <f t="shared" si="32"/>
        <v>0</v>
      </c>
      <c r="R123" s="484">
        <f t="shared" si="32"/>
        <v>0</v>
      </c>
      <c r="S123" s="484">
        <f t="shared" si="32"/>
        <v>0</v>
      </c>
      <c r="T123" s="484">
        <f t="shared" si="32"/>
        <v>0</v>
      </c>
      <c r="U123" s="484">
        <f t="shared" si="32"/>
        <v>0</v>
      </c>
      <c r="V123" s="484">
        <f t="shared" si="32"/>
        <v>213</v>
      </c>
      <c r="W123" s="485">
        <f t="shared" si="32"/>
        <v>11051622.216345476</v>
      </c>
    </row>
    <row r="124" spans="1:23">
      <c r="A124" s="703" t="s">
        <v>7001</v>
      </c>
      <c r="B124" s="13">
        <f>'F-09 EP'!B113+'F-09 MGP'!B125+'F-09 FAP'!B125</f>
        <v>22</v>
      </c>
      <c r="C124" s="13"/>
      <c r="D124" s="13"/>
      <c r="E124" s="13"/>
      <c r="F124" s="13"/>
      <c r="G124" s="13"/>
      <c r="H124" s="13"/>
      <c r="I124" s="13"/>
      <c r="J124" s="13"/>
      <c r="K124" s="13">
        <f>SUM(B124:J124)</f>
        <v>22</v>
      </c>
      <c r="L124" s="472">
        <f>'F-09 EP'!L113+'F-09 MGP'!L125+'F-09 FAP'!L125</f>
        <v>1302462.8601119353</v>
      </c>
      <c r="M124" s="13">
        <f>'F-09 EP'!M113+'F-09 MGP'!M125+'F-09 FAP'!M125</f>
        <v>25</v>
      </c>
      <c r="N124" s="13"/>
      <c r="O124" s="13"/>
      <c r="P124" s="13"/>
      <c r="Q124" s="13"/>
      <c r="R124" s="13"/>
      <c r="S124" s="13"/>
      <c r="T124" s="13"/>
      <c r="U124" s="13"/>
      <c r="V124" s="13">
        <f>SUM(M124:U124)</f>
        <v>25</v>
      </c>
      <c r="W124" s="472">
        <f>'F-09 EP'!W113+'F-09 MGP'!W125+'F-09 FAP'!W125</f>
        <v>1633915.0142519353</v>
      </c>
    </row>
    <row r="125" spans="1:23">
      <c r="A125" s="703" t="s">
        <v>7000</v>
      </c>
      <c r="B125" s="13">
        <f>'F-09 EP'!B114+'F-09 MGP'!B126+'F-09 FAP'!B126</f>
        <v>17</v>
      </c>
      <c r="C125" s="13"/>
      <c r="D125" s="13"/>
      <c r="E125" s="13"/>
      <c r="F125" s="13"/>
      <c r="G125" s="13"/>
      <c r="H125" s="13"/>
      <c r="I125" s="13"/>
      <c r="J125" s="13"/>
      <c r="K125" s="13">
        <f>SUM(B125:J125)</f>
        <v>17</v>
      </c>
      <c r="L125" s="472">
        <f>'F-09 EP'!L114+'F-09 MGP'!L126+'F-09 FAP'!L126</f>
        <v>948792.24371193512</v>
      </c>
      <c r="M125" s="13">
        <f>'F-09 EP'!M114+'F-09 MGP'!M126+'F-09 FAP'!M126</f>
        <v>31</v>
      </c>
      <c r="N125" s="13"/>
      <c r="O125" s="13"/>
      <c r="P125" s="13"/>
      <c r="Q125" s="13"/>
      <c r="R125" s="13"/>
      <c r="S125" s="13"/>
      <c r="T125" s="13"/>
      <c r="U125" s="13"/>
      <c r="V125" s="13">
        <f>SUM(M125:U125)</f>
        <v>31</v>
      </c>
      <c r="W125" s="472">
        <f>'F-09 EP'!W114+'F-09 MGP'!W126+'F-09 FAP'!W126</f>
        <v>1778363.0872319352</v>
      </c>
    </row>
    <row r="126" spans="1:23">
      <c r="A126" s="703" t="s">
        <v>6999</v>
      </c>
      <c r="B126" s="13">
        <f>'F-09 EP'!B115+'F-09 MGP'!B127+'F-09 FAP'!B127</f>
        <v>24</v>
      </c>
      <c r="C126" s="13"/>
      <c r="D126" s="13"/>
      <c r="E126" s="13"/>
      <c r="F126" s="13"/>
      <c r="G126" s="13"/>
      <c r="H126" s="13"/>
      <c r="I126" s="13"/>
      <c r="J126" s="13"/>
      <c r="K126" s="13">
        <f>SUM(B126:J126)</f>
        <v>24</v>
      </c>
      <c r="L126" s="472">
        <f>'F-09 EP'!L115+'F-09 MGP'!L127+'F-09 FAP'!L127</f>
        <v>1292567.4054551586</v>
      </c>
      <c r="M126" s="13">
        <f>'F-09 EP'!M115+'F-09 MGP'!M127+'F-09 FAP'!M127</f>
        <v>46</v>
      </c>
      <c r="N126" s="13"/>
      <c r="O126" s="13"/>
      <c r="P126" s="13"/>
      <c r="Q126" s="13"/>
      <c r="R126" s="13"/>
      <c r="S126" s="13"/>
      <c r="T126" s="13"/>
      <c r="U126" s="13"/>
      <c r="V126" s="13">
        <f>SUM(M126:U126)</f>
        <v>46</v>
      </c>
      <c r="W126" s="472">
        <f>'F-09 EP'!W115+'F-09 MGP'!W127+'F-09 FAP'!W127</f>
        <v>2415450.5974551584</v>
      </c>
    </row>
    <row r="127" spans="1:23">
      <c r="A127" s="703" t="s">
        <v>6998</v>
      </c>
      <c r="B127" s="13">
        <f>'F-09 EP'!B116+'F-09 MGP'!B128+'F-09 FAP'!B128</f>
        <v>30</v>
      </c>
      <c r="C127" s="13"/>
      <c r="D127" s="13"/>
      <c r="E127" s="13"/>
      <c r="F127" s="13"/>
      <c r="G127" s="13"/>
      <c r="H127" s="13"/>
      <c r="I127" s="13"/>
      <c r="J127" s="13"/>
      <c r="K127" s="13">
        <f>SUM(B127:J127)</f>
        <v>30</v>
      </c>
      <c r="L127" s="472">
        <f>'F-09 EP'!L116+'F-09 MGP'!L128+'F-09 FAP'!L128</f>
        <v>1534837.6179028996</v>
      </c>
      <c r="M127" s="13">
        <f>'F-09 EP'!M116+'F-09 MGP'!M128+'F-09 FAP'!M128</f>
        <v>58</v>
      </c>
      <c r="N127" s="13"/>
      <c r="O127" s="13"/>
      <c r="P127" s="13"/>
      <c r="Q127" s="13"/>
      <c r="R127" s="13"/>
      <c r="S127" s="13"/>
      <c r="T127" s="13"/>
      <c r="U127" s="13"/>
      <c r="V127" s="13">
        <f>SUM(M127:U127)</f>
        <v>58</v>
      </c>
      <c r="W127" s="472">
        <f>'F-09 EP'!W116+'F-09 MGP'!W128+'F-09 FAP'!W128</f>
        <v>2880369.0415028995</v>
      </c>
    </row>
    <row r="128" spans="1:23">
      <c r="A128" s="703" t="s">
        <v>6997</v>
      </c>
      <c r="B128" s="13">
        <f>'F-09 EP'!B117+'F-09 MGP'!B129+'F-09 FAP'!B129</f>
        <v>19</v>
      </c>
      <c r="C128" s="13"/>
      <c r="D128" s="13"/>
      <c r="E128" s="13"/>
      <c r="F128" s="13"/>
      <c r="G128" s="13"/>
      <c r="H128" s="13"/>
      <c r="I128" s="13"/>
      <c r="J128" s="13"/>
      <c r="K128" s="13">
        <f>SUM(B128:J128)</f>
        <v>19</v>
      </c>
      <c r="L128" s="472">
        <f>'F-09 EP'!L117+'F-09 MGP'!L129+'F-09 FAP'!L129</f>
        <v>879812.40878354688</v>
      </c>
      <c r="M128" s="13">
        <f>'F-09 EP'!M117+'F-09 MGP'!M129+'F-09 FAP'!M129</f>
        <v>53</v>
      </c>
      <c r="N128" s="13"/>
      <c r="O128" s="13"/>
      <c r="P128" s="13"/>
      <c r="Q128" s="13"/>
      <c r="R128" s="13"/>
      <c r="S128" s="13"/>
      <c r="T128" s="13"/>
      <c r="U128" s="13"/>
      <c r="V128" s="13">
        <f>SUM(M128:U128)</f>
        <v>53</v>
      </c>
      <c r="W128" s="472">
        <f>'F-09 EP'!W117+'F-09 MGP'!W129+'F-09 FAP'!W129</f>
        <v>2343524.4759035469</v>
      </c>
    </row>
    <row r="129" spans="1:23">
      <c r="A129" s="705" t="s">
        <v>6996</v>
      </c>
      <c r="B129" s="484">
        <f t="shared" ref="B129:W129" si="33">SUM(B130:B134)</f>
        <v>32</v>
      </c>
      <c r="C129" s="484">
        <f t="shared" si="33"/>
        <v>0</v>
      </c>
      <c r="D129" s="484">
        <f t="shared" si="33"/>
        <v>0</v>
      </c>
      <c r="E129" s="484">
        <f t="shared" si="33"/>
        <v>0</v>
      </c>
      <c r="F129" s="484">
        <f t="shared" si="33"/>
        <v>0</v>
      </c>
      <c r="G129" s="484">
        <f t="shared" si="33"/>
        <v>0</v>
      </c>
      <c r="H129" s="484">
        <f t="shared" si="33"/>
        <v>0</v>
      </c>
      <c r="I129" s="484">
        <f t="shared" si="33"/>
        <v>0</v>
      </c>
      <c r="J129" s="484">
        <f t="shared" si="33"/>
        <v>0</v>
      </c>
      <c r="K129" s="484">
        <f t="shared" si="33"/>
        <v>32</v>
      </c>
      <c r="L129" s="485">
        <f t="shared" si="33"/>
        <v>1549139.6157432231</v>
      </c>
      <c r="M129" s="484">
        <f t="shared" si="33"/>
        <v>32</v>
      </c>
      <c r="N129" s="484">
        <f t="shared" si="33"/>
        <v>0</v>
      </c>
      <c r="O129" s="484">
        <f t="shared" si="33"/>
        <v>0</v>
      </c>
      <c r="P129" s="484">
        <f t="shared" si="33"/>
        <v>0</v>
      </c>
      <c r="Q129" s="484">
        <f t="shared" si="33"/>
        <v>0</v>
      </c>
      <c r="R129" s="484">
        <f t="shared" si="33"/>
        <v>0</v>
      </c>
      <c r="S129" s="484">
        <f t="shared" si="33"/>
        <v>0</v>
      </c>
      <c r="T129" s="484">
        <f t="shared" si="33"/>
        <v>0</v>
      </c>
      <c r="U129" s="484">
        <f t="shared" si="33"/>
        <v>0</v>
      </c>
      <c r="V129" s="484">
        <f t="shared" si="33"/>
        <v>32</v>
      </c>
      <c r="W129" s="485">
        <f t="shared" si="33"/>
        <v>1687472.5515432232</v>
      </c>
    </row>
    <row r="130" spans="1:23">
      <c r="A130" s="703" t="s">
        <v>6989</v>
      </c>
      <c r="B130" s="13">
        <f>'F-09 EP'!B119+'F-09 MGP'!B131+'F-09 FAP'!B131</f>
        <v>6</v>
      </c>
      <c r="C130" s="13"/>
      <c r="D130" s="13"/>
      <c r="E130" s="13"/>
      <c r="F130" s="13"/>
      <c r="G130" s="13"/>
      <c r="H130" s="13"/>
      <c r="I130" s="13"/>
      <c r="J130" s="13"/>
      <c r="K130" s="13">
        <f>SUM(B130:J130)</f>
        <v>6</v>
      </c>
      <c r="L130" s="472">
        <f>'F-09 EP'!L119+'F-09 MGP'!L131+'F-09 FAP'!L131</f>
        <v>315829.5</v>
      </c>
      <c r="M130" s="13">
        <f>'F-09 EP'!M119+'F-09 MGP'!M131+'F-09 FAP'!M131</f>
        <v>6</v>
      </c>
      <c r="N130" s="13"/>
      <c r="O130" s="13"/>
      <c r="P130" s="13"/>
      <c r="Q130" s="13"/>
      <c r="R130" s="13"/>
      <c r="S130" s="13"/>
      <c r="T130" s="13"/>
      <c r="U130" s="13"/>
      <c r="V130" s="13">
        <f>SUM(M130:U130)</f>
        <v>6</v>
      </c>
      <c r="W130" s="472">
        <f>'F-09 EP'!W119+'F-09 MGP'!W131+'F-09 FAP'!W131</f>
        <v>364383.02003999997</v>
      </c>
    </row>
    <row r="131" spans="1:23">
      <c r="A131" s="703" t="s">
        <v>6988</v>
      </c>
      <c r="B131" s="13">
        <f>'F-09 EP'!B120+'F-09 MGP'!B132+'F-09 FAP'!B132</f>
        <v>4</v>
      </c>
      <c r="C131" s="13"/>
      <c r="D131" s="13"/>
      <c r="E131" s="13"/>
      <c r="F131" s="13"/>
      <c r="G131" s="13"/>
      <c r="H131" s="13"/>
      <c r="I131" s="13"/>
      <c r="J131" s="13"/>
      <c r="K131" s="13">
        <f>SUM(B131:J131)</f>
        <v>4</v>
      </c>
      <c r="L131" s="472">
        <f>'F-09 EP'!L120+'F-09 MGP'!L132+'F-09 FAP'!L132</f>
        <v>196939.15839999999</v>
      </c>
      <c r="M131" s="13">
        <f>'F-09 EP'!M120+'F-09 MGP'!M132+'F-09 FAP'!M132</f>
        <v>4</v>
      </c>
      <c r="N131" s="13"/>
      <c r="O131" s="13"/>
      <c r="P131" s="13"/>
      <c r="Q131" s="13"/>
      <c r="R131" s="13"/>
      <c r="S131" s="13"/>
      <c r="T131" s="13"/>
      <c r="U131" s="13"/>
      <c r="V131" s="13">
        <f>SUM(M131:U131)</f>
        <v>4</v>
      </c>
      <c r="W131" s="472">
        <f>'F-09 EP'!W120+'F-09 MGP'!W132+'F-09 FAP'!W132</f>
        <v>226195.86928000001</v>
      </c>
    </row>
    <row r="132" spans="1:23">
      <c r="A132" s="703" t="s">
        <v>6986</v>
      </c>
      <c r="B132" s="13">
        <f>'F-09 EP'!B121+'F-09 MGP'!B133+'F-09 FAP'!B133</f>
        <v>5</v>
      </c>
      <c r="C132" s="13"/>
      <c r="D132" s="13"/>
      <c r="E132" s="13"/>
      <c r="F132" s="13"/>
      <c r="G132" s="13"/>
      <c r="H132" s="13"/>
      <c r="I132" s="13"/>
      <c r="J132" s="13"/>
      <c r="K132" s="13">
        <f>SUM(B132:J132)</f>
        <v>5</v>
      </c>
      <c r="L132" s="472">
        <f>'F-09 EP'!L121+'F-09 MGP'!L133+'F-09 FAP'!L133</f>
        <v>248649.02222387053</v>
      </c>
      <c r="M132" s="13">
        <f>'F-09 EP'!M121+'F-09 MGP'!M133+'F-09 FAP'!M133</f>
        <v>5</v>
      </c>
      <c r="N132" s="13"/>
      <c r="O132" s="13"/>
      <c r="P132" s="13"/>
      <c r="Q132" s="13"/>
      <c r="R132" s="13"/>
      <c r="S132" s="13"/>
      <c r="T132" s="13"/>
      <c r="U132" s="13"/>
      <c r="V132" s="13">
        <f>SUM(M132:U132)</f>
        <v>5</v>
      </c>
      <c r="W132" s="472">
        <f>'F-09 EP'!W121+'F-09 MGP'!W133+'F-09 FAP'!W133</f>
        <v>268670.63822387054</v>
      </c>
    </row>
    <row r="133" spans="1:23">
      <c r="A133" s="703" t="s">
        <v>6985</v>
      </c>
      <c r="B133" s="13">
        <f>'F-09 EP'!B122+'F-09 MGP'!B134+'F-09 FAP'!B134</f>
        <v>8</v>
      </c>
      <c r="C133" s="13"/>
      <c r="D133" s="13"/>
      <c r="E133" s="13"/>
      <c r="F133" s="13"/>
      <c r="G133" s="13"/>
      <c r="H133" s="13"/>
      <c r="I133" s="13"/>
      <c r="J133" s="13"/>
      <c r="K133" s="13">
        <f>SUM(B133:J133)</f>
        <v>8</v>
      </c>
      <c r="L133" s="472">
        <f>'F-09 EP'!L122+'F-09 MGP'!L134+'F-09 FAP'!L134</f>
        <v>382687.00844774104</v>
      </c>
      <c r="M133" s="13">
        <f>'F-09 EP'!M122+'F-09 MGP'!M134+'F-09 FAP'!M134</f>
        <v>8</v>
      </c>
      <c r="N133" s="13"/>
      <c r="O133" s="13"/>
      <c r="P133" s="13"/>
      <c r="Q133" s="13"/>
      <c r="R133" s="13"/>
      <c r="S133" s="13"/>
      <c r="T133" s="13"/>
      <c r="U133" s="13"/>
      <c r="V133" s="13">
        <f>SUM(M133:U133)</f>
        <v>8</v>
      </c>
      <c r="W133" s="472">
        <f>'F-09 EP'!W122+'F-09 MGP'!W134+'F-09 FAP'!W134</f>
        <v>406791.70604774106</v>
      </c>
    </row>
    <row r="134" spans="1:23">
      <c r="A134" s="703" t="s">
        <v>6984</v>
      </c>
      <c r="B134" s="13">
        <f>'F-09 EP'!B123+'F-09 MGP'!B135+'F-09 FAP'!B135</f>
        <v>9</v>
      </c>
      <c r="C134" s="13"/>
      <c r="D134" s="13"/>
      <c r="E134" s="13"/>
      <c r="F134" s="13"/>
      <c r="G134" s="13"/>
      <c r="H134" s="13"/>
      <c r="I134" s="13"/>
      <c r="J134" s="13"/>
      <c r="K134" s="13">
        <f>SUM(B134:J134)</f>
        <v>9</v>
      </c>
      <c r="L134" s="472">
        <f>'F-09 EP'!L123+'F-09 MGP'!L135+'F-09 FAP'!L135</f>
        <v>405034.92667161155</v>
      </c>
      <c r="M134" s="13">
        <f>'F-09 EP'!M123+'F-09 MGP'!M135+'F-09 FAP'!M135</f>
        <v>9</v>
      </c>
      <c r="N134" s="13"/>
      <c r="O134" s="13"/>
      <c r="P134" s="13"/>
      <c r="Q134" s="13"/>
      <c r="R134" s="13"/>
      <c r="S134" s="13"/>
      <c r="T134" s="13"/>
      <c r="U134" s="13"/>
      <c r="V134" s="13">
        <f>SUM(M134:U134)</f>
        <v>9</v>
      </c>
      <c r="W134" s="472">
        <f>'F-09 EP'!W123+'F-09 MGP'!W135+'F-09 FAP'!W135</f>
        <v>421431.31795161159</v>
      </c>
    </row>
    <row r="135" spans="1:23">
      <c r="A135" s="705" t="s">
        <v>2097</v>
      </c>
      <c r="B135" s="484">
        <f t="shared" ref="B135:W135" si="34">SUM(B136:B140)</f>
        <v>16</v>
      </c>
      <c r="C135" s="484">
        <f t="shared" si="34"/>
        <v>0</v>
      </c>
      <c r="D135" s="484">
        <f t="shared" si="34"/>
        <v>0</v>
      </c>
      <c r="E135" s="484">
        <f t="shared" si="34"/>
        <v>0</v>
      </c>
      <c r="F135" s="484">
        <f t="shared" si="34"/>
        <v>0</v>
      </c>
      <c r="G135" s="484">
        <f t="shared" si="34"/>
        <v>0</v>
      </c>
      <c r="H135" s="484">
        <f t="shared" si="34"/>
        <v>0</v>
      </c>
      <c r="I135" s="484">
        <f t="shared" si="34"/>
        <v>0</v>
      </c>
      <c r="J135" s="484">
        <f t="shared" si="34"/>
        <v>0</v>
      </c>
      <c r="K135" s="484">
        <f t="shared" si="34"/>
        <v>16</v>
      </c>
      <c r="L135" s="485">
        <f t="shared" si="34"/>
        <v>718514.99079999991</v>
      </c>
      <c r="M135" s="484">
        <f t="shared" si="34"/>
        <v>16</v>
      </c>
      <c r="N135" s="484">
        <f t="shared" si="34"/>
        <v>0</v>
      </c>
      <c r="O135" s="484">
        <f t="shared" si="34"/>
        <v>0</v>
      </c>
      <c r="P135" s="484">
        <f t="shared" si="34"/>
        <v>0</v>
      </c>
      <c r="Q135" s="484">
        <f t="shared" si="34"/>
        <v>0</v>
      </c>
      <c r="R135" s="484">
        <f t="shared" si="34"/>
        <v>0</v>
      </c>
      <c r="S135" s="484">
        <f t="shared" si="34"/>
        <v>0</v>
      </c>
      <c r="T135" s="484">
        <f t="shared" si="34"/>
        <v>0</v>
      </c>
      <c r="U135" s="484">
        <f t="shared" si="34"/>
        <v>0</v>
      </c>
      <c r="V135" s="484">
        <f t="shared" si="34"/>
        <v>16</v>
      </c>
      <c r="W135" s="485">
        <f t="shared" si="34"/>
        <v>820239.81441999995</v>
      </c>
    </row>
    <row r="136" spans="1:23">
      <c r="A136" s="703" t="s">
        <v>6989</v>
      </c>
      <c r="B136" s="13">
        <f>'F-09 EP'!B125+'F-09 MGP'!B137+'F-09 FAP'!B137</f>
        <v>1</v>
      </c>
      <c r="C136" s="13"/>
      <c r="D136" s="13"/>
      <c r="E136" s="13"/>
      <c r="F136" s="13"/>
      <c r="G136" s="13"/>
      <c r="H136" s="13"/>
      <c r="I136" s="13"/>
      <c r="J136" s="13"/>
      <c r="K136" s="13">
        <f>SUM(B136:J136)</f>
        <v>1</v>
      </c>
      <c r="L136" s="472">
        <f>'F-09 EP'!L125+'F-09 MGP'!L137+'F-09 FAP'!L137</f>
        <v>52638.25</v>
      </c>
      <c r="M136" s="13">
        <f>'F-09 EP'!M125+'F-09 MGP'!M137+'F-09 FAP'!M137</f>
        <v>1</v>
      </c>
      <c r="N136" s="13"/>
      <c r="O136" s="13"/>
      <c r="P136" s="13"/>
      <c r="Q136" s="13"/>
      <c r="R136" s="13"/>
      <c r="S136" s="13"/>
      <c r="T136" s="13"/>
      <c r="U136" s="13"/>
      <c r="V136" s="13">
        <f>SUM(M136:U136)</f>
        <v>1</v>
      </c>
      <c r="W136" s="472">
        <f>'F-09 EP'!W125+'F-09 MGP'!W137+'F-09 FAP'!W137</f>
        <v>60730.503340000003</v>
      </c>
    </row>
    <row r="137" spans="1:23">
      <c r="A137" s="703" t="s">
        <v>6988</v>
      </c>
      <c r="B137" s="13">
        <f>'F-09 EP'!B126+'F-09 MGP'!B138+'F-09 FAP'!B138</f>
        <v>3</v>
      </c>
      <c r="C137" s="13"/>
      <c r="D137" s="13"/>
      <c r="E137" s="13"/>
      <c r="F137" s="13"/>
      <c r="G137" s="13"/>
      <c r="H137" s="13"/>
      <c r="I137" s="13"/>
      <c r="J137" s="13"/>
      <c r="K137" s="13">
        <f>SUM(B137:J137)</f>
        <v>3</v>
      </c>
      <c r="L137" s="472">
        <f>'F-09 EP'!L126+'F-09 MGP'!L138+'F-09 FAP'!L138</f>
        <v>147704.36879999997</v>
      </c>
      <c r="M137" s="13">
        <f>'F-09 EP'!M126+'F-09 MGP'!M138+'F-09 FAP'!M138</f>
        <v>3</v>
      </c>
      <c r="N137" s="13"/>
      <c r="O137" s="13"/>
      <c r="P137" s="13"/>
      <c r="Q137" s="13"/>
      <c r="R137" s="13"/>
      <c r="S137" s="13"/>
      <c r="T137" s="13"/>
      <c r="U137" s="13"/>
      <c r="V137" s="13">
        <f>SUM(M137:U137)</f>
        <v>3</v>
      </c>
      <c r="W137" s="472">
        <f>'F-09 EP'!W126+'F-09 MGP'!W138+'F-09 FAP'!W138</f>
        <v>169646.90195999999</v>
      </c>
    </row>
    <row r="138" spans="1:23">
      <c r="A138" s="703" t="s">
        <v>6986</v>
      </c>
      <c r="B138" s="13">
        <f>'F-09 EP'!B127+'F-09 MGP'!B139+'F-09 FAP'!B139</f>
        <v>1</v>
      </c>
      <c r="C138" s="13"/>
      <c r="D138" s="13"/>
      <c r="E138" s="13"/>
      <c r="F138" s="13"/>
      <c r="G138" s="13"/>
      <c r="H138" s="13"/>
      <c r="I138" s="13"/>
      <c r="J138" s="13"/>
      <c r="K138" s="13">
        <f>SUM(B138:J138)</f>
        <v>1</v>
      </c>
      <c r="L138" s="472">
        <f>'F-09 EP'!L127+'F-09 MGP'!L139+'F-09 FAP'!L139</f>
        <v>46428.334000000003</v>
      </c>
      <c r="M138" s="13">
        <f>'F-09 EP'!M127+'F-09 MGP'!M139+'F-09 FAP'!M139</f>
        <v>1</v>
      </c>
      <c r="N138" s="13"/>
      <c r="O138" s="13"/>
      <c r="P138" s="13"/>
      <c r="Q138" s="13"/>
      <c r="R138" s="13"/>
      <c r="S138" s="13"/>
      <c r="T138" s="13"/>
      <c r="U138" s="13"/>
      <c r="V138" s="13">
        <f>SUM(M138:U138)</f>
        <v>1</v>
      </c>
      <c r="W138" s="472">
        <f>'F-09 EP'!W127+'F-09 MGP'!W139+'F-09 FAP'!W139</f>
        <v>53102.205999999998</v>
      </c>
    </row>
    <row r="139" spans="1:23">
      <c r="A139" s="703" t="s">
        <v>6985</v>
      </c>
      <c r="B139" s="13">
        <f>'F-09 EP'!B128+'F-09 MGP'!B140+'F-09 FAP'!B140</f>
        <v>9</v>
      </c>
      <c r="C139" s="13"/>
      <c r="D139" s="13"/>
      <c r="E139" s="13"/>
      <c r="F139" s="13"/>
      <c r="G139" s="13"/>
      <c r="H139" s="13"/>
      <c r="I139" s="13"/>
      <c r="J139" s="13"/>
      <c r="K139" s="13">
        <f>SUM(B139:J139)</f>
        <v>9</v>
      </c>
      <c r="L139" s="472">
        <f>'F-09 EP'!L128+'F-09 MGP'!L140+'F-09 FAP'!L140</f>
        <v>394827.67800000001</v>
      </c>
      <c r="M139" s="13">
        <f>'F-09 EP'!M128+'F-09 MGP'!M140+'F-09 FAP'!M140</f>
        <v>9</v>
      </c>
      <c r="N139" s="13"/>
      <c r="O139" s="13"/>
      <c r="P139" s="13"/>
      <c r="Q139" s="13"/>
      <c r="R139" s="13"/>
      <c r="S139" s="13"/>
      <c r="T139" s="13"/>
      <c r="U139" s="13"/>
      <c r="V139" s="13">
        <f>SUM(M139:U139)</f>
        <v>9</v>
      </c>
      <c r="W139" s="472">
        <f>'F-09 EP'!W128+'F-09 MGP'!W140+'F-09 FAP'!W140</f>
        <v>449063.2476</v>
      </c>
    </row>
    <row r="140" spans="1:23">
      <c r="A140" s="703" t="s">
        <v>6984</v>
      </c>
      <c r="B140" s="13">
        <f>'F-09 EP'!B129+'F-09 MGP'!B141+'F-09 FAP'!B141</f>
        <v>2</v>
      </c>
      <c r="C140" s="13"/>
      <c r="D140" s="13"/>
      <c r="E140" s="13"/>
      <c r="F140" s="13"/>
      <c r="G140" s="13"/>
      <c r="H140" s="13"/>
      <c r="I140" s="13"/>
      <c r="J140" s="13"/>
      <c r="K140" s="13">
        <f>SUM(B140:J140)</f>
        <v>2</v>
      </c>
      <c r="L140" s="472">
        <f>'F-09 EP'!L129+'F-09 MGP'!L141+'F-09 FAP'!L141</f>
        <v>76916.36</v>
      </c>
      <c r="M140" s="13">
        <f>'F-09 EP'!M129+'F-09 MGP'!M141+'F-09 FAP'!M141</f>
        <v>2</v>
      </c>
      <c r="N140" s="13"/>
      <c r="O140" s="13"/>
      <c r="P140" s="13"/>
      <c r="Q140" s="13"/>
      <c r="R140" s="13"/>
      <c r="S140" s="13"/>
      <c r="T140" s="13"/>
      <c r="U140" s="13"/>
      <c r="V140" s="13">
        <f>SUM(M140:U140)</f>
        <v>2</v>
      </c>
      <c r="W140" s="472">
        <f>'F-09 EP'!W129+'F-09 MGP'!W141+'F-09 FAP'!W141</f>
        <v>87696.955520000003</v>
      </c>
    </row>
    <row r="141" spans="1:23">
      <c r="A141" s="705" t="s">
        <v>6995</v>
      </c>
      <c r="B141" s="484">
        <f t="shared" ref="B141:W141" si="35">SUM(B142:B146)</f>
        <v>1</v>
      </c>
      <c r="C141" s="484">
        <f t="shared" si="35"/>
        <v>0</v>
      </c>
      <c r="D141" s="484">
        <f t="shared" si="35"/>
        <v>0</v>
      </c>
      <c r="E141" s="484">
        <f t="shared" si="35"/>
        <v>0</v>
      </c>
      <c r="F141" s="484">
        <f t="shared" si="35"/>
        <v>0</v>
      </c>
      <c r="G141" s="484">
        <f t="shared" si="35"/>
        <v>0</v>
      </c>
      <c r="H141" s="484">
        <f t="shared" si="35"/>
        <v>0</v>
      </c>
      <c r="I141" s="484">
        <f t="shared" si="35"/>
        <v>0</v>
      </c>
      <c r="J141" s="484">
        <f t="shared" si="35"/>
        <v>0</v>
      </c>
      <c r="K141" s="484">
        <f t="shared" si="35"/>
        <v>1</v>
      </c>
      <c r="L141" s="485">
        <f t="shared" si="35"/>
        <v>52638.25</v>
      </c>
      <c r="M141" s="484">
        <f t="shared" si="35"/>
        <v>1</v>
      </c>
      <c r="N141" s="484">
        <f t="shared" si="35"/>
        <v>0</v>
      </c>
      <c r="O141" s="484">
        <f t="shared" si="35"/>
        <v>0</v>
      </c>
      <c r="P141" s="484">
        <f t="shared" si="35"/>
        <v>0</v>
      </c>
      <c r="Q141" s="484">
        <f t="shared" si="35"/>
        <v>0</v>
      </c>
      <c r="R141" s="484">
        <f t="shared" si="35"/>
        <v>0</v>
      </c>
      <c r="S141" s="484">
        <f t="shared" si="35"/>
        <v>0</v>
      </c>
      <c r="T141" s="484">
        <f t="shared" si="35"/>
        <v>0</v>
      </c>
      <c r="U141" s="484">
        <f t="shared" si="35"/>
        <v>0</v>
      </c>
      <c r="V141" s="484">
        <f t="shared" si="35"/>
        <v>1</v>
      </c>
      <c r="W141" s="485">
        <f t="shared" si="35"/>
        <v>60730.503340000003</v>
      </c>
    </row>
    <row r="142" spans="1:23">
      <c r="A142" s="703" t="s">
        <v>6989</v>
      </c>
      <c r="B142" s="13">
        <f>'F-09 EP'!B131+'F-09 MGP'!B143+'F-09 FAP'!B143</f>
        <v>1</v>
      </c>
      <c r="C142" s="13"/>
      <c r="D142" s="13"/>
      <c r="E142" s="13"/>
      <c r="F142" s="13"/>
      <c r="G142" s="13"/>
      <c r="H142" s="13"/>
      <c r="I142" s="13"/>
      <c r="J142" s="13"/>
      <c r="K142" s="13">
        <f>SUM(B142:J142)</f>
        <v>1</v>
      </c>
      <c r="L142" s="472">
        <f>'F-09 EP'!L131+'F-09 MGP'!L143+'F-09 FAP'!L143</f>
        <v>52638.25</v>
      </c>
      <c r="M142" s="13">
        <f>'F-09 EP'!M131+'F-09 MGP'!M143+'F-09 FAP'!M143</f>
        <v>1</v>
      </c>
      <c r="N142" s="13"/>
      <c r="O142" s="13"/>
      <c r="P142" s="13"/>
      <c r="Q142" s="13"/>
      <c r="R142" s="13"/>
      <c r="S142" s="13"/>
      <c r="T142" s="13"/>
      <c r="U142" s="13"/>
      <c r="V142" s="13">
        <f>SUM(M142:U142)</f>
        <v>1</v>
      </c>
      <c r="W142" s="472">
        <f>'F-09 EP'!W131+'F-09 MGP'!W143+'F-09 FAP'!W143</f>
        <v>60730.503340000003</v>
      </c>
    </row>
    <row r="143" spans="1:23">
      <c r="A143" s="703" t="s">
        <v>6988</v>
      </c>
      <c r="B143" s="13">
        <f>'F-09 EP'!B132+'F-09 MGP'!B144+'F-09 FAP'!B144</f>
        <v>0</v>
      </c>
      <c r="C143" s="13"/>
      <c r="D143" s="13"/>
      <c r="E143" s="13"/>
      <c r="F143" s="13"/>
      <c r="G143" s="13"/>
      <c r="H143" s="13"/>
      <c r="I143" s="13"/>
      <c r="J143" s="13"/>
      <c r="K143" s="13">
        <f>SUM(B143:J143)</f>
        <v>0</v>
      </c>
      <c r="L143" s="472">
        <f>'F-09 EP'!L132+'F-09 MGP'!L144+'F-09 FAP'!L144</f>
        <v>0</v>
      </c>
      <c r="M143" s="13">
        <f>'F-09 EP'!M132+'F-09 MGP'!M144+'F-09 FAP'!M144</f>
        <v>0</v>
      </c>
      <c r="N143" s="13"/>
      <c r="O143" s="13"/>
      <c r="P143" s="13"/>
      <c r="Q143" s="13"/>
      <c r="R143" s="13"/>
      <c r="S143" s="13"/>
      <c r="T143" s="13"/>
      <c r="U143" s="13"/>
      <c r="V143" s="13">
        <f>SUM(M143:U143)</f>
        <v>0</v>
      </c>
      <c r="W143" s="472">
        <f>'F-09 EP'!W132+'F-09 MGP'!W144+'F-09 FAP'!W144</f>
        <v>0</v>
      </c>
    </row>
    <row r="144" spans="1:23">
      <c r="A144" s="703" t="s">
        <v>6986</v>
      </c>
      <c r="B144" s="13">
        <f>'F-09 EP'!B133+'F-09 MGP'!B145+'F-09 FAP'!B145</f>
        <v>0</v>
      </c>
      <c r="C144" s="13"/>
      <c r="D144" s="13"/>
      <c r="E144" s="13"/>
      <c r="F144" s="13"/>
      <c r="G144" s="13"/>
      <c r="H144" s="13"/>
      <c r="I144" s="13"/>
      <c r="J144" s="13"/>
      <c r="K144" s="13">
        <f>SUM(B144:J144)</f>
        <v>0</v>
      </c>
      <c r="L144" s="472">
        <f>'F-09 EP'!L133+'F-09 MGP'!L145+'F-09 FAP'!L145</f>
        <v>0</v>
      </c>
      <c r="M144" s="13">
        <f>'F-09 EP'!M133+'F-09 MGP'!M145+'F-09 FAP'!M145</f>
        <v>0</v>
      </c>
      <c r="N144" s="13"/>
      <c r="O144" s="13"/>
      <c r="P144" s="13"/>
      <c r="Q144" s="13"/>
      <c r="R144" s="13"/>
      <c r="S144" s="13"/>
      <c r="T144" s="13"/>
      <c r="U144" s="13"/>
      <c r="V144" s="13">
        <f>SUM(M144:U144)</f>
        <v>0</v>
      </c>
      <c r="W144" s="472">
        <f>'F-09 EP'!W133+'F-09 MGP'!W145+'F-09 FAP'!W145</f>
        <v>0</v>
      </c>
    </row>
    <row r="145" spans="1:23">
      <c r="A145" s="703" t="s">
        <v>6985</v>
      </c>
      <c r="B145" s="13">
        <f>'F-09 EP'!B134+'F-09 MGP'!B146+'F-09 FAP'!B146</f>
        <v>0</v>
      </c>
      <c r="C145" s="13"/>
      <c r="D145" s="13"/>
      <c r="E145" s="13"/>
      <c r="F145" s="13"/>
      <c r="G145" s="13"/>
      <c r="H145" s="13"/>
      <c r="I145" s="13"/>
      <c r="J145" s="13"/>
      <c r="K145" s="13">
        <f>SUM(B145:J145)</f>
        <v>0</v>
      </c>
      <c r="L145" s="472">
        <f>'F-09 EP'!L134+'F-09 MGP'!L146+'F-09 FAP'!L146</f>
        <v>0</v>
      </c>
      <c r="M145" s="13">
        <f>'F-09 EP'!M134+'F-09 MGP'!M146+'F-09 FAP'!M146</f>
        <v>0</v>
      </c>
      <c r="N145" s="13"/>
      <c r="O145" s="13"/>
      <c r="P145" s="13"/>
      <c r="Q145" s="13"/>
      <c r="R145" s="13"/>
      <c r="S145" s="13"/>
      <c r="T145" s="13"/>
      <c r="U145" s="13"/>
      <c r="V145" s="13">
        <f>SUM(M145:U145)</f>
        <v>0</v>
      </c>
      <c r="W145" s="472">
        <f>'F-09 EP'!W134+'F-09 MGP'!W146+'F-09 FAP'!W146</f>
        <v>0</v>
      </c>
    </row>
    <row r="146" spans="1:23">
      <c r="A146" s="703" t="s">
        <v>6984</v>
      </c>
      <c r="B146" s="13">
        <f>'F-09 EP'!B135+'F-09 MGP'!B147+'F-09 FAP'!B147</f>
        <v>0</v>
      </c>
      <c r="C146" s="13"/>
      <c r="D146" s="13"/>
      <c r="E146" s="13"/>
      <c r="F146" s="13"/>
      <c r="G146" s="13"/>
      <c r="H146" s="13"/>
      <c r="I146" s="13"/>
      <c r="J146" s="13"/>
      <c r="K146" s="13">
        <f>SUM(B146:J146)</f>
        <v>0</v>
      </c>
      <c r="L146" s="472">
        <f>'F-09 EP'!L135+'F-09 MGP'!L147+'F-09 FAP'!L147</f>
        <v>0</v>
      </c>
      <c r="M146" s="13">
        <f>'F-09 EP'!M135+'F-09 MGP'!M147+'F-09 FAP'!M147</f>
        <v>0</v>
      </c>
      <c r="N146" s="13"/>
      <c r="O146" s="13"/>
      <c r="P146" s="13"/>
      <c r="Q146" s="13"/>
      <c r="R146" s="13"/>
      <c r="S146" s="13"/>
      <c r="T146" s="13"/>
      <c r="U146" s="13"/>
      <c r="V146" s="13">
        <f>SUM(M146:U146)</f>
        <v>0</v>
      </c>
      <c r="W146" s="472">
        <f>'F-09 EP'!W135+'F-09 MGP'!W147+'F-09 FAP'!W147</f>
        <v>0</v>
      </c>
    </row>
    <row r="147" spans="1:23">
      <c r="A147" s="705" t="s">
        <v>6994</v>
      </c>
      <c r="B147" s="484">
        <f t="shared" ref="B147:W147" si="36">SUM(B148:B152)</f>
        <v>11</v>
      </c>
      <c r="C147" s="484">
        <f t="shared" si="36"/>
        <v>0</v>
      </c>
      <c r="D147" s="484">
        <f t="shared" si="36"/>
        <v>0</v>
      </c>
      <c r="E147" s="484">
        <f t="shared" si="36"/>
        <v>0</v>
      </c>
      <c r="F147" s="484">
        <f t="shared" si="36"/>
        <v>0</v>
      </c>
      <c r="G147" s="484">
        <f t="shared" si="36"/>
        <v>0</v>
      </c>
      <c r="H147" s="484">
        <f t="shared" si="36"/>
        <v>0</v>
      </c>
      <c r="I147" s="484">
        <f t="shared" si="36"/>
        <v>0</v>
      </c>
      <c r="J147" s="484">
        <f t="shared" si="36"/>
        <v>0</v>
      </c>
      <c r="K147" s="484">
        <f t="shared" si="36"/>
        <v>11</v>
      </c>
      <c r="L147" s="485">
        <f t="shared" si="36"/>
        <v>506897.26520000002</v>
      </c>
      <c r="M147" s="484">
        <f t="shared" si="36"/>
        <v>11</v>
      </c>
      <c r="N147" s="484">
        <f t="shared" si="36"/>
        <v>0</v>
      </c>
      <c r="O147" s="484">
        <f t="shared" si="36"/>
        <v>0</v>
      </c>
      <c r="P147" s="484">
        <f t="shared" si="36"/>
        <v>0</v>
      </c>
      <c r="Q147" s="484">
        <f t="shared" si="36"/>
        <v>0</v>
      </c>
      <c r="R147" s="484">
        <f t="shared" si="36"/>
        <v>0</v>
      </c>
      <c r="S147" s="484">
        <f t="shared" si="36"/>
        <v>0</v>
      </c>
      <c r="T147" s="484">
        <f t="shared" si="36"/>
        <v>0</v>
      </c>
      <c r="U147" s="484">
        <f t="shared" si="36"/>
        <v>0</v>
      </c>
      <c r="V147" s="484">
        <f t="shared" si="36"/>
        <v>11</v>
      </c>
      <c r="W147" s="485">
        <f t="shared" si="36"/>
        <v>556671.48872000002</v>
      </c>
    </row>
    <row r="148" spans="1:23">
      <c r="A148" s="703" t="s">
        <v>6989</v>
      </c>
      <c r="B148" s="13">
        <f>'F-09 EP'!B137+'F-09 MGP'!B149+'F-09 FAP'!B149</f>
        <v>0</v>
      </c>
      <c r="C148" s="13"/>
      <c r="D148" s="13"/>
      <c r="E148" s="13"/>
      <c r="F148" s="13"/>
      <c r="G148" s="13"/>
      <c r="H148" s="13"/>
      <c r="I148" s="13"/>
      <c r="J148" s="13"/>
      <c r="K148" s="13">
        <f>SUM(B148:J148)</f>
        <v>0</v>
      </c>
      <c r="L148" s="472">
        <f>'F-09 EP'!L137+'F-09 MGP'!L149+'F-09 FAP'!L149</f>
        <v>0</v>
      </c>
      <c r="M148" s="13">
        <f>'F-09 EP'!M137+'F-09 MGP'!M149+'F-09 FAP'!M149</f>
        <v>0</v>
      </c>
      <c r="N148" s="13"/>
      <c r="O148" s="13"/>
      <c r="P148" s="13"/>
      <c r="Q148" s="13"/>
      <c r="R148" s="13"/>
      <c r="S148" s="13"/>
      <c r="T148" s="13"/>
      <c r="U148" s="13"/>
      <c r="V148" s="13">
        <f>SUM(M148:U148)</f>
        <v>0</v>
      </c>
      <c r="W148" s="472">
        <f>'F-09 EP'!W137+'F-09 MGP'!W149+'F-09 FAP'!W149</f>
        <v>0</v>
      </c>
    </row>
    <row r="149" spans="1:23">
      <c r="A149" s="703" t="s">
        <v>6988</v>
      </c>
      <c r="B149" s="13">
        <f>'F-09 EP'!B138+'F-09 MGP'!B150+'F-09 FAP'!B150</f>
        <v>2</v>
      </c>
      <c r="C149" s="13"/>
      <c r="D149" s="13"/>
      <c r="E149" s="13"/>
      <c r="F149" s="13"/>
      <c r="G149" s="13"/>
      <c r="H149" s="13"/>
      <c r="I149" s="13"/>
      <c r="J149" s="13"/>
      <c r="K149" s="13">
        <f>SUM(B149:J149)</f>
        <v>2</v>
      </c>
      <c r="L149" s="472">
        <f>'F-09 EP'!L138+'F-09 MGP'!L150+'F-09 FAP'!L150</f>
        <v>98469.579199999993</v>
      </c>
      <c r="M149" s="13">
        <f>'F-09 EP'!M138+'F-09 MGP'!M150+'F-09 FAP'!M150</f>
        <v>2</v>
      </c>
      <c r="N149" s="13"/>
      <c r="O149" s="13"/>
      <c r="P149" s="13"/>
      <c r="Q149" s="13"/>
      <c r="R149" s="13"/>
      <c r="S149" s="13"/>
      <c r="T149" s="13"/>
      <c r="U149" s="13"/>
      <c r="V149" s="13">
        <f>SUM(M149:U149)</f>
        <v>2</v>
      </c>
      <c r="W149" s="472">
        <f>'F-09 EP'!W138+'F-09 MGP'!W150+'F-09 FAP'!W150</f>
        <v>113097.93464000001</v>
      </c>
    </row>
    <row r="150" spans="1:23">
      <c r="A150" s="703" t="s">
        <v>6986</v>
      </c>
      <c r="B150" s="13">
        <f>'F-09 EP'!B139+'F-09 MGP'!B151+'F-09 FAP'!B151</f>
        <v>4</v>
      </c>
      <c r="C150" s="13"/>
      <c r="D150" s="13"/>
      <c r="E150" s="13"/>
      <c r="F150" s="13"/>
      <c r="G150" s="13"/>
      <c r="H150" s="13"/>
      <c r="I150" s="13"/>
      <c r="J150" s="13"/>
      <c r="K150" s="13">
        <f>SUM(B150:J150)</f>
        <v>4</v>
      </c>
      <c r="L150" s="472">
        <f>'F-09 EP'!L139+'F-09 MGP'!L151+'F-09 FAP'!L151</f>
        <v>185713.33600000001</v>
      </c>
      <c r="M150" s="13">
        <f>'F-09 EP'!M139+'F-09 MGP'!M151+'F-09 FAP'!M151</f>
        <v>4</v>
      </c>
      <c r="N150" s="13"/>
      <c r="O150" s="13"/>
      <c r="P150" s="13"/>
      <c r="Q150" s="13"/>
      <c r="R150" s="13"/>
      <c r="S150" s="13"/>
      <c r="T150" s="13"/>
      <c r="U150" s="13"/>
      <c r="V150" s="13">
        <f>SUM(M150:U150)</f>
        <v>4</v>
      </c>
      <c r="W150" s="472">
        <f>'F-09 EP'!W139+'F-09 MGP'!W151+'F-09 FAP'!W151</f>
        <v>212408.82399999999</v>
      </c>
    </row>
    <row r="151" spans="1:23">
      <c r="A151" s="703" t="s">
        <v>6985</v>
      </c>
      <c r="B151" s="13">
        <f>'F-09 EP'!B140+'F-09 MGP'!B152+'F-09 FAP'!B152</f>
        <v>2</v>
      </c>
      <c r="C151" s="13"/>
      <c r="D151" s="13"/>
      <c r="E151" s="13"/>
      <c r="F151" s="13"/>
      <c r="G151" s="13"/>
      <c r="H151" s="13"/>
      <c r="I151" s="13"/>
      <c r="J151" s="13"/>
      <c r="K151" s="13">
        <f>SUM(B151:J151)</f>
        <v>2</v>
      </c>
      <c r="L151" s="472">
        <f>'F-09 EP'!L140+'F-09 MGP'!L152+'F-09 FAP'!L152</f>
        <v>87739.483999999997</v>
      </c>
      <c r="M151" s="13">
        <f>'F-09 EP'!M140+'F-09 MGP'!M152+'F-09 FAP'!M152</f>
        <v>2</v>
      </c>
      <c r="N151" s="13"/>
      <c r="O151" s="13"/>
      <c r="P151" s="13"/>
      <c r="Q151" s="13"/>
      <c r="R151" s="13"/>
      <c r="S151" s="13"/>
      <c r="T151" s="13"/>
      <c r="U151" s="13"/>
      <c r="V151" s="13">
        <f>SUM(M151:U151)</f>
        <v>2</v>
      </c>
      <c r="W151" s="472">
        <f>'F-09 EP'!W140+'F-09 MGP'!W152+'F-09 FAP'!W152</f>
        <v>97793.472800000003</v>
      </c>
    </row>
    <row r="152" spans="1:23">
      <c r="A152" s="703" t="s">
        <v>6984</v>
      </c>
      <c r="B152" s="13">
        <f>'F-09 EP'!B141+'F-09 MGP'!B153+'F-09 FAP'!B153</f>
        <v>3</v>
      </c>
      <c r="C152" s="13"/>
      <c r="D152" s="13"/>
      <c r="E152" s="13"/>
      <c r="F152" s="13"/>
      <c r="G152" s="13"/>
      <c r="H152" s="13"/>
      <c r="I152" s="13"/>
      <c r="J152" s="13"/>
      <c r="K152" s="13">
        <f>SUM(B152:J152)</f>
        <v>3</v>
      </c>
      <c r="L152" s="472">
        <f>'F-09 EP'!L141+'F-09 MGP'!L153+'F-09 FAP'!L153</f>
        <v>134974.86600000001</v>
      </c>
      <c r="M152" s="13">
        <f>'F-09 EP'!M141+'F-09 MGP'!M153+'F-09 FAP'!M153</f>
        <v>3</v>
      </c>
      <c r="N152" s="13"/>
      <c r="O152" s="13"/>
      <c r="P152" s="13"/>
      <c r="Q152" s="13"/>
      <c r="R152" s="13"/>
      <c r="S152" s="13"/>
      <c r="T152" s="13"/>
      <c r="U152" s="13"/>
      <c r="V152" s="13">
        <f>SUM(M152:U152)</f>
        <v>3</v>
      </c>
      <c r="W152" s="472">
        <f>'F-09 EP'!W141+'F-09 MGP'!W153+'F-09 FAP'!W153</f>
        <v>133371.25727999999</v>
      </c>
    </row>
    <row r="153" spans="1:23">
      <c r="A153" s="705" t="s">
        <v>6993</v>
      </c>
      <c r="B153" s="484">
        <f t="shared" ref="B153:W153" si="37">SUM(B154:B158)</f>
        <v>83</v>
      </c>
      <c r="C153" s="484">
        <f t="shared" si="37"/>
        <v>0</v>
      </c>
      <c r="D153" s="484">
        <f t="shared" si="37"/>
        <v>0</v>
      </c>
      <c r="E153" s="484">
        <f t="shared" si="37"/>
        <v>0</v>
      </c>
      <c r="F153" s="484">
        <f t="shared" si="37"/>
        <v>0</v>
      </c>
      <c r="G153" s="484">
        <f t="shared" si="37"/>
        <v>0</v>
      </c>
      <c r="H153" s="484">
        <f t="shared" si="37"/>
        <v>0</v>
      </c>
      <c r="I153" s="484">
        <f t="shared" si="37"/>
        <v>0</v>
      </c>
      <c r="J153" s="484">
        <f t="shared" si="37"/>
        <v>0</v>
      </c>
      <c r="K153" s="484">
        <f t="shared" si="37"/>
        <v>83</v>
      </c>
      <c r="L153" s="485">
        <f t="shared" si="37"/>
        <v>3718411.0088</v>
      </c>
      <c r="M153" s="484">
        <f t="shared" si="37"/>
        <v>84</v>
      </c>
      <c r="N153" s="484">
        <f t="shared" si="37"/>
        <v>0</v>
      </c>
      <c r="O153" s="484">
        <f t="shared" si="37"/>
        <v>0</v>
      </c>
      <c r="P153" s="484">
        <f t="shared" si="37"/>
        <v>0</v>
      </c>
      <c r="Q153" s="484">
        <f t="shared" si="37"/>
        <v>0</v>
      </c>
      <c r="R153" s="484">
        <f t="shared" si="37"/>
        <v>0</v>
      </c>
      <c r="S153" s="484">
        <f t="shared" si="37"/>
        <v>0</v>
      </c>
      <c r="T153" s="484">
        <f t="shared" si="37"/>
        <v>0</v>
      </c>
      <c r="U153" s="484">
        <f t="shared" si="37"/>
        <v>0</v>
      </c>
      <c r="V153" s="484">
        <f t="shared" si="37"/>
        <v>84</v>
      </c>
      <c r="W153" s="485">
        <f t="shared" si="37"/>
        <v>4243952.4223200008</v>
      </c>
    </row>
    <row r="154" spans="1:23">
      <c r="A154" s="703" t="s">
        <v>6989</v>
      </c>
      <c r="B154" s="13">
        <f>'F-09 EP'!B143+'F-09 MGP'!B155+'F-09 FAP'!B155</f>
        <v>8</v>
      </c>
      <c r="C154" s="13"/>
      <c r="D154" s="13"/>
      <c r="E154" s="13"/>
      <c r="F154" s="13"/>
      <c r="G154" s="13"/>
      <c r="H154" s="13"/>
      <c r="I154" s="13"/>
      <c r="J154" s="13"/>
      <c r="K154" s="13">
        <f>SUM(B154:J154)</f>
        <v>8</v>
      </c>
      <c r="L154" s="472">
        <f>'F-09 EP'!L143+'F-09 MGP'!L155+'F-09 FAP'!L155</f>
        <v>439106</v>
      </c>
      <c r="M154" s="13">
        <f>'F-09 EP'!M143+'F-09 MGP'!M155+'F-09 FAP'!M155</f>
        <v>8</v>
      </c>
      <c r="N154" s="13"/>
      <c r="O154" s="13"/>
      <c r="P154" s="13"/>
      <c r="Q154" s="13"/>
      <c r="R154" s="13"/>
      <c r="S154" s="13"/>
      <c r="T154" s="13"/>
      <c r="U154" s="13"/>
      <c r="V154" s="13">
        <f>SUM(M154:U154)</f>
        <v>8</v>
      </c>
      <c r="W154" s="472">
        <f>'F-09 EP'!W143+'F-09 MGP'!W155+'F-09 FAP'!W155</f>
        <v>483402.86072</v>
      </c>
    </row>
    <row r="155" spans="1:23">
      <c r="A155" s="703" t="s">
        <v>6988</v>
      </c>
      <c r="B155" s="13">
        <f>'F-09 EP'!B144+'F-09 MGP'!B156+'F-09 FAP'!B156</f>
        <v>8</v>
      </c>
      <c r="C155" s="13"/>
      <c r="D155" s="13"/>
      <c r="E155" s="13"/>
      <c r="F155" s="13"/>
      <c r="G155" s="13"/>
      <c r="H155" s="13"/>
      <c r="I155" s="13"/>
      <c r="J155" s="13"/>
      <c r="K155" s="13">
        <f>SUM(B155:J155)</f>
        <v>8</v>
      </c>
      <c r="L155" s="472">
        <f>'F-09 EP'!L144+'F-09 MGP'!L156+'F-09 FAP'!L156</f>
        <v>411878.31679999997</v>
      </c>
      <c r="M155" s="13">
        <f>'F-09 EP'!M144+'F-09 MGP'!M156+'F-09 FAP'!M156</f>
        <v>8</v>
      </c>
      <c r="N155" s="13"/>
      <c r="O155" s="13"/>
      <c r="P155" s="13"/>
      <c r="Q155" s="13"/>
      <c r="R155" s="13"/>
      <c r="S155" s="13"/>
      <c r="T155" s="13"/>
      <c r="U155" s="13"/>
      <c r="V155" s="13">
        <f>SUM(M155:U155)</f>
        <v>8</v>
      </c>
      <c r="W155" s="472">
        <f>'F-09 EP'!W144+'F-09 MGP'!W156+'F-09 FAP'!W156</f>
        <v>452391.73856000003</v>
      </c>
    </row>
    <row r="156" spans="1:23">
      <c r="A156" s="703" t="s">
        <v>6986</v>
      </c>
      <c r="B156" s="13">
        <f>'F-09 EP'!B145+'F-09 MGP'!B157+'F-09 FAP'!B157</f>
        <v>22</v>
      </c>
      <c r="C156" s="13"/>
      <c r="D156" s="13"/>
      <c r="E156" s="13"/>
      <c r="F156" s="13"/>
      <c r="G156" s="13"/>
      <c r="H156" s="13"/>
      <c r="I156" s="13"/>
      <c r="J156" s="13"/>
      <c r="K156" s="13">
        <f>SUM(B156:J156)</f>
        <v>22</v>
      </c>
      <c r="L156" s="472">
        <f>'F-09 EP'!L145+'F-09 MGP'!L157+'F-09 FAP'!L157</f>
        <v>1021423.348</v>
      </c>
      <c r="M156" s="13">
        <f>'F-09 EP'!M145+'F-09 MGP'!M157+'F-09 FAP'!M157</f>
        <v>22</v>
      </c>
      <c r="N156" s="13"/>
      <c r="O156" s="13"/>
      <c r="P156" s="13"/>
      <c r="Q156" s="13"/>
      <c r="R156" s="13"/>
      <c r="S156" s="13"/>
      <c r="T156" s="13"/>
      <c r="U156" s="13"/>
      <c r="V156" s="13">
        <f>SUM(M156:U156)</f>
        <v>22</v>
      </c>
      <c r="W156" s="472">
        <f>'F-09 EP'!W145+'F-09 MGP'!W157+'F-09 FAP'!W157</f>
        <v>1168248.5320000001</v>
      </c>
    </row>
    <row r="157" spans="1:23">
      <c r="A157" s="703" t="s">
        <v>6985</v>
      </c>
      <c r="B157" s="13">
        <f>'F-09 EP'!B146+'F-09 MGP'!B158+'F-09 FAP'!B158</f>
        <v>22</v>
      </c>
      <c r="C157" s="13"/>
      <c r="D157" s="13"/>
      <c r="E157" s="13"/>
      <c r="F157" s="13"/>
      <c r="G157" s="13"/>
      <c r="H157" s="13"/>
      <c r="I157" s="13"/>
      <c r="J157" s="13"/>
      <c r="K157" s="13">
        <f>SUM(B157:J157)</f>
        <v>22</v>
      </c>
      <c r="L157" s="472">
        <f>'F-09 EP'!L146+'F-09 MGP'!L158+'F-09 FAP'!L158</f>
        <v>959864.87800000003</v>
      </c>
      <c r="M157" s="13">
        <f>'F-09 EP'!M146+'F-09 MGP'!M158+'F-09 FAP'!M158</f>
        <v>22</v>
      </c>
      <c r="N157" s="13"/>
      <c r="O157" s="13"/>
      <c r="P157" s="13"/>
      <c r="Q157" s="13"/>
      <c r="R157" s="13"/>
      <c r="S157" s="13"/>
      <c r="T157" s="13"/>
      <c r="U157" s="13"/>
      <c r="V157" s="13">
        <f>SUM(M157:U157)</f>
        <v>22</v>
      </c>
      <c r="W157" s="472">
        <f>'F-09 EP'!W146+'F-09 MGP'!W158+'F-09 FAP'!W158</f>
        <v>1085720.0008</v>
      </c>
    </row>
    <row r="158" spans="1:23">
      <c r="A158" s="703" t="s">
        <v>6984</v>
      </c>
      <c r="B158" s="13">
        <f>'F-09 EP'!B147+'F-09 MGP'!B159+'F-09 FAP'!B159</f>
        <v>23</v>
      </c>
      <c r="C158" s="13"/>
      <c r="D158" s="13"/>
      <c r="E158" s="13"/>
      <c r="F158" s="13"/>
      <c r="G158" s="13"/>
      <c r="H158" s="13"/>
      <c r="I158" s="13"/>
      <c r="J158" s="13"/>
      <c r="K158" s="13">
        <f>SUM(B158:J158)</f>
        <v>23</v>
      </c>
      <c r="L158" s="472">
        <f>'F-09 EP'!L147+'F-09 MGP'!L159+'F-09 FAP'!L159</f>
        <v>886138.46600000001</v>
      </c>
      <c r="M158" s="13">
        <f>'F-09 EP'!M147+'F-09 MGP'!M159+'F-09 FAP'!M159</f>
        <v>24</v>
      </c>
      <c r="N158" s="13"/>
      <c r="O158" s="13"/>
      <c r="P158" s="13"/>
      <c r="Q158" s="13"/>
      <c r="R158" s="13"/>
      <c r="S158" s="13"/>
      <c r="T158" s="13"/>
      <c r="U158" s="13"/>
      <c r="V158" s="13">
        <f>SUM(M158:U158)</f>
        <v>24</v>
      </c>
      <c r="W158" s="472">
        <f>'F-09 EP'!W147+'F-09 MGP'!W159+'F-09 FAP'!W159</f>
        <v>1054189.29024</v>
      </c>
    </row>
    <row r="159" spans="1:23">
      <c r="A159" s="705" t="s">
        <v>6992</v>
      </c>
      <c r="B159" s="484">
        <f t="shared" ref="B159:W159" si="38">SUM(B160:B164)</f>
        <v>38</v>
      </c>
      <c r="C159" s="484">
        <f t="shared" si="38"/>
        <v>0</v>
      </c>
      <c r="D159" s="484">
        <f t="shared" si="38"/>
        <v>0</v>
      </c>
      <c r="E159" s="484">
        <f t="shared" si="38"/>
        <v>0</v>
      </c>
      <c r="F159" s="484">
        <f t="shared" si="38"/>
        <v>0</v>
      </c>
      <c r="G159" s="484">
        <f t="shared" si="38"/>
        <v>0</v>
      </c>
      <c r="H159" s="484">
        <f t="shared" si="38"/>
        <v>0</v>
      </c>
      <c r="I159" s="484">
        <f t="shared" si="38"/>
        <v>0</v>
      </c>
      <c r="J159" s="484">
        <f t="shared" si="38"/>
        <v>0</v>
      </c>
      <c r="K159" s="484">
        <f t="shared" si="38"/>
        <v>38</v>
      </c>
      <c r="L159" s="485">
        <f t="shared" si="38"/>
        <v>1778995.892</v>
      </c>
      <c r="M159" s="484">
        <f t="shared" si="38"/>
        <v>39</v>
      </c>
      <c r="N159" s="484">
        <f t="shared" si="38"/>
        <v>0</v>
      </c>
      <c r="O159" s="484">
        <f t="shared" si="38"/>
        <v>0</v>
      </c>
      <c r="P159" s="484">
        <f t="shared" si="38"/>
        <v>0</v>
      </c>
      <c r="Q159" s="484">
        <f t="shared" si="38"/>
        <v>0</v>
      </c>
      <c r="R159" s="484">
        <f t="shared" si="38"/>
        <v>0</v>
      </c>
      <c r="S159" s="484">
        <f t="shared" si="38"/>
        <v>0</v>
      </c>
      <c r="T159" s="484">
        <f t="shared" si="38"/>
        <v>0</v>
      </c>
      <c r="U159" s="484">
        <f t="shared" si="38"/>
        <v>0</v>
      </c>
      <c r="V159" s="484">
        <f t="shared" si="38"/>
        <v>39</v>
      </c>
      <c r="W159" s="485">
        <f t="shared" si="38"/>
        <v>2096998.0752000001</v>
      </c>
    </row>
    <row r="160" spans="1:23">
      <c r="A160" s="703" t="s">
        <v>6989</v>
      </c>
      <c r="B160" s="13">
        <f>'F-09 EP'!B149+'F-09 MGP'!B161+'F-09 FAP'!B161</f>
        <v>9</v>
      </c>
      <c r="C160" s="13"/>
      <c r="D160" s="13"/>
      <c r="E160" s="13"/>
      <c r="F160" s="13"/>
      <c r="G160" s="13"/>
      <c r="H160" s="13"/>
      <c r="I160" s="13"/>
      <c r="J160" s="13"/>
      <c r="K160" s="13">
        <f>SUM(B160:J160)</f>
        <v>9</v>
      </c>
      <c r="L160" s="472">
        <f>'F-09 EP'!L149+'F-09 MGP'!L161+'F-09 FAP'!L161</f>
        <v>473744.25</v>
      </c>
      <c r="M160" s="13">
        <f>'F-09 EP'!M149+'F-09 MGP'!M161+'F-09 FAP'!M161</f>
        <v>10</v>
      </c>
      <c r="N160" s="13"/>
      <c r="O160" s="13"/>
      <c r="P160" s="13"/>
      <c r="Q160" s="13"/>
      <c r="R160" s="13"/>
      <c r="S160" s="13"/>
      <c r="T160" s="13"/>
      <c r="U160" s="13"/>
      <c r="V160" s="13">
        <f>SUM(M160:U160)</f>
        <v>10</v>
      </c>
      <c r="W160" s="472">
        <f>'F-09 EP'!W149+'F-09 MGP'!W161+'F-09 FAP'!W161</f>
        <v>607305.03339999996</v>
      </c>
    </row>
    <row r="161" spans="1:23">
      <c r="A161" s="703" t="s">
        <v>6988</v>
      </c>
      <c r="B161" s="13">
        <f>'F-09 EP'!B150+'F-09 MGP'!B162+'F-09 FAP'!B162</f>
        <v>5</v>
      </c>
      <c r="C161" s="13"/>
      <c r="D161" s="13"/>
      <c r="E161" s="13"/>
      <c r="F161" s="13"/>
      <c r="G161" s="13"/>
      <c r="H161" s="13"/>
      <c r="I161" s="13"/>
      <c r="J161" s="13"/>
      <c r="K161" s="13">
        <f>SUM(B161:J161)</f>
        <v>5</v>
      </c>
      <c r="L161" s="472">
        <f>'F-09 EP'!L150+'F-09 MGP'!L162+'F-09 FAP'!L162</f>
        <v>246173.948</v>
      </c>
      <c r="M161" s="13">
        <f>'F-09 EP'!M150+'F-09 MGP'!M162+'F-09 FAP'!M162</f>
        <v>5</v>
      </c>
      <c r="N161" s="13"/>
      <c r="O161" s="13"/>
      <c r="P161" s="13"/>
      <c r="Q161" s="13"/>
      <c r="R161" s="13"/>
      <c r="S161" s="13"/>
      <c r="T161" s="13"/>
      <c r="U161" s="13"/>
      <c r="V161" s="13">
        <f>SUM(M161:U161)</f>
        <v>5</v>
      </c>
      <c r="W161" s="472">
        <f>'F-09 EP'!W150+'F-09 MGP'!W162+'F-09 FAP'!W162</f>
        <v>282744.83659999998</v>
      </c>
    </row>
    <row r="162" spans="1:23">
      <c r="A162" s="703" t="s">
        <v>6986</v>
      </c>
      <c r="B162" s="13">
        <f>'F-09 EP'!B151+'F-09 MGP'!B163+'F-09 FAP'!B163</f>
        <v>13</v>
      </c>
      <c r="C162" s="13"/>
      <c r="D162" s="13"/>
      <c r="E162" s="13"/>
      <c r="F162" s="13"/>
      <c r="G162" s="13"/>
      <c r="H162" s="13"/>
      <c r="I162" s="13"/>
      <c r="J162" s="13"/>
      <c r="K162" s="13">
        <f>SUM(B162:J162)</f>
        <v>13</v>
      </c>
      <c r="L162" s="472">
        <f>'F-09 EP'!L151+'F-09 MGP'!L163+'F-09 FAP'!L163</f>
        <v>603568.34199999995</v>
      </c>
      <c r="M162" s="13">
        <f>'F-09 EP'!M151+'F-09 MGP'!M163+'F-09 FAP'!M163</f>
        <v>13</v>
      </c>
      <c r="N162" s="13"/>
      <c r="O162" s="13"/>
      <c r="P162" s="13"/>
      <c r="Q162" s="13"/>
      <c r="R162" s="13"/>
      <c r="S162" s="13"/>
      <c r="T162" s="13"/>
      <c r="U162" s="13"/>
      <c r="V162" s="13">
        <f>SUM(M162:U162)</f>
        <v>13</v>
      </c>
      <c r="W162" s="472">
        <f>'F-09 EP'!W151+'F-09 MGP'!W163+'F-09 FAP'!W163</f>
        <v>690328.67799999996</v>
      </c>
    </row>
    <row r="163" spans="1:23">
      <c r="A163" s="703" t="s">
        <v>6985</v>
      </c>
      <c r="B163" s="13">
        <f>'F-09 EP'!B152+'F-09 MGP'!B164+'F-09 FAP'!B164</f>
        <v>6</v>
      </c>
      <c r="C163" s="13"/>
      <c r="D163" s="13"/>
      <c r="E163" s="13"/>
      <c r="F163" s="13"/>
      <c r="G163" s="13"/>
      <c r="H163" s="13"/>
      <c r="I163" s="13"/>
      <c r="J163" s="13"/>
      <c r="K163" s="13">
        <f>SUM(B163:J163)</f>
        <v>6</v>
      </c>
      <c r="L163" s="472">
        <f>'F-09 EP'!L152+'F-09 MGP'!L164+'F-09 FAP'!L164</f>
        <v>263218.45199999999</v>
      </c>
      <c r="M163" s="13">
        <f>'F-09 EP'!M152+'F-09 MGP'!M164+'F-09 FAP'!M164</f>
        <v>6</v>
      </c>
      <c r="N163" s="13"/>
      <c r="O163" s="13"/>
      <c r="P163" s="13"/>
      <c r="Q163" s="13"/>
      <c r="R163" s="13"/>
      <c r="S163" s="13"/>
      <c r="T163" s="13"/>
      <c r="U163" s="13"/>
      <c r="V163" s="13">
        <f>SUM(M163:U163)</f>
        <v>6</v>
      </c>
      <c r="W163" s="472">
        <f>'F-09 EP'!W152+'F-09 MGP'!W164+'F-09 FAP'!W164</f>
        <v>297377.1384</v>
      </c>
    </row>
    <row r="164" spans="1:23">
      <c r="A164" s="703" t="s">
        <v>6984</v>
      </c>
      <c r="B164" s="13">
        <f>'F-09 EP'!B153+'F-09 MGP'!B165+'F-09 FAP'!B165</f>
        <v>5</v>
      </c>
      <c r="C164" s="13"/>
      <c r="D164" s="13"/>
      <c r="E164" s="13"/>
      <c r="F164" s="13"/>
      <c r="G164" s="13"/>
      <c r="H164" s="13"/>
      <c r="I164" s="13"/>
      <c r="J164" s="13"/>
      <c r="K164" s="13">
        <f>SUM(B164:J164)</f>
        <v>5</v>
      </c>
      <c r="L164" s="472">
        <f>'F-09 EP'!L153+'F-09 MGP'!L165+'F-09 FAP'!L165</f>
        <v>192290.9</v>
      </c>
      <c r="M164" s="13">
        <f>'F-09 EP'!M153+'F-09 MGP'!M165+'F-09 FAP'!M165</f>
        <v>5</v>
      </c>
      <c r="N164" s="13"/>
      <c r="O164" s="13"/>
      <c r="P164" s="13"/>
      <c r="Q164" s="13"/>
      <c r="R164" s="13"/>
      <c r="S164" s="13"/>
      <c r="T164" s="13"/>
      <c r="U164" s="13"/>
      <c r="V164" s="13">
        <f>SUM(M164:U164)</f>
        <v>5</v>
      </c>
      <c r="W164" s="472">
        <f>'F-09 EP'!W153+'F-09 MGP'!W165+'F-09 FAP'!W165</f>
        <v>219242.38880000002</v>
      </c>
    </row>
    <row r="165" spans="1:23">
      <c r="A165" s="705" t="s">
        <v>6991</v>
      </c>
      <c r="B165" s="484">
        <f t="shared" ref="B165:W165" si="39">SUM(B166:B170)</f>
        <v>1</v>
      </c>
      <c r="C165" s="484">
        <f t="shared" si="39"/>
        <v>0</v>
      </c>
      <c r="D165" s="484">
        <f t="shared" si="39"/>
        <v>0</v>
      </c>
      <c r="E165" s="484">
        <f t="shared" si="39"/>
        <v>0</v>
      </c>
      <c r="F165" s="484">
        <f t="shared" si="39"/>
        <v>0</v>
      </c>
      <c r="G165" s="484">
        <f t="shared" si="39"/>
        <v>0</v>
      </c>
      <c r="H165" s="484">
        <f t="shared" si="39"/>
        <v>0</v>
      </c>
      <c r="I165" s="484">
        <f t="shared" si="39"/>
        <v>0</v>
      </c>
      <c r="J165" s="484">
        <f t="shared" si="39"/>
        <v>0</v>
      </c>
      <c r="K165" s="484">
        <f t="shared" si="39"/>
        <v>1</v>
      </c>
      <c r="L165" s="485">
        <f t="shared" si="39"/>
        <v>38458.18</v>
      </c>
      <c r="M165" s="484">
        <f t="shared" si="39"/>
        <v>1</v>
      </c>
      <c r="N165" s="484">
        <f t="shared" si="39"/>
        <v>0</v>
      </c>
      <c r="O165" s="484">
        <f t="shared" si="39"/>
        <v>0</v>
      </c>
      <c r="P165" s="484">
        <f t="shared" si="39"/>
        <v>0</v>
      </c>
      <c r="Q165" s="484">
        <f t="shared" si="39"/>
        <v>0</v>
      </c>
      <c r="R165" s="484">
        <f t="shared" si="39"/>
        <v>0</v>
      </c>
      <c r="S165" s="484">
        <f t="shared" si="39"/>
        <v>0</v>
      </c>
      <c r="T165" s="484">
        <f t="shared" si="39"/>
        <v>0</v>
      </c>
      <c r="U165" s="484">
        <f t="shared" si="39"/>
        <v>0</v>
      </c>
      <c r="V165" s="484">
        <f t="shared" si="39"/>
        <v>1</v>
      </c>
      <c r="W165" s="485">
        <f t="shared" si="39"/>
        <v>43848.477760000002</v>
      </c>
    </row>
    <row r="166" spans="1:23">
      <c r="A166" s="703" t="s">
        <v>6989</v>
      </c>
      <c r="B166" s="13">
        <f>'F-09 EP'!B155+'F-09 MGP'!B167+'F-09 FAP'!B167</f>
        <v>0</v>
      </c>
      <c r="C166" s="13"/>
      <c r="D166" s="13"/>
      <c r="E166" s="13"/>
      <c r="F166" s="13"/>
      <c r="G166" s="13"/>
      <c r="H166" s="13"/>
      <c r="I166" s="13"/>
      <c r="J166" s="13"/>
      <c r="K166" s="13">
        <f>SUM(B166:J166)</f>
        <v>0</v>
      </c>
      <c r="L166" s="472">
        <f>'F-09 EP'!L155+'F-09 MGP'!L167+'F-09 FAP'!L167</f>
        <v>0</v>
      </c>
      <c r="M166" s="13">
        <f>'F-09 EP'!M155+'F-09 MGP'!M167+'F-09 FAP'!M167</f>
        <v>0</v>
      </c>
      <c r="N166" s="13"/>
      <c r="O166" s="13"/>
      <c r="P166" s="13"/>
      <c r="Q166" s="13"/>
      <c r="R166" s="13"/>
      <c r="S166" s="13"/>
      <c r="T166" s="13"/>
      <c r="U166" s="13"/>
      <c r="V166" s="13">
        <f>SUM(M166:U166)</f>
        <v>0</v>
      </c>
      <c r="W166" s="472">
        <f>'F-09 EP'!W155+'F-09 MGP'!W167+'F-09 FAP'!W167</f>
        <v>0</v>
      </c>
    </row>
    <row r="167" spans="1:23">
      <c r="A167" s="703" t="s">
        <v>6988</v>
      </c>
      <c r="B167" s="13">
        <f>'F-09 EP'!B156+'F-09 MGP'!B168+'F-09 FAP'!B168</f>
        <v>0</v>
      </c>
      <c r="C167" s="13"/>
      <c r="D167" s="13"/>
      <c r="E167" s="13"/>
      <c r="F167" s="13"/>
      <c r="G167" s="13"/>
      <c r="H167" s="13"/>
      <c r="I167" s="13"/>
      <c r="J167" s="13"/>
      <c r="K167" s="13">
        <f>SUM(B167:J167)</f>
        <v>0</v>
      </c>
      <c r="L167" s="472">
        <f>'F-09 EP'!L156+'F-09 MGP'!L168+'F-09 FAP'!L168</f>
        <v>0</v>
      </c>
      <c r="M167" s="13">
        <f>'F-09 EP'!M156+'F-09 MGP'!M168+'F-09 FAP'!M168</f>
        <v>0</v>
      </c>
      <c r="N167" s="13"/>
      <c r="O167" s="13"/>
      <c r="P167" s="13"/>
      <c r="Q167" s="13"/>
      <c r="R167" s="13"/>
      <c r="S167" s="13"/>
      <c r="T167" s="13"/>
      <c r="U167" s="13"/>
      <c r="V167" s="13">
        <f>SUM(M167:U167)</f>
        <v>0</v>
      </c>
      <c r="W167" s="472">
        <f>'F-09 EP'!W156+'F-09 MGP'!W168+'F-09 FAP'!W168</f>
        <v>0</v>
      </c>
    </row>
    <row r="168" spans="1:23">
      <c r="A168" s="703" t="s">
        <v>6986</v>
      </c>
      <c r="B168" s="13">
        <f>'F-09 EP'!B157+'F-09 MGP'!B169+'F-09 FAP'!B169</f>
        <v>0</v>
      </c>
      <c r="C168" s="13"/>
      <c r="D168" s="13"/>
      <c r="E168" s="13"/>
      <c r="F168" s="13"/>
      <c r="G168" s="13"/>
      <c r="H168" s="13"/>
      <c r="I168" s="13"/>
      <c r="J168" s="13"/>
      <c r="K168" s="13">
        <f>SUM(B168:J168)</f>
        <v>0</v>
      </c>
      <c r="L168" s="472">
        <f>'F-09 EP'!L157+'F-09 MGP'!L169+'F-09 FAP'!L169</f>
        <v>0</v>
      </c>
      <c r="M168" s="13">
        <f>'F-09 EP'!M157+'F-09 MGP'!M169+'F-09 FAP'!M169</f>
        <v>0</v>
      </c>
      <c r="N168" s="13"/>
      <c r="O168" s="13"/>
      <c r="P168" s="13"/>
      <c r="Q168" s="13"/>
      <c r="R168" s="13"/>
      <c r="S168" s="13"/>
      <c r="T168" s="13"/>
      <c r="U168" s="13"/>
      <c r="V168" s="13">
        <f>SUM(M168:U168)</f>
        <v>0</v>
      </c>
      <c r="W168" s="472">
        <f>'F-09 EP'!W157+'F-09 MGP'!W169+'F-09 FAP'!W169</f>
        <v>0</v>
      </c>
    </row>
    <row r="169" spans="1:23">
      <c r="A169" s="703" t="s">
        <v>6985</v>
      </c>
      <c r="B169" s="13">
        <f>'F-09 EP'!B158+'F-09 MGP'!B170+'F-09 FAP'!B170</f>
        <v>0</v>
      </c>
      <c r="C169" s="13"/>
      <c r="D169" s="13"/>
      <c r="E169" s="13"/>
      <c r="F169" s="13"/>
      <c r="G169" s="13"/>
      <c r="H169" s="13"/>
      <c r="I169" s="13"/>
      <c r="J169" s="13"/>
      <c r="K169" s="13">
        <f>SUM(B169:J169)</f>
        <v>0</v>
      </c>
      <c r="L169" s="472">
        <f>'F-09 EP'!L158+'F-09 MGP'!L170+'F-09 FAP'!L170</f>
        <v>0</v>
      </c>
      <c r="M169" s="13">
        <f>'F-09 EP'!M158+'F-09 MGP'!M170+'F-09 FAP'!M170</f>
        <v>0</v>
      </c>
      <c r="N169" s="13"/>
      <c r="O169" s="13"/>
      <c r="P169" s="13"/>
      <c r="Q169" s="13"/>
      <c r="R169" s="13"/>
      <c r="S169" s="13"/>
      <c r="T169" s="13"/>
      <c r="U169" s="13"/>
      <c r="V169" s="13">
        <f>SUM(M169:U169)</f>
        <v>0</v>
      </c>
      <c r="W169" s="472">
        <f>'F-09 EP'!W158+'F-09 MGP'!W170+'F-09 FAP'!W170</f>
        <v>0</v>
      </c>
    </row>
    <row r="170" spans="1:23">
      <c r="A170" s="703" t="s">
        <v>6984</v>
      </c>
      <c r="B170" s="13">
        <f>'F-09 EP'!B159+'F-09 MGP'!B171+'F-09 FAP'!B171</f>
        <v>1</v>
      </c>
      <c r="C170" s="13"/>
      <c r="D170" s="13"/>
      <c r="E170" s="13"/>
      <c r="F170" s="13"/>
      <c r="G170" s="13"/>
      <c r="H170" s="13"/>
      <c r="I170" s="13"/>
      <c r="J170" s="13"/>
      <c r="K170" s="13">
        <f>SUM(B170:J170)</f>
        <v>1</v>
      </c>
      <c r="L170" s="472">
        <f>'F-09 EP'!L159+'F-09 MGP'!L171+'F-09 FAP'!L171</f>
        <v>38458.18</v>
      </c>
      <c r="M170" s="13">
        <f>'F-09 EP'!M159+'F-09 MGP'!M171+'F-09 FAP'!M171</f>
        <v>1</v>
      </c>
      <c r="N170" s="13"/>
      <c r="O170" s="13"/>
      <c r="P170" s="13"/>
      <c r="Q170" s="13"/>
      <c r="R170" s="13"/>
      <c r="S170" s="13"/>
      <c r="T170" s="13"/>
      <c r="U170" s="13"/>
      <c r="V170" s="13">
        <f>SUM(M170:U170)</f>
        <v>1</v>
      </c>
      <c r="W170" s="472">
        <f>'F-09 EP'!W159+'F-09 MGP'!W171+'F-09 FAP'!W171</f>
        <v>43848.477760000002</v>
      </c>
    </row>
    <row r="171" spans="1:23" ht="24">
      <c r="A171" s="705" t="s">
        <v>6990</v>
      </c>
      <c r="B171" s="484">
        <f t="shared" ref="B171:W171" si="40">SUM(B172:B176)</f>
        <v>1</v>
      </c>
      <c r="C171" s="484">
        <f t="shared" si="40"/>
        <v>0</v>
      </c>
      <c r="D171" s="484">
        <f t="shared" si="40"/>
        <v>0</v>
      </c>
      <c r="E171" s="484">
        <f t="shared" si="40"/>
        <v>0</v>
      </c>
      <c r="F171" s="484">
        <f t="shared" si="40"/>
        <v>0</v>
      </c>
      <c r="G171" s="484">
        <f t="shared" si="40"/>
        <v>0</v>
      </c>
      <c r="H171" s="484">
        <f t="shared" si="40"/>
        <v>0</v>
      </c>
      <c r="I171" s="484">
        <f t="shared" si="40"/>
        <v>0</v>
      </c>
      <c r="J171" s="484">
        <f t="shared" si="40"/>
        <v>0</v>
      </c>
      <c r="K171" s="484">
        <f t="shared" si="40"/>
        <v>1</v>
      </c>
      <c r="L171" s="485">
        <f t="shared" si="40"/>
        <v>43869.741999999998</v>
      </c>
      <c r="M171" s="484">
        <f t="shared" si="40"/>
        <v>1</v>
      </c>
      <c r="N171" s="484">
        <f t="shared" si="40"/>
        <v>0</v>
      </c>
      <c r="O171" s="484">
        <f t="shared" si="40"/>
        <v>0</v>
      </c>
      <c r="P171" s="484">
        <f t="shared" si="40"/>
        <v>0</v>
      </c>
      <c r="Q171" s="484">
        <f t="shared" si="40"/>
        <v>0</v>
      </c>
      <c r="R171" s="484">
        <f t="shared" si="40"/>
        <v>0</v>
      </c>
      <c r="S171" s="484">
        <f t="shared" si="40"/>
        <v>0</v>
      </c>
      <c r="T171" s="484">
        <f t="shared" si="40"/>
        <v>0</v>
      </c>
      <c r="U171" s="484">
        <f t="shared" si="40"/>
        <v>0</v>
      </c>
      <c r="V171" s="484">
        <f t="shared" si="40"/>
        <v>1</v>
      </c>
      <c r="W171" s="485">
        <f t="shared" si="40"/>
        <v>49895.916400000002</v>
      </c>
    </row>
    <row r="172" spans="1:23">
      <c r="A172" s="703" t="s">
        <v>6989</v>
      </c>
      <c r="B172" s="13">
        <f>'F-09 EP'!B161+'F-09 MGP'!B173+'F-09 FAP'!B173</f>
        <v>0</v>
      </c>
      <c r="C172" s="13"/>
      <c r="D172" s="13"/>
      <c r="E172" s="13"/>
      <c r="F172" s="13"/>
      <c r="G172" s="13"/>
      <c r="H172" s="13"/>
      <c r="I172" s="13"/>
      <c r="J172" s="13"/>
      <c r="K172" s="13">
        <f>SUM(B172:J172)</f>
        <v>0</v>
      </c>
      <c r="L172" s="472">
        <f>'F-09 EP'!L161+'F-09 MGP'!L173+'F-09 FAP'!L173</f>
        <v>0</v>
      </c>
      <c r="M172" s="13">
        <f>'F-09 EP'!M161+'F-09 MGP'!M173+'F-09 FAP'!M173</f>
        <v>0</v>
      </c>
      <c r="N172" s="13"/>
      <c r="O172" s="13"/>
      <c r="P172" s="13"/>
      <c r="Q172" s="13"/>
      <c r="R172" s="13"/>
      <c r="S172" s="13"/>
      <c r="T172" s="13"/>
      <c r="U172" s="13"/>
      <c r="V172" s="13">
        <f>SUM(M172:U172)</f>
        <v>0</v>
      </c>
      <c r="W172" s="472">
        <f>'F-09 EP'!W161+'F-09 MGP'!W173+'F-09 FAP'!W173</f>
        <v>0</v>
      </c>
    </row>
    <row r="173" spans="1:23">
      <c r="A173" s="703" t="s">
        <v>6988</v>
      </c>
      <c r="B173" s="13">
        <f>'F-09 EP'!B162+'F-09 MGP'!B174+'F-09 FAP'!B174</f>
        <v>0</v>
      </c>
      <c r="C173" s="13"/>
      <c r="D173" s="13"/>
      <c r="E173" s="13"/>
      <c r="F173" s="13"/>
      <c r="G173" s="13"/>
      <c r="H173" s="13"/>
      <c r="I173" s="13"/>
      <c r="J173" s="13"/>
      <c r="K173" s="13">
        <f>SUM(B173:J173)</f>
        <v>0</v>
      </c>
      <c r="L173" s="472">
        <f>'F-09 EP'!L162+'F-09 MGP'!L174+'F-09 FAP'!L174</f>
        <v>0</v>
      </c>
      <c r="M173" s="13">
        <f>'F-09 EP'!M162+'F-09 MGP'!M174+'F-09 FAP'!M174</f>
        <v>0</v>
      </c>
      <c r="N173" s="13"/>
      <c r="O173" s="13"/>
      <c r="P173" s="13"/>
      <c r="Q173" s="13"/>
      <c r="R173" s="13"/>
      <c r="S173" s="13"/>
      <c r="T173" s="13"/>
      <c r="U173" s="13"/>
      <c r="V173" s="13">
        <f>SUM(M173:U173)</f>
        <v>0</v>
      </c>
      <c r="W173" s="472">
        <f>'F-09 EP'!W162+'F-09 MGP'!W174+'F-09 FAP'!W174</f>
        <v>0</v>
      </c>
    </row>
    <row r="174" spans="1:23">
      <c r="A174" s="703" t="s">
        <v>6986</v>
      </c>
      <c r="B174" s="13">
        <f>'F-09 EP'!B163+'F-09 MGP'!B175+'F-09 FAP'!B175</f>
        <v>0</v>
      </c>
      <c r="C174" s="13"/>
      <c r="D174" s="13"/>
      <c r="E174" s="13"/>
      <c r="F174" s="13"/>
      <c r="G174" s="13"/>
      <c r="H174" s="13"/>
      <c r="I174" s="13"/>
      <c r="J174" s="13"/>
      <c r="K174" s="13">
        <f>SUM(B174:J174)</f>
        <v>0</v>
      </c>
      <c r="L174" s="472">
        <f>'F-09 EP'!L163+'F-09 MGP'!L175+'F-09 FAP'!L175</f>
        <v>0</v>
      </c>
      <c r="M174" s="13">
        <f>'F-09 EP'!M163+'F-09 MGP'!M175+'F-09 FAP'!M175</f>
        <v>0</v>
      </c>
      <c r="N174" s="13"/>
      <c r="O174" s="13"/>
      <c r="P174" s="13"/>
      <c r="Q174" s="13"/>
      <c r="R174" s="13"/>
      <c r="S174" s="13"/>
      <c r="T174" s="13"/>
      <c r="U174" s="13"/>
      <c r="V174" s="13">
        <f>SUM(M174:U174)</f>
        <v>0</v>
      </c>
      <c r="W174" s="472">
        <f>'F-09 EP'!W163+'F-09 MGP'!W175+'F-09 FAP'!W175</f>
        <v>0</v>
      </c>
    </row>
    <row r="175" spans="1:23">
      <c r="A175" s="703" t="s">
        <v>6985</v>
      </c>
      <c r="B175" s="13">
        <f>'F-09 EP'!B164+'F-09 MGP'!B176+'F-09 FAP'!B176</f>
        <v>1</v>
      </c>
      <c r="C175" s="13"/>
      <c r="D175" s="13"/>
      <c r="E175" s="13"/>
      <c r="F175" s="13"/>
      <c r="G175" s="13"/>
      <c r="H175" s="13"/>
      <c r="I175" s="13"/>
      <c r="J175" s="13"/>
      <c r="K175" s="13">
        <f>SUM(B175:J175)</f>
        <v>1</v>
      </c>
      <c r="L175" s="472">
        <f>'F-09 EP'!L164+'F-09 MGP'!L176+'F-09 FAP'!L176</f>
        <v>43869.741999999998</v>
      </c>
      <c r="M175" s="13">
        <f>'F-09 EP'!M164+'F-09 MGP'!M176+'F-09 FAP'!M176</f>
        <v>1</v>
      </c>
      <c r="N175" s="13"/>
      <c r="O175" s="13"/>
      <c r="P175" s="13"/>
      <c r="Q175" s="13"/>
      <c r="R175" s="13"/>
      <c r="S175" s="13"/>
      <c r="T175" s="13"/>
      <c r="U175" s="13"/>
      <c r="V175" s="13">
        <f>SUM(M175:U175)</f>
        <v>1</v>
      </c>
      <c r="W175" s="472">
        <f>'F-09 EP'!W164+'F-09 MGP'!W176+'F-09 FAP'!W176</f>
        <v>49895.916400000002</v>
      </c>
    </row>
    <row r="176" spans="1:23">
      <c r="A176" s="703" t="s">
        <v>6984</v>
      </c>
      <c r="B176" s="13">
        <f>'F-09 EP'!B165+'F-09 MGP'!B177+'F-09 FAP'!B177</f>
        <v>0</v>
      </c>
      <c r="C176" s="13"/>
      <c r="D176" s="13"/>
      <c r="E176" s="13"/>
      <c r="F176" s="13"/>
      <c r="G176" s="13"/>
      <c r="H176" s="13"/>
      <c r="I176" s="13"/>
      <c r="J176" s="13"/>
      <c r="K176" s="13">
        <f>SUM(B176:J176)</f>
        <v>0</v>
      </c>
      <c r="L176" s="472">
        <f>'F-09 EP'!L165+'F-09 MGP'!L177+'F-09 FAP'!L177</f>
        <v>0</v>
      </c>
      <c r="M176" s="13">
        <f>'F-09 EP'!M165+'F-09 MGP'!M177+'F-09 FAP'!M177</f>
        <v>0</v>
      </c>
      <c r="N176" s="13"/>
      <c r="O176" s="13"/>
      <c r="P176" s="13"/>
      <c r="Q176" s="13"/>
      <c r="R176" s="13"/>
      <c r="S176" s="13"/>
      <c r="T176" s="13"/>
      <c r="U176" s="13"/>
      <c r="V176" s="13">
        <f>SUM(M176:U176)</f>
        <v>0</v>
      </c>
      <c r="W176" s="472">
        <f>'F-09 EP'!W165+'F-09 MGP'!W177+'F-09 FAP'!W177</f>
        <v>0</v>
      </c>
    </row>
    <row r="177" spans="1:23" ht="36">
      <c r="A177" s="705" t="s">
        <v>6987</v>
      </c>
      <c r="B177" s="484">
        <f t="shared" ref="B177:W177" si="41">SUM(B178:B183)</f>
        <v>8</v>
      </c>
      <c r="C177" s="484">
        <f t="shared" si="41"/>
        <v>0</v>
      </c>
      <c r="D177" s="484">
        <f t="shared" si="41"/>
        <v>0</v>
      </c>
      <c r="E177" s="484">
        <f t="shared" si="41"/>
        <v>0</v>
      </c>
      <c r="F177" s="484">
        <f t="shared" si="41"/>
        <v>0</v>
      </c>
      <c r="G177" s="484">
        <f t="shared" si="41"/>
        <v>0</v>
      </c>
      <c r="H177" s="484">
        <f t="shared" si="41"/>
        <v>0</v>
      </c>
      <c r="I177" s="484">
        <f t="shared" si="41"/>
        <v>0</v>
      </c>
      <c r="J177" s="484">
        <f t="shared" si="41"/>
        <v>0</v>
      </c>
      <c r="K177" s="484">
        <f t="shared" si="41"/>
        <v>8</v>
      </c>
      <c r="L177" s="485">
        <f t="shared" si="41"/>
        <v>240669.64640000003</v>
      </c>
      <c r="M177" s="484">
        <f t="shared" si="41"/>
        <v>8</v>
      </c>
      <c r="N177" s="484">
        <f t="shared" si="41"/>
        <v>0</v>
      </c>
      <c r="O177" s="484">
        <f t="shared" si="41"/>
        <v>0</v>
      </c>
      <c r="P177" s="484">
        <f t="shared" si="41"/>
        <v>0</v>
      </c>
      <c r="Q177" s="484">
        <f t="shared" si="41"/>
        <v>0</v>
      </c>
      <c r="R177" s="484">
        <f t="shared" si="41"/>
        <v>0</v>
      </c>
      <c r="S177" s="484">
        <f t="shared" si="41"/>
        <v>0</v>
      </c>
      <c r="T177" s="484">
        <f t="shared" si="41"/>
        <v>0</v>
      </c>
      <c r="U177" s="484">
        <f t="shared" si="41"/>
        <v>0</v>
      </c>
      <c r="V177" s="484">
        <f t="shared" si="41"/>
        <v>8</v>
      </c>
      <c r="W177" s="485">
        <f t="shared" si="41"/>
        <v>256525.22048000002</v>
      </c>
    </row>
    <row r="178" spans="1:23">
      <c r="A178" s="703" t="s">
        <v>6986</v>
      </c>
      <c r="B178" s="13">
        <f>'F-09 EP'!B167+'F-09 MGP'!B179+'F-09 FAP'!B179</f>
        <v>0</v>
      </c>
      <c r="C178" s="13"/>
      <c r="D178" s="13"/>
      <c r="E178" s="13"/>
      <c r="F178" s="13"/>
      <c r="G178" s="13"/>
      <c r="H178" s="13"/>
      <c r="I178" s="13"/>
      <c r="J178" s="13"/>
      <c r="K178" s="13">
        <f t="shared" ref="K178:K183" si="42">SUM(B178:J178)</f>
        <v>0</v>
      </c>
      <c r="L178" s="472">
        <f>'F-09 EP'!L167+'F-09 MGP'!L179+'F-09 FAP'!L179</f>
        <v>0</v>
      </c>
      <c r="M178" s="13">
        <f>'F-09 EP'!M167+'F-09 MGP'!M179+'F-09 FAP'!M179</f>
        <v>0</v>
      </c>
      <c r="N178" s="13"/>
      <c r="O178" s="13"/>
      <c r="P178" s="13"/>
      <c r="Q178" s="13"/>
      <c r="R178" s="13"/>
      <c r="S178" s="13"/>
      <c r="T178" s="13"/>
      <c r="U178" s="13"/>
      <c r="V178" s="13">
        <f t="shared" ref="V178:V183" si="43">SUM(M178:U178)</f>
        <v>0</v>
      </c>
      <c r="W178" s="472">
        <f>'F-09 EP'!W167+'F-09 MGP'!W179+'F-09 FAP'!W179</f>
        <v>0</v>
      </c>
    </row>
    <row r="179" spans="1:23">
      <c r="A179" s="703" t="s">
        <v>6985</v>
      </c>
      <c r="B179" s="13">
        <f>'F-09 EP'!B168+'F-09 MGP'!B180+'F-09 FAP'!B180</f>
        <v>1</v>
      </c>
      <c r="C179" s="13"/>
      <c r="D179" s="13"/>
      <c r="E179" s="13"/>
      <c r="F179" s="13"/>
      <c r="G179" s="13"/>
      <c r="H179" s="13"/>
      <c r="I179" s="13"/>
      <c r="J179" s="13"/>
      <c r="K179" s="13">
        <f t="shared" si="42"/>
        <v>1</v>
      </c>
      <c r="L179" s="472">
        <f>'F-09 EP'!L168+'F-09 MGP'!L180+'F-09 FAP'!L180</f>
        <v>31816.032400000004</v>
      </c>
      <c r="M179" s="13">
        <f>'F-09 EP'!M168+'F-09 MGP'!M180+'F-09 FAP'!M180</f>
        <v>1</v>
      </c>
      <c r="N179" s="13"/>
      <c r="O179" s="13"/>
      <c r="P179" s="13"/>
      <c r="Q179" s="13"/>
      <c r="R179" s="13"/>
      <c r="S179" s="13"/>
      <c r="T179" s="13"/>
      <c r="U179" s="13"/>
      <c r="V179" s="13">
        <f t="shared" si="43"/>
        <v>1</v>
      </c>
      <c r="W179" s="472">
        <f>'F-09 EP'!W168+'F-09 MGP'!W180+'F-09 FAP'!W180</f>
        <v>38100.384760000001</v>
      </c>
    </row>
    <row r="180" spans="1:23">
      <c r="A180" s="703" t="s">
        <v>6984</v>
      </c>
      <c r="B180" s="13">
        <f>'F-09 EP'!B169+'F-09 MGP'!B181+'F-09 FAP'!B181</f>
        <v>2</v>
      </c>
      <c r="C180" s="13"/>
      <c r="D180" s="13"/>
      <c r="E180" s="13"/>
      <c r="F180" s="13"/>
      <c r="G180" s="13"/>
      <c r="H180" s="13"/>
      <c r="I180" s="13"/>
      <c r="J180" s="13"/>
      <c r="K180" s="13">
        <f t="shared" si="42"/>
        <v>2</v>
      </c>
      <c r="L180" s="472">
        <f>'F-09 EP'!L169+'F-09 MGP'!L181+'F-09 FAP'!L181</f>
        <v>59776.205600000008</v>
      </c>
      <c r="M180" s="13">
        <f>'F-09 EP'!M169+'F-09 MGP'!M181+'F-09 FAP'!M181</f>
        <v>2</v>
      </c>
      <c r="N180" s="13"/>
      <c r="O180" s="13"/>
      <c r="P180" s="13"/>
      <c r="Q180" s="13"/>
      <c r="R180" s="13"/>
      <c r="S180" s="13"/>
      <c r="T180" s="13"/>
      <c r="U180" s="13"/>
      <c r="V180" s="13">
        <f t="shared" si="43"/>
        <v>2</v>
      </c>
      <c r="W180" s="472">
        <f>'F-09 EP'!W169+'F-09 MGP'!W181+'F-09 FAP'!W181</f>
        <v>63053.097800000003</v>
      </c>
    </row>
    <row r="181" spans="1:23">
      <c r="A181" s="703" t="s">
        <v>6983</v>
      </c>
      <c r="B181" s="13">
        <f>'F-09 EP'!B170+'F-09 MGP'!B182+'F-09 FAP'!B182</f>
        <v>3</v>
      </c>
      <c r="C181" s="13"/>
      <c r="D181" s="13"/>
      <c r="E181" s="13"/>
      <c r="F181" s="13"/>
      <c r="G181" s="13"/>
      <c r="H181" s="13"/>
      <c r="I181" s="13"/>
      <c r="J181" s="13"/>
      <c r="K181" s="13">
        <f t="shared" si="42"/>
        <v>3</v>
      </c>
      <c r="L181" s="472">
        <f>'F-09 EP'!L170+'F-09 MGP'!L182+'F-09 FAP'!L182</f>
        <v>89384.462400000004</v>
      </c>
      <c r="M181" s="13">
        <f>'F-09 EP'!M170+'F-09 MGP'!M182+'F-09 FAP'!M182</f>
        <v>3</v>
      </c>
      <c r="N181" s="13"/>
      <c r="O181" s="13"/>
      <c r="P181" s="13"/>
      <c r="Q181" s="13"/>
      <c r="R181" s="13"/>
      <c r="S181" s="13"/>
      <c r="T181" s="13"/>
      <c r="U181" s="13"/>
      <c r="V181" s="13">
        <f t="shared" si="43"/>
        <v>3</v>
      </c>
      <c r="W181" s="472">
        <f>'F-09 EP'!W170+'F-09 MGP'!W182+'F-09 FAP'!W182</f>
        <v>94299.096359999996</v>
      </c>
    </row>
    <row r="182" spans="1:23">
      <c r="A182" s="703" t="s">
        <v>6982</v>
      </c>
      <c r="B182" s="13">
        <f>'F-09 EP'!B171+'F-09 MGP'!B183+'F-09 FAP'!B183</f>
        <v>0</v>
      </c>
      <c r="C182" s="13"/>
      <c r="D182" s="13"/>
      <c r="E182" s="13"/>
      <c r="F182" s="13"/>
      <c r="G182" s="13"/>
      <c r="H182" s="13"/>
      <c r="I182" s="13"/>
      <c r="J182" s="13"/>
      <c r="K182" s="13">
        <f t="shared" si="42"/>
        <v>0</v>
      </c>
      <c r="L182" s="472">
        <f>'F-09 EP'!L171+'F-09 MGP'!L183+'F-09 FAP'!L183</f>
        <v>0</v>
      </c>
      <c r="M182" s="13">
        <f>'F-09 EP'!M171+'F-09 MGP'!M183+'F-09 FAP'!M183</f>
        <v>0</v>
      </c>
      <c r="N182" s="13"/>
      <c r="O182" s="13"/>
      <c r="P182" s="13"/>
      <c r="Q182" s="13"/>
      <c r="R182" s="13"/>
      <c r="S182" s="13"/>
      <c r="T182" s="13"/>
      <c r="U182" s="13"/>
      <c r="V182" s="13">
        <f t="shared" si="43"/>
        <v>0</v>
      </c>
      <c r="W182" s="472">
        <f>'F-09 EP'!W171+'F-09 MGP'!W183+'F-09 FAP'!W183</f>
        <v>0</v>
      </c>
    </row>
    <row r="183" spans="1:23">
      <c r="A183" s="703" t="s">
        <v>6981</v>
      </c>
      <c r="B183" s="13">
        <f>'F-09 EP'!B172+'F-09 MGP'!B184+'F-09 FAP'!B184</f>
        <v>2</v>
      </c>
      <c r="C183" s="13"/>
      <c r="D183" s="13"/>
      <c r="E183" s="13"/>
      <c r="F183" s="13"/>
      <c r="G183" s="13"/>
      <c r="H183" s="13"/>
      <c r="I183" s="13"/>
      <c r="J183" s="13"/>
      <c r="K183" s="13">
        <f t="shared" si="42"/>
        <v>2</v>
      </c>
      <c r="L183" s="472">
        <f>'F-09 EP'!L172+'F-09 MGP'!L184+'F-09 FAP'!L184</f>
        <v>59692.945999999996</v>
      </c>
      <c r="M183" s="13">
        <f>'F-09 EP'!M172+'F-09 MGP'!M184+'F-09 FAP'!M184</f>
        <v>2</v>
      </c>
      <c r="N183" s="13"/>
      <c r="O183" s="13"/>
      <c r="P183" s="13"/>
      <c r="Q183" s="13"/>
      <c r="R183" s="13"/>
      <c r="S183" s="13"/>
      <c r="T183" s="13"/>
      <c r="U183" s="13"/>
      <c r="V183" s="13">
        <f t="shared" si="43"/>
        <v>2</v>
      </c>
      <c r="W183" s="472">
        <f>'F-09 EP'!W172+'F-09 MGP'!W184+'F-09 FAP'!W184</f>
        <v>61072.641560000004</v>
      </c>
    </row>
    <row r="184" spans="1:23">
      <c r="A184" s="705" t="s">
        <v>58</v>
      </c>
      <c r="B184" s="484">
        <f t="shared" ref="B184:W184" si="44">SUM(B185:B186)</f>
        <v>149</v>
      </c>
      <c r="C184" s="484">
        <f t="shared" si="44"/>
        <v>0</v>
      </c>
      <c r="D184" s="484">
        <f t="shared" si="44"/>
        <v>0</v>
      </c>
      <c r="E184" s="484">
        <f t="shared" si="44"/>
        <v>0</v>
      </c>
      <c r="F184" s="484">
        <f t="shared" si="44"/>
        <v>0</v>
      </c>
      <c r="G184" s="484">
        <f t="shared" si="44"/>
        <v>0</v>
      </c>
      <c r="H184" s="484">
        <f t="shared" si="44"/>
        <v>0</v>
      </c>
      <c r="I184" s="484">
        <f t="shared" si="44"/>
        <v>0</v>
      </c>
      <c r="J184" s="484">
        <f t="shared" si="44"/>
        <v>0</v>
      </c>
      <c r="K184" s="484">
        <f t="shared" si="44"/>
        <v>149</v>
      </c>
      <c r="L184" s="485">
        <f t="shared" si="44"/>
        <v>10251096.98430128</v>
      </c>
      <c r="M184" s="484">
        <f t="shared" si="44"/>
        <v>181</v>
      </c>
      <c r="N184" s="484">
        <f t="shared" si="44"/>
        <v>0</v>
      </c>
      <c r="O184" s="484">
        <f t="shared" si="44"/>
        <v>0</v>
      </c>
      <c r="P184" s="484">
        <f t="shared" si="44"/>
        <v>0</v>
      </c>
      <c r="Q184" s="484">
        <f t="shared" si="44"/>
        <v>0</v>
      </c>
      <c r="R184" s="484">
        <f t="shared" si="44"/>
        <v>0</v>
      </c>
      <c r="S184" s="484">
        <f t="shared" si="44"/>
        <v>0</v>
      </c>
      <c r="T184" s="484">
        <f t="shared" si="44"/>
        <v>0</v>
      </c>
      <c r="U184" s="484">
        <f t="shared" si="44"/>
        <v>0</v>
      </c>
      <c r="V184" s="484">
        <f t="shared" si="44"/>
        <v>181</v>
      </c>
      <c r="W184" s="485">
        <f t="shared" si="44"/>
        <v>11666455.72086128</v>
      </c>
    </row>
    <row r="185" spans="1:23">
      <c r="A185" s="703" t="s">
        <v>6980</v>
      </c>
      <c r="B185" s="13">
        <f>'F-09 EP'!B174+'F-09 MGP'!B186+'F-09 FAP'!B186</f>
        <v>117</v>
      </c>
      <c r="C185" s="13"/>
      <c r="D185" s="13"/>
      <c r="E185" s="13"/>
      <c r="F185" s="13"/>
      <c r="G185" s="13"/>
      <c r="H185" s="13"/>
      <c r="I185" s="13"/>
      <c r="J185" s="13"/>
      <c r="K185" s="13">
        <f>SUM(B185:J185)</f>
        <v>117</v>
      </c>
      <c r="L185" s="472">
        <f>'F-09 EP'!L174+'F-09 MGP'!L186+'F-09 FAP'!L186</f>
        <v>8818146.2141745109</v>
      </c>
      <c r="M185" s="13">
        <f>'F-09 EP'!M174+'F-09 MGP'!M186+'F-09 FAP'!M186</f>
        <v>144</v>
      </c>
      <c r="N185" s="13"/>
      <c r="O185" s="13"/>
      <c r="P185" s="13"/>
      <c r="Q185" s="13"/>
      <c r="R185" s="13"/>
      <c r="S185" s="13"/>
      <c r="T185" s="13"/>
      <c r="U185" s="13"/>
      <c r="V185" s="13">
        <f>SUM(M185:U185)</f>
        <v>144</v>
      </c>
      <c r="W185" s="472">
        <f>'F-09 EP'!W174+'F-09 MGP'!W186+'F-09 FAP'!W186</f>
        <v>9978595.3178545106</v>
      </c>
    </row>
    <row r="186" spans="1:23">
      <c r="A186" s="703" t="s">
        <v>6979</v>
      </c>
      <c r="B186" s="13">
        <f>'F-09 EP'!B175+'F-09 MGP'!B187+'F-09 FAP'!B187</f>
        <v>32</v>
      </c>
      <c r="C186" s="13"/>
      <c r="D186" s="13"/>
      <c r="E186" s="13"/>
      <c r="F186" s="13"/>
      <c r="G186" s="13"/>
      <c r="H186" s="13"/>
      <c r="I186" s="13"/>
      <c r="J186" s="13"/>
      <c r="K186" s="13">
        <f>SUM(B186:J186)</f>
        <v>32</v>
      </c>
      <c r="L186" s="472">
        <f>'F-09 EP'!L175+'F-09 MGP'!L187+'F-09 FAP'!L187</f>
        <v>1432950.77012677</v>
      </c>
      <c r="M186" s="13">
        <f>'F-09 EP'!M175+'F-09 MGP'!M187+'F-09 FAP'!M187</f>
        <v>37</v>
      </c>
      <c r="N186" s="13"/>
      <c r="O186" s="13"/>
      <c r="P186" s="13"/>
      <c r="Q186" s="13"/>
      <c r="R186" s="13"/>
      <c r="S186" s="13"/>
      <c r="T186" s="13"/>
      <c r="U186" s="13"/>
      <c r="V186" s="13">
        <f>SUM(M186:U186)</f>
        <v>37</v>
      </c>
      <c r="W186" s="472">
        <f>'F-09 EP'!W175+'F-09 MGP'!W187+'F-09 FAP'!W187</f>
        <v>1687860.4030067702</v>
      </c>
    </row>
    <row r="187" spans="1:23">
      <c r="A187" s="705" t="s">
        <v>6912</v>
      </c>
      <c r="B187" s="484">
        <f t="shared" ref="B187:W187" si="45">SUM(B188:B189)</f>
        <v>0</v>
      </c>
      <c r="C187" s="484">
        <f t="shared" si="45"/>
        <v>0</v>
      </c>
      <c r="D187" s="484">
        <f t="shared" si="45"/>
        <v>0</v>
      </c>
      <c r="E187" s="484">
        <f t="shared" si="45"/>
        <v>0</v>
      </c>
      <c r="F187" s="484">
        <f t="shared" si="45"/>
        <v>0</v>
      </c>
      <c r="G187" s="484">
        <f t="shared" si="45"/>
        <v>0</v>
      </c>
      <c r="H187" s="484">
        <f t="shared" si="45"/>
        <v>0</v>
      </c>
      <c r="I187" s="484">
        <f t="shared" si="45"/>
        <v>0</v>
      </c>
      <c r="J187" s="484">
        <f t="shared" si="45"/>
        <v>0</v>
      </c>
      <c r="K187" s="484">
        <f t="shared" si="45"/>
        <v>0</v>
      </c>
      <c r="L187" s="485">
        <f t="shared" si="45"/>
        <v>0</v>
      </c>
      <c r="M187" s="484">
        <f t="shared" si="45"/>
        <v>0</v>
      </c>
      <c r="N187" s="484">
        <f t="shared" si="45"/>
        <v>0</v>
      </c>
      <c r="O187" s="484">
        <f t="shared" si="45"/>
        <v>0</v>
      </c>
      <c r="P187" s="484">
        <f t="shared" si="45"/>
        <v>0</v>
      </c>
      <c r="Q187" s="484">
        <f t="shared" si="45"/>
        <v>0</v>
      </c>
      <c r="R187" s="484">
        <f t="shared" si="45"/>
        <v>0</v>
      </c>
      <c r="S187" s="484">
        <f t="shared" si="45"/>
        <v>0</v>
      </c>
      <c r="T187" s="484">
        <f t="shared" si="45"/>
        <v>0</v>
      </c>
      <c r="U187" s="484">
        <f t="shared" si="45"/>
        <v>0</v>
      </c>
      <c r="V187" s="484">
        <f t="shared" si="45"/>
        <v>0</v>
      </c>
      <c r="W187" s="485">
        <f t="shared" si="45"/>
        <v>0</v>
      </c>
    </row>
    <row r="188" spans="1:23">
      <c r="A188" s="703" t="s">
        <v>6911</v>
      </c>
      <c r="B188" s="13"/>
      <c r="C188" s="13"/>
      <c r="D188" s="13"/>
      <c r="E188" s="13"/>
      <c r="F188" s="13"/>
      <c r="G188" s="13"/>
      <c r="H188" s="13"/>
      <c r="I188" s="13"/>
      <c r="J188" s="13"/>
      <c r="K188" s="13">
        <f>SUM(B188:J188)</f>
        <v>0</v>
      </c>
      <c r="L188" s="472"/>
      <c r="M188" s="13"/>
      <c r="N188" s="13"/>
      <c r="O188" s="13"/>
      <c r="P188" s="13"/>
      <c r="Q188" s="13"/>
      <c r="R188" s="13"/>
      <c r="S188" s="13"/>
      <c r="T188" s="13"/>
      <c r="U188" s="13"/>
      <c r="V188" s="13">
        <f>SUM(M188:U188)</f>
        <v>0</v>
      </c>
      <c r="W188" s="472"/>
    </row>
    <row r="189" spans="1:23">
      <c r="A189" s="703" t="s">
        <v>6910</v>
      </c>
      <c r="B189" s="13"/>
      <c r="C189" s="13"/>
      <c r="D189" s="13"/>
      <c r="E189" s="13"/>
      <c r="F189" s="13"/>
      <c r="G189" s="13"/>
      <c r="H189" s="13"/>
      <c r="I189" s="13"/>
      <c r="J189" s="13"/>
      <c r="K189" s="13">
        <f>SUM(B189:J189)</f>
        <v>0</v>
      </c>
      <c r="L189" s="472"/>
      <c r="M189" s="13"/>
      <c r="N189" s="13"/>
      <c r="O189" s="13"/>
      <c r="P189" s="13"/>
      <c r="Q189" s="13"/>
      <c r="R189" s="13"/>
      <c r="S189" s="13"/>
      <c r="T189" s="13"/>
      <c r="U189" s="13"/>
      <c r="V189" s="13">
        <f>SUM(M189:U189)</f>
        <v>0</v>
      </c>
      <c r="W189" s="472"/>
    </row>
    <row r="190" spans="1:23" ht="24">
      <c r="A190" s="705" t="s">
        <v>50</v>
      </c>
      <c r="B190" s="484">
        <f t="shared" ref="B190:W190" si="46">B191+B198+B205</f>
        <v>2336</v>
      </c>
      <c r="C190" s="484">
        <f t="shared" si="46"/>
        <v>0</v>
      </c>
      <c r="D190" s="484">
        <f t="shared" si="46"/>
        <v>0</v>
      </c>
      <c r="E190" s="484">
        <f t="shared" si="46"/>
        <v>0</v>
      </c>
      <c r="F190" s="484">
        <f t="shared" si="46"/>
        <v>0</v>
      </c>
      <c r="G190" s="484">
        <f t="shared" si="46"/>
        <v>0</v>
      </c>
      <c r="H190" s="484">
        <f t="shared" si="46"/>
        <v>0</v>
      </c>
      <c r="I190" s="484">
        <f t="shared" si="46"/>
        <v>0</v>
      </c>
      <c r="J190" s="484">
        <f t="shared" si="46"/>
        <v>0</v>
      </c>
      <c r="K190" s="484">
        <f t="shared" si="46"/>
        <v>2336</v>
      </c>
      <c r="L190" s="485">
        <f t="shared" si="46"/>
        <v>77608934.193742007</v>
      </c>
      <c r="M190" s="484">
        <f t="shared" si="46"/>
        <v>2350</v>
      </c>
      <c r="N190" s="484">
        <f t="shared" si="46"/>
        <v>0</v>
      </c>
      <c r="O190" s="484">
        <f t="shared" si="46"/>
        <v>0</v>
      </c>
      <c r="P190" s="484">
        <f t="shared" si="46"/>
        <v>0</v>
      </c>
      <c r="Q190" s="484">
        <f t="shared" si="46"/>
        <v>0</v>
      </c>
      <c r="R190" s="484">
        <f t="shared" si="46"/>
        <v>0</v>
      </c>
      <c r="S190" s="484">
        <f t="shared" si="46"/>
        <v>0</v>
      </c>
      <c r="T190" s="484">
        <f t="shared" si="46"/>
        <v>0</v>
      </c>
      <c r="U190" s="484">
        <f t="shared" si="46"/>
        <v>0</v>
      </c>
      <c r="V190" s="484">
        <f t="shared" si="46"/>
        <v>2350</v>
      </c>
      <c r="W190" s="485">
        <f t="shared" si="46"/>
        <v>73153738.245291144</v>
      </c>
    </row>
    <row r="191" spans="1:23">
      <c r="A191" s="705" t="s">
        <v>4</v>
      </c>
      <c r="B191" s="484">
        <f t="shared" ref="B191:W191" si="47">SUM(B192:B197)</f>
        <v>56</v>
      </c>
      <c r="C191" s="484">
        <f t="shared" si="47"/>
        <v>0</v>
      </c>
      <c r="D191" s="484">
        <f t="shared" si="47"/>
        <v>0</v>
      </c>
      <c r="E191" s="484">
        <f t="shared" si="47"/>
        <v>0</v>
      </c>
      <c r="F191" s="484">
        <f t="shared" si="47"/>
        <v>0</v>
      </c>
      <c r="G191" s="484">
        <f t="shared" si="47"/>
        <v>0</v>
      </c>
      <c r="H191" s="484">
        <f t="shared" si="47"/>
        <v>0</v>
      </c>
      <c r="I191" s="484">
        <f t="shared" si="47"/>
        <v>0</v>
      </c>
      <c r="J191" s="484">
        <f t="shared" si="47"/>
        <v>0</v>
      </c>
      <c r="K191" s="484">
        <f t="shared" si="47"/>
        <v>56</v>
      </c>
      <c r="L191" s="485">
        <f t="shared" si="47"/>
        <v>1992909.558783547</v>
      </c>
      <c r="M191" s="484">
        <f t="shared" si="47"/>
        <v>58</v>
      </c>
      <c r="N191" s="484">
        <f t="shared" si="47"/>
        <v>0</v>
      </c>
      <c r="O191" s="484">
        <f t="shared" si="47"/>
        <v>0</v>
      </c>
      <c r="P191" s="484">
        <f t="shared" si="47"/>
        <v>0</v>
      </c>
      <c r="Q191" s="484">
        <f t="shared" si="47"/>
        <v>0</v>
      </c>
      <c r="R191" s="484">
        <f t="shared" si="47"/>
        <v>0</v>
      </c>
      <c r="S191" s="484">
        <f t="shared" si="47"/>
        <v>0</v>
      </c>
      <c r="T191" s="484">
        <f t="shared" si="47"/>
        <v>0</v>
      </c>
      <c r="U191" s="484">
        <f t="shared" si="47"/>
        <v>0</v>
      </c>
      <c r="V191" s="484">
        <f t="shared" si="47"/>
        <v>58</v>
      </c>
      <c r="W191" s="485">
        <f t="shared" si="47"/>
        <v>1864247.7948835469</v>
      </c>
    </row>
    <row r="192" spans="1:23">
      <c r="A192" s="703" t="s">
        <v>13</v>
      </c>
      <c r="B192" s="13">
        <f>'F-09 EP'!B181+'F-09 MGP'!B193+'F-09 FAP'!B193</f>
        <v>3</v>
      </c>
      <c r="C192" s="13"/>
      <c r="D192" s="13"/>
      <c r="E192" s="13"/>
      <c r="F192" s="13"/>
      <c r="G192" s="13"/>
      <c r="H192" s="13"/>
      <c r="I192" s="13"/>
      <c r="J192" s="13"/>
      <c r="K192" s="13">
        <f t="shared" ref="K192:K197" si="48">SUM(B192:J192)</f>
        <v>3</v>
      </c>
      <c r="L192" s="472">
        <f>'F-09 EP'!L181+'F-09 MGP'!L193+'F-09 FAP'!L193</f>
        <v>110321.04000000001</v>
      </c>
      <c r="M192" s="13">
        <f>'F-09 EP'!M181+'F-09 MGP'!M193+'F-09 FAP'!M193</f>
        <v>5</v>
      </c>
      <c r="N192" s="13"/>
      <c r="O192" s="13"/>
      <c r="P192" s="13"/>
      <c r="Q192" s="13"/>
      <c r="R192" s="13"/>
      <c r="S192" s="13"/>
      <c r="T192" s="13"/>
      <c r="U192" s="13"/>
      <c r="V192" s="13">
        <f t="shared" ref="V192:V197" si="49">SUM(M192:U192)</f>
        <v>5</v>
      </c>
      <c r="W192" s="472">
        <f>'F-09 EP'!W181+'F-09 MGP'!W193+'F-09 FAP'!W193</f>
        <v>175520.24803999998</v>
      </c>
    </row>
    <row r="193" spans="1:23">
      <c r="A193" s="703" t="s">
        <v>6978</v>
      </c>
      <c r="B193" s="13">
        <f>'F-09 EP'!B182+'F-09 MGP'!B194+'F-09 FAP'!B194</f>
        <v>5</v>
      </c>
      <c r="C193" s="13"/>
      <c r="D193" s="13"/>
      <c r="E193" s="13"/>
      <c r="F193" s="13"/>
      <c r="G193" s="13"/>
      <c r="H193" s="13"/>
      <c r="I193" s="13"/>
      <c r="J193" s="13"/>
      <c r="K193" s="13">
        <f t="shared" si="48"/>
        <v>5</v>
      </c>
      <c r="L193" s="472">
        <f>'F-09 EP'!L182+'F-09 MGP'!L194+'F-09 FAP'!L194</f>
        <v>183208.4</v>
      </c>
      <c r="M193" s="13">
        <f>'F-09 EP'!M182+'F-09 MGP'!M194+'F-09 FAP'!M194</f>
        <v>9</v>
      </c>
      <c r="N193" s="13"/>
      <c r="O193" s="13"/>
      <c r="P193" s="13"/>
      <c r="Q193" s="13"/>
      <c r="R193" s="13"/>
      <c r="S193" s="13"/>
      <c r="T193" s="13"/>
      <c r="U193" s="13"/>
      <c r="V193" s="13">
        <f t="shared" si="49"/>
        <v>9</v>
      </c>
      <c r="W193" s="472">
        <f>'F-09 EP'!W182+'F-09 MGP'!W194+'F-09 FAP'!W194</f>
        <v>318636.67631999997</v>
      </c>
    </row>
    <row r="194" spans="1:23">
      <c r="A194" s="703" t="s">
        <v>6977</v>
      </c>
      <c r="B194" s="13">
        <f>'F-09 EP'!B183+'F-09 MGP'!B195+'F-09 FAP'!B195</f>
        <v>8</v>
      </c>
      <c r="C194" s="13"/>
      <c r="D194" s="13"/>
      <c r="E194" s="13"/>
      <c r="F194" s="13"/>
      <c r="G194" s="13"/>
      <c r="H194" s="13"/>
      <c r="I194" s="13"/>
      <c r="J194" s="13"/>
      <c r="K194" s="13">
        <f t="shared" si="48"/>
        <v>8</v>
      </c>
      <c r="L194" s="472">
        <f>'F-09 EP'!L183+'F-09 MGP'!L195+'F-09 FAP'!L195</f>
        <v>287373.44</v>
      </c>
      <c r="M194" s="13">
        <f>'F-09 EP'!M183+'F-09 MGP'!M195+'F-09 FAP'!M195</f>
        <v>8</v>
      </c>
      <c r="N194" s="13"/>
      <c r="O194" s="13"/>
      <c r="P194" s="13"/>
      <c r="Q194" s="13"/>
      <c r="R194" s="13"/>
      <c r="S194" s="13"/>
      <c r="T194" s="13"/>
      <c r="U194" s="13"/>
      <c r="V194" s="13">
        <f t="shared" si="49"/>
        <v>8</v>
      </c>
      <c r="W194" s="472">
        <f>'F-09 EP'!W183+'F-09 MGP'!W195+'F-09 FAP'!W195</f>
        <v>242432</v>
      </c>
    </row>
    <row r="195" spans="1:23">
      <c r="A195" s="703" t="s">
        <v>6976</v>
      </c>
      <c r="B195" s="13">
        <f>'F-09 EP'!B184+'F-09 MGP'!B196+'F-09 FAP'!B196</f>
        <v>11</v>
      </c>
      <c r="C195" s="13"/>
      <c r="D195" s="13"/>
      <c r="E195" s="13"/>
      <c r="F195" s="13"/>
      <c r="G195" s="13"/>
      <c r="H195" s="13"/>
      <c r="I195" s="13"/>
      <c r="J195" s="13"/>
      <c r="K195" s="13">
        <f t="shared" si="48"/>
        <v>11</v>
      </c>
      <c r="L195" s="472">
        <f>'F-09 EP'!L184+'F-09 MGP'!L196+'F-09 FAP'!L196</f>
        <v>396013.42022387055</v>
      </c>
      <c r="M195" s="13">
        <f>'F-09 EP'!M184+'F-09 MGP'!M196+'F-09 FAP'!M196</f>
        <v>9</v>
      </c>
      <c r="N195" s="13"/>
      <c r="O195" s="13"/>
      <c r="P195" s="13"/>
      <c r="Q195" s="13"/>
      <c r="R195" s="13"/>
      <c r="S195" s="13"/>
      <c r="T195" s="13"/>
      <c r="U195" s="13"/>
      <c r="V195" s="13">
        <f t="shared" si="49"/>
        <v>9</v>
      </c>
      <c r="W195" s="472">
        <f>'F-09 EP'!W184+'F-09 MGP'!W196+'F-09 FAP'!W196</f>
        <v>288520.2860438705</v>
      </c>
    </row>
    <row r="196" spans="1:23">
      <c r="A196" s="703" t="s">
        <v>14</v>
      </c>
      <c r="B196" s="13">
        <f>'F-09 EP'!B185+'F-09 MGP'!B197+'F-09 FAP'!B197</f>
        <v>14</v>
      </c>
      <c r="C196" s="13"/>
      <c r="D196" s="13"/>
      <c r="E196" s="13"/>
      <c r="F196" s="13"/>
      <c r="G196" s="13"/>
      <c r="H196" s="13"/>
      <c r="I196" s="13"/>
      <c r="J196" s="13"/>
      <c r="K196" s="13">
        <f t="shared" si="48"/>
        <v>14</v>
      </c>
      <c r="L196" s="472">
        <f>'F-09 EP'!L185+'F-09 MGP'!L197+'F-09 FAP'!L197</f>
        <v>501104.06444774108</v>
      </c>
      <c r="M196" s="13">
        <f>'F-09 EP'!M185+'F-09 MGP'!M197+'F-09 FAP'!M197</f>
        <v>12</v>
      </c>
      <c r="N196" s="13"/>
      <c r="O196" s="13"/>
      <c r="P196" s="13"/>
      <c r="Q196" s="13"/>
      <c r="R196" s="13"/>
      <c r="S196" s="13"/>
      <c r="T196" s="13"/>
      <c r="U196" s="13"/>
      <c r="V196" s="13">
        <f t="shared" si="49"/>
        <v>12</v>
      </c>
      <c r="W196" s="472">
        <f>'F-09 EP'!W185+'F-09 MGP'!W197+'F-09 FAP'!W197</f>
        <v>382248.04044774105</v>
      </c>
    </row>
    <row r="197" spans="1:23">
      <c r="A197" s="703" t="s">
        <v>6975</v>
      </c>
      <c r="B197" s="13">
        <f>'F-09 EP'!B186+'F-09 MGP'!B198+'F-09 FAP'!B198</f>
        <v>15</v>
      </c>
      <c r="C197" s="13"/>
      <c r="D197" s="13"/>
      <c r="E197" s="13"/>
      <c r="F197" s="13"/>
      <c r="G197" s="13"/>
      <c r="H197" s="13"/>
      <c r="I197" s="13"/>
      <c r="J197" s="13"/>
      <c r="K197" s="13">
        <f t="shared" si="48"/>
        <v>15</v>
      </c>
      <c r="L197" s="472">
        <f>'F-09 EP'!L186+'F-09 MGP'!L198+'F-09 FAP'!L198</f>
        <v>514889.19411193527</v>
      </c>
      <c r="M197" s="13">
        <f>'F-09 EP'!M186+'F-09 MGP'!M198+'F-09 FAP'!M198</f>
        <v>15</v>
      </c>
      <c r="N197" s="13"/>
      <c r="O197" s="13"/>
      <c r="P197" s="13"/>
      <c r="Q197" s="13"/>
      <c r="R197" s="13"/>
      <c r="S197" s="13"/>
      <c r="T197" s="13"/>
      <c r="U197" s="13"/>
      <c r="V197" s="13">
        <f t="shared" si="49"/>
        <v>15</v>
      </c>
      <c r="W197" s="472">
        <f>'F-09 EP'!W186+'F-09 MGP'!W198+'F-09 FAP'!W198</f>
        <v>456890.54403193528</v>
      </c>
    </row>
    <row r="198" spans="1:23">
      <c r="A198" s="705" t="s">
        <v>5</v>
      </c>
      <c r="B198" s="484">
        <f t="shared" ref="B198:W198" si="50">SUM(B199:B204)</f>
        <v>1237</v>
      </c>
      <c r="C198" s="484">
        <f t="shared" si="50"/>
        <v>0</v>
      </c>
      <c r="D198" s="484">
        <f t="shared" si="50"/>
        <v>0</v>
      </c>
      <c r="E198" s="484">
        <f t="shared" si="50"/>
        <v>0</v>
      </c>
      <c r="F198" s="484">
        <f t="shared" si="50"/>
        <v>0</v>
      </c>
      <c r="G198" s="484">
        <f t="shared" si="50"/>
        <v>0</v>
      </c>
      <c r="H198" s="484">
        <f t="shared" si="50"/>
        <v>0</v>
      </c>
      <c r="I198" s="484">
        <f t="shared" si="50"/>
        <v>0</v>
      </c>
      <c r="J198" s="484">
        <f t="shared" si="50"/>
        <v>0</v>
      </c>
      <c r="K198" s="484">
        <f t="shared" si="50"/>
        <v>1237</v>
      </c>
      <c r="L198" s="485">
        <f t="shared" si="50"/>
        <v>41807787.24292995</v>
      </c>
      <c r="M198" s="484">
        <f t="shared" si="50"/>
        <v>1242</v>
      </c>
      <c r="N198" s="484">
        <f t="shared" si="50"/>
        <v>0</v>
      </c>
      <c r="O198" s="484">
        <f t="shared" si="50"/>
        <v>0</v>
      </c>
      <c r="P198" s="484">
        <f t="shared" si="50"/>
        <v>0</v>
      </c>
      <c r="Q198" s="484">
        <f t="shared" si="50"/>
        <v>0</v>
      </c>
      <c r="R198" s="484">
        <f t="shared" si="50"/>
        <v>0</v>
      </c>
      <c r="S198" s="484">
        <f t="shared" si="50"/>
        <v>0</v>
      </c>
      <c r="T198" s="484">
        <f t="shared" si="50"/>
        <v>0</v>
      </c>
      <c r="U198" s="484">
        <f t="shared" si="50"/>
        <v>0</v>
      </c>
      <c r="V198" s="484">
        <f t="shared" si="50"/>
        <v>1242</v>
      </c>
      <c r="W198" s="485">
        <f t="shared" si="50"/>
        <v>39720775.900505759</v>
      </c>
    </row>
    <row r="199" spans="1:23">
      <c r="A199" s="703" t="s">
        <v>6974</v>
      </c>
      <c r="B199" s="13">
        <f>'F-09 EP'!B188+'F-09 MGP'!B200+'F-09 FAP'!B200</f>
        <v>228</v>
      </c>
      <c r="C199" s="13"/>
      <c r="D199" s="13"/>
      <c r="E199" s="13"/>
      <c r="F199" s="13"/>
      <c r="G199" s="13"/>
      <c r="H199" s="13"/>
      <c r="I199" s="13"/>
      <c r="J199" s="13"/>
      <c r="K199" s="13">
        <f t="shared" ref="K199:K204" si="51">SUM(B199:J199)</f>
        <v>228</v>
      </c>
      <c r="L199" s="472">
        <f>'F-09 EP'!L188+'F-09 MGP'!L200+'F-09 FAP'!L200</f>
        <v>7855314.5130016413</v>
      </c>
      <c r="M199" s="13">
        <f>'F-09 EP'!M188+'F-09 MGP'!M200+'F-09 FAP'!M200</f>
        <v>237</v>
      </c>
      <c r="N199" s="13"/>
      <c r="O199" s="13"/>
      <c r="P199" s="13"/>
      <c r="Q199" s="13"/>
      <c r="R199" s="13"/>
      <c r="S199" s="13"/>
      <c r="T199" s="13"/>
      <c r="U199" s="13"/>
      <c r="V199" s="13">
        <f t="shared" ref="V199:V204" si="52">SUM(M199:U199)</f>
        <v>237</v>
      </c>
      <c r="W199" s="472">
        <f>'F-09 EP'!W188+'F-09 MGP'!W200+'F-09 FAP'!W200</f>
        <v>7929829.6953967642</v>
      </c>
    </row>
    <row r="200" spans="1:23">
      <c r="A200" s="703" t="s">
        <v>6973</v>
      </c>
      <c r="B200" s="13">
        <f>'F-09 EP'!B189+'F-09 MGP'!B201+'F-09 FAP'!B201</f>
        <v>292</v>
      </c>
      <c r="C200" s="13"/>
      <c r="D200" s="13"/>
      <c r="E200" s="13"/>
      <c r="F200" s="13"/>
      <c r="G200" s="13"/>
      <c r="H200" s="13"/>
      <c r="I200" s="13"/>
      <c r="J200" s="13"/>
      <c r="K200" s="13">
        <f t="shared" si="51"/>
        <v>292</v>
      </c>
      <c r="L200" s="472">
        <f>'F-09 EP'!L189+'F-09 MGP'!L201+'F-09 FAP'!L201</f>
        <v>9898669.5327491127</v>
      </c>
      <c r="M200" s="13">
        <f>'F-09 EP'!M189+'F-09 MGP'!M201+'F-09 FAP'!M201</f>
        <v>297</v>
      </c>
      <c r="N200" s="13"/>
      <c r="O200" s="13"/>
      <c r="P200" s="13"/>
      <c r="Q200" s="13"/>
      <c r="R200" s="13"/>
      <c r="S200" s="13"/>
      <c r="T200" s="13"/>
      <c r="U200" s="13"/>
      <c r="V200" s="13">
        <f t="shared" si="52"/>
        <v>297</v>
      </c>
      <c r="W200" s="472">
        <f>'F-09 EP'!W189+'F-09 MGP'!W201+'F-09 FAP'!W201</f>
        <v>9672271.9517757781</v>
      </c>
    </row>
    <row r="201" spans="1:23">
      <c r="A201" s="703" t="s">
        <v>6972</v>
      </c>
      <c r="B201" s="13">
        <f>'F-09 EP'!B190+'F-09 MGP'!B202+'F-09 FAP'!B202</f>
        <v>348</v>
      </c>
      <c r="C201" s="13"/>
      <c r="D201" s="13"/>
      <c r="E201" s="13"/>
      <c r="F201" s="13"/>
      <c r="G201" s="13"/>
      <c r="H201" s="13"/>
      <c r="I201" s="13"/>
      <c r="J201" s="13"/>
      <c r="K201" s="13">
        <f t="shared" si="51"/>
        <v>348</v>
      </c>
      <c r="L201" s="472">
        <f>'F-09 EP'!L190+'F-09 MGP'!L202+'F-09 FAP'!L202</f>
        <v>11849797.087477915</v>
      </c>
      <c r="M201" s="13">
        <f>'F-09 EP'!M190+'F-09 MGP'!M202+'F-09 FAP'!M202</f>
        <v>351</v>
      </c>
      <c r="N201" s="13"/>
      <c r="O201" s="13"/>
      <c r="P201" s="13"/>
      <c r="Q201" s="13"/>
      <c r="R201" s="13"/>
      <c r="S201" s="13"/>
      <c r="T201" s="13"/>
      <c r="U201" s="13"/>
      <c r="V201" s="13">
        <f t="shared" si="52"/>
        <v>351</v>
      </c>
      <c r="W201" s="472">
        <f>'F-09 EP'!W190+'F-09 MGP'!W202+'F-09 FAP'!W202</f>
        <v>11302174.25827064</v>
      </c>
    </row>
    <row r="202" spans="1:23">
      <c r="A202" s="703" t="s">
        <v>6971</v>
      </c>
      <c r="B202" s="13">
        <f>'F-09 EP'!B191+'F-09 MGP'!B203+'F-09 FAP'!B203</f>
        <v>165</v>
      </c>
      <c r="C202" s="13"/>
      <c r="D202" s="13"/>
      <c r="E202" s="13"/>
      <c r="F202" s="13"/>
      <c r="G202" s="13"/>
      <c r="H202" s="13"/>
      <c r="I202" s="13"/>
      <c r="J202" s="13"/>
      <c r="K202" s="13">
        <f t="shared" si="51"/>
        <v>165</v>
      </c>
      <c r="L202" s="472">
        <f>'F-09 EP'!L191+'F-09 MGP'!L203+'F-09 FAP'!L203</f>
        <v>5505110.7658461276</v>
      </c>
      <c r="M202" s="13">
        <f>'F-09 EP'!M191+'F-09 MGP'!M203+'F-09 FAP'!M203</f>
        <v>165</v>
      </c>
      <c r="N202" s="13"/>
      <c r="O202" s="13"/>
      <c r="P202" s="13"/>
      <c r="Q202" s="13"/>
      <c r="R202" s="13"/>
      <c r="S202" s="13"/>
      <c r="T202" s="13"/>
      <c r="U202" s="13"/>
      <c r="V202" s="13">
        <f t="shared" si="52"/>
        <v>165</v>
      </c>
      <c r="W202" s="472">
        <f>'F-09 EP'!W191+'F-09 MGP'!W203+'F-09 FAP'!W203</f>
        <v>5029528.4914074177</v>
      </c>
    </row>
    <row r="203" spans="1:23">
      <c r="A203" s="703" t="s">
        <v>16</v>
      </c>
      <c r="B203" s="13">
        <f>'F-09 EP'!B192+'F-09 MGP'!B204+'F-09 FAP'!B204</f>
        <v>66</v>
      </c>
      <c r="C203" s="13"/>
      <c r="D203" s="13"/>
      <c r="E203" s="13"/>
      <c r="F203" s="13"/>
      <c r="G203" s="13"/>
      <c r="H203" s="13"/>
      <c r="I203" s="13"/>
      <c r="J203" s="13"/>
      <c r="K203" s="13">
        <f t="shared" si="51"/>
        <v>66</v>
      </c>
      <c r="L203" s="472">
        <f>'F-09 EP'!L192+'F-09 MGP'!L204+'F-09 FAP'!L204</f>
        <v>2238338.9201119351</v>
      </c>
      <c r="M203" s="13">
        <f>'F-09 EP'!M192+'F-09 MGP'!M204+'F-09 FAP'!M204</f>
        <v>65</v>
      </c>
      <c r="N203" s="13"/>
      <c r="O203" s="13"/>
      <c r="P203" s="13"/>
      <c r="Q203" s="13"/>
      <c r="R203" s="13"/>
      <c r="S203" s="13"/>
      <c r="T203" s="13"/>
      <c r="U203" s="13"/>
      <c r="V203" s="13">
        <f t="shared" si="52"/>
        <v>65</v>
      </c>
      <c r="W203" s="472">
        <f>'F-09 EP'!W192+'F-09 MGP'!W204+'F-09 FAP'!W204</f>
        <v>1896926.1230319352</v>
      </c>
    </row>
    <row r="204" spans="1:23">
      <c r="A204" s="703" t="s">
        <v>6970</v>
      </c>
      <c r="B204" s="13">
        <f>'F-09 EP'!B193+'F-09 MGP'!B205+'F-09 FAP'!B205</f>
        <v>138</v>
      </c>
      <c r="C204" s="13"/>
      <c r="D204" s="13"/>
      <c r="E204" s="13"/>
      <c r="F204" s="13"/>
      <c r="G204" s="13"/>
      <c r="H204" s="13"/>
      <c r="I204" s="13"/>
      <c r="J204" s="13"/>
      <c r="K204" s="13">
        <f t="shared" si="51"/>
        <v>138</v>
      </c>
      <c r="L204" s="472">
        <f>'F-09 EP'!L193+'F-09 MGP'!L205+'F-09 FAP'!L205</f>
        <v>4460556.4237432228</v>
      </c>
      <c r="M204" s="13">
        <f>'F-09 EP'!M193+'F-09 MGP'!M205+'F-09 FAP'!M205</f>
        <v>127</v>
      </c>
      <c r="N204" s="13"/>
      <c r="O204" s="13"/>
      <c r="P204" s="13"/>
      <c r="Q204" s="13"/>
      <c r="R204" s="13"/>
      <c r="S204" s="13"/>
      <c r="T204" s="13"/>
      <c r="U204" s="13"/>
      <c r="V204" s="13">
        <f t="shared" si="52"/>
        <v>127</v>
      </c>
      <c r="W204" s="472">
        <f>'F-09 EP'!W193+'F-09 MGP'!W205+'F-09 FAP'!W205</f>
        <v>3890045.3806232233</v>
      </c>
    </row>
    <row r="205" spans="1:23">
      <c r="A205" s="705" t="s">
        <v>6</v>
      </c>
      <c r="B205" s="484">
        <f t="shared" ref="B205:W205" si="53">SUM(B206:B211)</f>
        <v>1043</v>
      </c>
      <c r="C205" s="484">
        <f t="shared" si="53"/>
        <v>0</v>
      </c>
      <c r="D205" s="484">
        <f t="shared" si="53"/>
        <v>0</v>
      </c>
      <c r="E205" s="484">
        <f t="shared" si="53"/>
        <v>0</v>
      </c>
      <c r="F205" s="484">
        <f t="shared" si="53"/>
        <v>0</v>
      </c>
      <c r="G205" s="484">
        <f t="shared" si="53"/>
        <v>0</v>
      </c>
      <c r="H205" s="484">
        <f t="shared" si="53"/>
        <v>0</v>
      </c>
      <c r="I205" s="484">
        <f t="shared" si="53"/>
        <v>0</v>
      </c>
      <c r="J205" s="484">
        <f t="shared" si="53"/>
        <v>0</v>
      </c>
      <c r="K205" s="484">
        <f t="shared" si="53"/>
        <v>1043</v>
      </c>
      <c r="L205" s="485">
        <f t="shared" si="53"/>
        <v>33808237.392028503</v>
      </c>
      <c r="M205" s="484">
        <f t="shared" si="53"/>
        <v>1050</v>
      </c>
      <c r="N205" s="484">
        <f t="shared" si="53"/>
        <v>0</v>
      </c>
      <c r="O205" s="484">
        <f t="shared" si="53"/>
        <v>0</v>
      </c>
      <c r="P205" s="484">
        <f t="shared" si="53"/>
        <v>0</v>
      </c>
      <c r="Q205" s="484">
        <f t="shared" si="53"/>
        <v>0</v>
      </c>
      <c r="R205" s="484">
        <f t="shared" si="53"/>
        <v>0</v>
      </c>
      <c r="S205" s="484">
        <f t="shared" si="53"/>
        <v>0</v>
      </c>
      <c r="T205" s="484">
        <f t="shared" si="53"/>
        <v>0</v>
      </c>
      <c r="U205" s="484">
        <f t="shared" si="53"/>
        <v>0</v>
      </c>
      <c r="V205" s="484">
        <f t="shared" si="53"/>
        <v>1050</v>
      </c>
      <c r="W205" s="485">
        <f t="shared" si="53"/>
        <v>31568714.549901836</v>
      </c>
    </row>
    <row r="206" spans="1:23">
      <c r="A206" s="703" t="s">
        <v>17</v>
      </c>
      <c r="B206" s="13">
        <f>'F-09 EP'!B195+'F-09 MGP'!B207+'F-09 FAP'!B207</f>
        <v>501</v>
      </c>
      <c r="C206" s="13"/>
      <c r="D206" s="13"/>
      <c r="E206" s="13"/>
      <c r="F206" s="13"/>
      <c r="G206" s="13"/>
      <c r="H206" s="13"/>
      <c r="I206" s="13"/>
      <c r="J206" s="13"/>
      <c r="K206" s="13">
        <f t="shared" ref="K206:K211" si="54">SUM(B206:J206)</f>
        <v>501</v>
      </c>
      <c r="L206" s="472">
        <f>'F-09 EP'!L195+'F-09 MGP'!L207+'F-09 FAP'!L207</f>
        <v>16090734.896329511</v>
      </c>
      <c r="M206" s="13">
        <f>'F-09 EP'!M195+'F-09 MGP'!M207+'F-09 FAP'!M207</f>
        <v>506</v>
      </c>
      <c r="N206" s="13"/>
      <c r="O206" s="13"/>
      <c r="P206" s="13"/>
      <c r="Q206" s="13"/>
      <c r="R206" s="13"/>
      <c r="S206" s="13"/>
      <c r="T206" s="13"/>
      <c r="U206" s="13"/>
      <c r="V206" s="13">
        <f t="shared" ref="V206:V211" si="55">SUM(M206:U206)</f>
        <v>506</v>
      </c>
      <c r="W206" s="472">
        <f>'F-09 EP'!W195+'F-09 MGP'!W207+'F-09 FAP'!W207</f>
        <v>15275559.650662847</v>
      </c>
    </row>
    <row r="207" spans="1:23">
      <c r="A207" s="703" t="s">
        <v>6969</v>
      </c>
      <c r="B207" s="13">
        <f>'F-09 EP'!B196+'F-09 MGP'!B208+'F-09 FAP'!B208</f>
        <v>203</v>
      </c>
      <c r="C207" s="13"/>
      <c r="D207" s="13"/>
      <c r="E207" s="13"/>
      <c r="F207" s="13"/>
      <c r="G207" s="13"/>
      <c r="H207" s="13"/>
      <c r="I207" s="13"/>
      <c r="J207" s="13"/>
      <c r="K207" s="13">
        <f t="shared" si="54"/>
        <v>203</v>
      </c>
      <c r="L207" s="472">
        <f>'F-09 EP'!L196+'F-09 MGP'!L208+'F-09 FAP'!L208</f>
        <v>6819822.5773054622</v>
      </c>
      <c r="M207" s="13">
        <f>'F-09 EP'!M196+'F-09 MGP'!M208+'F-09 FAP'!M208</f>
        <v>203</v>
      </c>
      <c r="N207" s="13"/>
      <c r="O207" s="13"/>
      <c r="P207" s="13"/>
      <c r="Q207" s="13"/>
      <c r="R207" s="13"/>
      <c r="S207" s="13"/>
      <c r="T207" s="13"/>
      <c r="U207" s="13"/>
      <c r="V207" s="13">
        <f t="shared" si="55"/>
        <v>203</v>
      </c>
      <c r="W207" s="472">
        <f>'F-09 EP'!W196+'F-09 MGP'!W208+'F-09 FAP'!W208</f>
        <v>6364154.5686054621</v>
      </c>
    </row>
    <row r="208" spans="1:23">
      <c r="A208" s="703" t="s">
        <v>6968</v>
      </c>
      <c r="B208" s="13">
        <f>'F-09 EP'!B197+'F-09 MGP'!B209+'F-09 FAP'!B209</f>
        <v>123</v>
      </c>
      <c r="C208" s="13"/>
      <c r="D208" s="13"/>
      <c r="E208" s="13"/>
      <c r="F208" s="13"/>
      <c r="G208" s="13"/>
      <c r="H208" s="13"/>
      <c r="I208" s="13"/>
      <c r="J208" s="13"/>
      <c r="K208" s="13">
        <f t="shared" si="54"/>
        <v>123</v>
      </c>
      <c r="L208" s="472">
        <f>'F-09 EP'!L197+'F-09 MGP'!L209+'F-09 FAP'!L209</f>
        <v>3976316.0729235332</v>
      </c>
      <c r="M208" s="13">
        <f>'F-09 EP'!M197+'F-09 MGP'!M209+'F-09 FAP'!M209</f>
        <v>123</v>
      </c>
      <c r="N208" s="13"/>
      <c r="O208" s="13"/>
      <c r="P208" s="13"/>
      <c r="Q208" s="13"/>
      <c r="R208" s="13"/>
      <c r="S208" s="13"/>
      <c r="T208" s="13"/>
      <c r="U208" s="13"/>
      <c r="V208" s="13">
        <f t="shared" si="55"/>
        <v>123</v>
      </c>
      <c r="W208" s="472">
        <f>'F-09 EP'!W197+'F-09 MGP'!W209+'F-09 FAP'!W209</f>
        <v>3666498.6991635328</v>
      </c>
    </row>
    <row r="209" spans="1:23">
      <c r="A209" s="703" t="s">
        <v>6967</v>
      </c>
      <c r="B209" s="13">
        <f>'F-09 EP'!B198+'F-09 MGP'!B210+'F-09 FAP'!B210</f>
        <v>54</v>
      </c>
      <c r="C209" s="13"/>
      <c r="D209" s="13"/>
      <c r="E209" s="13"/>
      <c r="F209" s="13"/>
      <c r="G209" s="13"/>
      <c r="H209" s="13"/>
      <c r="I209" s="13"/>
      <c r="J209" s="13"/>
      <c r="K209" s="13">
        <f t="shared" si="54"/>
        <v>54</v>
      </c>
      <c r="L209" s="472">
        <f>'F-09 EP'!L198+'F-09 MGP'!L210+'F-09 FAP'!L210</f>
        <v>1704180.6910074176</v>
      </c>
      <c r="M209" s="13">
        <f>'F-09 EP'!M198+'F-09 MGP'!M210+'F-09 FAP'!M210</f>
        <v>55</v>
      </c>
      <c r="N209" s="13"/>
      <c r="O209" s="13"/>
      <c r="P209" s="13"/>
      <c r="Q209" s="13"/>
      <c r="R209" s="13"/>
      <c r="S209" s="13"/>
      <c r="T209" s="13"/>
      <c r="U209" s="13"/>
      <c r="V209" s="13">
        <f t="shared" si="55"/>
        <v>55</v>
      </c>
      <c r="W209" s="472">
        <f>'F-09 EP'!W198+'F-09 MGP'!W210+'F-09 FAP'!W210</f>
        <v>1475878.0910074175</v>
      </c>
    </row>
    <row r="210" spans="1:23">
      <c r="A210" s="703" t="s">
        <v>18</v>
      </c>
      <c r="B210" s="13">
        <f>'F-09 EP'!B199+'F-09 MGP'!B211+'F-09 FAP'!B211</f>
        <v>55</v>
      </c>
      <c r="C210" s="13"/>
      <c r="D210" s="13"/>
      <c r="E210" s="13"/>
      <c r="F210" s="13"/>
      <c r="G210" s="13"/>
      <c r="H210" s="13"/>
      <c r="I210" s="13"/>
      <c r="J210" s="13"/>
      <c r="K210" s="13">
        <f t="shared" si="54"/>
        <v>55</v>
      </c>
      <c r="L210" s="472">
        <f>'F-09 EP'!L199+'F-09 MGP'!L211+'F-09 FAP'!L211</f>
        <v>1860811.7922238705</v>
      </c>
      <c r="M210" s="13">
        <f>'F-09 EP'!M199+'F-09 MGP'!M211+'F-09 FAP'!M211</f>
        <v>56</v>
      </c>
      <c r="N210" s="13"/>
      <c r="O210" s="13"/>
      <c r="P210" s="13"/>
      <c r="Q210" s="13"/>
      <c r="R210" s="13"/>
      <c r="S210" s="13"/>
      <c r="T210" s="13"/>
      <c r="U210" s="13"/>
      <c r="V210" s="13">
        <f t="shared" si="55"/>
        <v>56</v>
      </c>
      <c r="W210" s="472">
        <f>'F-09 EP'!W199+'F-09 MGP'!W211+'F-09 FAP'!W211</f>
        <v>1921339.3382238706</v>
      </c>
    </row>
    <row r="211" spans="1:23">
      <c r="A211" s="703" t="s">
        <v>6966</v>
      </c>
      <c r="B211" s="13">
        <f>'F-09 EP'!B200+'F-09 MGP'!B212+'F-09 FAP'!B212</f>
        <v>107</v>
      </c>
      <c r="C211" s="13"/>
      <c r="D211" s="13"/>
      <c r="E211" s="13"/>
      <c r="F211" s="13"/>
      <c r="G211" s="13"/>
      <c r="H211" s="13"/>
      <c r="I211" s="13"/>
      <c r="J211" s="13"/>
      <c r="K211" s="13">
        <f t="shared" si="54"/>
        <v>107</v>
      </c>
      <c r="L211" s="472">
        <f>'F-09 EP'!L200+'F-09 MGP'!L212+'F-09 FAP'!L212</f>
        <v>3356371.3622387056</v>
      </c>
      <c r="M211" s="13">
        <f>'F-09 EP'!M200+'F-09 MGP'!M212+'F-09 FAP'!M212</f>
        <v>107</v>
      </c>
      <c r="N211" s="13"/>
      <c r="O211" s="13"/>
      <c r="P211" s="13"/>
      <c r="Q211" s="13"/>
      <c r="R211" s="13"/>
      <c r="S211" s="13"/>
      <c r="T211" s="13"/>
      <c r="U211" s="13"/>
      <c r="V211" s="13">
        <f t="shared" si="55"/>
        <v>107</v>
      </c>
      <c r="W211" s="472">
        <f>'F-09 EP'!W200+'F-09 MGP'!W212+'F-09 FAP'!W212</f>
        <v>2865284.2022387055</v>
      </c>
    </row>
    <row r="212" spans="1:23">
      <c r="A212" s="704" t="s">
        <v>6965</v>
      </c>
      <c r="B212" s="482"/>
      <c r="C212" s="482"/>
      <c r="D212" s="482"/>
      <c r="E212" s="482"/>
      <c r="F212" s="482"/>
      <c r="G212" s="482"/>
      <c r="H212" s="482"/>
      <c r="I212" s="482"/>
      <c r="J212" s="482">
        <f>SUM(J213:J217)</f>
        <v>303</v>
      </c>
      <c r="K212" s="482">
        <f>SUM(K213:K217)</f>
        <v>303</v>
      </c>
      <c r="L212" s="474">
        <f>SUM(L213:L217)</f>
        <v>81254233.347692996</v>
      </c>
      <c r="M212" s="482">
        <f t="shared" ref="M212:T212" si="56">SUM(M213:M214)</f>
        <v>0</v>
      </c>
      <c r="N212" s="482">
        <f t="shared" si="56"/>
        <v>0</v>
      </c>
      <c r="O212" s="482">
        <f t="shared" si="56"/>
        <v>0</v>
      </c>
      <c r="P212" s="482">
        <f t="shared" si="56"/>
        <v>0</v>
      </c>
      <c r="Q212" s="482">
        <f t="shared" si="56"/>
        <v>0</v>
      </c>
      <c r="R212" s="482">
        <f t="shared" si="56"/>
        <v>0</v>
      </c>
      <c r="S212" s="482">
        <f t="shared" si="56"/>
        <v>0</v>
      </c>
      <c r="T212" s="482">
        <f t="shared" si="56"/>
        <v>0</v>
      </c>
      <c r="U212" s="482">
        <f>SUM(U213:U217)</f>
        <v>452</v>
      </c>
      <c r="V212" s="482">
        <f>SUM(V213:V217)</f>
        <v>452</v>
      </c>
      <c r="W212" s="474">
        <f>SUM(W213:W217)</f>
        <v>67615864.542926744</v>
      </c>
    </row>
    <row r="213" spans="1:23">
      <c r="A213" s="703" t="s">
        <v>6964</v>
      </c>
      <c r="B213" s="13"/>
      <c r="C213" s="13"/>
      <c r="D213" s="13"/>
      <c r="E213" s="13"/>
      <c r="F213" s="13"/>
      <c r="G213" s="13"/>
      <c r="H213" s="13"/>
      <c r="I213" s="13"/>
      <c r="J213" s="13">
        <f>'F-09 OGA'!J46+'F-09 EP'!J202+'F-09 MGP'!J214+'F-09 FAP'!J214</f>
        <v>137</v>
      </c>
      <c r="K213" s="13">
        <f>SUM(B213:J213)</f>
        <v>137</v>
      </c>
      <c r="L213" s="472">
        <f>'F-09 OGA'!L46+'F-09 EP'!L202+'F-09 MGP'!L214+'F-09 FAP'!L214</f>
        <v>46567849.029403798</v>
      </c>
      <c r="M213" s="13"/>
      <c r="N213" s="13"/>
      <c r="O213" s="13"/>
      <c r="P213" s="13"/>
      <c r="Q213" s="13"/>
      <c r="R213" s="13"/>
      <c r="S213" s="13"/>
      <c r="T213" s="13"/>
      <c r="U213" s="13">
        <f>'F-09 OGA'!U46+'F-09 EP'!U202+'F-09 MGP'!U214+'F-09 FAP'!U214</f>
        <v>128</v>
      </c>
      <c r="V213" s="13">
        <f>SUM(M213:U213)</f>
        <v>128</v>
      </c>
      <c r="W213" s="472">
        <f>'F-09 OGA'!W46+'F-09 EP'!W202+'F-09 MGP'!W214+'F-09 FAP'!W214</f>
        <v>48331760.724743992</v>
      </c>
    </row>
    <row r="214" spans="1:23">
      <c r="A214" s="703" t="s">
        <v>6963</v>
      </c>
      <c r="B214" s="13"/>
      <c r="C214" s="13"/>
      <c r="D214" s="13"/>
      <c r="E214" s="13"/>
      <c r="F214" s="13"/>
      <c r="G214" s="13"/>
      <c r="H214" s="13"/>
      <c r="I214" s="13"/>
      <c r="J214" s="13">
        <f>'F-09 EP'!J203+'F-09 MGP'!J215+'F-09 FAP'!J215</f>
        <v>101</v>
      </c>
      <c r="K214" s="13">
        <f>SUM(B214:J214)</f>
        <v>101</v>
      </c>
      <c r="L214" s="472">
        <f>'F-09 EP'!L203+'F-09 MGP'!L215+'F-09 FAP'!L215</f>
        <v>27226450.318289198</v>
      </c>
      <c r="M214" s="13"/>
      <c r="N214" s="13"/>
      <c r="O214" s="13"/>
      <c r="P214" s="13"/>
      <c r="Q214" s="13"/>
      <c r="R214" s="13"/>
      <c r="S214" s="13"/>
      <c r="T214" s="13"/>
      <c r="U214" s="13">
        <f>'F-09 EP'!U203+'F-09 MGP'!U215+'F-09 FAP'!U215</f>
        <v>297</v>
      </c>
      <c r="V214" s="13">
        <f>SUM(M214:U214)</f>
        <v>297</v>
      </c>
      <c r="W214" s="472">
        <f>'F-09 EP'!W203+'F-09 MGP'!W215+'F-09 FAP'!W215</f>
        <v>12579428.920788759</v>
      </c>
    </row>
    <row r="215" spans="1:23">
      <c r="A215" s="703" t="s">
        <v>6962</v>
      </c>
      <c r="B215" s="13"/>
      <c r="C215" s="13"/>
      <c r="D215" s="13"/>
      <c r="E215" s="13"/>
      <c r="F215" s="13"/>
      <c r="G215" s="13"/>
      <c r="H215" s="13"/>
      <c r="I215" s="13"/>
      <c r="J215" s="13">
        <f>'F-09 EP'!J204+'F-09 MGP'!J216+'F-09 FAP'!J216</f>
        <v>0</v>
      </c>
      <c r="K215" s="13">
        <f>SUM(B215:J215)</f>
        <v>0</v>
      </c>
      <c r="L215" s="472">
        <f>'F-09 EP'!L204+'F-09 MGP'!L216+'F-09 FAP'!L216</f>
        <v>0</v>
      </c>
      <c r="M215" s="13"/>
      <c r="N215" s="13"/>
      <c r="O215" s="13"/>
      <c r="P215" s="13"/>
      <c r="Q215" s="13"/>
      <c r="R215" s="13"/>
      <c r="S215" s="13"/>
      <c r="T215" s="13"/>
      <c r="U215" s="13">
        <f>'F-09 EP'!U204+'F-09 MGP'!U216+'F-09 FAP'!U216</f>
        <v>8</v>
      </c>
      <c r="V215" s="13">
        <f>SUM(M215:U215)</f>
        <v>8</v>
      </c>
      <c r="W215" s="472">
        <f>'F-09 EP'!W204+'F-09 MGP'!W216+'F-09 FAP'!W216</f>
        <v>409887.04403400002</v>
      </c>
    </row>
    <row r="216" spans="1:23">
      <c r="A216" s="703" t="s">
        <v>6961</v>
      </c>
      <c r="B216" s="13"/>
      <c r="C216" s="13"/>
      <c r="D216" s="13"/>
      <c r="E216" s="13"/>
      <c r="F216" s="13"/>
      <c r="G216" s="13"/>
      <c r="H216" s="13"/>
      <c r="I216" s="13"/>
      <c r="J216" s="13">
        <f>'F-09 EP'!J205+'F-09 MGP'!J217+'F-09 FAP'!J217</f>
        <v>65</v>
      </c>
      <c r="K216" s="13">
        <f>SUM(B216:J216)</f>
        <v>65</v>
      </c>
      <c r="L216" s="472">
        <f>'F-09 EP'!L205+'F-09 MGP'!L217+'F-09 FAP'!L217</f>
        <v>7459934</v>
      </c>
      <c r="M216" s="13"/>
      <c r="N216" s="13"/>
      <c r="O216" s="13"/>
      <c r="P216" s="13"/>
      <c r="Q216" s="13"/>
      <c r="R216" s="13"/>
      <c r="S216" s="13"/>
      <c r="T216" s="13"/>
      <c r="U216" s="13">
        <f>'F-09 EP'!U205+'F-09 MGP'!U217+'F-09 FAP'!U217</f>
        <v>19</v>
      </c>
      <c r="V216" s="13">
        <f>SUM(M216:U216)</f>
        <v>19</v>
      </c>
      <c r="W216" s="472">
        <f>'F-09 EP'!W205+'F-09 MGP'!W217+'F-09 FAP'!W217</f>
        <v>6294787.853360001</v>
      </c>
    </row>
    <row r="217" spans="1:23">
      <c r="A217" s="703" t="s">
        <v>6960</v>
      </c>
      <c r="B217" s="13"/>
      <c r="C217" s="13"/>
      <c r="D217" s="13"/>
      <c r="E217" s="13"/>
      <c r="F217" s="13"/>
      <c r="G217" s="13"/>
      <c r="H217" s="13"/>
      <c r="I217" s="13"/>
      <c r="J217" s="13">
        <f>'F-09 EP'!J206+'F-09 MGP'!J218+'F-09 FAP'!J218</f>
        <v>0</v>
      </c>
      <c r="K217" s="13">
        <f>SUM(B217:J217)</f>
        <v>0</v>
      </c>
      <c r="L217" s="472">
        <f>'F-09 EP'!L206+'F-09 MGP'!L218+'F-09 FAP'!L218</f>
        <v>0</v>
      </c>
      <c r="M217" s="13"/>
      <c r="N217" s="13"/>
      <c r="O217" s="13"/>
      <c r="P217" s="13"/>
      <c r="Q217" s="13"/>
      <c r="R217" s="13"/>
      <c r="S217" s="13"/>
      <c r="T217" s="13"/>
      <c r="U217" s="13">
        <f>'F-09 EP'!U206+'F-09 MGP'!U218+'F-09 FAP'!U218</f>
        <v>0</v>
      </c>
      <c r="V217" s="13">
        <f>SUM(M217:U217)</f>
        <v>0</v>
      </c>
      <c r="W217" s="472">
        <f>'F-09 EP'!W206+'F-09 MGP'!W218+'F-09 FAP'!W218</f>
        <v>0</v>
      </c>
    </row>
    <row r="218" spans="1:23">
      <c r="A218" s="704" t="s">
        <v>56</v>
      </c>
      <c r="B218" s="482"/>
      <c r="C218" s="482"/>
      <c r="D218" s="482"/>
      <c r="E218" s="482"/>
      <c r="F218" s="482"/>
      <c r="G218" s="482"/>
      <c r="H218" s="482"/>
      <c r="I218" s="482"/>
      <c r="J218" s="475">
        <f>J219+J228+J237+J252+J257+J261+J265+J269+J273</f>
        <v>92778</v>
      </c>
      <c r="K218" s="475">
        <f>K219+K228+K237+K252+K257+K261+K265+K269+K273</f>
        <v>92778</v>
      </c>
      <c r="L218" s="474">
        <f t="shared" ref="L218:T218" si="57">L219+L228+L237+L252+L257+L261+L265+L269+L273+L277+L282+L286+L289</f>
        <v>2713093319.9405274</v>
      </c>
      <c r="M218" s="482">
        <f t="shared" si="57"/>
        <v>0</v>
      </c>
      <c r="N218" s="482">
        <f t="shared" si="57"/>
        <v>0</v>
      </c>
      <c r="O218" s="482">
        <f t="shared" si="57"/>
        <v>0</v>
      </c>
      <c r="P218" s="482">
        <f t="shared" si="57"/>
        <v>0</v>
      </c>
      <c r="Q218" s="482">
        <f t="shared" si="57"/>
        <v>0</v>
      </c>
      <c r="R218" s="482">
        <f t="shared" si="57"/>
        <v>0</v>
      </c>
      <c r="S218" s="482">
        <f t="shared" si="57"/>
        <v>0</v>
      </c>
      <c r="T218" s="482">
        <f t="shared" si="57"/>
        <v>0</v>
      </c>
      <c r="U218" s="480">
        <f>U219+U228+U237+U252+U257+U261+U265+U269+U273</f>
        <v>93180</v>
      </c>
      <c r="V218" s="480">
        <f>V219+V228+V237+V252+V257+V261+V265+V269+V273</f>
        <v>93180</v>
      </c>
      <c r="W218" s="474">
        <f>W219+W228+W237+W252+W257+W261+W265+W269+W273+W277+W282+W286+W289</f>
        <v>2739601758.1400003</v>
      </c>
    </row>
    <row r="219" spans="1:23">
      <c r="A219" s="705" t="s">
        <v>6959</v>
      </c>
      <c r="B219" s="484"/>
      <c r="C219" s="484"/>
      <c r="D219" s="484"/>
      <c r="E219" s="484"/>
      <c r="F219" s="484"/>
      <c r="G219" s="484"/>
      <c r="H219" s="484"/>
      <c r="I219" s="484"/>
      <c r="J219" s="491">
        <f t="shared" ref="J219:W219" si="58">SUM(J220:J227)</f>
        <v>11072</v>
      </c>
      <c r="K219" s="491">
        <f t="shared" si="58"/>
        <v>11072</v>
      </c>
      <c r="L219" s="485">
        <f t="shared" si="58"/>
        <v>741384875.20514166</v>
      </c>
      <c r="M219" s="484">
        <f t="shared" si="58"/>
        <v>0</v>
      </c>
      <c r="N219" s="484">
        <f t="shared" si="58"/>
        <v>0</v>
      </c>
      <c r="O219" s="484">
        <f t="shared" si="58"/>
        <v>0</v>
      </c>
      <c r="P219" s="484">
        <f t="shared" si="58"/>
        <v>0</v>
      </c>
      <c r="Q219" s="484">
        <f t="shared" si="58"/>
        <v>0</v>
      </c>
      <c r="R219" s="484">
        <f t="shared" si="58"/>
        <v>0</v>
      </c>
      <c r="S219" s="484">
        <f t="shared" si="58"/>
        <v>0</v>
      </c>
      <c r="T219" s="484">
        <f t="shared" si="58"/>
        <v>0</v>
      </c>
      <c r="U219" s="491">
        <f t="shared" si="58"/>
        <v>11179</v>
      </c>
      <c r="V219" s="491">
        <f t="shared" si="58"/>
        <v>11179</v>
      </c>
      <c r="W219" s="485">
        <f t="shared" si="58"/>
        <v>749717620.67577863</v>
      </c>
    </row>
    <row r="220" spans="1:23">
      <c r="A220" s="703" t="s">
        <v>6958</v>
      </c>
      <c r="B220" s="13"/>
      <c r="C220" s="13"/>
      <c r="D220" s="13"/>
      <c r="E220" s="13"/>
      <c r="F220" s="13"/>
      <c r="G220" s="13"/>
      <c r="H220" s="13"/>
      <c r="I220" s="13"/>
      <c r="J220" s="13">
        <f>'F-09 EP'!J209+'F-09 MGP'!J221+'F-09 FAP'!J221</f>
        <v>35</v>
      </c>
      <c r="K220" s="13">
        <f t="shared" ref="K220:K227" si="59">SUM(B220:J220)</f>
        <v>35</v>
      </c>
      <c r="L220" s="472">
        <f>'F-09 EP'!L209+'F-09 MGP'!L221+'F-09 FAP'!L221</f>
        <v>5593481.7666167803</v>
      </c>
      <c r="M220" s="13"/>
      <c r="N220" s="13"/>
      <c r="O220" s="13"/>
      <c r="P220" s="13"/>
      <c r="Q220" s="13"/>
      <c r="R220" s="13"/>
      <c r="S220" s="13"/>
      <c r="T220" s="13"/>
      <c r="U220" s="13">
        <f>'F-09 EP'!U209+'F-09 MGP'!U221+'F-09 FAP'!U221</f>
        <v>36</v>
      </c>
      <c r="V220" s="13">
        <f t="shared" ref="V220:V227" si="60">SUM(M220:U220)</f>
        <v>36</v>
      </c>
      <c r="W220" s="472">
        <f>'F-09 EP'!W209+'F-09 MGP'!W221+'F-09 FAP'!W221</f>
        <v>5711157.7666167803</v>
      </c>
    </row>
    <row r="221" spans="1:23">
      <c r="A221" s="703" t="s">
        <v>6957</v>
      </c>
      <c r="B221" s="13"/>
      <c r="C221" s="13"/>
      <c r="D221" s="13"/>
      <c r="E221" s="13"/>
      <c r="F221" s="13"/>
      <c r="G221" s="13"/>
      <c r="H221" s="13"/>
      <c r="I221" s="13"/>
      <c r="J221" s="13">
        <f>'F-09 EP'!J210+'F-09 MGP'!J222+'F-09 FAP'!J222</f>
        <v>182</v>
      </c>
      <c r="K221" s="13">
        <f t="shared" si="59"/>
        <v>182</v>
      </c>
      <c r="L221" s="472">
        <f>'F-09 EP'!L210+'F-09 MGP'!L222+'F-09 FAP'!L222</f>
        <v>26311039.084020205</v>
      </c>
      <c r="M221" s="13"/>
      <c r="N221" s="13"/>
      <c r="O221" s="13"/>
      <c r="P221" s="13"/>
      <c r="Q221" s="13"/>
      <c r="R221" s="13"/>
      <c r="S221" s="13"/>
      <c r="T221" s="13"/>
      <c r="U221" s="13">
        <f>'F-09 EP'!U210+'F-09 MGP'!U222+'F-09 FAP'!U222</f>
        <v>185</v>
      </c>
      <c r="V221" s="13">
        <f t="shared" si="60"/>
        <v>185</v>
      </c>
      <c r="W221" s="472">
        <f>'F-09 EP'!W210+'F-09 MGP'!W222+'F-09 FAP'!W222</f>
        <v>27012246.095530819</v>
      </c>
    </row>
    <row r="222" spans="1:23">
      <c r="A222" s="703" t="s">
        <v>6953</v>
      </c>
      <c r="B222" s="13"/>
      <c r="C222" s="13"/>
      <c r="D222" s="13"/>
      <c r="E222" s="13"/>
      <c r="F222" s="13"/>
      <c r="G222" s="13"/>
      <c r="H222" s="13"/>
      <c r="I222" s="13"/>
      <c r="J222" s="13">
        <f>'F-09 EP'!J211+'F-09 MGP'!J223+'F-09 FAP'!J223</f>
        <v>1260</v>
      </c>
      <c r="K222" s="13">
        <f t="shared" si="59"/>
        <v>1260</v>
      </c>
      <c r="L222" s="472">
        <f>'F-09 EP'!L211+'F-09 MGP'!L223+'F-09 FAP'!L223</f>
        <v>149984587.32780376</v>
      </c>
      <c r="M222" s="13"/>
      <c r="N222" s="13"/>
      <c r="O222" s="13"/>
      <c r="P222" s="13"/>
      <c r="Q222" s="13"/>
      <c r="R222" s="13"/>
      <c r="S222" s="13"/>
      <c r="T222" s="13"/>
      <c r="U222" s="13">
        <f>'F-09 EP'!U211+'F-09 MGP'!U223+'F-09 FAP'!U223</f>
        <v>1271</v>
      </c>
      <c r="V222" s="13">
        <f t="shared" si="60"/>
        <v>1271</v>
      </c>
      <c r="W222" s="472">
        <f>'F-09 EP'!W211+'F-09 MGP'!W223+'F-09 FAP'!W223</f>
        <v>152507930.40593114</v>
      </c>
    </row>
    <row r="223" spans="1:23">
      <c r="A223" s="703" t="s">
        <v>6952</v>
      </c>
      <c r="B223" s="13"/>
      <c r="C223" s="13"/>
      <c r="D223" s="13"/>
      <c r="E223" s="13"/>
      <c r="F223" s="13"/>
      <c r="G223" s="13"/>
      <c r="H223" s="13"/>
      <c r="I223" s="13"/>
      <c r="J223" s="13">
        <f>'F-09 EP'!J212+'F-09 MGP'!J224+'F-09 FAP'!J224</f>
        <v>1735</v>
      </c>
      <c r="K223" s="13">
        <f t="shared" si="59"/>
        <v>1735</v>
      </c>
      <c r="L223" s="472">
        <f>'F-09 EP'!L212+'F-09 MGP'!L224+'F-09 FAP'!L224</f>
        <v>144134059.8848452</v>
      </c>
      <c r="M223" s="13"/>
      <c r="N223" s="13"/>
      <c r="O223" s="13"/>
      <c r="P223" s="13"/>
      <c r="Q223" s="13"/>
      <c r="R223" s="13"/>
      <c r="S223" s="13"/>
      <c r="T223" s="13"/>
      <c r="U223" s="13">
        <f>'F-09 EP'!U212+'F-09 MGP'!U224+'F-09 FAP'!U224</f>
        <v>1709</v>
      </c>
      <c r="V223" s="13">
        <f t="shared" si="60"/>
        <v>1709</v>
      </c>
      <c r="W223" s="472">
        <f>'F-09 EP'!W212+'F-09 MGP'!W224+'F-09 FAP'!W224</f>
        <v>142299028.14786643</v>
      </c>
    </row>
    <row r="224" spans="1:23">
      <c r="A224" s="703" t="s">
        <v>6951</v>
      </c>
      <c r="B224" s="13"/>
      <c r="C224" s="13"/>
      <c r="D224" s="13"/>
      <c r="E224" s="13"/>
      <c r="F224" s="13"/>
      <c r="G224" s="13"/>
      <c r="H224" s="13"/>
      <c r="I224" s="13"/>
      <c r="J224" s="13">
        <f>'F-09 EP'!J213+'F-09 MGP'!J225+'F-09 FAP'!J225</f>
        <v>2158</v>
      </c>
      <c r="K224" s="13">
        <f t="shared" si="59"/>
        <v>2158</v>
      </c>
      <c r="L224" s="472">
        <f>'F-09 EP'!L213+'F-09 MGP'!L225+'F-09 FAP'!L225</f>
        <v>133242755.32681882</v>
      </c>
      <c r="M224" s="13"/>
      <c r="N224" s="13"/>
      <c r="O224" s="13"/>
      <c r="P224" s="13"/>
      <c r="Q224" s="13"/>
      <c r="R224" s="13"/>
      <c r="S224" s="13"/>
      <c r="T224" s="13"/>
      <c r="U224" s="13">
        <f>'F-09 EP'!U213+'F-09 MGP'!U225+'F-09 FAP'!U225</f>
        <v>2178</v>
      </c>
      <c r="V224" s="13">
        <f t="shared" si="60"/>
        <v>2178</v>
      </c>
      <c r="W224" s="472">
        <f>'F-09 EP'!W213+'F-09 MGP'!W225+'F-09 FAP'!W225</f>
        <v>138988056.22005239</v>
      </c>
    </row>
    <row r="225" spans="1:23">
      <c r="A225" s="703" t="s">
        <v>6950</v>
      </c>
      <c r="B225" s="13"/>
      <c r="C225" s="13"/>
      <c r="D225" s="13"/>
      <c r="E225" s="13"/>
      <c r="F225" s="13"/>
      <c r="G225" s="13"/>
      <c r="H225" s="13"/>
      <c r="I225" s="13"/>
      <c r="J225" s="13">
        <f>'F-09 EP'!J214+'F-09 MGP'!J226+'F-09 FAP'!J226</f>
        <v>2140</v>
      </c>
      <c r="K225" s="13">
        <f t="shared" si="59"/>
        <v>2140</v>
      </c>
      <c r="L225" s="472">
        <f>'F-09 EP'!L214+'F-09 MGP'!L226+'F-09 FAP'!L226</f>
        <v>114597431.74639417</v>
      </c>
      <c r="M225" s="13"/>
      <c r="N225" s="13"/>
      <c r="O225" s="13"/>
      <c r="P225" s="13"/>
      <c r="Q225" s="13"/>
      <c r="R225" s="13"/>
      <c r="S225" s="13"/>
      <c r="T225" s="13"/>
      <c r="U225" s="13">
        <f>'F-09 EP'!U214+'F-09 MGP'!U226+'F-09 FAP'!U226</f>
        <v>2236</v>
      </c>
      <c r="V225" s="13">
        <f t="shared" si="60"/>
        <v>2236</v>
      </c>
      <c r="W225" s="472">
        <f>'F-09 EP'!W214+'F-09 MGP'!W226+'F-09 FAP'!W226</f>
        <v>119931662.90696847</v>
      </c>
    </row>
    <row r="226" spans="1:23">
      <c r="A226" s="703" t="s">
        <v>6949</v>
      </c>
      <c r="B226" s="13"/>
      <c r="C226" s="13"/>
      <c r="D226" s="13"/>
      <c r="E226" s="13"/>
      <c r="F226" s="13"/>
      <c r="G226" s="13"/>
      <c r="H226" s="13"/>
      <c r="I226" s="13"/>
      <c r="J226" s="13">
        <f>'F-09 EP'!J215+'F-09 MGP'!J227+'F-09 FAP'!J227</f>
        <v>2126</v>
      </c>
      <c r="K226" s="13">
        <f t="shared" si="59"/>
        <v>2126</v>
      </c>
      <c r="L226" s="472">
        <f>'F-09 EP'!L215+'F-09 MGP'!L227+'F-09 FAP'!L227</f>
        <v>102070312.75560753</v>
      </c>
      <c r="M226" s="13"/>
      <c r="N226" s="13"/>
      <c r="O226" s="13"/>
      <c r="P226" s="13"/>
      <c r="Q226" s="13"/>
      <c r="R226" s="13"/>
      <c r="S226" s="13"/>
      <c r="T226" s="13"/>
      <c r="U226" s="13">
        <f>'F-09 EP'!U215+'F-09 MGP'!U227+'F-09 FAP'!U227</f>
        <v>2101</v>
      </c>
      <c r="V226" s="13">
        <f t="shared" si="60"/>
        <v>2101</v>
      </c>
      <c r="W226" s="472">
        <f>'F-09 EP'!W215+'F-09 MGP'!W227+'F-09 FAP'!W227</f>
        <v>101888045.95877841</v>
      </c>
    </row>
    <row r="227" spans="1:23">
      <c r="A227" s="703" t="s">
        <v>6948</v>
      </c>
      <c r="B227" s="13"/>
      <c r="C227" s="13"/>
      <c r="D227" s="13"/>
      <c r="E227" s="13"/>
      <c r="F227" s="13"/>
      <c r="G227" s="13"/>
      <c r="H227" s="13"/>
      <c r="I227" s="13"/>
      <c r="J227" s="13">
        <f>'F-09 EP'!J216+'F-09 MGP'!J228+'F-09 FAP'!J228</f>
        <v>1436</v>
      </c>
      <c r="K227" s="13">
        <f t="shared" si="59"/>
        <v>1436</v>
      </c>
      <c r="L227" s="472">
        <f>'F-09 EP'!L216+'F-09 MGP'!L228+'F-09 FAP'!L228</f>
        <v>65451207.313035257</v>
      </c>
      <c r="M227" s="13"/>
      <c r="N227" s="13"/>
      <c r="O227" s="13"/>
      <c r="P227" s="13"/>
      <c r="Q227" s="13"/>
      <c r="R227" s="13"/>
      <c r="S227" s="13"/>
      <c r="T227" s="13"/>
      <c r="U227" s="13">
        <f>'F-09 EP'!U216+'F-09 MGP'!U228+'F-09 FAP'!U228</f>
        <v>1463</v>
      </c>
      <c r="V227" s="13">
        <f t="shared" si="60"/>
        <v>1463</v>
      </c>
      <c r="W227" s="472">
        <f>'F-09 EP'!W216+'F-09 MGP'!W228+'F-09 FAP'!W228</f>
        <v>61379493.174034238</v>
      </c>
    </row>
    <row r="228" spans="1:23">
      <c r="A228" s="705" t="s">
        <v>6956</v>
      </c>
      <c r="B228" s="484"/>
      <c r="C228" s="484"/>
      <c r="D228" s="484"/>
      <c r="E228" s="484"/>
      <c r="F228" s="484"/>
      <c r="G228" s="484"/>
      <c r="H228" s="484"/>
      <c r="I228" s="484"/>
      <c r="J228" s="491">
        <f t="shared" ref="J228:W228" si="61">SUM(J229:J236)</f>
        <v>40073</v>
      </c>
      <c r="K228" s="484">
        <f t="shared" si="61"/>
        <v>40073</v>
      </c>
      <c r="L228" s="485">
        <f t="shared" si="61"/>
        <v>1724932774.8404481</v>
      </c>
      <c r="M228" s="484">
        <f t="shared" si="61"/>
        <v>0</v>
      </c>
      <c r="N228" s="484">
        <f t="shared" si="61"/>
        <v>0</v>
      </c>
      <c r="O228" s="484">
        <f t="shared" si="61"/>
        <v>0</v>
      </c>
      <c r="P228" s="484">
        <f t="shared" si="61"/>
        <v>0</v>
      </c>
      <c r="Q228" s="484">
        <f t="shared" si="61"/>
        <v>0</v>
      </c>
      <c r="R228" s="484">
        <f t="shared" si="61"/>
        <v>0</v>
      </c>
      <c r="S228" s="484">
        <f t="shared" si="61"/>
        <v>0</v>
      </c>
      <c r="T228" s="484">
        <f t="shared" si="61"/>
        <v>0</v>
      </c>
      <c r="U228" s="484">
        <f t="shared" si="61"/>
        <v>40027</v>
      </c>
      <c r="V228" s="484">
        <f t="shared" si="61"/>
        <v>40027</v>
      </c>
      <c r="W228" s="485">
        <f t="shared" si="61"/>
        <v>1752362627.2971799</v>
      </c>
    </row>
    <row r="229" spans="1:23">
      <c r="A229" s="703" t="s">
        <v>6955</v>
      </c>
      <c r="B229" s="13"/>
      <c r="C229" s="13"/>
      <c r="D229" s="13"/>
      <c r="E229" s="13"/>
      <c r="F229" s="13"/>
      <c r="G229" s="13"/>
      <c r="H229" s="13"/>
      <c r="I229" s="13"/>
      <c r="J229" s="13">
        <f>'F-09 EP'!J218+'F-09 MGP'!J230+'F-09 FAP'!J230</f>
        <v>593</v>
      </c>
      <c r="K229" s="13">
        <f t="shared" ref="K229:K236" si="62">SUM(B229:J229)</f>
        <v>593</v>
      </c>
      <c r="L229" s="472">
        <f>'F-09 EP'!L218+'F-09 MGP'!L230+'F-09 FAP'!L230</f>
        <v>31942096.136655129</v>
      </c>
      <c r="M229" s="13"/>
      <c r="N229" s="13"/>
      <c r="O229" s="13"/>
      <c r="P229" s="13"/>
      <c r="Q229" s="13"/>
      <c r="R229" s="13"/>
      <c r="S229" s="13"/>
      <c r="T229" s="13"/>
      <c r="U229" s="13">
        <f>'F-09 EP'!U218+'F-09 MGP'!U230+'F-09 FAP'!U230</f>
        <v>595</v>
      </c>
      <c r="V229" s="13">
        <f t="shared" ref="V229:V236" si="63">SUM(M229:U229)</f>
        <v>595</v>
      </c>
      <c r="W229" s="472">
        <f>'F-09 EP'!W218+'F-09 MGP'!W230+'F-09 FAP'!W230</f>
        <v>32413311.216080815</v>
      </c>
    </row>
    <row r="230" spans="1:23">
      <c r="A230" s="703" t="s">
        <v>6947</v>
      </c>
      <c r="B230" s="13"/>
      <c r="C230" s="13"/>
      <c r="D230" s="13"/>
      <c r="E230" s="13"/>
      <c r="F230" s="13"/>
      <c r="G230" s="13"/>
      <c r="H230" s="13"/>
      <c r="I230" s="13"/>
      <c r="J230" s="13">
        <f>'F-09 EP'!J219+'F-09 MGP'!J231+'F-09 FAP'!J231</f>
        <v>1582</v>
      </c>
      <c r="K230" s="13">
        <f t="shared" si="62"/>
        <v>1582</v>
      </c>
      <c r="L230" s="472">
        <f>'F-09 EP'!L219+'F-09 MGP'!L231+'F-09 FAP'!L231</f>
        <v>82893994.704371899</v>
      </c>
      <c r="M230" s="13"/>
      <c r="N230" s="13"/>
      <c r="O230" s="13"/>
      <c r="P230" s="13"/>
      <c r="Q230" s="13"/>
      <c r="R230" s="13"/>
      <c r="S230" s="13"/>
      <c r="T230" s="13"/>
      <c r="U230" s="13">
        <f>'F-09 EP'!U219+'F-09 MGP'!U231+'F-09 FAP'!U231</f>
        <v>1591</v>
      </c>
      <c r="V230" s="13">
        <f t="shared" si="63"/>
        <v>1591</v>
      </c>
      <c r="W230" s="472">
        <f>'F-09 EP'!W219+'F-09 MGP'!W231+'F-09 FAP'!W231</f>
        <v>84327382.602499291</v>
      </c>
    </row>
    <row r="231" spans="1:23">
      <c r="A231" s="703" t="s">
        <v>6946</v>
      </c>
      <c r="B231" s="13"/>
      <c r="C231" s="13"/>
      <c r="D231" s="13"/>
      <c r="E231" s="13"/>
      <c r="F231" s="13"/>
      <c r="G231" s="13"/>
      <c r="H231" s="13"/>
      <c r="I231" s="13"/>
      <c r="J231" s="13">
        <f>'F-09 EP'!J220+'F-09 MGP'!J232+'F-09 FAP'!J232</f>
        <v>3768</v>
      </c>
      <c r="K231" s="13">
        <f t="shared" si="62"/>
        <v>3768</v>
      </c>
      <c r="L231" s="472">
        <f>'F-09 EP'!L220+'F-09 MGP'!L232+'F-09 FAP'!L232</f>
        <v>181563929.86978114</v>
      </c>
      <c r="M231" s="13"/>
      <c r="N231" s="13"/>
      <c r="O231" s="13"/>
      <c r="P231" s="13"/>
      <c r="Q231" s="13"/>
      <c r="R231" s="13"/>
      <c r="S231" s="13"/>
      <c r="T231" s="13"/>
      <c r="U231" s="13">
        <f>'F-09 EP'!U220+'F-09 MGP'!U232+'F-09 FAP'!U232</f>
        <v>4020</v>
      </c>
      <c r="V231" s="13">
        <f t="shared" si="63"/>
        <v>4020</v>
      </c>
      <c r="W231" s="472">
        <f>'F-09 EP'!W220+'F-09 MGP'!W232+'F-09 FAP'!W232</f>
        <v>194815588.29471332</v>
      </c>
    </row>
    <row r="232" spans="1:23">
      <c r="A232" s="703" t="s">
        <v>6945</v>
      </c>
      <c r="B232" s="13"/>
      <c r="C232" s="13"/>
      <c r="D232" s="13"/>
      <c r="E232" s="13"/>
      <c r="F232" s="13"/>
      <c r="G232" s="13"/>
      <c r="H232" s="13"/>
      <c r="I232" s="13"/>
      <c r="J232" s="13">
        <f>'F-09 EP'!J221+'F-09 MGP'!J233+'F-09 FAP'!J233</f>
        <v>6840</v>
      </c>
      <c r="K232" s="13">
        <f t="shared" si="62"/>
        <v>6840</v>
      </c>
      <c r="L232" s="472">
        <f>'F-09 EP'!L221+'F-09 MGP'!L233+'F-09 FAP'!L233</f>
        <v>306706796.93285191</v>
      </c>
      <c r="M232" s="13"/>
      <c r="N232" s="13"/>
      <c r="O232" s="13"/>
      <c r="P232" s="13"/>
      <c r="Q232" s="13"/>
      <c r="R232" s="13"/>
      <c r="S232" s="13"/>
      <c r="T232" s="13"/>
      <c r="U232" s="13">
        <f>'F-09 EP'!U221+'F-09 MGP'!U233+'F-09 FAP'!U233</f>
        <v>6877</v>
      </c>
      <c r="V232" s="13">
        <f t="shared" si="63"/>
        <v>6877</v>
      </c>
      <c r="W232" s="472">
        <f>'F-09 EP'!W221+'F-09 MGP'!W233+'F-09 FAP'!W233</f>
        <v>310760716.71412593</v>
      </c>
    </row>
    <row r="233" spans="1:23">
      <c r="A233" s="703" t="s">
        <v>6944</v>
      </c>
      <c r="B233" s="13"/>
      <c r="C233" s="13"/>
      <c r="D233" s="13"/>
      <c r="E233" s="13"/>
      <c r="F233" s="13"/>
      <c r="G233" s="13"/>
      <c r="H233" s="13"/>
      <c r="I233" s="13"/>
      <c r="J233" s="13">
        <f>'F-09 EP'!J222+'F-09 MGP'!J234+'F-09 FAP'!J234</f>
        <v>6702</v>
      </c>
      <c r="K233" s="13">
        <f t="shared" si="62"/>
        <v>6702</v>
      </c>
      <c r="L233" s="472">
        <f>'F-09 EP'!L222+'F-09 MGP'!L234+'F-09 FAP'!L234</f>
        <v>288171155.66011596</v>
      </c>
      <c r="M233" s="13"/>
      <c r="N233" s="13"/>
      <c r="O233" s="13"/>
      <c r="P233" s="13"/>
      <c r="Q233" s="13"/>
      <c r="R233" s="13"/>
      <c r="S233" s="13"/>
      <c r="T233" s="13"/>
      <c r="U233" s="13">
        <f>'F-09 EP'!U222+'F-09 MGP'!U234+'F-09 FAP'!U234</f>
        <v>6809</v>
      </c>
      <c r="V233" s="13">
        <f t="shared" si="63"/>
        <v>6809</v>
      </c>
      <c r="W233" s="472">
        <f>'F-09 EP'!W222+'F-09 MGP'!W234+'F-09 FAP'!W234</f>
        <v>297357299.29205126</v>
      </c>
    </row>
    <row r="234" spans="1:23">
      <c r="A234" s="703" t="s">
        <v>6943</v>
      </c>
      <c r="B234" s="13"/>
      <c r="C234" s="13"/>
      <c r="D234" s="13"/>
      <c r="E234" s="13"/>
      <c r="F234" s="13"/>
      <c r="G234" s="13"/>
      <c r="H234" s="13"/>
      <c r="I234" s="13"/>
      <c r="J234" s="13">
        <f>'F-09 EP'!J223+'F-09 MGP'!J235+'F-09 FAP'!J235</f>
        <v>6481</v>
      </c>
      <c r="K234" s="13">
        <f t="shared" si="62"/>
        <v>6481</v>
      </c>
      <c r="L234" s="472">
        <f>'F-09 EP'!L223+'F-09 MGP'!L235+'F-09 FAP'!L235</f>
        <v>274498713.90283418</v>
      </c>
      <c r="M234" s="13"/>
      <c r="N234" s="13"/>
      <c r="O234" s="13"/>
      <c r="P234" s="13"/>
      <c r="Q234" s="13"/>
      <c r="R234" s="13"/>
      <c r="S234" s="13"/>
      <c r="T234" s="13"/>
      <c r="U234" s="13">
        <f>'F-09 EP'!U223+'F-09 MGP'!U235+'F-09 FAP'!U235</f>
        <v>6420</v>
      </c>
      <c r="V234" s="13">
        <f t="shared" si="63"/>
        <v>6420</v>
      </c>
      <c r="W234" s="472">
        <f>'F-09 EP'!W223+'F-09 MGP'!W235+'F-09 FAP'!W235</f>
        <v>275646932.62609202</v>
      </c>
    </row>
    <row r="235" spans="1:23">
      <c r="A235" s="703" t="s">
        <v>6942</v>
      </c>
      <c r="B235" s="13"/>
      <c r="C235" s="13"/>
      <c r="D235" s="13"/>
      <c r="E235" s="13"/>
      <c r="F235" s="13"/>
      <c r="G235" s="13"/>
      <c r="H235" s="13"/>
      <c r="I235" s="13"/>
      <c r="J235" s="13">
        <f>'F-09 EP'!J224+'F-09 MGP'!J236+'F-09 FAP'!J236</f>
        <v>7161</v>
      </c>
      <c r="K235" s="13">
        <f t="shared" si="62"/>
        <v>7161</v>
      </c>
      <c r="L235" s="472">
        <f>'F-09 EP'!L224+'F-09 MGP'!L236+'F-09 FAP'!L236</f>
        <v>300362126.35709476</v>
      </c>
      <c r="M235" s="13"/>
      <c r="N235" s="13"/>
      <c r="O235" s="13"/>
      <c r="P235" s="13"/>
      <c r="Q235" s="13"/>
      <c r="R235" s="13"/>
      <c r="S235" s="13"/>
      <c r="T235" s="13"/>
      <c r="U235" s="13">
        <f>'F-09 EP'!U224+'F-09 MGP'!U236+'F-09 FAP'!U236</f>
        <v>7407</v>
      </c>
      <c r="V235" s="13">
        <f t="shared" si="63"/>
        <v>7407</v>
      </c>
      <c r="W235" s="472">
        <f>'F-09 EP'!W224+'F-09 MGP'!W236+'F-09 FAP'!W236</f>
        <v>315215926.84426153</v>
      </c>
    </row>
    <row r="236" spans="1:23">
      <c r="A236" s="703" t="s">
        <v>6941</v>
      </c>
      <c r="B236" s="13"/>
      <c r="C236" s="13"/>
      <c r="D236" s="13"/>
      <c r="E236" s="13"/>
      <c r="F236" s="13"/>
      <c r="G236" s="13"/>
      <c r="H236" s="13"/>
      <c r="I236" s="13"/>
      <c r="J236" s="13">
        <f>'F-09 EP'!J225+'F-09 MGP'!J237+'F-09 FAP'!J237</f>
        <v>6946</v>
      </c>
      <c r="K236" s="13">
        <f t="shared" si="62"/>
        <v>6946</v>
      </c>
      <c r="L236" s="472">
        <f>'F-09 EP'!L225+'F-09 MGP'!L237+'F-09 FAP'!L237</f>
        <v>258793961.27674308</v>
      </c>
      <c r="M236" s="13"/>
      <c r="N236" s="13"/>
      <c r="O236" s="13"/>
      <c r="P236" s="13"/>
      <c r="Q236" s="13"/>
      <c r="R236" s="13"/>
      <c r="S236" s="13"/>
      <c r="T236" s="13"/>
      <c r="U236" s="13">
        <f>'F-09 EP'!U225+'F-09 MGP'!U237+'F-09 FAP'!U237</f>
        <v>6308</v>
      </c>
      <c r="V236" s="13">
        <f t="shared" si="63"/>
        <v>6308</v>
      </c>
      <c r="W236" s="472">
        <f>'F-09 EP'!W225+'F-09 MGP'!W237+'F-09 FAP'!W237</f>
        <v>241825469.70735574</v>
      </c>
    </row>
    <row r="237" spans="1:23" ht="24">
      <c r="A237" s="705" t="s">
        <v>6954</v>
      </c>
      <c r="B237" s="484"/>
      <c r="C237" s="484"/>
      <c r="D237" s="484"/>
      <c r="E237" s="484"/>
      <c r="F237" s="484"/>
      <c r="G237" s="484"/>
      <c r="H237" s="484"/>
      <c r="I237" s="484"/>
      <c r="J237" s="484">
        <f t="shared" ref="J237:W237" si="64">SUM(J238:J250)</f>
        <v>474</v>
      </c>
      <c r="K237" s="484">
        <f t="shared" si="64"/>
        <v>474</v>
      </c>
      <c r="L237" s="485">
        <f t="shared" si="64"/>
        <v>27673799.894937739</v>
      </c>
      <c r="M237" s="484">
        <f t="shared" si="64"/>
        <v>0</v>
      </c>
      <c r="N237" s="484">
        <f t="shared" si="64"/>
        <v>0</v>
      </c>
      <c r="O237" s="484">
        <f t="shared" si="64"/>
        <v>0</v>
      </c>
      <c r="P237" s="484">
        <f t="shared" si="64"/>
        <v>0</v>
      </c>
      <c r="Q237" s="484">
        <f t="shared" si="64"/>
        <v>0</v>
      </c>
      <c r="R237" s="484">
        <f t="shared" si="64"/>
        <v>0</v>
      </c>
      <c r="S237" s="484">
        <f t="shared" si="64"/>
        <v>0</v>
      </c>
      <c r="T237" s="484">
        <f t="shared" si="64"/>
        <v>0</v>
      </c>
      <c r="U237" s="484">
        <f t="shared" si="64"/>
        <v>473</v>
      </c>
      <c r="V237" s="484">
        <f t="shared" si="64"/>
        <v>473</v>
      </c>
      <c r="W237" s="485">
        <f t="shared" si="64"/>
        <v>23377166.467041437</v>
      </c>
    </row>
    <row r="238" spans="1:23">
      <c r="A238" s="703" t="s">
        <v>6953</v>
      </c>
      <c r="B238" s="13"/>
      <c r="C238" s="13"/>
      <c r="D238" s="13"/>
      <c r="E238" s="13"/>
      <c r="F238" s="13"/>
      <c r="G238" s="13"/>
      <c r="H238" s="13"/>
      <c r="I238" s="13"/>
      <c r="J238" s="13">
        <f>'F-09 EP'!J227+'F-09 MGP'!J239+'F-09 FAP'!J239</f>
        <v>3</v>
      </c>
      <c r="K238" s="13">
        <f t="shared" ref="K238:K243" si="65">SUM(B238:J238)</f>
        <v>3</v>
      </c>
      <c r="L238" s="472">
        <f>'F-09 EP'!L227+'F-09 MGP'!L239+'F-09 FAP'!L239</f>
        <v>333686.85151061637</v>
      </c>
      <c r="M238" s="13"/>
      <c r="N238" s="13"/>
      <c r="O238" s="13"/>
      <c r="P238" s="13"/>
      <c r="Q238" s="13"/>
      <c r="R238" s="13"/>
      <c r="S238" s="13"/>
      <c r="T238" s="13"/>
      <c r="U238" s="13">
        <f>'F-09 EP'!U227+'F-09 MGP'!U239+'F-09 FAP'!U239</f>
        <v>3</v>
      </c>
      <c r="V238" s="13">
        <f t="shared" ref="V238:V250" si="66">SUM(M238:U238)</f>
        <v>3</v>
      </c>
      <c r="W238" s="472">
        <f>'F-09 EP'!W227+'F-09 MGP'!W239+'F-09 FAP'!W239</f>
        <v>844886.85151061637</v>
      </c>
    </row>
    <row r="239" spans="1:23">
      <c r="A239" s="703" t="s">
        <v>6952</v>
      </c>
      <c r="B239" s="13"/>
      <c r="C239" s="13"/>
      <c r="D239" s="13"/>
      <c r="E239" s="13"/>
      <c r="F239" s="13"/>
      <c r="G239" s="13"/>
      <c r="H239" s="13"/>
      <c r="I239" s="13"/>
      <c r="J239" s="13">
        <f>'F-09 EP'!J228+'F-09 MGP'!J240+'F-09 FAP'!J240</f>
        <v>9</v>
      </c>
      <c r="K239" s="13">
        <f t="shared" si="65"/>
        <v>9</v>
      </c>
      <c r="L239" s="472">
        <f>'F-09 EP'!L228+'F-09 MGP'!L240+'F-09 FAP'!L240</f>
        <v>732185.70302123285</v>
      </c>
      <c r="M239" s="13"/>
      <c r="N239" s="13"/>
      <c r="O239" s="13"/>
      <c r="P239" s="13"/>
      <c r="Q239" s="13"/>
      <c r="R239" s="13"/>
      <c r="S239" s="13"/>
      <c r="T239" s="13"/>
      <c r="U239" s="13">
        <f>'F-09 EP'!U228+'F-09 MGP'!U240+'F-09 FAP'!U240</f>
        <v>10</v>
      </c>
      <c r="V239" s="13">
        <f t="shared" si="66"/>
        <v>10</v>
      </c>
      <c r="W239" s="472">
        <f>'F-09 EP'!W228+'F-09 MGP'!W240+'F-09 FAP'!W240</f>
        <v>1158060.5545318492</v>
      </c>
    </row>
    <row r="240" spans="1:23">
      <c r="A240" s="703" t="s">
        <v>6951</v>
      </c>
      <c r="B240" s="13"/>
      <c r="C240" s="13"/>
      <c r="D240" s="13"/>
      <c r="E240" s="13"/>
      <c r="F240" s="13"/>
      <c r="G240" s="13"/>
      <c r="H240" s="13"/>
      <c r="I240" s="13"/>
      <c r="J240" s="13">
        <f>'F-09 EP'!J229+'F-09 MGP'!J241+'F-09 FAP'!J241</f>
        <v>29</v>
      </c>
      <c r="K240" s="13">
        <f t="shared" si="65"/>
        <v>29</v>
      </c>
      <c r="L240" s="472">
        <f>'F-09 EP'!L229+'F-09 MGP'!L241+'F-09 FAP'!L241</f>
        <v>2085718.8515106165</v>
      </c>
      <c r="M240" s="13"/>
      <c r="N240" s="13"/>
      <c r="O240" s="13"/>
      <c r="P240" s="13"/>
      <c r="Q240" s="13"/>
      <c r="R240" s="13"/>
      <c r="S240" s="13"/>
      <c r="T240" s="13"/>
      <c r="U240" s="13">
        <f>'F-09 EP'!U229+'F-09 MGP'!U241+'F-09 FAP'!U241</f>
        <v>31</v>
      </c>
      <c r="V240" s="13">
        <f t="shared" si="66"/>
        <v>31</v>
      </c>
      <c r="W240" s="472">
        <f>'F-09 EP'!W229+'F-09 MGP'!W241+'F-09 FAP'!W241</f>
        <v>1735148.2915106164</v>
      </c>
    </row>
    <row r="241" spans="1:23">
      <c r="A241" s="703" t="s">
        <v>6950</v>
      </c>
      <c r="B241" s="13"/>
      <c r="C241" s="13"/>
      <c r="D241" s="13"/>
      <c r="E241" s="13"/>
      <c r="F241" s="13"/>
      <c r="G241" s="13"/>
      <c r="H241" s="13"/>
      <c r="I241" s="13"/>
      <c r="J241" s="13">
        <f>'F-09 EP'!J230+'F-09 MGP'!J242+'F-09 FAP'!J242</f>
        <v>15</v>
      </c>
      <c r="K241" s="13">
        <f t="shared" si="65"/>
        <v>15</v>
      </c>
      <c r="L241" s="472">
        <f>'F-09 EP'!L230+'F-09 MGP'!L242+'F-09 FAP'!L242</f>
        <v>987900</v>
      </c>
      <c r="M241" s="13"/>
      <c r="N241" s="13"/>
      <c r="O241" s="13"/>
      <c r="P241" s="13"/>
      <c r="Q241" s="13"/>
      <c r="R241" s="13"/>
      <c r="S241" s="13"/>
      <c r="T241" s="13"/>
      <c r="U241" s="13">
        <f>'F-09 EP'!U230+'F-09 MGP'!U242+'F-09 FAP'!U242</f>
        <v>15</v>
      </c>
      <c r="V241" s="13">
        <f t="shared" si="66"/>
        <v>15</v>
      </c>
      <c r="W241" s="472">
        <f>'F-09 EP'!W230+'F-09 MGP'!W242+'F-09 FAP'!W242</f>
        <v>745826.85151061637</v>
      </c>
    </row>
    <row r="242" spans="1:23">
      <c r="A242" s="703" t="s">
        <v>6949</v>
      </c>
      <c r="B242" s="13"/>
      <c r="C242" s="13"/>
      <c r="D242" s="13"/>
      <c r="E242" s="13"/>
      <c r="F242" s="13"/>
      <c r="G242" s="13"/>
      <c r="H242" s="13"/>
      <c r="I242" s="13"/>
      <c r="J242" s="13">
        <f>'F-09 EP'!J231+'F-09 MGP'!J243+'F-09 FAP'!J243</f>
        <v>12</v>
      </c>
      <c r="K242" s="13">
        <f t="shared" si="65"/>
        <v>12</v>
      </c>
      <c r="L242" s="472">
        <f>'F-09 EP'!L231+'F-09 MGP'!L243+'F-09 FAP'!L243</f>
        <v>710678.85151061637</v>
      </c>
      <c r="M242" s="13"/>
      <c r="N242" s="13"/>
      <c r="O242" s="13"/>
      <c r="P242" s="13"/>
      <c r="Q242" s="13"/>
      <c r="R242" s="13"/>
      <c r="S242" s="13"/>
      <c r="T242" s="13"/>
      <c r="U242" s="13">
        <f>'F-09 EP'!U231+'F-09 MGP'!U243+'F-09 FAP'!U243</f>
        <v>11</v>
      </c>
      <c r="V242" s="13">
        <f t="shared" si="66"/>
        <v>11</v>
      </c>
      <c r="W242" s="472">
        <f>'F-09 EP'!W231+'F-09 MGP'!W243+'F-09 FAP'!W243</f>
        <v>438656</v>
      </c>
    </row>
    <row r="243" spans="1:23">
      <c r="A243" s="703" t="s">
        <v>6948</v>
      </c>
      <c r="B243" s="13"/>
      <c r="C243" s="13"/>
      <c r="D243" s="13"/>
      <c r="E243" s="13"/>
      <c r="F243" s="13"/>
      <c r="G243" s="13"/>
      <c r="H243" s="13"/>
      <c r="I243" s="13"/>
      <c r="J243" s="13">
        <f>'F-09 EP'!J232+'F-09 MGP'!J244+'F-09 FAP'!J244</f>
        <v>27</v>
      </c>
      <c r="K243" s="13">
        <f t="shared" si="65"/>
        <v>27</v>
      </c>
      <c r="L243" s="472">
        <f>'F-09 EP'!L232+'F-09 MGP'!L244+'F-09 FAP'!L244</f>
        <v>1615896</v>
      </c>
      <c r="M243" s="13"/>
      <c r="N243" s="13"/>
      <c r="O243" s="13"/>
      <c r="P243" s="13"/>
      <c r="Q243" s="13"/>
      <c r="R243" s="13"/>
      <c r="S243" s="13"/>
      <c r="T243" s="13"/>
      <c r="U243" s="13">
        <f>'F-09 EP'!U232+'F-09 MGP'!U244+'F-09 FAP'!U244</f>
        <v>25</v>
      </c>
      <c r="V243" s="13">
        <f t="shared" si="66"/>
        <v>25</v>
      </c>
      <c r="W243" s="472">
        <f>'F-09 EP'!W232+'F-09 MGP'!W244+'F-09 FAP'!W244</f>
        <v>783400</v>
      </c>
    </row>
    <row r="244" spans="1:23">
      <c r="A244" s="703" t="s">
        <v>6947</v>
      </c>
      <c r="B244" s="13"/>
      <c r="C244" s="13"/>
      <c r="D244" s="13"/>
      <c r="E244" s="13"/>
      <c r="F244" s="13"/>
      <c r="G244" s="13"/>
      <c r="H244" s="13"/>
      <c r="I244" s="13"/>
      <c r="J244" s="13">
        <f>'F-09 EP'!J233+'F-09 MGP'!J245+'F-09 FAP'!J245</f>
        <v>0</v>
      </c>
      <c r="K244" s="13"/>
      <c r="L244" s="472">
        <f>'F-09 EP'!L233+'F-09 MGP'!L245+'F-09 FAP'!L245</f>
        <v>0</v>
      </c>
      <c r="M244" s="13"/>
      <c r="N244" s="13"/>
      <c r="O244" s="13"/>
      <c r="P244" s="13"/>
      <c r="Q244" s="13"/>
      <c r="R244" s="13"/>
      <c r="S244" s="13"/>
      <c r="T244" s="13"/>
      <c r="U244" s="13">
        <f>'F-09 EP'!U233+'F-09 MGP'!U245+'F-09 FAP'!U245</f>
        <v>0</v>
      </c>
      <c r="V244" s="13">
        <f t="shared" si="66"/>
        <v>0</v>
      </c>
      <c r="W244" s="472">
        <f>'F-09 EP'!W233+'F-09 MGP'!W245+'F-09 FAP'!W245</f>
        <v>0</v>
      </c>
    </row>
    <row r="245" spans="1:23">
      <c r="A245" s="703" t="s">
        <v>6946</v>
      </c>
      <c r="B245" s="13"/>
      <c r="C245" s="13"/>
      <c r="D245" s="13"/>
      <c r="E245" s="13"/>
      <c r="F245" s="13"/>
      <c r="G245" s="13"/>
      <c r="H245" s="13"/>
      <c r="I245" s="13"/>
      <c r="J245" s="13">
        <f>'F-09 EP'!J234+'F-09 MGP'!J246+'F-09 FAP'!J246</f>
        <v>1</v>
      </c>
      <c r="K245" s="13">
        <f t="shared" ref="K245:K250" si="67">SUM(B245:J245)</f>
        <v>1</v>
      </c>
      <c r="L245" s="472">
        <f>'F-09 EP'!L234+'F-09 MGP'!L246+'F-09 FAP'!L246</f>
        <v>46710.851510616412</v>
      </c>
      <c r="M245" s="13"/>
      <c r="N245" s="13"/>
      <c r="O245" s="13"/>
      <c r="P245" s="13"/>
      <c r="Q245" s="13"/>
      <c r="R245" s="13"/>
      <c r="S245" s="13"/>
      <c r="T245" s="13"/>
      <c r="U245" s="13">
        <f>'F-09 EP'!U234+'F-09 MGP'!U246+'F-09 FAP'!U246</f>
        <v>10</v>
      </c>
      <c r="V245" s="13">
        <f t="shared" si="66"/>
        <v>10</v>
      </c>
      <c r="W245" s="472">
        <f>'F-09 EP'!W234+'F-09 MGP'!W246+'F-09 FAP'!W246</f>
        <v>1268204.6290636985</v>
      </c>
    </row>
    <row r="246" spans="1:23">
      <c r="A246" s="703" t="s">
        <v>6945</v>
      </c>
      <c r="B246" s="13"/>
      <c r="C246" s="13"/>
      <c r="D246" s="13"/>
      <c r="E246" s="13"/>
      <c r="F246" s="13"/>
      <c r="G246" s="13"/>
      <c r="H246" s="13"/>
      <c r="I246" s="13"/>
      <c r="J246" s="13">
        <f>'F-09 EP'!J235+'F-09 MGP'!J247+'F-09 FAP'!J247</f>
        <v>34</v>
      </c>
      <c r="K246" s="13">
        <f t="shared" si="67"/>
        <v>34</v>
      </c>
      <c r="L246" s="472">
        <f>'F-09 EP'!L235+'F-09 MGP'!L247+'F-09 FAP'!L247</f>
        <v>1846073.0696380134</v>
      </c>
      <c r="M246" s="13"/>
      <c r="N246" s="13"/>
      <c r="O246" s="13"/>
      <c r="P246" s="13"/>
      <c r="Q246" s="13"/>
      <c r="R246" s="13"/>
      <c r="S246" s="13"/>
      <c r="T246" s="13"/>
      <c r="U246" s="13">
        <f>'F-09 EP'!U235+'F-09 MGP'!U247+'F-09 FAP'!U247</f>
        <v>32</v>
      </c>
      <c r="V246" s="13">
        <f t="shared" si="66"/>
        <v>32</v>
      </c>
      <c r="W246" s="472">
        <f>'F-09 EP'!W235+'F-09 MGP'!W247+'F-09 FAP'!W247</f>
        <v>1965017.2581273969</v>
      </c>
    </row>
    <row r="247" spans="1:23">
      <c r="A247" s="703" t="s">
        <v>6944</v>
      </c>
      <c r="B247" s="13"/>
      <c r="C247" s="13"/>
      <c r="D247" s="13"/>
      <c r="E247" s="13"/>
      <c r="F247" s="13"/>
      <c r="G247" s="13"/>
      <c r="H247" s="13"/>
      <c r="I247" s="13"/>
      <c r="J247" s="13">
        <f>'F-09 EP'!J236+'F-09 MGP'!J248+'F-09 FAP'!J248</f>
        <v>45</v>
      </c>
      <c r="K247" s="13">
        <f t="shared" si="67"/>
        <v>45</v>
      </c>
      <c r="L247" s="472">
        <f>'F-09 EP'!L236+'F-09 MGP'!L248+'F-09 FAP'!L248</f>
        <v>2516974.8120849309</v>
      </c>
      <c r="M247" s="13"/>
      <c r="N247" s="13"/>
      <c r="O247" s="13"/>
      <c r="P247" s="13"/>
      <c r="Q247" s="13"/>
      <c r="R247" s="13"/>
      <c r="S247" s="13"/>
      <c r="T247" s="13"/>
      <c r="U247" s="13">
        <f>'F-09 EP'!U236+'F-09 MGP'!U248+'F-09 FAP'!U248</f>
        <v>42</v>
      </c>
      <c r="V247" s="13">
        <f t="shared" si="66"/>
        <v>42</v>
      </c>
      <c r="W247" s="472">
        <f>'F-09 EP'!W236+'F-09 MGP'!W248+'F-09 FAP'!W248</f>
        <v>2728619.2351061641</v>
      </c>
    </row>
    <row r="248" spans="1:23">
      <c r="A248" s="703" t="s">
        <v>6943</v>
      </c>
      <c r="B248" s="13"/>
      <c r="C248" s="13"/>
      <c r="D248" s="13"/>
      <c r="E248" s="13"/>
      <c r="F248" s="13"/>
      <c r="G248" s="13"/>
      <c r="H248" s="13"/>
      <c r="I248" s="13"/>
      <c r="J248" s="13">
        <f>'F-09 EP'!J237+'F-09 MGP'!J249+'F-09 FAP'!J249</f>
        <v>55</v>
      </c>
      <c r="K248" s="13">
        <f t="shared" si="67"/>
        <v>55</v>
      </c>
      <c r="L248" s="472">
        <f>'F-09 EP'!L237+'F-09 MGP'!L249+'F-09 FAP'!L249</f>
        <v>3047921.6635955479</v>
      </c>
      <c r="M248" s="13"/>
      <c r="N248" s="13"/>
      <c r="O248" s="13"/>
      <c r="P248" s="13"/>
      <c r="Q248" s="13"/>
      <c r="R248" s="13"/>
      <c r="S248" s="13"/>
      <c r="T248" s="13"/>
      <c r="U248" s="13">
        <f>'F-09 EP'!U237+'F-09 MGP'!U249+'F-09 FAP'!U249</f>
        <v>51</v>
      </c>
      <c r="V248" s="13">
        <f t="shared" si="66"/>
        <v>51</v>
      </c>
      <c r="W248" s="472">
        <f>'F-09 EP'!W237+'F-09 MGP'!W249+'F-09 FAP'!W249</f>
        <v>2722973.8290636986</v>
      </c>
    </row>
    <row r="249" spans="1:23">
      <c r="A249" s="703" t="s">
        <v>6942</v>
      </c>
      <c r="B249" s="13"/>
      <c r="C249" s="13"/>
      <c r="D249" s="13"/>
      <c r="E249" s="13"/>
      <c r="F249" s="13"/>
      <c r="G249" s="13"/>
      <c r="H249" s="13"/>
      <c r="I249" s="13"/>
      <c r="J249" s="13">
        <f>'F-09 EP'!J238+'F-09 MGP'!J250+'F-09 FAP'!J250</f>
        <v>49</v>
      </c>
      <c r="K249" s="13">
        <f t="shared" si="67"/>
        <v>49</v>
      </c>
      <c r="L249" s="472">
        <f>'F-09 EP'!L238+'F-09 MGP'!L250+'F-09 FAP'!L250</f>
        <v>2800266.8515106165</v>
      </c>
      <c r="M249" s="13"/>
      <c r="N249" s="13"/>
      <c r="O249" s="13"/>
      <c r="P249" s="13"/>
      <c r="Q249" s="13"/>
      <c r="R249" s="13"/>
      <c r="S249" s="13"/>
      <c r="T249" s="13"/>
      <c r="U249" s="13">
        <f>'F-09 EP'!U238+'F-09 MGP'!U250+'F-09 FAP'!U250</f>
        <v>56</v>
      </c>
      <c r="V249" s="13">
        <f t="shared" si="66"/>
        <v>56</v>
      </c>
      <c r="W249" s="472">
        <f>'F-09 EP'!W238+'F-09 MGP'!W250+'F-09 FAP'!W250</f>
        <v>2253667.8575530821</v>
      </c>
    </row>
    <row r="250" spans="1:23">
      <c r="A250" s="703" t="s">
        <v>6941</v>
      </c>
      <c r="B250" s="13"/>
      <c r="C250" s="13"/>
      <c r="D250" s="13"/>
      <c r="E250" s="13"/>
      <c r="F250" s="13"/>
      <c r="G250" s="13"/>
      <c r="H250" s="13"/>
      <c r="I250" s="13"/>
      <c r="J250" s="13">
        <f>'F-09 EP'!J239+'F-09 MGP'!J251+'F-09 FAP'!J251</f>
        <v>195</v>
      </c>
      <c r="K250" s="13">
        <f t="shared" si="67"/>
        <v>195</v>
      </c>
      <c r="L250" s="472">
        <f>'F-09 EP'!L239+'F-09 MGP'!L251+'F-09 FAP'!L251</f>
        <v>10949786.389044931</v>
      </c>
      <c r="M250" s="13"/>
      <c r="N250" s="13"/>
      <c r="O250" s="13"/>
      <c r="P250" s="13"/>
      <c r="Q250" s="13"/>
      <c r="R250" s="13"/>
      <c r="S250" s="13"/>
      <c r="T250" s="13"/>
      <c r="U250" s="13">
        <f>'F-09 EP'!U239+'F-09 MGP'!U251+'F-09 FAP'!U251</f>
        <v>187</v>
      </c>
      <c r="V250" s="13">
        <f t="shared" si="66"/>
        <v>187</v>
      </c>
      <c r="W250" s="472">
        <f>'F-09 EP'!W239+'F-09 MGP'!W251+'F-09 FAP'!W251</f>
        <v>6732705.1090636989</v>
      </c>
    </row>
    <row r="251" spans="1:23">
      <c r="A251" s="707" t="s">
        <v>6940</v>
      </c>
      <c r="B251" s="493"/>
      <c r="C251" s="493"/>
      <c r="D251" s="493"/>
      <c r="E251" s="493"/>
      <c r="F251" s="493"/>
      <c r="G251" s="493"/>
      <c r="H251" s="493"/>
      <c r="I251" s="493"/>
      <c r="J251" s="494">
        <f>J252+J257+J261+J265+J269+J273</f>
        <v>41159</v>
      </c>
      <c r="K251" s="494">
        <f>K252+K257+K261+K265+K269+K273</f>
        <v>41159</v>
      </c>
      <c r="L251" s="492">
        <f t="shared" ref="L251:T251" si="68">L252+L257+L261+L265+L269+L273+L277+L282+L286+L289</f>
        <v>219101870</v>
      </c>
      <c r="M251" s="493">
        <f t="shared" si="68"/>
        <v>0</v>
      </c>
      <c r="N251" s="493">
        <f t="shared" si="68"/>
        <v>0</v>
      </c>
      <c r="O251" s="493">
        <f t="shared" si="68"/>
        <v>0</v>
      </c>
      <c r="P251" s="493">
        <f t="shared" si="68"/>
        <v>0</v>
      </c>
      <c r="Q251" s="493">
        <f t="shared" si="68"/>
        <v>0</v>
      </c>
      <c r="R251" s="493">
        <f t="shared" si="68"/>
        <v>0</v>
      </c>
      <c r="S251" s="493">
        <f t="shared" si="68"/>
        <v>0</v>
      </c>
      <c r="T251" s="493">
        <f t="shared" si="68"/>
        <v>0</v>
      </c>
      <c r="U251" s="493">
        <f>U252+U257+U261+U265+U269+U273</f>
        <v>41501</v>
      </c>
      <c r="V251" s="493">
        <f>V252+V257+V261+V265+V269+V273</f>
        <v>41501</v>
      </c>
      <c r="W251" s="492">
        <f>W252+W257+W261+W265+W269+W273+W277+W282+W286+W289</f>
        <v>214144343.70000002</v>
      </c>
    </row>
    <row r="252" spans="1:23">
      <c r="A252" s="705" t="s">
        <v>6939</v>
      </c>
      <c r="B252" s="484"/>
      <c r="C252" s="484"/>
      <c r="D252" s="484"/>
      <c r="E252" s="484"/>
      <c r="F252" s="484"/>
      <c r="G252" s="484"/>
      <c r="H252" s="484"/>
      <c r="I252" s="484"/>
      <c r="J252" s="491">
        <f t="shared" ref="J252:W252" si="69">SUM(J253:J256)</f>
        <v>35896</v>
      </c>
      <c r="K252" s="491">
        <f t="shared" si="69"/>
        <v>35896</v>
      </c>
      <c r="L252" s="485">
        <f t="shared" si="69"/>
        <v>162534173</v>
      </c>
      <c r="M252" s="484">
        <f t="shared" si="69"/>
        <v>0</v>
      </c>
      <c r="N252" s="484">
        <f t="shared" si="69"/>
        <v>0</v>
      </c>
      <c r="O252" s="484">
        <f t="shared" si="69"/>
        <v>0</v>
      </c>
      <c r="P252" s="484">
        <f t="shared" si="69"/>
        <v>0</v>
      </c>
      <c r="Q252" s="484">
        <f t="shared" si="69"/>
        <v>0</v>
      </c>
      <c r="R252" s="484">
        <f t="shared" si="69"/>
        <v>0</v>
      </c>
      <c r="S252" s="484">
        <f t="shared" si="69"/>
        <v>0</v>
      </c>
      <c r="T252" s="484">
        <f t="shared" si="69"/>
        <v>0</v>
      </c>
      <c r="U252" s="484">
        <f t="shared" si="69"/>
        <v>35712</v>
      </c>
      <c r="V252" s="484">
        <f t="shared" si="69"/>
        <v>35712</v>
      </c>
      <c r="W252" s="485">
        <f t="shared" si="69"/>
        <v>161243609.05000001</v>
      </c>
    </row>
    <row r="253" spans="1:23">
      <c r="A253" s="703" t="s">
        <v>6923</v>
      </c>
      <c r="B253" s="13"/>
      <c r="C253" s="13"/>
      <c r="D253" s="13"/>
      <c r="E253" s="13"/>
      <c r="F253" s="13"/>
      <c r="G253" s="13"/>
      <c r="H253" s="13"/>
      <c r="I253" s="13"/>
      <c r="J253" s="13">
        <f>'F-09 EP'!J242+'F-09 MGP'!J254+'F-09 FAP'!J254</f>
        <v>1796</v>
      </c>
      <c r="K253" s="13">
        <f>SUM(B253:J253)</f>
        <v>1796</v>
      </c>
      <c r="L253" s="472">
        <f>'F-09 EP'!L242+'F-09 MGP'!L254+'F-09 FAP'!L254</f>
        <v>7952280</v>
      </c>
      <c r="M253" s="13"/>
      <c r="N253" s="13"/>
      <c r="O253" s="13"/>
      <c r="P253" s="13"/>
      <c r="Q253" s="13"/>
      <c r="R253" s="13"/>
      <c r="S253" s="13"/>
      <c r="T253" s="13"/>
      <c r="U253" s="13">
        <f>'F-09 EP'!U242+'F-09 MGP'!U254+'F-09 FAP'!U254</f>
        <v>1825</v>
      </c>
      <c r="V253" s="13">
        <f>SUM(M253:U253)</f>
        <v>1825</v>
      </c>
      <c r="W253" s="472">
        <f>'F-09 EP'!W242+'F-09 MGP'!W254+'F-09 FAP'!W254</f>
        <v>7993500</v>
      </c>
    </row>
    <row r="254" spans="1:23">
      <c r="A254" s="703" t="s">
        <v>6925</v>
      </c>
      <c r="B254" s="13"/>
      <c r="C254" s="13"/>
      <c r="D254" s="13"/>
      <c r="E254" s="13"/>
      <c r="F254" s="13"/>
      <c r="G254" s="13"/>
      <c r="H254" s="13"/>
      <c r="I254" s="13"/>
      <c r="J254" s="13">
        <f>'F-09 EP'!J243+'F-09 MGP'!J255+'F-09 FAP'!J255</f>
        <v>6100</v>
      </c>
      <c r="K254" s="13">
        <f>SUM(B254:J254)</f>
        <v>6100</v>
      </c>
      <c r="L254" s="472">
        <f>'F-09 EP'!L243+'F-09 MGP'!L255+'F-09 FAP'!L255</f>
        <v>24121800</v>
      </c>
      <c r="M254" s="13"/>
      <c r="N254" s="13"/>
      <c r="O254" s="13"/>
      <c r="P254" s="13"/>
      <c r="Q254" s="13"/>
      <c r="R254" s="13"/>
      <c r="S254" s="13"/>
      <c r="T254" s="13"/>
      <c r="U254" s="13">
        <f>'F-09 EP'!U243+'F-09 MGP'!U255+'F-09 FAP'!U255</f>
        <v>5690</v>
      </c>
      <c r="V254" s="13">
        <f>SUM(M254:U254)</f>
        <v>5690</v>
      </c>
      <c r="W254" s="472">
        <f>'F-09 EP'!W243+'F-09 MGP'!W255+'F-09 FAP'!W255</f>
        <v>22464120</v>
      </c>
    </row>
    <row r="255" spans="1:23">
      <c r="A255" s="703" t="s">
        <v>6927</v>
      </c>
      <c r="B255" s="13"/>
      <c r="C255" s="13"/>
      <c r="D255" s="13"/>
      <c r="E255" s="13"/>
      <c r="F255" s="13"/>
      <c r="G255" s="13"/>
      <c r="H255" s="13"/>
      <c r="I255" s="13"/>
      <c r="J255" s="13">
        <f>'F-09 EP'!J244+'F-09 MGP'!J256+'F-09 FAP'!J256</f>
        <v>10358</v>
      </c>
      <c r="K255" s="13">
        <f>SUM(B255:J255)</f>
        <v>10358</v>
      </c>
      <c r="L255" s="472">
        <f>'F-09 EP'!L244+'F-09 MGP'!L256+'F-09 FAP'!L256</f>
        <v>36481632</v>
      </c>
      <c r="M255" s="13"/>
      <c r="N255" s="13"/>
      <c r="O255" s="13"/>
      <c r="P255" s="13"/>
      <c r="Q255" s="13"/>
      <c r="R255" s="13"/>
      <c r="S255" s="13"/>
      <c r="T255" s="13"/>
      <c r="U255" s="13">
        <f>'F-09 EP'!U244+'F-09 MGP'!U256+'F-09 FAP'!U256</f>
        <v>10360</v>
      </c>
      <c r="V255" s="13">
        <f>SUM(M255:U255)</f>
        <v>10360</v>
      </c>
      <c r="W255" s="472">
        <f>'F-09 EP'!W244+'F-09 MGP'!W256+'F-09 FAP'!W256</f>
        <v>36301440</v>
      </c>
    </row>
    <row r="256" spans="1:23">
      <c r="A256" s="703" t="s">
        <v>6929</v>
      </c>
      <c r="B256" s="13"/>
      <c r="C256" s="13"/>
      <c r="D256" s="13"/>
      <c r="E256" s="13"/>
      <c r="F256" s="13"/>
      <c r="G256" s="13"/>
      <c r="H256" s="13"/>
      <c r="I256" s="13"/>
      <c r="J256" s="13">
        <f>'F-09 EP'!J245+'F-09 MGP'!J257+'F-09 FAP'!J257</f>
        <v>17642</v>
      </c>
      <c r="K256" s="13">
        <f>SUM(B256:J256)</f>
        <v>17642</v>
      </c>
      <c r="L256" s="472">
        <f>'F-09 EP'!L245+'F-09 MGP'!L257+'F-09 FAP'!L257</f>
        <v>93978461</v>
      </c>
      <c r="M256" s="13"/>
      <c r="N256" s="13"/>
      <c r="O256" s="13"/>
      <c r="P256" s="13"/>
      <c r="Q256" s="13"/>
      <c r="R256" s="13"/>
      <c r="S256" s="13"/>
      <c r="T256" s="13"/>
      <c r="U256" s="13">
        <f>'F-09 EP'!U245+'F-09 MGP'!U257+'F-09 FAP'!U257</f>
        <v>17837</v>
      </c>
      <c r="V256" s="13">
        <f>SUM(M256:U256)</f>
        <v>17837</v>
      </c>
      <c r="W256" s="472">
        <f>'F-09 EP'!W245+'F-09 MGP'!W257+'F-09 FAP'!W257</f>
        <v>94484549.049999997</v>
      </c>
    </row>
    <row r="257" spans="1:23">
      <c r="A257" s="705" t="s">
        <v>6938</v>
      </c>
      <c r="B257" s="484"/>
      <c r="C257" s="484"/>
      <c r="D257" s="484"/>
      <c r="E257" s="484"/>
      <c r="F257" s="484"/>
      <c r="G257" s="484"/>
      <c r="H257" s="484"/>
      <c r="I257" s="484"/>
      <c r="J257" s="484">
        <f t="shared" ref="J257:W257" si="70">SUM(J258:J260)</f>
        <v>3154</v>
      </c>
      <c r="K257" s="484">
        <f t="shared" si="70"/>
        <v>3154</v>
      </c>
      <c r="L257" s="485">
        <f t="shared" si="70"/>
        <v>19467564</v>
      </c>
      <c r="M257" s="484">
        <f t="shared" si="70"/>
        <v>0</v>
      </c>
      <c r="N257" s="484">
        <f t="shared" si="70"/>
        <v>0</v>
      </c>
      <c r="O257" s="484">
        <f t="shared" si="70"/>
        <v>0</v>
      </c>
      <c r="P257" s="484">
        <f t="shared" si="70"/>
        <v>0</v>
      </c>
      <c r="Q257" s="484">
        <f t="shared" si="70"/>
        <v>0</v>
      </c>
      <c r="R257" s="484">
        <f t="shared" si="70"/>
        <v>0</v>
      </c>
      <c r="S257" s="484">
        <f t="shared" si="70"/>
        <v>0</v>
      </c>
      <c r="T257" s="484">
        <f t="shared" si="70"/>
        <v>0</v>
      </c>
      <c r="U257" s="484">
        <f t="shared" si="70"/>
        <v>3592</v>
      </c>
      <c r="V257" s="484">
        <f t="shared" si="70"/>
        <v>3592</v>
      </c>
      <c r="W257" s="485">
        <f t="shared" si="70"/>
        <v>21841632</v>
      </c>
    </row>
    <row r="258" spans="1:23">
      <c r="A258" s="703" t="s">
        <v>6933</v>
      </c>
      <c r="B258" s="13"/>
      <c r="C258" s="13"/>
      <c r="D258" s="13"/>
      <c r="E258" s="13"/>
      <c r="F258" s="13"/>
      <c r="G258" s="13"/>
      <c r="H258" s="13"/>
      <c r="I258" s="13"/>
      <c r="J258" s="13">
        <f>'F-09 EP'!J247+'F-09 MGP'!J259+'F-09 FAP'!J259</f>
        <v>1504</v>
      </c>
      <c r="K258" s="13">
        <f>SUM(B258:J258)</f>
        <v>1504</v>
      </c>
      <c r="L258" s="472">
        <f>'F-09 EP'!L247+'F-09 MGP'!L259+'F-09 FAP'!L259</f>
        <v>9890304</v>
      </c>
      <c r="M258" s="13"/>
      <c r="N258" s="13"/>
      <c r="O258" s="13"/>
      <c r="P258" s="13"/>
      <c r="Q258" s="13"/>
      <c r="R258" s="13"/>
      <c r="S258" s="13"/>
      <c r="T258" s="13"/>
      <c r="U258" s="13">
        <f>'F-09 EP'!U247+'F-09 MGP'!U259+'F-09 FAP'!U259</f>
        <v>1500</v>
      </c>
      <c r="V258" s="13">
        <f>SUM(M258:U258)</f>
        <v>1500</v>
      </c>
      <c r="W258" s="472">
        <f>'F-09 EP'!W247+'F-09 MGP'!W259+'F-09 FAP'!W259</f>
        <v>9864000</v>
      </c>
    </row>
    <row r="259" spans="1:23">
      <c r="A259" s="703" t="s">
        <v>6932</v>
      </c>
      <c r="B259" s="13"/>
      <c r="C259" s="13"/>
      <c r="D259" s="13"/>
      <c r="E259" s="13"/>
      <c r="F259" s="13"/>
      <c r="G259" s="13"/>
      <c r="H259" s="13"/>
      <c r="I259" s="13"/>
      <c r="J259" s="13">
        <f>'F-09 EP'!J248+'F-09 MGP'!J260+'F-09 FAP'!J260</f>
        <v>1371</v>
      </c>
      <c r="K259" s="13">
        <f>SUM(B259:J259)</f>
        <v>1371</v>
      </c>
      <c r="L259" s="472">
        <f>'F-09 EP'!L248+'F-09 MGP'!L260+'F-09 FAP'!L260</f>
        <v>8110836</v>
      </c>
      <c r="M259" s="13"/>
      <c r="N259" s="13"/>
      <c r="O259" s="13"/>
      <c r="P259" s="13"/>
      <c r="Q259" s="13"/>
      <c r="R259" s="13"/>
      <c r="S259" s="13"/>
      <c r="T259" s="13"/>
      <c r="U259" s="13">
        <f>'F-09 EP'!U248+'F-09 MGP'!U260+'F-09 FAP'!U260</f>
        <v>1488</v>
      </c>
      <c r="V259" s="13">
        <f>SUM(M259:U259)</f>
        <v>1488</v>
      </c>
      <c r="W259" s="472">
        <f>'F-09 EP'!W248+'F-09 MGP'!W260+'F-09 FAP'!W260</f>
        <v>8803008</v>
      </c>
    </row>
    <row r="260" spans="1:23">
      <c r="A260" s="703" t="s">
        <v>6931</v>
      </c>
      <c r="B260" s="13"/>
      <c r="C260" s="13"/>
      <c r="D260" s="13"/>
      <c r="E260" s="13"/>
      <c r="F260" s="13"/>
      <c r="G260" s="13"/>
      <c r="H260" s="13"/>
      <c r="I260" s="13"/>
      <c r="J260" s="13">
        <f>'F-09 EP'!J249+'F-09 MGP'!J261+'F-09 FAP'!J261</f>
        <v>279</v>
      </c>
      <c r="K260" s="13">
        <f>SUM(B260:J260)</f>
        <v>279</v>
      </c>
      <c r="L260" s="472">
        <f>'F-09 EP'!L249+'F-09 MGP'!L261+'F-09 FAP'!L261</f>
        <v>1466424</v>
      </c>
      <c r="M260" s="13"/>
      <c r="N260" s="13"/>
      <c r="O260" s="13"/>
      <c r="P260" s="13"/>
      <c r="Q260" s="13"/>
      <c r="R260" s="13"/>
      <c r="S260" s="13"/>
      <c r="T260" s="13"/>
      <c r="U260" s="13">
        <f>'F-09 EP'!U249+'F-09 MGP'!U261+'F-09 FAP'!U261</f>
        <v>604</v>
      </c>
      <c r="V260" s="13">
        <f>SUM(M260:U260)</f>
        <v>604</v>
      </c>
      <c r="W260" s="472">
        <f>'F-09 EP'!W249+'F-09 MGP'!W261+'F-09 FAP'!W261</f>
        <v>3174624</v>
      </c>
    </row>
    <row r="261" spans="1:23">
      <c r="A261" s="705" t="s">
        <v>6937</v>
      </c>
      <c r="B261" s="484"/>
      <c r="C261" s="484"/>
      <c r="D261" s="484"/>
      <c r="E261" s="484"/>
      <c r="F261" s="484"/>
      <c r="G261" s="484"/>
      <c r="H261" s="484"/>
      <c r="I261" s="484"/>
      <c r="J261" s="484">
        <f t="shared" ref="J261:W261" si="71">SUM(J262:J264)</f>
        <v>1430</v>
      </c>
      <c r="K261" s="484">
        <f t="shared" si="71"/>
        <v>1430</v>
      </c>
      <c r="L261" s="485">
        <f t="shared" si="71"/>
        <v>10196400</v>
      </c>
      <c r="M261" s="484">
        <f t="shared" si="71"/>
        <v>0</v>
      </c>
      <c r="N261" s="484">
        <f t="shared" si="71"/>
        <v>0</v>
      </c>
      <c r="O261" s="484">
        <f t="shared" si="71"/>
        <v>0</v>
      </c>
      <c r="P261" s="484">
        <f t="shared" si="71"/>
        <v>0</v>
      </c>
      <c r="Q261" s="484">
        <f t="shared" si="71"/>
        <v>0</v>
      </c>
      <c r="R261" s="484">
        <f t="shared" si="71"/>
        <v>0</v>
      </c>
      <c r="S261" s="484">
        <f t="shared" si="71"/>
        <v>0</v>
      </c>
      <c r="T261" s="484">
        <f t="shared" si="71"/>
        <v>0</v>
      </c>
      <c r="U261" s="484">
        <f t="shared" si="71"/>
        <v>1742</v>
      </c>
      <c r="V261" s="484">
        <f t="shared" si="71"/>
        <v>1742</v>
      </c>
      <c r="W261" s="485">
        <f t="shared" si="71"/>
        <v>12268128</v>
      </c>
    </row>
    <row r="262" spans="1:23">
      <c r="A262" s="703" t="s">
        <v>6933</v>
      </c>
      <c r="B262" s="13"/>
      <c r="C262" s="13"/>
      <c r="D262" s="13"/>
      <c r="E262" s="13"/>
      <c r="F262" s="13"/>
      <c r="G262" s="13"/>
      <c r="H262" s="13"/>
      <c r="I262" s="13"/>
      <c r="J262" s="13">
        <f>'F-09 EP'!J251+'F-09 MGP'!J263+'F-09 FAP'!J263</f>
        <v>1259</v>
      </c>
      <c r="K262" s="13">
        <f>SUM(B262:J262)</f>
        <v>1259</v>
      </c>
      <c r="L262" s="472">
        <f>'F-09 EP'!L251+'F-09 MGP'!L263+'F-09 FAP'!L263</f>
        <v>9095016</v>
      </c>
      <c r="M262" s="13"/>
      <c r="N262" s="13"/>
      <c r="O262" s="13"/>
      <c r="P262" s="13"/>
      <c r="Q262" s="13"/>
      <c r="R262" s="13"/>
      <c r="S262" s="13"/>
      <c r="T262" s="13"/>
      <c r="U262" s="13">
        <f>'F-09 EP'!U251+'F-09 MGP'!U263+'F-09 FAP'!U263</f>
        <v>1334</v>
      </c>
      <c r="V262" s="13">
        <f>SUM(M262:U262)</f>
        <v>1334</v>
      </c>
      <c r="W262" s="472">
        <f>'F-09 EP'!W251+'F-09 MGP'!W263+'F-09 FAP'!W263</f>
        <v>9636816</v>
      </c>
    </row>
    <row r="263" spans="1:23">
      <c r="A263" s="703" t="s">
        <v>6932</v>
      </c>
      <c r="B263" s="13"/>
      <c r="C263" s="13"/>
      <c r="D263" s="13"/>
      <c r="E263" s="13"/>
      <c r="F263" s="13"/>
      <c r="G263" s="13"/>
      <c r="H263" s="13"/>
      <c r="I263" s="13"/>
      <c r="J263" s="13">
        <f>'F-09 EP'!J252+'F-09 MGP'!J264+'F-09 FAP'!J264</f>
        <v>156</v>
      </c>
      <c r="K263" s="13">
        <f>SUM(B263:J263)</f>
        <v>156</v>
      </c>
      <c r="L263" s="472">
        <f>'F-09 EP'!L252+'F-09 MGP'!L264+'F-09 FAP'!L264</f>
        <v>1014624</v>
      </c>
      <c r="M263" s="13"/>
      <c r="N263" s="13"/>
      <c r="O263" s="13"/>
      <c r="P263" s="13"/>
      <c r="Q263" s="13"/>
      <c r="R263" s="13"/>
      <c r="S263" s="13"/>
      <c r="T263" s="13"/>
      <c r="U263" s="13">
        <f>'F-09 EP'!U252+'F-09 MGP'!U264+'F-09 FAP'!U264</f>
        <v>377</v>
      </c>
      <c r="V263" s="13">
        <f>SUM(M263:U263)</f>
        <v>377</v>
      </c>
      <c r="W263" s="472">
        <f>'F-09 EP'!W252+'F-09 MGP'!W264+'F-09 FAP'!W264</f>
        <v>2452008</v>
      </c>
    </row>
    <row r="264" spans="1:23">
      <c r="A264" s="703" t="s">
        <v>6931</v>
      </c>
      <c r="B264" s="13"/>
      <c r="C264" s="13"/>
      <c r="D264" s="13"/>
      <c r="E264" s="13"/>
      <c r="F264" s="13"/>
      <c r="G264" s="13"/>
      <c r="H264" s="13"/>
      <c r="I264" s="13"/>
      <c r="J264" s="13">
        <f>'F-09 EP'!J253+'F-09 MGP'!J265+'F-09 FAP'!J265</f>
        <v>15</v>
      </c>
      <c r="K264" s="13">
        <f>SUM(B264:J264)</f>
        <v>15</v>
      </c>
      <c r="L264" s="472">
        <f>'F-09 EP'!L253+'F-09 MGP'!L265+'F-09 FAP'!L265</f>
        <v>86760</v>
      </c>
      <c r="M264" s="13"/>
      <c r="N264" s="13"/>
      <c r="O264" s="13"/>
      <c r="P264" s="13"/>
      <c r="Q264" s="13"/>
      <c r="R264" s="13"/>
      <c r="S264" s="13"/>
      <c r="T264" s="13"/>
      <c r="U264" s="13">
        <f>'F-09 EP'!U253+'F-09 MGP'!U265+'F-09 FAP'!U265</f>
        <v>31</v>
      </c>
      <c r="V264" s="13">
        <f>SUM(M264:U264)</f>
        <v>31</v>
      </c>
      <c r="W264" s="472">
        <f>'F-09 EP'!W253+'F-09 MGP'!W265+'F-09 FAP'!W265</f>
        <v>179304</v>
      </c>
    </row>
    <row r="265" spans="1:23">
      <c r="A265" s="705" t="s">
        <v>6936</v>
      </c>
      <c r="B265" s="484"/>
      <c r="C265" s="484"/>
      <c r="D265" s="484"/>
      <c r="E265" s="484"/>
      <c r="F265" s="484"/>
      <c r="G265" s="484"/>
      <c r="H265" s="484"/>
      <c r="I265" s="484"/>
      <c r="J265" s="484">
        <f t="shared" ref="J265:W265" si="72">SUM(J266:J268)</f>
        <v>646</v>
      </c>
      <c r="K265" s="484">
        <f t="shared" si="72"/>
        <v>646</v>
      </c>
      <c r="L265" s="485">
        <f t="shared" si="72"/>
        <v>5112024</v>
      </c>
      <c r="M265" s="484">
        <f t="shared" si="72"/>
        <v>0</v>
      </c>
      <c r="N265" s="484">
        <f t="shared" si="72"/>
        <v>0</v>
      </c>
      <c r="O265" s="484">
        <f t="shared" si="72"/>
        <v>0</v>
      </c>
      <c r="P265" s="484">
        <f t="shared" si="72"/>
        <v>0</v>
      </c>
      <c r="Q265" s="484">
        <f t="shared" si="72"/>
        <v>0</v>
      </c>
      <c r="R265" s="484">
        <f t="shared" si="72"/>
        <v>0</v>
      </c>
      <c r="S265" s="484">
        <f t="shared" si="72"/>
        <v>0</v>
      </c>
      <c r="T265" s="484">
        <f t="shared" si="72"/>
        <v>0</v>
      </c>
      <c r="U265" s="484">
        <f t="shared" si="72"/>
        <v>367</v>
      </c>
      <c r="V265" s="484">
        <f t="shared" si="72"/>
        <v>367</v>
      </c>
      <c r="W265" s="485">
        <f t="shared" si="72"/>
        <v>2860008</v>
      </c>
    </row>
    <row r="266" spans="1:23">
      <c r="A266" s="703" t="s">
        <v>6933</v>
      </c>
      <c r="B266" s="13"/>
      <c r="C266" s="13"/>
      <c r="D266" s="13"/>
      <c r="E266" s="13"/>
      <c r="F266" s="13"/>
      <c r="G266" s="13"/>
      <c r="H266" s="13"/>
      <c r="I266" s="13"/>
      <c r="J266" s="13">
        <f>'F-09 EP'!J255+'F-09 MGP'!J267+'F-09 FAP'!J267</f>
        <v>621</v>
      </c>
      <c r="K266" s="13">
        <f>SUM(B266:J266)</f>
        <v>621</v>
      </c>
      <c r="L266" s="472">
        <f>'F-09 EP'!L255+'F-09 MGP'!L267+'F-09 FAP'!L267</f>
        <v>4933224</v>
      </c>
      <c r="M266" s="13"/>
      <c r="N266" s="13"/>
      <c r="O266" s="13"/>
      <c r="P266" s="13"/>
      <c r="Q266" s="13"/>
      <c r="R266" s="13"/>
      <c r="S266" s="13"/>
      <c r="T266" s="13"/>
      <c r="U266" s="13">
        <f>'F-09 EP'!U255+'F-09 MGP'!U267+'F-09 FAP'!U267</f>
        <v>312</v>
      </c>
      <c r="V266" s="13">
        <f>SUM(M266:U266)</f>
        <v>312</v>
      </c>
      <c r="W266" s="472">
        <f>'F-09 EP'!W255+'F-09 MGP'!W267+'F-09 FAP'!W267</f>
        <v>2478528</v>
      </c>
    </row>
    <row r="267" spans="1:23">
      <c r="A267" s="703" t="s">
        <v>6932</v>
      </c>
      <c r="B267" s="13"/>
      <c r="C267" s="13"/>
      <c r="D267" s="13"/>
      <c r="E267" s="13"/>
      <c r="F267" s="13"/>
      <c r="G267" s="13"/>
      <c r="H267" s="13"/>
      <c r="I267" s="13"/>
      <c r="J267" s="13">
        <f>'F-09 EP'!J256+'F-09 MGP'!J268+'F-09 FAP'!J268</f>
        <v>25</v>
      </c>
      <c r="K267" s="13">
        <f>SUM(B267:J267)</f>
        <v>25</v>
      </c>
      <c r="L267" s="472">
        <f>'F-09 EP'!L256+'F-09 MGP'!L268+'F-09 FAP'!L268</f>
        <v>178800</v>
      </c>
      <c r="M267" s="13"/>
      <c r="N267" s="13"/>
      <c r="O267" s="13"/>
      <c r="P267" s="13"/>
      <c r="Q267" s="13"/>
      <c r="R267" s="13"/>
      <c r="S267" s="13"/>
      <c r="T267" s="13"/>
      <c r="U267" s="13">
        <f>'F-09 EP'!U256+'F-09 MGP'!U268+'F-09 FAP'!U268</f>
        <v>40</v>
      </c>
      <c r="V267" s="13">
        <f>SUM(M267:U267)</f>
        <v>40</v>
      </c>
      <c r="W267" s="472">
        <f>'F-09 EP'!W256+'F-09 MGP'!W268+'F-09 FAP'!W268</f>
        <v>286080</v>
      </c>
    </row>
    <row r="268" spans="1:23">
      <c r="A268" s="703" t="s">
        <v>6931</v>
      </c>
      <c r="B268" s="13"/>
      <c r="C268" s="13"/>
      <c r="D268" s="13"/>
      <c r="E268" s="13"/>
      <c r="F268" s="13"/>
      <c r="G268" s="13"/>
      <c r="H268" s="13"/>
      <c r="I268" s="13"/>
      <c r="J268" s="13">
        <f>'F-09 EP'!J257+'F-09 MGP'!J269+'F-09 FAP'!J269</f>
        <v>0</v>
      </c>
      <c r="K268" s="13">
        <f>SUM(B268:J268)</f>
        <v>0</v>
      </c>
      <c r="L268" s="472">
        <f>'F-09 EP'!L257+'F-09 MGP'!L269+'F-09 FAP'!L269</f>
        <v>0</v>
      </c>
      <c r="M268" s="13"/>
      <c r="N268" s="13"/>
      <c r="O268" s="13"/>
      <c r="P268" s="13"/>
      <c r="Q268" s="13"/>
      <c r="R268" s="13"/>
      <c r="S268" s="13"/>
      <c r="T268" s="13"/>
      <c r="U268" s="13">
        <f>'F-09 EP'!U257+'F-09 MGP'!U269+'F-09 FAP'!U269</f>
        <v>15</v>
      </c>
      <c r="V268" s="13">
        <f>SUM(M268:U268)</f>
        <v>15</v>
      </c>
      <c r="W268" s="472">
        <f>'F-09 EP'!W257+'F-09 MGP'!W269+'F-09 FAP'!W269</f>
        <v>95400</v>
      </c>
    </row>
    <row r="269" spans="1:23">
      <c r="A269" s="705" t="s">
        <v>6935</v>
      </c>
      <c r="B269" s="484"/>
      <c r="C269" s="484"/>
      <c r="D269" s="484"/>
      <c r="E269" s="484"/>
      <c r="F269" s="484"/>
      <c r="G269" s="484"/>
      <c r="H269" s="484"/>
      <c r="I269" s="484"/>
      <c r="J269" s="484">
        <f t="shared" ref="J269:W269" si="73">SUM(J270:J272)</f>
        <v>28</v>
      </c>
      <c r="K269" s="484">
        <f t="shared" si="73"/>
        <v>28</v>
      </c>
      <c r="L269" s="485">
        <f t="shared" si="73"/>
        <v>244944</v>
      </c>
      <c r="M269" s="484">
        <f t="shared" si="73"/>
        <v>0</v>
      </c>
      <c r="N269" s="484">
        <f t="shared" si="73"/>
        <v>0</v>
      </c>
      <c r="O269" s="484">
        <f t="shared" si="73"/>
        <v>0</v>
      </c>
      <c r="P269" s="484">
        <f t="shared" si="73"/>
        <v>0</v>
      </c>
      <c r="Q269" s="484">
        <f t="shared" si="73"/>
        <v>0</v>
      </c>
      <c r="R269" s="484">
        <f t="shared" si="73"/>
        <v>0</v>
      </c>
      <c r="S269" s="484">
        <f t="shared" si="73"/>
        <v>0</v>
      </c>
      <c r="T269" s="484">
        <f t="shared" si="73"/>
        <v>0</v>
      </c>
      <c r="U269" s="484">
        <f t="shared" si="73"/>
        <v>78</v>
      </c>
      <c r="V269" s="484">
        <f t="shared" si="73"/>
        <v>78</v>
      </c>
      <c r="W269" s="485">
        <f t="shared" si="73"/>
        <v>682344</v>
      </c>
    </row>
    <row r="270" spans="1:23">
      <c r="A270" s="703" t="s">
        <v>6933</v>
      </c>
      <c r="B270" s="13"/>
      <c r="C270" s="13"/>
      <c r="D270" s="13"/>
      <c r="E270" s="13"/>
      <c r="F270" s="13"/>
      <c r="G270" s="13"/>
      <c r="H270" s="13"/>
      <c r="I270" s="13"/>
      <c r="J270" s="13">
        <f>'F-09 EP'!J259+'F-09 MGP'!J271+'F-09 FAP'!J271</f>
        <v>28</v>
      </c>
      <c r="K270" s="13">
        <f>SUM(B270:J270)</f>
        <v>28</v>
      </c>
      <c r="L270" s="472">
        <f>'F-09 EP'!L259+'F-09 MGP'!L271+'F-09 FAP'!L271</f>
        <v>244944</v>
      </c>
      <c r="M270" s="13"/>
      <c r="N270" s="13"/>
      <c r="O270" s="13"/>
      <c r="P270" s="13"/>
      <c r="Q270" s="13"/>
      <c r="R270" s="13"/>
      <c r="S270" s="13"/>
      <c r="T270" s="13"/>
      <c r="U270" s="13">
        <f>'F-09 EP'!U259+'F-09 MGP'!U271+'F-09 FAP'!U271</f>
        <v>78</v>
      </c>
      <c r="V270" s="13">
        <f>SUM(M270:U270)</f>
        <v>78</v>
      </c>
      <c r="W270" s="472">
        <f>'F-09 EP'!W259+'F-09 MGP'!W271+'F-09 FAP'!W271</f>
        <v>682344</v>
      </c>
    </row>
    <row r="271" spans="1:23">
      <c r="A271" s="703" t="s">
        <v>6932</v>
      </c>
      <c r="B271" s="13"/>
      <c r="C271" s="13"/>
      <c r="D271" s="13"/>
      <c r="E271" s="13"/>
      <c r="F271" s="13"/>
      <c r="G271" s="13"/>
      <c r="H271" s="13"/>
      <c r="I271" s="13"/>
      <c r="J271" s="13">
        <f>'F-09 EP'!J260+'F-09 MGP'!J272+'F-09 FAP'!J272</f>
        <v>0</v>
      </c>
      <c r="K271" s="13">
        <f>SUM(B271:J271)</f>
        <v>0</v>
      </c>
      <c r="L271" s="472">
        <f>'F-09 EP'!L260+'F-09 MGP'!L272+'F-09 FAP'!L272</f>
        <v>0</v>
      </c>
      <c r="M271" s="13"/>
      <c r="N271" s="13"/>
      <c r="O271" s="13"/>
      <c r="P271" s="13"/>
      <c r="Q271" s="13"/>
      <c r="R271" s="13"/>
      <c r="S271" s="13"/>
      <c r="T271" s="13"/>
      <c r="U271" s="13">
        <f>'F-09 EP'!U260+'F-09 MGP'!U272+'F-09 FAP'!U272</f>
        <v>0</v>
      </c>
      <c r="V271" s="13">
        <f>SUM(M271:U271)</f>
        <v>0</v>
      </c>
      <c r="W271" s="472">
        <f>'F-09 EP'!W260+'F-09 MGP'!W272+'F-09 FAP'!W272</f>
        <v>0</v>
      </c>
    </row>
    <row r="272" spans="1:23">
      <c r="A272" s="703" t="s">
        <v>6931</v>
      </c>
      <c r="B272" s="13"/>
      <c r="C272" s="13"/>
      <c r="D272" s="13"/>
      <c r="E272" s="13"/>
      <c r="F272" s="13"/>
      <c r="G272" s="13"/>
      <c r="H272" s="13"/>
      <c r="I272" s="13"/>
      <c r="J272" s="13">
        <f>'F-09 EP'!J261+'F-09 MGP'!J273+'F-09 FAP'!J273</f>
        <v>0</v>
      </c>
      <c r="K272" s="13">
        <f>SUM(B272:J272)</f>
        <v>0</v>
      </c>
      <c r="L272" s="472">
        <f>'F-09 EP'!L261+'F-09 MGP'!L273+'F-09 FAP'!L273</f>
        <v>0</v>
      </c>
      <c r="M272" s="13"/>
      <c r="N272" s="13"/>
      <c r="O272" s="13"/>
      <c r="P272" s="13"/>
      <c r="Q272" s="13"/>
      <c r="R272" s="13"/>
      <c r="S272" s="13"/>
      <c r="T272" s="13"/>
      <c r="U272" s="13">
        <f>'F-09 EP'!U261+'F-09 MGP'!U273+'F-09 FAP'!U273</f>
        <v>0</v>
      </c>
      <c r="V272" s="13">
        <f>SUM(M272:U272)</f>
        <v>0</v>
      </c>
      <c r="W272" s="472">
        <f>'F-09 EP'!W261+'F-09 MGP'!W273+'F-09 FAP'!W273</f>
        <v>0</v>
      </c>
    </row>
    <row r="273" spans="1:23">
      <c r="A273" s="705" t="s">
        <v>6934</v>
      </c>
      <c r="B273" s="484"/>
      <c r="C273" s="484"/>
      <c r="D273" s="484"/>
      <c r="E273" s="484"/>
      <c r="F273" s="484"/>
      <c r="G273" s="484"/>
      <c r="H273" s="484"/>
      <c r="I273" s="484"/>
      <c r="J273" s="484">
        <f t="shared" ref="J273:W273" si="74">SUM(J274:J276)</f>
        <v>5</v>
      </c>
      <c r="K273" s="484">
        <f t="shared" si="74"/>
        <v>5</v>
      </c>
      <c r="L273" s="485">
        <f t="shared" si="74"/>
        <v>48120</v>
      </c>
      <c r="M273" s="484">
        <f t="shared" si="74"/>
        <v>0</v>
      </c>
      <c r="N273" s="484">
        <f t="shared" si="74"/>
        <v>0</v>
      </c>
      <c r="O273" s="484">
        <f t="shared" si="74"/>
        <v>0</v>
      </c>
      <c r="P273" s="484">
        <f t="shared" si="74"/>
        <v>0</v>
      </c>
      <c r="Q273" s="484">
        <f t="shared" si="74"/>
        <v>0</v>
      </c>
      <c r="R273" s="484">
        <f t="shared" si="74"/>
        <v>0</v>
      </c>
      <c r="S273" s="484">
        <f t="shared" si="74"/>
        <v>0</v>
      </c>
      <c r="T273" s="484">
        <f t="shared" si="74"/>
        <v>0</v>
      </c>
      <c r="U273" s="484">
        <f t="shared" si="74"/>
        <v>10</v>
      </c>
      <c r="V273" s="484">
        <f t="shared" si="74"/>
        <v>10</v>
      </c>
      <c r="W273" s="485">
        <f t="shared" si="74"/>
        <v>96240</v>
      </c>
    </row>
    <row r="274" spans="1:23">
      <c r="A274" s="703" t="s">
        <v>6933</v>
      </c>
      <c r="B274" s="13"/>
      <c r="C274" s="13"/>
      <c r="D274" s="13"/>
      <c r="E274" s="13"/>
      <c r="F274" s="13"/>
      <c r="G274" s="13"/>
      <c r="H274" s="13"/>
      <c r="I274" s="13"/>
      <c r="J274" s="13">
        <f>'F-09 EP'!J263+'F-09 MGP'!J275+'F-09 FAP'!J275</f>
        <v>5</v>
      </c>
      <c r="K274" s="13">
        <f>SUM(B274:J274)</f>
        <v>5</v>
      </c>
      <c r="L274" s="472">
        <f>'F-09 EP'!L263+'F-09 MGP'!L275+'F-09 FAP'!L275</f>
        <v>48120</v>
      </c>
      <c r="M274" s="13"/>
      <c r="N274" s="13"/>
      <c r="O274" s="13"/>
      <c r="P274" s="13"/>
      <c r="Q274" s="13"/>
      <c r="R274" s="13"/>
      <c r="S274" s="13"/>
      <c r="T274" s="13"/>
      <c r="U274" s="13">
        <f>'F-09 EP'!U263+'F-09 MGP'!U275+'F-09 FAP'!U275</f>
        <v>10</v>
      </c>
      <c r="V274" s="13">
        <f>SUM(M274:U274)</f>
        <v>10</v>
      </c>
      <c r="W274" s="472">
        <f>'F-09 EP'!W263+'F-09 MGP'!W275+'F-09 FAP'!W275</f>
        <v>96240</v>
      </c>
    </row>
    <row r="275" spans="1:23">
      <c r="A275" s="703" t="s">
        <v>6932</v>
      </c>
      <c r="B275" s="13"/>
      <c r="C275" s="13"/>
      <c r="D275" s="13"/>
      <c r="E275" s="13"/>
      <c r="F275" s="13"/>
      <c r="G275" s="13"/>
      <c r="H275" s="13"/>
      <c r="I275" s="13"/>
      <c r="J275" s="13">
        <f>'F-09 EP'!J264+'F-09 MGP'!J276+'F-09 FAP'!J276</f>
        <v>0</v>
      </c>
      <c r="K275" s="13">
        <f>SUM(B275:J275)</f>
        <v>0</v>
      </c>
      <c r="L275" s="472">
        <f>'F-09 EP'!L264+'F-09 MGP'!L276+'F-09 FAP'!L276</f>
        <v>0</v>
      </c>
      <c r="M275" s="13"/>
      <c r="N275" s="13"/>
      <c r="O275" s="13"/>
      <c r="P275" s="13"/>
      <c r="Q275" s="13"/>
      <c r="R275" s="13"/>
      <c r="S275" s="13"/>
      <c r="T275" s="13"/>
      <c r="U275" s="13">
        <f>'F-09 EP'!U264+'F-09 MGP'!U276+'F-09 FAP'!U276</f>
        <v>0</v>
      </c>
      <c r="V275" s="13">
        <f>SUM(M275:U275)</f>
        <v>0</v>
      </c>
      <c r="W275" s="472">
        <f>'F-09 EP'!W264+'F-09 MGP'!W276+'F-09 FAP'!W276</f>
        <v>0</v>
      </c>
    </row>
    <row r="276" spans="1:23">
      <c r="A276" s="703" t="s">
        <v>6931</v>
      </c>
      <c r="B276" s="13"/>
      <c r="C276" s="13"/>
      <c r="D276" s="13"/>
      <c r="E276" s="13"/>
      <c r="F276" s="13"/>
      <c r="G276" s="13"/>
      <c r="H276" s="13"/>
      <c r="I276" s="13"/>
      <c r="J276" s="13">
        <f>'F-09 EP'!J265+'F-09 MGP'!J277+'F-09 FAP'!J277</f>
        <v>0</v>
      </c>
      <c r="K276" s="13">
        <f>SUM(B276:J276)</f>
        <v>0</v>
      </c>
      <c r="L276" s="472">
        <f>'F-09 EP'!L265+'F-09 MGP'!L277+'F-09 FAP'!L277</f>
        <v>0</v>
      </c>
      <c r="M276" s="13"/>
      <c r="N276" s="13"/>
      <c r="O276" s="13"/>
      <c r="P276" s="13"/>
      <c r="Q276" s="13"/>
      <c r="R276" s="13"/>
      <c r="S276" s="13"/>
      <c r="T276" s="13"/>
      <c r="U276" s="13">
        <f>'F-09 EP'!U265+'F-09 MGP'!U277+'F-09 FAP'!U277</f>
        <v>0</v>
      </c>
      <c r="V276" s="13">
        <f>SUM(M276:U276)</f>
        <v>0</v>
      </c>
      <c r="W276" s="472">
        <f>'F-09 EP'!W265+'F-09 MGP'!W277+'F-09 FAP'!W277</f>
        <v>0</v>
      </c>
    </row>
    <row r="277" spans="1:23" ht="24">
      <c r="A277" s="705" t="s">
        <v>6930</v>
      </c>
      <c r="B277" s="484"/>
      <c r="C277" s="484"/>
      <c r="D277" s="484"/>
      <c r="E277" s="484"/>
      <c r="F277" s="484"/>
      <c r="G277" s="484"/>
      <c r="H277" s="484"/>
      <c r="I277" s="484"/>
      <c r="J277" s="484">
        <f t="shared" ref="J277:W277" si="75">SUM(J278:J281)</f>
        <v>8515</v>
      </c>
      <c r="K277" s="484">
        <f t="shared" si="75"/>
        <v>8515</v>
      </c>
      <c r="L277" s="485">
        <f t="shared" si="75"/>
        <v>15717734.587129092</v>
      </c>
      <c r="M277" s="484">
        <f t="shared" si="75"/>
        <v>0</v>
      </c>
      <c r="N277" s="484">
        <f t="shared" si="75"/>
        <v>0</v>
      </c>
      <c r="O277" s="484">
        <f t="shared" si="75"/>
        <v>0</v>
      </c>
      <c r="P277" s="484">
        <f t="shared" si="75"/>
        <v>0</v>
      </c>
      <c r="Q277" s="484">
        <f t="shared" si="75"/>
        <v>0</v>
      </c>
      <c r="R277" s="484">
        <f t="shared" si="75"/>
        <v>0</v>
      </c>
      <c r="S277" s="484">
        <f t="shared" si="75"/>
        <v>0</v>
      </c>
      <c r="T277" s="484">
        <f t="shared" si="75"/>
        <v>0</v>
      </c>
      <c r="U277" s="484">
        <f t="shared" si="75"/>
        <v>6817</v>
      </c>
      <c r="V277" s="484">
        <f t="shared" si="75"/>
        <v>6817</v>
      </c>
      <c r="W277" s="485">
        <f t="shared" si="75"/>
        <v>15152382.650000002</v>
      </c>
    </row>
    <row r="278" spans="1:23">
      <c r="A278" s="703" t="s">
        <v>6923</v>
      </c>
      <c r="B278" s="13"/>
      <c r="C278" s="13"/>
      <c r="D278" s="13"/>
      <c r="E278" s="13"/>
      <c r="F278" s="13"/>
      <c r="G278" s="13"/>
      <c r="H278" s="13"/>
      <c r="I278" s="13"/>
      <c r="J278" s="13">
        <f>'F-09 EP'!J267+'F-09 MGP'!J279+'F-09 FAP'!J279</f>
        <v>430</v>
      </c>
      <c r="K278" s="13">
        <f>SUM(B278:J278)</f>
        <v>430</v>
      </c>
      <c r="L278" s="472">
        <f>'F-09 EP'!L267+'F-09 MGP'!L279+'F-09 FAP'!L279</f>
        <v>940936.71911918325</v>
      </c>
      <c r="M278" s="13"/>
      <c r="N278" s="13"/>
      <c r="O278" s="13"/>
      <c r="P278" s="13"/>
      <c r="Q278" s="13"/>
      <c r="R278" s="13"/>
      <c r="S278" s="13"/>
      <c r="T278" s="13"/>
      <c r="U278" s="13">
        <f>'F-09 EP'!U267+'F-09 MGP'!U279+'F-09 FAP'!U279</f>
        <v>1</v>
      </c>
      <c r="V278" s="13">
        <f>SUM(M278:U278)</f>
        <v>1</v>
      </c>
      <c r="W278" s="472">
        <f>'F-09 EP'!W267+'F-09 MGP'!W279+'F-09 FAP'!W279</f>
        <v>1354.0213862042283</v>
      </c>
    </row>
    <row r="279" spans="1:23">
      <c r="A279" s="703" t="s">
        <v>6925</v>
      </c>
      <c r="B279" s="13"/>
      <c r="C279" s="13"/>
      <c r="D279" s="13"/>
      <c r="E279" s="13"/>
      <c r="F279" s="13"/>
      <c r="G279" s="13"/>
      <c r="H279" s="13"/>
      <c r="I279" s="13"/>
      <c r="J279" s="13">
        <f>'F-09 EP'!J268+'F-09 MGP'!J280+'F-09 FAP'!J280</f>
        <v>3488</v>
      </c>
      <c r="K279" s="13">
        <f>SUM(B279:J279)</f>
        <v>3488</v>
      </c>
      <c r="L279" s="472">
        <f>'F-09 EP'!L268+'F-09 MGP'!L280+'F-09 FAP'!L280</f>
        <v>6885301.7860666094</v>
      </c>
      <c r="M279" s="13"/>
      <c r="N279" s="13"/>
      <c r="O279" s="13"/>
      <c r="P279" s="13"/>
      <c r="Q279" s="13"/>
      <c r="R279" s="13"/>
      <c r="S279" s="13"/>
      <c r="T279" s="13"/>
      <c r="U279" s="13">
        <f>'F-09 EP'!U268+'F-09 MGP'!U280+'F-09 FAP'!U280</f>
        <v>346</v>
      </c>
      <c r="V279" s="13">
        <f>SUM(M279:U279)</f>
        <v>346</v>
      </c>
      <c r="W279" s="472">
        <f>'F-09 EP'!W268+'F-09 MGP'!W280+'F-09 FAP'!W280</f>
        <v>722520.65026910999</v>
      </c>
    </row>
    <row r="280" spans="1:23">
      <c r="A280" s="703" t="s">
        <v>6927</v>
      </c>
      <c r="B280" s="13"/>
      <c r="C280" s="13"/>
      <c r="D280" s="13"/>
      <c r="E280" s="13"/>
      <c r="F280" s="13"/>
      <c r="G280" s="13"/>
      <c r="H280" s="13"/>
      <c r="I280" s="13"/>
      <c r="J280" s="13">
        <f>'F-09 EP'!J269+'F-09 MGP'!J281+'F-09 FAP'!J281</f>
        <v>3843</v>
      </c>
      <c r="K280" s="13">
        <f>SUM(B280:J280)</f>
        <v>3843</v>
      </c>
      <c r="L280" s="472">
        <f>'F-09 EP'!L269+'F-09 MGP'!L281+'F-09 FAP'!L281</f>
        <v>6733770.4614289785</v>
      </c>
      <c r="M280" s="13"/>
      <c r="N280" s="13"/>
      <c r="O280" s="13"/>
      <c r="P280" s="13"/>
      <c r="Q280" s="13"/>
      <c r="R280" s="13"/>
      <c r="S280" s="13"/>
      <c r="T280" s="13"/>
      <c r="U280" s="13">
        <f>'F-09 EP'!U269+'F-09 MGP'!U281+'F-09 FAP'!U281</f>
        <v>4228</v>
      </c>
      <c r="V280" s="13">
        <f>SUM(M280:U280)</f>
        <v>4228</v>
      </c>
      <c r="W280" s="472">
        <f>'F-09 EP'!W269+'F-09 MGP'!W281+'F-09 FAP'!W281</f>
        <v>7831659.6978052566</v>
      </c>
    </row>
    <row r="281" spans="1:23">
      <c r="A281" s="703" t="s">
        <v>6929</v>
      </c>
      <c r="B281" s="13"/>
      <c r="C281" s="13"/>
      <c r="D281" s="13"/>
      <c r="E281" s="13"/>
      <c r="F281" s="13"/>
      <c r="G281" s="13"/>
      <c r="H281" s="13"/>
      <c r="I281" s="13"/>
      <c r="J281" s="13">
        <f>'F-09 EP'!J270+'F-09 MGP'!J282+'F-09 FAP'!J282</f>
        <v>754</v>
      </c>
      <c r="K281" s="13">
        <f>SUM(B281:J281)</f>
        <v>754</v>
      </c>
      <c r="L281" s="472">
        <f>'F-09 EP'!L270+'F-09 MGP'!L282+'F-09 FAP'!L282</f>
        <v>1157725.6205143197</v>
      </c>
      <c r="M281" s="13"/>
      <c r="N281" s="13"/>
      <c r="O281" s="13"/>
      <c r="P281" s="13"/>
      <c r="Q281" s="13"/>
      <c r="R281" s="13"/>
      <c r="S281" s="13"/>
      <c r="T281" s="13"/>
      <c r="U281" s="13">
        <f>'F-09 EP'!U270+'F-09 MGP'!U282+'F-09 FAP'!U282</f>
        <v>2242</v>
      </c>
      <c r="V281" s="13">
        <f>SUM(M281:U281)</f>
        <v>2242</v>
      </c>
      <c r="W281" s="472">
        <f>'F-09 EP'!W270+'F-09 MGP'!W282+'F-09 FAP'!W282</f>
        <v>6596848.2805394307</v>
      </c>
    </row>
    <row r="282" spans="1:23" ht="24">
      <c r="A282" s="705" t="s">
        <v>6928</v>
      </c>
      <c r="B282" s="484"/>
      <c r="C282" s="484"/>
      <c r="D282" s="484"/>
      <c r="E282" s="484"/>
      <c r="F282" s="484"/>
      <c r="G282" s="484"/>
      <c r="H282" s="484"/>
      <c r="I282" s="484"/>
      <c r="J282" s="484">
        <f t="shared" ref="J282:W282" si="76">SUM(J283:J285)</f>
        <v>1741</v>
      </c>
      <c r="K282" s="484">
        <f t="shared" si="76"/>
        <v>1741</v>
      </c>
      <c r="L282" s="485">
        <f t="shared" si="76"/>
        <v>5780910.4128709063</v>
      </c>
      <c r="M282" s="484">
        <f t="shared" si="76"/>
        <v>0</v>
      </c>
      <c r="N282" s="484">
        <f t="shared" si="76"/>
        <v>0</v>
      </c>
      <c r="O282" s="484">
        <f t="shared" si="76"/>
        <v>0</v>
      </c>
      <c r="P282" s="484">
        <f t="shared" si="76"/>
        <v>0</v>
      </c>
      <c r="Q282" s="484">
        <f t="shared" si="76"/>
        <v>0</v>
      </c>
      <c r="R282" s="484">
        <f t="shared" si="76"/>
        <v>0</v>
      </c>
      <c r="S282" s="484">
        <f t="shared" si="76"/>
        <v>0</v>
      </c>
      <c r="T282" s="484">
        <f t="shared" si="76"/>
        <v>0</v>
      </c>
      <c r="U282" s="484">
        <f t="shared" si="76"/>
        <v>0</v>
      </c>
      <c r="V282" s="484">
        <f t="shared" si="76"/>
        <v>0</v>
      </c>
      <c r="W282" s="485">
        <f t="shared" si="76"/>
        <v>0</v>
      </c>
    </row>
    <row r="283" spans="1:23">
      <c r="A283" s="703" t="s">
        <v>6923</v>
      </c>
      <c r="B283" s="13"/>
      <c r="C283" s="13"/>
      <c r="D283" s="13"/>
      <c r="E283" s="13"/>
      <c r="F283" s="13"/>
      <c r="G283" s="13"/>
      <c r="H283" s="13"/>
      <c r="I283" s="13"/>
      <c r="J283" s="13">
        <f>'F-09 EP'!J272+'F-09 MGP'!J284+'F-09 FAP'!J284</f>
        <v>1210</v>
      </c>
      <c r="K283" s="13">
        <f>SUM(B283:J283)</f>
        <v>1210</v>
      </c>
      <c r="L283" s="472">
        <f>'F-09 EP'!L272+'F-09 MGP'!L284+'F-09 FAP'!L284</f>
        <v>4212194.762955253</v>
      </c>
      <c r="M283" s="13"/>
      <c r="N283" s="13"/>
      <c r="O283" s="13"/>
      <c r="P283" s="13"/>
      <c r="Q283" s="13"/>
      <c r="R283" s="13"/>
      <c r="S283" s="13"/>
      <c r="T283" s="13"/>
      <c r="U283" s="13">
        <f>'F-09 EP'!U272+'F-09 MGP'!U284+'F-09 FAP'!U284</f>
        <v>0</v>
      </c>
      <c r="V283" s="13">
        <f>SUM(M283:U283)</f>
        <v>0</v>
      </c>
      <c r="W283" s="472">
        <f>'F-09 EP'!W272+'F-09 MGP'!W284+'F-09 FAP'!W284</f>
        <v>0</v>
      </c>
    </row>
    <row r="284" spans="1:23">
      <c r="A284" s="703" t="s">
        <v>6925</v>
      </c>
      <c r="B284" s="13"/>
      <c r="C284" s="13"/>
      <c r="D284" s="13"/>
      <c r="E284" s="13"/>
      <c r="F284" s="13"/>
      <c r="G284" s="13"/>
      <c r="H284" s="13"/>
      <c r="I284" s="13"/>
      <c r="J284" s="13">
        <f>'F-09 EP'!J273+'F-09 MGP'!J285+'F-09 FAP'!J285</f>
        <v>496</v>
      </c>
      <c r="K284" s="13">
        <f>SUM(B284:J284)</f>
        <v>496</v>
      </c>
      <c r="L284" s="472">
        <f>'F-09 EP'!L273+'F-09 MGP'!L285+'F-09 FAP'!L285</f>
        <v>1477402.3508907114</v>
      </c>
      <c r="M284" s="13"/>
      <c r="N284" s="13"/>
      <c r="O284" s="13"/>
      <c r="P284" s="13"/>
      <c r="Q284" s="13"/>
      <c r="R284" s="13"/>
      <c r="S284" s="13"/>
      <c r="T284" s="13"/>
      <c r="U284" s="13">
        <f>'F-09 EP'!U273+'F-09 MGP'!U285+'F-09 FAP'!U285</f>
        <v>0</v>
      </c>
      <c r="V284" s="13">
        <f>SUM(M284:U284)</f>
        <v>0</v>
      </c>
      <c r="W284" s="472">
        <f>'F-09 EP'!W273+'F-09 MGP'!W285+'F-09 FAP'!W285</f>
        <v>0</v>
      </c>
    </row>
    <row r="285" spans="1:23">
      <c r="A285" s="703" t="s">
        <v>6927</v>
      </c>
      <c r="B285" s="13"/>
      <c r="C285" s="13"/>
      <c r="D285" s="13"/>
      <c r="E285" s="13"/>
      <c r="F285" s="13"/>
      <c r="G285" s="13"/>
      <c r="H285" s="13"/>
      <c r="I285" s="13"/>
      <c r="J285" s="13">
        <f>'F-09 EP'!J274+'F-09 MGP'!J286+'F-09 FAP'!J286</f>
        <v>35</v>
      </c>
      <c r="K285" s="13">
        <f>SUM(B285:J285)</f>
        <v>35</v>
      </c>
      <c r="L285" s="472">
        <f>'F-09 EP'!L274+'F-09 MGP'!L286+'F-09 FAP'!L286</f>
        <v>91313.299024940949</v>
      </c>
      <c r="M285" s="13"/>
      <c r="N285" s="13"/>
      <c r="O285" s="13"/>
      <c r="P285" s="13"/>
      <c r="Q285" s="13"/>
      <c r="R285" s="13"/>
      <c r="S285" s="13"/>
      <c r="T285" s="13"/>
      <c r="U285" s="13">
        <f>'F-09 EP'!U274+'F-09 MGP'!U286+'F-09 FAP'!U286</f>
        <v>0</v>
      </c>
      <c r="V285" s="13">
        <f>SUM(M285:U285)</f>
        <v>0</v>
      </c>
      <c r="W285" s="472">
        <f>'F-09 EP'!W274+'F-09 MGP'!W286+'F-09 FAP'!W286</f>
        <v>0</v>
      </c>
    </row>
    <row r="286" spans="1:23" ht="24">
      <c r="A286" s="705" t="s">
        <v>6926</v>
      </c>
      <c r="B286" s="484"/>
      <c r="C286" s="484"/>
      <c r="D286" s="484"/>
      <c r="E286" s="484"/>
      <c r="F286" s="484"/>
      <c r="G286" s="484"/>
      <c r="H286" s="484"/>
      <c r="I286" s="484"/>
      <c r="J286" s="484">
        <f t="shared" ref="J286:W286" si="77">SUM(J287:J288)</f>
        <v>0</v>
      </c>
      <c r="K286" s="484">
        <f t="shared" si="77"/>
        <v>0</v>
      </c>
      <c r="L286" s="485">
        <f t="shared" si="77"/>
        <v>0</v>
      </c>
      <c r="M286" s="484">
        <f t="shared" si="77"/>
        <v>0</v>
      </c>
      <c r="N286" s="484">
        <f t="shared" si="77"/>
        <v>0</v>
      </c>
      <c r="O286" s="484">
        <f t="shared" si="77"/>
        <v>0</v>
      </c>
      <c r="P286" s="484">
        <f t="shared" si="77"/>
        <v>0</v>
      </c>
      <c r="Q286" s="484">
        <f t="shared" si="77"/>
        <v>0</v>
      </c>
      <c r="R286" s="484">
        <f t="shared" si="77"/>
        <v>0</v>
      </c>
      <c r="S286" s="484">
        <f t="shared" si="77"/>
        <v>0</v>
      </c>
      <c r="T286" s="484">
        <f t="shared" si="77"/>
        <v>0</v>
      </c>
      <c r="U286" s="484">
        <f t="shared" si="77"/>
        <v>0</v>
      </c>
      <c r="V286" s="484">
        <f t="shared" si="77"/>
        <v>0</v>
      </c>
      <c r="W286" s="485">
        <f t="shared" si="77"/>
        <v>0</v>
      </c>
    </row>
    <row r="287" spans="1:23">
      <c r="A287" s="703" t="s">
        <v>6923</v>
      </c>
      <c r="B287" s="13"/>
      <c r="C287" s="13"/>
      <c r="D287" s="13"/>
      <c r="E287" s="13"/>
      <c r="F287" s="13"/>
      <c r="G287" s="13"/>
      <c r="H287" s="13"/>
      <c r="I287" s="13"/>
      <c r="J287" s="13">
        <f>'F-09 EP'!J276+'F-09 MGP'!J288+'F-09 FAP'!J288</f>
        <v>0</v>
      </c>
      <c r="K287" s="13">
        <f>SUM(B287:J287)</f>
        <v>0</v>
      </c>
      <c r="L287" s="472">
        <f>'F-09 EP'!L276+'F-09 MGP'!L288+'F-09 FAP'!L288</f>
        <v>0</v>
      </c>
      <c r="M287" s="13"/>
      <c r="N287" s="13"/>
      <c r="O287" s="13"/>
      <c r="P287" s="13"/>
      <c r="Q287" s="13"/>
      <c r="R287" s="13"/>
      <c r="S287" s="13"/>
      <c r="T287" s="13"/>
      <c r="U287" s="13"/>
      <c r="V287" s="13">
        <f>SUM(M287:U287)</f>
        <v>0</v>
      </c>
      <c r="W287" s="472">
        <f>'F-09 EP'!W276+'F-09 MGP'!W288+'F-09 FAP'!W288</f>
        <v>0</v>
      </c>
    </row>
    <row r="288" spans="1:23">
      <c r="A288" s="703" t="s">
        <v>6925</v>
      </c>
      <c r="B288" s="13"/>
      <c r="C288" s="13"/>
      <c r="D288" s="13"/>
      <c r="E288" s="13"/>
      <c r="F288" s="13"/>
      <c r="G288" s="13"/>
      <c r="H288" s="13"/>
      <c r="I288" s="13"/>
      <c r="J288" s="13">
        <f>'F-09 EP'!J277+'F-09 MGP'!J289+'F-09 FAP'!J289</f>
        <v>0</v>
      </c>
      <c r="K288" s="13">
        <f>SUM(B288:J288)</f>
        <v>0</v>
      </c>
      <c r="L288" s="472">
        <f>'F-09 EP'!L277+'F-09 MGP'!L289+'F-09 FAP'!L289</f>
        <v>0</v>
      </c>
      <c r="M288" s="13"/>
      <c r="N288" s="13"/>
      <c r="O288" s="13"/>
      <c r="P288" s="13"/>
      <c r="Q288" s="13"/>
      <c r="R288" s="13"/>
      <c r="S288" s="13"/>
      <c r="T288" s="13"/>
      <c r="U288" s="13"/>
      <c r="V288" s="13">
        <f>SUM(M288:U288)</f>
        <v>0</v>
      </c>
      <c r="W288" s="472">
        <f>'F-09 EP'!W277+'F-09 MGP'!W289+'F-09 FAP'!W289</f>
        <v>0</v>
      </c>
    </row>
    <row r="289" spans="1:23" ht="24">
      <c r="A289" s="705" t="s">
        <v>6924</v>
      </c>
      <c r="B289" s="484"/>
      <c r="C289" s="484"/>
      <c r="D289" s="484"/>
      <c r="E289" s="484"/>
      <c r="F289" s="484"/>
      <c r="G289" s="484"/>
      <c r="H289" s="484"/>
      <c r="I289" s="484"/>
      <c r="J289" s="484">
        <f>J290</f>
        <v>0</v>
      </c>
      <c r="K289" s="484"/>
      <c r="L289" s="485"/>
      <c r="M289" s="484"/>
      <c r="N289" s="484"/>
      <c r="O289" s="484"/>
      <c r="P289" s="484"/>
      <c r="Q289" s="484"/>
      <c r="R289" s="484"/>
      <c r="S289" s="484"/>
      <c r="T289" s="484"/>
      <c r="U289" s="484">
        <f>U290</f>
        <v>0</v>
      </c>
      <c r="V289" s="484">
        <f>V290</f>
        <v>0</v>
      </c>
      <c r="W289" s="485">
        <f>W290</f>
        <v>0</v>
      </c>
    </row>
    <row r="290" spans="1:23">
      <c r="A290" s="703" t="s">
        <v>6923</v>
      </c>
      <c r="B290" s="13"/>
      <c r="C290" s="13"/>
      <c r="D290" s="13"/>
      <c r="E290" s="13"/>
      <c r="F290" s="13"/>
      <c r="G290" s="13"/>
      <c r="H290" s="13"/>
      <c r="I290" s="13"/>
      <c r="J290" s="13">
        <v>0</v>
      </c>
      <c r="K290" s="13">
        <f>SUM(B290:J290)</f>
        <v>0</v>
      </c>
      <c r="L290" s="472"/>
      <c r="M290" s="13"/>
      <c r="N290" s="13"/>
      <c r="O290" s="13"/>
      <c r="P290" s="13"/>
      <c r="Q290" s="13"/>
      <c r="R290" s="13"/>
      <c r="S290" s="13"/>
      <c r="T290" s="13"/>
      <c r="U290" s="13"/>
      <c r="V290" s="13">
        <f>SUM(M290:U290)</f>
        <v>0</v>
      </c>
      <c r="W290" s="472"/>
    </row>
    <row r="291" spans="1:23">
      <c r="A291" s="704" t="s">
        <v>24</v>
      </c>
      <c r="B291" s="482"/>
      <c r="C291" s="482"/>
      <c r="D291" s="482"/>
      <c r="E291" s="482"/>
      <c r="F291" s="482"/>
      <c r="G291" s="482"/>
      <c r="H291" s="482"/>
      <c r="I291" s="482">
        <f>I292+I298+I302</f>
        <v>225</v>
      </c>
      <c r="J291" s="482">
        <f>J292+J298+J302</f>
        <v>5753</v>
      </c>
      <c r="K291" s="482">
        <f>K292+K298+K302</f>
        <v>5978</v>
      </c>
      <c r="L291" s="474">
        <f>L292+L298+L302</f>
        <v>15741206.337599998</v>
      </c>
      <c r="M291" s="482">
        <f t="shared" ref="M291:S291" si="78">M292+M298</f>
        <v>0</v>
      </c>
      <c r="N291" s="482">
        <f t="shared" si="78"/>
        <v>0</v>
      </c>
      <c r="O291" s="482">
        <f t="shared" si="78"/>
        <v>0</v>
      </c>
      <c r="P291" s="482">
        <f t="shared" si="78"/>
        <v>0</v>
      </c>
      <c r="Q291" s="482">
        <f t="shared" si="78"/>
        <v>0</v>
      </c>
      <c r="R291" s="482">
        <f t="shared" si="78"/>
        <v>0</v>
      </c>
      <c r="S291" s="482">
        <f t="shared" si="78"/>
        <v>0</v>
      </c>
      <c r="T291" s="482">
        <f>T292+T298+T302</f>
        <v>233</v>
      </c>
      <c r="U291" s="482">
        <f>U292+U298+U302</f>
        <v>4866</v>
      </c>
      <c r="V291" s="482">
        <f>V292+V298+V302</f>
        <v>5099</v>
      </c>
      <c r="W291" s="474">
        <f>W292+W298+W302</f>
        <v>12836372.039999999</v>
      </c>
    </row>
    <row r="292" spans="1:23">
      <c r="A292" s="705" t="s">
        <v>6922</v>
      </c>
      <c r="B292" s="484"/>
      <c r="C292" s="484"/>
      <c r="D292" s="484"/>
      <c r="E292" s="484"/>
      <c r="F292" s="484"/>
      <c r="G292" s="484"/>
      <c r="H292" s="484"/>
      <c r="I292" s="484">
        <f t="shared" ref="I292:W292" si="79">SUM(I293:I297)</f>
        <v>0</v>
      </c>
      <c r="J292" s="484">
        <f t="shared" si="79"/>
        <v>2455</v>
      </c>
      <c r="K292" s="484">
        <f t="shared" si="79"/>
        <v>2455</v>
      </c>
      <c r="L292" s="485">
        <f t="shared" si="79"/>
        <v>6242658.9695999995</v>
      </c>
      <c r="M292" s="484">
        <f t="shared" si="79"/>
        <v>0</v>
      </c>
      <c r="N292" s="484">
        <f t="shared" si="79"/>
        <v>0</v>
      </c>
      <c r="O292" s="484">
        <f t="shared" si="79"/>
        <v>0</v>
      </c>
      <c r="P292" s="484">
        <f t="shared" si="79"/>
        <v>0</v>
      </c>
      <c r="Q292" s="484">
        <f t="shared" si="79"/>
        <v>0</v>
      </c>
      <c r="R292" s="484">
        <f t="shared" si="79"/>
        <v>0</v>
      </c>
      <c r="S292" s="484">
        <f t="shared" si="79"/>
        <v>0</v>
      </c>
      <c r="T292" s="484">
        <f t="shared" si="79"/>
        <v>0</v>
      </c>
      <c r="U292" s="484">
        <f t="shared" si="79"/>
        <v>2285</v>
      </c>
      <c r="V292" s="484">
        <f t="shared" si="79"/>
        <v>2285</v>
      </c>
      <c r="W292" s="485">
        <f t="shared" si="79"/>
        <v>5624181.4400000004</v>
      </c>
    </row>
    <row r="293" spans="1:23">
      <c r="A293" s="703" t="s">
        <v>6921</v>
      </c>
      <c r="B293" s="13"/>
      <c r="C293" s="13"/>
      <c r="D293" s="13"/>
      <c r="E293" s="13"/>
      <c r="F293" s="13"/>
      <c r="G293" s="13"/>
      <c r="H293" s="13"/>
      <c r="I293" s="13"/>
      <c r="J293" s="13">
        <f>'F-09 EP'!J282+'F-09 MGP'!J294+'F-09 FAP'!J294</f>
        <v>478</v>
      </c>
      <c r="K293" s="13">
        <f>SUM(B293:J293)</f>
        <v>478</v>
      </c>
      <c r="L293" s="472">
        <f>'F-09 EP'!L282+'F-09 MGP'!L294+'F-09 FAP'!L294</f>
        <v>1911793.6800000002</v>
      </c>
      <c r="M293" s="13"/>
      <c r="N293" s="13"/>
      <c r="O293" s="13"/>
      <c r="P293" s="13"/>
      <c r="Q293" s="13"/>
      <c r="R293" s="13"/>
      <c r="S293" s="13"/>
      <c r="T293" s="13"/>
      <c r="U293" s="13">
        <f>'F-09 EP'!U282+'F-09 MGP'!U294+'F-09 FAP'!U294</f>
        <v>370</v>
      </c>
      <c r="V293" s="13">
        <f>SUM(M293:U293)</f>
        <v>370</v>
      </c>
      <c r="W293" s="472">
        <f>'F-09 EP'!W282+'F-09 MGP'!W294+'F-09 FAP'!W294</f>
        <v>1467864</v>
      </c>
    </row>
    <row r="294" spans="1:23">
      <c r="A294" s="703" t="s">
        <v>6920</v>
      </c>
      <c r="B294" s="13"/>
      <c r="C294" s="13"/>
      <c r="D294" s="13"/>
      <c r="E294" s="13"/>
      <c r="F294" s="13"/>
      <c r="G294" s="13"/>
      <c r="H294" s="13"/>
      <c r="I294" s="13"/>
      <c r="J294" s="13">
        <f>'F-09 EP'!J283+'F-09 MGP'!J295+'F-09 FAP'!J295</f>
        <v>426</v>
      </c>
      <c r="K294" s="13">
        <f>SUM(B294:J294)</f>
        <v>426</v>
      </c>
      <c r="L294" s="472">
        <f>'F-09 EP'!L283+'F-09 MGP'!L295+'F-09 FAP'!L295</f>
        <v>1134460.5120000001</v>
      </c>
      <c r="M294" s="13"/>
      <c r="N294" s="13"/>
      <c r="O294" s="13"/>
      <c r="P294" s="13"/>
      <c r="Q294" s="13"/>
      <c r="R294" s="13"/>
      <c r="S294" s="13"/>
      <c r="T294" s="13"/>
      <c r="U294" s="13">
        <f>'F-09 EP'!U283+'F-09 MGP'!U295+'F-09 FAP'!U295</f>
        <v>431</v>
      </c>
      <c r="V294" s="13">
        <f>SUM(M294:U294)</f>
        <v>431</v>
      </c>
      <c r="W294" s="472">
        <f>'F-09 EP'!W283+'F-09 MGP'!W295+'F-09 FAP'!W295</f>
        <v>1140110.7200000002</v>
      </c>
    </row>
    <row r="295" spans="1:23">
      <c r="A295" s="703" t="s">
        <v>6919</v>
      </c>
      <c r="B295" s="13"/>
      <c r="C295" s="13"/>
      <c r="D295" s="13"/>
      <c r="E295" s="13"/>
      <c r="F295" s="13"/>
      <c r="G295" s="13"/>
      <c r="H295" s="13"/>
      <c r="I295" s="13"/>
      <c r="J295" s="13">
        <f>'F-09 EP'!J284+'F-09 MGP'!J296+'F-09 FAP'!J296</f>
        <v>449</v>
      </c>
      <c r="K295" s="13">
        <f>SUM(B295:J295)</f>
        <v>449</v>
      </c>
      <c r="L295" s="472">
        <f>'F-09 EP'!L284+'F-09 MGP'!L296+'F-09 FAP'!L296</f>
        <v>1077761.2896</v>
      </c>
      <c r="M295" s="13"/>
      <c r="N295" s="13"/>
      <c r="O295" s="13"/>
      <c r="P295" s="13"/>
      <c r="Q295" s="13"/>
      <c r="R295" s="13"/>
      <c r="S295" s="13"/>
      <c r="T295" s="13"/>
      <c r="U295" s="13">
        <f>'F-09 EP'!U284+'F-09 MGP'!U296+'F-09 FAP'!U296</f>
        <v>424</v>
      </c>
      <c r="V295" s="13">
        <f>SUM(M295:U295)</f>
        <v>424</v>
      </c>
      <c r="W295" s="472">
        <f>'F-09 EP'!W284+'F-09 MGP'!W296+'F-09 FAP'!W296</f>
        <v>1009457.6000000001</v>
      </c>
    </row>
    <row r="296" spans="1:23">
      <c r="A296" s="703" t="s">
        <v>6918</v>
      </c>
      <c r="B296" s="13"/>
      <c r="C296" s="13"/>
      <c r="D296" s="13"/>
      <c r="E296" s="13"/>
      <c r="F296" s="13"/>
      <c r="G296" s="13"/>
      <c r="H296" s="13"/>
      <c r="I296" s="13"/>
      <c r="J296" s="13">
        <f>'F-09 EP'!J285+'F-09 MGP'!J297+'F-09 FAP'!J297</f>
        <v>517</v>
      </c>
      <c r="K296" s="13">
        <f>SUM(B296:J296)</f>
        <v>517</v>
      </c>
      <c r="L296" s="472">
        <f>'F-09 EP'!L285+'F-09 MGP'!L297+'F-09 FAP'!L297</f>
        <v>1110392.8319999999</v>
      </c>
      <c r="M296" s="13"/>
      <c r="N296" s="13"/>
      <c r="O296" s="13"/>
      <c r="P296" s="13"/>
      <c r="Q296" s="13"/>
      <c r="R296" s="13"/>
      <c r="S296" s="13"/>
      <c r="T296" s="13"/>
      <c r="U296" s="13">
        <f>'F-09 EP'!U285+'F-09 MGP'!U297+'F-09 FAP'!U297</f>
        <v>516</v>
      </c>
      <c r="V296" s="13">
        <f>SUM(M296:U296)</f>
        <v>516</v>
      </c>
      <c r="W296" s="472">
        <f>'F-09 EP'!W285+'F-09 MGP'!W297+'F-09 FAP'!W297</f>
        <v>1091975.3600000001</v>
      </c>
    </row>
    <row r="297" spans="1:23">
      <c r="A297" s="703" t="s">
        <v>6917</v>
      </c>
      <c r="B297" s="13"/>
      <c r="C297" s="13"/>
      <c r="D297" s="13"/>
      <c r="E297" s="13"/>
      <c r="F297" s="13"/>
      <c r="G297" s="13"/>
      <c r="H297" s="13"/>
      <c r="I297" s="13"/>
      <c r="J297" s="13">
        <f>'F-09 EP'!J286+'F-09 MGP'!J298+'F-09 FAP'!J298</f>
        <v>585</v>
      </c>
      <c r="K297" s="13">
        <f>SUM(B297:J297)</f>
        <v>585</v>
      </c>
      <c r="L297" s="472">
        <f>'F-09 EP'!L286+'F-09 MGP'!L298+'F-09 FAP'!L298</f>
        <v>1008250.656</v>
      </c>
      <c r="M297" s="13"/>
      <c r="N297" s="13"/>
      <c r="O297" s="13"/>
      <c r="P297" s="13"/>
      <c r="Q297" s="13"/>
      <c r="R297" s="13"/>
      <c r="S297" s="13"/>
      <c r="T297" s="13"/>
      <c r="U297" s="13">
        <f>'F-09 EP'!U286+'F-09 MGP'!U298+'F-09 FAP'!U298</f>
        <v>544</v>
      </c>
      <c r="V297" s="13">
        <f>SUM(M297:U297)</f>
        <v>544</v>
      </c>
      <c r="W297" s="472">
        <f>'F-09 EP'!W286+'F-09 MGP'!W298+'F-09 FAP'!W298</f>
        <v>914773.76</v>
      </c>
    </row>
    <row r="298" spans="1:23">
      <c r="A298" s="705" t="s">
        <v>6916</v>
      </c>
      <c r="B298" s="484"/>
      <c r="C298" s="484"/>
      <c r="D298" s="484"/>
      <c r="E298" s="484"/>
      <c r="F298" s="484"/>
      <c r="G298" s="484"/>
      <c r="H298" s="484"/>
      <c r="I298" s="484"/>
      <c r="J298" s="484">
        <f t="shared" ref="J298:W298" si="80">SUM(J299:J301)</f>
        <v>3298</v>
      </c>
      <c r="K298" s="484">
        <f t="shared" si="80"/>
        <v>3298</v>
      </c>
      <c r="L298" s="485">
        <f t="shared" si="80"/>
        <v>8587947.3679999989</v>
      </c>
      <c r="M298" s="484">
        <f t="shared" si="80"/>
        <v>0</v>
      </c>
      <c r="N298" s="484">
        <f t="shared" si="80"/>
        <v>0</v>
      </c>
      <c r="O298" s="484">
        <f t="shared" si="80"/>
        <v>0</v>
      </c>
      <c r="P298" s="484">
        <f t="shared" si="80"/>
        <v>0</v>
      </c>
      <c r="Q298" s="484">
        <f t="shared" si="80"/>
        <v>0</v>
      </c>
      <c r="R298" s="484">
        <f t="shared" si="80"/>
        <v>0</v>
      </c>
      <c r="S298" s="484">
        <f t="shared" si="80"/>
        <v>0</v>
      </c>
      <c r="T298" s="484">
        <f t="shared" si="80"/>
        <v>0</v>
      </c>
      <c r="U298" s="484">
        <f t="shared" si="80"/>
        <v>2581</v>
      </c>
      <c r="V298" s="484">
        <f t="shared" si="80"/>
        <v>2581</v>
      </c>
      <c r="W298" s="485">
        <f t="shared" si="80"/>
        <v>6299190.5999999996</v>
      </c>
    </row>
    <row r="299" spans="1:23">
      <c r="A299" s="703" t="s">
        <v>6915</v>
      </c>
      <c r="B299" s="13"/>
      <c r="C299" s="13"/>
      <c r="D299" s="13"/>
      <c r="E299" s="13"/>
      <c r="F299" s="13"/>
      <c r="G299" s="13"/>
      <c r="H299" s="13"/>
      <c r="I299" s="13"/>
      <c r="J299" s="13">
        <f>'F-09 EP'!J288+'F-09 MGP'!J300+'F-09 FAP'!J300</f>
        <v>1126</v>
      </c>
      <c r="K299" s="13">
        <f>SUM(B299:J299)</f>
        <v>1126</v>
      </c>
      <c r="L299" s="472">
        <f>'F-09 EP'!L288+'F-09 MGP'!L300+'F-09 FAP'!L300</f>
        <v>4208573.9279999994</v>
      </c>
      <c r="M299" s="13"/>
      <c r="N299" s="13"/>
      <c r="O299" s="13"/>
      <c r="P299" s="13"/>
      <c r="Q299" s="13"/>
      <c r="R299" s="13"/>
      <c r="S299" s="13"/>
      <c r="T299" s="13"/>
      <c r="U299" s="13">
        <f>'F-09 EP'!U288+'F-09 MGP'!U300+'F-09 FAP'!U300</f>
        <v>739</v>
      </c>
      <c r="V299" s="13">
        <f>SUM(M299:U299)</f>
        <v>739</v>
      </c>
      <c r="W299" s="472">
        <f>'F-09 EP'!W288+'F-09 MGP'!W300+'F-09 FAP'!W300</f>
        <v>2628428.1399999997</v>
      </c>
    </row>
    <row r="300" spans="1:23">
      <c r="A300" s="703" t="s">
        <v>6914</v>
      </c>
      <c r="B300" s="13"/>
      <c r="C300" s="13"/>
      <c r="D300" s="13"/>
      <c r="E300" s="13"/>
      <c r="F300" s="13"/>
      <c r="G300" s="13"/>
      <c r="H300" s="13"/>
      <c r="I300" s="13"/>
      <c r="J300" s="13">
        <f>'F-09 EP'!J289+'F-09 MGP'!J301+'F-09 FAP'!J301</f>
        <v>1019</v>
      </c>
      <c r="K300" s="13">
        <f>SUM(B300:J300)</f>
        <v>1019</v>
      </c>
      <c r="L300" s="472">
        <f>'F-09 EP'!L289+'F-09 MGP'!L301+'F-09 FAP'!L301</f>
        <v>2444707.2000000002</v>
      </c>
      <c r="M300" s="13"/>
      <c r="N300" s="13"/>
      <c r="O300" s="13"/>
      <c r="P300" s="13"/>
      <c r="Q300" s="13"/>
      <c r="R300" s="13"/>
      <c r="S300" s="13"/>
      <c r="T300" s="13"/>
      <c r="U300" s="13">
        <f>'F-09 EP'!U289+'F-09 MGP'!U301+'F-09 FAP'!U301</f>
        <v>921</v>
      </c>
      <c r="V300" s="13">
        <f>SUM(M300:U300)</f>
        <v>921</v>
      </c>
      <c r="W300" s="472">
        <f>'F-09 EP'!W289+'F-09 MGP'!W301+'F-09 FAP'!W301</f>
        <v>2183828.1399999997</v>
      </c>
    </row>
    <row r="301" spans="1:23">
      <c r="A301" s="703" t="s">
        <v>6913</v>
      </c>
      <c r="B301" s="13"/>
      <c r="C301" s="13"/>
      <c r="D301" s="13"/>
      <c r="E301" s="13"/>
      <c r="F301" s="13"/>
      <c r="G301" s="13"/>
      <c r="H301" s="13"/>
      <c r="I301" s="13"/>
      <c r="J301" s="13">
        <f>'F-09 EP'!J290+'F-09 MGP'!J302+'F-09 FAP'!J302</f>
        <v>1153</v>
      </c>
      <c r="K301" s="13">
        <f>SUM(B301:J301)</f>
        <v>1153</v>
      </c>
      <c r="L301" s="472">
        <f>'F-09 EP'!L290+'F-09 MGP'!L302+'F-09 FAP'!L302</f>
        <v>1934666.24</v>
      </c>
      <c r="M301" s="13"/>
      <c r="N301" s="13"/>
      <c r="O301" s="13"/>
      <c r="P301" s="13"/>
      <c r="Q301" s="13"/>
      <c r="R301" s="13"/>
      <c r="S301" s="13"/>
      <c r="T301" s="13"/>
      <c r="U301" s="13">
        <f>'F-09 EP'!U290+'F-09 MGP'!U302+'F-09 FAP'!U302</f>
        <v>921</v>
      </c>
      <c r="V301" s="13">
        <f>SUM(M301:U301)</f>
        <v>921</v>
      </c>
      <c r="W301" s="472">
        <f>'F-09 EP'!W290+'F-09 MGP'!W302+'F-09 FAP'!W302</f>
        <v>1486934.3199999998</v>
      </c>
    </row>
    <row r="302" spans="1:23">
      <c r="A302" s="705" t="s">
        <v>6912</v>
      </c>
      <c r="B302" s="484">
        <f t="shared" ref="B302:W302" si="81">SUM(B303:B304)</f>
        <v>0</v>
      </c>
      <c r="C302" s="484">
        <f t="shared" si="81"/>
        <v>0</v>
      </c>
      <c r="D302" s="484">
        <f t="shared" si="81"/>
        <v>0</v>
      </c>
      <c r="E302" s="484">
        <f t="shared" si="81"/>
        <v>0</v>
      </c>
      <c r="F302" s="484">
        <f t="shared" si="81"/>
        <v>0</v>
      </c>
      <c r="G302" s="484">
        <f t="shared" si="81"/>
        <v>0</v>
      </c>
      <c r="H302" s="484">
        <f t="shared" si="81"/>
        <v>0</v>
      </c>
      <c r="I302" s="484">
        <f t="shared" si="81"/>
        <v>225</v>
      </c>
      <c r="J302" s="484">
        <f t="shared" si="81"/>
        <v>0</v>
      </c>
      <c r="K302" s="484">
        <f t="shared" si="81"/>
        <v>225</v>
      </c>
      <c r="L302" s="485">
        <f t="shared" si="81"/>
        <v>910600</v>
      </c>
      <c r="M302" s="484">
        <f t="shared" si="81"/>
        <v>0</v>
      </c>
      <c r="N302" s="484">
        <f t="shared" si="81"/>
        <v>0</v>
      </c>
      <c r="O302" s="484">
        <f t="shared" si="81"/>
        <v>0</v>
      </c>
      <c r="P302" s="484">
        <f t="shared" si="81"/>
        <v>0</v>
      </c>
      <c r="Q302" s="484">
        <f t="shared" si="81"/>
        <v>0</v>
      </c>
      <c r="R302" s="484">
        <f t="shared" si="81"/>
        <v>0</v>
      </c>
      <c r="S302" s="484">
        <f t="shared" si="81"/>
        <v>0</v>
      </c>
      <c r="T302" s="484">
        <f t="shared" si="81"/>
        <v>233</v>
      </c>
      <c r="U302" s="484">
        <f t="shared" si="81"/>
        <v>0</v>
      </c>
      <c r="V302" s="484">
        <f t="shared" si="81"/>
        <v>233</v>
      </c>
      <c r="W302" s="485">
        <f t="shared" si="81"/>
        <v>913000</v>
      </c>
    </row>
    <row r="303" spans="1:23">
      <c r="A303" s="703" t="s">
        <v>6911</v>
      </c>
      <c r="B303" s="13"/>
      <c r="C303" s="13"/>
      <c r="D303" s="13"/>
      <c r="E303" s="13"/>
      <c r="F303" s="13"/>
      <c r="G303" s="13"/>
      <c r="H303" s="13"/>
      <c r="I303" s="13">
        <f>'F-09 EP'!I292+'F-09 MGP'!I304+'F-09 FAP'!I304</f>
        <v>103</v>
      </c>
      <c r="J303" s="13">
        <f>'F-09 EP'!J292+'F-09 MGP'!J304+'F-09 FAP'!J304</f>
        <v>0</v>
      </c>
      <c r="K303" s="13">
        <f>SUM(B303:J303)</f>
        <v>103</v>
      </c>
      <c r="L303" s="472">
        <f>'F-09 EP'!L292+'F-09 MGP'!L304+'F-09 FAP'!L304</f>
        <v>260600</v>
      </c>
      <c r="M303" s="13"/>
      <c r="N303" s="13"/>
      <c r="O303" s="13"/>
      <c r="P303" s="13"/>
      <c r="Q303" s="13"/>
      <c r="R303" s="13"/>
      <c r="S303" s="13"/>
      <c r="T303" s="13">
        <f>'F-09 EP'!T292+'F-09 MGP'!T304+'F-09 FAP'!T304</f>
        <v>111</v>
      </c>
      <c r="U303" s="13">
        <f>'F-09 EP'!U292+'F-09 MGP'!U304+'F-09 FAP'!U304</f>
        <v>0</v>
      </c>
      <c r="V303" s="13">
        <f>SUM(M303:U303)</f>
        <v>111</v>
      </c>
      <c r="W303" s="472">
        <f>'F-09 EP'!W292+'F-09 MGP'!W304+'F-09 FAP'!W304</f>
        <v>247800</v>
      </c>
    </row>
    <row r="304" spans="1:23">
      <c r="A304" s="703" t="s">
        <v>6910</v>
      </c>
      <c r="B304" s="13"/>
      <c r="C304" s="13"/>
      <c r="D304" s="13"/>
      <c r="E304" s="13"/>
      <c r="F304" s="13"/>
      <c r="G304" s="13"/>
      <c r="H304" s="13"/>
      <c r="I304" s="13">
        <f>'F-09 EP'!I293+'F-09 MGP'!I305+'F-09 FAP'!I305</f>
        <v>122</v>
      </c>
      <c r="J304" s="13">
        <f>'F-09 EP'!J293+'F-09 MGP'!J305+'F-09 FAP'!J305</f>
        <v>0</v>
      </c>
      <c r="K304" s="13">
        <f>SUM(B304:J304)</f>
        <v>122</v>
      </c>
      <c r="L304" s="472">
        <f>'F-09 EP'!L293+'F-09 MGP'!L305+'F-09 FAP'!L305</f>
        <v>650000</v>
      </c>
      <c r="M304" s="13"/>
      <c r="N304" s="13"/>
      <c r="O304" s="13"/>
      <c r="P304" s="13"/>
      <c r="Q304" s="13"/>
      <c r="R304" s="13"/>
      <c r="S304" s="13"/>
      <c r="T304" s="13">
        <f>'F-09 EP'!T293+'F-09 MGP'!T305+'F-09 FAP'!T305</f>
        <v>122</v>
      </c>
      <c r="U304" s="13">
        <f>'F-09 EP'!U293+'F-09 MGP'!U305+'F-09 FAP'!U305</f>
        <v>0</v>
      </c>
      <c r="V304" s="13">
        <f>SUM(M304:U304)</f>
        <v>122</v>
      </c>
      <c r="W304" s="472">
        <f>'F-09 EP'!W293+'F-09 MGP'!W305+'F-09 FAP'!W305</f>
        <v>665200</v>
      </c>
    </row>
    <row r="305" spans="1:23" ht="24">
      <c r="A305" s="704" t="s">
        <v>6909</v>
      </c>
      <c r="B305" s="482"/>
      <c r="C305" s="482"/>
      <c r="D305" s="482">
        <f t="shared" ref="D305:W305" si="82">SUM(D306:D308)</f>
        <v>1332</v>
      </c>
      <c r="E305" s="482">
        <f t="shared" si="82"/>
        <v>0</v>
      </c>
      <c r="F305" s="482">
        <f t="shared" si="82"/>
        <v>0</v>
      </c>
      <c r="G305" s="482">
        <f t="shared" si="82"/>
        <v>0</v>
      </c>
      <c r="H305" s="482">
        <f t="shared" si="82"/>
        <v>0</v>
      </c>
      <c r="I305" s="482">
        <f t="shared" si="82"/>
        <v>0</v>
      </c>
      <c r="J305" s="482">
        <f t="shared" si="82"/>
        <v>0</v>
      </c>
      <c r="K305" s="482">
        <f t="shared" si="82"/>
        <v>1332</v>
      </c>
      <c r="L305" s="474">
        <f t="shared" si="82"/>
        <v>69655351.600000009</v>
      </c>
      <c r="M305" s="482">
        <f t="shared" si="82"/>
        <v>0</v>
      </c>
      <c r="N305" s="482">
        <f t="shared" si="82"/>
        <v>0</v>
      </c>
      <c r="O305" s="482">
        <f t="shared" si="82"/>
        <v>1252</v>
      </c>
      <c r="P305" s="482">
        <f t="shared" si="82"/>
        <v>0</v>
      </c>
      <c r="Q305" s="482">
        <f t="shared" si="82"/>
        <v>0</v>
      </c>
      <c r="R305" s="482">
        <f t="shared" si="82"/>
        <v>0</v>
      </c>
      <c r="S305" s="482">
        <f t="shared" si="82"/>
        <v>0</v>
      </c>
      <c r="T305" s="482">
        <f t="shared" si="82"/>
        <v>0</v>
      </c>
      <c r="U305" s="482">
        <f t="shared" si="82"/>
        <v>0</v>
      </c>
      <c r="V305" s="482">
        <f t="shared" si="82"/>
        <v>1252</v>
      </c>
      <c r="W305" s="474">
        <f t="shared" si="82"/>
        <v>59005040.480000004</v>
      </c>
    </row>
    <row r="306" spans="1:23" ht="24">
      <c r="A306" s="703" t="s">
        <v>6908</v>
      </c>
      <c r="B306" s="13"/>
      <c r="C306" s="13"/>
      <c r="D306" s="13">
        <f>'F-09 OGA'!D49+'F-09 CCFFAA'!D51+'F-09 EP'!D295+'F-09 MGP'!D307+'F-09 FAP'!D307+'F-09 CONIDA'!D51+'F-09 ENAMM'!D59+'F-09 OPREFA'!D43+'F-09 ACFFAA'!D43+'F-09 IGN'!D43+'F-09 CENEPRED'!D44+'F-09 INDECI'!D43</f>
        <v>987</v>
      </c>
      <c r="E306" s="13"/>
      <c r="F306" s="13"/>
      <c r="G306" s="13"/>
      <c r="H306" s="13"/>
      <c r="I306" s="13"/>
      <c r="J306" s="13"/>
      <c r="K306" s="13">
        <f>SUM(B306:J306)</f>
        <v>987</v>
      </c>
      <c r="L306" s="472">
        <f>'F-09 OGA'!L49+'F-09 CCFFAA'!L51+'F-09 EP'!L295+'F-09 MGP'!L307+'F-09 FAP'!L307+'F-09 CONIDA'!L51+'F-09 ENAMM'!L59+'F-09 OPREFA'!L43+'F-09 ACFFAA'!L43+'F-09 IGN'!L43+'F-09 CENEPRED'!L44+'F-09 INDECI'!L43</f>
        <v>57512821.116315797</v>
      </c>
      <c r="M306" s="13"/>
      <c r="N306" s="13"/>
      <c r="O306" s="13">
        <f>'F-09 OGA'!O49+'F-09 CCFFAA'!O51+'F-09 EP'!O295+'F-09 MGP'!O307+'F-09 FAP'!O307+'F-09 CONIDA'!O51+'F-09 ENAMM'!O59+'F-09 OPREFA'!O43+'F-09 ACFFAA'!O43+'F-09 IGN'!O43+'F-09 CENEPRED'!O44+'F-09 INDECI'!O43</f>
        <v>942</v>
      </c>
      <c r="P306" s="13"/>
      <c r="Q306" s="13"/>
      <c r="R306" s="13"/>
      <c r="S306" s="13"/>
      <c r="T306" s="13"/>
      <c r="U306" s="13"/>
      <c r="V306" s="13">
        <f>SUM(M306:U306)</f>
        <v>942</v>
      </c>
      <c r="W306" s="472">
        <f>'F-09 OGA'!W49+'F-09 CCFFAA'!W51+'F-09 EP'!W295+'F-09 MGP'!W307+'F-09 FAP'!W307+'F-09 CONIDA'!W51+'F-09 ENAMM'!W59+'F-09 OPREFA'!W43+'F-09 ACFFAA'!W43+'F-09 IGN'!W43+'F-09 CENEPRED'!W44+'F-09 INDECI'!W43</f>
        <v>48216909.826315798</v>
      </c>
    </row>
    <row r="307" spans="1:23" ht="24">
      <c r="A307" s="703" t="s">
        <v>6907</v>
      </c>
      <c r="B307" s="13"/>
      <c r="C307" s="13"/>
      <c r="D307" s="13">
        <f>'F-09 OGA'!D50+'F-09 CCFFAA'!D52+'F-09 EP'!D296+'F-09 MGP'!D308+'F-09 FAP'!D308+'F-09 CONIDA'!D52+'F-09 ENAMM'!D60+'F-09 OPREFA'!D44+'F-09 ACFFAA'!D44+'F-09 IGN'!D44+'F-09 CENEPRED'!D45+'F-09 INDECI'!D44</f>
        <v>206</v>
      </c>
      <c r="E307" s="13"/>
      <c r="F307" s="13"/>
      <c r="G307" s="13"/>
      <c r="H307" s="13"/>
      <c r="I307" s="13"/>
      <c r="J307" s="13"/>
      <c r="K307" s="13">
        <f>SUM(B307:J307)</f>
        <v>206</v>
      </c>
      <c r="L307" s="472">
        <f>'F-09 OGA'!L50+'F-09 CCFFAA'!L52+'F-09 EP'!L296+'F-09 MGP'!L308+'F-09 FAP'!L308+'F-09 CONIDA'!L52+'F-09 ENAMM'!L60+'F-09 OPREFA'!L44+'F-09 ACFFAA'!L44+'F-09 IGN'!L44+'F-09 CENEPRED'!L45+'F-09 INDECI'!L44</f>
        <v>9519672.9505263194</v>
      </c>
      <c r="M307" s="13"/>
      <c r="N307" s="13"/>
      <c r="O307" s="13">
        <f>'F-09 OGA'!O50+'F-09 CCFFAA'!O52+'F-09 EP'!O296+'F-09 MGP'!O308+'F-09 FAP'!O308+'F-09 CONIDA'!O52+'F-09 ENAMM'!O60+'F-09 OPREFA'!O44+'F-09 ACFFAA'!O44+'F-09 IGN'!O44+'F-09 CENEPRED'!O45+'F-09 INDECI'!O44</f>
        <v>207</v>
      </c>
      <c r="P307" s="13"/>
      <c r="Q307" s="13"/>
      <c r="R307" s="13"/>
      <c r="S307" s="13"/>
      <c r="T307" s="13"/>
      <c r="U307" s="13"/>
      <c r="V307" s="13">
        <f>SUM(M307:U307)</f>
        <v>207</v>
      </c>
      <c r="W307" s="472">
        <f>'F-09 OGA'!W50+'F-09 CCFFAA'!W52+'F-09 EP'!W296+'F-09 MGP'!W308+'F-09 FAP'!W308+'F-09 CONIDA'!W52+'F-09 ENAMM'!W60+'F-09 OPREFA'!W44+'F-09 ACFFAA'!W44+'F-09 IGN'!W44+'F-09 CENEPRED'!W45+'F-09 INDECI'!W44</f>
        <v>8526369.9905263148</v>
      </c>
    </row>
    <row r="308" spans="1:23" ht="24">
      <c r="A308" s="703" t="s">
        <v>6906</v>
      </c>
      <c r="B308" s="13"/>
      <c r="C308" s="13"/>
      <c r="D308" s="13">
        <f>'F-09 OGA'!D51+'F-09 CCFFAA'!D53+'F-09 EP'!D297+'F-09 MGP'!D309+'F-09 FAP'!D309+'F-09 CONIDA'!D53+'F-09 ENAMM'!D61+'F-09 OPREFA'!D45+'F-09 ACFFAA'!D45+'F-09 IGN'!D45+'F-09 CENEPRED'!D46+'F-09 INDECI'!D45</f>
        <v>139</v>
      </c>
      <c r="E308" s="13"/>
      <c r="F308" s="13"/>
      <c r="G308" s="13"/>
      <c r="H308" s="13"/>
      <c r="I308" s="13"/>
      <c r="J308" s="13"/>
      <c r="K308" s="13">
        <f>SUM(B308:J308)</f>
        <v>139</v>
      </c>
      <c r="L308" s="472">
        <f>'F-09 OGA'!L51+'F-09 CCFFAA'!L53+'F-09 EP'!L297+'F-09 MGP'!L309+'F-09 FAP'!L309+'F-09 CONIDA'!L53+'F-09 ENAMM'!L61+'F-09 OPREFA'!L45+'F-09 ACFFAA'!L45+'F-09 IGN'!L45+'F-09 CENEPRED'!L46+'F-09 INDECI'!L45</f>
        <v>2622857.5331578953</v>
      </c>
      <c r="M308" s="13"/>
      <c r="N308" s="13"/>
      <c r="O308" s="13">
        <f>'F-09 OGA'!O51+'F-09 CCFFAA'!O53+'F-09 EP'!O297+'F-09 MGP'!O309+'F-09 FAP'!O309+'F-09 CONIDA'!O53+'F-09 ENAMM'!O61+'F-09 OPREFA'!O45+'F-09 ACFFAA'!O45+'F-09 IGN'!O45+'F-09 CENEPRED'!O46+'F-09 INDECI'!O45</f>
        <v>103</v>
      </c>
      <c r="P308" s="13"/>
      <c r="Q308" s="13"/>
      <c r="R308" s="13"/>
      <c r="S308" s="13"/>
      <c r="T308" s="13"/>
      <c r="U308" s="13"/>
      <c r="V308" s="13">
        <f>SUM(M308:U308)</f>
        <v>103</v>
      </c>
      <c r="W308" s="472">
        <f>'F-09 OGA'!W51+'F-09 CCFFAA'!W53+'F-09 EP'!W297+'F-09 MGP'!W309+'F-09 FAP'!W309+'F-09 CONIDA'!W53+'F-09 ENAMM'!W61+'F-09 OPREFA'!W45+'F-09 ACFFAA'!W45+'F-09 IGN'!W45+'F-09 CENEPRED'!W46+'F-09 INDECI'!W45</f>
        <v>2261760.6631578943</v>
      </c>
    </row>
    <row r="309" spans="1:23">
      <c r="A309" s="703"/>
      <c r="B309" s="13"/>
      <c r="C309" s="13"/>
      <c r="D309" s="13"/>
      <c r="E309" s="13"/>
      <c r="F309" s="13"/>
      <c r="G309" s="13"/>
      <c r="H309" s="13"/>
      <c r="I309" s="13"/>
      <c r="J309" s="13"/>
      <c r="K309" s="13"/>
      <c r="L309" s="472"/>
      <c r="M309" s="13"/>
      <c r="N309" s="13"/>
      <c r="O309" s="13"/>
      <c r="P309" s="13"/>
      <c r="Q309" s="13"/>
      <c r="R309" s="13"/>
      <c r="S309" s="13"/>
      <c r="T309" s="13"/>
      <c r="U309" s="13"/>
      <c r="V309" s="13"/>
      <c r="W309" s="472"/>
    </row>
    <row r="310" spans="1:23" ht="24">
      <c r="A310" s="704" t="s">
        <v>6905</v>
      </c>
      <c r="B310" s="477"/>
      <c r="C310" s="477"/>
      <c r="D310" s="477"/>
      <c r="E310" s="477"/>
      <c r="F310" s="477"/>
      <c r="G310" s="477"/>
      <c r="H310" s="477"/>
      <c r="I310" s="477"/>
      <c r="J310" s="477"/>
      <c r="K310" s="477"/>
      <c r="L310" s="488"/>
      <c r="M310" s="477"/>
      <c r="N310" s="477"/>
      <c r="O310" s="477"/>
      <c r="P310" s="477"/>
      <c r="Q310" s="477"/>
      <c r="R310" s="477"/>
      <c r="S310" s="477"/>
      <c r="T310" s="477"/>
      <c r="U310" s="477"/>
      <c r="V310" s="477"/>
      <c r="W310" s="487"/>
    </row>
    <row r="311" spans="1:23">
      <c r="A311" s="703" t="s">
        <v>6904</v>
      </c>
      <c r="B311" s="13"/>
      <c r="C311" s="13"/>
      <c r="D311" s="13"/>
      <c r="E311" s="13"/>
      <c r="F311" s="13"/>
      <c r="G311" s="13"/>
      <c r="H311" s="13"/>
      <c r="I311" s="13"/>
      <c r="J311" s="13"/>
      <c r="K311" s="13"/>
      <c r="L311" s="472"/>
      <c r="M311" s="13"/>
      <c r="N311" s="13"/>
      <c r="O311" s="13"/>
      <c r="P311" s="13"/>
      <c r="Q311" s="13"/>
      <c r="R311" s="13"/>
      <c r="S311" s="13"/>
      <c r="T311" s="13"/>
      <c r="U311" s="13"/>
      <c r="V311" s="13"/>
      <c r="W311" s="16"/>
    </row>
    <row r="312" spans="1:23">
      <c r="A312" s="703"/>
      <c r="B312" s="13"/>
      <c r="C312" s="13"/>
      <c r="D312" s="13"/>
      <c r="E312" s="13"/>
      <c r="F312" s="13"/>
      <c r="G312" s="13"/>
      <c r="H312" s="13"/>
      <c r="I312" s="13"/>
      <c r="J312" s="13"/>
      <c r="K312" s="13"/>
      <c r="L312" s="472"/>
      <c r="M312" s="13"/>
      <c r="N312" s="13"/>
      <c r="O312" s="13"/>
      <c r="P312" s="13"/>
      <c r="Q312" s="13"/>
      <c r="R312" s="13"/>
      <c r="S312" s="13"/>
      <c r="T312" s="13"/>
      <c r="U312" s="13"/>
      <c r="V312" s="13"/>
      <c r="W312" s="16"/>
    </row>
    <row r="313" spans="1:23">
      <c r="A313" s="704" t="s">
        <v>6903</v>
      </c>
      <c r="B313" s="477">
        <f t="shared" ref="B313:W313" si="83">B314</f>
        <v>0</v>
      </c>
      <c r="C313" s="477">
        <f t="shared" si="83"/>
        <v>0</v>
      </c>
      <c r="D313" s="477">
        <f t="shared" si="83"/>
        <v>0</v>
      </c>
      <c r="E313" s="477">
        <f t="shared" si="83"/>
        <v>0</v>
      </c>
      <c r="F313" s="477">
        <f t="shared" si="83"/>
        <v>0</v>
      </c>
      <c r="G313" s="477">
        <f t="shared" si="83"/>
        <v>0</v>
      </c>
      <c r="H313" s="477">
        <f t="shared" si="83"/>
        <v>0</v>
      </c>
      <c r="I313" s="477">
        <f t="shared" si="83"/>
        <v>26</v>
      </c>
      <c r="J313" s="477">
        <f t="shared" si="83"/>
        <v>0</v>
      </c>
      <c r="K313" s="477">
        <f t="shared" si="83"/>
        <v>26</v>
      </c>
      <c r="L313" s="474">
        <f t="shared" si="83"/>
        <v>452832</v>
      </c>
      <c r="M313" s="477">
        <f t="shared" si="83"/>
        <v>0</v>
      </c>
      <c r="N313" s="477">
        <f t="shared" si="83"/>
        <v>0</v>
      </c>
      <c r="O313" s="477">
        <f t="shared" si="83"/>
        <v>0</v>
      </c>
      <c r="P313" s="477">
        <f t="shared" si="83"/>
        <v>0</v>
      </c>
      <c r="Q313" s="477">
        <f t="shared" si="83"/>
        <v>0</v>
      </c>
      <c r="R313" s="477">
        <f t="shared" si="83"/>
        <v>0</v>
      </c>
      <c r="S313" s="477">
        <f t="shared" si="83"/>
        <v>0</v>
      </c>
      <c r="T313" s="477">
        <f t="shared" si="83"/>
        <v>0</v>
      </c>
      <c r="U313" s="477">
        <f t="shared" si="83"/>
        <v>0</v>
      </c>
      <c r="V313" s="477">
        <f t="shared" si="83"/>
        <v>0</v>
      </c>
      <c r="W313" s="474">
        <f t="shared" si="83"/>
        <v>0</v>
      </c>
    </row>
    <row r="314" spans="1:23">
      <c r="A314" s="703" t="s">
        <v>6902</v>
      </c>
      <c r="B314" s="13">
        <f>'F-09 CCFFAA'!B59+'F-09 EP'!B303+'F-09 MGP'!B315+'F-09 FAP'!B315+'F-09 CONIDA'!B59+'F-09 OPREFA'!B51</f>
        <v>0</v>
      </c>
      <c r="C314" s="13">
        <f>'F-09 CCFFAA'!C59+'F-09 EP'!C303+'F-09 MGP'!C315+'F-09 FAP'!C315+'F-09 CONIDA'!C59+'F-09 OPREFA'!C51</f>
        <v>0</v>
      </c>
      <c r="D314" s="13">
        <f>'F-09 CCFFAA'!D59+'F-09 EP'!D303+'F-09 MGP'!D315+'F-09 FAP'!D315+'F-09 CONIDA'!D59+'F-09 OPREFA'!D51</f>
        <v>0</v>
      </c>
      <c r="E314" s="13">
        <f>'F-09 CCFFAA'!E59+'F-09 EP'!E303+'F-09 MGP'!E315+'F-09 FAP'!E315+'F-09 CONIDA'!E59+'F-09 OPREFA'!E51</f>
        <v>0</v>
      </c>
      <c r="F314" s="13">
        <f>'F-09 CCFFAA'!F59+'F-09 EP'!F303+'F-09 MGP'!F315+'F-09 FAP'!F315+'F-09 CONIDA'!F59+'F-09 OPREFA'!F51</f>
        <v>0</v>
      </c>
      <c r="G314" s="13">
        <f>'F-09 CCFFAA'!G59+'F-09 EP'!G303+'F-09 MGP'!G315+'F-09 FAP'!G315+'F-09 CONIDA'!G59+'F-09 OPREFA'!G51</f>
        <v>0</v>
      </c>
      <c r="H314" s="13">
        <f>'F-09 CCFFAA'!H59+'F-09 EP'!H303+'F-09 MGP'!H315+'F-09 FAP'!H315+'F-09 CONIDA'!H59+'F-09 OPREFA'!H51</f>
        <v>0</v>
      </c>
      <c r="I314" s="13">
        <f>'F-09 CCFFAA'!I59+'F-09 EP'!I303+'F-09 MGP'!I315+'F-09 FAP'!I315+'F-09 CONIDA'!I59+'F-09 OPREFA'!I51</f>
        <v>26</v>
      </c>
      <c r="J314" s="13">
        <f>'F-09 CCFFAA'!J59+'F-09 EP'!J303+'F-09 MGP'!J315+'F-09 FAP'!J315+'F-09 CONIDA'!J59+'F-09 OPREFA'!J51</f>
        <v>0</v>
      </c>
      <c r="K314" s="13">
        <f>SUM(B314:J314)</f>
        <v>26</v>
      </c>
      <c r="L314" s="472">
        <f>'F-09 CCFFAA'!L59+'F-09 EP'!L303+'F-09 MGP'!L315+'F-09 FAP'!L315+'F-09 CONIDA'!L59+'F-09 OPREFA'!L51</f>
        <v>452832</v>
      </c>
      <c r="M314" s="13">
        <f>'F-09 CCFFAA'!M59+'F-09 EP'!M303+'F-09 MGP'!M315+'F-09 FAP'!M315+'F-09 CONIDA'!M59+'F-09 OPREFA'!M51</f>
        <v>0</v>
      </c>
      <c r="N314" s="13">
        <f>'F-09 CCFFAA'!N59+'F-09 EP'!N303+'F-09 MGP'!N315+'F-09 FAP'!N315+'F-09 CONIDA'!N59+'F-09 OPREFA'!N51</f>
        <v>0</v>
      </c>
      <c r="O314" s="13">
        <f>'F-09 CCFFAA'!O59+'F-09 EP'!O303+'F-09 MGP'!O315+'F-09 FAP'!O315+'F-09 CONIDA'!O59+'F-09 OPREFA'!O51</f>
        <v>0</v>
      </c>
      <c r="P314" s="13">
        <f>'F-09 CCFFAA'!P59+'F-09 EP'!P303+'F-09 MGP'!P315+'F-09 FAP'!P315+'F-09 CONIDA'!P59+'F-09 OPREFA'!P51</f>
        <v>0</v>
      </c>
      <c r="Q314" s="13">
        <f>'F-09 CCFFAA'!Q59+'F-09 EP'!Q303+'F-09 MGP'!Q315+'F-09 FAP'!Q315+'F-09 CONIDA'!Q59+'F-09 OPREFA'!Q51</f>
        <v>0</v>
      </c>
      <c r="R314" s="13">
        <f>'F-09 CCFFAA'!R59+'F-09 EP'!R303+'F-09 MGP'!R315+'F-09 FAP'!R315+'F-09 CONIDA'!R59+'F-09 OPREFA'!R51</f>
        <v>0</v>
      </c>
      <c r="S314" s="13">
        <f>'F-09 CCFFAA'!S59+'F-09 EP'!S303+'F-09 MGP'!S315+'F-09 FAP'!S315+'F-09 CONIDA'!S59+'F-09 OPREFA'!S51</f>
        <v>0</v>
      </c>
      <c r="T314" s="13">
        <f>'F-09 CCFFAA'!T59+'F-09 EP'!T303+'F-09 MGP'!T315+'F-09 FAP'!T315+'F-09 CONIDA'!T59+'F-09 OPREFA'!T51</f>
        <v>0</v>
      </c>
      <c r="U314" s="13">
        <f>'F-09 CCFFAA'!U59+'F-09 EP'!U303+'F-09 MGP'!U315+'F-09 FAP'!U315+'F-09 CONIDA'!U59+'F-09 OPREFA'!U51</f>
        <v>0</v>
      </c>
      <c r="V314" s="13">
        <f>SUM(M314:U314)</f>
        <v>0</v>
      </c>
      <c r="W314" s="472">
        <f>'F-09 CCFFAA'!W59+'F-09 EP'!W303+'F-09 MGP'!W315+'F-09 FAP'!W315+'F-09 CONIDA'!W59+'F-09 OPREFA'!W51</f>
        <v>0</v>
      </c>
    </row>
    <row r="315" spans="1:23">
      <c r="A315" s="703"/>
      <c r="B315" s="13"/>
      <c r="C315" s="13"/>
      <c r="D315" s="13"/>
      <c r="E315" s="13"/>
      <c r="F315" s="13"/>
      <c r="G315" s="13"/>
      <c r="H315" s="13"/>
      <c r="I315" s="13"/>
      <c r="J315" s="13"/>
      <c r="K315" s="13"/>
      <c r="L315" s="472"/>
      <c r="M315" s="13"/>
      <c r="N315" s="13"/>
      <c r="O315" s="13"/>
      <c r="P315" s="13"/>
      <c r="Q315" s="13"/>
      <c r="R315" s="13"/>
      <c r="S315" s="13"/>
      <c r="T315" s="13"/>
      <c r="U315" s="13"/>
      <c r="V315" s="13"/>
      <c r="W315" s="16"/>
    </row>
    <row r="316" spans="1:23">
      <c r="A316" s="705" t="s">
        <v>6901</v>
      </c>
      <c r="B316" s="477">
        <f t="shared" ref="B316:W316" si="84">B317</f>
        <v>47</v>
      </c>
      <c r="C316" s="477">
        <f t="shared" si="84"/>
        <v>0</v>
      </c>
      <c r="D316" s="477">
        <f t="shared" si="84"/>
        <v>0</v>
      </c>
      <c r="E316" s="477">
        <f t="shared" si="84"/>
        <v>0</v>
      </c>
      <c r="F316" s="477">
        <f t="shared" si="84"/>
        <v>0</v>
      </c>
      <c r="G316" s="477">
        <f t="shared" si="84"/>
        <v>0</v>
      </c>
      <c r="H316" s="477">
        <f t="shared" si="84"/>
        <v>0</v>
      </c>
      <c r="I316" s="477">
        <f t="shared" si="84"/>
        <v>0</v>
      </c>
      <c r="J316" s="477">
        <f t="shared" si="84"/>
        <v>0</v>
      </c>
      <c r="K316" s="477">
        <f t="shared" si="84"/>
        <v>47</v>
      </c>
      <c r="L316" s="474">
        <f t="shared" si="84"/>
        <v>506002.64</v>
      </c>
      <c r="M316" s="477">
        <f t="shared" si="84"/>
        <v>20</v>
      </c>
      <c r="N316" s="477">
        <f t="shared" si="84"/>
        <v>0</v>
      </c>
      <c r="O316" s="477">
        <f t="shared" si="84"/>
        <v>0</v>
      </c>
      <c r="P316" s="477">
        <f t="shared" si="84"/>
        <v>0</v>
      </c>
      <c r="Q316" s="477">
        <f t="shared" si="84"/>
        <v>0</v>
      </c>
      <c r="R316" s="477">
        <f t="shared" si="84"/>
        <v>0</v>
      </c>
      <c r="S316" s="477">
        <f t="shared" si="84"/>
        <v>0</v>
      </c>
      <c r="T316" s="477">
        <f t="shared" si="84"/>
        <v>0</v>
      </c>
      <c r="U316" s="477">
        <f t="shared" si="84"/>
        <v>0</v>
      </c>
      <c r="V316" s="477">
        <f t="shared" si="84"/>
        <v>20</v>
      </c>
      <c r="W316" s="474">
        <f t="shared" si="84"/>
        <v>174069</v>
      </c>
    </row>
    <row r="317" spans="1:23">
      <c r="A317" s="703" t="s">
        <v>6901</v>
      </c>
      <c r="B317" s="13">
        <f>'F-09 OGA'!B54+'F-09 CCFFAA'!B62+'F-09 EP'!B306+'F-09 MGP'!B318+'F-09 FAP'!B318+'F-09 CONIDA'!B62+'F-09 OPREFA'!B54</f>
        <v>47</v>
      </c>
      <c r="C317" s="13">
        <f>'F-09 OGA'!C54+'F-09 CCFFAA'!C62+'F-09 EP'!C306+'F-09 MGP'!C318+'F-09 FAP'!C318+'F-09 CONIDA'!C62+'F-09 OPREFA'!C54</f>
        <v>0</v>
      </c>
      <c r="D317" s="13">
        <f>'F-09 OGA'!D54+'F-09 CCFFAA'!D62+'F-09 EP'!D306+'F-09 MGP'!D318+'F-09 FAP'!D318+'F-09 CONIDA'!D62+'F-09 OPREFA'!D54</f>
        <v>0</v>
      </c>
      <c r="E317" s="13">
        <f>'F-09 OGA'!E54+'F-09 CCFFAA'!E62+'F-09 EP'!E306+'F-09 MGP'!E318+'F-09 FAP'!E318+'F-09 CONIDA'!E62+'F-09 OPREFA'!E54</f>
        <v>0</v>
      </c>
      <c r="F317" s="13">
        <f>'F-09 OGA'!F54+'F-09 CCFFAA'!F62+'F-09 EP'!F306+'F-09 MGP'!F318+'F-09 FAP'!F318+'F-09 CONIDA'!F62+'F-09 OPREFA'!F54</f>
        <v>0</v>
      </c>
      <c r="G317" s="13">
        <f>'F-09 OGA'!G54+'F-09 CCFFAA'!G62+'F-09 EP'!G306+'F-09 MGP'!G318+'F-09 FAP'!G318+'F-09 CONIDA'!G62+'F-09 OPREFA'!G54</f>
        <v>0</v>
      </c>
      <c r="H317" s="13">
        <f>'F-09 OGA'!H54+'F-09 CCFFAA'!H62+'F-09 EP'!H306+'F-09 MGP'!H318+'F-09 FAP'!H318+'F-09 CONIDA'!H62+'F-09 OPREFA'!H54</f>
        <v>0</v>
      </c>
      <c r="I317" s="13">
        <f>'F-09 OGA'!I54+'F-09 CCFFAA'!I62+'F-09 EP'!I306+'F-09 MGP'!I318+'F-09 FAP'!I318+'F-09 CONIDA'!I62+'F-09 OPREFA'!I54</f>
        <v>0</v>
      </c>
      <c r="J317" s="13">
        <f>'F-09 OGA'!J54+'F-09 CCFFAA'!J62+'F-09 EP'!J306+'F-09 MGP'!J318+'F-09 FAP'!J318+'F-09 CONIDA'!J62+'F-09 OPREFA'!J54</f>
        <v>0</v>
      </c>
      <c r="K317" s="13">
        <f>SUM(B317:J317)</f>
        <v>47</v>
      </c>
      <c r="L317" s="472">
        <f>'F-09 OGA'!L54+'F-09 CCFFAA'!L62+'F-09 EP'!L306+'F-09 MGP'!L318+'F-09 FAP'!L318+'F-09 CONIDA'!L62+'F-09 OPREFA'!L54</f>
        <v>506002.64</v>
      </c>
      <c r="M317" s="13">
        <f>'F-09 OGA'!M54+'F-09 CCFFAA'!M62+'F-09 EP'!M306+'F-09 MGP'!M318+'F-09 FAP'!M318+'F-09 CONIDA'!M62+'F-09 OPREFA'!M54</f>
        <v>20</v>
      </c>
      <c r="N317" s="13">
        <f>'F-09 OGA'!N54+'F-09 CCFFAA'!N62+'F-09 EP'!N306+'F-09 MGP'!N318+'F-09 FAP'!N318+'F-09 CONIDA'!N62+'F-09 OPREFA'!N54</f>
        <v>0</v>
      </c>
      <c r="O317" s="13">
        <f>'F-09 OGA'!O54+'F-09 CCFFAA'!O62+'F-09 EP'!O306+'F-09 MGP'!O318+'F-09 FAP'!O318+'F-09 CONIDA'!O62+'F-09 OPREFA'!O54</f>
        <v>0</v>
      </c>
      <c r="P317" s="13">
        <f>'F-09 OGA'!P54+'F-09 CCFFAA'!P62+'F-09 EP'!P306+'F-09 MGP'!P318+'F-09 FAP'!P318+'F-09 CONIDA'!P62+'F-09 OPREFA'!P54</f>
        <v>0</v>
      </c>
      <c r="Q317" s="13">
        <f>'F-09 OGA'!Q54+'F-09 CCFFAA'!Q62+'F-09 EP'!Q306+'F-09 MGP'!Q318+'F-09 FAP'!Q318+'F-09 CONIDA'!Q62+'F-09 OPREFA'!Q54</f>
        <v>0</v>
      </c>
      <c r="R317" s="13">
        <f>'F-09 OGA'!R54+'F-09 CCFFAA'!R62+'F-09 EP'!R306+'F-09 MGP'!R318+'F-09 FAP'!R318+'F-09 CONIDA'!R62+'F-09 OPREFA'!R54</f>
        <v>0</v>
      </c>
      <c r="S317" s="13">
        <f>'F-09 OGA'!S54+'F-09 CCFFAA'!S62+'F-09 EP'!S306+'F-09 MGP'!S318+'F-09 FAP'!S318+'F-09 CONIDA'!S62+'F-09 OPREFA'!S54</f>
        <v>0</v>
      </c>
      <c r="T317" s="13">
        <f>'F-09 OGA'!T54+'F-09 CCFFAA'!T62+'F-09 EP'!T306+'F-09 MGP'!T318+'F-09 FAP'!T318+'F-09 CONIDA'!T62+'F-09 OPREFA'!T54</f>
        <v>0</v>
      </c>
      <c r="U317" s="13">
        <f>'F-09 OGA'!U54+'F-09 CCFFAA'!U62+'F-09 EP'!U306+'F-09 MGP'!U318+'F-09 FAP'!U318+'F-09 CONIDA'!U62+'F-09 OPREFA'!U54</f>
        <v>0</v>
      </c>
      <c r="V317" s="13">
        <f>SUM(M317:U317)</f>
        <v>20</v>
      </c>
      <c r="W317" s="472">
        <f>'F-09 OGA'!W54+'F-09 CCFFAA'!W62+'F-09 EP'!W306+'F-09 MGP'!W318+'F-09 FAP'!W318+'F-09 CONIDA'!W62+'F-09 OPREFA'!W54</f>
        <v>174069</v>
      </c>
    </row>
    <row r="318" spans="1:23">
      <c r="A318" s="703"/>
      <c r="B318" s="13"/>
      <c r="C318" s="13"/>
      <c r="D318" s="13"/>
      <c r="E318" s="13"/>
      <c r="F318" s="13"/>
      <c r="G318" s="13"/>
      <c r="H318" s="13"/>
      <c r="I318" s="13"/>
      <c r="J318" s="13"/>
      <c r="K318" s="13"/>
      <c r="L318" s="472"/>
      <c r="M318" s="13"/>
      <c r="N318" s="13"/>
      <c r="O318" s="13"/>
      <c r="P318" s="13"/>
      <c r="Q318" s="13"/>
      <c r="R318" s="13"/>
      <c r="S318" s="13"/>
      <c r="T318" s="13"/>
      <c r="U318" s="13"/>
      <c r="V318" s="13"/>
      <c r="W318" s="16"/>
    </row>
    <row r="319" spans="1:23" hidden="1">
      <c r="A319" s="705" t="s">
        <v>6900</v>
      </c>
      <c r="B319" s="484"/>
      <c r="C319" s="484"/>
      <c r="D319" s="484"/>
      <c r="E319" s="484"/>
      <c r="F319" s="484"/>
      <c r="G319" s="484"/>
      <c r="H319" s="484"/>
      <c r="I319" s="484"/>
      <c r="J319" s="484"/>
      <c r="K319" s="484"/>
      <c r="L319" s="485"/>
      <c r="M319" s="484"/>
      <c r="N319" s="484"/>
      <c r="O319" s="484"/>
      <c r="P319" s="484"/>
      <c r="Q319" s="484"/>
      <c r="R319" s="484"/>
      <c r="S319" s="484"/>
      <c r="T319" s="484"/>
      <c r="U319" s="484"/>
      <c r="V319" s="484"/>
      <c r="W319" s="483"/>
    </row>
    <row r="320" spans="1:23" hidden="1">
      <c r="A320" s="703" t="s">
        <v>6900</v>
      </c>
      <c r="B320" s="13"/>
      <c r="C320" s="13"/>
      <c r="D320" s="13"/>
      <c r="E320" s="13"/>
      <c r="F320" s="13"/>
      <c r="G320" s="13"/>
      <c r="H320" s="13"/>
      <c r="I320" s="13"/>
      <c r="J320" s="13"/>
      <c r="K320" s="13"/>
      <c r="L320" s="472"/>
      <c r="M320" s="13"/>
      <c r="N320" s="13"/>
      <c r="O320" s="13"/>
      <c r="P320" s="13"/>
      <c r="Q320" s="13"/>
      <c r="R320" s="13"/>
      <c r="S320" s="13"/>
      <c r="T320" s="13"/>
      <c r="U320" s="13"/>
      <c r="V320" s="13"/>
      <c r="W320" s="16"/>
    </row>
    <row r="321" spans="1:23" hidden="1">
      <c r="A321" s="703"/>
      <c r="B321" s="13"/>
      <c r="C321" s="13"/>
      <c r="D321" s="13"/>
      <c r="E321" s="13"/>
      <c r="F321" s="13"/>
      <c r="G321" s="13"/>
      <c r="H321" s="13"/>
      <c r="I321" s="13"/>
      <c r="J321" s="13"/>
      <c r="K321" s="13"/>
      <c r="L321" s="472"/>
      <c r="M321" s="13"/>
      <c r="N321" s="13"/>
      <c r="O321" s="13"/>
      <c r="P321" s="13"/>
      <c r="Q321" s="13"/>
      <c r="R321" s="13"/>
      <c r="S321" s="13"/>
      <c r="T321" s="13"/>
      <c r="U321" s="13"/>
      <c r="V321" s="13"/>
      <c r="W321" s="16"/>
    </row>
    <row r="322" spans="1:23" hidden="1">
      <c r="A322" s="705" t="s">
        <v>6899</v>
      </c>
      <c r="B322" s="484"/>
      <c r="C322" s="484"/>
      <c r="D322" s="484"/>
      <c r="E322" s="484"/>
      <c r="F322" s="484"/>
      <c r="G322" s="484"/>
      <c r="H322" s="484"/>
      <c r="I322" s="484"/>
      <c r="J322" s="484"/>
      <c r="K322" s="484"/>
      <c r="L322" s="485"/>
      <c r="M322" s="484"/>
      <c r="N322" s="484"/>
      <c r="O322" s="484"/>
      <c r="P322" s="484"/>
      <c r="Q322" s="484"/>
      <c r="R322" s="484"/>
      <c r="S322" s="484"/>
      <c r="T322" s="484"/>
      <c r="U322" s="484"/>
      <c r="V322" s="484"/>
      <c r="W322" s="483"/>
    </row>
    <row r="323" spans="1:23" ht="24" hidden="1">
      <c r="A323" s="703" t="s">
        <v>6898</v>
      </c>
      <c r="B323" s="13"/>
      <c r="C323" s="13"/>
      <c r="D323" s="13"/>
      <c r="E323" s="13"/>
      <c r="F323" s="13"/>
      <c r="G323" s="13"/>
      <c r="H323" s="13"/>
      <c r="I323" s="13"/>
      <c r="J323" s="13"/>
      <c r="K323" s="13"/>
      <c r="L323" s="472"/>
      <c r="M323" s="13"/>
      <c r="N323" s="13"/>
      <c r="O323" s="13"/>
      <c r="P323" s="13"/>
      <c r="Q323" s="13"/>
      <c r="R323" s="13"/>
      <c r="S323" s="13"/>
      <c r="T323" s="13"/>
      <c r="U323" s="13"/>
      <c r="V323" s="13"/>
      <c r="W323" s="16"/>
    </row>
    <row r="324" spans="1:23" hidden="1">
      <c r="A324" s="703" t="s">
        <v>6897</v>
      </c>
      <c r="B324" s="13"/>
      <c r="C324" s="13"/>
      <c r="D324" s="13"/>
      <c r="E324" s="13"/>
      <c r="F324" s="13"/>
      <c r="G324" s="13"/>
      <c r="H324" s="13"/>
      <c r="I324" s="13"/>
      <c r="J324" s="13"/>
      <c r="K324" s="13"/>
      <c r="L324" s="472"/>
      <c r="M324" s="13"/>
      <c r="N324" s="13"/>
      <c r="O324" s="13"/>
      <c r="P324" s="13"/>
      <c r="Q324" s="13"/>
      <c r="R324" s="13"/>
      <c r="S324" s="13"/>
      <c r="T324" s="13"/>
      <c r="U324" s="13"/>
      <c r="V324" s="13"/>
      <c r="W324" s="16"/>
    </row>
    <row r="325" spans="1:23" hidden="1">
      <c r="A325" s="703" t="s">
        <v>6896</v>
      </c>
      <c r="B325" s="13"/>
      <c r="C325" s="13"/>
      <c r="D325" s="13"/>
      <c r="E325" s="13"/>
      <c r="F325" s="13"/>
      <c r="G325" s="13"/>
      <c r="H325" s="13"/>
      <c r="I325" s="13"/>
      <c r="J325" s="13"/>
      <c r="K325" s="13"/>
      <c r="L325" s="472"/>
      <c r="M325" s="13"/>
      <c r="N325" s="13"/>
      <c r="O325" s="13"/>
      <c r="P325" s="13"/>
      <c r="Q325" s="13"/>
      <c r="R325" s="13"/>
      <c r="S325" s="13"/>
      <c r="T325" s="13"/>
      <c r="U325" s="13"/>
      <c r="V325" s="13"/>
      <c r="W325" s="16"/>
    </row>
    <row r="326" spans="1:23" hidden="1">
      <c r="A326" s="703" t="s">
        <v>6895</v>
      </c>
      <c r="B326" s="13"/>
      <c r="C326" s="13"/>
      <c r="D326" s="13"/>
      <c r="E326" s="13"/>
      <c r="F326" s="13"/>
      <c r="G326" s="13"/>
      <c r="H326" s="13"/>
      <c r="I326" s="13"/>
      <c r="J326" s="13"/>
      <c r="K326" s="13"/>
      <c r="L326" s="472"/>
      <c r="M326" s="13"/>
      <c r="N326" s="13"/>
      <c r="O326" s="13"/>
      <c r="P326" s="13"/>
      <c r="Q326" s="13"/>
      <c r="R326" s="13"/>
      <c r="S326" s="13"/>
      <c r="T326" s="13"/>
      <c r="U326" s="13"/>
      <c r="V326" s="13"/>
      <c r="W326" s="16"/>
    </row>
    <row r="327" spans="1:23" hidden="1">
      <c r="A327" s="703"/>
      <c r="B327" s="13"/>
      <c r="C327" s="13"/>
      <c r="D327" s="13"/>
      <c r="E327" s="13"/>
      <c r="F327" s="13"/>
      <c r="G327" s="13"/>
      <c r="H327" s="13"/>
      <c r="I327" s="13"/>
      <c r="J327" s="13"/>
      <c r="K327" s="13"/>
      <c r="L327" s="472"/>
      <c r="M327" s="13"/>
      <c r="N327" s="13"/>
      <c r="O327" s="13"/>
      <c r="P327" s="13"/>
      <c r="Q327" s="13"/>
      <c r="R327" s="13"/>
      <c r="S327" s="13"/>
      <c r="T327" s="13"/>
      <c r="U327" s="13"/>
      <c r="V327" s="13"/>
      <c r="W327" s="16"/>
    </row>
    <row r="328" spans="1:23">
      <c r="A328" s="704" t="s">
        <v>6894</v>
      </c>
      <c r="B328" s="482"/>
      <c r="C328" s="482"/>
      <c r="D328" s="482"/>
      <c r="E328" s="482"/>
      <c r="F328" s="482"/>
      <c r="G328" s="482"/>
      <c r="H328" s="482"/>
      <c r="I328" s="482"/>
      <c r="J328" s="482">
        <f>SUM(J329:J332)</f>
        <v>780</v>
      </c>
      <c r="K328" s="482">
        <f>SUM(K329:K332)</f>
        <v>982</v>
      </c>
      <c r="L328" s="474">
        <f>SUM(L329:L334)</f>
        <v>41642433.310000002</v>
      </c>
      <c r="M328" s="478"/>
      <c r="N328" s="482"/>
      <c r="O328" s="482"/>
      <c r="P328" s="482"/>
      <c r="Q328" s="482"/>
      <c r="R328" s="482"/>
      <c r="S328" s="482"/>
      <c r="T328" s="482"/>
      <c r="U328" s="482"/>
      <c r="V328" s="482"/>
      <c r="W328" s="474">
        <f>SUM(W329:W334)</f>
        <v>993102.69</v>
      </c>
    </row>
    <row r="329" spans="1:23" ht="24">
      <c r="A329" s="703" t="s">
        <v>6893</v>
      </c>
      <c r="B329" s="13"/>
      <c r="C329" s="13"/>
      <c r="D329" s="13"/>
      <c r="E329" s="13"/>
      <c r="F329" s="13"/>
      <c r="G329" s="13"/>
      <c r="H329" s="13"/>
      <c r="I329" s="13"/>
      <c r="J329" s="13"/>
      <c r="K329" s="13">
        <f t="shared" ref="K329:K334" si="85">SUM(B329:J329)</f>
        <v>0</v>
      </c>
      <c r="L329" s="472"/>
      <c r="M329" s="13"/>
      <c r="N329" s="13"/>
      <c r="O329" s="13"/>
      <c r="P329" s="13"/>
      <c r="Q329" s="13"/>
      <c r="R329" s="13"/>
      <c r="S329" s="13"/>
      <c r="T329" s="13"/>
      <c r="U329" s="13"/>
      <c r="V329" s="13">
        <f t="shared" ref="V329:V334" si="86">SUM(M329:U329)</f>
        <v>0</v>
      </c>
      <c r="W329" s="472"/>
    </row>
    <row r="330" spans="1:23" ht="24">
      <c r="A330" s="703" t="s">
        <v>6892</v>
      </c>
      <c r="B330" s="13">
        <f>'F-09 OGA'!B57+'F-09 CCFFAA'!B75+'F-09 EP'!B319+'F-09 MGP'!B331+'F-09 FAP'!B331+'F-09 CONIDA'!B75+'F-09 ENAMM'!B65</f>
        <v>0</v>
      </c>
      <c r="C330" s="13">
        <f>'F-09 OGA'!C57+'F-09 CCFFAA'!C75+'F-09 EP'!C319+'F-09 MGP'!C331+'F-09 FAP'!C331+'F-09 CONIDA'!C75+'F-09 ENAMM'!C65</f>
        <v>0</v>
      </c>
      <c r="D330" s="13">
        <f>'F-09 OGA'!D57+'F-09 CCFFAA'!D75+'F-09 EP'!D319+'F-09 MGP'!D331+'F-09 FAP'!D331+'F-09 CONIDA'!D75+'F-09 ENAMM'!D65</f>
        <v>0</v>
      </c>
      <c r="E330" s="13">
        <f>'F-09 OGA'!E57+'F-09 CCFFAA'!E75+'F-09 EP'!E319+'F-09 MGP'!E331+'F-09 FAP'!E331+'F-09 CONIDA'!E75+'F-09 ENAMM'!E65</f>
        <v>0</v>
      </c>
      <c r="F330" s="13">
        <f>'F-09 OGA'!F57+'F-09 CCFFAA'!F75+'F-09 EP'!F319+'F-09 MGP'!F331+'F-09 FAP'!F331+'F-09 CONIDA'!F75+'F-09 ENAMM'!F65</f>
        <v>0</v>
      </c>
      <c r="G330" s="13">
        <f>'F-09 OGA'!G57+'F-09 CCFFAA'!G75+'F-09 EP'!G319+'F-09 MGP'!G331+'F-09 FAP'!G331+'F-09 CONIDA'!G75+'F-09 ENAMM'!G65</f>
        <v>0</v>
      </c>
      <c r="H330" s="13">
        <f>'F-09 OGA'!H57+'F-09 CCFFAA'!H75+'F-09 EP'!H319+'F-09 MGP'!H331+'F-09 FAP'!H331+'F-09 CONIDA'!H75+'F-09 ENAMM'!H65</f>
        <v>0</v>
      </c>
      <c r="I330" s="13">
        <f>'F-09 OGA'!I57+'F-09 CCFFAA'!I75+'F-09 EP'!I319+'F-09 MGP'!I331+'F-09 FAP'!I331+'F-09 CONIDA'!I75+'F-09 ENAMM'!I65</f>
        <v>0</v>
      </c>
      <c r="J330" s="13">
        <f>'F-09 OGA'!J57+'F-09 CCFFAA'!J75+'F-09 EP'!J319+'F-09 MGP'!J331+'F-09 FAP'!J331+'F-09 CONIDA'!J75+'F-09 ENAMM'!J65</f>
        <v>0</v>
      </c>
      <c r="K330" s="13">
        <f t="shared" si="85"/>
        <v>0</v>
      </c>
      <c r="L330" s="472">
        <f>'F-09 OGA'!L57+'F-09 CCFFAA'!L75+'F-09 EP'!L319+'F-09 MGP'!L331+'F-09 FAP'!L331+'F-09 CONIDA'!L75+'F-09 ENAMM'!L65</f>
        <v>2926742.03</v>
      </c>
      <c r="M330" s="13">
        <f>'F-09 OGA'!M57+'F-09 CCFFAA'!M75+'F-09 EP'!M319+'F-09 MGP'!M331+'F-09 FAP'!M331+'F-09 CONIDA'!M75+'F-09 ENAMM'!M65</f>
        <v>0</v>
      </c>
      <c r="N330" s="13">
        <f>'F-09 OGA'!N57+'F-09 CCFFAA'!N75+'F-09 EP'!N319+'F-09 MGP'!N331+'F-09 FAP'!N331+'F-09 CONIDA'!N75+'F-09 ENAMM'!N65</f>
        <v>0</v>
      </c>
      <c r="O330" s="13">
        <f>'F-09 OGA'!O57+'F-09 CCFFAA'!O75+'F-09 EP'!O319+'F-09 MGP'!O331+'F-09 FAP'!O331+'F-09 CONIDA'!O75+'F-09 ENAMM'!O65</f>
        <v>0</v>
      </c>
      <c r="P330" s="13">
        <f>'F-09 OGA'!P57+'F-09 CCFFAA'!P75+'F-09 EP'!P319+'F-09 MGP'!P331+'F-09 FAP'!P331+'F-09 CONIDA'!P75+'F-09 ENAMM'!P65</f>
        <v>0</v>
      </c>
      <c r="Q330" s="13">
        <f>'F-09 OGA'!Q57+'F-09 CCFFAA'!Q75+'F-09 EP'!Q319+'F-09 MGP'!Q331+'F-09 FAP'!Q331+'F-09 CONIDA'!Q75+'F-09 ENAMM'!Q65</f>
        <v>0</v>
      </c>
      <c r="R330" s="13">
        <f>'F-09 OGA'!R57+'F-09 CCFFAA'!R75+'F-09 EP'!R319+'F-09 MGP'!R331+'F-09 FAP'!R331+'F-09 CONIDA'!R75+'F-09 ENAMM'!R65</f>
        <v>0</v>
      </c>
      <c r="S330" s="13">
        <f>'F-09 OGA'!S57+'F-09 CCFFAA'!S75+'F-09 EP'!S319+'F-09 MGP'!S331+'F-09 FAP'!S331+'F-09 CONIDA'!S75+'F-09 ENAMM'!S65</f>
        <v>0</v>
      </c>
      <c r="T330" s="13">
        <f>'F-09 OGA'!T57+'F-09 CCFFAA'!T75+'F-09 EP'!T319+'F-09 MGP'!T331+'F-09 FAP'!T331+'F-09 CONIDA'!T75+'F-09 ENAMM'!T65</f>
        <v>0</v>
      </c>
      <c r="U330" s="13">
        <f>'F-09 OGA'!U57+'F-09 CCFFAA'!U75+'F-09 EP'!U319+'F-09 MGP'!U331+'F-09 FAP'!U331+'F-09 CONIDA'!U75+'F-09 ENAMM'!U65</f>
        <v>0</v>
      </c>
      <c r="V330" s="13">
        <f t="shared" si="86"/>
        <v>0</v>
      </c>
      <c r="W330" s="472">
        <f>'F-09 OGA'!W57+'F-09 CCFFAA'!W75+'F-09 EP'!W319+'F-09 MGP'!W331+'F-09 FAP'!W331+'F-09 CONIDA'!W75+'F-09 ENAMM'!W65</f>
        <v>432110</v>
      </c>
    </row>
    <row r="331" spans="1:23" ht="24">
      <c r="A331" s="703" t="s">
        <v>6891</v>
      </c>
      <c r="B331" s="13">
        <f>'F-09 OGA'!B58+'F-09 CCFFAA'!B76+'F-09 EP'!B320+'F-09 MGP'!B332+'F-09 FAP'!B332+'F-09 CONIDA'!B76+'F-09 ENAMM'!B66</f>
        <v>202</v>
      </c>
      <c r="C331" s="13">
        <f>'F-09 OGA'!C58+'F-09 CCFFAA'!C76+'F-09 EP'!C320+'F-09 MGP'!C332+'F-09 FAP'!C332+'F-09 CONIDA'!C76+'F-09 ENAMM'!C66</f>
        <v>0</v>
      </c>
      <c r="D331" s="13">
        <f>'F-09 OGA'!D58+'F-09 CCFFAA'!D76+'F-09 EP'!D320+'F-09 MGP'!D332+'F-09 FAP'!D332+'F-09 CONIDA'!D76+'F-09 ENAMM'!D66</f>
        <v>0</v>
      </c>
      <c r="E331" s="13">
        <f>'F-09 OGA'!E58+'F-09 CCFFAA'!E76+'F-09 EP'!E320+'F-09 MGP'!E332+'F-09 FAP'!E332+'F-09 CONIDA'!E76+'F-09 ENAMM'!E66</f>
        <v>0</v>
      </c>
      <c r="F331" s="13">
        <f>'F-09 OGA'!F58+'F-09 CCFFAA'!F76+'F-09 EP'!F320+'F-09 MGP'!F332+'F-09 FAP'!F332+'F-09 CONIDA'!F76+'F-09 ENAMM'!F66</f>
        <v>0</v>
      </c>
      <c r="G331" s="13">
        <f>'F-09 OGA'!G58+'F-09 CCFFAA'!G76+'F-09 EP'!G320+'F-09 MGP'!G332+'F-09 FAP'!G332+'F-09 CONIDA'!G76+'F-09 ENAMM'!G66</f>
        <v>0</v>
      </c>
      <c r="H331" s="13">
        <f>'F-09 OGA'!H58+'F-09 CCFFAA'!H76+'F-09 EP'!H320+'F-09 MGP'!H332+'F-09 FAP'!H332+'F-09 CONIDA'!H76+'F-09 ENAMM'!H66</f>
        <v>0</v>
      </c>
      <c r="I331" s="13">
        <f>'F-09 OGA'!I58+'F-09 CCFFAA'!I76+'F-09 EP'!I320+'F-09 MGP'!I332+'F-09 FAP'!I332+'F-09 CONIDA'!I76+'F-09 ENAMM'!I66</f>
        <v>0</v>
      </c>
      <c r="J331" s="13">
        <f>'F-09 OGA'!J58+'F-09 CCFFAA'!J76+'F-09 EP'!J320+'F-09 MGP'!J332+'F-09 FAP'!J332+'F-09 CONIDA'!J76+'F-09 ENAMM'!J66</f>
        <v>780</v>
      </c>
      <c r="K331" s="13">
        <f t="shared" si="85"/>
        <v>982</v>
      </c>
      <c r="L331" s="472">
        <f>'F-09 OGA'!L58+'F-09 CCFFAA'!L76+'F-09 EP'!L320+'F-09 MGP'!L332+'F-09 FAP'!L332+'F-09 CONIDA'!L76+'F-09 ENAMM'!L66</f>
        <v>6900581.2799999993</v>
      </c>
      <c r="M331" s="13">
        <f>'F-09 OGA'!M58+'F-09 CCFFAA'!M76+'F-09 EP'!M320+'F-09 MGP'!M332+'F-09 FAP'!M332+'F-09 CONIDA'!M76+'F-09 ENAMM'!M66</f>
        <v>0</v>
      </c>
      <c r="N331" s="13">
        <f>'F-09 OGA'!N58+'F-09 CCFFAA'!N76+'F-09 EP'!N320+'F-09 MGP'!N332+'F-09 FAP'!N332+'F-09 CONIDA'!N76+'F-09 ENAMM'!N66</f>
        <v>0</v>
      </c>
      <c r="O331" s="13">
        <f>'F-09 OGA'!O58+'F-09 CCFFAA'!O76+'F-09 EP'!O320+'F-09 MGP'!O332+'F-09 FAP'!O332+'F-09 CONIDA'!O76+'F-09 ENAMM'!O66</f>
        <v>0</v>
      </c>
      <c r="P331" s="13">
        <f>'F-09 OGA'!P58+'F-09 CCFFAA'!P76+'F-09 EP'!P320+'F-09 MGP'!P332+'F-09 FAP'!P332+'F-09 CONIDA'!P76+'F-09 ENAMM'!P66</f>
        <v>0</v>
      </c>
      <c r="Q331" s="13">
        <f>'F-09 OGA'!Q58+'F-09 CCFFAA'!Q76+'F-09 EP'!Q320+'F-09 MGP'!Q332+'F-09 FAP'!Q332+'F-09 CONIDA'!Q76+'F-09 ENAMM'!Q66</f>
        <v>0</v>
      </c>
      <c r="R331" s="13">
        <f>'F-09 OGA'!R58+'F-09 CCFFAA'!R76+'F-09 EP'!R320+'F-09 MGP'!R332+'F-09 FAP'!R332+'F-09 CONIDA'!R76+'F-09 ENAMM'!R66</f>
        <v>0</v>
      </c>
      <c r="S331" s="13">
        <f>'F-09 OGA'!S58+'F-09 CCFFAA'!S76+'F-09 EP'!S320+'F-09 MGP'!S332+'F-09 FAP'!S332+'F-09 CONIDA'!S76+'F-09 ENAMM'!S66</f>
        <v>0</v>
      </c>
      <c r="T331" s="13">
        <f>'F-09 OGA'!T58+'F-09 CCFFAA'!T76+'F-09 EP'!T320+'F-09 MGP'!T332+'F-09 FAP'!T332+'F-09 CONIDA'!T76+'F-09 ENAMM'!T66</f>
        <v>0</v>
      </c>
      <c r="U331" s="13">
        <f>'F-09 OGA'!U58+'F-09 CCFFAA'!U76+'F-09 EP'!U320+'F-09 MGP'!U332+'F-09 FAP'!U332+'F-09 CONIDA'!U76+'F-09 ENAMM'!U66</f>
        <v>0</v>
      </c>
      <c r="V331" s="13">
        <f t="shared" si="86"/>
        <v>0</v>
      </c>
      <c r="W331" s="472">
        <f>'F-09 OGA'!W58+'F-09 CCFFAA'!W76+'F-09 EP'!W320+'F-09 MGP'!W332+'F-09 FAP'!W332+'F-09 CONIDA'!W76+'F-09 ENAMM'!W66</f>
        <v>141887</v>
      </c>
    </row>
    <row r="332" spans="1:23">
      <c r="A332" s="703" t="s">
        <v>6890</v>
      </c>
      <c r="B332" s="13">
        <f>'F-09 OGA'!B59+'F-09 CCFFAA'!B77+'F-09 EP'!B321+'F-09 MGP'!B333+'F-09 FAP'!B333+'F-09 CONIDA'!B77+'F-09 ENAMM'!B67</f>
        <v>0</v>
      </c>
      <c r="C332" s="13"/>
      <c r="D332" s="13"/>
      <c r="E332" s="13"/>
      <c r="F332" s="13"/>
      <c r="G332" s="13"/>
      <c r="H332" s="13"/>
      <c r="I332" s="13"/>
      <c r="J332" s="13"/>
      <c r="K332" s="13">
        <f t="shared" si="85"/>
        <v>0</v>
      </c>
      <c r="L332" s="472">
        <f>'F-09 OGA'!L59+'F-09 CCFFAA'!L77+'F-09 EP'!L321+'F-09 MGP'!L333+'F-09 FAP'!L333+'F-09 CONIDA'!L77+'F-09 ENAMM'!L67</f>
        <v>0</v>
      </c>
      <c r="M332" s="13">
        <f>'F-09 OGA'!M59+'F-09 CCFFAA'!M77+'F-09 EP'!M321+'F-09 MGP'!M333+'F-09 FAP'!M333+'F-09 CONIDA'!M77+'F-09 ENAMM'!M67</f>
        <v>0</v>
      </c>
      <c r="N332" s="13"/>
      <c r="O332" s="13"/>
      <c r="P332" s="13"/>
      <c r="Q332" s="13"/>
      <c r="R332" s="13"/>
      <c r="S332" s="13"/>
      <c r="T332" s="13"/>
      <c r="U332" s="13"/>
      <c r="V332" s="13">
        <f t="shared" si="86"/>
        <v>0</v>
      </c>
      <c r="W332" s="472">
        <f>'F-09 OGA'!W59+'F-09 CCFFAA'!W77+'F-09 EP'!W321+'F-09 MGP'!W333+'F-09 FAP'!W333+'F-09 CONIDA'!W77+'F-09 ENAMM'!W67</f>
        <v>0</v>
      </c>
    </row>
    <row r="333" spans="1:23" ht="24">
      <c r="A333" s="703" t="s">
        <v>6889</v>
      </c>
      <c r="B333" s="13">
        <f>'F-09 OGA'!B60+'F-09 CCFFAA'!B78+'F-09 EP'!B322+'F-09 MGP'!B334+'F-09 FAP'!B334+'F-09 CONIDA'!B78+'F-09 ENAMM'!B68</f>
        <v>88</v>
      </c>
      <c r="C333" s="13"/>
      <c r="D333" s="13"/>
      <c r="E333" s="13"/>
      <c r="F333" s="13"/>
      <c r="G333" s="13"/>
      <c r="H333" s="13"/>
      <c r="I333" s="13"/>
      <c r="J333" s="13"/>
      <c r="K333" s="13">
        <f t="shared" si="85"/>
        <v>88</v>
      </c>
      <c r="L333" s="472">
        <f>'F-09 OGA'!L61+'F-09 CCFFAA'!L78+'F-09 EP'!L322+'F-09 MGP'!L334+'F-09 FAP'!L334+'F-09 CONIDA'!L78+'F-09 ENAMM'!L68</f>
        <v>2566249</v>
      </c>
      <c r="M333" s="13">
        <f>'F-09 OGA'!M60+'F-09 CCFFAA'!M78+'F-09 EP'!M322+'F-09 MGP'!M334+'F-09 FAP'!M334+'F-09 CONIDA'!M78+'F-09 ENAMM'!M68</f>
        <v>0</v>
      </c>
      <c r="N333" s="13"/>
      <c r="O333" s="13"/>
      <c r="P333" s="13"/>
      <c r="Q333" s="13"/>
      <c r="R333" s="13"/>
      <c r="S333" s="13"/>
      <c r="T333" s="13"/>
      <c r="U333" s="13"/>
      <c r="V333" s="13">
        <f t="shared" si="86"/>
        <v>0</v>
      </c>
      <c r="W333" s="472">
        <f>'F-09 OGA'!W61+'F-09 CCFFAA'!W78+'F-09 EP'!W322+'F-09 MGP'!W334+'F-09 FAP'!W334+'F-09 CONIDA'!W78+'F-09 ENAMM'!W68</f>
        <v>263348.69</v>
      </c>
    </row>
    <row r="334" spans="1:23" ht="24">
      <c r="A334" s="703" t="s">
        <v>6888</v>
      </c>
      <c r="B334" s="13"/>
      <c r="C334" s="13"/>
      <c r="D334" s="13"/>
      <c r="E334" s="13"/>
      <c r="F334" s="13"/>
      <c r="G334" s="13"/>
      <c r="H334" s="13"/>
      <c r="I334" s="13"/>
      <c r="J334" s="13"/>
      <c r="K334" s="13">
        <f t="shared" si="85"/>
        <v>0</v>
      </c>
      <c r="L334" s="472">
        <f>'F-09 OGA'!L62+'F-09 CCFFAA'!L79+'F-09 EP'!L323+'F-09 MGP'!L335+'F-09 FAP'!L335+'F-09 CONIDA'!L79+'F-09 ENAMM'!L69</f>
        <v>29248861</v>
      </c>
      <c r="M334" s="13"/>
      <c r="N334" s="13"/>
      <c r="O334" s="13"/>
      <c r="P334" s="13"/>
      <c r="Q334" s="13"/>
      <c r="R334" s="13"/>
      <c r="S334" s="13"/>
      <c r="T334" s="13"/>
      <c r="U334" s="13"/>
      <c r="V334" s="13">
        <f t="shared" si="86"/>
        <v>0</v>
      </c>
      <c r="W334" s="472">
        <f>'F-09 OGA'!W62+'F-09 CCFFAA'!W79+'F-09 EP'!W323+'F-09 MGP'!W335+'F-09 FAP'!W335+'F-09 CONIDA'!W79+'F-09 ENAMM'!W69</f>
        <v>155757</v>
      </c>
    </row>
    <row r="335" spans="1:23" hidden="1">
      <c r="A335" s="704" t="s">
        <v>6887</v>
      </c>
      <c r="B335" s="477"/>
      <c r="C335" s="477"/>
      <c r="D335" s="477"/>
      <c r="E335" s="477"/>
      <c r="F335" s="477"/>
      <c r="G335" s="477"/>
      <c r="H335" s="477"/>
      <c r="I335" s="477"/>
      <c r="J335" s="480">
        <f>SUM(J336:J340)</f>
        <v>0</v>
      </c>
      <c r="K335" s="477"/>
      <c r="L335" s="479">
        <f>SUM(L336:L338)</f>
        <v>0</v>
      </c>
      <c r="M335" s="478"/>
      <c r="N335" s="477"/>
      <c r="O335" s="477"/>
      <c r="P335" s="477"/>
      <c r="Q335" s="477"/>
      <c r="R335" s="477"/>
      <c r="S335" s="477"/>
      <c r="T335" s="477"/>
      <c r="U335" s="477"/>
      <c r="V335" s="477"/>
      <c r="W335" s="474">
        <f>SUM(W336:W338)</f>
        <v>0</v>
      </c>
    </row>
    <row r="336" spans="1:23" hidden="1">
      <c r="A336" s="703" t="s">
        <v>6886</v>
      </c>
      <c r="B336" s="13"/>
      <c r="C336" s="13"/>
      <c r="D336" s="13"/>
      <c r="E336" s="13"/>
      <c r="F336" s="13"/>
      <c r="G336" s="13"/>
      <c r="H336" s="13"/>
      <c r="I336" s="13"/>
      <c r="J336" s="13"/>
      <c r="K336" s="13"/>
      <c r="L336" s="472"/>
      <c r="M336" s="13"/>
      <c r="N336" s="13"/>
      <c r="O336" s="13"/>
      <c r="P336" s="13"/>
      <c r="Q336" s="13"/>
      <c r="R336" s="13"/>
      <c r="S336" s="13"/>
      <c r="T336" s="13"/>
      <c r="U336" s="13"/>
      <c r="V336" s="13"/>
      <c r="W336" s="16"/>
    </row>
    <row r="337" spans="1:24" hidden="1">
      <c r="A337" s="703" t="s">
        <v>6885</v>
      </c>
      <c r="B337" s="13"/>
      <c r="C337" s="13"/>
      <c r="D337" s="13"/>
      <c r="E337" s="13"/>
      <c r="F337" s="13"/>
      <c r="G337" s="13"/>
      <c r="H337" s="13"/>
      <c r="I337" s="13"/>
      <c r="J337" s="13"/>
      <c r="K337" s="13"/>
      <c r="L337" s="472"/>
      <c r="M337" s="13"/>
      <c r="N337" s="13"/>
      <c r="O337" s="13"/>
      <c r="P337" s="13"/>
      <c r="Q337" s="13"/>
      <c r="R337" s="13"/>
      <c r="S337" s="13"/>
      <c r="T337" s="13"/>
      <c r="U337" s="13"/>
      <c r="V337" s="13"/>
      <c r="W337" s="16"/>
    </row>
    <row r="338" spans="1:24" hidden="1">
      <c r="A338" s="703" t="s">
        <v>6884</v>
      </c>
      <c r="B338" s="13"/>
      <c r="C338" s="13"/>
      <c r="D338" s="13"/>
      <c r="E338" s="13"/>
      <c r="F338" s="13"/>
      <c r="G338" s="13"/>
      <c r="H338" s="13"/>
      <c r="I338" s="13"/>
      <c r="J338" s="13"/>
      <c r="K338" s="13"/>
      <c r="L338" s="472"/>
      <c r="M338" s="13"/>
      <c r="N338" s="13"/>
      <c r="O338" s="13"/>
      <c r="P338" s="13"/>
      <c r="Q338" s="13"/>
      <c r="R338" s="13"/>
      <c r="S338" s="13"/>
      <c r="T338" s="13"/>
      <c r="U338" s="13"/>
      <c r="V338" s="13"/>
      <c r="W338" s="16"/>
    </row>
    <row r="339" spans="1:24" ht="24">
      <c r="A339" s="708" t="s">
        <v>6883</v>
      </c>
      <c r="B339" s="475">
        <f t="shared" ref="B339:W339" si="87">B340</f>
        <v>0</v>
      </c>
      <c r="C339" s="475">
        <f t="shared" si="87"/>
        <v>0</v>
      </c>
      <c r="D339" s="475">
        <f t="shared" si="87"/>
        <v>0</v>
      </c>
      <c r="E339" s="475">
        <f t="shared" si="87"/>
        <v>0</v>
      </c>
      <c r="F339" s="475">
        <f t="shared" si="87"/>
        <v>0</v>
      </c>
      <c r="G339" s="475">
        <f t="shared" si="87"/>
        <v>0</v>
      </c>
      <c r="H339" s="475">
        <f t="shared" si="87"/>
        <v>0</v>
      </c>
      <c r="I339" s="475">
        <f t="shared" si="87"/>
        <v>0</v>
      </c>
      <c r="J339" s="475">
        <f t="shared" si="87"/>
        <v>0</v>
      </c>
      <c r="K339" s="475">
        <f t="shared" si="87"/>
        <v>0</v>
      </c>
      <c r="L339" s="474">
        <f t="shared" si="87"/>
        <v>261614935.19602001</v>
      </c>
      <c r="M339" s="475">
        <f t="shared" si="87"/>
        <v>0</v>
      </c>
      <c r="N339" s="475">
        <f t="shared" si="87"/>
        <v>0</v>
      </c>
      <c r="O339" s="475">
        <f t="shared" si="87"/>
        <v>0</v>
      </c>
      <c r="P339" s="475">
        <f t="shared" si="87"/>
        <v>0</v>
      </c>
      <c r="Q339" s="475">
        <f t="shared" si="87"/>
        <v>0</v>
      </c>
      <c r="R339" s="475">
        <f t="shared" si="87"/>
        <v>0</v>
      </c>
      <c r="S339" s="475">
        <f t="shared" si="87"/>
        <v>0</v>
      </c>
      <c r="T339" s="475">
        <f t="shared" si="87"/>
        <v>0</v>
      </c>
      <c r="U339" s="475">
        <f t="shared" si="87"/>
        <v>0</v>
      </c>
      <c r="V339" s="475">
        <f t="shared" si="87"/>
        <v>0</v>
      </c>
      <c r="W339" s="474">
        <f t="shared" si="87"/>
        <v>319000622.430664</v>
      </c>
    </row>
    <row r="340" spans="1:24" ht="12.75" thickBot="1">
      <c r="A340" s="703" t="s">
        <v>6882</v>
      </c>
      <c r="B340" s="13"/>
      <c r="C340" s="13"/>
      <c r="D340" s="13"/>
      <c r="E340" s="13"/>
      <c r="F340" s="13"/>
      <c r="G340" s="13"/>
      <c r="H340" s="13"/>
      <c r="I340" s="13"/>
      <c r="J340" s="473"/>
      <c r="K340" s="473">
        <f>SUM(B340:J340)</f>
        <v>0</v>
      </c>
      <c r="L340" s="472">
        <f>'F-09 OGA'!L64+'F-09 CCFFAA'!L85+'F-09 EP'!L329+'F-09 MGP'!L341+'F-09 FAP'!L341+'F-09 CONIDA'!L85+'F-09 ENAMM'!L75+'F-09 OPREFA'!L56</f>
        <v>261614935.19602001</v>
      </c>
      <c r="M340" s="13"/>
      <c r="N340" s="13"/>
      <c r="O340" s="13"/>
      <c r="P340" s="13"/>
      <c r="Q340" s="13"/>
      <c r="R340" s="13"/>
      <c r="S340" s="13"/>
      <c r="T340" s="13"/>
      <c r="U340" s="473"/>
      <c r="V340" s="473">
        <f>SUM(M340:U340)</f>
        <v>0</v>
      </c>
      <c r="W340" s="472">
        <f>'F-09 OGA'!W64+'F-09 CCFFAA'!W85+'F-09 EP'!W329+'F-09 MGP'!W341+'F-09 FAP'!W341+'F-09 CONIDA'!W85+'F-09 ENAMM'!W75+'F-09 OPREFA'!W56</f>
        <v>319000622.430664</v>
      </c>
    </row>
    <row r="341" spans="1:24" ht="12.75" thickBot="1">
      <c r="A341" s="17" t="s">
        <v>23</v>
      </c>
      <c r="B341" s="471">
        <f>B9+B49+B78+B90+B212+B218+B291+B305+B328+B335+B339+B66</f>
        <v>19351</v>
      </c>
      <c r="C341" s="470">
        <f t="shared" ref="C341:H341" si="88">C9+C49+C78+C90+C212+C218+C291+C305+C328+C335+C339</f>
        <v>35</v>
      </c>
      <c r="D341" s="470">
        <f t="shared" si="88"/>
        <v>1332</v>
      </c>
      <c r="E341" s="470">
        <f t="shared" si="88"/>
        <v>4</v>
      </c>
      <c r="F341" s="470">
        <f t="shared" si="88"/>
        <v>0</v>
      </c>
      <c r="G341" s="470">
        <f t="shared" si="88"/>
        <v>0</v>
      </c>
      <c r="H341" s="470">
        <f t="shared" si="88"/>
        <v>0</v>
      </c>
      <c r="I341" s="470">
        <f>I9+I49+I78+I90+I212+I218+I291+I305+I328+I335+I339+I313</f>
        <v>251</v>
      </c>
      <c r="J341" s="470">
        <f>J9+J49+J78+J90+J212+J218+J291+J305+J328+J335+J339+J313</f>
        <v>99614</v>
      </c>
      <c r="K341" s="470">
        <f>K9+K49+K78+K90+K212+K218+K291+K305+K328+K335+K313+K66+K316</f>
        <v>120836</v>
      </c>
      <c r="L341" s="469">
        <f>L9+L49+L78+L90+L212+L218+L291+L305+L328+L335+L339+L313+L66+L316</f>
        <v>3890481323.6486506</v>
      </c>
      <c r="M341" s="471">
        <f t="shared" ref="M341:T341" si="89">M9+M49+M78+M90+M212+M218+M291+M305+M328+M335+M339+M66+M316</f>
        <v>19441</v>
      </c>
      <c r="N341" s="470">
        <f t="shared" si="89"/>
        <v>37</v>
      </c>
      <c r="O341" s="470">
        <f t="shared" si="89"/>
        <v>1252</v>
      </c>
      <c r="P341" s="470">
        <f t="shared" si="89"/>
        <v>4</v>
      </c>
      <c r="Q341" s="470">
        <f t="shared" si="89"/>
        <v>0</v>
      </c>
      <c r="R341" s="470">
        <f t="shared" si="89"/>
        <v>0</v>
      </c>
      <c r="S341" s="470">
        <f t="shared" si="89"/>
        <v>0</v>
      </c>
      <c r="T341" s="470">
        <f t="shared" si="89"/>
        <v>233</v>
      </c>
      <c r="U341" s="470">
        <f>U9+U49+U78+U90+U218+U291+U305+U328+U335+U339+U66+U316+1</f>
        <v>98047</v>
      </c>
      <c r="V341" s="470">
        <f>V9+V49+V66+V78+V90+V218+V291+V305+V316+1</f>
        <v>119014</v>
      </c>
      <c r="W341" s="469">
        <f>W9+W49+W78+W90+W212+W218+W291+W305+W328+W335+W339+W313+W66+W316</f>
        <v>3895737584.537322</v>
      </c>
      <c r="X341" s="55"/>
    </row>
    <row r="342" spans="1:24">
      <c r="A342" s="1" t="s">
        <v>273</v>
      </c>
      <c r="B342" s="467"/>
      <c r="C342" s="467"/>
      <c r="D342" s="467"/>
      <c r="E342" s="467"/>
      <c r="F342" s="467"/>
      <c r="G342" s="467"/>
      <c r="H342" s="467"/>
      <c r="I342" s="467"/>
      <c r="J342" s="467"/>
      <c r="K342" s="467"/>
      <c r="L342" s="467"/>
      <c r="M342" s="467"/>
      <c r="N342" s="467"/>
      <c r="O342" s="467"/>
      <c r="P342" s="467"/>
      <c r="Q342" s="467"/>
      <c r="R342" s="467"/>
      <c r="S342" s="467"/>
      <c r="T342" s="467"/>
      <c r="U342" s="467"/>
      <c r="V342" s="467"/>
      <c r="W342" s="468"/>
      <c r="X342" s="68"/>
    </row>
    <row r="343" spans="1:24" ht="12.75">
      <c r="A343" s="11" t="s">
        <v>267</v>
      </c>
      <c r="P343" s="68"/>
      <c r="Q343" s="52"/>
      <c r="R343"/>
      <c r="S343"/>
      <c r="T343"/>
      <c r="U343"/>
      <c r="V343" s="68"/>
      <c r="W343" s="467"/>
      <c r="X343" s="68"/>
    </row>
    <row r="344" spans="1:24" ht="12.75">
      <c r="A344" s="11" t="s">
        <v>271</v>
      </c>
      <c r="P344" s="68"/>
      <c r="Q344" s="52"/>
      <c r="R344"/>
      <c r="S344"/>
      <c r="T344"/>
      <c r="U344"/>
      <c r="V344" s="68"/>
      <c r="W344" s="467"/>
      <c r="X344" s="68"/>
    </row>
    <row r="345" spans="1:24" hidden="1">
      <c r="A345" s="11" t="s">
        <v>278</v>
      </c>
      <c r="W345" s="461"/>
    </row>
    <row r="346" spans="1:24" hidden="1">
      <c r="W346" s="465"/>
    </row>
    <row r="347" spans="1:24" hidden="1"/>
    <row r="348" spans="1:24" hidden="1">
      <c r="W348" s="465"/>
    </row>
    <row r="349" spans="1:24" hidden="1">
      <c r="M349" s="460" t="s">
        <v>6872</v>
      </c>
      <c r="N349" s="459">
        <f>'F-09 OGA'!M10+'F-09 CCFFAA'!M10+'F-09 EP'!M10+'F-09 MGP'!M10+'F-09 FAP'!M10+'F-09 CONIDA'!M10+'F-09 ENAMM'!M10+'F-09 OPREFA'!M10</f>
        <v>11439</v>
      </c>
      <c r="O349" s="459">
        <f>'F-09 OGA'!N10+'F-09 CCFFAA'!N10+'F-09 EP'!N10+'F-09 MGP'!N10+'F-09 FAP'!N10+'F-09 CONIDA'!N10+'F-09 ENAMM'!N10+'F-09 OPREFA'!N10</f>
        <v>37</v>
      </c>
      <c r="P349" s="459"/>
      <c r="Q349" s="459"/>
      <c r="R349" s="459"/>
      <c r="S349" s="459"/>
      <c r="T349" s="459"/>
      <c r="U349" s="459"/>
      <c r="V349" s="459"/>
      <c r="W349" s="459"/>
    </row>
    <row r="350" spans="1:24" hidden="1">
      <c r="M350" s="460" t="s">
        <v>6871</v>
      </c>
      <c r="N350" s="459">
        <f>'F-09 EP'!M50+'F-09 EP'!M67+'F-09 MGP'!M50+'F-09 MGP'!M67+'F-09 MGP'!M79+'F-09 FAP'!M50+'F-09 FAP'!M67+'F-09 FAP'!M79</f>
        <v>2336</v>
      </c>
      <c r="O350" s="459">
        <f>'F-09 EP'!N50+'F-09 EP'!N67+'F-09 MGP'!N50+'F-09 MGP'!N67+'F-09 MGP'!N79+'F-09 FAP'!N50+'F-09 FAP'!N67+'F-09 FAP'!N79</f>
        <v>0</v>
      </c>
      <c r="P350" s="459"/>
      <c r="Q350" s="459"/>
      <c r="R350" s="459"/>
      <c r="S350" s="459"/>
      <c r="T350" s="459"/>
      <c r="U350" s="459"/>
      <c r="V350" s="459"/>
      <c r="W350" s="459"/>
    </row>
    <row r="351" spans="1:24" hidden="1">
      <c r="M351" s="460" t="s">
        <v>6870</v>
      </c>
      <c r="N351" s="459">
        <f>'F-09 EP'!M79+'F-09 MGP'!M91+'F-09 FAP'!M91+'F-09 ENAMM'!M50</f>
        <v>5561</v>
      </c>
      <c r="O351" s="459">
        <f>'F-09 EP'!N79+'F-09 MGP'!N91+'F-09 FAP'!N91+'F-09 ENAMM'!N50</f>
        <v>0</v>
      </c>
      <c r="P351" s="459"/>
      <c r="Q351" s="459"/>
      <c r="R351" s="459"/>
      <c r="S351" s="459"/>
      <c r="T351" s="459"/>
      <c r="U351" s="459"/>
      <c r="V351" s="459"/>
      <c r="W351" s="459"/>
    </row>
    <row r="352" spans="1:24" hidden="1">
      <c r="M352" s="460" t="s">
        <v>6869</v>
      </c>
      <c r="N352" s="459">
        <f>'F-09 EP'!M207+'F-09 MGP'!M219+'F-09 FAP'!M219</f>
        <v>0</v>
      </c>
      <c r="O352" s="459">
        <f>'F-09 EP'!N207+'F-09 MGP'!N219+'F-09 FAP'!N219</f>
        <v>0</v>
      </c>
      <c r="P352" s="459"/>
      <c r="Q352" s="459"/>
      <c r="R352" s="459"/>
      <c r="S352" s="459"/>
      <c r="T352" s="459"/>
      <c r="U352" s="459"/>
      <c r="V352" s="459"/>
      <c r="W352" s="459"/>
    </row>
    <row r="353" spans="1:23" hidden="1">
      <c r="M353" s="460" t="s">
        <v>6868</v>
      </c>
      <c r="N353" s="459">
        <f>'F-09 EP'!M280+'F-09 MGP'!M292+'F-09 FAP'!M292</f>
        <v>0</v>
      </c>
      <c r="O353" s="459">
        <f>'F-09 EP'!N280+'F-09 MGP'!N292+'F-09 FAP'!N292</f>
        <v>0</v>
      </c>
      <c r="P353" s="459"/>
      <c r="Q353" s="459"/>
      <c r="R353" s="459"/>
      <c r="S353" s="459"/>
      <c r="T353" s="459"/>
      <c r="U353" s="459"/>
      <c r="V353" s="459"/>
      <c r="W353" s="459"/>
    </row>
    <row r="354" spans="1:23" hidden="1">
      <c r="M354" s="460" t="s">
        <v>6867</v>
      </c>
      <c r="N354" s="459">
        <f>'F-09 OGA'!M48+'F-09 CCFFAA'!M50+'F-09 EP'!M294+'F-09 MGP'!M306+'F-09 FAP'!M306+'F-09 CONIDA'!M50+'F-09 ENAMM'!M58+'F-09 OPREFA'!M42</f>
        <v>0</v>
      </c>
      <c r="O354" s="459">
        <f>'F-09 OGA'!N48+'F-09 CCFFAA'!N50+'F-09 EP'!N294+'F-09 MGP'!N306+'F-09 FAP'!N306+'F-09 CONIDA'!N50+'F-09 ENAMM'!N58+'F-09 OPREFA'!N42</f>
        <v>0</v>
      </c>
      <c r="P354" s="459"/>
      <c r="Q354" s="459"/>
      <c r="R354" s="459"/>
      <c r="S354" s="459"/>
      <c r="T354" s="459"/>
      <c r="U354" s="459"/>
      <c r="V354" s="459"/>
      <c r="W354" s="459"/>
    </row>
    <row r="355" spans="1:23" hidden="1">
      <c r="M355" s="460" t="s">
        <v>6866</v>
      </c>
      <c r="N355" s="460">
        <f>'F-09 OGA'!M53+'F-09 CCFFAA'!M61</f>
        <v>20</v>
      </c>
      <c r="O355" s="460">
        <f>'F-09 OGA'!N53+'F-09 CCFFAA'!N61</f>
        <v>0</v>
      </c>
      <c r="P355" s="460"/>
      <c r="Q355" s="460"/>
      <c r="R355" s="460"/>
      <c r="S355" s="460"/>
      <c r="T355" s="460"/>
      <c r="U355" s="460"/>
      <c r="V355" s="460"/>
      <c r="W355" s="460"/>
    </row>
    <row r="356" spans="1:23" hidden="1">
      <c r="M356" s="460" t="s">
        <v>6881</v>
      </c>
      <c r="N356" s="460">
        <v>1</v>
      </c>
      <c r="O356" s="460"/>
      <c r="P356" s="460"/>
      <c r="Q356" s="460"/>
      <c r="R356" s="460"/>
      <c r="S356" s="460"/>
      <c r="T356" s="460"/>
      <c r="U356" s="460"/>
      <c r="V356" s="460"/>
      <c r="W356" s="460"/>
    </row>
    <row r="357" spans="1:23" hidden="1">
      <c r="M357" s="460"/>
      <c r="N357" s="466">
        <f>SUM(N349:N355)</f>
        <v>19356</v>
      </c>
      <c r="O357" s="466">
        <f>SUM(O349:O355)</f>
        <v>37</v>
      </c>
      <c r="P357" s="466"/>
      <c r="Q357" s="466"/>
      <c r="R357" s="466"/>
      <c r="S357" s="466"/>
      <c r="T357" s="466"/>
      <c r="U357" s="466"/>
      <c r="V357" s="466"/>
      <c r="W357" s="459"/>
    </row>
    <row r="358" spans="1:23" hidden="1">
      <c r="V358" s="465"/>
    </row>
    <row r="359" spans="1:23" hidden="1"/>
    <row r="360" spans="1:23" hidden="1">
      <c r="A360" s="460"/>
      <c r="B360" s="464" t="s">
        <v>6880</v>
      </c>
      <c r="C360" s="464" t="s">
        <v>6879</v>
      </c>
      <c r="D360" s="464" t="s">
        <v>6878</v>
      </c>
      <c r="E360" s="464" t="s">
        <v>6877</v>
      </c>
      <c r="F360" s="464" t="s">
        <v>6876</v>
      </c>
      <c r="G360" s="464" t="s">
        <v>6875</v>
      </c>
      <c r="H360" s="464" t="s">
        <v>6874</v>
      </c>
      <c r="I360" s="464" t="s">
        <v>6873</v>
      </c>
      <c r="J360" s="460" t="s">
        <v>367</v>
      </c>
      <c r="K360" s="460" t="s">
        <v>365</v>
      </c>
      <c r="L360" s="460" t="s">
        <v>363</v>
      </c>
      <c r="M360" s="460" t="s">
        <v>361</v>
      </c>
      <c r="N360" s="464" t="s">
        <v>0</v>
      </c>
    </row>
    <row r="361" spans="1:23" hidden="1">
      <c r="A361" s="460" t="s">
        <v>6872</v>
      </c>
      <c r="B361" s="460">
        <f>'F-09 OGA'!V10</f>
        <v>117</v>
      </c>
      <c r="C361" s="460">
        <f>'F-09 CCFFAA'!V10</f>
        <v>43</v>
      </c>
      <c r="D361" s="460">
        <f>'F-09 EP'!V10</f>
        <v>3872</v>
      </c>
      <c r="E361" s="460">
        <f>'F-09 MGP'!V10</f>
        <v>2889</v>
      </c>
      <c r="F361" s="460">
        <f>'F-09 FAP'!V10</f>
        <v>4488</v>
      </c>
      <c r="G361" s="460">
        <f>'F-09 CONIDA'!V10</f>
        <v>16</v>
      </c>
      <c r="H361" s="460">
        <f>'F-09 ENAMM'!V10</f>
        <v>55</v>
      </c>
      <c r="I361" s="460">
        <f>'F-09 OPREFA'!V10</f>
        <v>0</v>
      </c>
      <c r="J361" s="460"/>
      <c r="K361" s="460"/>
      <c r="L361" s="460"/>
      <c r="M361" s="460">
        <f>'F-09 INDECI'!V10</f>
        <v>85</v>
      </c>
      <c r="N361" s="459">
        <f t="shared" ref="N361:N366" si="90">SUM(B361:M361)</f>
        <v>11565</v>
      </c>
    </row>
    <row r="362" spans="1:23" hidden="1">
      <c r="A362" s="460" t="s">
        <v>6871</v>
      </c>
      <c r="B362" s="460"/>
      <c r="C362" s="460"/>
      <c r="D362" s="460">
        <f>'F-09 EP'!V50+'F-09 EP'!V67</f>
        <v>496</v>
      </c>
      <c r="E362" s="460">
        <f>'F-09 MGP'!V50+'F-09 MGP'!V67+'F-09 MGP'!V79</f>
        <v>778</v>
      </c>
      <c r="F362" s="460">
        <f>'F-09 FAP'!V50+'F-09 FAP'!V67+'F-09 FAP'!V79</f>
        <v>1062</v>
      </c>
      <c r="G362" s="460"/>
      <c r="H362" s="460"/>
      <c r="I362" s="460"/>
      <c r="J362" s="460"/>
      <c r="K362" s="460"/>
      <c r="L362" s="460"/>
      <c r="M362" s="460"/>
      <c r="N362" s="459">
        <f t="shared" si="90"/>
        <v>2336</v>
      </c>
    </row>
    <row r="363" spans="1:23" hidden="1">
      <c r="A363" s="460" t="s">
        <v>6870</v>
      </c>
      <c r="B363" s="460"/>
      <c r="C363" s="460"/>
      <c r="D363" s="460">
        <f>'F-09 EP'!V79</f>
        <v>2394</v>
      </c>
      <c r="E363" s="460">
        <f>'F-09 MGP'!V91</f>
        <v>1483</v>
      </c>
      <c r="F363" s="460">
        <f>'F-09 FAP'!V91</f>
        <v>1683</v>
      </c>
      <c r="G363" s="460"/>
      <c r="H363" s="460">
        <f>'F-09 ENAMM'!V50</f>
        <v>1</v>
      </c>
      <c r="I363" s="460"/>
      <c r="J363" s="460"/>
      <c r="K363" s="460"/>
      <c r="L363" s="460"/>
      <c r="M363" s="460"/>
      <c r="N363" s="459">
        <f t="shared" si="90"/>
        <v>5561</v>
      </c>
    </row>
    <row r="364" spans="1:23" hidden="1">
      <c r="A364" s="460" t="s">
        <v>6869</v>
      </c>
      <c r="B364" s="460"/>
      <c r="C364" s="460"/>
      <c r="D364" s="460">
        <f>'F-09 EP'!V207</f>
        <v>56456</v>
      </c>
      <c r="E364" s="460">
        <f>'F-09 MGP'!V219</f>
        <v>26283</v>
      </c>
      <c r="F364" s="460">
        <f>'F-09 FAP'!V219</f>
        <v>10441</v>
      </c>
      <c r="G364" s="460"/>
      <c r="H364" s="460"/>
      <c r="I364" s="460"/>
      <c r="J364" s="460"/>
      <c r="K364" s="460"/>
      <c r="L364" s="460"/>
      <c r="M364" s="460"/>
      <c r="N364" s="459">
        <f t="shared" si="90"/>
        <v>93180</v>
      </c>
    </row>
    <row r="365" spans="1:23" hidden="1">
      <c r="A365" s="460" t="s">
        <v>6868</v>
      </c>
      <c r="B365" s="460"/>
      <c r="C365" s="460"/>
      <c r="D365" s="460">
        <f>'F-09 EP'!V280</f>
        <v>1449</v>
      </c>
      <c r="E365" s="460">
        <f>'F-09 MGP'!V292</f>
        <v>2678</v>
      </c>
      <c r="F365" s="460">
        <f>'F-09 FAP'!V292</f>
        <v>972</v>
      </c>
      <c r="G365" s="460"/>
      <c r="H365" s="460"/>
      <c r="I365" s="460"/>
      <c r="J365" s="460"/>
      <c r="K365" s="460"/>
      <c r="L365" s="460"/>
      <c r="M365" s="460"/>
      <c r="N365" s="459">
        <f t="shared" si="90"/>
        <v>5099</v>
      </c>
    </row>
    <row r="366" spans="1:23" hidden="1">
      <c r="A366" s="460" t="s">
        <v>6867</v>
      </c>
      <c r="B366" s="460">
        <f>'F-09 OGA'!V48</f>
        <v>297</v>
      </c>
      <c r="C366" s="460">
        <f>'F-09 CCFFAA'!V50</f>
        <v>58</v>
      </c>
      <c r="D366" s="460">
        <f>'F-09 EP'!V294</f>
        <v>65</v>
      </c>
      <c r="E366" s="460">
        <f>'F-09 MGP'!V306</f>
        <v>393</v>
      </c>
      <c r="F366" s="460">
        <f>'F-09 FAP'!V306</f>
        <v>137</v>
      </c>
      <c r="G366" s="460">
        <f>'F-09 CONIDA'!V50</f>
        <v>81</v>
      </c>
      <c r="H366" s="460">
        <f>'F-09 ENAMM'!V58</f>
        <v>0</v>
      </c>
      <c r="I366" s="460">
        <f>'F-09 OPREFA'!V42</f>
        <v>24</v>
      </c>
      <c r="J366" s="460">
        <f>'F-09 ACFFAA'!V42</f>
        <v>66</v>
      </c>
      <c r="K366" s="460">
        <f>'F-09 IGN'!V42</f>
        <v>40</v>
      </c>
      <c r="L366" s="460">
        <f>'F-09 CENEPRED'!V43</f>
        <v>91</v>
      </c>
      <c r="M366" s="460">
        <f>'F-09 INDECI'!V42</f>
        <v>0</v>
      </c>
      <c r="N366" s="459">
        <f t="shared" si="90"/>
        <v>1252</v>
      </c>
    </row>
    <row r="367" spans="1:23" hidden="1">
      <c r="A367" s="460" t="s">
        <v>6866</v>
      </c>
      <c r="B367" s="460">
        <f>'F-09 OGA'!V53</f>
        <v>20</v>
      </c>
      <c r="C367" s="460">
        <f>'F-09 CCFFAA'!V61</f>
        <v>0</v>
      </c>
      <c r="D367" s="460"/>
      <c r="E367" s="460"/>
      <c r="F367" s="460"/>
      <c r="G367" s="460"/>
      <c r="H367" s="460"/>
      <c r="I367" s="460"/>
      <c r="J367" s="460"/>
      <c r="K367" s="460"/>
      <c r="L367" s="460"/>
      <c r="M367" s="460"/>
      <c r="N367" s="459">
        <f>SUM(B367:I367)</f>
        <v>20</v>
      </c>
    </row>
    <row r="368" spans="1:23" hidden="1">
      <c r="A368" s="460" t="s">
        <v>6865</v>
      </c>
      <c r="B368" s="460">
        <f>'F-09 OGA'!V45</f>
        <v>1</v>
      </c>
      <c r="C368" s="460"/>
      <c r="D368" s="460"/>
      <c r="E368" s="460"/>
      <c r="F368" s="460"/>
      <c r="G368" s="460"/>
      <c r="H368" s="460"/>
      <c r="I368" s="460"/>
      <c r="J368" s="460"/>
      <c r="K368" s="460"/>
      <c r="L368" s="460"/>
      <c r="M368" s="460"/>
      <c r="N368" s="459">
        <f>SUM(B368:I368)</f>
        <v>1</v>
      </c>
    </row>
    <row r="369" spans="1:14" hidden="1">
      <c r="A369" s="460"/>
      <c r="B369" s="463">
        <f t="shared" ref="B369:I369" si="91">SUM(B361:B368)</f>
        <v>435</v>
      </c>
      <c r="C369" s="463">
        <f t="shared" si="91"/>
        <v>101</v>
      </c>
      <c r="D369" s="463">
        <f t="shared" si="91"/>
        <v>64732</v>
      </c>
      <c r="E369" s="463">
        <f t="shared" si="91"/>
        <v>34504</v>
      </c>
      <c r="F369" s="463">
        <f t="shared" si="91"/>
        <v>18783</v>
      </c>
      <c r="G369" s="463">
        <f t="shared" si="91"/>
        <v>97</v>
      </c>
      <c r="H369" s="463">
        <f t="shared" si="91"/>
        <v>56</v>
      </c>
      <c r="I369" s="463">
        <f t="shared" si="91"/>
        <v>24</v>
      </c>
      <c r="J369" s="460"/>
      <c r="K369" s="460"/>
      <c r="L369" s="460"/>
      <c r="M369" s="460"/>
      <c r="N369" s="462">
        <f>SUM(N361:N368)</f>
        <v>119014</v>
      </c>
    </row>
    <row r="370" spans="1:14" hidden="1">
      <c r="N370" s="461"/>
    </row>
    <row r="371" spans="1:14" hidden="1">
      <c r="B371" s="460">
        <f>'F-09 OGA'!V67</f>
        <v>435</v>
      </c>
      <c r="C371" s="460">
        <f>'F-09 CCFFAA'!V86</f>
        <v>101</v>
      </c>
      <c r="D371" s="460">
        <f>'F-09 EP'!V331</f>
        <v>64732</v>
      </c>
      <c r="E371" s="460">
        <f>'F-09 MGP'!V342</f>
        <v>34504</v>
      </c>
      <c r="F371" s="460">
        <f>'F-09 FAP'!V342</f>
        <v>18783</v>
      </c>
      <c r="G371" s="460">
        <f>'F-09 CONIDA'!V86</f>
        <v>97</v>
      </c>
      <c r="H371" s="460">
        <f>'F-09 ENAMM'!V76</f>
        <v>56</v>
      </c>
      <c r="I371" s="460">
        <f>'F-09 OPREFA'!V57</f>
        <v>24</v>
      </c>
      <c r="J371" s="460">
        <f>'F-09 ACFFAA'!V56</f>
        <v>66</v>
      </c>
      <c r="K371" s="460">
        <f>'F-09 IGN'!V56</f>
        <v>40</v>
      </c>
      <c r="L371" s="460">
        <f>'F-09 CENEPRED'!V57</f>
        <v>91</v>
      </c>
      <c r="M371" s="460">
        <f>'F-09 INDECI'!V56</f>
        <v>85</v>
      </c>
      <c r="N371" s="459">
        <f>SUM(B371:M371)</f>
        <v>119014</v>
      </c>
    </row>
  </sheetData>
  <mergeCells count="5">
    <mergeCell ref="B4:L4"/>
    <mergeCell ref="M4:W4"/>
    <mergeCell ref="A7:W7"/>
    <mergeCell ref="A6:W6"/>
    <mergeCell ref="A8:W8"/>
  </mergeCells>
  <printOptions horizontalCentered="1"/>
  <pageMargins left="0.19685039370078741" right="0.19685039370078741" top="0.78740157480314965" bottom="0.78740157480314965" header="0.19685039370078741" footer="0.19685039370078741"/>
  <pageSetup paperSize="9" scale="75" fitToHeight="15"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2060"/>
  </sheetPr>
  <dimension ref="A1:Z405"/>
  <sheetViews>
    <sheetView view="pageBreakPreview" zoomScaleNormal="100" zoomScaleSheetLayoutView="100" workbookViewId="0">
      <selection activeCell="B8" sqref="B8"/>
    </sheetView>
  </sheetViews>
  <sheetFormatPr baseColWidth="10" defaultColWidth="11.42578125" defaultRowHeight="12.75"/>
  <cols>
    <col min="1" max="1" width="29.28515625" style="11" customWidth="1"/>
    <col min="2" max="2" width="7.5703125" style="11" bestFit="1" customWidth="1"/>
    <col min="3" max="3" width="5.85546875" style="11" bestFit="1" customWidth="1"/>
    <col min="4" max="4" width="7.28515625" style="11" bestFit="1" customWidth="1"/>
    <col min="5" max="6" width="6" style="11" bestFit="1" customWidth="1"/>
    <col min="7" max="7" width="6.5703125" style="11" bestFit="1" customWidth="1"/>
    <col min="8" max="8" width="6.28515625" style="11" bestFit="1" customWidth="1"/>
    <col min="9" max="9" width="6.85546875" style="11" bestFit="1" customWidth="1"/>
    <col min="10" max="10" width="7.5703125" style="11" bestFit="1" customWidth="1"/>
    <col min="11" max="11" width="8.5703125" style="11" bestFit="1" customWidth="1"/>
    <col min="12" max="12" width="13.42578125" style="11" bestFit="1" customWidth="1"/>
    <col min="13" max="13" width="7.5703125" style="11" bestFit="1" customWidth="1"/>
    <col min="14" max="14" width="5.140625" style="11" bestFit="1" customWidth="1"/>
    <col min="15" max="15" width="7.28515625" style="11" bestFit="1" customWidth="1"/>
    <col min="16" max="20" width="5.140625" style="11" bestFit="1" customWidth="1"/>
    <col min="21" max="21" width="7.5703125" style="11" bestFit="1" customWidth="1"/>
    <col min="22" max="22" width="8.5703125" style="11" bestFit="1" customWidth="1"/>
    <col min="23" max="23" width="13.42578125" style="11" bestFit="1" customWidth="1"/>
    <col min="24" max="24" width="1.7109375" style="52" customWidth="1"/>
    <col min="25" max="26" width="10.7109375" customWidth="1"/>
    <col min="27" max="16384" width="11.42578125" style="68"/>
  </cols>
  <sheetData>
    <row r="1" spans="1:26" s="72" customFormat="1" ht="15.75">
      <c r="A1" s="186" t="s">
        <v>458</v>
      </c>
      <c r="B1" s="71"/>
      <c r="C1" s="71"/>
      <c r="D1" s="71"/>
      <c r="E1" s="71"/>
      <c r="F1" s="71"/>
      <c r="G1" s="71"/>
      <c r="H1" s="71"/>
      <c r="I1" s="71"/>
      <c r="J1" s="71"/>
      <c r="K1" s="71"/>
      <c r="L1" s="71"/>
      <c r="M1" s="71"/>
      <c r="N1" s="71"/>
      <c r="O1" s="71"/>
      <c r="P1" s="71"/>
      <c r="Q1" s="71"/>
      <c r="R1" s="71"/>
      <c r="S1" s="71"/>
      <c r="T1" s="71"/>
      <c r="U1" s="71"/>
      <c r="V1" s="71"/>
      <c r="W1" s="71"/>
      <c r="X1" s="73"/>
    </row>
    <row r="2" spans="1:26" s="72" customFormat="1" ht="15.75">
      <c r="A2" s="186" t="s">
        <v>382</v>
      </c>
      <c r="B2" s="71"/>
      <c r="C2" s="71"/>
      <c r="D2" s="71"/>
      <c r="E2" s="71"/>
      <c r="F2" s="71"/>
      <c r="G2" s="71"/>
      <c r="H2" s="71"/>
      <c r="I2" s="71"/>
      <c r="J2" s="71"/>
      <c r="K2" s="71"/>
      <c r="L2" s="71"/>
      <c r="M2" s="71"/>
      <c r="N2" s="71"/>
      <c r="O2" s="71"/>
      <c r="P2" s="71"/>
      <c r="Q2" s="71"/>
      <c r="R2" s="71"/>
      <c r="S2" s="71"/>
      <c r="T2" s="71"/>
      <c r="U2" s="71"/>
      <c r="V2" s="71"/>
      <c r="W2" s="71"/>
      <c r="X2" s="73"/>
    </row>
    <row r="3" spans="1:26" s="56" customFormat="1" ht="15.75">
      <c r="A3" s="187" t="s">
        <v>1654</v>
      </c>
      <c r="X3" s="51"/>
    </row>
    <row r="4" spans="1:26" s="710" customFormat="1" ht="9" thickBot="1">
      <c r="A4" s="713"/>
      <c r="B4" s="713"/>
      <c r="C4" s="713"/>
      <c r="D4" s="713"/>
      <c r="E4" s="713"/>
      <c r="F4" s="713"/>
      <c r="G4" s="713"/>
      <c r="H4" s="713"/>
      <c r="I4" s="713"/>
      <c r="J4" s="713"/>
      <c r="K4" s="713"/>
      <c r="L4" s="714"/>
      <c r="M4" s="713"/>
      <c r="N4" s="713"/>
      <c r="O4" s="713"/>
      <c r="P4" s="713"/>
      <c r="Q4" s="713"/>
      <c r="R4" s="713"/>
      <c r="S4" s="713"/>
      <c r="T4" s="713"/>
      <c r="U4" s="713"/>
      <c r="V4" s="713"/>
      <c r="W4" s="714"/>
      <c r="X4" s="709"/>
    </row>
    <row r="5" spans="1:26" s="41" customFormat="1" ht="11.25">
      <c r="A5" s="120" t="s">
        <v>10</v>
      </c>
      <c r="B5" s="2001" t="s">
        <v>456</v>
      </c>
      <c r="C5" s="2002"/>
      <c r="D5" s="2002"/>
      <c r="E5" s="2002"/>
      <c r="F5" s="2002"/>
      <c r="G5" s="2002"/>
      <c r="H5" s="2002"/>
      <c r="I5" s="2002"/>
      <c r="J5" s="2002"/>
      <c r="K5" s="2002"/>
      <c r="L5" s="2003"/>
      <c r="M5" s="2001" t="s">
        <v>457</v>
      </c>
      <c r="N5" s="2002"/>
      <c r="O5" s="2002"/>
      <c r="P5" s="2002"/>
      <c r="Q5" s="2002"/>
      <c r="R5" s="2002"/>
      <c r="S5" s="2002"/>
      <c r="T5" s="2002"/>
      <c r="U5" s="2002"/>
      <c r="V5" s="2002"/>
      <c r="W5" s="2003"/>
      <c r="X5" s="53"/>
    </row>
    <row r="6" spans="1:26" s="42" customFormat="1" ht="98.25">
      <c r="A6" s="121" t="s">
        <v>9</v>
      </c>
      <c r="B6" s="122" t="s">
        <v>310</v>
      </c>
      <c r="C6" s="122" t="s">
        <v>118</v>
      </c>
      <c r="D6" s="123" t="s">
        <v>266</v>
      </c>
      <c r="E6" s="123" t="s">
        <v>259</v>
      </c>
      <c r="F6" s="123" t="s">
        <v>268</v>
      </c>
      <c r="G6" s="123" t="s">
        <v>269</v>
      </c>
      <c r="H6" s="123" t="s">
        <v>270</v>
      </c>
      <c r="I6" s="123" t="s">
        <v>277</v>
      </c>
      <c r="J6" s="124" t="s">
        <v>272</v>
      </c>
      <c r="K6" s="125" t="s">
        <v>274</v>
      </c>
      <c r="L6" s="126" t="s">
        <v>276</v>
      </c>
      <c r="M6" s="122" t="s">
        <v>310</v>
      </c>
      <c r="N6" s="122" t="s">
        <v>118</v>
      </c>
      <c r="O6" s="123" t="s">
        <v>266</v>
      </c>
      <c r="P6" s="123" t="s">
        <v>259</v>
      </c>
      <c r="Q6" s="123" t="s">
        <v>268</v>
      </c>
      <c r="R6" s="123" t="s">
        <v>269</v>
      </c>
      <c r="S6" s="123" t="s">
        <v>270</v>
      </c>
      <c r="T6" s="123" t="s">
        <v>277</v>
      </c>
      <c r="U6" s="124" t="s">
        <v>272</v>
      </c>
      <c r="V6" s="125" t="s">
        <v>274</v>
      </c>
      <c r="W6" s="126" t="s">
        <v>275</v>
      </c>
      <c r="X6" s="54"/>
    </row>
    <row r="7" spans="1:26" s="712" customFormat="1" ht="6">
      <c r="A7" s="2007"/>
      <c r="B7" s="2008"/>
      <c r="C7" s="2008"/>
      <c r="D7" s="2008"/>
      <c r="E7" s="2008"/>
      <c r="F7" s="2008"/>
      <c r="G7" s="2008"/>
      <c r="H7" s="2008"/>
      <c r="I7" s="2008"/>
      <c r="J7" s="2008"/>
      <c r="K7" s="2008"/>
      <c r="L7" s="2008"/>
      <c r="M7" s="2008"/>
      <c r="N7" s="2008"/>
      <c r="O7" s="2008"/>
      <c r="P7" s="2008"/>
      <c r="Q7" s="2008"/>
      <c r="R7" s="2008"/>
      <c r="S7" s="2008"/>
      <c r="T7" s="2008"/>
      <c r="U7" s="2008"/>
      <c r="V7" s="2008"/>
      <c r="W7" s="2009"/>
      <c r="X7" s="711"/>
    </row>
    <row r="8" spans="1:26" ht="15">
      <c r="A8" s="2004" t="s">
        <v>7176</v>
      </c>
      <c r="B8" s="2005"/>
      <c r="C8" s="2005"/>
      <c r="D8" s="2005"/>
      <c r="E8" s="2005"/>
      <c r="F8" s="2005"/>
      <c r="G8" s="2005"/>
      <c r="H8" s="2005"/>
      <c r="I8" s="2005"/>
      <c r="J8" s="2005"/>
      <c r="K8" s="2005"/>
      <c r="L8" s="2005"/>
      <c r="M8" s="2005"/>
      <c r="N8" s="2005"/>
      <c r="O8" s="2005"/>
      <c r="P8" s="2005"/>
      <c r="Q8" s="2005"/>
      <c r="R8" s="2005"/>
      <c r="S8" s="2005"/>
      <c r="T8" s="2005"/>
      <c r="U8" s="2005"/>
      <c r="V8" s="2005"/>
      <c r="W8" s="2006"/>
      <c r="Y8" s="68"/>
      <c r="Z8" s="68"/>
    </row>
    <row r="9" spans="1:26" s="710" customFormat="1" ht="8.25">
      <c r="A9" s="2010"/>
      <c r="B9" s="2011"/>
      <c r="C9" s="2011"/>
      <c r="D9" s="2011"/>
      <c r="E9" s="2011"/>
      <c r="F9" s="2011"/>
      <c r="G9" s="2011"/>
      <c r="H9" s="2011"/>
      <c r="I9" s="2011"/>
      <c r="J9" s="2011"/>
      <c r="K9" s="2011"/>
      <c r="L9" s="2011"/>
      <c r="M9" s="2011"/>
      <c r="N9" s="2011"/>
      <c r="O9" s="2011"/>
      <c r="P9" s="2011"/>
      <c r="Q9" s="2011"/>
      <c r="R9" s="2011"/>
      <c r="S9" s="2011"/>
      <c r="T9" s="2011"/>
      <c r="U9" s="2011"/>
      <c r="V9" s="2011"/>
      <c r="W9" s="2012"/>
      <c r="X9" s="709"/>
    </row>
    <row r="10" spans="1:26">
      <c r="A10" s="704" t="s">
        <v>48</v>
      </c>
      <c r="B10" s="482">
        <f t="shared" ref="B10:W10" si="0">B11+B20+B27+B34+B42+B46</f>
        <v>11549</v>
      </c>
      <c r="C10" s="482">
        <f t="shared" si="0"/>
        <v>35</v>
      </c>
      <c r="D10" s="482">
        <f t="shared" si="0"/>
        <v>0</v>
      </c>
      <c r="E10" s="482">
        <f t="shared" si="0"/>
        <v>4</v>
      </c>
      <c r="F10" s="482">
        <f t="shared" si="0"/>
        <v>0</v>
      </c>
      <c r="G10" s="482">
        <f t="shared" si="0"/>
        <v>0</v>
      </c>
      <c r="H10" s="482">
        <f t="shared" si="0"/>
        <v>0</v>
      </c>
      <c r="I10" s="482">
        <f t="shared" si="0"/>
        <v>0</v>
      </c>
      <c r="J10" s="482">
        <f t="shared" si="0"/>
        <v>0</v>
      </c>
      <c r="K10" s="482">
        <f t="shared" si="0"/>
        <v>11588</v>
      </c>
      <c r="L10" s="474">
        <f t="shared" si="0"/>
        <v>353385831.63351619</v>
      </c>
      <c r="M10" s="482">
        <f t="shared" si="0"/>
        <v>11439</v>
      </c>
      <c r="N10" s="482">
        <f t="shared" si="0"/>
        <v>37</v>
      </c>
      <c r="O10" s="482">
        <f t="shared" si="0"/>
        <v>0</v>
      </c>
      <c r="P10" s="482">
        <f t="shared" si="0"/>
        <v>4</v>
      </c>
      <c r="Q10" s="482">
        <f t="shared" si="0"/>
        <v>0</v>
      </c>
      <c r="R10" s="482">
        <f t="shared" si="0"/>
        <v>0</v>
      </c>
      <c r="S10" s="482">
        <f t="shared" si="0"/>
        <v>0</v>
      </c>
      <c r="T10" s="482">
        <f t="shared" si="0"/>
        <v>0</v>
      </c>
      <c r="U10" s="482">
        <f t="shared" si="0"/>
        <v>0</v>
      </c>
      <c r="V10" s="482">
        <f t="shared" si="0"/>
        <v>11480</v>
      </c>
      <c r="W10" s="474">
        <f t="shared" si="0"/>
        <v>351913640.88369364</v>
      </c>
      <c r="X10" s="55"/>
      <c r="Z10" s="68">
        <f>'F-09 OGA'!V10+'F-09 CCFFAA'!V10+'F-09 EP'!V10+'F-09 MGP'!V10+'F-09 FAP'!V10+'F-09 CONIDA'!V10+'F-09 ENAMM'!V10+'F-09 OPREFA'!V10</f>
        <v>11480</v>
      </c>
    </row>
    <row r="11" spans="1:26">
      <c r="A11" s="705" t="s">
        <v>7</v>
      </c>
      <c r="B11" s="484">
        <f t="shared" ref="B11:W11" si="1">SUM(B12:B19)</f>
        <v>117</v>
      </c>
      <c r="C11" s="484">
        <f t="shared" si="1"/>
        <v>0</v>
      </c>
      <c r="D11" s="484">
        <f t="shared" si="1"/>
        <v>0</v>
      </c>
      <c r="E11" s="484">
        <f t="shared" si="1"/>
        <v>0</v>
      </c>
      <c r="F11" s="484">
        <f t="shared" si="1"/>
        <v>0</v>
      </c>
      <c r="G11" s="484">
        <f t="shared" si="1"/>
        <v>0</v>
      </c>
      <c r="H11" s="484">
        <f t="shared" si="1"/>
        <v>0</v>
      </c>
      <c r="I11" s="484">
        <f t="shared" si="1"/>
        <v>0</v>
      </c>
      <c r="J11" s="484">
        <f t="shared" si="1"/>
        <v>0</v>
      </c>
      <c r="K11" s="484">
        <f t="shared" si="1"/>
        <v>117</v>
      </c>
      <c r="L11" s="485">
        <f t="shared" si="1"/>
        <v>4536332.9699194254</v>
      </c>
      <c r="M11" s="484">
        <f t="shared" si="1"/>
        <v>112</v>
      </c>
      <c r="N11" s="484">
        <f t="shared" si="1"/>
        <v>1</v>
      </c>
      <c r="O11" s="484">
        <f t="shared" si="1"/>
        <v>0</v>
      </c>
      <c r="P11" s="484">
        <f t="shared" si="1"/>
        <v>0</v>
      </c>
      <c r="Q11" s="484">
        <f t="shared" si="1"/>
        <v>0</v>
      </c>
      <c r="R11" s="484">
        <f t="shared" si="1"/>
        <v>0</v>
      </c>
      <c r="S11" s="484">
        <f t="shared" si="1"/>
        <v>0</v>
      </c>
      <c r="T11" s="484">
        <f t="shared" si="1"/>
        <v>0</v>
      </c>
      <c r="U11" s="484">
        <f t="shared" si="1"/>
        <v>0</v>
      </c>
      <c r="V11" s="484">
        <f t="shared" si="1"/>
        <v>113</v>
      </c>
      <c r="W11" s="485">
        <f t="shared" si="1"/>
        <v>4264346.6828720002</v>
      </c>
      <c r="Z11" s="68"/>
    </row>
    <row r="12" spans="1:26" hidden="1">
      <c r="A12" s="703" t="s">
        <v>3</v>
      </c>
      <c r="B12" s="13">
        <f>'F-09 OGA'!B12+'F-09 CCFFAA'!B12+'F-09 EP'!B12+'F-09 MGP'!B12+'F-09 FAP'!B12+'F-09 CONIDA'!B12+'F-09 ENAMM'!B12+'F-09 OPREFA'!B12</f>
        <v>0</v>
      </c>
      <c r="C12" s="13"/>
      <c r="D12" s="13"/>
      <c r="E12" s="13"/>
      <c r="F12" s="13"/>
      <c r="G12" s="13"/>
      <c r="H12" s="13"/>
      <c r="I12" s="13"/>
      <c r="J12" s="13"/>
      <c r="K12" s="13">
        <f t="shared" ref="K12:K19" si="2">SUM(B12:J12)</f>
        <v>0</v>
      </c>
      <c r="L12" s="472">
        <f>'F-09 OGA'!L12+'F-09 CCFFAA'!L12+'F-09 EP'!L12+'F-09 MGP'!L12+'F-09 FAP'!L12+'F-09 CONIDA'!L12+'F-09 ENAMM'!L12+'F-09 OPREFA'!L12</f>
        <v>0</v>
      </c>
      <c r="M12" s="13">
        <f>'F-09 OGA'!M12+'F-09 CCFFAA'!M12+'F-09 EP'!M12+'F-09 MGP'!M12+'F-09 FAP'!M12+'F-09 CONIDA'!M12+'F-09 ENAMM'!M12+'F-09 OPREFA'!M12</f>
        <v>0</v>
      </c>
      <c r="N12" s="13"/>
      <c r="O12" s="13"/>
      <c r="P12" s="13"/>
      <c r="Q12" s="13"/>
      <c r="R12" s="13"/>
      <c r="S12" s="13"/>
      <c r="T12" s="13"/>
      <c r="U12" s="13"/>
      <c r="V12" s="13">
        <f t="shared" ref="V12:V19" si="3">SUM(M12:U12)</f>
        <v>0</v>
      </c>
      <c r="W12" s="472">
        <f>'F-09 OGA'!W12+'F-09 CCFFAA'!W12+'F-09 EP'!W12+'F-09 MGP'!W12+'F-09 FAP'!W12+'F-09 CONIDA'!W12+'F-09 ENAMM'!W12+'F-09 OPREFA'!W12</f>
        <v>0</v>
      </c>
      <c r="Z12" s="68"/>
    </row>
    <row r="13" spans="1:26" hidden="1">
      <c r="A13" s="703" t="s">
        <v>7062</v>
      </c>
      <c r="B13" s="13">
        <f>'F-09 OGA'!B13+'F-09 CCFFAA'!B13+'F-09 EP'!B13+'F-09 MGP'!B13+'F-09 FAP'!B13+'F-09 CONIDA'!B13+'F-09 ENAMM'!B13+'F-09 OPREFA'!B13</f>
        <v>0</v>
      </c>
      <c r="C13" s="13"/>
      <c r="D13" s="13"/>
      <c r="E13" s="13"/>
      <c r="F13" s="13"/>
      <c r="G13" s="13"/>
      <c r="H13" s="13"/>
      <c r="I13" s="13"/>
      <c r="J13" s="13"/>
      <c r="K13" s="13">
        <f t="shared" si="2"/>
        <v>0</v>
      </c>
      <c r="L13" s="472">
        <f>'F-09 OGA'!L13+'F-09 CCFFAA'!L13+'F-09 EP'!L13+'F-09 MGP'!L13+'F-09 FAP'!L13+'F-09 CONIDA'!L13+'F-09 ENAMM'!L13+'F-09 OPREFA'!L13</f>
        <v>0</v>
      </c>
      <c r="M13" s="13">
        <f>'F-09 OGA'!M13+'F-09 CCFFAA'!M13+'F-09 EP'!M13+'F-09 MGP'!M13+'F-09 FAP'!M13+'F-09 CONIDA'!M13+'F-09 ENAMM'!M13+'F-09 OPREFA'!M13</f>
        <v>0</v>
      </c>
      <c r="N13" s="13"/>
      <c r="O13" s="13"/>
      <c r="P13" s="13"/>
      <c r="Q13" s="13"/>
      <c r="R13" s="13"/>
      <c r="S13" s="13"/>
      <c r="T13" s="13"/>
      <c r="U13" s="13"/>
      <c r="V13" s="13">
        <f t="shared" si="3"/>
        <v>0</v>
      </c>
      <c r="W13" s="472">
        <f>'F-09 OGA'!W13+'F-09 CCFFAA'!W13+'F-09 EP'!W13+'F-09 MGP'!W13+'F-09 FAP'!W13+'F-09 CONIDA'!W13+'F-09 ENAMM'!W13+'F-09 OPREFA'!W13</f>
        <v>0</v>
      </c>
      <c r="Z13" s="68"/>
    </row>
    <row r="14" spans="1:26">
      <c r="A14" s="703" t="s">
        <v>7061</v>
      </c>
      <c r="B14" s="13">
        <f>'F-09 OGA'!B14+'F-09 CCFFAA'!B14+'F-09 EP'!B14+'F-09 MGP'!B14+'F-09 FAP'!B14+'F-09 CONIDA'!B14+'F-09 ENAMM'!B14+'F-09 OPREFA'!B14</f>
        <v>1</v>
      </c>
      <c r="C14" s="13"/>
      <c r="D14" s="13"/>
      <c r="E14" s="13"/>
      <c r="F14" s="13"/>
      <c r="G14" s="13"/>
      <c r="H14" s="13"/>
      <c r="I14" s="13"/>
      <c r="J14" s="13"/>
      <c r="K14" s="13">
        <f t="shared" si="2"/>
        <v>1</v>
      </c>
      <c r="L14" s="472">
        <f>'F-09 OGA'!L14+'F-09 CCFFAA'!L14+'F-09 EP'!L14+'F-09 MGP'!L14+'F-09 FAP'!L14+'F-09 CONIDA'!L14+'F-09 ENAMM'!L14+'F-09 OPREFA'!L14</f>
        <v>39444.539199999999</v>
      </c>
      <c r="M14" s="13">
        <f>'F-09 OGA'!M14+'F-09 CCFFAA'!M14+'F-09 EP'!M14+'F-09 MGP'!M14+'F-09 FAP'!M14+'F-09 CONIDA'!M14+'F-09 ENAMM'!M14+'F-09 OPREFA'!M14</f>
        <v>1</v>
      </c>
      <c r="N14" s="13"/>
      <c r="O14" s="13"/>
      <c r="P14" s="13"/>
      <c r="Q14" s="13"/>
      <c r="R14" s="13"/>
      <c r="S14" s="13"/>
      <c r="T14" s="13"/>
      <c r="U14" s="13"/>
      <c r="V14" s="13">
        <f t="shared" si="3"/>
        <v>1</v>
      </c>
      <c r="W14" s="472">
        <f>'F-09 OGA'!W14+'F-09 CCFFAA'!W14+'F-09 EP'!W14+'F-09 MGP'!W14+'F-09 FAP'!W14+'F-09 CONIDA'!W14+'F-09 ENAMM'!W14+'F-09 OPREFA'!W14</f>
        <v>37444</v>
      </c>
      <c r="Z14" s="68"/>
    </row>
    <row r="15" spans="1:26">
      <c r="A15" s="703" t="s">
        <v>7060</v>
      </c>
      <c r="B15" s="13">
        <f>'F-09 OGA'!B15+'F-09 CCFFAA'!B15+'F-09 EP'!B15+'F-09 MGP'!B15+'F-09 FAP'!B15+'F-09 CONIDA'!B15+'F-09 ENAMM'!B15+'F-09 OPREFA'!B15</f>
        <v>11</v>
      </c>
      <c r="C15" s="13"/>
      <c r="D15" s="13"/>
      <c r="E15" s="13"/>
      <c r="F15" s="13"/>
      <c r="G15" s="13"/>
      <c r="H15" s="13"/>
      <c r="I15" s="13"/>
      <c r="J15" s="13"/>
      <c r="K15" s="13">
        <f t="shared" si="2"/>
        <v>11</v>
      </c>
      <c r="L15" s="472">
        <f>'F-09 OGA'!L15+'F-09 CCFFAA'!L15+'F-09 EP'!L15+'F-09 MGP'!L15+'F-09 FAP'!L15+'F-09 CONIDA'!L15+'F-09 ENAMM'!L15+'F-09 OPREFA'!L15</f>
        <v>458528.07405595161</v>
      </c>
      <c r="M15" s="13">
        <f>'F-09 OGA'!M15+'F-09 CCFFAA'!M15+'F-09 EP'!M15+'F-09 MGP'!M15+'F-09 FAP'!M15+'F-09 CONIDA'!M15+'F-09 ENAMM'!M15+'F-09 OPREFA'!M15</f>
        <v>10</v>
      </c>
      <c r="N15" s="13"/>
      <c r="O15" s="13"/>
      <c r="P15" s="13"/>
      <c r="Q15" s="13"/>
      <c r="R15" s="13"/>
      <c r="S15" s="13"/>
      <c r="T15" s="13"/>
      <c r="U15" s="13"/>
      <c r="V15" s="13">
        <f t="shared" si="3"/>
        <v>10</v>
      </c>
      <c r="W15" s="472">
        <f>'F-09 OGA'!W15+'F-09 CCFFAA'!W15+'F-09 EP'!W15+'F-09 MGP'!W15+'F-09 FAP'!W15+'F-09 CONIDA'!W15+'F-09 ENAMM'!W15+'F-09 OPREFA'!W15</f>
        <v>354345.71808399999</v>
      </c>
      <c r="Z15" s="68"/>
    </row>
    <row r="16" spans="1:26">
      <c r="A16" s="703" t="s">
        <v>7059</v>
      </c>
      <c r="B16" s="13">
        <f>'F-09 OGA'!B16+'F-09 CCFFAA'!B16+'F-09 EP'!B16+'F-09 MGP'!B16+'F-09 FAP'!B16+'F-09 CONIDA'!B16+'F-09 ENAMM'!B16+'F-09 OPREFA'!B16</f>
        <v>15</v>
      </c>
      <c r="C16" s="13"/>
      <c r="D16" s="13"/>
      <c r="E16" s="13"/>
      <c r="F16" s="13"/>
      <c r="G16" s="13"/>
      <c r="H16" s="13"/>
      <c r="I16" s="13"/>
      <c r="J16" s="13"/>
      <c r="K16" s="13">
        <f t="shared" si="2"/>
        <v>15</v>
      </c>
      <c r="L16" s="472">
        <f>'F-09 OGA'!L16+'F-09 CCFFAA'!L16+'F-09 EP'!L16+'F-09 MGP'!L16+'F-09 FAP'!L16+'F-09 CONIDA'!L16+'F-09 ENAMM'!L16+'F-09 OPREFA'!L16</f>
        <v>650835.32788963604</v>
      </c>
      <c r="M16" s="13">
        <f>'F-09 OGA'!M16+'F-09 CCFFAA'!M16+'F-09 EP'!M16+'F-09 MGP'!M16+'F-09 FAP'!M16+'F-09 CONIDA'!M16+'F-09 ENAMM'!M16+'F-09 OPREFA'!M16</f>
        <v>13</v>
      </c>
      <c r="N16" s="13">
        <f>'F-09 OGA'!N16+'F-09 CCFFAA'!N16+'F-09 EP'!N16+'F-09 MGP'!N16+'F-09 FAP'!N16+'F-09 CONIDA'!N16+'F-09 ENAMM'!N16+'F-09 OPREFA'!N16</f>
        <v>1</v>
      </c>
      <c r="O16" s="13"/>
      <c r="P16" s="13"/>
      <c r="Q16" s="13"/>
      <c r="R16" s="13"/>
      <c r="S16" s="13"/>
      <c r="T16" s="13"/>
      <c r="U16" s="13"/>
      <c r="V16" s="13">
        <f t="shared" si="3"/>
        <v>14</v>
      </c>
      <c r="W16" s="472">
        <f>'F-09 OGA'!W16+'F-09 CCFFAA'!W16+'F-09 EP'!W16+'F-09 MGP'!W16+'F-09 FAP'!W16+'F-09 CONIDA'!W16+'F-09 ENAMM'!W16+'F-09 OPREFA'!W16</f>
        <v>595089.45523200009</v>
      </c>
      <c r="Z16" s="68"/>
    </row>
    <row r="17" spans="1:26">
      <c r="A17" s="703" t="s">
        <v>7058</v>
      </c>
      <c r="B17" s="13">
        <f>'F-09 OGA'!B17+'F-09 CCFFAA'!B17+'F-09 EP'!B17+'F-09 MGP'!B17+'F-09 FAP'!B17+'F-09 CONIDA'!B17+'F-09 ENAMM'!B17+'F-09 OPREFA'!B17</f>
        <v>47</v>
      </c>
      <c r="C17" s="13"/>
      <c r="D17" s="13"/>
      <c r="E17" s="13"/>
      <c r="F17" s="13"/>
      <c r="G17" s="13"/>
      <c r="H17" s="13"/>
      <c r="I17" s="13"/>
      <c r="J17" s="13"/>
      <c r="K17" s="13">
        <f t="shared" si="2"/>
        <v>47</v>
      </c>
      <c r="L17" s="472">
        <f>'F-09 OGA'!L17+'F-09 CCFFAA'!L17+'F-09 EP'!L17+'F-09 MGP'!L17+'F-09 FAP'!L17+'F-09 CONIDA'!L17+'F-09 ENAMM'!L17+'F-09 OPREFA'!L17</f>
        <v>1800728.7098665542</v>
      </c>
      <c r="M17" s="13">
        <f>'F-09 OGA'!M17+'F-09 CCFFAA'!M17+'F-09 EP'!M17+'F-09 MGP'!M17+'F-09 FAP'!M17+'F-09 CONIDA'!M17+'F-09 ENAMM'!M17+'F-09 OPREFA'!M17</f>
        <v>45</v>
      </c>
      <c r="N17" s="13"/>
      <c r="O17" s="13"/>
      <c r="P17" s="13"/>
      <c r="Q17" s="13"/>
      <c r="R17" s="13"/>
      <c r="S17" s="13"/>
      <c r="T17" s="13"/>
      <c r="U17" s="13"/>
      <c r="V17" s="13">
        <f t="shared" si="3"/>
        <v>45</v>
      </c>
      <c r="W17" s="472">
        <f>'F-09 OGA'!W17+'F-09 CCFFAA'!W17+'F-09 EP'!W17+'F-09 MGP'!W17+'F-09 FAP'!W17+'F-09 CONIDA'!W17+'F-09 ENAMM'!W17+'F-09 OPREFA'!W17</f>
        <v>1693578.283148</v>
      </c>
      <c r="Z17" s="68"/>
    </row>
    <row r="18" spans="1:26">
      <c r="A18" s="703" t="s">
        <v>7057</v>
      </c>
      <c r="B18" s="13">
        <f>'F-09 OGA'!B18+'F-09 CCFFAA'!B18+'F-09 EP'!B18+'F-09 MGP'!B18+'F-09 FAP'!B18+'F-09 CONIDA'!B18+'F-09 ENAMM'!B18+'F-09 OPREFA'!B18</f>
        <v>26</v>
      </c>
      <c r="C18" s="13"/>
      <c r="D18" s="13"/>
      <c r="E18" s="13"/>
      <c r="F18" s="13"/>
      <c r="G18" s="13"/>
      <c r="H18" s="13"/>
      <c r="I18" s="13"/>
      <c r="J18" s="13"/>
      <c r="K18" s="13">
        <f t="shared" si="2"/>
        <v>26</v>
      </c>
      <c r="L18" s="472">
        <f>'F-09 OGA'!L18+'F-09 CCFFAA'!L18+'F-09 EP'!L18+'F-09 MGP'!L18+'F-09 FAP'!L18+'F-09 CONIDA'!L18+'F-09 ENAMM'!L18+'F-09 OPREFA'!L18</f>
        <v>965288.03200510156</v>
      </c>
      <c r="M18" s="13">
        <f>'F-09 OGA'!M18+'F-09 CCFFAA'!M18+'F-09 EP'!M18+'F-09 MGP'!M18+'F-09 FAP'!M18+'F-09 CONIDA'!M18+'F-09 ENAMM'!M18+'F-09 OPREFA'!M18</f>
        <v>26</v>
      </c>
      <c r="N18" s="13"/>
      <c r="O18" s="13"/>
      <c r="P18" s="13"/>
      <c r="Q18" s="13"/>
      <c r="R18" s="13"/>
      <c r="S18" s="13"/>
      <c r="T18" s="13"/>
      <c r="U18" s="13"/>
      <c r="V18" s="13">
        <f t="shared" si="3"/>
        <v>26</v>
      </c>
      <c r="W18" s="472">
        <f>'F-09 OGA'!W18+'F-09 CCFFAA'!W18+'F-09 EP'!W18+'F-09 MGP'!W18+'F-09 FAP'!W18+'F-09 CONIDA'!W18+'F-09 ENAMM'!W18+'F-09 OPREFA'!W18</f>
        <v>967967.10576000006</v>
      </c>
      <c r="X18" s="55"/>
      <c r="Z18" s="68"/>
    </row>
    <row r="19" spans="1:26">
      <c r="A19" s="703" t="s">
        <v>12</v>
      </c>
      <c r="B19" s="13">
        <f>'F-09 OGA'!B19+'F-09 CCFFAA'!B19+'F-09 EP'!B19+'F-09 MGP'!B19+'F-09 FAP'!B19+'F-09 CONIDA'!B19+'F-09 ENAMM'!B19+'F-09 OPREFA'!B19</f>
        <v>17</v>
      </c>
      <c r="C19" s="13"/>
      <c r="D19" s="13"/>
      <c r="E19" s="13"/>
      <c r="F19" s="13"/>
      <c r="G19" s="13"/>
      <c r="H19" s="13"/>
      <c r="I19" s="13"/>
      <c r="J19" s="13"/>
      <c r="K19" s="13">
        <f t="shared" si="2"/>
        <v>17</v>
      </c>
      <c r="L19" s="472">
        <f>'F-09 OGA'!L19+'F-09 CCFFAA'!L19+'F-09 EP'!L19+'F-09 MGP'!L19+'F-09 FAP'!L19+'F-09 CONIDA'!L19+'F-09 ENAMM'!L19+'F-09 OPREFA'!L19</f>
        <v>621508.28690218157</v>
      </c>
      <c r="M19" s="13">
        <f>'F-09 OGA'!M19+'F-09 CCFFAA'!M19+'F-09 EP'!M19+'F-09 MGP'!M19+'F-09 FAP'!M19+'F-09 CONIDA'!M19+'F-09 ENAMM'!M19+'F-09 OPREFA'!M19</f>
        <v>17</v>
      </c>
      <c r="N19" s="13"/>
      <c r="O19" s="13"/>
      <c r="P19" s="13"/>
      <c r="Q19" s="13"/>
      <c r="R19" s="13"/>
      <c r="S19" s="13"/>
      <c r="T19" s="13"/>
      <c r="U19" s="13"/>
      <c r="V19" s="13">
        <f t="shared" si="3"/>
        <v>17</v>
      </c>
      <c r="W19" s="472">
        <f>'F-09 OGA'!W19+'F-09 CCFFAA'!W19+'F-09 EP'!W19+'F-09 MGP'!W19+'F-09 FAP'!W19+'F-09 CONIDA'!W19+'F-09 ENAMM'!W19+'F-09 OPREFA'!W19</f>
        <v>615922.12064800004</v>
      </c>
      <c r="Z19" s="68"/>
    </row>
    <row r="20" spans="1:26">
      <c r="A20" s="705" t="s">
        <v>4</v>
      </c>
      <c r="B20" s="484">
        <f t="shared" ref="B20:W20" si="4">SUM(B21:B26)</f>
        <v>981</v>
      </c>
      <c r="C20" s="484">
        <f t="shared" si="4"/>
        <v>0</v>
      </c>
      <c r="D20" s="484">
        <f t="shared" si="4"/>
        <v>0</v>
      </c>
      <c r="E20" s="484">
        <f t="shared" si="4"/>
        <v>0</v>
      </c>
      <c r="F20" s="484">
        <f t="shared" si="4"/>
        <v>0</v>
      </c>
      <c r="G20" s="484">
        <f t="shared" si="4"/>
        <v>0</v>
      </c>
      <c r="H20" s="484">
        <f t="shared" si="4"/>
        <v>0</v>
      </c>
      <c r="I20" s="484">
        <f t="shared" si="4"/>
        <v>0</v>
      </c>
      <c r="J20" s="484">
        <f t="shared" si="4"/>
        <v>0</v>
      </c>
      <c r="K20" s="484">
        <f t="shared" si="4"/>
        <v>981</v>
      </c>
      <c r="L20" s="485">
        <f t="shared" si="4"/>
        <v>31859599.875717916</v>
      </c>
      <c r="M20" s="484">
        <f t="shared" si="4"/>
        <v>996</v>
      </c>
      <c r="N20" s="484">
        <f t="shared" si="4"/>
        <v>0</v>
      </c>
      <c r="O20" s="484">
        <f t="shared" si="4"/>
        <v>0</v>
      </c>
      <c r="P20" s="484">
        <f t="shared" si="4"/>
        <v>0</v>
      </c>
      <c r="Q20" s="484">
        <f t="shared" si="4"/>
        <v>0</v>
      </c>
      <c r="R20" s="484">
        <f t="shared" si="4"/>
        <v>0</v>
      </c>
      <c r="S20" s="484">
        <f t="shared" si="4"/>
        <v>0</v>
      </c>
      <c r="T20" s="484">
        <f t="shared" si="4"/>
        <v>0</v>
      </c>
      <c r="U20" s="484">
        <f t="shared" si="4"/>
        <v>0</v>
      </c>
      <c r="V20" s="484">
        <f t="shared" si="4"/>
        <v>996</v>
      </c>
      <c r="W20" s="485">
        <f t="shared" si="4"/>
        <v>31590908.810484</v>
      </c>
      <c r="Z20" s="68"/>
    </row>
    <row r="21" spans="1:26">
      <c r="A21" s="703" t="s">
        <v>13</v>
      </c>
      <c r="B21" s="13">
        <f>'F-09 OGA'!B21+'F-09 CCFFAA'!B21+'F-09 EP'!B21+'F-09 MGP'!B21+'F-09 FAP'!B21+'F-09 CONIDA'!B21+'F-09 ENAMM'!B21+'F-09 OPREFA'!B21</f>
        <v>161</v>
      </c>
      <c r="C21" s="13"/>
      <c r="D21" s="13"/>
      <c r="E21" s="13"/>
      <c r="F21" s="13"/>
      <c r="G21" s="13"/>
      <c r="H21" s="13"/>
      <c r="I21" s="13"/>
      <c r="J21" s="13"/>
      <c r="K21" s="13">
        <f t="shared" ref="K21:K26" si="5">SUM(B21:J21)</f>
        <v>161</v>
      </c>
      <c r="L21" s="472">
        <f>'F-09 OGA'!L21+'F-09 CCFFAA'!L21+'F-09 EP'!L21+'F-09 MGP'!L21+'F-09 FAP'!L21+'F-09 CONIDA'!L21+'F-09 ENAMM'!L21+'F-09 OPREFA'!L21</f>
        <v>5420424.9599611219</v>
      </c>
      <c r="M21" s="13">
        <f>'F-09 OGA'!M21+'F-09 CCFFAA'!M21+'F-09 EP'!M21+'F-09 MGP'!M21+'F-09 FAP'!M21+'F-09 CONIDA'!M21+'F-09 ENAMM'!M21+'F-09 OPREFA'!M21</f>
        <v>158</v>
      </c>
      <c r="N21" s="13"/>
      <c r="O21" s="13"/>
      <c r="P21" s="13"/>
      <c r="Q21" s="13"/>
      <c r="R21" s="13"/>
      <c r="S21" s="13"/>
      <c r="T21" s="13"/>
      <c r="U21" s="13"/>
      <c r="V21" s="13">
        <f t="shared" ref="V21:V26" si="6">SUM(M21:U21)</f>
        <v>158</v>
      </c>
      <c r="W21" s="472">
        <f>'F-09 OGA'!W21+'F-09 CCFFAA'!W21+'F-09 EP'!W21+'F-09 MGP'!W21+'F-09 FAP'!W21+'F-09 CONIDA'!W21+'F-09 ENAMM'!W21+'F-09 OPREFA'!W21</f>
        <v>5218114.0669879997</v>
      </c>
      <c r="Z21" s="68"/>
    </row>
    <row r="22" spans="1:26">
      <c r="A22" s="703" t="s">
        <v>6978</v>
      </c>
      <c r="B22" s="13">
        <f>'F-09 OGA'!B22+'F-09 CCFFAA'!B22+'F-09 EP'!B22+'F-09 MGP'!B22+'F-09 FAP'!B22+'F-09 CONIDA'!B22+'F-09 ENAMM'!B22+'F-09 OPREFA'!B22</f>
        <v>103</v>
      </c>
      <c r="C22" s="13"/>
      <c r="D22" s="13"/>
      <c r="E22" s="13"/>
      <c r="F22" s="13"/>
      <c r="G22" s="13"/>
      <c r="H22" s="13"/>
      <c r="I22" s="13"/>
      <c r="J22" s="13"/>
      <c r="K22" s="13">
        <f t="shared" si="5"/>
        <v>103</v>
      </c>
      <c r="L22" s="472">
        <f>'F-09 OGA'!L22+'F-09 CCFFAA'!L22+'F-09 EP'!L22+'F-09 MGP'!L22+'F-09 FAP'!L22+'F-09 CONIDA'!L22+'F-09 ENAMM'!L22+'F-09 OPREFA'!L22</f>
        <v>3403606.2557083485</v>
      </c>
      <c r="M22" s="13">
        <f>'F-09 OGA'!M22+'F-09 CCFFAA'!M22+'F-09 EP'!M22+'F-09 MGP'!M22+'F-09 FAP'!M22+'F-09 CONIDA'!M22+'F-09 ENAMM'!M22+'F-09 OPREFA'!M22</f>
        <v>102</v>
      </c>
      <c r="N22" s="13"/>
      <c r="O22" s="13"/>
      <c r="P22" s="13"/>
      <c r="Q22" s="13"/>
      <c r="R22" s="13"/>
      <c r="S22" s="13"/>
      <c r="T22" s="13"/>
      <c r="U22" s="13"/>
      <c r="V22" s="13">
        <f t="shared" si="6"/>
        <v>102</v>
      </c>
      <c r="W22" s="472">
        <f>'F-09 OGA'!W22+'F-09 CCFFAA'!W22+'F-09 EP'!W22+'F-09 MGP'!W22+'F-09 FAP'!W22+'F-09 CONIDA'!W22+'F-09 ENAMM'!W22+'F-09 OPREFA'!W22</f>
        <v>3286514.6940800003</v>
      </c>
      <c r="Z22" s="68"/>
    </row>
    <row r="23" spans="1:26">
      <c r="A23" s="703" t="s">
        <v>6977</v>
      </c>
      <c r="B23" s="13">
        <f>'F-09 OGA'!B23+'F-09 CCFFAA'!B23+'F-09 EP'!B23+'F-09 MGP'!B23+'F-09 FAP'!B23+'F-09 CONIDA'!B23+'F-09 ENAMM'!B23+'F-09 OPREFA'!B23</f>
        <v>213</v>
      </c>
      <c r="C23" s="13"/>
      <c r="D23" s="13"/>
      <c r="E23" s="13"/>
      <c r="F23" s="13"/>
      <c r="G23" s="13"/>
      <c r="H23" s="13"/>
      <c r="I23" s="13"/>
      <c r="J23" s="13"/>
      <c r="K23" s="13">
        <f t="shared" si="5"/>
        <v>213</v>
      </c>
      <c r="L23" s="472">
        <f>'F-09 OGA'!L23+'F-09 CCFFAA'!L23+'F-09 EP'!L23+'F-09 MGP'!L23+'F-09 FAP'!L23+'F-09 CONIDA'!L23+'F-09 ENAMM'!L23+'F-09 OPREFA'!L23</f>
        <v>6936470.7046315689</v>
      </c>
      <c r="M23" s="13">
        <f>'F-09 OGA'!M23+'F-09 CCFFAA'!M23+'F-09 EP'!M23+'F-09 MGP'!M23+'F-09 FAP'!M23+'F-09 CONIDA'!M23+'F-09 ENAMM'!M23+'F-09 OPREFA'!M23</f>
        <v>211</v>
      </c>
      <c r="N23" s="13"/>
      <c r="O23" s="13"/>
      <c r="P23" s="13"/>
      <c r="Q23" s="13"/>
      <c r="R23" s="13"/>
      <c r="S23" s="13"/>
      <c r="T23" s="13"/>
      <c r="U23" s="13"/>
      <c r="V23" s="13">
        <f t="shared" si="6"/>
        <v>211</v>
      </c>
      <c r="W23" s="472">
        <f>'F-09 OGA'!W23+'F-09 CCFFAA'!W23+'F-09 EP'!W23+'F-09 MGP'!W23+'F-09 FAP'!W23+'F-09 CONIDA'!W23+'F-09 ENAMM'!W23+'F-09 OPREFA'!W23</f>
        <v>6729269.5806360003</v>
      </c>
      <c r="X23" s="55"/>
      <c r="Z23" s="68"/>
    </row>
    <row r="24" spans="1:26">
      <c r="A24" s="703" t="s">
        <v>6976</v>
      </c>
      <c r="B24" s="13">
        <f>'F-09 OGA'!B24+'F-09 CCFFAA'!B24+'F-09 EP'!B24+'F-09 MGP'!B24+'F-09 FAP'!B24+'F-09 CONIDA'!B24+'F-09 ENAMM'!B24+'F-09 OPREFA'!B24</f>
        <v>263</v>
      </c>
      <c r="C24" s="13"/>
      <c r="D24" s="13"/>
      <c r="E24" s="13"/>
      <c r="F24" s="13"/>
      <c r="G24" s="13"/>
      <c r="H24" s="13"/>
      <c r="I24" s="13"/>
      <c r="J24" s="13"/>
      <c r="K24" s="13">
        <f t="shared" si="5"/>
        <v>263</v>
      </c>
      <c r="L24" s="472">
        <f>'F-09 OGA'!L24+'F-09 CCFFAA'!L24+'F-09 EP'!L24+'F-09 MGP'!L24+'F-09 FAP'!L24+'F-09 CONIDA'!L24+'F-09 ENAMM'!L24+'F-09 OPREFA'!L24</f>
        <v>8459794.5310093183</v>
      </c>
      <c r="M24" s="13">
        <f>'F-09 OGA'!M24+'F-09 CCFFAA'!M24+'F-09 EP'!M24+'F-09 MGP'!M24+'F-09 FAP'!M24+'F-09 CONIDA'!M24+'F-09 ENAMM'!M24+'F-09 OPREFA'!M24</f>
        <v>266</v>
      </c>
      <c r="N24" s="13"/>
      <c r="O24" s="13"/>
      <c r="P24" s="13"/>
      <c r="Q24" s="13"/>
      <c r="R24" s="13"/>
      <c r="S24" s="13"/>
      <c r="T24" s="13"/>
      <c r="U24" s="13"/>
      <c r="V24" s="13">
        <f t="shared" si="6"/>
        <v>266</v>
      </c>
      <c r="W24" s="472">
        <f>'F-09 OGA'!W24+'F-09 CCFFAA'!W24+'F-09 EP'!W24+'F-09 MGP'!W24+'F-09 FAP'!W24+'F-09 CONIDA'!W24+'F-09 ENAMM'!W24+'F-09 OPREFA'!W24</f>
        <v>8343537.9130400009</v>
      </c>
      <c r="Z24" s="68"/>
    </row>
    <row r="25" spans="1:26">
      <c r="A25" s="703" t="s">
        <v>14</v>
      </c>
      <c r="B25" s="13">
        <f>'F-09 OGA'!B25+'F-09 CCFFAA'!B25+'F-09 EP'!B25+'F-09 MGP'!B25+'F-09 FAP'!B25+'F-09 CONIDA'!B25+'F-09 ENAMM'!B25+'F-09 OPREFA'!B25</f>
        <v>128</v>
      </c>
      <c r="C25" s="13"/>
      <c r="D25" s="13"/>
      <c r="E25" s="13"/>
      <c r="F25" s="13"/>
      <c r="G25" s="13"/>
      <c r="H25" s="13"/>
      <c r="I25" s="13"/>
      <c r="J25" s="13"/>
      <c r="K25" s="13">
        <f t="shared" si="5"/>
        <v>128</v>
      </c>
      <c r="L25" s="472">
        <f>'F-09 OGA'!L25+'F-09 CCFFAA'!L25+'F-09 EP'!L25+'F-09 MGP'!L25+'F-09 FAP'!L25+'F-09 CONIDA'!L25+'F-09 ENAMM'!L25+'F-09 OPREFA'!L25</f>
        <v>4066666.0593139576</v>
      </c>
      <c r="M25" s="13">
        <f>'F-09 OGA'!M25+'F-09 CCFFAA'!M25+'F-09 EP'!M25+'F-09 MGP'!M25+'F-09 FAP'!M25+'F-09 CONIDA'!M25+'F-09 ENAMM'!M25+'F-09 OPREFA'!M25</f>
        <v>128</v>
      </c>
      <c r="N25" s="13"/>
      <c r="O25" s="13"/>
      <c r="P25" s="13"/>
      <c r="Q25" s="13"/>
      <c r="R25" s="13"/>
      <c r="S25" s="13"/>
      <c r="T25" s="13"/>
      <c r="U25" s="13"/>
      <c r="V25" s="13">
        <f t="shared" si="6"/>
        <v>128</v>
      </c>
      <c r="W25" s="472">
        <f>'F-09 OGA'!W25+'F-09 CCFFAA'!W25+'F-09 EP'!W25+'F-09 MGP'!W25+'F-09 FAP'!W25+'F-09 CONIDA'!W25+'F-09 ENAMM'!W25+'F-09 OPREFA'!W25</f>
        <v>3957849.9484239994</v>
      </c>
      <c r="Z25" s="68"/>
    </row>
    <row r="26" spans="1:26">
      <c r="A26" s="703" t="s">
        <v>6975</v>
      </c>
      <c r="B26" s="13">
        <f>'F-09 OGA'!B26+'F-09 CCFFAA'!B26+'F-09 EP'!B26+'F-09 MGP'!B26+'F-09 FAP'!B26+'F-09 CONIDA'!B26+'F-09 ENAMM'!B26+'F-09 OPREFA'!B26</f>
        <v>113</v>
      </c>
      <c r="C26" s="13"/>
      <c r="D26" s="13"/>
      <c r="E26" s="13"/>
      <c r="F26" s="13"/>
      <c r="G26" s="13"/>
      <c r="H26" s="13"/>
      <c r="I26" s="13"/>
      <c r="J26" s="13"/>
      <c r="K26" s="13">
        <f t="shared" si="5"/>
        <v>113</v>
      </c>
      <c r="L26" s="472">
        <f>'F-09 OGA'!L26+'F-09 CCFFAA'!L26+'F-09 EP'!L26+'F-09 MGP'!L26+'F-09 FAP'!L26+'F-09 CONIDA'!L26+'F-09 ENAMM'!L26+'F-09 OPREFA'!L26</f>
        <v>3572637.3650935991</v>
      </c>
      <c r="M26" s="13">
        <f>'F-09 OGA'!M26+'F-09 CCFFAA'!M26+'F-09 EP'!M26+'F-09 MGP'!M26+'F-09 FAP'!M26+'F-09 CONIDA'!M26+'F-09 ENAMM'!M26+'F-09 OPREFA'!M26</f>
        <v>131</v>
      </c>
      <c r="N26" s="13"/>
      <c r="O26" s="13"/>
      <c r="P26" s="13"/>
      <c r="Q26" s="13"/>
      <c r="R26" s="13"/>
      <c r="S26" s="13"/>
      <c r="T26" s="13"/>
      <c r="U26" s="13"/>
      <c r="V26" s="13">
        <f t="shared" si="6"/>
        <v>131</v>
      </c>
      <c r="W26" s="472">
        <f>'F-09 OGA'!W26+'F-09 CCFFAA'!W26+'F-09 EP'!W26+'F-09 MGP'!W26+'F-09 FAP'!W26+'F-09 CONIDA'!W26+'F-09 ENAMM'!W26+'F-09 OPREFA'!W26</f>
        <v>4055622.6073160004</v>
      </c>
      <c r="Z26" s="68"/>
    </row>
    <row r="27" spans="1:26">
      <c r="A27" s="705" t="s">
        <v>5</v>
      </c>
      <c r="B27" s="484">
        <f t="shared" ref="B27:W27" si="7">SUM(B28:B33)</f>
        <v>6731</v>
      </c>
      <c r="C27" s="484">
        <f t="shared" si="7"/>
        <v>0</v>
      </c>
      <c r="D27" s="484">
        <f t="shared" si="7"/>
        <v>0</v>
      </c>
      <c r="E27" s="484">
        <f t="shared" si="7"/>
        <v>0</v>
      </c>
      <c r="F27" s="484">
        <f t="shared" si="7"/>
        <v>0</v>
      </c>
      <c r="G27" s="484">
        <f t="shared" si="7"/>
        <v>0</v>
      </c>
      <c r="H27" s="484">
        <f t="shared" si="7"/>
        <v>0</v>
      </c>
      <c r="I27" s="484">
        <f t="shared" si="7"/>
        <v>0</v>
      </c>
      <c r="J27" s="484">
        <f t="shared" si="7"/>
        <v>0</v>
      </c>
      <c r="K27" s="484">
        <f t="shared" si="7"/>
        <v>6731</v>
      </c>
      <c r="L27" s="485">
        <f t="shared" si="7"/>
        <v>204966769.98395377</v>
      </c>
      <c r="M27" s="484">
        <f t="shared" si="7"/>
        <v>6611</v>
      </c>
      <c r="N27" s="484">
        <f t="shared" si="7"/>
        <v>0</v>
      </c>
      <c r="O27" s="484">
        <f t="shared" si="7"/>
        <v>0</v>
      </c>
      <c r="P27" s="484">
        <f t="shared" si="7"/>
        <v>0</v>
      </c>
      <c r="Q27" s="484">
        <f t="shared" si="7"/>
        <v>0</v>
      </c>
      <c r="R27" s="484">
        <f t="shared" si="7"/>
        <v>0</v>
      </c>
      <c r="S27" s="484">
        <f t="shared" si="7"/>
        <v>0</v>
      </c>
      <c r="T27" s="484">
        <f t="shared" si="7"/>
        <v>0</v>
      </c>
      <c r="U27" s="484">
        <f t="shared" si="7"/>
        <v>0</v>
      </c>
      <c r="V27" s="484">
        <f t="shared" si="7"/>
        <v>6611</v>
      </c>
      <c r="W27" s="485">
        <f t="shared" si="7"/>
        <v>202367098.90427202</v>
      </c>
      <c r="Z27" s="68"/>
    </row>
    <row r="28" spans="1:26">
      <c r="A28" s="703" t="s">
        <v>15</v>
      </c>
      <c r="B28" s="13">
        <f>'F-09 OGA'!B28+'F-09 CCFFAA'!B28+'F-09 EP'!B28+'F-09 MGP'!B28+'F-09 FAP'!B28+'F-09 CONIDA'!B28+'F-09 ENAMM'!B28+'F-09 OPREFA'!B28</f>
        <v>2559</v>
      </c>
      <c r="C28" s="13"/>
      <c r="D28" s="13"/>
      <c r="E28" s="13"/>
      <c r="F28" s="13"/>
      <c r="G28" s="13"/>
      <c r="H28" s="13"/>
      <c r="I28" s="13"/>
      <c r="J28" s="13"/>
      <c r="K28" s="13">
        <f t="shared" ref="K28:K33" si="8">SUM(B28:J28)</f>
        <v>2559</v>
      </c>
      <c r="L28" s="472">
        <f>'F-09 OGA'!L28+'F-09 CCFFAA'!L28+'F-09 EP'!L28+'F-09 MGP'!L28+'F-09 FAP'!L28+'F-09 CONIDA'!L28+'F-09 ENAMM'!L28+'F-09 OPREFA'!L28</f>
        <v>78280887.775378287</v>
      </c>
      <c r="M28" s="13">
        <f>'F-09 OGA'!M28+'F-09 CCFFAA'!M28+'F-09 EP'!M28+'F-09 MGP'!M28+'F-09 FAP'!M28+'F-09 CONIDA'!M28+'F-09 ENAMM'!M28+'F-09 OPREFA'!M28</f>
        <v>2486</v>
      </c>
      <c r="N28" s="13"/>
      <c r="O28" s="13"/>
      <c r="P28" s="13"/>
      <c r="Q28" s="13"/>
      <c r="R28" s="13"/>
      <c r="S28" s="13"/>
      <c r="T28" s="13"/>
      <c r="U28" s="13"/>
      <c r="V28" s="13">
        <f t="shared" ref="V28:V33" si="9">SUM(M28:U28)</f>
        <v>2486</v>
      </c>
      <c r="W28" s="472">
        <f>'F-09 OGA'!W28+'F-09 CCFFAA'!W28+'F-09 EP'!W28+'F-09 MGP'!W28+'F-09 FAP'!W28+'F-09 CONIDA'!W28+'F-09 ENAMM'!W28+'F-09 OPREFA'!W28</f>
        <v>76760307.700800002</v>
      </c>
      <c r="X28" s="55"/>
      <c r="Z28" s="68"/>
    </row>
    <row r="29" spans="1:26">
      <c r="A29" s="703" t="s">
        <v>7056</v>
      </c>
      <c r="B29" s="13">
        <f>'F-09 OGA'!B29+'F-09 CCFFAA'!B29+'F-09 EP'!B29+'F-09 MGP'!B29+'F-09 FAP'!B29+'F-09 CONIDA'!B29+'F-09 ENAMM'!B29+'F-09 OPREFA'!B29</f>
        <v>877</v>
      </c>
      <c r="C29" s="13"/>
      <c r="D29" s="13"/>
      <c r="E29" s="13"/>
      <c r="F29" s="13"/>
      <c r="G29" s="13"/>
      <c r="H29" s="13"/>
      <c r="I29" s="13"/>
      <c r="J29" s="13"/>
      <c r="K29" s="13">
        <f t="shared" si="8"/>
        <v>877</v>
      </c>
      <c r="L29" s="472">
        <f>'F-09 OGA'!L29+'F-09 CCFFAA'!L29+'F-09 EP'!L29+'F-09 MGP'!L29+'F-09 FAP'!L29+'F-09 CONIDA'!L29+'F-09 ENAMM'!L29+'F-09 OPREFA'!L29</f>
        <v>26757713.209155694</v>
      </c>
      <c r="M29" s="13">
        <f>'F-09 OGA'!M29+'F-09 CCFFAA'!M29+'F-09 EP'!M29+'F-09 MGP'!M29+'F-09 FAP'!M29+'F-09 CONIDA'!M29+'F-09 ENAMM'!M29+'F-09 OPREFA'!M29</f>
        <v>861</v>
      </c>
      <c r="N29" s="13"/>
      <c r="O29" s="13"/>
      <c r="P29" s="13"/>
      <c r="Q29" s="13"/>
      <c r="R29" s="13"/>
      <c r="S29" s="13"/>
      <c r="T29" s="13"/>
      <c r="U29" s="13"/>
      <c r="V29" s="13">
        <f t="shared" si="9"/>
        <v>861</v>
      </c>
      <c r="W29" s="472">
        <f>'F-09 OGA'!W29+'F-09 CCFFAA'!W29+'F-09 EP'!W29+'F-09 MGP'!W29+'F-09 FAP'!W29+'F-09 CONIDA'!W29+'F-09 ENAMM'!W29+'F-09 OPREFA'!W29</f>
        <v>26575166.963600002</v>
      </c>
      <c r="Z29" s="68"/>
    </row>
    <row r="30" spans="1:26">
      <c r="A30" s="703" t="s">
        <v>6972</v>
      </c>
      <c r="B30" s="13">
        <f>'F-09 OGA'!B30+'F-09 CCFFAA'!B30+'F-09 EP'!B30+'F-09 MGP'!B30+'F-09 FAP'!B30+'F-09 CONIDA'!B30+'F-09 ENAMM'!B30+'F-09 OPREFA'!B30</f>
        <v>1084</v>
      </c>
      <c r="C30" s="13"/>
      <c r="D30" s="13"/>
      <c r="E30" s="13"/>
      <c r="F30" s="13"/>
      <c r="G30" s="13"/>
      <c r="H30" s="13"/>
      <c r="I30" s="13"/>
      <c r="J30" s="13"/>
      <c r="K30" s="13">
        <f t="shared" si="8"/>
        <v>1084</v>
      </c>
      <c r="L30" s="472">
        <f>'F-09 OGA'!L30+'F-09 CCFFAA'!L30+'F-09 EP'!L30+'F-09 MGP'!L30+'F-09 FAP'!L30+'F-09 CONIDA'!L30+'F-09 ENAMM'!L30+'F-09 OPREFA'!L30</f>
        <v>33074498.736664381</v>
      </c>
      <c r="M30" s="13">
        <f>'F-09 OGA'!M30+'F-09 CCFFAA'!M30+'F-09 EP'!M30+'F-09 MGP'!M30+'F-09 FAP'!M30+'F-09 CONIDA'!M30+'F-09 ENAMM'!M30+'F-09 OPREFA'!M30</f>
        <v>1070</v>
      </c>
      <c r="N30" s="13"/>
      <c r="O30" s="13"/>
      <c r="P30" s="13"/>
      <c r="Q30" s="13"/>
      <c r="R30" s="13"/>
      <c r="S30" s="13"/>
      <c r="T30" s="13"/>
      <c r="U30" s="13"/>
      <c r="V30" s="13">
        <f t="shared" si="9"/>
        <v>1070</v>
      </c>
      <c r="W30" s="472">
        <f>'F-09 OGA'!W30+'F-09 CCFFAA'!W30+'F-09 EP'!W30+'F-09 MGP'!W30+'F-09 FAP'!W30+'F-09 CONIDA'!W30+'F-09 ENAMM'!W30+'F-09 OPREFA'!W30</f>
        <v>32820970.105599999</v>
      </c>
      <c r="Z30" s="68"/>
    </row>
    <row r="31" spans="1:26">
      <c r="A31" s="703" t="s">
        <v>6971</v>
      </c>
      <c r="B31" s="13">
        <f>'F-09 OGA'!B31+'F-09 CCFFAA'!B31+'F-09 EP'!B31+'F-09 MGP'!B31+'F-09 FAP'!B31+'F-09 CONIDA'!B31+'F-09 ENAMM'!B31+'F-09 OPREFA'!B31</f>
        <v>776</v>
      </c>
      <c r="C31" s="13"/>
      <c r="D31" s="13"/>
      <c r="E31" s="13"/>
      <c r="F31" s="13"/>
      <c r="G31" s="13"/>
      <c r="H31" s="13"/>
      <c r="I31" s="13"/>
      <c r="J31" s="13"/>
      <c r="K31" s="13">
        <f t="shared" si="8"/>
        <v>776</v>
      </c>
      <c r="L31" s="472">
        <f>'F-09 OGA'!L31+'F-09 CCFFAA'!L31+'F-09 EP'!L31+'F-09 MGP'!L31+'F-09 FAP'!L31+'F-09 CONIDA'!L31+'F-09 ENAMM'!L31+'F-09 OPREFA'!L31</f>
        <v>23744549.242064089</v>
      </c>
      <c r="M31" s="13">
        <f>'F-09 OGA'!M31+'F-09 CCFFAA'!M31+'F-09 EP'!M31+'F-09 MGP'!M31+'F-09 FAP'!M31+'F-09 CONIDA'!M31+'F-09 ENAMM'!M31+'F-09 OPREFA'!M31</f>
        <v>768</v>
      </c>
      <c r="N31" s="13"/>
      <c r="O31" s="13"/>
      <c r="P31" s="13"/>
      <c r="Q31" s="13"/>
      <c r="R31" s="13"/>
      <c r="S31" s="13"/>
      <c r="T31" s="13"/>
      <c r="U31" s="13"/>
      <c r="V31" s="13">
        <f t="shared" si="9"/>
        <v>768</v>
      </c>
      <c r="W31" s="472">
        <f>'F-09 OGA'!W31+'F-09 CCFFAA'!W31+'F-09 EP'!W31+'F-09 MGP'!W31+'F-09 FAP'!W31+'F-09 CONIDA'!W31+'F-09 ENAMM'!W31+'F-09 OPREFA'!W31</f>
        <v>23302632.120000001</v>
      </c>
      <c r="Z31" s="68"/>
    </row>
    <row r="32" spans="1:26">
      <c r="A32" s="703" t="s">
        <v>16</v>
      </c>
      <c r="B32" s="13">
        <f>'F-09 OGA'!B32+'F-09 CCFFAA'!B32+'F-09 EP'!B32+'F-09 MGP'!B32+'F-09 FAP'!B32+'F-09 CONIDA'!B32+'F-09 ENAMM'!B32+'F-09 OPREFA'!B32</f>
        <v>250</v>
      </c>
      <c r="C32" s="13"/>
      <c r="D32" s="13"/>
      <c r="E32" s="13"/>
      <c r="F32" s="13"/>
      <c r="G32" s="13"/>
      <c r="H32" s="13"/>
      <c r="I32" s="13"/>
      <c r="J32" s="13"/>
      <c r="K32" s="13">
        <f t="shared" si="8"/>
        <v>250</v>
      </c>
      <c r="L32" s="472">
        <f>'F-09 OGA'!L32+'F-09 CCFFAA'!L32+'F-09 EP'!L32+'F-09 MGP'!L32+'F-09 FAP'!L32+'F-09 CONIDA'!L32+'F-09 ENAMM'!L32+'F-09 OPREFA'!L32</f>
        <v>7515988.0088518681</v>
      </c>
      <c r="M32" s="13">
        <f>'F-09 OGA'!M32+'F-09 CCFFAA'!M32+'F-09 EP'!M32+'F-09 MGP'!M32+'F-09 FAP'!M32+'F-09 CONIDA'!M32+'F-09 ENAMM'!M32+'F-09 OPREFA'!M32</f>
        <v>248</v>
      </c>
      <c r="N32" s="13"/>
      <c r="O32" s="13"/>
      <c r="P32" s="13"/>
      <c r="Q32" s="13"/>
      <c r="R32" s="13"/>
      <c r="S32" s="13"/>
      <c r="T32" s="13"/>
      <c r="U32" s="13"/>
      <c r="V32" s="13">
        <f t="shared" si="9"/>
        <v>248</v>
      </c>
      <c r="W32" s="472">
        <f>'F-09 OGA'!W32+'F-09 CCFFAA'!W32+'F-09 EP'!W32+'F-09 MGP'!W32+'F-09 FAP'!W32+'F-09 CONIDA'!W32+'F-09 ENAMM'!W32+'F-09 OPREFA'!W32</f>
        <v>7483566.757472001</v>
      </c>
      <c r="Z32" s="68"/>
    </row>
    <row r="33" spans="1:26">
      <c r="A33" s="703" t="s">
        <v>6970</v>
      </c>
      <c r="B33" s="13">
        <f>'F-09 OGA'!B33+'F-09 CCFFAA'!B33+'F-09 EP'!B33+'F-09 MGP'!B33+'F-09 FAP'!B33+'F-09 CONIDA'!B33+'F-09 ENAMM'!B33+'F-09 OPREFA'!B33</f>
        <v>1185</v>
      </c>
      <c r="C33" s="13"/>
      <c r="D33" s="13"/>
      <c r="E33" s="13"/>
      <c r="F33" s="13"/>
      <c r="G33" s="13"/>
      <c r="H33" s="13"/>
      <c r="I33" s="13"/>
      <c r="J33" s="13"/>
      <c r="K33" s="13">
        <f t="shared" si="8"/>
        <v>1185</v>
      </c>
      <c r="L33" s="472">
        <f>'F-09 OGA'!L33+'F-09 CCFFAA'!L33+'F-09 EP'!L33+'F-09 MGP'!L33+'F-09 FAP'!L33+'F-09 CONIDA'!L33+'F-09 ENAMM'!L33+'F-09 OPREFA'!L33</f>
        <v>35593133.011839479</v>
      </c>
      <c r="M33" s="13">
        <f>'F-09 OGA'!M33+'F-09 CCFFAA'!M33+'F-09 EP'!M33+'F-09 MGP'!M33+'F-09 FAP'!M33+'F-09 CONIDA'!M33+'F-09 ENAMM'!M33+'F-09 OPREFA'!M33</f>
        <v>1178</v>
      </c>
      <c r="N33" s="13"/>
      <c r="O33" s="13"/>
      <c r="P33" s="13"/>
      <c r="Q33" s="13"/>
      <c r="R33" s="13"/>
      <c r="S33" s="13"/>
      <c r="T33" s="13"/>
      <c r="U33" s="13"/>
      <c r="V33" s="13">
        <f t="shared" si="9"/>
        <v>1178</v>
      </c>
      <c r="W33" s="472">
        <f>'F-09 OGA'!W33+'F-09 CCFFAA'!W33+'F-09 EP'!W33+'F-09 MGP'!W33+'F-09 FAP'!W33+'F-09 CONIDA'!W33+'F-09 ENAMM'!W33+'F-09 OPREFA'!W33</f>
        <v>35424455.256799996</v>
      </c>
      <c r="Z33" s="68"/>
    </row>
    <row r="34" spans="1:26">
      <c r="A34" s="705" t="s">
        <v>6</v>
      </c>
      <c r="B34" s="484">
        <f t="shared" ref="B34:W34" si="10">SUM(B35:B40)</f>
        <v>3694</v>
      </c>
      <c r="C34" s="484">
        <f t="shared" si="10"/>
        <v>0</v>
      </c>
      <c r="D34" s="484">
        <f t="shared" si="10"/>
        <v>0</v>
      </c>
      <c r="E34" s="484">
        <f t="shared" si="10"/>
        <v>0</v>
      </c>
      <c r="F34" s="484">
        <f t="shared" si="10"/>
        <v>0</v>
      </c>
      <c r="G34" s="484">
        <f t="shared" si="10"/>
        <v>0</v>
      </c>
      <c r="H34" s="484">
        <f t="shared" si="10"/>
        <v>0</v>
      </c>
      <c r="I34" s="484">
        <f t="shared" si="10"/>
        <v>0</v>
      </c>
      <c r="J34" s="484">
        <f t="shared" si="10"/>
        <v>0</v>
      </c>
      <c r="K34" s="484">
        <f t="shared" si="10"/>
        <v>3694</v>
      </c>
      <c r="L34" s="485">
        <f t="shared" si="10"/>
        <v>108762668.16552503</v>
      </c>
      <c r="M34" s="484">
        <f t="shared" si="10"/>
        <v>3694</v>
      </c>
      <c r="N34" s="484">
        <f t="shared" si="10"/>
        <v>0</v>
      </c>
      <c r="O34" s="484">
        <f t="shared" si="10"/>
        <v>0</v>
      </c>
      <c r="P34" s="484">
        <f t="shared" si="10"/>
        <v>0</v>
      </c>
      <c r="Q34" s="484">
        <f t="shared" si="10"/>
        <v>0</v>
      </c>
      <c r="R34" s="484">
        <f t="shared" si="10"/>
        <v>0</v>
      </c>
      <c r="S34" s="484">
        <f t="shared" si="10"/>
        <v>0</v>
      </c>
      <c r="T34" s="484">
        <f t="shared" si="10"/>
        <v>0</v>
      </c>
      <c r="U34" s="484">
        <f t="shared" si="10"/>
        <v>0</v>
      </c>
      <c r="V34" s="484">
        <f t="shared" si="10"/>
        <v>3694</v>
      </c>
      <c r="W34" s="485">
        <f t="shared" si="10"/>
        <v>110044334.12639996</v>
      </c>
      <c r="Z34" s="68"/>
    </row>
    <row r="35" spans="1:26">
      <c r="A35" s="703" t="s">
        <v>17</v>
      </c>
      <c r="B35" s="13">
        <f>'F-09 OGA'!B35+'F-09 CCFFAA'!B35+'F-09 EP'!B35+'F-09 MGP'!B35+'F-09 FAP'!B35+'F-09 CONIDA'!B35+'F-09 ENAMM'!B35+'F-09 OPREFA'!B35</f>
        <v>953</v>
      </c>
      <c r="C35" s="13"/>
      <c r="D35" s="13"/>
      <c r="E35" s="13"/>
      <c r="F35" s="13"/>
      <c r="G35" s="13"/>
      <c r="H35" s="13"/>
      <c r="I35" s="13"/>
      <c r="J35" s="13"/>
      <c r="K35" s="13">
        <f t="shared" ref="K35:K41" si="11">SUM(B35:J35)</f>
        <v>953</v>
      </c>
      <c r="L35" s="472">
        <f>'F-09 OGA'!L35+'F-09 CCFFAA'!L35+'F-09 EP'!L35+'F-09 MGP'!L35+'F-09 FAP'!L35+'F-09 CONIDA'!L35+'F-09 ENAMM'!L35+'F-09 OPREFA'!L35</f>
        <v>31096176.548333291</v>
      </c>
      <c r="M35" s="13">
        <f>'F-09 OGA'!M35+'F-09 CCFFAA'!M35+'F-09 EP'!M35+'F-09 MGP'!M35+'F-09 FAP'!M35+'F-09 CONIDA'!M35+'F-09 ENAMM'!M35+'F-09 OPREFA'!M35</f>
        <v>961</v>
      </c>
      <c r="N35" s="13"/>
      <c r="O35" s="13"/>
      <c r="P35" s="13"/>
      <c r="Q35" s="13"/>
      <c r="R35" s="13"/>
      <c r="S35" s="13"/>
      <c r="T35" s="13"/>
      <c r="U35" s="13"/>
      <c r="V35" s="13">
        <f t="shared" ref="V35:V41" si="12">SUM(M35:U35)</f>
        <v>961</v>
      </c>
      <c r="W35" s="472">
        <f>'F-09 OGA'!W35+'F-09 CCFFAA'!W35+'F-09 EP'!W35+'F-09 MGP'!W35+'F-09 FAP'!W35+'F-09 CONIDA'!W35+'F-09 ENAMM'!W35+'F-09 OPREFA'!W35</f>
        <v>28706117.545600001</v>
      </c>
      <c r="Z35" s="68"/>
    </row>
    <row r="36" spans="1:26">
      <c r="A36" s="703" t="s">
        <v>6969</v>
      </c>
      <c r="B36" s="13">
        <f>'F-09 OGA'!B36+'F-09 CCFFAA'!B36+'F-09 EP'!B36+'F-09 MGP'!B36+'F-09 FAP'!B36+'F-09 CONIDA'!B36+'F-09 ENAMM'!B36+'F-09 OPREFA'!B36</f>
        <v>623</v>
      </c>
      <c r="C36" s="13"/>
      <c r="D36" s="13"/>
      <c r="E36" s="13"/>
      <c r="F36" s="13"/>
      <c r="G36" s="13"/>
      <c r="H36" s="13"/>
      <c r="I36" s="13"/>
      <c r="J36" s="13"/>
      <c r="K36" s="13">
        <f t="shared" si="11"/>
        <v>623</v>
      </c>
      <c r="L36" s="472">
        <f>'F-09 OGA'!L36+'F-09 CCFFAA'!L36+'F-09 EP'!L36+'F-09 MGP'!L36+'F-09 FAP'!L36+'F-09 CONIDA'!L36+'F-09 ENAMM'!L36+'F-09 OPREFA'!L36</f>
        <v>18874808.527546059</v>
      </c>
      <c r="M36" s="13">
        <f>'F-09 OGA'!M36+'F-09 CCFFAA'!M36+'F-09 EP'!M36+'F-09 MGP'!M36+'F-09 FAP'!M36+'F-09 CONIDA'!M36+'F-09 ENAMM'!M36+'F-09 OPREFA'!M36</f>
        <v>620</v>
      </c>
      <c r="N36" s="13"/>
      <c r="O36" s="13"/>
      <c r="P36" s="13"/>
      <c r="Q36" s="13"/>
      <c r="R36" s="13"/>
      <c r="S36" s="13"/>
      <c r="T36" s="13"/>
      <c r="U36" s="13"/>
      <c r="V36" s="13">
        <f t="shared" si="12"/>
        <v>620</v>
      </c>
      <c r="W36" s="472">
        <f>'F-09 OGA'!W36+'F-09 CCFFAA'!W36+'F-09 EP'!W36+'F-09 MGP'!W36+'F-09 FAP'!W36+'F-09 CONIDA'!W36+'F-09 ENAMM'!W36+'F-09 OPREFA'!W36</f>
        <v>18605537.40000001</v>
      </c>
      <c r="Z36" s="68"/>
    </row>
    <row r="37" spans="1:26">
      <c r="A37" s="703" t="s">
        <v>6968</v>
      </c>
      <c r="B37" s="13">
        <f>'F-09 OGA'!B37+'F-09 CCFFAA'!B37+'F-09 EP'!B37+'F-09 MGP'!B37+'F-09 FAP'!B37+'F-09 CONIDA'!B37+'F-09 ENAMM'!B37+'F-09 OPREFA'!B37</f>
        <v>994</v>
      </c>
      <c r="C37" s="13"/>
      <c r="D37" s="13"/>
      <c r="E37" s="13"/>
      <c r="F37" s="13"/>
      <c r="G37" s="13"/>
      <c r="H37" s="13"/>
      <c r="I37" s="13"/>
      <c r="J37" s="13"/>
      <c r="K37" s="13">
        <f t="shared" si="11"/>
        <v>994</v>
      </c>
      <c r="L37" s="472">
        <f>'F-09 OGA'!L37+'F-09 CCFFAA'!L37+'F-09 EP'!L37+'F-09 MGP'!L37+'F-09 FAP'!L37+'F-09 CONIDA'!L37+'F-09 ENAMM'!L37+'F-09 OPREFA'!L37</f>
        <v>29708717.872302622</v>
      </c>
      <c r="M37" s="13">
        <f>'F-09 OGA'!M37+'F-09 CCFFAA'!M37+'F-09 EP'!M37+'F-09 MGP'!M37+'F-09 FAP'!M37+'F-09 CONIDA'!M37+'F-09 ENAMM'!M37+'F-09 OPREFA'!M37</f>
        <v>988</v>
      </c>
      <c r="N37" s="13"/>
      <c r="O37" s="13"/>
      <c r="P37" s="13"/>
      <c r="Q37" s="13"/>
      <c r="R37" s="13"/>
      <c r="S37" s="13"/>
      <c r="T37" s="13"/>
      <c r="U37" s="13"/>
      <c r="V37" s="13">
        <f t="shared" si="12"/>
        <v>988</v>
      </c>
      <c r="W37" s="472">
        <f>'F-09 OGA'!W37+'F-09 CCFFAA'!W37+'F-09 EP'!W37+'F-09 MGP'!W37+'F-09 FAP'!W37+'F-09 CONIDA'!W37+'F-09 ENAMM'!W37+'F-09 OPREFA'!W37</f>
        <v>29375307.337599955</v>
      </c>
      <c r="Z37" s="68"/>
    </row>
    <row r="38" spans="1:26">
      <c r="A38" s="703" t="s">
        <v>6967</v>
      </c>
      <c r="B38" s="13">
        <f>'F-09 OGA'!B38+'F-09 CCFFAA'!B38+'F-09 EP'!B38+'F-09 MGP'!B38+'F-09 FAP'!B38+'F-09 CONIDA'!B38+'F-09 ENAMM'!B38+'F-09 OPREFA'!B38</f>
        <v>223</v>
      </c>
      <c r="C38" s="13"/>
      <c r="D38" s="13"/>
      <c r="E38" s="13"/>
      <c r="F38" s="13"/>
      <c r="G38" s="13"/>
      <c r="H38" s="13"/>
      <c r="I38" s="13"/>
      <c r="J38" s="13"/>
      <c r="K38" s="13">
        <f t="shared" si="11"/>
        <v>223</v>
      </c>
      <c r="L38" s="472">
        <f>'F-09 OGA'!L38+'F-09 CCFFAA'!L38+'F-09 EP'!L38+'F-09 MGP'!L38+'F-09 FAP'!L38+'F-09 CONIDA'!L38+'F-09 ENAMM'!L38+'F-09 OPREFA'!L38</f>
        <v>7614611.846663462</v>
      </c>
      <c r="M38" s="13">
        <f>'F-09 OGA'!M38+'F-09 CCFFAA'!M38+'F-09 EP'!M38+'F-09 MGP'!M38+'F-09 FAP'!M38+'F-09 CONIDA'!M38+'F-09 ENAMM'!M38+'F-09 OPREFA'!M38</f>
        <v>224</v>
      </c>
      <c r="N38" s="13"/>
      <c r="O38" s="13"/>
      <c r="P38" s="13"/>
      <c r="Q38" s="13"/>
      <c r="R38" s="13"/>
      <c r="S38" s="13"/>
      <c r="T38" s="13"/>
      <c r="U38" s="13"/>
      <c r="V38" s="13">
        <f t="shared" si="12"/>
        <v>224</v>
      </c>
      <c r="W38" s="472">
        <f>'F-09 OGA'!W38+'F-09 CCFFAA'!W38+'F-09 EP'!W38+'F-09 MGP'!W38+'F-09 FAP'!W38+'F-09 CONIDA'!W38+'F-09 ENAMM'!W38+'F-09 OPREFA'!W38</f>
        <v>6552062.3600000003</v>
      </c>
      <c r="Z38" s="68"/>
    </row>
    <row r="39" spans="1:26">
      <c r="A39" s="703" t="s">
        <v>18</v>
      </c>
      <c r="B39" s="13">
        <f>'F-09 OGA'!B39+'F-09 CCFFAA'!B39+'F-09 EP'!B39+'F-09 MGP'!B39+'F-09 FAP'!B39+'F-09 CONIDA'!B39+'F-09 ENAMM'!B39+'F-09 OPREFA'!B39</f>
        <v>583</v>
      </c>
      <c r="C39" s="13"/>
      <c r="D39" s="13"/>
      <c r="E39" s="13"/>
      <c r="F39" s="13"/>
      <c r="G39" s="13"/>
      <c r="H39" s="13"/>
      <c r="I39" s="13"/>
      <c r="J39" s="13"/>
      <c r="K39" s="13">
        <f t="shared" si="11"/>
        <v>583</v>
      </c>
      <c r="L39" s="472">
        <f>'F-09 OGA'!L39+'F-09 CCFFAA'!L39+'F-09 EP'!L39+'F-09 MGP'!L39+'F-09 FAP'!L39+'F-09 CONIDA'!L39+'F-09 ENAMM'!L39+'F-09 OPREFA'!L39</f>
        <v>18288790.791479599</v>
      </c>
      <c r="M39" s="13">
        <f>'F-09 OGA'!M39+'F-09 CCFFAA'!M39+'F-09 EP'!M39+'F-09 MGP'!M39+'F-09 FAP'!M39+'F-09 CONIDA'!M39+'F-09 ENAMM'!M39+'F-09 OPREFA'!M39</f>
        <v>579</v>
      </c>
      <c r="N39" s="13"/>
      <c r="O39" s="13"/>
      <c r="P39" s="13"/>
      <c r="Q39" s="13"/>
      <c r="R39" s="13"/>
      <c r="S39" s="13"/>
      <c r="T39" s="13"/>
      <c r="U39" s="13"/>
      <c r="V39" s="13">
        <f t="shared" si="12"/>
        <v>579</v>
      </c>
      <c r="W39" s="472">
        <f>'F-09 OGA'!W39+'F-09 CCFFAA'!W39+'F-09 EP'!W39+'F-09 MGP'!W39+'F-09 FAP'!W39+'F-09 CONIDA'!W39+'F-09 ENAMM'!W39+'F-09 OPREFA'!W39</f>
        <v>17520212.7632</v>
      </c>
      <c r="Z39" s="68"/>
    </row>
    <row r="40" spans="1:26">
      <c r="A40" s="703" t="s">
        <v>6966</v>
      </c>
      <c r="B40" s="13">
        <f>'F-09 OGA'!B40+'F-09 CCFFAA'!B40+'F-09 EP'!B40+'F-09 MGP'!B40+'F-09 FAP'!B40+'F-09 CONIDA'!B40+'F-09 ENAMM'!B40+'F-09 OPREFA'!B40</f>
        <v>318</v>
      </c>
      <c r="C40" s="13"/>
      <c r="D40" s="13"/>
      <c r="E40" s="13"/>
      <c r="F40" s="13"/>
      <c r="G40" s="13"/>
      <c r="H40" s="13"/>
      <c r="I40" s="13"/>
      <c r="J40" s="13"/>
      <c r="K40" s="13">
        <f t="shared" si="11"/>
        <v>318</v>
      </c>
      <c r="L40" s="472">
        <f>'F-09 OGA'!L40+'F-09 CCFFAA'!L40+'F-09 EP'!L40+'F-09 MGP'!L40+'F-09 FAP'!L40+'F-09 CONIDA'!L40+'F-09 ENAMM'!L40+'F-09 OPREFA'!L40</f>
        <v>3179562.5792000005</v>
      </c>
      <c r="M40" s="13">
        <f>'F-09 OGA'!M40+'F-09 CCFFAA'!M40+'F-09 EP'!M40+'F-09 MGP'!M40+'F-09 FAP'!M40+'F-09 CONIDA'!M40+'F-09 ENAMM'!M40+'F-09 OPREFA'!M40</f>
        <v>322</v>
      </c>
      <c r="N40" s="13"/>
      <c r="O40" s="13"/>
      <c r="P40" s="13"/>
      <c r="Q40" s="13"/>
      <c r="R40" s="13"/>
      <c r="S40" s="13"/>
      <c r="T40" s="13"/>
      <c r="U40" s="13"/>
      <c r="V40" s="13">
        <f t="shared" si="12"/>
        <v>322</v>
      </c>
      <c r="W40" s="472">
        <f>'F-09 OGA'!W40+'F-09 CCFFAA'!W40+'F-09 EP'!W40+'F-09 MGP'!W40+'F-09 FAP'!W40+'F-09 CONIDA'!W40+'F-09 ENAMM'!W40+'F-09 OPREFA'!W40</f>
        <v>9285096.7200000007</v>
      </c>
      <c r="Z40" s="68"/>
    </row>
    <row r="41" spans="1:26">
      <c r="A41" s="703" t="s">
        <v>7055</v>
      </c>
      <c r="B41" s="13"/>
      <c r="C41" s="13"/>
      <c r="D41" s="13"/>
      <c r="E41" s="13"/>
      <c r="F41" s="13"/>
      <c r="G41" s="13"/>
      <c r="H41" s="13"/>
      <c r="I41" s="13"/>
      <c r="J41" s="13"/>
      <c r="K41" s="13">
        <f t="shared" si="11"/>
        <v>0</v>
      </c>
      <c r="L41" s="472"/>
      <c r="M41" s="13">
        <f>'F-09 OGA'!M41+'F-09 CCFFAA'!M41+'F-09 EP'!M41+'F-09 MGP'!M41+'F-09 FAP'!M41+'F-09 CONIDA'!M41+'F-09 ENAMM'!M41+'F-09 OPREFA'!M41</f>
        <v>0</v>
      </c>
      <c r="N41" s="13"/>
      <c r="O41" s="13"/>
      <c r="P41" s="13"/>
      <c r="Q41" s="13"/>
      <c r="R41" s="13"/>
      <c r="S41" s="13"/>
      <c r="T41" s="13"/>
      <c r="U41" s="13"/>
      <c r="V41" s="13">
        <f t="shared" si="12"/>
        <v>0</v>
      </c>
      <c r="W41" s="472"/>
      <c r="Z41" s="68"/>
    </row>
    <row r="42" spans="1:26">
      <c r="A42" s="705" t="s">
        <v>7054</v>
      </c>
      <c r="B42" s="484">
        <f t="shared" ref="B42:W42" si="13">SUM(B43:B44)</f>
        <v>26</v>
      </c>
      <c r="C42" s="484">
        <f t="shared" si="13"/>
        <v>35</v>
      </c>
      <c r="D42" s="484">
        <f t="shared" si="13"/>
        <v>0</v>
      </c>
      <c r="E42" s="484">
        <f t="shared" si="13"/>
        <v>0</v>
      </c>
      <c r="F42" s="484">
        <f t="shared" si="13"/>
        <v>0</v>
      </c>
      <c r="G42" s="484">
        <f t="shared" si="13"/>
        <v>0</v>
      </c>
      <c r="H42" s="484">
        <f t="shared" si="13"/>
        <v>0</v>
      </c>
      <c r="I42" s="484">
        <f t="shared" si="13"/>
        <v>0</v>
      </c>
      <c r="J42" s="484">
        <f t="shared" si="13"/>
        <v>0</v>
      </c>
      <c r="K42" s="484">
        <f t="shared" si="13"/>
        <v>61</v>
      </c>
      <c r="L42" s="485">
        <f t="shared" si="13"/>
        <v>1706460.6384000001</v>
      </c>
      <c r="M42" s="484">
        <f t="shared" si="13"/>
        <v>26</v>
      </c>
      <c r="N42" s="484">
        <f t="shared" si="13"/>
        <v>36</v>
      </c>
      <c r="O42" s="484">
        <f t="shared" si="13"/>
        <v>0</v>
      </c>
      <c r="P42" s="484">
        <f t="shared" si="13"/>
        <v>0</v>
      </c>
      <c r="Q42" s="484">
        <f t="shared" si="13"/>
        <v>0</v>
      </c>
      <c r="R42" s="484">
        <f t="shared" si="13"/>
        <v>0</v>
      </c>
      <c r="S42" s="484">
        <f t="shared" si="13"/>
        <v>0</v>
      </c>
      <c r="T42" s="484">
        <f t="shared" si="13"/>
        <v>0</v>
      </c>
      <c r="U42" s="484">
        <f t="shared" si="13"/>
        <v>0</v>
      </c>
      <c r="V42" s="484">
        <f t="shared" si="13"/>
        <v>62</v>
      </c>
      <c r="W42" s="485">
        <f t="shared" si="13"/>
        <v>1973072.3596657142</v>
      </c>
      <c r="Z42" s="68"/>
    </row>
    <row r="43" spans="1:26">
      <c r="A43" s="703" t="s">
        <v>7053</v>
      </c>
      <c r="B43" s="13">
        <f>'F-09 EP'!B43+'F-09 MGP'!B43+'F-09 FAP'!B43</f>
        <v>26</v>
      </c>
      <c r="C43" s="13">
        <f>'F-09 EP'!C43+'F-09 MGP'!C43+'F-09 FAP'!C43</f>
        <v>0</v>
      </c>
      <c r="D43" s="13"/>
      <c r="E43" s="13"/>
      <c r="F43" s="13"/>
      <c r="G43" s="13"/>
      <c r="H43" s="13"/>
      <c r="I43" s="13"/>
      <c r="J43" s="13"/>
      <c r="K43" s="13">
        <f>'F-09 EP'!K43+'F-09 MGP'!K43+'F-09 FAP'!K43</f>
        <v>26</v>
      </c>
      <c r="L43" s="472">
        <f>'F-09 EP'!L43+'F-09 MGP'!L43+'F-09 FAP'!L43</f>
        <v>1109210.8384</v>
      </c>
      <c r="M43" s="13">
        <f>'F-09 EP'!M43+'F-09 MGP'!M43+'F-09 FAP'!M43</f>
        <v>26</v>
      </c>
      <c r="N43" s="13">
        <f>'F-09 EP'!N43+'F-09 MGP'!N43+'F-09 FAP'!N43</f>
        <v>0</v>
      </c>
      <c r="O43" s="13"/>
      <c r="P43" s="13"/>
      <c r="Q43" s="13"/>
      <c r="R43" s="13"/>
      <c r="S43" s="13"/>
      <c r="T43" s="13"/>
      <c r="U43" s="13"/>
      <c r="V43" s="13">
        <f>'F-09 EP'!V43+'F-09 MGP'!V43+'F-09 FAP'!V43</f>
        <v>26</v>
      </c>
      <c r="W43" s="472">
        <f>'F-09 EP'!W43+'F-09 MGP'!W43+'F-09 FAP'!W43</f>
        <v>1349675.5413799998</v>
      </c>
      <c r="Z43" s="68"/>
    </row>
    <row r="44" spans="1:26">
      <c r="A44" s="703" t="s">
        <v>57</v>
      </c>
      <c r="B44" s="13">
        <f>'F-09 EP'!B44+'F-09 MGP'!B44+'F-09 FAP'!B44</f>
        <v>0</v>
      </c>
      <c r="C44" s="13">
        <f>'F-09 EP'!C44+'F-09 MGP'!C44+'F-09 FAP'!C44</f>
        <v>35</v>
      </c>
      <c r="D44" s="13"/>
      <c r="E44" s="13"/>
      <c r="F44" s="13"/>
      <c r="G44" s="13"/>
      <c r="H44" s="13"/>
      <c r="I44" s="13"/>
      <c r="J44" s="13"/>
      <c r="K44" s="13">
        <f>'F-09 EP'!K44+'F-09 MGP'!K44+'F-09 FAP'!K44</f>
        <v>35</v>
      </c>
      <c r="L44" s="472">
        <f>'F-09 EP'!L44+'F-09 MGP'!L44+'F-09 FAP'!L44</f>
        <v>597249.79999999993</v>
      </c>
      <c r="M44" s="13">
        <f>'F-09 EP'!M44+'F-09 MGP'!M44+'F-09 FAP'!M44</f>
        <v>0</v>
      </c>
      <c r="N44" s="13">
        <f>'F-09 EP'!N44+'F-09 MGP'!N44+'F-09 FAP'!N44</f>
        <v>36</v>
      </c>
      <c r="O44" s="13"/>
      <c r="P44" s="13"/>
      <c r="Q44" s="13"/>
      <c r="R44" s="13"/>
      <c r="S44" s="13"/>
      <c r="T44" s="13"/>
      <c r="U44" s="13"/>
      <c r="V44" s="13">
        <f>'F-09 EP'!V44+'F-09 MGP'!V44+'F-09 FAP'!V44</f>
        <v>36</v>
      </c>
      <c r="W44" s="472">
        <f>'F-09 EP'!W44+'F-09 MGP'!W44+'F-09 FAP'!W44</f>
        <v>623396.81828571425</v>
      </c>
      <c r="Z44" s="68"/>
    </row>
    <row r="45" spans="1:26" ht="12.75" hidden="1" customHeight="1">
      <c r="A45" s="703"/>
      <c r="B45" s="13"/>
      <c r="C45" s="13"/>
      <c r="D45" s="13"/>
      <c r="E45" s="13"/>
      <c r="F45" s="13"/>
      <c r="G45" s="13"/>
      <c r="H45" s="13"/>
      <c r="I45" s="13"/>
      <c r="J45" s="13"/>
      <c r="K45" s="13"/>
      <c r="L45" s="16"/>
      <c r="M45" s="13"/>
      <c r="N45" s="13"/>
      <c r="O45" s="13"/>
      <c r="P45" s="13"/>
      <c r="Q45" s="13"/>
      <c r="R45" s="13"/>
      <c r="S45" s="13"/>
      <c r="T45" s="13"/>
      <c r="U45" s="13"/>
      <c r="V45" s="13">
        <f>SUM(M45:U45)</f>
        <v>0</v>
      </c>
      <c r="W45" s="472"/>
      <c r="Z45" s="68"/>
    </row>
    <row r="46" spans="1:26">
      <c r="A46" s="705" t="s">
        <v>7052</v>
      </c>
      <c r="B46" s="484">
        <f>SUM(B47:B48)</f>
        <v>0</v>
      </c>
      <c r="C46" s="484">
        <f>SUM(C47:C48)</f>
        <v>0</v>
      </c>
      <c r="D46" s="484">
        <f>SUM(D47:D48)</f>
        <v>0</v>
      </c>
      <c r="E46" s="484">
        <f>SUM(E47:E49)</f>
        <v>4</v>
      </c>
      <c r="F46" s="484">
        <f>SUM(F47:F48)</f>
        <v>0</v>
      </c>
      <c r="G46" s="484">
        <f>SUM(G47:G48)</f>
        <v>0</v>
      </c>
      <c r="H46" s="484">
        <f>SUM(H47:H48)</f>
        <v>0</v>
      </c>
      <c r="I46" s="484">
        <f>SUM(I47:I48)</f>
        <v>0</v>
      </c>
      <c r="J46" s="484">
        <f>SUM(J47:J48)</f>
        <v>0</v>
      </c>
      <c r="K46" s="484">
        <f>SUM(K47:K49)</f>
        <v>4</v>
      </c>
      <c r="L46" s="485">
        <f>SUM(L47:L49)</f>
        <v>1554000</v>
      </c>
      <c r="M46" s="484">
        <f>SUM(M47:M48)</f>
        <v>0</v>
      </c>
      <c r="N46" s="484">
        <f>SUM(N47:N48)</f>
        <v>0</v>
      </c>
      <c r="O46" s="484">
        <f>SUM(O47:O48)</f>
        <v>0</v>
      </c>
      <c r="P46" s="484">
        <f>SUM(P47:P49)</f>
        <v>4</v>
      </c>
      <c r="Q46" s="484">
        <f>SUM(Q47:Q48)</f>
        <v>0</v>
      </c>
      <c r="R46" s="484">
        <f>SUM(R47:R48)</f>
        <v>0</v>
      </c>
      <c r="S46" s="484">
        <f>SUM(S47:S48)</f>
        <v>0</v>
      </c>
      <c r="T46" s="484">
        <f>SUM(T47:T48)</f>
        <v>0</v>
      </c>
      <c r="U46" s="484">
        <f>SUM(U47:U48)</f>
        <v>0</v>
      </c>
      <c r="V46" s="484">
        <f>SUM(V47:V49)</f>
        <v>4</v>
      </c>
      <c r="W46" s="485">
        <f>SUM(W47:W49)</f>
        <v>1673880</v>
      </c>
      <c r="Z46" s="68"/>
    </row>
    <row r="47" spans="1:26">
      <c r="A47" s="703" t="s">
        <v>7051</v>
      </c>
      <c r="B47" s="13"/>
      <c r="C47" s="13"/>
      <c r="D47" s="13"/>
      <c r="E47" s="13">
        <f>'F-09 OGA'!E42</f>
        <v>1</v>
      </c>
      <c r="F47" s="13"/>
      <c r="G47" s="13"/>
      <c r="H47" s="13"/>
      <c r="I47" s="13"/>
      <c r="J47" s="13"/>
      <c r="K47" s="13">
        <f>SUM(B47:J47)</f>
        <v>1</v>
      </c>
      <c r="L47" s="472">
        <f>'F-09 OGA'!L42</f>
        <v>420000</v>
      </c>
      <c r="M47" s="13"/>
      <c r="N47" s="13"/>
      <c r="O47" s="13"/>
      <c r="P47" s="13">
        <f>'F-09 OGA'!P42</f>
        <v>1</v>
      </c>
      <c r="Q47" s="13"/>
      <c r="R47" s="13"/>
      <c r="S47" s="13"/>
      <c r="T47" s="13"/>
      <c r="U47" s="13"/>
      <c r="V47" s="13">
        <f>SUM(M47:U47)</f>
        <v>1</v>
      </c>
      <c r="W47" s="472">
        <f>'F-09 OGA'!W42</f>
        <v>452400</v>
      </c>
      <c r="Z47" s="68"/>
    </row>
    <row r="48" spans="1:26">
      <c r="A48" s="703" t="s">
        <v>7050</v>
      </c>
      <c r="B48" s="13"/>
      <c r="C48" s="13"/>
      <c r="D48" s="13"/>
      <c r="E48" s="13">
        <f>'F-09 OGA'!E43</f>
        <v>2</v>
      </c>
      <c r="F48" s="13"/>
      <c r="G48" s="13"/>
      <c r="H48" s="13"/>
      <c r="I48" s="13"/>
      <c r="J48" s="13"/>
      <c r="K48" s="13">
        <f>SUM(B48:J48)</f>
        <v>2</v>
      </c>
      <c r="L48" s="472">
        <f>'F-09 OGA'!L43</f>
        <v>784000</v>
      </c>
      <c r="M48" s="13"/>
      <c r="N48" s="13"/>
      <c r="O48" s="13"/>
      <c r="P48" s="13">
        <f>'F-09 OGA'!P43</f>
        <v>2</v>
      </c>
      <c r="Q48" s="13"/>
      <c r="R48" s="13"/>
      <c r="S48" s="13"/>
      <c r="T48" s="13"/>
      <c r="U48" s="13"/>
      <c r="V48" s="13">
        <f>SUM(M48:U48)</f>
        <v>2</v>
      </c>
      <c r="W48" s="472">
        <f>'F-09 OGA'!W43</f>
        <v>844480</v>
      </c>
      <c r="Z48" s="68"/>
    </row>
    <row r="49" spans="1:26">
      <c r="A49" s="703" t="s">
        <v>7049</v>
      </c>
      <c r="B49" s="13"/>
      <c r="C49" s="13"/>
      <c r="D49" s="13"/>
      <c r="E49" s="13">
        <f>'F-09 OGA'!E44</f>
        <v>1</v>
      </c>
      <c r="F49" s="13"/>
      <c r="G49" s="13"/>
      <c r="H49" s="13"/>
      <c r="I49" s="13"/>
      <c r="J49" s="13"/>
      <c r="K49" s="13">
        <f>SUM(B49:J49)</f>
        <v>1</v>
      </c>
      <c r="L49" s="472">
        <f>'F-09 OGA'!L44</f>
        <v>350000</v>
      </c>
      <c r="M49" s="13"/>
      <c r="N49" s="13"/>
      <c r="O49" s="13"/>
      <c r="P49" s="13">
        <f>'F-09 OGA'!P44</f>
        <v>1</v>
      </c>
      <c r="Q49" s="13"/>
      <c r="R49" s="13"/>
      <c r="S49" s="13"/>
      <c r="T49" s="13"/>
      <c r="U49" s="13"/>
      <c r="V49" s="13">
        <f>SUM(M49:U49)</f>
        <v>1</v>
      </c>
      <c r="W49" s="472">
        <f>'F-09 OGA'!W44</f>
        <v>377000</v>
      </c>
      <c r="Z49" s="68"/>
    </row>
    <row r="50" spans="1:26">
      <c r="A50" s="704" t="s">
        <v>51</v>
      </c>
      <c r="B50" s="482">
        <f t="shared" ref="B50:W50" si="14">SUM(B51:B66)</f>
        <v>1790</v>
      </c>
      <c r="C50" s="482">
        <f t="shared" si="14"/>
        <v>0</v>
      </c>
      <c r="D50" s="482">
        <f t="shared" si="14"/>
        <v>0</v>
      </c>
      <c r="E50" s="482">
        <f t="shared" si="14"/>
        <v>0</v>
      </c>
      <c r="F50" s="482">
        <f t="shared" si="14"/>
        <v>0</v>
      </c>
      <c r="G50" s="482">
        <f t="shared" si="14"/>
        <v>0</v>
      </c>
      <c r="H50" s="482">
        <f t="shared" si="14"/>
        <v>0</v>
      </c>
      <c r="I50" s="482">
        <f t="shared" si="14"/>
        <v>0</v>
      </c>
      <c r="J50" s="482">
        <f t="shared" si="14"/>
        <v>0</v>
      </c>
      <c r="K50" s="482">
        <f t="shared" si="14"/>
        <v>1790</v>
      </c>
      <c r="L50" s="474">
        <f t="shared" si="14"/>
        <v>45779605.756080009</v>
      </c>
      <c r="M50" s="482">
        <f t="shared" si="14"/>
        <v>1752</v>
      </c>
      <c r="N50" s="482">
        <f t="shared" si="14"/>
        <v>0</v>
      </c>
      <c r="O50" s="482">
        <f t="shared" si="14"/>
        <v>0</v>
      </c>
      <c r="P50" s="482">
        <f t="shared" si="14"/>
        <v>0</v>
      </c>
      <c r="Q50" s="482">
        <f t="shared" si="14"/>
        <v>0</v>
      </c>
      <c r="R50" s="482">
        <f t="shared" si="14"/>
        <v>0</v>
      </c>
      <c r="S50" s="482">
        <f t="shared" si="14"/>
        <v>0</v>
      </c>
      <c r="T50" s="482">
        <f t="shared" si="14"/>
        <v>0</v>
      </c>
      <c r="U50" s="482">
        <f t="shared" si="14"/>
        <v>0</v>
      </c>
      <c r="V50" s="482">
        <f t="shared" si="14"/>
        <v>1752</v>
      </c>
      <c r="W50" s="474">
        <f t="shared" si="14"/>
        <v>48418049.790963992</v>
      </c>
      <c r="Z50" s="68"/>
    </row>
    <row r="51" spans="1:26" ht="14.25">
      <c r="A51" s="706" t="s">
        <v>7048</v>
      </c>
      <c r="B51" s="13">
        <f>'F-09 EP'!B51+'F-09 MGP'!B51+'F-09 FAP'!B51</f>
        <v>145</v>
      </c>
      <c r="C51" s="13"/>
      <c r="D51" s="13"/>
      <c r="E51" s="13"/>
      <c r="F51" s="13"/>
      <c r="G51" s="13"/>
      <c r="H51" s="13"/>
      <c r="I51" s="13"/>
      <c r="J51" s="13"/>
      <c r="K51" s="13">
        <f t="shared" ref="K51:K66" si="15">SUM(B51:J51)</f>
        <v>145</v>
      </c>
      <c r="L51" s="472">
        <f>'F-09 EP'!L51+'F-09 MGP'!L51+'F-09 FAP'!L51</f>
        <v>5127160.5356799997</v>
      </c>
      <c r="M51" s="13">
        <f>'F-09 EP'!M51+'F-09 MGP'!M51+'F-09 FAP'!M51</f>
        <v>86</v>
      </c>
      <c r="N51" s="13"/>
      <c r="O51" s="13"/>
      <c r="P51" s="13"/>
      <c r="Q51" s="13"/>
      <c r="R51" s="13"/>
      <c r="S51" s="13"/>
      <c r="T51" s="13"/>
      <c r="U51" s="13"/>
      <c r="V51" s="13">
        <f t="shared" ref="V51:V66" si="16">SUM(M51:U51)</f>
        <v>86</v>
      </c>
      <c r="W51" s="472">
        <f>'F-09 EP'!W51+'F-09 MGP'!W51+'F-09 FAP'!W51</f>
        <v>2775957.4860800002</v>
      </c>
      <c r="Z51" s="68"/>
    </row>
    <row r="52" spans="1:26" ht="14.25">
      <c r="A52" s="706" t="s">
        <v>7047</v>
      </c>
      <c r="B52" s="13">
        <f>'F-09 EP'!B52+'F-09 MGP'!B52+'F-09 FAP'!B52</f>
        <v>10</v>
      </c>
      <c r="C52" s="13"/>
      <c r="D52" s="13"/>
      <c r="E52" s="13"/>
      <c r="F52" s="13"/>
      <c r="G52" s="13"/>
      <c r="H52" s="13"/>
      <c r="I52" s="13"/>
      <c r="J52" s="13"/>
      <c r="K52" s="13">
        <f t="shared" si="15"/>
        <v>10</v>
      </c>
      <c r="L52" s="472">
        <f>'F-09 EP'!L52+'F-09 MGP'!L52+'F-09 FAP'!L52</f>
        <v>379652.8</v>
      </c>
      <c r="M52" s="13">
        <f>'F-09 EP'!M52+'F-09 MGP'!M52+'F-09 FAP'!M52</f>
        <v>20</v>
      </c>
      <c r="N52" s="13"/>
      <c r="O52" s="13"/>
      <c r="P52" s="13"/>
      <c r="Q52" s="13"/>
      <c r="R52" s="13"/>
      <c r="S52" s="13"/>
      <c r="T52" s="13"/>
      <c r="U52" s="13"/>
      <c r="V52" s="13">
        <f t="shared" si="16"/>
        <v>20</v>
      </c>
      <c r="W52" s="472">
        <f>'F-09 EP'!W52+'F-09 MGP'!W52+'F-09 FAP'!W52</f>
        <v>687657.04399999976</v>
      </c>
      <c r="Z52" s="68"/>
    </row>
    <row r="53" spans="1:26" ht="14.25">
      <c r="A53" s="706" t="s">
        <v>7046</v>
      </c>
      <c r="B53" s="13">
        <f>'F-09 EP'!B53+'F-09 MGP'!B53+'F-09 FAP'!B53</f>
        <v>644</v>
      </c>
      <c r="C53" s="13"/>
      <c r="D53" s="13"/>
      <c r="E53" s="13"/>
      <c r="F53" s="13"/>
      <c r="G53" s="13"/>
      <c r="H53" s="13"/>
      <c r="I53" s="13"/>
      <c r="J53" s="13"/>
      <c r="K53" s="13">
        <f t="shared" si="15"/>
        <v>644</v>
      </c>
      <c r="L53" s="472">
        <f>'F-09 EP'!L53+'F-09 MGP'!L53+'F-09 FAP'!L53</f>
        <v>20581422.312799998</v>
      </c>
      <c r="M53" s="13">
        <f>'F-09 EP'!M53+'F-09 MGP'!M53+'F-09 FAP'!M53</f>
        <v>656</v>
      </c>
      <c r="N53" s="13"/>
      <c r="O53" s="13"/>
      <c r="P53" s="13"/>
      <c r="Q53" s="13"/>
      <c r="R53" s="13"/>
      <c r="S53" s="13"/>
      <c r="T53" s="13"/>
      <c r="U53" s="13"/>
      <c r="V53" s="13">
        <f t="shared" si="16"/>
        <v>656</v>
      </c>
      <c r="W53" s="472">
        <f>'F-09 EP'!W53+'F-09 MGP'!W53+'F-09 FAP'!W53</f>
        <v>23486875.270399995</v>
      </c>
      <c r="Z53" s="68"/>
    </row>
    <row r="54" spans="1:26" ht="14.25">
      <c r="A54" s="706" t="s">
        <v>7045</v>
      </c>
      <c r="B54" s="13">
        <f>'F-09 EP'!B54+'F-09 MGP'!B54+'F-09 FAP'!B54</f>
        <v>10</v>
      </c>
      <c r="C54" s="13"/>
      <c r="D54" s="13"/>
      <c r="E54" s="13"/>
      <c r="F54" s="13"/>
      <c r="G54" s="13"/>
      <c r="H54" s="13"/>
      <c r="I54" s="13"/>
      <c r="J54" s="13"/>
      <c r="K54" s="13">
        <f t="shared" si="15"/>
        <v>10</v>
      </c>
      <c r="L54" s="472">
        <f>'F-09 EP'!L54+'F-09 MGP'!L54+'F-09 FAP'!L54</f>
        <v>312443.2</v>
      </c>
      <c r="M54" s="13">
        <f>'F-09 EP'!M54+'F-09 MGP'!M54+'F-09 FAP'!M54</f>
        <v>10</v>
      </c>
      <c r="N54" s="13"/>
      <c r="O54" s="13"/>
      <c r="P54" s="13"/>
      <c r="Q54" s="13"/>
      <c r="R54" s="13"/>
      <c r="S54" s="13"/>
      <c r="T54" s="13"/>
      <c r="U54" s="13"/>
      <c r="V54" s="13">
        <f t="shared" si="16"/>
        <v>10</v>
      </c>
      <c r="W54" s="472">
        <f>'F-09 EP'!W54+'F-09 MGP'!W54+'F-09 FAP'!W54</f>
        <v>313613.19999999995</v>
      </c>
      <c r="Z54" s="68"/>
    </row>
    <row r="55" spans="1:26" ht="14.25">
      <c r="A55" s="706" t="s">
        <v>7044</v>
      </c>
      <c r="B55" s="13">
        <f>'F-09 EP'!B55+'F-09 MGP'!B55+'F-09 FAP'!B55</f>
        <v>332</v>
      </c>
      <c r="C55" s="13"/>
      <c r="D55" s="13"/>
      <c r="E55" s="13"/>
      <c r="F55" s="13"/>
      <c r="G55" s="13"/>
      <c r="H55" s="13"/>
      <c r="I55" s="13"/>
      <c r="J55" s="13"/>
      <c r="K55" s="13">
        <f t="shared" si="15"/>
        <v>332</v>
      </c>
      <c r="L55" s="472">
        <f>'F-09 EP'!L55+'F-09 MGP'!L55+'F-09 FAP'!L55</f>
        <v>8594474.3599999994</v>
      </c>
      <c r="M55" s="13">
        <f>'F-09 EP'!M55+'F-09 MGP'!M55+'F-09 FAP'!M55</f>
        <v>490</v>
      </c>
      <c r="N55" s="13"/>
      <c r="O55" s="13"/>
      <c r="P55" s="13"/>
      <c r="Q55" s="13"/>
      <c r="R55" s="13"/>
      <c r="S55" s="13"/>
      <c r="T55" s="13"/>
      <c r="U55" s="13"/>
      <c r="V55" s="13">
        <f t="shared" si="16"/>
        <v>490</v>
      </c>
      <c r="W55" s="472">
        <f>'F-09 EP'!W55+'F-09 MGP'!W55+'F-09 FAP'!W55</f>
        <v>12692339.199999999</v>
      </c>
      <c r="Z55" s="68"/>
    </row>
    <row r="56" spans="1:26" ht="14.25">
      <c r="A56" s="706" t="s">
        <v>7043</v>
      </c>
      <c r="B56" s="13">
        <f>'F-09 EP'!B56+'F-09 MGP'!B56+'F-09 FAP'!B56</f>
        <v>72</v>
      </c>
      <c r="C56" s="13"/>
      <c r="D56" s="13"/>
      <c r="E56" s="13"/>
      <c r="F56" s="13"/>
      <c r="G56" s="13"/>
      <c r="H56" s="13"/>
      <c r="I56" s="13"/>
      <c r="J56" s="13"/>
      <c r="K56" s="13">
        <f t="shared" si="15"/>
        <v>72</v>
      </c>
      <c r="L56" s="472">
        <f>'F-09 EP'!L56+'F-09 MGP'!L56+'F-09 FAP'!L56</f>
        <v>1886659.2000000002</v>
      </c>
      <c r="M56" s="13">
        <f>'F-09 EP'!M56+'F-09 MGP'!M56+'F-09 FAP'!M56</f>
        <v>72</v>
      </c>
      <c r="N56" s="13"/>
      <c r="O56" s="13"/>
      <c r="P56" s="13"/>
      <c r="Q56" s="13"/>
      <c r="R56" s="13"/>
      <c r="S56" s="13"/>
      <c r="T56" s="13"/>
      <c r="U56" s="13"/>
      <c r="V56" s="13">
        <f t="shared" si="16"/>
        <v>72</v>
      </c>
      <c r="W56" s="472">
        <f>'F-09 EP'!W56+'F-09 MGP'!W56+'F-09 FAP'!W56</f>
        <v>2059286.4</v>
      </c>
      <c r="Z56" s="68"/>
    </row>
    <row r="57" spans="1:26" hidden="1">
      <c r="A57" s="703" t="s">
        <v>7012</v>
      </c>
      <c r="B57" s="13">
        <f>'F-09 EP'!B57+'F-09 MGP'!B57+'F-09 FAP'!B57</f>
        <v>0</v>
      </c>
      <c r="C57" s="13"/>
      <c r="D57" s="13"/>
      <c r="E57" s="13"/>
      <c r="F57" s="13"/>
      <c r="G57" s="13"/>
      <c r="H57" s="13"/>
      <c r="I57" s="13"/>
      <c r="J57" s="13"/>
      <c r="K57" s="13">
        <f t="shared" si="15"/>
        <v>0</v>
      </c>
      <c r="L57" s="472">
        <f>'F-09 EP'!L57+'F-09 MGP'!L57+'F-09 FAP'!L57</f>
        <v>0</v>
      </c>
      <c r="M57" s="13">
        <f>'F-09 EP'!M57+'F-09 MGP'!M57+'F-09 FAP'!M57</f>
        <v>0</v>
      </c>
      <c r="N57" s="13"/>
      <c r="O57" s="13"/>
      <c r="P57" s="13"/>
      <c r="Q57" s="13"/>
      <c r="R57" s="13"/>
      <c r="S57" s="13"/>
      <c r="T57" s="13"/>
      <c r="U57" s="13"/>
      <c r="V57" s="13">
        <f t="shared" si="16"/>
        <v>0</v>
      </c>
      <c r="W57" s="472">
        <f>'F-09 EP'!W57+'F-09 MGP'!W57+'F-09 FAP'!W57</f>
        <v>0</v>
      </c>
      <c r="Z57" s="68"/>
    </row>
    <row r="58" spans="1:26">
      <c r="A58" s="703" t="s">
        <v>7011</v>
      </c>
      <c r="B58" s="13">
        <f>'F-09 EP'!B58+'F-09 MGP'!B58+'F-09 FAP'!B58</f>
        <v>0</v>
      </c>
      <c r="C58" s="13"/>
      <c r="D58" s="13"/>
      <c r="E58" s="13"/>
      <c r="F58" s="13"/>
      <c r="G58" s="13"/>
      <c r="H58" s="13"/>
      <c r="I58" s="13"/>
      <c r="J58" s="13"/>
      <c r="K58" s="13">
        <f t="shared" si="15"/>
        <v>0</v>
      </c>
      <c r="L58" s="472">
        <f>'F-09 EP'!L58+'F-09 MGP'!L58+'F-09 FAP'!L58</f>
        <v>0</v>
      </c>
      <c r="M58" s="13">
        <f>'F-09 EP'!M58+'F-09 MGP'!M58+'F-09 FAP'!M58</f>
        <v>1</v>
      </c>
      <c r="N58" s="13"/>
      <c r="O58" s="13"/>
      <c r="P58" s="13"/>
      <c r="Q58" s="13"/>
      <c r="R58" s="13"/>
      <c r="S58" s="13"/>
      <c r="T58" s="13"/>
      <c r="U58" s="13"/>
      <c r="V58" s="13">
        <f t="shared" si="16"/>
        <v>1</v>
      </c>
      <c r="W58" s="472">
        <f>'F-09 EP'!W58+'F-09 MGP'!W58+'F-09 FAP'!W58</f>
        <v>16146.45</v>
      </c>
      <c r="Z58" s="68"/>
    </row>
    <row r="59" spans="1:26">
      <c r="A59" s="703" t="s">
        <v>7042</v>
      </c>
      <c r="B59" s="13">
        <f>'F-09 EP'!B59+'F-09 MGP'!B59+'F-09 FAP'!B59</f>
        <v>1</v>
      </c>
      <c r="C59" s="13"/>
      <c r="D59" s="13"/>
      <c r="E59" s="13"/>
      <c r="F59" s="13"/>
      <c r="G59" s="13"/>
      <c r="H59" s="13"/>
      <c r="I59" s="13"/>
      <c r="J59" s="13"/>
      <c r="K59" s="13">
        <f t="shared" si="15"/>
        <v>1</v>
      </c>
      <c r="L59" s="472">
        <f>'F-09 EP'!L59+'F-09 MGP'!L59+'F-09 FAP'!L59</f>
        <v>15970.839999999997</v>
      </c>
      <c r="M59" s="13">
        <f>'F-09 EP'!M59+'F-09 MGP'!M59+'F-09 FAP'!M59</f>
        <v>1</v>
      </c>
      <c r="N59" s="13"/>
      <c r="O59" s="13"/>
      <c r="P59" s="13"/>
      <c r="Q59" s="13"/>
      <c r="R59" s="13"/>
      <c r="S59" s="13"/>
      <c r="T59" s="13"/>
      <c r="U59" s="13"/>
      <c r="V59" s="13">
        <f t="shared" si="16"/>
        <v>1</v>
      </c>
      <c r="W59" s="472">
        <f>'F-09 EP'!W59+'F-09 MGP'!W59+'F-09 FAP'!W59</f>
        <v>15970.889999999996</v>
      </c>
      <c r="Z59" s="68"/>
    </row>
    <row r="60" spans="1:26" hidden="1">
      <c r="A60" s="703" t="s">
        <v>7041</v>
      </c>
      <c r="B60" s="13">
        <f>'F-09 EP'!B60+'F-09 MGP'!B60+'F-09 FAP'!B60</f>
        <v>0</v>
      </c>
      <c r="C60" s="13"/>
      <c r="D60" s="13"/>
      <c r="E60" s="13"/>
      <c r="F60" s="13"/>
      <c r="G60" s="13"/>
      <c r="H60" s="13"/>
      <c r="I60" s="13"/>
      <c r="J60" s="13"/>
      <c r="K60" s="13">
        <f t="shared" si="15"/>
        <v>0</v>
      </c>
      <c r="L60" s="472">
        <f>'F-09 EP'!L60+'F-09 MGP'!L60+'F-09 FAP'!L60</f>
        <v>0</v>
      </c>
      <c r="M60" s="13">
        <f>'F-09 EP'!M60+'F-09 MGP'!M60+'F-09 FAP'!M60</f>
        <v>0</v>
      </c>
      <c r="N60" s="13"/>
      <c r="O60" s="13"/>
      <c r="P60" s="13"/>
      <c r="Q60" s="13"/>
      <c r="R60" s="13"/>
      <c r="S60" s="13"/>
      <c r="T60" s="13"/>
      <c r="U60" s="13"/>
      <c r="V60" s="13">
        <f t="shared" si="16"/>
        <v>0</v>
      </c>
      <c r="W60" s="472">
        <f>'F-09 EP'!W60+'F-09 MGP'!W60+'F-09 FAP'!W60</f>
        <v>0</v>
      </c>
      <c r="Z60" s="68"/>
    </row>
    <row r="61" spans="1:26">
      <c r="A61" s="703" t="s">
        <v>7040</v>
      </c>
      <c r="B61" s="13">
        <f>'F-09 EP'!B61+'F-09 MGP'!B61+'F-09 FAP'!B61</f>
        <v>255</v>
      </c>
      <c r="C61" s="13"/>
      <c r="D61" s="13"/>
      <c r="E61" s="13"/>
      <c r="F61" s="13"/>
      <c r="G61" s="13"/>
      <c r="H61" s="13"/>
      <c r="I61" s="13"/>
      <c r="J61" s="13"/>
      <c r="K61" s="13">
        <f t="shared" si="15"/>
        <v>255</v>
      </c>
      <c r="L61" s="472">
        <f>'F-09 EP'!L61+'F-09 MGP'!L61+'F-09 FAP'!L61</f>
        <v>3866167.2</v>
      </c>
      <c r="M61" s="13">
        <f>'F-09 EP'!M61+'F-09 MGP'!M61+'F-09 FAP'!M61</f>
        <v>97</v>
      </c>
      <c r="N61" s="13"/>
      <c r="O61" s="13"/>
      <c r="P61" s="13"/>
      <c r="Q61" s="13"/>
      <c r="R61" s="13"/>
      <c r="S61" s="13"/>
      <c r="T61" s="13"/>
      <c r="U61" s="13"/>
      <c r="V61" s="13">
        <f t="shared" si="16"/>
        <v>97</v>
      </c>
      <c r="W61" s="472">
        <f>'F-09 EP'!W61+'F-09 MGP'!W61+'F-09 FAP'!W61</f>
        <v>1558181.0235240038</v>
      </c>
      <c r="Z61" s="68"/>
    </row>
    <row r="62" spans="1:26">
      <c r="A62" s="703" t="s">
        <v>7039</v>
      </c>
      <c r="B62" s="13">
        <f>'F-09 EP'!B62+'F-09 MGP'!B62+'F-09 FAP'!B62</f>
        <v>4</v>
      </c>
      <c r="C62" s="13"/>
      <c r="D62" s="13"/>
      <c r="E62" s="13"/>
      <c r="F62" s="13"/>
      <c r="G62" s="13"/>
      <c r="H62" s="13"/>
      <c r="I62" s="13"/>
      <c r="J62" s="13"/>
      <c r="K62" s="13">
        <f t="shared" si="15"/>
        <v>4</v>
      </c>
      <c r="L62" s="472">
        <f>'F-09 EP'!L62+'F-09 MGP'!L62+'F-09 FAP'!L62</f>
        <v>51601.600000000006</v>
      </c>
      <c r="M62" s="13">
        <f>'F-09 EP'!M62+'F-09 MGP'!M62+'F-09 FAP'!M62</f>
        <v>4</v>
      </c>
      <c r="N62" s="13"/>
      <c r="O62" s="13"/>
      <c r="P62" s="13"/>
      <c r="Q62" s="13"/>
      <c r="R62" s="13"/>
      <c r="S62" s="13"/>
      <c r="T62" s="13"/>
      <c r="U62" s="13"/>
      <c r="V62" s="13">
        <f t="shared" si="16"/>
        <v>4</v>
      </c>
      <c r="W62" s="472">
        <f>'F-09 EP'!W62+'F-09 MGP'!W62+'F-09 FAP'!W62</f>
        <v>51601.8</v>
      </c>
      <c r="Z62" s="68"/>
    </row>
    <row r="63" spans="1:26">
      <c r="A63" s="703" t="s">
        <v>7038</v>
      </c>
      <c r="B63" s="13">
        <f>'F-09 EP'!B63+'F-09 MGP'!B63+'F-09 FAP'!B63</f>
        <v>11</v>
      </c>
      <c r="C63" s="13"/>
      <c r="D63" s="13"/>
      <c r="E63" s="13"/>
      <c r="F63" s="13"/>
      <c r="G63" s="13"/>
      <c r="H63" s="13"/>
      <c r="I63" s="13"/>
      <c r="J63" s="13"/>
      <c r="K63" s="13">
        <f t="shared" si="15"/>
        <v>11</v>
      </c>
      <c r="L63" s="472">
        <f>'F-09 EP'!L63+'F-09 MGP'!L63+'F-09 FAP'!L63</f>
        <v>160252.40000000002</v>
      </c>
      <c r="M63" s="13">
        <f>'F-09 EP'!M63+'F-09 MGP'!M63+'F-09 FAP'!M63</f>
        <v>15</v>
      </c>
      <c r="N63" s="13"/>
      <c r="O63" s="13"/>
      <c r="P63" s="13"/>
      <c r="Q63" s="13"/>
      <c r="R63" s="13"/>
      <c r="S63" s="13"/>
      <c r="T63" s="13"/>
      <c r="U63" s="13"/>
      <c r="V63" s="13">
        <f t="shared" si="16"/>
        <v>15</v>
      </c>
      <c r="W63" s="472">
        <f>'F-09 EP'!W63+'F-09 MGP'!W63+'F-09 FAP'!W63</f>
        <v>255715.8</v>
      </c>
      <c r="Z63" s="68"/>
    </row>
    <row r="64" spans="1:26">
      <c r="A64" s="703" t="s">
        <v>7037</v>
      </c>
      <c r="B64" s="13">
        <f>'F-09 EP'!B64+'F-09 MGP'!B64+'F-09 FAP'!B64</f>
        <v>7</v>
      </c>
      <c r="C64" s="13"/>
      <c r="D64" s="13"/>
      <c r="E64" s="13"/>
      <c r="F64" s="13"/>
      <c r="G64" s="13"/>
      <c r="H64" s="13"/>
      <c r="I64" s="13"/>
      <c r="J64" s="13"/>
      <c r="K64" s="13">
        <f t="shared" si="15"/>
        <v>7</v>
      </c>
      <c r="L64" s="472">
        <f>'F-09 EP'!L64+'F-09 MGP'!L64+'F-09 FAP'!L64</f>
        <v>86799.58</v>
      </c>
      <c r="M64" s="13">
        <f>'F-09 EP'!M64+'F-09 MGP'!M64+'F-09 FAP'!M64</f>
        <v>18</v>
      </c>
      <c r="N64" s="13"/>
      <c r="O64" s="13"/>
      <c r="P64" s="13"/>
      <c r="Q64" s="13"/>
      <c r="R64" s="13"/>
      <c r="S64" s="13"/>
      <c r="T64" s="13"/>
      <c r="U64" s="13"/>
      <c r="V64" s="13">
        <f t="shared" si="16"/>
        <v>18</v>
      </c>
      <c r="W64" s="472">
        <f>'F-09 EP'!W64+'F-09 MGP'!W64+'F-09 FAP'!W64</f>
        <v>234265.49</v>
      </c>
      <c r="Z64" s="68"/>
    </row>
    <row r="65" spans="1:26">
      <c r="A65" s="703" t="s">
        <v>7036</v>
      </c>
      <c r="B65" s="13">
        <f>'F-09 EP'!B65+'F-09 MGP'!B65+'F-09 FAP'!B65</f>
        <v>20</v>
      </c>
      <c r="C65" s="13"/>
      <c r="D65" s="13"/>
      <c r="E65" s="13"/>
      <c r="F65" s="13"/>
      <c r="G65" s="13"/>
      <c r="H65" s="13"/>
      <c r="I65" s="13"/>
      <c r="J65" s="13"/>
      <c r="K65" s="13">
        <f t="shared" si="15"/>
        <v>20</v>
      </c>
      <c r="L65" s="472">
        <f>'F-09 EP'!L65+'F-09 MGP'!L65+'F-09 FAP'!L65</f>
        <v>274420.03999999998</v>
      </c>
      <c r="M65" s="13">
        <f>'F-09 EP'!M65+'F-09 MGP'!M65+'F-09 FAP'!M65</f>
        <v>41</v>
      </c>
      <c r="N65" s="13"/>
      <c r="O65" s="13"/>
      <c r="P65" s="13"/>
      <c r="Q65" s="13"/>
      <c r="R65" s="13"/>
      <c r="S65" s="13"/>
      <c r="T65" s="13"/>
      <c r="U65" s="13"/>
      <c r="V65" s="13">
        <f t="shared" si="16"/>
        <v>41</v>
      </c>
      <c r="W65" s="472">
        <f>'F-09 EP'!W65+'F-09 MGP'!W65+'F-09 FAP'!W65</f>
        <v>569398.39</v>
      </c>
      <c r="Z65" s="68"/>
    </row>
    <row r="66" spans="1:26">
      <c r="A66" s="703" t="s">
        <v>7035</v>
      </c>
      <c r="B66" s="13">
        <f>'F-09 EP'!B66+'F-09 MGP'!B66+'F-09 FAP'!B66</f>
        <v>279</v>
      </c>
      <c r="C66" s="13"/>
      <c r="D66" s="13"/>
      <c r="E66" s="13"/>
      <c r="F66" s="13"/>
      <c r="G66" s="13"/>
      <c r="H66" s="13"/>
      <c r="I66" s="13"/>
      <c r="J66" s="13"/>
      <c r="K66" s="13">
        <f t="shared" si="15"/>
        <v>279</v>
      </c>
      <c r="L66" s="472">
        <f>'F-09 EP'!L66+'F-09 MGP'!L66+'F-09 FAP'!L66</f>
        <v>4442581.6875999998</v>
      </c>
      <c r="M66" s="13">
        <f>'F-09 EP'!M66+'F-09 MGP'!M66+'F-09 FAP'!M66</f>
        <v>241</v>
      </c>
      <c r="N66" s="13"/>
      <c r="O66" s="13"/>
      <c r="P66" s="13"/>
      <c r="Q66" s="13"/>
      <c r="R66" s="13"/>
      <c r="S66" s="13"/>
      <c r="T66" s="13"/>
      <c r="U66" s="13"/>
      <c r="V66" s="13">
        <f t="shared" si="16"/>
        <v>241</v>
      </c>
      <c r="W66" s="472">
        <f>'F-09 EP'!W66+'F-09 MGP'!W66+'F-09 FAP'!W66</f>
        <v>3701041.3469600002</v>
      </c>
      <c r="Z66" s="68"/>
    </row>
    <row r="67" spans="1:26">
      <c r="A67" s="704" t="s">
        <v>54</v>
      </c>
      <c r="B67" s="482">
        <f t="shared" ref="B67:W67" si="17">SUM(B68:B78)</f>
        <v>399</v>
      </c>
      <c r="C67" s="482">
        <f t="shared" si="17"/>
        <v>0</v>
      </c>
      <c r="D67" s="482">
        <f t="shared" si="17"/>
        <v>0</v>
      </c>
      <c r="E67" s="482">
        <f t="shared" si="17"/>
        <v>0</v>
      </c>
      <c r="F67" s="482">
        <f t="shared" si="17"/>
        <v>0</v>
      </c>
      <c r="G67" s="482">
        <f t="shared" si="17"/>
        <v>0</v>
      </c>
      <c r="H67" s="482">
        <f t="shared" si="17"/>
        <v>0</v>
      </c>
      <c r="I67" s="482">
        <f t="shared" si="17"/>
        <v>0</v>
      </c>
      <c r="J67" s="482">
        <f t="shared" si="17"/>
        <v>0</v>
      </c>
      <c r="K67" s="482">
        <f t="shared" si="17"/>
        <v>399</v>
      </c>
      <c r="L67" s="474">
        <f t="shared" si="17"/>
        <v>6451974.5159999998</v>
      </c>
      <c r="M67" s="482">
        <f t="shared" si="17"/>
        <v>405</v>
      </c>
      <c r="N67" s="482">
        <f t="shared" si="17"/>
        <v>0</v>
      </c>
      <c r="O67" s="482">
        <f t="shared" si="17"/>
        <v>0</v>
      </c>
      <c r="P67" s="482">
        <f t="shared" si="17"/>
        <v>0</v>
      </c>
      <c r="Q67" s="482">
        <f t="shared" si="17"/>
        <v>0</v>
      </c>
      <c r="R67" s="482">
        <f t="shared" si="17"/>
        <v>0</v>
      </c>
      <c r="S67" s="482">
        <f t="shared" si="17"/>
        <v>0</v>
      </c>
      <c r="T67" s="482">
        <f t="shared" si="17"/>
        <v>0</v>
      </c>
      <c r="U67" s="482">
        <f t="shared" si="17"/>
        <v>0</v>
      </c>
      <c r="V67" s="482">
        <f t="shared" si="17"/>
        <v>405</v>
      </c>
      <c r="W67" s="474">
        <f t="shared" si="17"/>
        <v>6186513.2063999986</v>
      </c>
      <c r="Z67" s="68"/>
    </row>
    <row r="68" spans="1:26">
      <c r="A68" s="703" t="s">
        <v>7034</v>
      </c>
      <c r="B68" s="13">
        <f>'F-09 EP'!B68+'F-09 MGP'!B68+'F-09 FAP'!B68</f>
        <v>63</v>
      </c>
      <c r="C68" s="13"/>
      <c r="D68" s="13"/>
      <c r="E68" s="13"/>
      <c r="F68" s="13"/>
      <c r="G68" s="13"/>
      <c r="H68" s="13"/>
      <c r="I68" s="13"/>
      <c r="J68" s="13"/>
      <c r="K68" s="13">
        <f t="shared" ref="K68:K78" si="18">SUM(B68:J68)</f>
        <v>63</v>
      </c>
      <c r="L68" s="472">
        <f>'F-09 EP'!L68+'F-09 MGP'!L68+'F-09 FAP'!L68</f>
        <v>1073372.52</v>
      </c>
      <c r="M68" s="13">
        <f>'F-09 EP'!M68+'F-09 MGP'!M68+'F-09 FAP'!M68</f>
        <v>90</v>
      </c>
      <c r="N68" s="13"/>
      <c r="O68" s="13"/>
      <c r="P68" s="13"/>
      <c r="Q68" s="13"/>
      <c r="R68" s="13"/>
      <c r="S68" s="13"/>
      <c r="T68" s="13"/>
      <c r="U68" s="13"/>
      <c r="V68" s="13">
        <f t="shared" ref="V68:V78" si="19">SUM(M68:U68)</f>
        <v>90</v>
      </c>
      <c r="W68" s="472">
        <f>'F-09 EP'!W68+'F-09 MGP'!W68+'F-09 FAP'!W68</f>
        <v>1533661.0599999998</v>
      </c>
      <c r="Z68" s="68"/>
    </row>
    <row r="69" spans="1:26">
      <c r="A69" s="703" t="s">
        <v>7033</v>
      </c>
      <c r="B69" s="13">
        <f>'F-09 EP'!B69+'F-09 MGP'!B69+'F-09 FAP'!B69</f>
        <v>61</v>
      </c>
      <c r="C69" s="13"/>
      <c r="D69" s="13"/>
      <c r="E69" s="13"/>
      <c r="F69" s="13"/>
      <c r="G69" s="13"/>
      <c r="H69" s="13"/>
      <c r="I69" s="13"/>
      <c r="J69" s="13"/>
      <c r="K69" s="13">
        <f t="shared" si="18"/>
        <v>61</v>
      </c>
      <c r="L69" s="472">
        <f>'F-09 EP'!L69+'F-09 MGP'!L69+'F-09 FAP'!L69</f>
        <v>822306.39999999991</v>
      </c>
      <c r="M69" s="13">
        <f>'F-09 EP'!M69+'F-09 MGP'!M69+'F-09 FAP'!M69</f>
        <v>92</v>
      </c>
      <c r="N69" s="13"/>
      <c r="O69" s="13"/>
      <c r="P69" s="13"/>
      <c r="Q69" s="13"/>
      <c r="R69" s="13"/>
      <c r="S69" s="13"/>
      <c r="T69" s="13"/>
      <c r="U69" s="13"/>
      <c r="V69" s="13">
        <f t="shared" si="19"/>
        <v>92</v>
      </c>
      <c r="W69" s="472">
        <f>'F-09 EP'!W69+'F-09 MGP'!W69+'F-09 FAP'!W69</f>
        <v>1237891.31</v>
      </c>
      <c r="Z69" s="68"/>
    </row>
    <row r="70" spans="1:26">
      <c r="A70" s="703" t="s">
        <v>7032</v>
      </c>
      <c r="B70" s="13">
        <f>'F-09 EP'!B70+'F-09 MGP'!B70+'F-09 FAP'!B70</f>
        <v>10</v>
      </c>
      <c r="C70" s="13"/>
      <c r="D70" s="13"/>
      <c r="E70" s="13"/>
      <c r="F70" s="13"/>
      <c r="G70" s="13"/>
      <c r="H70" s="13"/>
      <c r="I70" s="13"/>
      <c r="J70" s="13"/>
      <c r="K70" s="13">
        <f t="shared" si="18"/>
        <v>10</v>
      </c>
      <c r="L70" s="472">
        <f>'F-09 EP'!L70+'F-09 MGP'!L70+'F-09 FAP'!L70</f>
        <v>118446.63999999998</v>
      </c>
      <c r="M70" s="13">
        <f>'F-09 EP'!M70+'F-09 MGP'!M70+'F-09 FAP'!M70</f>
        <v>11</v>
      </c>
      <c r="N70" s="13"/>
      <c r="O70" s="13"/>
      <c r="P70" s="13"/>
      <c r="Q70" s="13"/>
      <c r="R70" s="13"/>
      <c r="S70" s="13"/>
      <c r="T70" s="13"/>
      <c r="U70" s="13"/>
      <c r="V70" s="13">
        <f t="shared" si="19"/>
        <v>11</v>
      </c>
      <c r="W70" s="472">
        <f>'F-09 EP'!W70+'F-09 MGP'!W70+'F-09 FAP'!W70</f>
        <v>130073.93999999999</v>
      </c>
      <c r="Z70" s="68"/>
    </row>
    <row r="71" spans="1:26">
      <c r="A71" s="703" t="s">
        <v>7027</v>
      </c>
      <c r="B71" s="13">
        <f>'F-09 EP'!B71+'F-09 MGP'!B71+'F-09 FAP'!B71</f>
        <v>9</v>
      </c>
      <c r="C71" s="13"/>
      <c r="D71" s="13"/>
      <c r="E71" s="13"/>
      <c r="F71" s="13"/>
      <c r="G71" s="13"/>
      <c r="H71" s="13"/>
      <c r="I71" s="13"/>
      <c r="J71" s="13"/>
      <c r="K71" s="13">
        <f t="shared" si="18"/>
        <v>9</v>
      </c>
      <c r="L71" s="472">
        <f>'F-09 EP'!L71+'F-09 MGP'!L71+'F-09 FAP'!L71</f>
        <v>83196</v>
      </c>
      <c r="M71" s="13">
        <f>'F-09 EP'!M71+'F-09 MGP'!M71+'F-09 FAP'!M71</f>
        <v>15</v>
      </c>
      <c r="N71" s="13"/>
      <c r="O71" s="13"/>
      <c r="P71" s="13"/>
      <c r="Q71" s="13"/>
      <c r="R71" s="13"/>
      <c r="S71" s="13"/>
      <c r="T71" s="13"/>
      <c r="U71" s="13"/>
      <c r="V71" s="13">
        <f t="shared" si="19"/>
        <v>15</v>
      </c>
      <c r="W71" s="472">
        <f>'F-09 EP'!W71+'F-09 MGP'!W71+'F-09 FAP'!W71</f>
        <v>138660</v>
      </c>
      <c r="Z71" s="68"/>
    </row>
    <row r="72" spans="1:26">
      <c r="A72" s="703" t="s">
        <v>7026</v>
      </c>
      <c r="B72" s="13">
        <f>'F-09 EP'!B72+'F-09 MGP'!B72+'F-09 FAP'!B72</f>
        <v>12</v>
      </c>
      <c r="C72" s="13"/>
      <c r="D72" s="13"/>
      <c r="E72" s="13"/>
      <c r="F72" s="13"/>
      <c r="G72" s="13"/>
      <c r="H72" s="13"/>
      <c r="I72" s="13"/>
      <c r="J72" s="13"/>
      <c r="K72" s="13">
        <f t="shared" si="18"/>
        <v>12</v>
      </c>
      <c r="L72" s="472">
        <f>'F-09 EP'!L72+'F-09 MGP'!L72+'F-09 FAP'!L72</f>
        <v>307405.86719999998</v>
      </c>
      <c r="M72" s="13">
        <f>'F-09 EP'!M72+'F-09 MGP'!M72+'F-09 FAP'!M72</f>
        <v>5</v>
      </c>
      <c r="N72" s="13"/>
      <c r="O72" s="13"/>
      <c r="P72" s="13"/>
      <c r="Q72" s="13"/>
      <c r="R72" s="13"/>
      <c r="S72" s="13"/>
      <c r="T72" s="13"/>
      <c r="U72" s="13"/>
      <c r="V72" s="13">
        <f t="shared" si="19"/>
        <v>5</v>
      </c>
      <c r="W72" s="472">
        <f>'F-09 EP'!W72+'F-09 MGP'!W72+'F-09 FAP'!W72</f>
        <v>126347.83040000001</v>
      </c>
      <c r="Z72" s="68"/>
    </row>
    <row r="73" spans="1:26">
      <c r="A73" s="703" t="s">
        <v>7025</v>
      </c>
      <c r="B73" s="13">
        <f>'F-09 EP'!B73+'F-09 MGP'!B73+'F-09 FAP'!B73</f>
        <v>100</v>
      </c>
      <c r="C73" s="13"/>
      <c r="D73" s="13"/>
      <c r="E73" s="13"/>
      <c r="F73" s="13"/>
      <c r="G73" s="13"/>
      <c r="H73" s="13"/>
      <c r="I73" s="13"/>
      <c r="J73" s="13"/>
      <c r="K73" s="13">
        <f t="shared" si="18"/>
        <v>100</v>
      </c>
      <c r="L73" s="472">
        <f>'F-09 EP'!L73+'F-09 MGP'!L73+'F-09 FAP'!L73</f>
        <v>1762455.2047999999</v>
      </c>
      <c r="M73" s="13">
        <f>'F-09 EP'!M73+'F-09 MGP'!M73+'F-09 FAP'!M73</f>
        <v>108</v>
      </c>
      <c r="N73" s="13"/>
      <c r="O73" s="13"/>
      <c r="P73" s="13"/>
      <c r="Q73" s="13"/>
      <c r="R73" s="13"/>
      <c r="S73" s="13"/>
      <c r="T73" s="13"/>
      <c r="U73" s="13"/>
      <c r="V73" s="13">
        <f t="shared" si="19"/>
        <v>108</v>
      </c>
      <c r="W73" s="472">
        <f>'F-09 EP'!W73+'F-09 MGP'!W73+'F-09 FAP'!W73</f>
        <v>1713347.7807999998</v>
      </c>
      <c r="Z73" s="68"/>
    </row>
    <row r="74" spans="1:26">
      <c r="A74" s="703" t="s">
        <v>7024</v>
      </c>
      <c r="B74" s="13">
        <f>'F-09 EP'!B74+'F-09 MGP'!B74+'F-09 FAP'!B74</f>
        <v>68</v>
      </c>
      <c r="C74" s="13"/>
      <c r="D74" s="13"/>
      <c r="E74" s="13"/>
      <c r="F74" s="13"/>
      <c r="G74" s="13"/>
      <c r="H74" s="13"/>
      <c r="I74" s="13"/>
      <c r="J74" s="13"/>
      <c r="K74" s="13">
        <f t="shared" si="18"/>
        <v>68</v>
      </c>
      <c r="L74" s="472">
        <f>'F-09 EP'!L74+'F-09 MGP'!L74+'F-09 FAP'!L74</f>
        <v>1306842.3887999998</v>
      </c>
      <c r="M74" s="13">
        <f>'F-09 EP'!M74+'F-09 MGP'!M74+'F-09 FAP'!M74</f>
        <v>47</v>
      </c>
      <c r="N74" s="13"/>
      <c r="O74" s="13"/>
      <c r="P74" s="13"/>
      <c r="Q74" s="13"/>
      <c r="R74" s="13"/>
      <c r="S74" s="13"/>
      <c r="T74" s="13"/>
      <c r="U74" s="13"/>
      <c r="V74" s="13">
        <f t="shared" si="19"/>
        <v>47</v>
      </c>
      <c r="W74" s="472">
        <f>'F-09 EP'!W74+'F-09 MGP'!W74+'F-09 FAP'!W74</f>
        <v>823585.55839999998</v>
      </c>
      <c r="Z74" s="68"/>
    </row>
    <row r="75" spans="1:26">
      <c r="A75" s="703" t="s">
        <v>7023</v>
      </c>
      <c r="B75" s="13">
        <f>'F-09 EP'!B75+'F-09 MGP'!B75+'F-09 FAP'!B75</f>
        <v>28</v>
      </c>
      <c r="C75" s="13"/>
      <c r="D75" s="13"/>
      <c r="E75" s="13"/>
      <c r="F75" s="13"/>
      <c r="G75" s="13"/>
      <c r="H75" s="13"/>
      <c r="I75" s="13"/>
      <c r="J75" s="13"/>
      <c r="K75" s="13">
        <f t="shared" si="18"/>
        <v>28</v>
      </c>
      <c r="L75" s="472">
        <f>'F-09 EP'!L75+'F-09 MGP'!L75+'F-09 FAP'!L75</f>
        <v>419596.56599999999</v>
      </c>
      <c r="M75" s="13">
        <f>'F-09 EP'!M75+'F-09 MGP'!M75+'F-09 FAP'!M75</f>
        <v>20</v>
      </c>
      <c r="N75" s="13"/>
      <c r="O75" s="13"/>
      <c r="P75" s="13"/>
      <c r="Q75" s="13"/>
      <c r="R75" s="13"/>
      <c r="S75" s="13"/>
      <c r="T75" s="13"/>
      <c r="U75" s="13"/>
      <c r="V75" s="13">
        <f t="shared" si="19"/>
        <v>20</v>
      </c>
      <c r="W75" s="472">
        <f>'F-09 EP'!W75+'F-09 MGP'!W75+'F-09 FAP'!W75</f>
        <v>286171.91839999997</v>
      </c>
      <c r="Z75" s="68"/>
    </row>
    <row r="76" spans="1:26">
      <c r="A76" s="703" t="s">
        <v>7022</v>
      </c>
      <c r="B76" s="13">
        <f>'F-09 EP'!B76+'F-09 MGP'!B76+'F-09 FAP'!B76</f>
        <v>30</v>
      </c>
      <c r="C76" s="13"/>
      <c r="D76" s="13"/>
      <c r="E76" s="13"/>
      <c r="F76" s="13"/>
      <c r="G76" s="13"/>
      <c r="H76" s="13"/>
      <c r="I76" s="13"/>
      <c r="J76" s="13"/>
      <c r="K76" s="13">
        <f t="shared" si="18"/>
        <v>30</v>
      </c>
      <c r="L76" s="472">
        <f>'F-09 EP'!L76+'F-09 MGP'!L76+'F-09 FAP'!L76</f>
        <v>368422.19320000004</v>
      </c>
      <c r="M76" s="13">
        <f>'F-09 EP'!M76+'F-09 MGP'!M76+'F-09 FAP'!M76</f>
        <v>15</v>
      </c>
      <c r="N76" s="13"/>
      <c r="O76" s="13"/>
      <c r="P76" s="13"/>
      <c r="Q76" s="13"/>
      <c r="R76" s="13"/>
      <c r="S76" s="13"/>
      <c r="T76" s="13"/>
      <c r="U76" s="13"/>
      <c r="V76" s="13">
        <f t="shared" si="19"/>
        <v>15</v>
      </c>
      <c r="W76" s="472">
        <f>'F-09 EP'!W76+'F-09 MGP'!W76+'F-09 FAP'!W76</f>
        <v>170488.266</v>
      </c>
      <c r="Z76" s="68"/>
    </row>
    <row r="77" spans="1:26">
      <c r="A77" s="703" t="s">
        <v>7021</v>
      </c>
      <c r="B77" s="13">
        <f>'F-09 EP'!B77+'F-09 MGP'!B77+'F-09 FAP'!B77</f>
        <v>9</v>
      </c>
      <c r="C77" s="13"/>
      <c r="D77" s="13"/>
      <c r="E77" s="13"/>
      <c r="F77" s="13"/>
      <c r="G77" s="13"/>
      <c r="H77" s="13"/>
      <c r="I77" s="13"/>
      <c r="J77" s="13"/>
      <c r="K77" s="13">
        <f t="shared" si="18"/>
        <v>9</v>
      </c>
      <c r="L77" s="472">
        <f>'F-09 EP'!L77+'F-09 MGP'!L77+'F-09 FAP'!L77</f>
        <v>88099.199999999997</v>
      </c>
      <c r="M77" s="13">
        <f>'F-09 EP'!M77+'F-09 MGP'!M77+'F-09 FAP'!M77</f>
        <v>0</v>
      </c>
      <c r="N77" s="13"/>
      <c r="O77" s="13"/>
      <c r="P77" s="13"/>
      <c r="Q77" s="13"/>
      <c r="R77" s="13"/>
      <c r="S77" s="13"/>
      <c r="T77" s="13"/>
      <c r="U77" s="13"/>
      <c r="V77" s="13">
        <f t="shared" si="19"/>
        <v>0</v>
      </c>
      <c r="W77" s="472">
        <f>'F-09 EP'!W77+'F-09 MGP'!W77+'F-09 FAP'!W77</f>
        <v>0</v>
      </c>
      <c r="Z77" s="68"/>
    </row>
    <row r="78" spans="1:26">
      <c r="A78" s="703" t="s">
        <v>7020</v>
      </c>
      <c r="B78" s="13">
        <f>'F-09 EP'!B78+'F-09 MGP'!B78+'F-09 FAP'!B78</f>
        <v>9</v>
      </c>
      <c r="C78" s="13"/>
      <c r="D78" s="13"/>
      <c r="E78" s="13"/>
      <c r="F78" s="13"/>
      <c r="G78" s="13"/>
      <c r="H78" s="13"/>
      <c r="I78" s="13"/>
      <c r="J78" s="13"/>
      <c r="K78" s="13">
        <f t="shared" si="18"/>
        <v>9</v>
      </c>
      <c r="L78" s="472">
        <f>'F-09 EP'!L78+'F-09 MGP'!L78+'F-09 FAP'!L78</f>
        <v>101831.53599999999</v>
      </c>
      <c r="M78" s="13">
        <f>'F-09 EP'!M78+'F-09 MGP'!M78+'F-09 FAP'!M78</f>
        <v>2</v>
      </c>
      <c r="N78" s="13"/>
      <c r="O78" s="13"/>
      <c r="P78" s="13"/>
      <c r="Q78" s="13"/>
      <c r="R78" s="13"/>
      <c r="S78" s="13"/>
      <c r="T78" s="13"/>
      <c r="U78" s="13"/>
      <c r="V78" s="13">
        <f t="shared" si="19"/>
        <v>2</v>
      </c>
      <c r="W78" s="472">
        <f>'F-09 EP'!W78+'F-09 MGP'!W78+'F-09 FAP'!W78</f>
        <v>26285.542399999998</v>
      </c>
      <c r="Z78" s="68"/>
    </row>
    <row r="79" spans="1:26">
      <c r="A79" s="704" t="s">
        <v>7031</v>
      </c>
      <c r="B79" s="482">
        <f t="shared" ref="B79:W79" si="20">SUM(B80:B90)</f>
        <v>43</v>
      </c>
      <c r="C79" s="482">
        <f t="shared" si="20"/>
        <v>0</v>
      </c>
      <c r="D79" s="482">
        <f t="shared" si="20"/>
        <v>0</v>
      </c>
      <c r="E79" s="482">
        <f t="shared" si="20"/>
        <v>0</v>
      </c>
      <c r="F79" s="482">
        <f t="shared" si="20"/>
        <v>0</v>
      </c>
      <c r="G79" s="482">
        <f t="shared" si="20"/>
        <v>0</v>
      </c>
      <c r="H79" s="482">
        <f t="shared" si="20"/>
        <v>0</v>
      </c>
      <c r="I79" s="482">
        <f t="shared" si="20"/>
        <v>0</v>
      </c>
      <c r="J79" s="482">
        <f t="shared" si="20"/>
        <v>0</v>
      </c>
      <c r="K79" s="482">
        <f t="shared" si="20"/>
        <v>43</v>
      </c>
      <c r="L79" s="474">
        <f t="shared" si="20"/>
        <v>925197.28</v>
      </c>
      <c r="M79" s="482">
        <f t="shared" si="20"/>
        <v>179</v>
      </c>
      <c r="N79" s="482">
        <f t="shared" si="20"/>
        <v>0</v>
      </c>
      <c r="O79" s="482">
        <f t="shared" si="20"/>
        <v>0</v>
      </c>
      <c r="P79" s="482">
        <f t="shared" si="20"/>
        <v>0</v>
      </c>
      <c r="Q79" s="482">
        <f t="shared" si="20"/>
        <v>0</v>
      </c>
      <c r="R79" s="482">
        <f t="shared" si="20"/>
        <v>0</v>
      </c>
      <c r="S79" s="482">
        <f t="shared" si="20"/>
        <v>0</v>
      </c>
      <c r="T79" s="482">
        <f t="shared" si="20"/>
        <v>0</v>
      </c>
      <c r="U79" s="482">
        <f t="shared" si="20"/>
        <v>0</v>
      </c>
      <c r="V79" s="482">
        <f t="shared" si="20"/>
        <v>179</v>
      </c>
      <c r="W79" s="474">
        <f t="shared" si="20"/>
        <v>3511268.8499999996</v>
      </c>
      <c r="Z79" s="68"/>
    </row>
    <row r="80" spans="1:26">
      <c r="A80" s="703" t="s">
        <v>7030</v>
      </c>
      <c r="B80" s="13">
        <f>'F-09 MGP'!B80+'F-09 FAP'!B80</f>
        <v>11</v>
      </c>
      <c r="C80" s="13"/>
      <c r="D80" s="13"/>
      <c r="E80" s="13"/>
      <c r="F80" s="13"/>
      <c r="G80" s="13"/>
      <c r="H80" s="13"/>
      <c r="I80" s="13"/>
      <c r="J80" s="13"/>
      <c r="K80" s="13">
        <f t="shared" ref="K80:K90" si="21">SUM(B80:J80)</f>
        <v>11</v>
      </c>
      <c r="L80" s="472">
        <f>'F-09 MGP'!L80+'F-09 FAP'!L80</f>
        <v>353078</v>
      </c>
      <c r="M80" s="13">
        <f>'F-09 MGP'!M80+'F-09 FAP'!M80</f>
        <v>11</v>
      </c>
      <c r="N80" s="13"/>
      <c r="O80" s="13"/>
      <c r="P80" s="13"/>
      <c r="Q80" s="13"/>
      <c r="R80" s="13"/>
      <c r="S80" s="13"/>
      <c r="T80" s="13"/>
      <c r="U80" s="13"/>
      <c r="V80" s="13">
        <f t="shared" ref="V80:V90" si="22">SUM(M80:U80)</f>
        <v>11</v>
      </c>
      <c r="W80" s="472">
        <f>'F-09 MGP'!W80+'F-09 FAP'!W80</f>
        <v>353078</v>
      </c>
      <c r="Z80" s="68"/>
    </row>
    <row r="81" spans="1:26">
      <c r="A81" s="703" t="s">
        <v>7029</v>
      </c>
      <c r="B81" s="13">
        <f>'F-09 MGP'!B81+'F-09 FAP'!B81</f>
        <v>2</v>
      </c>
      <c r="C81" s="13"/>
      <c r="D81" s="13"/>
      <c r="E81" s="13"/>
      <c r="F81" s="13"/>
      <c r="G81" s="13"/>
      <c r="H81" s="13"/>
      <c r="I81" s="13"/>
      <c r="J81" s="13"/>
      <c r="K81" s="13">
        <f t="shared" si="21"/>
        <v>2</v>
      </c>
      <c r="L81" s="472">
        <f>'F-09 MGP'!L81+'F-09 FAP'!L81</f>
        <v>56732.479999999996</v>
      </c>
      <c r="M81" s="13">
        <f>'F-09 MGP'!M81+'F-09 FAP'!M81</f>
        <v>2</v>
      </c>
      <c r="N81" s="13"/>
      <c r="O81" s="13"/>
      <c r="P81" s="13"/>
      <c r="Q81" s="13"/>
      <c r="R81" s="13"/>
      <c r="S81" s="13"/>
      <c r="T81" s="13"/>
      <c r="U81" s="13"/>
      <c r="V81" s="13">
        <f t="shared" si="22"/>
        <v>2</v>
      </c>
      <c r="W81" s="472">
        <f>'F-09 MGP'!W81+'F-09 FAP'!W81</f>
        <v>56732.479999999996</v>
      </c>
      <c r="Z81" s="68"/>
    </row>
    <row r="82" spans="1:26">
      <c r="A82" s="703" t="s">
        <v>7028</v>
      </c>
      <c r="B82" s="13">
        <f>'F-09 MGP'!B82+'F-09 FAP'!B82</f>
        <v>9</v>
      </c>
      <c r="C82" s="13"/>
      <c r="D82" s="13"/>
      <c r="E82" s="13"/>
      <c r="F82" s="13"/>
      <c r="G82" s="13"/>
      <c r="H82" s="13"/>
      <c r="I82" s="13"/>
      <c r="J82" s="13"/>
      <c r="K82" s="13">
        <f t="shared" si="21"/>
        <v>9</v>
      </c>
      <c r="L82" s="472">
        <f>'F-09 MGP'!L82+'F-09 FAP'!L82</f>
        <v>232905.59999999998</v>
      </c>
      <c r="M82" s="13">
        <f>'F-09 MGP'!M82+'F-09 FAP'!M82</f>
        <v>16</v>
      </c>
      <c r="N82" s="13"/>
      <c r="O82" s="13"/>
      <c r="P82" s="13"/>
      <c r="Q82" s="13"/>
      <c r="R82" s="13"/>
      <c r="S82" s="13"/>
      <c r="T82" s="13"/>
      <c r="U82" s="13"/>
      <c r="V82" s="13">
        <f t="shared" si="22"/>
        <v>16</v>
      </c>
      <c r="W82" s="472">
        <f>'F-09 MGP'!W82+'F-09 FAP'!W82</f>
        <v>414054.39999999997</v>
      </c>
      <c r="Z82" s="68"/>
    </row>
    <row r="83" spans="1:26" hidden="1">
      <c r="A83" s="703" t="s">
        <v>7027</v>
      </c>
      <c r="B83" s="13">
        <f>'F-09 MGP'!B83+'F-09 FAP'!B83</f>
        <v>0</v>
      </c>
      <c r="C83" s="13"/>
      <c r="D83" s="13"/>
      <c r="E83" s="13"/>
      <c r="F83" s="13"/>
      <c r="G83" s="13"/>
      <c r="H83" s="13"/>
      <c r="I83" s="13"/>
      <c r="J83" s="13"/>
      <c r="K83" s="13">
        <f t="shared" si="21"/>
        <v>0</v>
      </c>
      <c r="L83" s="472">
        <f>'F-09 MGP'!L83+'F-09 FAP'!L83</f>
        <v>0</v>
      </c>
      <c r="M83" s="13">
        <f>'F-09 MGP'!M83+'F-09 FAP'!M83</f>
        <v>0</v>
      </c>
      <c r="N83" s="13"/>
      <c r="O83" s="13"/>
      <c r="P83" s="13"/>
      <c r="Q83" s="13"/>
      <c r="R83" s="13"/>
      <c r="S83" s="13"/>
      <c r="T83" s="13"/>
      <c r="U83" s="13"/>
      <c r="V83" s="13">
        <f t="shared" si="22"/>
        <v>0</v>
      </c>
      <c r="W83" s="472">
        <f>'F-09 MGP'!W83+'F-09 FAP'!W83</f>
        <v>0</v>
      </c>
      <c r="Z83" s="68"/>
    </row>
    <row r="84" spans="1:26">
      <c r="A84" s="703" t="s">
        <v>7026</v>
      </c>
      <c r="B84" s="13">
        <f>'F-09 MGP'!B84+'F-09 FAP'!B84</f>
        <v>0</v>
      </c>
      <c r="C84" s="13"/>
      <c r="D84" s="13"/>
      <c r="E84" s="13"/>
      <c r="F84" s="13"/>
      <c r="G84" s="13"/>
      <c r="H84" s="13"/>
      <c r="I84" s="13"/>
      <c r="J84" s="13"/>
      <c r="K84" s="13">
        <f t="shared" si="21"/>
        <v>0</v>
      </c>
      <c r="L84" s="472">
        <f>'F-09 MGP'!L84+'F-09 FAP'!L84</f>
        <v>0</v>
      </c>
      <c r="M84" s="13">
        <f>'F-09 MGP'!M84+'F-09 FAP'!M84</f>
        <v>4</v>
      </c>
      <c r="N84" s="13"/>
      <c r="O84" s="13"/>
      <c r="P84" s="13"/>
      <c r="Q84" s="13"/>
      <c r="R84" s="13"/>
      <c r="S84" s="13"/>
      <c r="T84" s="13"/>
      <c r="U84" s="13"/>
      <c r="V84" s="13">
        <f t="shared" si="22"/>
        <v>4</v>
      </c>
      <c r="W84" s="472">
        <f>'F-09 MGP'!W84+'F-09 FAP'!W84</f>
        <v>104738.94</v>
      </c>
      <c r="Z84" s="68"/>
    </row>
    <row r="85" spans="1:26">
      <c r="A85" s="703" t="s">
        <v>7025</v>
      </c>
      <c r="B85" s="13">
        <f>'F-09 MGP'!B85+'F-09 FAP'!B85</f>
        <v>0</v>
      </c>
      <c r="C85" s="13"/>
      <c r="D85" s="13"/>
      <c r="E85" s="13"/>
      <c r="F85" s="13"/>
      <c r="G85" s="13"/>
      <c r="H85" s="13"/>
      <c r="I85" s="13"/>
      <c r="J85" s="13"/>
      <c r="K85" s="13">
        <f t="shared" si="21"/>
        <v>0</v>
      </c>
      <c r="L85" s="472">
        <f>'F-09 MGP'!L85+'F-09 FAP'!L85</f>
        <v>0</v>
      </c>
      <c r="M85" s="13">
        <f>'F-09 MGP'!M85+'F-09 FAP'!M85</f>
        <v>17</v>
      </c>
      <c r="N85" s="13"/>
      <c r="O85" s="13"/>
      <c r="P85" s="13"/>
      <c r="Q85" s="13"/>
      <c r="R85" s="13"/>
      <c r="S85" s="13"/>
      <c r="T85" s="13"/>
      <c r="U85" s="13"/>
      <c r="V85" s="13">
        <f t="shared" si="22"/>
        <v>17</v>
      </c>
      <c r="W85" s="472">
        <f>'F-09 MGP'!W85+'F-09 FAP'!W85</f>
        <v>389269.4448</v>
      </c>
      <c r="Z85" s="68"/>
    </row>
    <row r="86" spans="1:26">
      <c r="A86" s="703" t="s">
        <v>7024</v>
      </c>
      <c r="B86" s="13">
        <f>'F-09 MGP'!B86+'F-09 FAP'!B86</f>
        <v>0</v>
      </c>
      <c r="C86" s="13"/>
      <c r="D86" s="13"/>
      <c r="E86" s="13"/>
      <c r="F86" s="13"/>
      <c r="G86" s="13"/>
      <c r="H86" s="13"/>
      <c r="I86" s="13"/>
      <c r="J86" s="13"/>
      <c r="K86" s="13">
        <f t="shared" si="21"/>
        <v>0</v>
      </c>
      <c r="L86" s="472">
        <f>'F-09 MGP'!L86+'F-09 FAP'!L86</f>
        <v>0</v>
      </c>
      <c r="M86" s="13">
        <f>'F-09 MGP'!M86+'F-09 FAP'!M86</f>
        <v>50</v>
      </c>
      <c r="N86" s="13"/>
      <c r="O86" s="13"/>
      <c r="P86" s="13"/>
      <c r="Q86" s="13"/>
      <c r="R86" s="13"/>
      <c r="S86" s="13"/>
      <c r="T86" s="13"/>
      <c r="U86" s="13"/>
      <c r="V86" s="13">
        <f t="shared" si="22"/>
        <v>50</v>
      </c>
      <c r="W86" s="472">
        <f>'F-09 MGP'!W86+'F-09 FAP'!W86</f>
        <v>1021411.6240000001</v>
      </c>
      <c r="Z86" s="68"/>
    </row>
    <row r="87" spans="1:26">
      <c r="A87" s="703" t="s">
        <v>7023</v>
      </c>
      <c r="B87" s="13">
        <f>'F-09 MGP'!B87+'F-09 FAP'!B87</f>
        <v>8</v>
      </c>
      <c r="C87" s="13"/>
      <c r="D87" s="13"/>
      <c r="E87" s="13"/>
      <c r="F87" s="13"/>
      <c r="G87" s="13"/>
      <c r="H87" s="13"/>
      <c r="I87" s="13"/>
      <c r="J87" s="13"/>
      <c r="K87" s="13">
        <f t="shared" si="21"/>
        <v>8</v>
      </c>
      <c r="L87" s="472">
        <f>'F-09 MGP'!L87+'F-09 FAP'!L87</f>
        <v>121291.52000000002</v>
      </c>
      <c r="M87" s="13">
        <f>'F-09 MGP'!M87+'F-09 FAP'!M87</f>
        <v>54</v>
      </c>
      <c r="N87" s="13"/>
      <c r="O87" s="13"/>
      <c r="P87" s="13"/>
      <c r="Q87" s="13"/>
      <c r="R87" s="13"/>
      <c r="S87" s="13"/>
      <c r="T87" s="13"/>
      <c r="U87" s="13"/>
      <c r="V87" s="13">
        <f t="shared" si="22"/>
        <v>54</v>
      </c>
      <c r="W87" s="472">
        <f>'F-09 MGP'!W87+'F-09 FAP'!W87</f>
        <v>842049.7524</v>
      </c>
      <c r="Z87" s="68"/>
    </row>
    <row r="88" spans="1:26">
      <c r="A88" s="703" t="s">
        <v>7022</v>
      </c>
      <c r="B88" s="13">
        <f>'F-09 MGP'!B88+'F-09 FAP'!B88</f>
        <v>5</v>
      </c>
      <c r="C88" s="13"/>
      <c r="D88" s="13"/>
      <c r="E88" s="13"/>
      <c r="F88" s="13"/>
      <c r="G88" s="13"/>
      <c r="H88" s="13"/>
      <c r="I88" s="13"/>
      <c r="J88" s="13"/>
      <c r="K88" s="13">
        <f t="shared" si="21"/>
        <v>5</v>
      </c>
      <c r="L88" s="472">
        <f>'F-09 MGP'!L88+'F-09 FAP'!L88</f>
        <v>64502</v>
      </c>
      <c r="M88" s="13">
        <f>'F-09 MGP'!M88+'F-09 FAP'!M88</f>
        <v>16</v>
      </c>
      <c r="N88" s="13"/>
      <c r="O88" s="13"/>
      <c r="P88" s="13"/>
      <c r="Q88" s="13"/>
      <c r="R88" s="13"/>
      <c r="S88" s="13"/>
      <c r="T88" s="13"/>
      <c r="U88" s="13"/>
      <c r="V88" s="13">
        <f t="shared" si="22"/>
        <v>16</v>
      </c>
      <c r="W88" s="472">
        <f>'F-09 MGP'!W88+'F-09 FAP'!W88</f>
        <v>220278.77999999997</v>
      </c>
      <c r="Z88" s="68"/>
    </row>
    <row r="89" spans="1:26">
      <c r="A89" s="703" t="s">
        <v>7021</v>
      </c>
      <c r="B89" s="13">
        <f>'F-09 MGP'!B89+'F-09 FAP'!B89</f>
        <v>3</v>
      </c>
      <c r="C89" s="13"/>
      <c r="D89" s="13"/>
      <c r="E89" s="13"/>
      <c r="F89" s="13"/>
      <c r="G89" s="13"/>
      <c r="H89" s="13"/>
      <c r="I89" s="13"/>
      <c r="J89" s="13"/>
      <c r="K89" s="13">
        <f t="shared" si="21"/>
        <v>3</v>
      </c>
      <c r="L89" s="472">
        <f>'F-09 MGP'!L89+'F-09 FAP'!L89</f>
        <v>36520.68</v>
      </c>
      <c r="M89" s="13">
        <f>'F-09 MGP'!M89+'F-09 FAP'!M89</f>
        <v>3</v>
      </c>
      <c r="N89" s="13"/>
      <c r="O89" s="13"/>
      <c r="P89" s="13"/>
      <c r="Q89" s="13"/>
      <c r="R89" s="13"/>
      <c r="S89" s="13"/>
      <c r="T89" s="13"/>
      <c r="U89" s="13"/>
      <c r="V89" s="13">
        <f t="shared" si="22"/>
        <v>3</v>
      </c>
      <c r="W89" s="472">
        <f>'F-09 MGP'!W89+'F-09 FAP'!W89</f>
        <v>36520.829999999994</v>
      </c>
      <c r="Z89" s="68"/>
    </row>
    <row r="90" spans="1:26">
      <c r="A90" s="703" t="s">
        <v>7020</v>
      </c>
      <c r="B90" s="13">
        <f>'F-09 MGP'!B90+'F-09 FAP'!B90</f>
        <v>5</v>
      </c>
      <c r="C90" s="13"/>
      <c r="D90" s="13"/>
      <c r="E90" s="13"/>
      <c r="F90" s="13"/>
      <c r="G90" s="13"/>
      <c r="H90" s="13"/>
      <c r="I90" s="13"/>
      <c r="J90" s="13"/>
      <c r="K90" s="13">
        <f t="shared" si="21"/>
        <v>5</v>
      </c>
      <c r="L90" s="472">
        <f>'F-09 MGP'!L90+'F-09 FAP'!L90</f>
        <v>60167</v>
      </c>
      <c r="M90" s="13">
        <f>'F-09 MGP'!M90+'F-09 FAP'!M90</f>
        <v>6</v>
      </c>
      <c r="N90" s="13"/>
      <c r="O90" s="13"/>
      <c r="P90" s="13"/>
      <c r="Q90" s="13"/>
      <c r="R90" s="13"/>
      <c r="S90" s="13"/>
      <c r="T90" s="13"/>
      <c r="U90" s="13"/>
      <c r="V90" s="13">
        <f t="shared" si="22"/>
        <v>6</v>
      </c>
      <c r="W90" s="472">
        <f>'F-09 MGP'!W90+'F-09 FAP'!W90</f>
        <v>73134.598800000007</v>
      </c>
      <c r="Z90" s="68"/>
    </row>
    <row r="91" spans="1:26">
      <c r="A91" s="704" t="s">
        <v>7019</v>
      </c>
      <c r="B91" s="482">
        <f t="shared" ref="B91:W91" si="23">B92+B99+B106+B112+B118+B124+B130+B136+B142+B148+B154+B160+B166+B172+B178+B185+B188+B192+B199+B206</f>
        <v>5500</v>
      </c>
      <c r="C91" s="482">
        <f t="shared" si="23"/>
        <v>0</v>
      </c>
      <c r="D91" s="482">
        <f t="shared" si="23"/>
        <v>0</v>
      </c>
      <c r="E91" s="482">
        <f t="shared" si="23"/>
        <v>0</v>
      </c>
      <c r="F91" s="482">
        <f t="shared" si="23"/>
        <v>0</v>
      </c>
      <c r="G91" s="482">
        <f t="shared" si="23"/>
        <v>0</v>
      </c>
      <c r="H91" s="482">
        <f t="shared" si="23"/>
        <v>0</v>
      </c>
      <c r="I91" s="482">
        <f t="shared" si="23"/>
        <v>0</v>
      </c>
      <c r="J91" s="482">
        <f t="shared" si="23"/>
        <v>0</v>
      </c>
      <c r="K91" s="482">
        <f t="shared" si="23"/>
        <v>5500</v>
      </c>
      <c r="L91" s="474">
        <f t="shared" si="23"/>
        <v>298435608.72121406</v>
      </c>
      <c r="M91" s="482">
        <f t="shared" si="23"/>
        <v>5561</v>
      </c>
      <c r="N91" s="482">
        <f t="shared" si="23"/>
        <v>0</v>
      </c>
      <c r="O91" s="482">
        <f t="shared" si="23"/>
        <v>0</v>
      </c>
      <c r="P91" s="482">
        <f t="shared" si="23"/>
        <v>0</v>
      </c>
      <c r="Q91" s="482">
        <f t="shared" si="23"/>
        <v>0</v>
      </c>
      <c r="R91" s="482">
        <f t="shared" si="23"/>
        <v>0</v>
      </c>
      <c r="S91" s="482">
        <f t="shared" si="23"/>
        <v>0</v>
      </c>
      <c r="T91" s="482">
        <f t="shared" si="23"/>
        <v>0</v>
      </c>
      <c r="U91" s="482">
        <f t="shared" si="23"/>
        <v>0</v>
      </c>
      <c r="V91" s="482">
        <f t="shared" si="23"/>
        <v>5561</v>
      </c>
      <c r="W91" s="474">
        <f t="shared" si="23"/>
        <v>284737454.48267341</v>
      </c>
      <c r="Z91" s="68"/>
    </row>
    <row r="92" spans="1:26">
      <c r="A92" s="705" t="s">
        <v>7018</v>
      </c>
      <c r="B92" s="484">
        <f t="shared" ref="B92:W92" si="24">SUM(B93:B98)</f>
        <v>766</v>
      </c>
      <c r="C92" s="484">
        <f t="shared" si="24"/>
        <v>0</v>
      </c>
      <c r="D92" s="484">
        <f t="shared" si="24"/>
        <v>0</v>
      </c>
      <c r="E92" s="484">
        <f t="shared" si="24"/>
        <v>0</v>
      </c>
      <c r="F92" s="484">
        <f t="shared" si="24"/>
        <v>0</v>
      </c>
      <c r="G92" s="484">
        <f t="shared" si="24"/>
        <v>0</v>
      </c>
      <c r="H92" s="484">
        <f t="shared" si="24"/>
        <v>0</v>
      </c>
      <c r="I92" s="484">
        <f t="shared" si="24"/>
        <v>0</v>
      </c>
      <c r="J92" s="484">
        <f t="shared" si="24"/>
        <v>0</v>
      </c>
      <c r="K92" s="484">
        <f t="shared" si="24"/>
        <v>766</v>
      </c>
      <c r="L92" s="485">
        <f t="shared" si="24"/>
        <v>67302288.555105388</v>
      </c>
      <c r="M92" s="484">
        <f t="shared" si="24"/>
        <v>759</v>
      </c>
      <c r="N92" s="484">
        <f t="shared" si="24"/>
        <v>0</v>
      </c>
      <c r="O92" s="484">
        <f t="shared" si="24"/>
        <v>0</v>
      </c>
      <c r="P92" s="484">
        <f t="shared" si="24"/>
        <v>0</v>
      </c>
      <c r="Q92" s="484">
        <f t="shared" si="24"/>
        <v>0</v>
      </c>
      <c r="R92" s="484">
        <f t="shared" si="24"/>
        <v>0</v>
      </c>
      <c r="S92" s="484">
        <f t="shared" si="24"/>
        <v>0</v>
      </c>
      <c r="T92" s="484">
        <f t="shared" si="24"/>
        <v>0</v>
      </c>
      <c r="U92" s="484">
        <f t="shared" si="24"/>
        <v>0</v>
      </c>
      <c r="V92" s="484">
        <f t="shared" si="24"/>
        <v>759</v>
      </c>
      <c r="W92" s="485">
        <f t="shared" si="24"/>
        <v>64600148.58297801</v>
      </c>
      <c r="Z92" s="68"/>
    </row>
    <row r="93" spans="1:26">
      <c r="A93" s="703" t="s">
        <v>7001</v>
      </c>
      <c r="B93" s="13">
        <f>'F-09 EP'!B81+'F-09 MGP'!B93+'F-09 FAP'!B93+'F-09 ENAMM'!B52</f>
        <v>90</v>
      </c>
      <c r="C93" s="13"/>
      <c r="D93" s="13"/>
      <c r="E93" s="13"/>
      <c r="F93" s="13"/>
      <c r="G93" s="13"/>
      <c r="H93" s="13"/>
      <c r="I93" s="13"/>
      <c r="J93" s="13"/>
      <c r="K93" s="13">
        <f t="shared" ref="K93:K98" si="25">SUM(B93:J93)</f>
        <v>90</v>
      </c>
      <c r="L93" s="472">
        <f>'F-09 EP'!L81+'F-09 MGP'!L93+'F-09 FAP'!L93+'F-09 ENAMM'!L52</f>
        <v>8859758.0405893456</v>
      </c>
      <c r="M93" s="13">
        <f>'F-09 EP'!M81+'F-09 MGP'!M93+'F-09 FAP'!M93+'F-09 ENAMM'!M52</f>
        <v>94</v>
      </c>
      <c r="N93" s="13"/>
      <c r="O93" s="13"/>
      <c r="P93" s="13"/>
      <c r="Q93" s="13"/>
      <c r="R93" s="13"/>
      <c r="S93" s="13"/>
      <c r="T93" s="13"/>
      <c r="U93" s="13"/>
      <c r="V93" s="13">
        <f t="shared" ref="V93:V98" si="26">SUM(M93:U93)</f>
        <v>94</v>
      </c>
      <c r="W93" s="472">
        <f>'F-09 EP'!W81+'F-09 MGP'!W93+'F-09 FAP'!W93+'F-09 ENAMM'!W52</f>
        <v>9677386.957829345</v>
      </c>
      <c r="Z93" s="68"/>
    </row>
    <row r="94" spans="1:26">
      <c r="A94" s="703" t="s">
        <v>7000</v>
      </c>
      <c r="B94" s="13">
        <f>'F-09 EP'!B82+'F-09 MGP'!B94+'F-09 FAP'!B94+'F-09 ENAMM'!B53</f>
        <v>75</v>
      </c>
      <c r="C94" s="13"/>
      <c r="D94" s="13"/>
      <c r="E94" s="13"/>
      <c r="F94" s="13"/>
      <c r="G94" s="13"/>
      <c r="H94" s="13"/>
      <c r="I94" s="13"/>
      <c r="J94" s="13"/>
      <c r="K94" s="13">
        <f t="shared" si="25"/>
        <v>75</v>
      </c>
      <c r="L94" s="472">
        <f>'F-09 EP'!L82+'F-09 MGP'!L94+'F-09 FAP'!L94+'F-09 ENAMM'!L53</f>
        <v>7330827.5601267703</v>
      </c>
      <c r="M94" s="13">
        <f>'F-09 EP'!M82+'F-09 MGP'!M94+'F-09 FAP'!M94+'F-09 ENAMM'!M53</f>
        <v>75</v>
      </c>
      <c r="N94" s="13"/>
      <c r="O94" s="13"/>
      <c r="P94" s="13"/>
      <c r="Q94" s="13"/>
      <c r="R94" s="13"/>
      <c r="S94" s="13"/>
      <c r="T94" s="13"/>
      <c r="U94" s="13"/>
      <c r="V94" s="13">
        <f t="shared" si="26"/>
        <v>75</v>
      </c>
      <c r="W94" s="472">
        <f>'F-09 EP'!W82+'F-09 MGP'!W94+'F-09 FAP'!W94+'F-09 ENAMM'!W53</f>
        <v>7286776.4736867696</v>
      </c>
      <c r="Z94" s="68"/>
    </row>
    <row r="95" spans="1:26">
      <c r="A95" s="703" t="s">
        <v>6999</v>
      </c>
      <c r="B95" s="13">
        <f>'F-09 EP'!B83+'F-09 MGP'!B95+'F-09 FAP'!B95+'F-09 ENAMM'!B54</f>
        <v>150</v>
      </c>
      <c r="C95" s="13"/>
      <c r="D95" s="13"/>
      <c r="E95" s="13"/>
      <c r="F95" s="13"/>
      <c r="G95" s="13"/>
      <c r="H95" s="13"/>
      <c r="I95" s="13"/>
      <c r="J95" s="13"/>
      <c r="K95" s="13">
        <f t="shared" si="25"/>
        <v>150</v>
      </c>
      <c r="L95" s="472">
        <f>'F-09 EP'!L83+'F-09 MGP'!L95+'F-09 FAP'!L95+'F-09 ENAMM'!L54</f>
        <v>14212590.675011935</v>
      </c>
      <c r="M95" s="13">
        <f>'F-09 EP'!M83+'F-09 MGP'!M95+'F-09 FAP'!M95+'F-09 ENAMM'!M54</f>
        <v>151</v>
      </c>
      <c r="N95" s="13"/>
      <c r="O95" s="13"/>
      <c r="P95" s="13"/>
      <c r="Q95" s="13"/>
      <c r="R95" s="13"/>
      <c r="S95" s="13"/>
      <c r="T95" s="13"/>
      <c r="U95" s="13"/>
      <c r="V95" s="13">
        <f t="shared" si="26"/>
        <v>151</v>
      </c>
      <c r="W95" s="472">
        <f>'F-09 EP'!W83+'F-09 MGP'!W95+'F-09 FAP'!W95+'F-09 ENAMM'!W54</f>
        <v>13458864.845311288</v>
      </c>
      <c r="Z95" s="68"/>
    </row>
    <row r="96" spans="1:26">
      <c r="A96" s="703" t="s">
        <v>6998</v>
      </c>
      <c r="B96" s="13">
        <f>'F-09 EP'!B84+'F-09 MGP'!B96+'F-09 FAP'!B96+'F-09 ENAMM'!B55</f>
        <v>121</v>
      </c>
      <c r="C96" s="13"/>
      <c r="D96" s="13"/>
      <c r="E96" s="13"/>
      <c r="F96" s="13"/>
      <c r="G96" s="13"/>
      <c r="H96" s="13"/>
      <c r="I96" s="13"/>
      <c r="J96" s="13"/>
      <c r="K96" s="13">
        <f t="shared" si="25"/>
        <v>121</v>
      </c>
      <c r="L96" s="472">
        <f>'F-09 EP'!L84+'F-09 MGP'!L96+'F-09 FAP'!L96+'F-09 ENAMM'!L55</f>
        <v>10643622.888683036</v>
      </c>
      <c r="M96" s="13">
        <f>'F-09 EP'!M84+'F-09 MGP'!M96+'F-09 FAP'!M96+'F-09 ENAMM'!M55</f>
        <v>119</v>
      </c>
      <c r="N96" s="13"/>
      <c r="O96" s="13"/>
      <c r="P96" s="13"/>
      <c r="Q96" s="13"/>
      <c r="R96" s="13"/>
      <c r="S96" s="13"/>
      <c r="T96" s="13"/>
      <c r="U96" s="13"/>
      <c r="V96" s="13">
        <f t="shared" si="26"/>
        <v>119</v>
      </c>
      <c r="W96" s="472">
        <f>'F-09 EP'!W84+'F-09 MGP'!W96+'F-09 FAP'!W96+'F-09 ENAMM'!W55</f>
        <v>10003016.835087741</v>
      </c>
      <c r="Z96" s="68"/>
    </row>
    <row r="97" spans="1:26">
      <c r="A97" s="703" t="s">
        <v>6997</v>
      </c>
      <c r="B97" s="13">
        <f>'F-09 EP'!B85+'F-09 MGP'!B97+'F-09 FAP'!B97+'F-09 ENAMM'!B56</f>
        <v>250</v>
      </c>
      <c r="C97" s="13"/>
      <c r="D97" s="13"/>
      <c r="E97" s="13"/>
      <c r="F97" s="13"/>
      <c r="G97" s="13"/>
      <c r="H97" s="13"/>
      <c r="I97" s="13"/>
      <c r="J97" s="13"/>
      <c r="K97" s="13">
        <f t="shared" si="25"/>
        <v>250</v>
      </c>
      <c r="L97" s="472">
        <f>'F-09 EP'!L85+'F-09 MGP'!L97+'F-09 FAP'!L97+'F-09 ENAMM'!L56</f>
        <v>20178927.786216903</v>
      </c>
      <c r="M97" s="13">
        <f>'F-09 EP'!M85+'F-09 MGP'!M97+'F-09 FAP'!M97+'F-09 ENAMM'!M56</f>
        <v>250</v>
      </c>
      <c r="N97" s="13"/>
      <c r="O97" s="13"/>
      <c r="P97" s="13"/>
      <c r="Q97" s="13"/>
      <c r="R97" s="13"/>
      <c r="S97" s="13"/>
      <c r="T97" s="13"/>
      <c r="U97" s="13"/>
      <c r="V97" s="13">
        <f t="shared" si="26"/>
        <v>250</v>
      </c>
      <c r="W97" s="472">
        <f>'F-09 EP'!W85+'F-09 MGP'!W97+'F-09 FAP'!W97+'F-09 ENAMM'!W56</f>
        <v>19181943.066585459</v>
      </c>
      <c r="Z97" s="68"/>
    </row>
    <row r="98" spans="1:26">
      <c r="A98" s="703" t="s">
        <v>7017</v>
      </c>
      <c r="B98" s="13">
        <f>'F-09 EP'!B86+'F-09 MGP'!B98+'F-09 FAP'!B98+'F-09 ENAMM'!B57</f>
        <v>80</v>
      </c>
      <c r="C98" s="13"/>
      <c r="D98" s="13"/>
      <c r="E98" s="13"/>
      <c r="F98" s="13"/>
      <c r="G98" s="13"/>
      <c r="H98" s="13"/>
      <c r="I98" s="13"/>
      <c r="J98" s="13"/>
      <c r="K98" s="13">
        <f t="shared" si="25"/>
        <v>80</v>
      </c>
      <c r="L98" s="472">
        <f>'F-09 EP'!L86+'F-09 MGP'!L98+'F-09 FAP'!L98+'F-09 ENAMM'!L57</f>
        <v>6076561.6044774111</v>
      </c>
      <c r="M98" s="13">
        <f>'F-09 EP'!M86+'F-09 MGP'!M98+'F-09 FAP'!M98+'F-09 ENAMM'!M57</f>
        <v>70</v>
      </c>
      <c r="N98" s="13"/>
      <c r="O98" s="13"/>
      <c r="P98" s="13"/>
      <c r="Q98" s="13"/>
      <c r="R98" s="13"/>
      <c r="S98" s="13"/>
      <c r="T98" s="13"/>
      <c r="U98" s="13"/>
      <c r="V98" s="13">
        <f t="shared" si="26"/>
        <v>70</v>
      </c>
      <c r="W98" s="472">
        <f>'F-09 EP'!W86+'F-09 MGP'!W98+'F-09 FAP'!W98+'F-09 ENAMM'!W57</f>
        <v>4992160.4044774109</v>
      </c>
      <c r="Z98" s="68"/>
    </row>
    <row r="99" spans="1:26" ht="24">
      <c r="A99" s="705" t="s">
        <v>7016</v>
      </c>
      <c r="B99" s="484">
        <f t="shared" ref="B99:K99" si="27">SUM(B100:B104)</f>
        <v>1201</v>
      </c>
      <c r="C99" s="484">
        <f t="shared" si="27"/>
        <v>0</v>
      </c>
      <c r="D99" s="484">
        <f t="shared" si="27"/>
        <v>0</v>
      </c>
      <c r="E99" s="484">
        <f t="shared" si="27"/>
        <v>0</v>
      </c>
      <c r="F99" s="484">
        <f t="shared" si="27"/>
        <v>0</v>
      </c>
      <c r="G99" s="484">
        <f t="shared" si="27"/>
        <v>0</v>
      </c>
      <c r="H99" s="484">
        <f t="shared" si="27"/>
        <v>0</v>
      </c>
      <c r="I99" s="484">
        <f t="shared" si="27"/>
        <v>0</v>
      </c>
      <c r="J99" s="484">
        <f t="shared" si="27"/>
        <v>0</v>
      </c>
      <c r="K99" s="484">
        <f t="shared" si="27"/>
        <v>1201</v>
      </c>
      <c r="L99" s="485">
        <f>SUM(L100:L105)</f>
        <v>88430403.237674847</v>
      </c>
      <c r="M99" s="484">
        <f t="shared" ref="M99:V99" si="28">SUM(M100:M104)</f>
        <v>323</v>
      </c>
      <c r="N99" s="484">
        <f t="shared" si="28"/>
        <v>0</v>
      </c>
      <c r="O99" s="484">
        <f t="shared" si="28"/>
        <v>0</v>
      </c>
      <c r="P99" s="484">
        <f t="shared" si="28"/>
        <v>0</v>
      </c>
      <c r="Q99" s="484">
        <f t="shared" si="28"/>
        <v>0</v>
      </c>
      <c r="R99" s="484">
        <f t="shared" si="28"/>
        <v>0</v>
      </c>
      <c r="S99" s="484">
        <f t="shared" si="28"/>
        <v>0</v>
      </c>
      <c r="T99" s="484">
        <f t="shared" si="28"/>
        <v>0</v>
      </c>
      <c r="U99" s="484">
        <f t="shared" si="28"/>
        <v>0</v>
      </c>
      <c r="V99" s="484">
        <f t="shared" si="28"/>
        <v>323</v>
      </c>
      <c r="W99" s="485">
        <f>SUM(W100:W105)</f>
        <v>34353012.853592411</v>
      </c>
      <c r="Z99" s="68"/>
    </row>
    <row r="100" spans="1:26">
      <c r="A100" s="703" t="s">
        <v>7015</v>
      </c>
      <c r="B100" s="13">
        <f>'F-09 EP'!B88+'F-09 MGP'!B100+'F-09 FAP'!B100</f>
        <v>102</v>
      </c>
      <c r="C100" s="13"/>
      <c r="D100" s="13"/>
      <c r="E100" s="13"/>
      <c r="F100" s="13"/>
      <c r="G100" s="13"/>
      <c r="H100" s="13"/>
      <c r="I100" s="13"/>
      <c r="J100" s="13"/>
      <c r="K100" s="13">
        <f>SUM(B100:J100)</f>
        <v>102</v>
      </c>
      <c r="L100" s="472">
        <f>'F-09 EP'!L88+'F-09 MGP'!L100+'F-09 FAP'!L100</f>
        <v>7158755.8408954833</v>
      </c>
      <c r="M100" s="13">
        <f>'F-09 EP'!M88+'F-09 MGP'!M100+'F-09 FAP'!M100</f>
        <v>32</v>
      </c>
      <c r="N100" s="13"/>
      <c r="O100" s="13"/>
      <c r="P100" s="13"/>
      <c r="Q100" s="13"/>
      <c r="R100" s="13"/>
      <c r="S100" s="13"/>
      <c r="T100" s="13"/>
      <c r="U100" s="13"/>
      <c r="V100" s="13">
        <f>SUM(M100:U100)</f>
        <v>32</v>
      </c>
      <c r="W100" s="472">
        <f>'F-09 EP'!W88+'F-09 MGP'!W100+'F-09 FAP'!W100</f>
        <v>1803920.0808954821</v>
      </c>
      <c r="Z100" s="68"/>
    </row>
    <row r="101" spans="1:26">
      <c r="A101" s="703" t="s">
        <v>7014</v>
      </c>
      <c r="B101" s="13">
        <f>'F-09 EP'!B89+'F-09 MGP'!B101+'F-09 FAP'!B101</f>
        <v>140</v>
      </c>
      <c r="C101" s="13"/>
      <c r="D101" s="13"/>
      <c r="E101" s="13"/>
      <c r="F101" s="13"/>
      <c r="G101" s="13"/>
      <c r="H101" s="13"/>
      <c r="I101" s="13"/>
      <c r="J101" s="13"/>
      <c r="K101" s="13">
        <f>SUM(B101:J101)</f>
        <v>140</v>
      </c>
      <c r="L101" s="472">
        <f>'F-09 EP'!L89+'F-09 MGP'!L101+'F-09 FAP'!L101</f>
        <v>9299608.3235819452</v>
      </c>
      <c r="M101" s="13">
        <f>'F-09 EP'!M89+'F-09 MGP'!M101+'F-09 FAP'!M101</f>
        <v>32</v>
      </c>
      <c r="N101" s="13"/>
      <c r="O101" s="13"/>
      <c r="P101" s="13"/>
      <c r="Q101" s="13"/>
      <c r="R101" s="13"/>
      <c r="S101" s="13"/>
      <c r="T101" s="13"/>
      <c r="U101" s="13"/>
      <c r="V101" s="13">
        <f>SUM(M101:U101)</f>
        <v>32</v>
      </c>
      <c r="W101" s="472">
        <f>'F-09 EP'!W89+'F-09 MGP'!W101+'F-09 FAP'!W101</f>
        <v>1690610.0910074173</v>
      </c>
      <c r="Z101" s="68"/>
    </row>
    <row r="102" spans="1:26">
      <c r="A102" s="703" t="s">
        <v>7013</v>
      </c>
      <c r="B102" s="13">
        <f>'F-09 EP'!B90+'F-09 MGP'!B102+'F-09 FAP'!B102</f>
        <v>377</v>
      </c>
      <c r="C102" s="13"/>
      <c r="D102" s="13"/>
      <c r="E102" s="13"/>
      <c r="F102" s="13"/>
      <c r="G102" s="13"/>
      <c r="H102" s="13"/>
      <c r="I102" s="13"/>
      <c r="J102" s="13"/>
      <c r="K102" s="13">
        <f>SUM(B102:J102)</f>
        <v>377</v>
      </c>
      <c r="L102" s="472">
        <f>'F-09 EP'!L90+'F-09 MGP'!L102+'F-09 FAP'!L102</f>
        <v>23851401.5403683</v>
      </c>
      <c r="M102" s="13">
        <f>'F-09 EP'!M90+'F-09 MGP'!M102+'F-09 FAP'!M102</f>
        <v>82</v>
      </c>
      <c r="N102" s="13"/>
      <c r="O102" s="13"/>
      <c r="P102" s="13"/>
      <c r="Q102" s="13"/>
      <c r="R102" s="13"/>
      <c r="S102" s="13"/>
      <c r="T102" s="13"/>
      <c r="U102" s="13"/>
      <c r="V102" s="13">
        <f>SUM(M102:U102)</f>
        <v>82</v>
      </c>
      <c r="W102" s="472">
        <f>'F-09 EP'!W90+'F-09 MGP'!W102+'F-09 FAP'!W102</f>
        <v>4098532.2629103167</v>
      </c>
      <c r="Z102" s="68"/>
    </row>
    <row r="103" spans="1:26">
      <c r="A103" s="703" t="s">
        <v>7012</v>
      </c>
      <c r="B103" s="13">
        <f>'F-09 EP'!B91+'F-09 MGP'!B103+'F-09 FAP'!B103</f>
        <v>401</v>
      </c>
      <c r="C103" s="13"/>
      <c r="D103" s="13"/>
      <c r="E103" s="13"/>
      <c r="F103" s="13"/>
      <c r="G103" s="13"/>
      <c r="H103" s="13"/>
      <c r="I103" s="13"/>
      <c r="J103" s="13"/>
      <c r="K103" s="13">
        <f>SUM(B103:J103)</f>
        <v>401</v>
      </c>
      <c r="L103" s="472">
        <f>'F-09 EP'!L91+'F-09 MGP'!L103+'F-09 FAP'!L103</f>
        <v>23641915.386697404</v>
      </c>
      <c r="M103" s="13">
        <f>'F-09 EP'!M91+'F-09 MGP'!M103+'F-09 FAP'!M103</f>
        <v>121</v>
      </c>
      <c r="N103" s="13"/>
      <c r="O103" s="13"/>
      <c r="P103" s="13"/>
      <c r="Q103" s="13"/>
      <c r="R103" s="13"/>
      <c r="S103" s="13"/>
      <c r="T103" s="13"/>
      <c r="U103" s="13"/>
      <c r="V103" s="13">
        <f>SUM(M103:U103)</f>
        <v>121</v>
      </c>
      <c r="W103" s="472">
        <f>'F-09 EP'!W91+'F-09 MGP'!W103+'F-09 FAP'!W103</f>
        <v>5923942.7179474039</v>
      </c>
      <c r="Z103" s="68"/>
    </row>
    <row r="104" spans="1:26">
      <c r="A104" s="703" t="s">
        <v>7011</v>
      </c>
      <c r="B104" s="13">
        <f>'F-09 EP'!B92+'F-09 MGP'!B104+'F-09 FAP'!B104</f>
        <v>181</v>
      </c>
      <c r="C104" s="13"/>
      <c r="D104" s="13"/>
      <c r="E104" s="13"/>
      <c r="F104" s="13"/>
      <c r="G104" s="13"/>
      <c r="H104" s="13"/>
      <c r="I104" s="13"/>
      <c r="J104" s="13"/>
      <c r="K104" s="13">
        <f>SUM(B104:J104)</f>
        <v>181</v>
      </c>
      <c r="L104" s="472">
        <f>'F-09 EP'!L92+'F-09 MGP'!L104+'F-09 FAP'!L104</f>
        <v>9947719.0261317138</v>
      </c>
      <c r="M104" s="13">
        <f>'F-09 EP'!M92+'F-09 MGP'!M104+'F-09 FAP'!M104</f>
        <v>56</v>
      </c>
      <c r="N104" s="13"/>
      <c r="O104" s="13"/>
      <c r="P104" s="13"/>
      <c r="Q104" s="13"/>
      <c r="R104" s="13"/>
      <c r="S104" s="13"/>
      <c r="T104" s="13"/>
      <c r="U104" s="13"/>
      <c r="V104" s="13">
        <f>SUM(M104:U104)</f>
        <v>56</v>
      </c>
      <c r="W104" s="472">
        <f>'F-09 EP'!W92+'F-09 MGP'!W104+'F-09 FAP'!W104</f>
        <v>2475218.2527983817</v>
      </c>
      <c r="Z104" s="68"/>
    </row>
    <row r="105" spans="1:26">
      <c r="A105" s="703" t="s">
        <v>7010</v>
      </c>
      <c r="B105" s="13">
        <f>'F-09 EP'!B93+'F-09 MGP'!B105+'F-09 FAP'!B105</f>
        <v>0</v>
      </c>
      <c r="C105" s="13"/>
      <c r="D105" s="13"/>
      <c r="E105" s="13"/>
      <c r="F105" s="13"/>
      <c r="G105" s="13"/>
      <c r="H105" s="13"/>
      <c r="I105" s="13"/>
      <c r="J105" s="13"/>
      <c r="K105" s="13"/>
      <c r="L105" s="472">
        <f>'F-09 EP'!L93+'F-09 MGP'!L105+'F-09 FAP'!L105</f>
        <v>14531003.120000001</v>
      </c>
      <c r="M105" s="13">
        <f>'F-09 EP'!M93+'F-09 MGP'!M105+'F-09 FAP'!M105</f>
        <v>0</v>
      </c>
      <c r="N105" s="13"/>
      <c r="O105" s="13"/>
      <c r="P105" s="13"/>
      <c r="Q105" s="13"/>
      <c r="R105" s="13"/>
      <c r="S105" s="13"/>
      <c r="T105" s="13"/>
      <c r="U105" s="13"/>
      <c r="V105" s="13"/>
      <c r="W105" s="472">
        <f>'F-09 EP'!W93+'F-09 MGP'!W105+'F-09 FAP'!W105</f>
        <v>18360789.448033411</v>
      </c>
      <c r="Z105" s="68"/>
    </row>
    <row r="106" spans="1:26">
      <c r="A106" s="705" t="s">
        <v>7009</v>
      </c>
      <c r="B106" s="484">
        <f t="shared" ref="B106:W106" si="29">SUM(B107:B111)</f>
        <v>635</v>
      </c>
      <c r="C106" s="484">
        <f t="shared" si="29"/>
        <v>0</v>
      </c>
      <c r="D106" s="484">
        <f t="shared" si="29"/>
        <v>0</v>
      </c>
      <c r="E106" s="484">
        <f t="shared" si="29"/>
        <v>0</v>
      </c>
      <c r="F106" s="484">
        <f t="shared" si="29"/>
        <v>0</v>
      </c>
      <c r="G106" s="484">
        <f t="shared" si="29"/>
        <v>0</v>
      </c>
      <c r="H106" s="484">
        <f t="shared" si="29"/>
        <v>0</v>
      </c>
      <c r="I106" s="484">
        <f t="shared" si="29"/>
        <v>0</v>
      </c>
      <c r="J106" s="484">
        <f t="shared" si="29"/>
        <v>0</v>
      </c>
      <c r="K106" s="484">
        <f t="shared" si="29"/>
        <v>635</v>
      </c>
      <c r="L106" s="485">
        <f t="shared" si="29"/>
        <v>34982936.254187994</v>
      </c>
      <c r="M106" s="484">
        <f t="shared" si="29"/>
        <v>1338</v>
      </c>
      <c r="N106" s="484">
        <f t="shared" si="29"/>
        <v>0</v>
      </c>
      <c r="O106" s="484">
        <f t="shared" si="29"/>
        <v>0</v>
      </c>
      <c r="P106" s="484">
        <f t="shared" si="29"/>
        <v>0</v>
      </c>
      <c r="Q106" s="484">
        <f t="shared" si="29"/>
        <v>0</v>
      </c>
      <c r="R106" s="484">
        <f t="shared" si="29"/>
        <v>0</v>
      </c>
      <c r="S106" s="484">
        <f t="shared" si="29"/>
        <v>0</v>
      </c>
      <c r="T106" s="484">
        <f t="shared" si="29"/>
        <v>0</v>
      </c>
      <c r="U106" s="484">
        <f t="shared" si="29"/>
        <v>0</v>
      </c>
      <c r="V106" s="484">
        <f t="shared" si="29"/>
        <v>1338</v>
      </c>
      <c r="W106" s="485">
        <f t="shared" si="29"/>
        <v>70021682.438728005</v>
      </c>
      <c r="Z106" s="68"/>
    </row>
    <row r="107" spans="1:26">
      <c r="A107" s="703" t="s">
        <v>7008</v>
      </c>
      <c r="B107" s="13">
        <f>'F-09 EP'!B95+'F-09 MGP'!B107+'F-09 FAP'!B107</f>
        <v>107</v>
      </c>
      <c r="C107" s="13"/>
      <c r="D107" s="13"/>
      <c r="E107" s="13"/>
      <c r="F107" s="13"/>
      <c r="G107" s="13"/>
      <c r="H107" s="13"/>
      <c r="I107" s="13"/>
      <c r="J107" s="13"/>
      <c r="K107" s="13">
        <f>SUM(B107:J107)</f>
        <v>107</v>
      </c>
      <c r="L107" s="472">
        <f>'F-09 EP'!L95+'F-09 MGP'!L107+'F-09 FAP'!L107</f>
        <v>6798987.8741416046</v>
      </c>
      <c r="M107" s="13">
        <f>'F-09 EP'!M95+'F-09 MGP'!M107+'F-09 FAP'!M107</f>
        <v>168</v>
      </c>
      <c r="N107" s="13"/>
      <c r="O107" s="13"/>
      <c r="P107" s="13"/>
      <c r="Q107" s="13"/>
      <c r="R107" s="13"/>
      <c r="S107" s="13"/>
      <c r="T107" s="13"/>
      <c r="U107" s="13"/>
      <c r="V107" s="13">
        <f>SUM(M107:U107)</f>
        <v>168</v>
      </c>
      <c r="W107" s="472">
        <f>'F-09 EP'!W95+'F-09 MGP'!W107+'F-09 FAP'!W107</f>
        <v>10603026.213281605</v>
      </c>
      <c r="Z107" s="68"/>
    </row>
    <row r="108" spans="1:26">
      <c r="A108" s="703" t="s">
        <v>7007</v>
      </c>
      <c r="B108" s="13">
        <f>'F-09 EP'!B96+'F-09 MGP'!B108+'F-09 FAP'!B108</f>
        <v>73</v>
      </c>
      <c r="C108" s="13"/>
      <c r="D108" s="13"/>
      <c r="E108" s="13"/>
      <c r="F108" s="13"/>
      <c r="G108" s="13"/>
      <c r="H108" s="13"/>
      <c r="I108" s="13"/>
      <c r="J108" s="13"/>
      <c r="K108" s="13">
        <f>SUM(B108:J108)</f>
        <v>73</v>
      </c>
      <c r="L108" s="472">
        <f>'F-09 EP'!L96+'F-09 MGP'!L108+'F-09 FAP'!L108</f>
        <v>4409672.1946222521</v>
      </c>
      <c r="M108" s="13">
        <f>'F-09 EP'!M96+'F-09 MGP'!M108+'F-09 FAP'!M108</f>
        <v>157</v>
      </c>
      <c r="N108" s="13"/>
      <c r="O108" s="13"/>
      <c r="P108" s="13"/>
      <c r="Q108" s="13"/>
      <c r="R108" s="13"/>
      <c r="S108" s="13"/>
      <c r="T108" s="13"/>
      <c r="U108" s="13"/>
      <c r="V108" s="13">
        <f>SUM(M108:U108)</f>
        <v>157</v>
      </c>
      <c r="W108" s="472">
        <f>'F-09 EP'!W96+'F-09 MGP'!W108+'F-09 FAP'!W108</f>
        <v>8851224.6690622531</v>
      </c>
      <c r="Z108" s="68"/>
    </row>
    <row r="109" spans="1:26">
      <c r="A109" s="703" t="s">
        <v>7006</v>
      </c>
      <c r="B109" s="13">
        <f>'F-09 EP'!B97+'F-09 MGP'!B109+'F-09 FAP'!B109</f>
        <v>149</v>
      </c>
      <c r="C109" s="13"/>
      <c r="D109" s="13"/>
      <c r="E109" s="13"/>
      <c r="F109" s="13"/>
      <c r="G109" s="13"/>
      <c r="H109" s="13"/>
      <c r="I109" s="13"/>
      <c r="J109" s="13"/>
      <c r="K109" s="13">
        <f>SUM(B109:J109)</f>
        <v>149</v>
      </c>
      <c r="L109" s="472">
        <f>'F-09 EP'!L97+'F-09 MGP'!L109+'F-09 FAP'!L109</f>
        <v>8142212.8088280512</v>
      </c>
      <c r="M109" s="13">
        <f>'F-09 EP'!M97+'F-09 MGP'!M109+'F-09 FAP'!M109</f>
        <v>399</v>
      </c>
      <c r="N109" s="13"/>
      <c r="O109" s="13"/>
      <c r="P109" s="13"/>
      <c r="Q109" s="13"/>
      <c r="R109" s="13"/>
      <c r="S109" s="13"/>
      <c r="T109" s="13"/>
      <c r="U109" s="13"/>
      <c r="V109" s="13">
        <f>SUM(M109:U109)</f>
        <v>399</v>
      </c>
      <c r="W109" s="472">
        <f>'F-09 EP'!W97+'F-09 MGP'!W109+'F-09 FAP'!W109</f>
        <v>20742513.54482805</v>
      </c>
      <c r="Z109" s="68"/>
    </row>
    <row r="110" spans="1:26">
      <c r="A110" s="703" t="s">
        <v>7005</v>
      </c>
      <c r="B110" s="13">
        <f>'F-09 EP'!B98+'F-09 MGP'!B110+'F-09 FAP'!B110</f>
        <v>227</v>
      </c>
      <c r="C110" s="13"/>
      <c r="D110" s="13"/>
      <c r="E110" s="13"/>
      <c r="F110" s="13"/>
      <c r="G110" s="13"/>
      <c r="H110" s="13"/>
      <c r="I110" s="13"/>
      <c r="J110" s="13"/>
      <c r="K110" s="13">
        <f>SUM(B110:J110)</f>
        <v>227</v>
      </c>
      <c r="L110" s="472">
        <f>'F-09 EP'!L98+'F-09 MGP'!L110+'F-09 FAP'!L110</f>
        <v>11921818.829111259</v>
      </c>
      <c r="M110" s="13">
        <f>'F-09 EP'!M98+'F-09 MGP'!M110+'F-09 FAP'!M110</f>
        <v>458</v>
      </c>
      <c r="N110" s="13"/>
      <c r="O110" s="13"/>
      <c r="P110" s="13"/>
      <c r="Q110" s="13"/>
      <c r="R110" s="13"/>
      <c r="S110" s="13"/>
      <c r="T110" s="13"/>
      <c r="U110" s="13"/>
      <c r="V110" s="13">
        <f>SUM(M110:U110)</f>
        <v>458</v>
      </c>
      <c r="W110" s="472">
        <f>'F-09 EP'!W98+'F-09 MGP'!W110+'F-09 FAP'!W110</f>
        <v>22777379.670311261</v>
      </c>
      <c r="Z110" s="68"/>
    </row>
    <row r="111" spans="1:26">
      <c r="A111" s="703" t="s">
        <v>7004</v>
      </c>
      <c r="B111" s="13">
        <f>'F-09 EP'!B99+'F-09 MGP'!B111+'F-09 FAP'!B111</f>
        <v>79</v>
      </c>
      <c r="C111" s="13"/>
      <c r="D111" s="13"/>
      <c r="E111" s="13"/>
      <c r="F111" s="13"/>
      <c r="G111" s="13"/>
      <c r="H111" s="13"/>
      <c r="I111" s="13"/>
      <c r="J111" s="13"/>
      <c r="K111" s="13">
        <f>SUM(B111:J111)</f>
        <v>79</v>
      </c>
      <c r="L111" s="472">
        <f>'F-09 EP'!L99+'F-09 MGP'!L111+'F-09 FAP'!L111</f>
        <v>3710244.5474848282</v>
      </c>
      <c r="M111" s="13">
        <f>'F-09 EP'!M99+'F-09 MGP'!M111+'F-09 FAP'!M111</f>
        <v>156</v>
      </c>
      <c r="N111" s="13"/>
      <c r="O111" s="13"/>
      <c r="P111" s="13"/>
      <c r="Q111" s="13"/>
      <c r="R111" s="13"/>
      <c r="S111" s="13"/>
      <c r="T111" s="13"/>
      <c r="U111" s="13"/>
      <c r="V111" s="13">
        <f>SUM(M111:U111)</f>
        <v>156</v>
      </c>
      <c r="W111" s="472">
        <f>'F-09 EP'!W99+'F-09 MGP'!W111+'F-09 FAP'!W111</f>
        <v>7047538.341244828</v>
      </c>
      <c r="Z111" s="68"/>
    </row>
    <row r="112" spans="1:26">
      <c r="A112" s="705" t="s">
        <v>7003</v>
      </c>
      <c r="B112" s="484">
        <f t="shared" ref="B112:W112" si="30">SUM(B113:B117)</f>
        <v>32</v>
      </c>
      <c r="C112" s="484">
        <f t="shared" si="30"/>
        <v>0</v>
      </c>
      <c r="D112" s="484">
        <f t="shared" si="30"/>
        <v>0</v>
      </c>
      <c r="E112" s="484">
        <f t="shared" si="30"/>
        <v>0</v>
      </c>
      <c r="F112" s="484">
        <f t="shared" si="30"/>
        <v>0</v>
      </c>
      <c r="G112" s="484">
        <f t="shared" si="30"/>
        <v>0</v>
      </c>
      <c r="H112" s="484">
        <f t="shared" si="30"/>
        <v>0</v>
      </c>
      <c r="I112" s="484">
        <f t="shared" si="30"/>
        <v>0</v>
      </c>
      <c r="J112" s="484">
        <f t="shared" si="30"/>
        <v>0</v>
      </c>
      <c r="K112" s="484">
        <f t="shared" si="30"/>
        <v>32</v>
      </c>
      <c r="L112" s="485">
        <f t="shared" si="30"/>
        <v>1510552.3807999999</v>
      </c>
      <c r="M112" s="484">
        <f t="shared" si="30"/>
        <v>79</v>
      </c>
      <c r="N112" s="484">
        <f t="shared" si="30"/>
        <v>0</v>
      </c>
      <c r="O112" s="484">
        <f t="shared" si="30"/>
        <v>0</v>
      </c>
      <c r="P112" s="484">
        <f t="shared" si="30"/>
        <v>0</v>
      </c>
      <c r="Q112" s="484">
        <f t="shared" si="30"/>
        <v>0</v>
      </c>
      <c r="R112" s="484">
        <f t="shared" si="30"/>
        <v>0</v>
      </c>
      <c r="S112" s="484">
        <f t="shared" si="30"/>
        <v>0</v>
      </c>
      <c r="T112" s="484">
        <f t="shared" si="30"/>
        <v>0</v>
      </c>
      <c r="U112" s="484">
        <f t="shared" si="30"/>
        <v>0</v>
      </c>
      <c r="V112" s="484">
        <f t="shared" si="30"/>
        <v>79</v>
      </c>
      <c r="W112" s="485">
        <f t="shared" si="30"/>
        <v>3931886.8269999996</v>
      </c>
      <c r="Z112" s="68"/>
    </row>
    <row r="113" spans="1:26">
      <c r="A113" s="703" t="s">
        <v>6985</v>
      </c>
      <c r="B113" s="13">
        <f>'F-09 EP'!B101+'F-09 MGP'!B113+'F-09 FAP'!B113</f>
        <v>7</v>
      </c>
      <c r="C113" s="13"/>
      <c r="D113" s="13"/>
      <c r="E113" s="13"/>
      <c r="F113" s="13"/>
      <c r="G113" s="13"/>
      <c r="H113" s="13"/>
      <c r="I113" s="13"/>
      <c r="J113" s="13"/>
      <c r="K113" s="13">
        <f>SUM(B113:J113)</f>
        <v>7</v>
      </c>
      <c r="L113" s="472">
        <f>'F-09 EP'!L101+'F-09 MGP'!L113+'F-09 FAP'!L113</f>
        <v>368467.75</v>
      </c>
      <c r="M113" s="13">
        <f>'F-09 EP'!M101+'F-09 MGP'!M113+'F-09 FAP'!M113</f>
        <v>12</v>
      </c>
      <c r="N113" s="13"/>
      <c r="O113" s="13"/>
      <c r="P113" s="13"/>
      <c r="Q113" s="13"/>
      <c r="R113" s="13"/>
      <c r="S113" s="13"/>
      <c r="T113" s="13"/>
      <c r="U113" s="13"/>
      <c r="V113" s="13">
        <f>SUM(M113:U113)</f>
        <v>12</v>
      </c>
      <c r="W113" s="472">
        <f>'F-09 EP'!W101+'F-09 MGP'!W113+'F-09 FAP'!W113</f>
        <v>702010.86072</v>
      </c>
      <c r="Z113" s="68"/>
    </row>
    <row r="114" spans="1:26">
      <c r="A114" s="703" t="s">
        <v>6984</v>
      </c>
      <c r="B114" s="13">
        <f>'F-09 EP'!B102+'F-09 MGP'!B114+'F-09 FAP'!B114</f>
        <v>3</v>
      </c>
      <c r="C114" s="13"/>
      <c r="D114" s="13"/>
      <c r="E114" s="13"/>
      <c r="F114" s="13"/>
      <c r="G114" s="13"/>
      <c r="H114" s="13"/>
      <c r="I114" s="13"/>
      <c r="J114" s="13"/>
      <c r="K114" s="13">
        <f>SUM(B114:J114)</f>
        <v>3</v>
      </c>
      <c r="L114" s="472">
        <f>'F-09 EP'!L102+'F-09 MGP'!L114+'F-09 FAP'!L114</f>
        <v>147704.36879999997</v>
      </c>
      <c r="M114" s="13">
        <f>'F-09 EP'!M102+'F-09 MGP'!M114+'F-09 FAP'!M114</f>
        <v>11</v>
      </c>
      <c r="N114" s="13"/>
      <c r="O114" s="13"/>
      <c r="P114" s="13"/>
      <c r="Q114" s="13"/>
      <c r="R114" s="13"/>
      <c r="S114" s="13"/>
      <c r="T114" s="13"/>
      <c r="U114" s="13"/>
      <c r="V114" s="13">
        <f>SUM(M114:U114)</f>
        <v>11</v>
      </c>
      <c r="W114" s="472">
        <f>'F-09 EP'!W102+'F-09 MGP'!W114+'F-09 FAP'!W114</f>
        <v>576814.90195999993</v>
      </c>
      <c r="Z114" s="68"/>
    </row>
    <row r="115" spans="1:26">
      <c r="A115" s="703" t="s">
        <v>6983</v>
      </c>
      <c r="B115" s="13">
        <f>'F-09 EP'!B103+'F-09 MGP'!B115+'F-09 FAP'!B115</f>
        <v>8</v>
      </c>
      <c r="C115" s="13"/>
      <c r="D115" s="13"/>
      <c r="E115" s="13"/>
      <c r="F115" s="13"/>
      <c r="G115" s="13"/>
      <c r="H115" s="13"/>
      <c r="I115" s="13"/>
      <c r="J115" s="13"/>
      <c r="K115" s="13">
        <f>SUM(B115:J115)</f>
        <v>8</v>
      </c>
      <c r="L115" s="472">
        <f>'F-09 EP'!L103+'F-09 MGP'!L115+'F-09 FAP'!L115</f>
        <v>371426.67200000002</v>
      </c>
      <c r="M115" s="13">
        <f>'F-09 EP'!M103+'F-09 MGP'!M115+'F-09 FAP'!M115</f>
        <v>21</v>
      </c>
      <c r="N115" s="13"/>
      <c r="O115" s="13"/>
      <c r="P115" s="13"/>
      <c r="Q115" s="13"/>
      <c r="R115" s="13"/>
      <c r="S115" s="13"/>
      <c r="T115" s="13"/>
      <c r="U115" s="13"/>
      <c r="V115" s="13">
        <f>SUM(M115:U115)</f>
        <v>21</v>
      </c>
      <c r="W115" s="472">
        <f>'F-09 EP'!W103+'F-09 MGP'!W115+'F-09 FAP'!W115</f>
        <v>1046217.648</v>
      </c>
      <c r="Z115" s="68"/>
    </row>
    <row r="116" spans="1:26">
      <c r="A116" s="703" t="s">
        <v>6982</v>
      </c>
      <c r="B116" s="13">
        <f>'F-09 EP'!B104+'F-09 MGP'!B116+'F-09 FAP'!B116</f>
        <v>12</v>
      </c>
      <c r="C116" s="13"/>
      <c r="D116" s="13"/>
      <c r="E116" s="13"/>
      <c r="F116" s="13"/>
      <c r="G116" s="13"/>
      <c r="H116" s="13"/>
      <c r="I116" s="13"/>
      <c r="J116" s="13"/>
      <c r="K116" s="13">
        <f>SUM(B116:J116)</f>
        <v>12</v>
      </c>
      <c r="L116" s="472">
        <f>'F-09 EP'!L104+'F-09 MGP'!L116+'F-09 FAP'!L116</f>
        <v>544436.90399999998</v>
      </c>
      <c r="M116" s="13">
        <f>'F-09 EP'!M104+'F-09 MGP'!M116+'F-09 FAP'!M116</f>
        <v>27</v>
      </c>
      <c r="N116" s="13"/>
      <c r="O116" s="13"/>
      <c r="P116" s="13"/>
      <c r="Q116" s="13"/>
      <c r="R116" s="13"/>
      <c r="S116" s="13"/>
      <c r="T116" s="13"/>
      <c r="U116" s="13"/>
      <c r="V116" s="13">
        <f>SUM(M116:U116)</f>
        <v>27</v>
      </c>
      <c r="W116" s="472">
        <f>'F-09 EP'!W104+'F-09 MGP'!W116+'F-09 FAP'!W116</f>
        <v>1270552.6368</v>
      </c>
      <c r="Z116" s="68"/>
    </row>
    <row r="117" spans="1:26">
      <c r="A117" s="703" t="s">
        <v>6981</v>
      </c>
      <c r="B117" s="13">
        <f>'F-09 EP'!B105+'F-09 MGP'!B117+'F-09 FAP'!B117</f>
        <v>2</v>
      </c>
      <c r="C117" s="13"/>
      <c r="D117" s="13"/>
      <c r="E117" s="13"/>
      <c r="F117" s="13"/>
      <c r="G117" s="13"/>
      <c r="H117" s="13"/>
      <c r="I117" s="13"/>
      <c r="J117" s="13"/>
      <c r="K117" s="13">
        <f>SUM(B117:J117)</f>
        <v>2</v>
      </c>
      <c r="L117" s="472">
        <f>'F-09 EP'!L105+'F-09 MGP'!L117+'F-09 FAP'!L117</f>
        <v>78516.686000000002</v>
      </c>
      <c r="M117" s="13">
        <f>'F-09 EP'!M105+'F-09 MGP'!M117+'F-09 FAP'!M117</f>
        <v>8</v>
      </c>
      <c r="N117" s="13"/>
      <c r="O117" s="13"/>
      <c r="P117" s="13"/>
      <c r="Q117" s="13"/>
      <c r="R117" s="13"/>
      <c r="S117" s="13"/>
      <c r="T117" s="13"/>
      <c r="U117" s="13"/>
      <c r="V117" s="13">
        <f>SUM(M117:U117)</f>
        <v>8</v>
      </c>
      <c r="W117" s="472">
        <f>'F-09 EP'!W105+'F-09 MGP'!W117+'F-09 FAP'!W117</f>
        <v>336290.77951999998</v>
      </c>
      <c r="Z117" s="68"/>
    </row>
    <row r="118" spans="1:26">
      <c r="A118" s="705" t="s">
        <v>2879</v>
      </c>
      <c r="B118" s="484">
        <f t="shared" ref="B118:W118" si="31">SUM(B119:B123)</f>
        <v>78</v>
      </c>
      <c r="C118" s="484">
        <f t="shared" si="31"/>
        <v>0</v>
      </c>
      <c r="D118" s="484">
        <f t="shared" si="31"/>
        <v>0</v>
      </c>
      <c r="E118" s="484">
        <f t="shared" si="31"/>
        <v>0</v>
      </c>
      <c r="F118" s="484">
        <f t="shared" si="31"/>
        <v>0</v>
      </c>
      <c r="G118" s="484">
        <f t="shared" si="31"/>
        <v>0</v>
      </c>
      <c r="H118" s="484">
        <f t="shared" si="31"/>
        <v>0</v>
      </c>
      <c r="I118" s="484">
        <f t="shared" si="31"/>
        <v>0</v>
      </c>
      <c r="J118" s="484">
        <f t="shared" si="31"/>
        <v>0</v>
      </c>
      <c r="K118" s="484">
        <f t="shared" si="31"/>
        <v>78</v>
      </c>
      <c r="L118" s="485">
        <f t="shared" si="31"/>
        <v>3743329.988493864</v>
      </c>
      <c r="M118" s="484">
        <f t="shared" si="31"/>
        <v>125</v>
      </c>
      <c r="N118" s="484">
        <f t="shared" si="31"/>
        <v>0</v>
      </c>
      <c r="O118" s="484">
        <f t="shared" si="31"/>
        <v>0</v>
      </c>
      <c r="P118" s="484">
        <f t="shared" si="31"/>
        <v>0</v>
      </c>
      <c r="Q118" s="484">
        <f t="shared" si="31"/>
        <v>0</v>
      </c>
      <c r="R118" s="484">
        <f t="shared" si="31"/>
        <v>0</v>
      </c>
      <c r="S118" s="484">
        <f t="shared" si="31"/>
        <v>0</v>
      </c>
      <c r="T118" s="484">
        <f t="shared" si="31"/>
        <v>0</v>
      </c>
      <c r="U118" s="484">
        <f t="shared" si="31"/>
        <v>0</v>
      </c>
      <c r="V118" s="484">
        <f t="shared" si="31"/>
        <v>125</v>
      </c>
      <c r="W118" s="485">
        <f t="shared" si="31"/>
        <v>6142573.1276938645</v>
      </c>
      <c r="Z118" s="68"/>
    </row>
    <row r="119" spans="1:26">
      <c r="A119" s="703" t="s">
        <v>6985</v>
      </c>
      <c r="B119" s="13">
        <f>'F-09 EP'!B107+'F-09 MGP'!B119+'F-09 FAP'!B119</f>
        <v>8</v>
      </c>
      <c r="C119" s="13"/>
      <c r="D119" s="13"/>
      <c r="E119" s="13"/>
      <c r="F119" s="13"/>
      <c r="G119" s="13"/>
      <c r="H119" s="13"/>
      <c r="I119" s="13"/>
      <c r="J119" s="13"/>
      <c r="K119" s="13">
        <f>SUM(B119:J119)</f>
        <v>8</v>
      </c>
      <c r="L119" s="472">
        <f>'F-09 EP'!L107+'F-09 MGP'!L119+'F-09 FAP'!L119</f>
        <v>474480.56067161157</v>
      </c>
      <c r="M119" s="13">
        <f>'F-09 EP'!M107+'F-09 MGP'!M119+'F-09 FAP'!M119</f>
        <v>11</v>
      </c>
      <c r="N119" s="13"/>
      <c r="O119" s="13"/>
      <c r="P119" s="13"/>
      <c r="Q119" s="13"/>
      <c r="R119" s="13"/>
      <c r="S119" s="13"/>
      <c r="T119" s="13"/>
      <c r="U119" s="13"/>
      <c r="V119" s="13">
        <f>SUM(M119:U119)</f>
        <v>11</v>
      </c>
      <c r="W119" s="472">
        <f>'F-09 EP'!W107+'F-09 MGP'!W119+'F-09 FAP'!W119</f>
        <v>654621.06735161156</v>
      </c>
      <c r="Z119" s="68"/>
    </row>
    <row r="120" spans="1:26">
      <c r="A120" s="703" t="s">
        <v>6984</v>
      </c>
      <c r="B120" s="13">
        <f>'F-09 EP'!B108+'F-09 MGP'!B120+'F-09 FAP'!B120</f>
        <v>9</v>
      </c>
      <c r="C120" s="13"/>
      <c r="D120" s="13"/>
      <c r="E120" s="13"/>
      <c r="F120" s="13"/>
      <c r="G120" s="13"/>
      <c r="H120" s="13"/>
      <c r="I120" s="13"/>
      <c r="J120" s="13"/>
      <c r="K120" s="13">
        <f>SUM(B120:J120)</f>
        <v>9</v>
      </c>
      <c r="L120" s="472">
        <f>'F-09 EP'!L108+'F-09 MGP'!L120+'F-09 FAP'!L120</f>
        <v>494372.42947161151</v>
      </c>
      <c r="M120" s="13">
        <f>'F-09 EP'!M108+'F-09 MGP'!M120+'F-09 FAP'!M120</f>
        <v>12</v>
      </c>
      <c r="N120" s="13"/>
      <c r="O120" s="13"/>
      <c r="P120" s="13"/>
      <c r="Q120" s="13"/>
      <c r="R120" s="13"/>
      <c r="S120" s="13"/>
      <c r="T120" s="13"/>
      <c r="U120" s="13"/>
      <c r="V120" s="13">
        <f>SUM(M120:U120)</f>
        <v>12</v>
      </c>
      <c r="W120" s="472">
        <f>'F-09 EP'!W108+'F-09 MGP'!W120+'F-09 FAP'!W120</f>
        <v>669002.96263161162</v>
      </c>
      <c r="Z120" s="68"/>
    </row>
    <row r="121" spans="1:26">
      <c r="A121" s="703" t="s">
        <v>6983</v>
      </c>
      <c r="B121" s="13">
        <f>'F-09 EP'!B109+'F-09 MGP'!B121+'F-09 FAP'!B121</f>
        <v>17</v>
      </c>
      <c r="C121" s="13"/>
      <c r="D121" s="13"/>
      <c r="E121" s="13"/>
      <c r="F121" s="13"/>
      <c r="G121" s="13"/>
      <c r="H121" s="13"/>
      <c r="I121" s="13"/>
      <c r="J121" s="13"/>
      <c r="K121" s="13">
        <f>SUM(B121:J121)</f>
        <v>17</v>
      </c>
      <c r="L121" s="472">
        <f>'F-09 EP'!L109+'F-09 MGP'!L121+'F-09 FAP'!L121</f>
        <v>814042.70633580582</v>
      </c>
      <c r="M121" s="13">
        <f>'F-09 EP'!M109+'F-09 MGP'!M121+'F-09 FAP'!M121</f>
        <v>28</v>
      </c>
      <c r="N121" s="13"/>
      <c r="O121" s="13"/>
      <c r="P121" s="13"/>
      <c r="Q121" s="13"/>
      <c r="R121" s="13"/>
      <c r="S121" s="13"/>
      <c r="T121" s="13"/>
      <c r="U121" s="13"/>
      <c r="V121" s="13">
        <f>SUM(M121:U121)</f>
        <v>28</v>
      </c>
      <c r="W121" s="472">
        <f>'F-09 EP'!W109+'F-09 MGP'!W121+'F-09 FAP'!W121</f>
        <v>1433276.9143358059</v>
      </c>
      <c r="Z121" s="68"/>
    </row>
    <row r="122" spans="1:26">
      <c r="A122" s="703" t="s">
        <v>6982</v>
      </c>
      <c r="B122" s="13">
        <f>'F-09 EP'!B110+'F-09 MGP'!B122+'F-09 FAP'!B122</f>
        <v>19</v>
      </c>
      <c r="C122" s="13"/>
      <c r="D122" s="13"/>
      <c r="E122" s="13"/>
      <c r="F122" s="13"/>
      <c r="G122" s="13"/>
      <c r="H122" s="13"/>
      <c r="I122" s="13"/>
      <c r="J122" s="13"/>
      <c r="K122" s="13">
        <f>SUM(B122:J122)</f>
        <v>19</v>
      </c>
      <c r="L122" s="472">
        <f>'F-09 EP'!L110+'F-09 MGP'!L122+'F-09 FAP'!L122</f>
        <v>865254.17044774105</v>
      </c>
      <c r="M122" s="13">
        <f>'F-09 EP'!M110+'F-09 MGP'!M122+'F-09 FAP'!M122</f>
        <v>30</v>
      </c>
      <c r="N122" s="13"/>
      <c r="O122" s="13"/>
      <c r="P122" s="13"/>
      <c r="Q122" s="13"/>
      <c r="R122" s="13"/>
      <c r="S122" s="13"/>
      <c r="T122" s="13"/>
      <c r="U122" s="13"/>
      <c r="V122" s="13">
        <f>SUM(M122:U122)</f>
        <v>30</v>
      </c>
      <c r="W122" s="472">
        <f>'F-09 EP'!W110+'F-09 MGP'!W122+'F-09 FAP'!W122</f>
        <v>1449766.7864477411</v>
      </c>
      <c r="Z122" s="68"/>
    </row>
    <row r="123" spans="1:26">
      <c r="A123" s="703" t="s">
        <v>6981</v>
      </c>
      <c r="B123" s="13">
        <f>'F-09 EP'!B111+'F-09 MGP'!B123+'F-09 FAP'!B123</f>
        <v>25</v>
      </c>
      <c r="C123" s="13"/>
      <c r="D123" s="13"/>
      <c r="E123" s="13"/>
      <c r="F123" s="13"/>
      <c r="G123" s="13"/>
      <c r="H123" s="13"/>
      <c r="I123" s="13"/>
      <c r="J123" s="13"/>
      <c r="K123" s="13">
        <f>SUM(B123:J123)</f>
        <v>25</v>
      </c>
      <c r="L123" s="472">
        <f>'F-09 EP'!L111+'F-09 MGP'!L123+'F-09 FAP'!L123</f>
        <v>1095180.1215670938</v>
      </c>
      <c r="M123" s="13">
        <f>'F-09 EP'!M111+'F-09 MGP'!M123+'F-09 FAP'!M123</f>
        <v>44</v>
      </c>
      <c r="N123" s="13"/>
      <c r="O123" s="13"/>
      <c r="P123" s="13"/>
      <c r="Q123" s="13"/>
      <c r="R123" s="13"/>
      <c r="S123" s="13"/>
      <c r="T123" s="13"/>
      <c r="U123" s="13"/>
      <c r="V123" s="13">
        <f>SUM(M123:U123)</f>
        <v>44</v>
      </c>
      <c r="W123" s="472">
        <f>'F-09 EP'!W111+'F-09 MGP'!W123+'F-09 FAP'!W123</f>
        <v>1935905.3969270939</v>
      </c>
      <c r="Z123" s="68"/>
    </row>
    <row r="124" spans="1:26">
      <c r="A124" s="705" t="s">
        <v>7002</v>
      </c>
      <c r="B124" s="484">
        <f t="shared" ref="B124:W124" si="32">SUM(B125:B129)</f>
        <v>112</v>
      </c>
      <c r="C124" s="484">
        <f t="shared" si="32"/>
        <v>0</v>
      </c>
      <c r="D124" s="484">
        <f t="shared" si="32"/>
        <v>0</v>
      </c>
      <c r="E124" s="484">
        <f t="shared" si="32"/>
        <v>0</v>
      </c>
      <c r="F124" s="484">
        <f t="shared" si="32"/>
        <v>0</v>
      </c>
      <c r="G124" s="484">
        <f t="shared" si="32"/>
        <v>0</v>
      </c>
      <c r="H124" s="484">
        <f t="shared" si="32"/>
        <v>0</v>
      </c>
      <c r="I124" s="484">
        <f t="shared" si="32"/>
        <v>0</v>
      </c>
      <c r="J124" s="484">
        <f t="shared" si="32"/>
        <v>0</v>
      </c>
      <c r="K124" s="484">
        <f t="shared" si="32"/>
        <v>112</v>
      </c>
      <c r="L124" s="485">
        <f t="shared" si="32"/>
        <v>5958472.5359654753</v>
      </c>
      <c r="M124" s="484">
        <f t="shared" si="32"/>
        <v>213</v>
      </c>
      <c r="N124" s="484">
        <f t="shared" si="32"/>
        <v>0</v>
      </c>
      <c r="O124" s="484">
        <f t="shared" si="32"/>
        <v>0</v>
      </c>
      <c r="P124" s="484">
        <f t="shared" si="32"/>
        <v>0</v>
      </c>
      <c r="Q124" s="484">
        <f t="shared" si="32"/>
        <v>0</v>
      </c>
      <c r="R124" s="484">
        <f t="shared" si="32"/>
        <v>0</v>
      </c>
      <c r="S124" s="484">
        <f t="shared" si="32"/>
        <v>0</v>
      </c>
      <c r="T124" s="484">
        <f t="shared" si="32"/>
        <v>0</v>
      </c>
      <c r="U124" s="484">
        <f t="shared" si="32"/>
        <v>0</v>
      </c>
      <c r="V124" s="484">
        <f t="shared" si="32"/>
        <v>213</v>
      </c>
      <c r="W124" s="485">
        <f t="shared" si="32"/>
        <v>11051622.216345476</v>
      </c>
      <c r="Z124" s="68"/>
    </row>
    <row r="125" spans="1:26">
      <c r="A125" s="703" t="s">
        <v>7001</v>
      </c>
      <c r="B125" s="13">
        <f>'F-09 EP'!B113+'F-09 MGP'!B125+'F-09 FAP'!B125</f>
        <v>22</v>
      </c>
      <c r="C125" s="13"/>
      <c r="D125" s="13"/>
      <c r="E125" s="13"/>
      <c r="F125" s="13"/>
      <c r="G125" s="13"/>
      <c r="H125" s="13"/>
      <c r="I125" s="13"/>
      <c r="J125" s="13"/>
      <c r="K125" s="13">
        <f>SUM(B125:J125)</f>
        <v>22</v>
      </c>
      <c r="L125" s="472">
        <f>'F-09 EP'!L113+'F-09 MGP'!L125+'F-09 FAP'!L125</f>
        <v>1302462.8601119353</v>
      </c>
      <c r="M125" s="13">
        <f>'F-09 EP'!M113+'F-09 MGP'!M125+'F-09 FAP'!M125</f>
        <v>25</v>
      </c>
      <c r="N125" s="13"/>
      <c r="O125" s="13"/>
      <c r="P125" s="13"/>
      <c r="Q125" s="13"/>
      <c r="R125" s="13"/>
      <c r="S125" s="13"/>
      <c r="T125" s="13"/>
      <c r="U125" s="13"/>
      <c r="V125" s="13">
        <f>SUM(M125:U125)</f>
        <v>25</v>
      </c>
      <c r="W125" s="472">
        <f>'F-09 EP'!W113+'F-09 MGP'!W125+'F-09 FAP'!W125</f>
        <v>1633915.0142519353</v>
      </c>
      <c r="Z125" s="68"/>
    </row>
    <row r="126" spans="1:26">
      <c r="A126" s="703" t="s">
        <v>7000</v>
      </c>
      <c r="B126" s="13">
        <f>'F-09 EP'!B114+'F-09 MGP'!B126+'F-09 FAP'!B126</f>
        <v>17</v>
      </c>
      <c r="C126" s="13"/>
      <c r="D126" s="13"/>
      <c r="E126" s="13"/>
      <c r="F126" s="13"/>
      <c r="G126" s="13"/>
      <c r="H126" s="13"/>
      <c r="I126" s="13"/>
      <c r="J126" s="13"/>
      <c r="K126" s="13">
        <f>SUM(B126:J126)</f>
        <v>17</v>
      </c>
      <c r="L126" s="472">
        <f>'F-09 EP'!L114+'F-09 MGP'!L126+'F-09 FAP'!L126</f>
        <v>948792.24371193512</v>
      </c>
      <c r="M126" s="13">
        <f>'F-09 EP'!M114+'F-09 MGP'!M126+'F-09 FAP'!M126</f>
        <v>31</v>
      </c>
      <c r="N126" s="13"/>
      <c r="O126" s="13"/>
      <c r="P126" s="13"/>
      <c r="Q126" s="13"/>
      <c r="R126" s="13"/>
      <c r="S126" s="13"/>
      <c r="T126" s="13"/>
      <c r="U126" s="13"/>
      <c r="V126" s="13">
        <f>SUM(M126:U126)</f>
        <v>31</v>
      </c>
      <c r="W126" s="472">
        <f>'F-09 EP'!W114+'F-09 MGP'!W126+'F-09 FAP'!W126</f>
        <v>1778363.0872319352</v>
      </c>
      <c r="Z126" s="68"/>
    </row>
    <row r="127" spans="1:26">
      <c r="A127" s="703" t="s">
        <v>6999</v>
      </c>
      <c r="B127" s="13">
        <f>'F-09 EP'!B115+'F-09 MGP'!B127+'F-09 FAP'!B127</f>
        <v>24</v>
      </c>
      <c r="C127" s="13"/>
      <c r="D127" s="13"/>
      <c r="E127" s="13"/>
      <c r="F127" s="13"/>
      <c r="G127" s="13"/>
      <c r="H127" s="13"/>
      <c r="I127" s="13"/>
      <c r="J127" s="13"/>
      <c r="K127" s="13">
        <f>SUM(B127:J127)</f>
        <v>24</v>
      </c>
      <c r="L127" s="472">
        <f>'F-09 EP'!L115+'F-09 MGP'!L127+'F-09 FAP'!L127</f>
        <v>1292567.4054551586</v>
      </c>
      <c r="M127" s="13">
        <f>'F-09 EP'!M115+'F-09 MGP'!M127+'F-09 FAP'!M127</f>
        <v>46</v>
      </c>
      <c r="N127" s="13"/>
      <c r="O127" s="13"/>
      <c r="P127" s="13"/>
      <c r="Q127" s="13"/>
      <c r="R127" s="13"/>
      <c r="S127" s="13"/>
      <c r="T127" s="13"/>
      <c r="U127" s="13"/>
      <c r="V127" s="13">
        <f>SUM(M127:U127)</f>
        <v>46</v>
      </c>
      <c r="W127" s="472">
        <f>'F-09 EP'!W115+'F-09 MGP'!W127+'F-09 FAP'!W127</f>
        <v>2415450.5974551584</v>
      </c>
      <c r="Z127" s="68"/>
    </row>
    <row r="128" spans="1:26">
      <c r="A128" s="703" t="s">
        <v>6998</v>
      </c>
      <c r="B128" s="13">
        <f>'F-09 EP'!B116+'F-09 MGP'!B128+'F-09 FAP'!B128</f>
        <v>30</v>
      </c>
      <c r="C128" s="13"/>
      <c r="D128" s="13"/>
      <c r="E128" s="13"/>
      <c r="F128" s="13"/>
      <c r="G128" s="13"/>
      <c r="H128" s="13"/>
      <c r="I128" s="13"/>
      <c r="J128" s="13"/>
      <c r="K128" s="13">
        <f>SUM(B128:J128)</f>
        <v>30</v>
      </c>
      <c r="L128" s="472">
        <f>'F-09 EP'!L116+'F-09 MGP'!L128+'F-09 FAP'!L128</f>
        <v>1534837.6179028996</v>
      </c>
      <c r="M128" s="13">
        <f>'F-09 EP'!M116+'F-09 MGP'!M128+'F-09 FAP'!M128</f>
        <v>58</v>
      </c>
      <c r="N128" s="13"/>
      <c r="O128" s="13"/>
      <c r="P128" s="13"/>
      <c r="Q128" s="13"/>
      <c r="R128" s="13"/>
      <c r="S128" s="13"/>
      <c r="T128" s="13"/>
      <c r="U128" s="13"/>
      <c r="V128" s="13">
        <f>SUM(M128:U128)</f>
        <v>58</v>
      </c>
      <c r="W128" s="472">
        <f>'F-09 EP'!W116+'F-09 MGP'!W128+'F-09 FAP'!W128</f>
        <v>2880369.0415028995</v>
      </c>
      <c r="Z128" s="68"/>
    </row>
    <row r="129" spans="1:26">
      <c r="A129" s="703" t="s">
        <v>6997</v>
      </c>
      <c r="B129" s="13">
        <f>'F-09 EP'!B117+'F-09 MGP'!B129+'F-09 FAP'!B129</f>
        <v>19</v>
      </c>
      <c r="C129" s="13"/>
      <c r="D129" s="13"/>
      <c r="E129" s="13"/>
      <c r="F129" s="13"/>
      <c r="G129" s="13"/>
      <c r="H129" s="13"/>
      <c r="I129" s="13"/>
      <c r="J129" s="13"/>
      <c r="K129" s="13">
        <f>SUM(B129:J129)</f>
        <v>19</v>
      </c>
      <c r="L129" s="472">
        <f>'F-09 EP'!L117+'F-09 MGP'!L129+'F-09 FAP'!L129</f>
        <v>879812.40878354688</v>
      </c>
      <c r="M129" s="13">
        <f>'F-09 EP'!M117+'F-09 MGP'!M129+'F-09 FAP'!M129</f>
        <v>53</v>
      </c>
      <c r="N129" s="13"/>
      <c r="O129" s="13"/>
      <c r="P129" s="13"/>
      <c r="Q129" s="13"/>
      <c r="R129" s="13"/>
      <c r="S129" s="13"/>
      <c r="T129" s="13"/>
      <c r="U129" s="13"/>
      <c r="V129" s="13">
        <f>SUM(M129:U129)</f>
        <v>53</v>
      </c>
      <c r="W129" s="472">
        <f>'F-09 EP'!W117+'F-09 MGP'!W129+'F-09 FAP'!W129</f>
        <v>2343524.4759035469</v>
      </c>
      <c r="Z129" s="68"/>
    </row>
    <row r="130" spans="1:26">
      <c r="A130" s="705" t="s">
        <v>6996</v>
      </c>
      <c r="B130" s="484">
        <f t="shared" ref="B130:W130" si="33">SUM(B131:B135)</f>
        <v>32</v>
      </c>
      <c r="C130" s="484">
        <f t="shared" si="33"/>
        <v>0</v>
      </c>
      <c r="D130" s="484">
        <f t="shared" si="33"/>
        <v>0</v>
      </c>
      <c r="E130" s="484">
        <f t="shared" si="33"/>
        <v>0</v>
      </c>
      <c r="F130" s="484">
        <f t="shared" si="33"/>
        <v>0</v>
      </c>
      <c r="G130" s="484">
        <f t="shared" si="33"/>
        <v>0</v>
      </c>
      <c r="H130" s="484">
        <f t="shared" si="33"/>
        <v>0</v>
      </c>
      <c r="I130" s="484">
        <f t="shared" si="33"/>
        <v>0</v>
      </c>
      <c r="J130" s="484">
        <f t="shared" si="33"/>
        <v>0</v>
      </c>
      <c r="K130" s="484">
        <f t="shared" si="33"/>
        <v>32</v>
      </c>
      <c r="L130" s="485">
        <f t="shared" si="33"/>
        <v>1549139.6157432231</v>
      </c>
      <c r="M130" s="484">
        <f t="shared" si="33"/>
        <v>32</v>
      </c>
      <c r="N130" s="484">
        <f t="shared" si="33"/>
        <v>0</v>
      </c>
      <c r="O130" s="484">
        <f t="shared" si="33"/>
        <v>0</v>
      </c>
      <c r="P130" s="484">
        <f t="shared" si="33"/>
        <v>0</v>
      </c>
      <c r="Q130" s="484">
        <f t="shared" si="33"/>
        <v>0</v>
      </c>
      <c r="R130" s="484">
        <f t="shared" si="33"/>
        <v>0</v>
      </c>
      <c r="S130" s="484">
        <f t="shared" si="33"/>
        <v>0</v>
      </c>
      <c r="T130" s="484">
        <f t="shared" si="33"/>
        <v>0</v>
      </c>
      <c r="U130" s="484">
        <f t="shared" si="33"/>
        <v>0</v>
      </c>
      <c r="V130" s="484">
        <f t="shared" si="33"/>
        <v>32</v>
      </c>
      <c r="W130" s="485">
        <f t="shared" si="33"/>
        <v>1687472.5515432232</v>
      </c>
      <c r="Z130" s="68"/>
    </row>
    <row r="131" spans="1:26">
      <c r="A131" s="703" t="s">
        <v>6989</v>
      </c>
      <c r="B131" s="13">
        <f>'F-09 EP'!B119+'F-09 MGP'!B131+'F-09 FAP'!B131</f>
        <v>6</v>
      </c>
      <c r="C131" s="13"/>
      <c r="D131" s="13"/>
      <c r="E131" s="13"/>
      <c r="F131" s="13"/>
      <c r="G131" s="13"/>
      <c r="H131" s="13"/>
      <c r="I131" s="13"/>
      <c r="J131" s="13"/>
      <c r="K131" s="13">
        <f>SUM(B131:J131)</f>
        <v>6</v>
      </c>
      <c r="L131" s="472">
        <f>'F-09 EP'!L119+'F-09 MGP'!L131+'F-09 FAP'!L131</f>
        <v>315829.5</v>
      </c>
      <c r="M131" s="13">
        <f>'F-09 EP'!M119+'F-09 MGP'!M131+'F-09 FAP'!M131</f>
        <v>6</v>
      </c>
      <c r="N131" s="13"/>
      <c r="O131" s="13"/>
      <c r="P131" s="13"/>
      <c r="Q131" s="13"/>
      <c r="R131" s="13"/>
      <c r="S131" s="13"/>
      <c r="T131" s="13"/>
      <c r="U131" s="13"/>
      <c r="V131" s="13">
        <f>SUM(M131:U131)</f>
        <v>6</v>
      </c>
      <c r="W131" s="472">
        <f>'F-09 EP'!W119+'F-09 MGP'!W131+'F-09 FAP'!W131</f>
        <v>364383.02003999997</v>
      </c>
      <c r="Z131" s="68"/>
    </row>
    <row r="132" spans="1:26">
      <c r="A132" s="703" t="s">
        <v>6988</v>
      </c>
      <c r="B132" s="13">
        <f>'F-09 EP'!B120+'F-09 MGP'!B132+'F-09 FAP'!B132</f>
        <v>4</v>
      </c>
      <c r="C132" s="13"/>
      <c r="D132" s="13"/>
      <c r="E132" s="13"/>
      <c r="F132" s="13"/>
      <c r="G132" s="13"/>
      <c r="H132" s="13"/>
      <c r="I132" s="13"/>
      <c r="J132" s="13"/>
      <c r="K132" s="13">
        <f>SUM(B132:J132)</f>
        <v>4</v>
      </c>
      <c r="L132" s="472">
        <f>'F-09 EP'!L120+'F-09 MGP'!L132+'F-09 FAP'!L132</f>
        <v>196939.15839999999</v>
      </c>
      <c r="M132" s="13">
        <f>'F-09 EP'!M120+'F-09 MGP'!M132+'F-09 FAP'!M132</f>
        <v>4</v>
      </c>
      <c r="N132" s="13"/>
      <c r="O132" s="13"/>
      <c r="P132" s="13"/>
      <c r="Q132" s="13"/>
      <c r="R132" s="13"/>
      <c r="S132" s="13"/>
      <c r="T132" s="13"/>
      <c r="U132" s="13"/>
      <c r="V132" s="13">
        <f>SUM(M132:U132)</f>
        <v>4</v>
      </c>
      <c r="W132" s="472">
        <f>'F-09 EP'!W120+'F-09 MGP'!W132+'F-09 FAP'!W132</f>
        <v>226195.86928000001</v>
      </c>
      <c r="Z132" s="68"/>
    </row>
    <row r="133" spans="1:26">
      <c r="A133" s="703" t="s">
        <v>6986</v>
      </c>
      <c r="B133" s="13">
        <f>'F-09 EP'!B121+'F-09 MGP'!B133+'F-09 FAP'!B133</f>
        <v>5</v>
      </c>
      <c r="C133" s="13"/>
      <c r="D133" s="13"/>
      <c r="E133" s="13"/>
      <c r="F133" s="13"/>
      <c r="G133" s="13"/>
      <c r="H133" s="13"/>
      <c r="I133" s="13"/>
      <c r="J133" s="13"/>
      <c r="K133" s="13">
        <f>SUM(B133:J133)</f>
        <v>5</v>
      </c>
      <c r="L133" s="472">
        <f>'F-09 EP'!L121+'F-09 MGP'!L133+'F-09 FAP'!L133</f>
        <v>248649.02222387053</v>
      </c>
      <c r="M133" s="13">
        <f>'F-09 EP'!M121+'F-09 MGP'!M133+'F-09 FAP'!M133</f>
        <v>5</v>
      </c>
      <c r="N133" s="13"/>
      <c r="O133" s="13"/>
      <c r="P133" s="13"/>
      <c r="Q133" s="13"/>
      <c r="R133" s="13"/>
      <c r="S133" s="13"/>
      <c r="T133" s="13"/>
      <c r="U133" s="13"/>
      <c r="V133" s="13">
        <f>SUM(M133:U133)</f>
        <v>5</v>
      </c>
      <c r="W133" s="472">
        <f>'F-09 EP'!W121+'F-09 MGP'!W133+'F-09 FAP'!W133</f>
        <v>268670.63822387054</v>
      </c>
      <c r="Z133" s="68"/>
    </row>
    <row r="134" spans="1:26">
      <c r="A134" s="703" t="s">
        <v>6985</v>
      </c>
      <c r="B134" s="13">
        <f>'F-09 EP'!B122+'F-09 MGP'!B134+'F-09 FAP'!B134</f>
        <v>8</v>
      </c>
      <c r="C134" s="13"/>
      <c r="D134" s="13"/>
      <c r="E134" s="13"/>
      <c r="F134" s="13"/>
      <c r="G134" s="13"/>
      <c r="H134" s="13"/>
      <c r="I134" s="13"/>
      <c r="J134" s="13"/>
      <c r="K134" s="13">
        <f>SUM(B134:J134)</f>
        <v>8</v>
      </c>
      <c r="L134" s="472">
        <f>'F-09 EP'!L122+'F-09 MGP'!L134+'F-09 FAP'!L134</f>
        <v>382687.00844774104</v>
      </c>
      <c r="M134" s="13">
        <f>'F-09 EP'!M122+'F-09 MGP'!M134+'F-09 FAP'!M134</f>
        <v>8</v>
      </c>
      <c r="N134" s="13"/>
      <c r="O134" s="13"/>
      <c r="P134" s="13"/>
      <c r="Q134" s="13"/>
      <c r="R134" s="13"/>
      <c r="S134" s="13"/>
      <c r="T134" s="13"/>
      <c r="U134" s="13"/>
      <c r="V134" s="13">
        <f>SUM(M134:U134)</f>
        <v>8</v>
      </c>
      <c r="W134" s="472">
        <f>'F-09 EP'!W122+'F-09 MGP'!W134+'F-09 FAP'!W134</f>
        <v>406791.70604774106</v>
      </c>
      <c r="Z134" s="68"/>
    </row>
    <row r="135" spans="1:26">
      <c r="A135" s="703" t="s">
        <v>6984</v>
      </c>
      <c r="B135" s="13">
        <f>'F-09 EP'!B123+'F-09 MGP'!B135+'F-09 FAP'!B135</f>
        <v>9</v>
      </c>
      <c r="C135" s="13"/>
      <c r="D135" s="13"/>
      <c r="E135" s="13"/>
      <c r="F135" s="13"/>
      <c r="G135" s="13"/>
      <c r="H135" s="13"/>
      <c r="I135" s="13"/>
      <c r="J135" s="13"/>
      <c r="K135" s="13">
        <f>SUM(B135:J135)</f>
        <v>9</v>
      </c>
      <c r="L135" s="472">
        <f>'F-09 EP'!L123+'F-09 MGP'!L135+'F-09 FAP'!L135</f>
        <v>405034.92667161155</v>
      </c>
      <c r="M135" s="13">
        <f>'F-09 EP'!M123+'F-09 MGP'!M135+'F-09 FAP'!M135</f>
        <v>9</v>
      </c>
      <c r="N135" s="13"/>
      <c r="O135" s="13"/>
      <c r="P135" s="13"/>
      <c r="Q135" s="13"/>
      <c r="R135" s="13"/>
      <c r="S135" s="13"/>
      <c r="T135" s="13"/>
      <c r="U135" s="13"/>
      <c r="V135" s="13">
        <f>SUM(M135:U135)</f>
        <v>9</v>
      </c>
      <c r="W135" s="472">
        <f>'F-09 EP'!W123+'F-09 MGP'!W135+'F-09 FAP'!W135</f>
        <v>421431.31795161159</v>
      </c>
      <c r="Z135" s="68"/>
    </row>
    <row r="136" spans="1:26">
      <c r="A136" s="705" t="s">
        <v>2097</v>
      </c>
      <c r="B136" s="484">
        <f t="shared" ref="B136:W136" si="34">SUM(B137:B141)</f>
        <v>16</v>
      </c>
      <c r="C136" s="484">
        <f t="shared" si="34"/>
        <v>0</v>
      </c>
      <c r="D136" s="484">
        <f t="shared" si="34"/>
        <v>0</v>
      </c>
      <c r="E136" s="484">
        <f t="shared" si="34"/>
        <v>0</v>
      </c>
      <c r="F136" s="484">
        <f t="shared" si="34"/>
        <v>0</v>
      </c>
      <c r="G136" s="484">
        <f t="shared" si="34"/>
        <v>0</v>
      </c>
      <c r="H136" s="484">
        <f t="shared" si="34"/>
        <v>0</v>
      </c>
      <c r="I136" s="484">
        <f t="shared" si="34"/>
        <v>0</v>
      </c>
      <c r="J136" s="484">
        <f t="shared" si="34"/>
        <v>0</v>
      </c>
      <c r="K136" s="484">
        <f t="shared" si="34"/>
        <v>16</v>
      </c>
      <c r="L136" s="485">
        <f t="shared" si="34"/>
        <v>718514.99079999991</v>
      </c>
      <c r="M136" s="484">
        <f t="shared" si="34"/>
        <v>16</v>
      </c>
      <c r="N136" s="484">
        <f t="shared" si="34"/>
        <v>0</v>
      </c>
      <c r="O136" s="484">
        <f t="shared" si="34"/>
        <v>0</v>
      </c>
      <c r="P136" s="484">
        <f t="shared" si="34"/>
        <v>0</v>
      </c>
      <c r="Q136" s="484">
        <f t="shared" si="34"/>
        <v>0</v>
      </c>
      <c r="R136" s="484">
        <f t="shared" si="34"/>
        <v>0</v>
      </c>
      <c r="S136" s="484">
        <f t="shared" si="34"/>
        <v>0</v>
      </c>
      <c r="T136" s="484">
        <f t="shared" si="34"/>
        <v>0</v>
      </c>
      <c r="U136" s="484">
        <f t="shared" si="34"/>
        <v>0</v>
      </c>
      <c r="V136" s="484">
        <f t="shared" si="34"/>
        <v>16</v>
      </c>
      <c r="W136" s="485">
        <f t="shared" si="34"/>
        <v>820239.81441999995</v>
      </c>
      <c r="Z136" s="68"/>
    </row>
    <row r="137" spans="1:26">
      <c r="A137" s="703" t="s">
        <v>6989</v>
      </c>
      <c r="B137" s="13">
        <f>'F-09 EP'!B125+'F-09 MGP'!B137+'F-09 FAP'!B137</f>
        <v>1</v>
      </c>
      <c r="C137" s="13"/>
      <c r="D137" s="13"/>
      <c r="E137" s="13"/>
      <c r="F137" s="13"/>
      <c r="G137" s="13"/>
      <c r="H137" s="13"/>
      <c r="I137" s="13"/>
      <c r="J137" s="13"/>
      <c r="K137" s="13">
        <f>SUM(B137:J137)</f>
        <v>1</v>
      </c>
      <c r="L137" s="472">
        <f>'F-09 EP'!L125+'F-09 MGP'!L137+'F-09 FAP'!L137</f>
        <v>52638.25</v>
      </c>
      <c r="M137" s="13">
        <f>'F-09 EP'!M125+'F-09 MGP'!M137+'F-09 FAP'!M137</f>
        <v>1</v>
      </c>
      <c r="N137" s="13"/>
      <c r="O137" s="13"/>
      <c r="P137" s="13"/>
      <c r="Q137" s="13"/>
      <c r="R137" s="13"/>
      <c r="S137" s="13"/>
      <c r="T137" s="13"/>
      <c r="U137" s="13"/>
      <c r="V137" s="13">
        <f>SUM(M137:U137)</f>
        <v>1</v>
      </c>
      <c r="W137" s="472">
        <f>'F-09 EP'!W125+'F-09 MGP'!W137+'F-09 FAP'!W137</f>
        <v>60730.503340000003</v>
      </c>
      <c r="Z137" s="68"/>
    </row>
    <row r="138" spans="1:26">
      <c r="A138" s="703" t="s">
        <v>6988</v>
      </c>
      <c r="B138" s="13">
        <f>'F-09 EP'!B126+'F-09 MGP'!B138+'F-09 FAP'!B138</f>
        <v>3</v>
      </c>
      <c r="C138" s="13"/>
      <c r="D138" s="13"/>
      <c r="E138" s="13"/>
      <c r="F138" s="13"/>
      <c r="G138" s="13"/>
      <c r="H138" s="13"/>
      <c r="I138" s="13"/>
      <c r="J138" s="13"/>
      <c r="K138" s="13">
        <f>SUM(B138:J138)</f>
        <v>3</v>
      </c>
      <c r="L138" s="472">
        <f>'F-09 EP'!L126+'F-09 MGP'!L138+'F-09 FAP'!L138</f>
        <v>147704.36879999997</v>
      </c>
      <c r="M138" s="13">
        <f>'F-09 EP'!M126+'F-09 MGP'!M138+'F-09 FAP'!M138</f>
        <v>3</v>
      </c>
      <c r="N138" s="13"/>
      <c r="O138" s="13"/>
      <c r="P138" s="13"/>
      <c r="Q138" s="13"/>
      <c r="R138" s="13"/>
      <c r="S138" s="13"/>
      <c r="T138" s="13"/>
      <c r="U138" s="13"/>
      <c r="V138" s="13">
        <f>SUM(M138:U138)</f>
        <v>3</v>
      </c>
      <c r="W138" s="472">
        <f>'F-09 EP'!W126+'F-09 MGP'!W138+'F-09 FAP'!W138</f>
        <v>169646.90195999999</v>
      </c>
      <c r="Z138" s="68"/>
    </row>
    <row r="139" spans="1:26">
      <c r="A139" s="703" t="s">
        <v>6986</v>
      </c>
      <c r="B139" s="13">
        <f>'F-09 EP'!B127+'F-09 MGP'!B139+'F-09 FAP'!B139</f>
        <v>1</v>
      </c>
      <c r="C139" s="13"/>
      <c r="D139" s="13"/>
      <c r="E139" s="13"/>
      <c r="F139" s="13"/>
      <c r="G139" s="13"/>
      <c r="H139" s="13"/>
      <c r="I139" s="13"/>
      <c r="J139" s="13"/>
      <c r="K139" s="13">
        <f>SUM(B139:J139)</f>
        <v>1</v>
      </c>
      <c r="L139" s="472">
        <f>'F-09 EP'!L127+'F-09 MGP'!L139+'F-09 FAP'!L139</f>
        <v>46428.334000000003</v>
      </c>
      <c r="M139" s="13">
        <f>'F-09 EP'!M127+'F-09 MGP'!M139+'F-09 FAP'!M139</f>
        <v>1</v>
      </c>
      <c r="N139" s="13"/>
      <c r="O139" s="13"/>
      <c r="P139" s="13"/>
      <c r="Q139" s="13"/>
      <c r="R139" s="13"/>
      <c r="S139" s="13"/>
      <c r="T139" s="13"/>
      <c r="U139" s="13"/>
      <c r="V139" s="13">
        <f>SUM(M139:U139)</f>
        <v>1</v>
      </c>
      <c r="W139" s="472">
        <f>'F-09 EP'!W127+'F-09 MGP'!W139+'F-09 FAP'!W139</f>
        <v>53102.205999999998</v>
      </c>
      <c r="Z139" s="68"/>
    </row>
    <row r="140" spans="1:26">
      <c r="A140" s="703" t="s">
        <v>6985</v>
      </c>
      <c r="B140" s="13">
        <f>'F-09 EP'!B128+'F-09 MGP'!B140+'F-09 FAP'!B140</f>
        <v>9</v>
      </c>
      <c r="C140" s="13"/>
      <c r="D140" s="13"/>
      <c r="E140" s="13"/>
      <c r="F140" s="13"/>
      <c r="G140" s="13"/>
      <c r="H140" s="13"/>
      <c r="I140" s="13"/>
      <c r="J140" s="13"/>
      <c r="K140" s="13">
        <f>SUM(B140:J140)</f>
        <v>9</v>
      </c>
      <c r="L140" s="472">
        <f>'F-09 EP'!L128+'F-09 MGP'!L140+'F-09 FAP'!L140</f>
        <v>394827.67800000001</v>
      </c>
      <c r="M140" s="13">
        <f>'F-09 EP'!M128+'F-09 MGP'!M140+'F-09 FAP'!M140</f>
        <v>9</v>
      </c>
      <c r="N140" s="13"/>
      <c r="O140" s="13"/>
      <c r="P140" s="13"/>
      <c r="Q140" s="13"/>
      <c r="R140" s="13"/>
      <c r="S140" s="13"/>
      <c r="T140" s="13"/>
      <c r="U140" s="13"/>
      <c r="V140" s="13">
        <f>SUM(M140:U140)</f>
        <v>9</v>
      </c>
      <c r="W140" s="472">
        <f>'F-09 EP'!W128+'F-09 MGP'!W140+'F-09 FAP'!W140</f>
        <v>449063.2476</v>
      </c>
      <c r="Z140" s="68"/>
    </row>
    <row r="141" spans="1:26">
      <c r="A141" s="703" t="s">
        <v>6984</v>
      </c>
      <c r="B141" s="13">
        <f>'F-09 EP'!B129+'F-09 MGP'!B141+'F-09 FAP'!B141</f>
        <v>2</v>
      </c>
      <c r="C141" s="13"/>
      <c r="D141" s="13"/>
      <c r="E141" s="13"/>
      <c r="F141" s="13"/>
      <c r="G141" s="13"/>
      <c r="H141" s="13"/>
      <c r="I141" s="13"/>
      <c r="J141" s="13"/>
      <c r="K141" s="13">
        <f>SUM(B141:J141)</f>
        <v>2</v>
      </c>
      <c r="L141" s="472">
        <f>'F-09 EP'!L129+'F-09 MGP'!L141+'F-09 FAP'!L141</f>
        <v>76916.36</v>
      </c>
      <c r="M141" s="13">
        <f>'F-09 EP'!M129+'F-09 MGP'!M141+'F-09 FAP'!M141</f>
        <v>2</v>
      </c>
      <c r="N141" s="13"/>
      <c r="O141" s="13"/>
      <c r="P141" s="13"/>
      <c r="Q141" s="13"/>
      <c r="R141" s="13"/>
      <c r="S141" s="13"/>
      <c r="T141" s="13"/>
      <c r="U141" s="13"/>
      <c r="V141" s="13">
        <f>SUM(M141:U141)</f>
        <v>2</v>
      </c>
      <c r="W141" s="472">
        <f>'F-09 EP'!W129+'F-09 MGP'!W141+'F-09 FAP'!W141</f>
        <v>87696.955520000003</v>
      </c>
      <c r="Z141" s="68"/>
    </row>
    <row r="142" spans="1:26">
      <c r="A142" s="705" t="s">
        <v>6995</v>
      </c>
      <c r="B142" s="484">
        <f t="shared" ref="B142:W142" si="35">SUM(B143:B147)</f>
        <v>1</v>
      </c>
      <c r="C142" s="484">
        <f t="shared" si="35"/>
        <v>0</v>
      </c>
      <c r="D142" s="484">
        <f t="shared" si="35"/>
        <v>0</v>
      </c>
      <c r="E142" s="484">
        <f t="shared" si="35"/>
        <v>0</v>
      </c>
      <c r="F142" s="484">
        <f t="shared" si="35"/>
        <v>0</v>
      </c>
      <c r="G142" s="484">
        <f t="shared" si="35"/>
        <v>0</v>
      </c>
      <c r="H142" s="484">
        <f t="shared" si="35"/>
        <v>0</v>
      </c>
      <c r="I142" s="484">
        <f t="shared" si="35"/>
        <v>0</v>
      </c>
      <c r="J142" s="484">
        <f t="shared" si="35"/>
        <v>0</v>
      </c>
      <c r="K142" s="484">
        <f t="shared" si="35"/>
        <v>1</v>
      </c>
      <c r="L142" s="485">
        <f t="shared" si="35"/>
        <v>52638.25</v>
      </c>
      <c r="M142" s="484">
        <f t="shared" si="35"/>
        <v>1</v>
      </c>
      <c r="N142" s="484">
        <f t="shared" si="35"/>
        <v>0</v>
      </c>
      <c r="O142" s="484">
        <f t="shared" si="35"/>
        <v>0</v>
      </c>
      <c r="P142" s="484">
        <f t="shared" si="35"/>
        <v>0</v>
      </c>
      <c r="Q142" s="484">
        <f t="shared" si="35"/>
        <v>0</v>
      </c>
      <c r="R142" s="484">
        <f t="shared" si="35"/>
        <v>0</v>
      </c>
      <c r="S142" s="484">
        <f t="shared" si="35"/>
        <v>0</v>
      </c>
      <c r="T142" s="484">
        <f t="shared" si="35"/>
        <v>0</v>
      </c>
      <c r="U142" s="484">
        <f t="shared" si="35"/>
        <v>0</v>
      </c>
      <c r="V142" s="484">
        <f t="shared" si="35"/>
        <v>1</v>
      </c>
      <c r="W142" s="485">
        <f t="shared" si="35"/>
        <v>60730.503340000003</v>
      </c>
      <c r="Z142" s="68"/>
    </row>
    <row r="143" spans="1:26">
      <c r="A143" s="703" t="s">
        <v>6989</v>
      </c>
      <c r="B143" s="13">
        <f>'F-09 EP'!B131+'F-09 MGP'!B143+'F-09 FAP'!B143</f>
        <v>1</v>
      </c>
      <c r="C143" s="13"/>
      <c r="D143" s="13"/>
      <c r="E143" s="13"/>
      <c r="F143" s="13"/>
      <c r="G143" s="13"/>
      <c r="H143" s="13"/>
      <c r="I143" s="13"/>
      <c r="J143" s="13"/>
      <c r="K143" s="13">
        <f>SUM(B143:J143)</f>
        <v>1</v>
      </c>
      <c r="L143" s="472">
        <f>'F-09 EP'!L131+'F-09 MGP'!L143+'F-09 FAP'!L143</f>
        <v>52638.25</v>
      </c>
      <c r="M143" s="13">
        <f>'F-09 EP'!M131+'F-09 MGP'!M143+'F-09 FAP'!M143</f>
        <v>1</v>
      </c>
      <c r="N143" s="13"/>
      <c r="O143" s="13"/>
      <c r="P143" s="13"/>
      <c r="Q143" s="13"/>
      <c r="R143" s="13"/>
      <c r="S143" s="13"/>
      <c r="T143" s="13"/>
      <c r="U143" s="13"/>
      <c r="V143" s="13">
        <f>SUM(M143:U143)</f>
        <v>1</v>
      </c>
      <c r="W143" s="472">
        <f>'F-09 EP'!W131+'F-09 MGP'!W143+'F-09 FAP'!W143</f>
        <v>60730.503340000003</v>
      </c>
      <c r="Z143" s="68"/>
    </row>
    <row r="144" spans="1:26" hidden="1">
      <c r="A144" s="703" t="s">
        <v>6988</v>
      </c>
      <c r="B144" s="13">
        <f>'F-09 EP'!B132+'F-09 MGP'!B144+'F-09 FAP'!B144</f>
        <v>0</v>
      </c>
      <c r="C144" s="13"/>
      <c r="D144" s="13"/>
      <c r="E144" s="13"/>
      <c r="F144" s="13"/>
      <c r="G144" s="13"/>
      <c r="H144" s="13"/>
      <c r="I144" s="13"/>
      <c r="J144" s="13"/>
      <c r="K144" s="13">
        <f>SUM(B144:J144)</f>
        <v>0</v>
      </c>
      <c r="L144" s="472">
        <f>'F-09 EP'!L132+'F-09 MGP'!L144+'F-09 FAP'!L144</f>
        <v>0</v>
      </c>
      <c r="M144" s="13">
        <f>'F-09 EP'!M132+'F-09 MGP'!M144+'F-09 FAP'!M144</f>
        <v>0</v>
      </c>
      <c r="N144" s="13"/>
      <c r="O144" s="13"/>
      <c r="P144" s="13"/>
      <c r="Q144" s="13"/>
      <c r="R144" s="13"/>
      <c r="S144" s="13"/>
      <c r="T144" s="13"/>
      <c r="U144" s="13"/>
      <c r="V144" s="13">
        <f>SUM(M144:U144)</f>
        <v>0</v>
      </c>
      <c r="W144" s="472">
        <f>'F-09 EP'!W132+'F-09 MGP'!W144+'F-09 FAP'!W144</f>
        <v>0</v>
      </c>
      <c r="Z144" s="68"/>
    </row>
    <row r="145" spans="1:26" hidden="1">
      <c r="A145" s="703" t="s">
        <v>6986</v>
      </c>
      <c r="B145" s="13">
        <f>'F-09 EP'!B133+'F-09 MGP'!B145+'F-09 FAP'!B145</f>
        <v>0</v>
      </c>
      <c r="C145" s="13"/>
      <c r="D145" s="13"/>
      <c r="E145" s="13"/>
      <c r="F145" s="13"/>
      <c r="G145" s="13"/>
      <c r="H145" s="13"/>
      <c r="I145" s="13"/>
      <c r="J145" s="13"/>
      <c r="K145" s="13">
        <f>SUM(B145:J145)</f>
        <v>0</v>
      </c>
      <c r="L145" s="472">
        <f>'F-09 EP'!L133+'F-09 MGP'!L145+'F-09 FAP'!L145</f>
        <v>0</v>
      </c>
      <c r="M145" s="13">
        <f>'F-09 EP'!M133+'F-09 MGP'!M145+'F-09 FAP'!M145</f>
        <v>0</v>
      </c>
      <c r="N145" s="13"/>
      <c r="O145" s="13"/>
      <c r="P145" s="13"/>
      <c r="Q145" s="13"/>
      <c r="R145" s="13"/>
      <c r="S145" s="13"/>
      <c r="T145" s="13"/>
      <c r="U145" s="13"/>
      <c r="V145" s="13">
        <f>SUM(M145:U145)</f>
        <v>0</v>
      </c>
      <c r="W145" s="472">
        <f>'F-09 EP'!W133+'F-09 MGP'!W145+'F-09 FAP'!W145</f>
        <v>0</v>
      </c>
      <c r="Z145" s="68"/>
    </row>
    <row r="146" spans="1:26" hidden="1">
      <c r="A146" s="703" t="s">
        <v>6985</v>
      </c>
      <c r="B146" s="13">
        <f>'F-09 EP'!B134+'F-09 MGP'!B146+'F-09 FAP'!B146</f>
        <v>0</v>
      </c>
      <c r="C146" s="13"/>
      <c r="D146" s="13"/>
      <c r="E146" s="13"/>
      <c r="F146" s="13"/>
      <c r="G146" s="13"/>
      <c r="H146" s="13"/>
      <c r="I146" s="13"/>
      <c r="J146" s="13"/>
      <c r="K146" s="13">
        <f>SUM(B146:J146)</f>
        <v>0</v>
      </c>
      <c r="L146" s="472">
        <f>'F-09 EP'!L134+'F-09 MGP'!L146+'F-09 FAP'!L146</f>
        <v>0</v>
      </c>
      <c r="M146" s="13">
        <f>'F-09 EP'!M134+'F-09 MGP'!M146+'F-09 FAP'!M146</f>
        <v>0</v>
      </c>
      <c r="N146" s="13"/>
      <c r="O146" s="13"/>
      <c r="P146" s="13"/>
      <c r="Q146" s="13"/>
      <c r="R146" s="13"/>
      <c r="S146" s="13"/>
      <c r="T146" s="13"/>
      <c r="U146" s="13"/>
      <c r="V146" s="13">
        <f>SUM(M146:U146)</f>
        <v>0</v>
      </c>
      <c r="W146" s="472">
        <f>'F-09 EP'!W134+'F-09 MGP'!W146+'F-09 FAP'!W146</f>
        <v>0</v>
      </c>
      <c r="Z146" s="68"/>
    </row>
    <row r="147" spans="1:26" hidden="1">
      <c r="A147" s="703" t="s">
        <v>6984</v>
      </c>
      <c r="B147" s="13">
        <f>'F-09 EP'!B135+'F-09 MGP'!B147+'F-09 FAP'!B147</f>
        <v>0</v>
      </c>
      <c r="C147" s="13"/>
      <c r="D147" s="13"/>
      <c r="E147" s="13"/>
      <c r="F147" s="13"/>
      <c r="G147" s="13"/>
      <c r="H147" s="13"/>
      <c r="I147" s="13"/>
      <c r="J147" s="13"/>
      <c r="K147" s="13">
        <f>SUM(B147:J147)</f>
        <v>0</v>
      </c>
      <c r="L147" s="472">
        <f>'F-09 EP'!L135+'F-09 MGP'!L147+'F-09 FAP'!L147</f>
        <v>0</v>
      </c>
      <c r="M147" s="13">
        <f>'F-09 EP'!M135+'F-09 MGP'!M147+'F-09 FAP'!M147</f>
        <v>0</v>
      </c>
      <c r="N147" s="13"/>
      <c r="O147" s="13"/>
      <c r="P147" s="13"/>
      <c r="Q147" s="13"/>
      <c r="R147" s="13"/>
      <c r="S147" s="13"/>
      <c r="T147" s="13"/>
      <c r="U147" s="13"/>
      <c r="V147" s="13">
        <f>SUM(M147:U147)</f>
        <v>0</v>
      </c>
      <c r="W147" s="472">
        <f>'F-09 EP'!W135+'F-09 MGP'!W147+'F-09 FAP'!W147</f>
        <v>0</v>
      </c>
      <c r="Z147" s="68"/>
    </row>
    <row r="148" spans="1:26">
      <c r="A148" s="705" t="s">
        <v>6994</v>
      </c>
      <c r="B148" s="484">
        <f t="shared" ref="B148:W148" si="36">SUM(B149:B153)</f>
        <v>11</v>
      </c>
      <c r="C148" s="484">
        <f t="shared" si="36"/>
        <v>0</v>
      </c>
      <c r="D148" s="484">
        <f t="shared" si="36"/>
        <v>0</v>
      </c>
      <c r="E148" s="484">
        <f t="shared" si="36"/>
        <v>0</v>
      </c>
      <c r="F148" s="484">
        <f t="shared" si="36"/>
        <v>0</v>
      </c>
      <c r="G148" s="484">
        <f t="shared" si="36"/>
        <v>0</v>
      </c>
      <c r="H148" s="484">
        <f t="shared" si="36"/>
        <v>0</v>
      </c>
      <c r="I148" s="484">
        <f t="shared" si="36"/>
        <v>0</v>
      </c>
      <c r="J148" s="484">
        <f t="shared" si="36"/>
        <v>0</v>
      </c>
      <c r="K148" s="484">
        <f t="shared" si="36"/>
        <v>11</v>
      </c>
      <c r="L148" s="485">
        <f t="shared" si="36"/>
        <v>506897.26520000002</v>
      </c>
      <c r="M148" s="484">
        <f t="shared" si="36"/>
        <v>11</v>
      </c>
      <c r="N148" s="484">
        <f t="shared" si="36"/>
        <v>0</v>
      </c>
      <c r="O148" s="484">
        <f t="shared" si="36"/>
        <v>0</v>
      </c>
      <c r="P148" s="484">
        <f t="shared" si="36"/>
        <v>0</v>
      </c>
      <c r="Q148" s="484">
        <f t="shared" si="36"/>
        <v>0</v>
      </c>
      <c r="R148" s="484">
        <f t="shared" si="36"/>
        <v>0</v>
      </c>
      <c r="S148" s="484">
        <f t="shared" si="36"/>
        <v>0</v>
      </c>
      <c r="T148" s="484">
        <f t="shared" si="36"/>
        <v>0</v>
      </c>
      <c r="U148" s="484">
        <f t="shared" si="36"/>
        <v>0</v>
      </c>
      <c r="V148" s="484">
        <f t="shared" si="36"/>
        <v>11</v>
      </c>
      <c r="W148" s="485">
        <f t="shared" si="36"/>
        <v>556671.48872000002</v>
      </c>
      <c r="Z148" s="68"/>
    </row>
    <row r="149" spans="1:26" hidden="1">
      <c r="A149" s="703" t="s">
        <v>6989</v>
      </c>
      <c r="B149" s="13">
        <f>'F-09 EP'!B137+'F-09 MGP'!B149+'F-09 FAP'!B149</f>
        <v>0</v>
      </c>
      <c r="C149" s="13"/>
      <c r="D149" s="13"/>
      <c r="E149" s="13"/>
      <c r="F149" s="13"/>
      <c r="G149" s="13"/>
      <c r="H149" s="13"/>
      <c r="I149" s="13"/>
      <c r="J149" s="13"/>
      <c r="K149" s="13">
        <f>SUM(B149:J149)</f>
        <v>0</v>
      </c>
      <c r="L149" s="472">
        <f>'F-09 EP'!L137+'F-09 MGP'!L149+'F-09 FAP'!L149</f>
        <v>0</v>
      </c>
      <c r="M149" s="13">
        <f>'F-09 EP'!M137+'F-09 MGP'!M149+'F-09 FAP'!M149</f>
        <v>0</v>
      </c>
      <c r="N149" s="13"/>
      <c r="O149" s="13"/>
      <c r="P149" s="13"/>
      <c r="Q149" s="13"/>
      <c r="R149" s="13"/>
      <c r="S149" s="13"/>
      <c r="T149" s="13"/>
      <c r="U149" s="13"/>
      <c r="V149" s="13">
        <f>SUM(M149:U149)</f>
        <v>0</v>
      </c>
      <c r="W149" s="472">
        <f>'F-09 EP'!W137+'F-09 MGP'!W149+'F-09 FAP'!W149</f>
        <v>0</v>
      </c>
      <c r="Z149" s="68"/>
    </row>
    <row r="150" spans="1:26">
      <c r="A150" s="703" t="s">
        <v>6988</v>
      </c>
      <c r="B150" s="13">
        <f>'F-09 EP'!B138+'F-09 MGP'!B150+'F-09 FAP'!B150</f>
        <v>2</v>
      </c>
      <c r="C150" s="13"/>
      <c r="D150" s="13"/>
      <c r="E150" s="13"/>
      <c r="F150" s="13"/>
      <c r="G150" s="13"/>
      <c r="H150" s="13"/>
      <c r="I150" s="13"/>
      <c r="J150" s="13"/>
      <c r="K150" s="13">
        <f>SUM(B150:J150)</f>
        <v>2</v>
      </c>
      <c r="L150" s="472">
        <f>'F-09 EP'!L138+'F-09 MGP'!L150+'F-09 FAP'!L150</f>
        <v>98469.579199999993</v>
      </c>
      <c r="M150" s="13">
        <f>'F-09 EP'!M138+'F-09 MGP'!M150+'F-09 FAP'!M150</f>
        <v>2</v>
      </c>
      <c r="N150" s="13"/>
      <c r="O150" s="13"/>
      <c r="P150" s="13"/>
      <c r="Q150" s="13"/>
      <c r="R150" s="13"/>
      <c r="S150" s="13"/>
      <c r="T150" s="13"/>
      <c r="U150" s="13"/>
      <c r="V150" s="13">
        <f>SUM(M150:U150)</f>
        <v>2</v>
      </c>
      <c r="W150" s="472">
        <f>'F-09 EP'!W138+'F-09 MGP'!W150+'F-09 FAP'!W150</f>
        <v>113097.93464000001</v>
      </c>
      <c r="Z150" s="68"/>
    </row>
    <row r="151" spans="1:26">
      <c r="A151" s="703" t="s">
        <v>6986</v>
      </c>
      <c r="B151" s="13">
        <f>'F-09 EP'!B139+'F-09 MGP'!B151+'F-09 FAP'!B151</f>
        <v>4</v>
      </c>
      <c r="C151" s="13"/>
      <c r="D151" s="13"/>
      <c r="E151" s="13"/>
      <c r="F151" s="13"/>
      <c r="G151" s="13"/>
      <c r="H151" s="13"/>
      <c r="I151" s="13"/>
      <c r="J151" s="13"/>
      <c r="K151" s="13">
        <f>SUM(B151:J151)</f>
        <v>4</v>
      </c>
      <c r="L151" s="472">
        <f>'F-09 EP'!L139+'F-09 MGP'!L151+'F-09 FAP'!L151</f>
        <v>185713.33600000001</v>
      </c>
      <c r="M151" s="13">
        <f>'F-09 EP'!M139+'F-09 MGP'!M151+'F-09 FAP'!M151</f>
        <v>4</v>
      </c>
      <c r="N151" s="13"/>
      <c r="O151" s="13"/>
      <c r="P151" s="13"/>
      <c r="Q151" s="13"/>
      <c r="R151" s="13"/>
      <c r="S151" s="13"/>
      <c r="T151" s="13"/>
      <c r="U151" s="13"/>
      <c r="V151" s="13">
        <f>SUM(M151:U151)</f>
        <v>4</v>
      </c>
      <c r="W151" s="472">
        <f>'F-09 EP'!W139+'F-09 MGP'!W151+'F-09 FAP'!W151</f>
        <v>212408.82399999999</v>
      </c>
      <c r="Z151" s="68"/>
    </row>
    <row r="152" spans="1:26">
      <c r="A152" s="703" t="s">
        <v>6985</v>
      </c>
      <c r="B152" s="13">
        <f>'F-09 EP'!B140+'F-09 MGP'!B152+'F-09 FAP'!B152</f>
        <v>2</v>
      </c>
      <c r="C152" s="13"/>
      <c r="D152" s="13"/>
      <c r="E152" s="13"/>
      <c r="F152" s="13"/>
      <c r="G152" s="13"/>
      <c r="H152" s="13"/>
      <c r="I152" s="13"/>
      <c r="J152" s="13"/>
      <c r="K152" s="13">
        <f>SUM(B152:J152)</f>
        <v>2</v>
      </c>
      <c r="L152" s="472">
        <f>'F-09 EP'!L140+'F-09 MGP'!L152+'F-09 FAP'!L152</f>
        <v>87739.483999999997</v>
      </c>
      <c r="M152" s="13">
        <f>'F-09 EP'!M140+'F-09 MGP'!M152+'F-09 FAP'!M152</f>
        <v>2</v>
      </c>
      <c r="N152" s="13"/>
      <c r="O152" s="13"/>
      <c r="P152" s="13"/>
      <c r="Q152" s="13"/>
      <c r="R152" s="13"/>
      <c r="S152" s="13"/>
      <c r="T152" s="13"/>
      <c r="U152" s="13"/>
      <c r="V152" s="13">
        <f>SUM(M152:U152)</f>
        <v>2</v>
      </c>
      <c r="W152" s="472">
        <f>'F-09 EP'!W140+'F-09 MGP'!W152+'F-09 FAP'!W152</f>
        <v>97793.472800000003</v>
      </c>
      <c r="Z152" s="68"/>
    </row>
    <row r="153" spans="1:26">
      <c r="A153" s="703" t="s">
        <v>6984</v>
      </c>
      <c r="B153" s="13">
        <f>'F-09 EP'!B141+'F-09 MGP'!B153+'F-09 FAP'!B153</f>
        <v>3</v>
      </c>
      <c r="C153" s="13"/>
      <c r="D153" s="13"/>
      <c r="E153" s="13"/>
      <c r="F153" s="13"/>
      <c r="G153" s="13"/>
      <c r="H153" s="13"/>
      <c r="I153" s="13"/>
      <c r="J153" s="13"/>
      <c r="K153" s="13">
        <f>SUM(B153:J153)</f>
        <v>3</v>
      </c>
      <c r="L153" s="472">
        <f>'F-09 EP'!L141+'F-09 MGP'!L153+'F-09 FAP'!L153</f>
        <v>134974.86600000001</v>
      </c>
      <c r="M153" s="13">
        <f>'F-09 EP'!M141+'F-09 MGP'!M153+'F-09 FAP'!M153</f>
        <v>3</v>
      </c>
      <c r="N153" s="13"/>
      <c r="O153" s="13"/>
      <c r="P153" s="13"/>
      <c r="Q153" s="13"/>
      <c r="R153" s="13"/>
      <c r="S153" s="13"/>
      <c r="T153" s="13"/>
      <c r="U153" s="13"/>
      <c r="V153" s="13">
        <f>SUM(M153:U153)</f>
        <v>3</v>
      </c>
      <c r="W153" s="472">
        <f>'F-09 EP'!W141+'F-09 MGP'!W153+'F-09 FAP'!W153</f>
        <v>133371.25727999999</v>
      </c>
      <c r="Z153" s="68"/>
    </row>
    <row r="154" spans="1:26">
      <c r="A154" s="705" t="s">
        <v>6993</v>
      </c>
      <c r="B154" s="484">
        <f t="shared" ref="B154:W154" si="37">SUM(B155:B159)</f>
        <v>83</v>
      </c>
      <c r="C154" s="484">
        <f t="shared" si="37"/>
        <v>0</v>
      </c>
      <c r="D154" s="484">
        <f t="shared" si="37"/>
        <v>0</v>
      </c>
      <c r="E154" s="484">
        <f t="shared" si="37"/>
        <v>0</v>
      </c>
      <c r="F154" s="484">
        <f t="shared" si="37"/>
        <v>0</v>
      </c>
      <c r="G154" s="484">
        <f t="shared" si="37"/>
        <v>0</v>
      </c>
      <c r="H154" s="484">
        <f t="shared" si="37"/>
        <v>0</v>
      </c>
      <c r="I154" s="484">
        <f t="shared" si="37"/>
        <v>0</v>
      </c>
      <c r="J154" s="484">
        <f t="shared" si="37"/>
        <v>0</v>
      </c>
      <c r="K154" s="484">
        <f t="shared" si="37"/>
        <v>83</v>
      </c>
      <c r="L154" s="485">
        <f t="shared" si="37"/>
        <v>3718411.0088</v>
      </c>
      <c r="M154" s="484">
        <f t="shared" si="37"/>
        <v>84</v>
      </c>
      <c r="N154" s="484">
        <f t="shared" si="37"/>
        <v>0</v>
      </c>
      <c r="O154" s="484">
        <f t="shared" si="37"/>
        <v>0</v>
      </c>
      <c r="P154" s="484">
        <f t="shared" si="37"/>
        <v>0</v>
      </c>
      <c r="Q154" s="484">
        <f t="shared" si="37"/>
        <v>0</v>
      </c>
      <c r="R154" s="484">
        <f t="shared" si="37"/>
        <v>0</v>
      </c>
      <c r="S154" s="484">
        <f t="shared" si="37"/>
        <v>0</v>
      </c>
      <c r="T154" s="484">
        <f t="shared" si="37"/>
        <v>0</v>
      </c>
      <c r="U154" s="484">
        <f t="shared" si="37"/>
        <v>0</v>
      </c>
      <c r="V154" s="484">
        <f t="shared" si="37"/>
        <v>84</v>
      </c>
      <c r="W154" s="485">
        <f t="shared" si="37"/>
        <v>4243952.4223200008</v>
      </c>
      <c r="Z154" s="68"/>
    </row>
    <row r="155" spans="1:26">
      <c r="A155" s="703" t="s">
        <v>6989</v>
      </c>
      <c r="B155" s="13">
        <f>'F-09 EP'!B143+'F-09 MGP'!B155+'F-09 FAP'!B155</f>
        <v>8</v>
      </c>
      <c r="C155" s="13"/>
      <c r="D155" s="13"/>
      <c r="E155" s="13"/>
      <c r="F155" s="13"/>
      <c r="G155" s="13"/>
      <c r="H155" s="13"/>
      <c r="I155" s="13"/>
      <c r="J155" s="13"/>
      <c r="K155" s="13">
        <f>SUM(B155:J155)</f>
        <v>8</v>
      </c>
      <c r="L155" s="472">
        <f>'F-09 EP'!L143+'F-09 MGP'!L155+'F-09 FAP'!L155</f>
        <v>439106</v>
      </c>
      <c r="M155" s="13">
        <f>'F-09 EP'!M143+'F-09 MGP'!M155+'F-09 FAP'!M155</f>
        <v>8</v>
      </c>
      <c r="N155" s="13"/>
      <c r="O155" s="13"/>
      <c r="P155" s="13"/>
      <c r="Q155" s="13"/>
      <c r="R155" s="13"/>
      <c r="S155" s="13"/>
      <c r="T155" s="13"/>
      <c r="U155" s="13"/>
      <c r="V155" s="13">
        <f>SUM(M155:U155)</f>
        <v>8</v>
      </c>
      <c r="W155" s="472">
        <f>'F-09 EP'!W143+'F-09 MGP'!W155+'F-09 FAP'!W155</f>
        <v>483402.86072</v>
      </c>
      <c r="Z155" s="68"/>
    </row>
    <row r="156" spans="1:26">
      <c r="A156" s="703" t="s">
        <v>6988</v>
      </c>
      <c r="B156" s="13">
        <f>'F-09 EP'!B144+'F-09 MGP'!B156+'F-09 FAP'!B156</f>
        <v>8</v>
      </c>
      <c r="C156" s="13"/>
      <c r="D156" s="13"/>
      <c r="E156" s="13"/>
      <c r="F156" s="13"/>
      <c r="G156" s="13"/>
      <c r="H156" s="13"/>
      <c r="I156" s="13"/>
      <c r="J156" s="13"/>
      <c r="K156" s="13">
        <f>SUM(B156:J156)</f>
        <v>8</v>
      </c>
      <c r="L156" s="472">
        <f>'F-09 EP'!L144+'F-09 MGP'!L156+'F-09 FAP'!L156</f>
        <v>411878.31679999997</v>
      </c>
      <c r="M156" s="13">
        <f>'F-09 EP'!M144+'F-09 MGP'!M156+'F-09 FAP'!M156</f>
        <v>8</v>
      </c>
      <c r="N156" s="13"/>
      <c r="O156" s="13"/>
      <c r="P156" s="13"/>
      <c r="Q156" s="13"/>
      <c r="R156" s="13"/>
      <c r="S156" s="13"/>
      <c r="T156" s="13"/>
      <c r="U156" s="13"/>
      <c r="V156" s="13">
        <f>SUM(M156:U156)</f>
        <v>8</v>
      </c>
      <c r="W156" s="472">
        <f>'F-09 EP'!W144+'F-09 MGP'!W156+'F-09 FAP'!W156</f>
        <v>452391.73856000003</v>
      </c>
      <c r="Z156" s="68"/>
    </row>
    <row r="157" spans="1:26">
      <c r="A157" s="703" t="s">
        <v>6986</v>
      </c>
      <c r="B157" s="13">
        <f>'F-09 EP'!B145+'F-09 MGP'!B157+'F-09 FAP'!B157</f>
        <v>22</v>
      </c>
      <c r="C157" s="13"/>
      <c r="D157" s="13"/>
      <c r="E157" s="13"/>
      <c r="F157" s="13"/>
      <c r="G157" s="13"/>
      <c r="H157" s="13"/>
      <c r="I157" s="13"/>
      <c r="J157" s="13"/>
      <c r="K157" s="13">
        <f>SUM(B157:J157)</f>
        <v>22</v>
      </c>
      <c r="L157" s="472">
        <f>'F-09 EP'!L145+'F-09 MGP'!L157+'F-09 FAP'!L157</f>
        <v>1021423.348</v>
      </c>
      <c r="M157" s="13">
        <f>'F-09 EP'!M145+'F-09 MGP'!M157+'F-09 FAP'!M157</f>
        <v>22</v>
      </c>
      <c r="N157" s="13"/>
      <c r="O157" s="13"/>
      <c r="P157" s="13"/>
      <c r="Q157" s="13"/>
      <c r="R157" s="13"/>
      <c r="S157" s="13"/>
      <c r="T157" s="13"/>
      <c r="U157" s="13"/>
      <c r="V157" s="13">
        <f>SUM(M157:U157)</f>
        <v>22</v>
      </c>
      <c r="W157" s="472">
        <f>'F-09 EP'!W145+'F-09 MGP'!W157+'F-09 FAP'!W157</f>
        <v>1168248.5320000001</v>
      </c>
      <c r="Z157" s="68"/>
    </row>
    <row r="158" spans="1:26">
      <c r="A158" s="703" t="s">
        <v>6985</v>
      </c>
      <c r="B158" s="13">
        <f>'F-09 EP'!B146+'F-09 MGP'!B158+'F-09 FAP'!B158</f>
        <v>22</v>
      </c>
      <c r="C158" s="13"/>
      <c r="D158" s="13"/>
      <c r="E158" s="13"/>
      <c r="F158" s="13"/>
      <c r="G158" s="13"/>
      <c r="H158" s="13"/>
      <c r="I158" s="13"/>
      <c r="J158" s="13"/>
      <c r="K158" s="13">
        <f>SUM(B158:J158)</f>
        <v>22</v>
      </c>
      <c r="L158" s="472">
        <f>'F-09 EP'!L146+'F-09 MGP'!L158+'F-09 FAP'!L158</f>
        <v>959864.87800000003</v>
      </c>
      <c r="M158" s="13">
        <f>'F-09 EP'!M146+'F-09 MGP'!M158+'F-09 FAP'!M158</f>
        <v>22</v>
      </c>
      <c r="N158" s="13"/>
      <c r="O158" s="13"/>
      <c r="P158" s="13"/>
      <c r="Q158" s="13"/>
      <c r="R158" s="13"/>
      <c r="S158" s="13"/>
      <c r="T158" s="13"/>
      <c r="U158" s="13"/>
      <c r="V158" s="13">
        <f>SUM(M158:U158)</f>
        <v>22</v>
      </c>
      <c r="W158" s="472">
        <f>'F-09 EP'!W146+'F-09 MGP'!W158+'F-09 FAP'!W158</f>
        <v>1085720.0008</v>
      </c>
      <c r="Z158" s="68"/>
    </row>
    <row r="159" spans="1:26">
      <c r="A159" s="703" t="s">
        <v>6984</v>
      </c>
      <c r="B159" s="13">
        <f>'F-09 EP'!B147+'F-09 MGP'!B159+'F-09 FAP'!B159</f>
        <v>23</v>
      </c>
      <c r="C159" s="13"/>
      <c r="D159" s="13"/>
      <c r="E159" s="13"/>
      <c r="F159" s="13"/>
      <c r="G159" s="13"/>
      <c r="H159" s="13"/>
      <c r="I159" s="13"/>
      <c r="J159" s="13"/>
      <c r="K159" s="13">
        <f>SUM(B159:J159)</f>
        <v>23</v>
      </c>
      <c r="L159" s="472">
        <f>'F-09 EP'!L147+'F-09 MGP'!L159+'F-09 FAP'!L159</f>
        <v>886138.46600000001</v>
      </c>
      <c r="M159" s="13">
        <f>'F-09 EP'!M147+'F-09 MGP'!M159+'F-09 FAP'!M159</f>
        <v>24</v>
      </c>
      <c r="N159" s="13"/>
      <c r="O159" s="13"/>
      <c r="P159" s="13"/>
      <c r="Q159" s="13"/>
      <c r="R159" s="13"/>
      <c r="S159" s="13"/>
      <c r="T159" s="13"/>
      <c r="U159" s="13"/>
      <c r="V159" s="13">
        <f>SUM(M159:U159)</f>
        <v>24</v>
      </c>
      <c r="W159" s="472">
        <f>'F-09 EP'!W147+'F-09 MGP'!W159+'F-09 FAP'!W159</f>
        <v>1054189.29024</v>
      </c>
      <c r="Z159" s="68"/>
    </row>
    <row r="160" spans="1:26">
      <c r="A160" s="705" t="s">
        <v>6992</v>
      </c>
      <c r="B160" s="484">
        <f t="shared" ref="B160:W160" si="38">SUM(B161:B165)</f>
        <v>38</v>
      </c>
      <c r="C160" s="484">
        <f t="shared" si="38"/>
        <v>0</v>
      </c>
      <c r="D160" s="484">
        <f t="shared" si="38"/>
        <v>0</v>
      </c>
      <c r="E160" s="484">
        <f t="shared" si="38"/>
        <v>0</v>
      </c>
      <c r="F160" s="484">
        <f t="shared" si="38"/>
        <v>0</v>
      </c>
      <c r="G160" s="484">
        <f t="shared" si="38"/>
        <v>0</v>
      </c>
      <c r="H160" s="484">
        <f t="shared" si="38"/>
        <v>0</v>
      </c>
      <c r="I160" s="484">
        <f t="shared" si="38"/>
        <v>0</v>
      </c>
      <c r="J160" s="484">
        <f t="shared" si="38"/>
        <v>0</v>
      </c>
      <c r="K160" s="484">
        <f t="shared" si="38"/>
        <v>38</v>
      </c>
      <c r="L160" s="485">
        <f t="shared" si="38"/>
        <v>1778995.892</v>
      </c>
      <c r="M160" s="484">
        <f t="shared" si="38"/>
        <v>39</v>
      </c>
      <c r="N160" s="484">
        <f t="shared" si="38"/>
        <v>0</v>
      </c>
      <c r="O160" s="484">
        <f t="shared" si="38"/>
        <v>0</v>
      </c>
      <c r="P160" s="484">
        <f t="shared" si="38"/>
        <v>0</v>
      </c>
      <c r="Q160" s="484">
        <f t="shared" si="38"/>
        <v>0</v>
      </c>
      <c r="R160" s="484">
        <f t="shared" si="38"/>
        <v>0</v>
      </c>
      <c r="S160" s="484">
        <f t="shared" si="38"/>
        <v>0</v>
      </c>
      <c r="T160" s="484">
        <f t="shared" si="38"/>
        <v>0</v>
      </c>
      <c r="U160" s="484">
        <f t="shared" si="38"/>
        <v>0</v>
      </c>
      <c r="V160" s="484">
        <f t="shared" si="38"/>
        <v>39</v>
      </c>
      <c r="W160" s="485">
        <f t="shared" si="38"/>
        <v>2096998.0752000001</v>
      </c>
      <c r="Z160" s="68"/>
    </row>
    <row r="161" spans="1:26">
      <c r="A161" s="703" t="s">
        <v>6989</v>
      </c>
      <c r="B161" s="13">
        <f>'F-09 EP'!B149+'F-09 MGP'!B161+'F-09 FAP'!B161</f>
        <v>9</v>
      </c>
      <c r="C161" s="13"/>
      <c r="D161" s="13"/>
      <c r="E161" s="13"/>
      <c r="F161" s="13"/>
      <c r="G161" s="13"/>
      <c r="H161" s="13"/>
      <c r="I161" s="13"/>
      <c r="J161" s="13"/>
      <c r="K161" s="13">
        <f>SUM(B161:J161)</f>
        <v>9</v>
      </c>
      <c r="L161" s="472">
        <f>'F-09 EP'!L149+'F-09 MGP'!L161+'F-09 FAP'!L161</f>
        <v>473744.25</v>
      </c>
      <c r="M161" s="13">
        <f>'F-09 EP'!M149+'F-09 MGP'!M161+'F-09 FAP'!M161</f>
        <v>10</v>
      </c>
      <c r="N161" s="13"/>
      <c r="O161" s="13"/>
      <c r="P161" s="13"/>
      <c r="Q161" s="13"/>
      <c r="R161" s="13"/>
      <c r="S161" s="13"/>
      <c r="T161" s="13"/>
      <c r="U161" s="13"/>
      <c r="V161" s="13">
        <f>SUM(M161:U161)</f>
        <v>10</v>
      </c>
      <c r="W161" s="472">
        <f>'F-09 EP'!W149+'F-09 MGP'!W161+'F-09 FAP'!W161</f>
        <v>607305.03339999996</v>
      </c>
      <c r="Z161" s="68"/>
    </row>
    <row r="162" spans="1:26">
      <c r="A162" s="703" t="s">
        <v>6988</v>
      </c>
      <c r="B162" s="13">
        <f>'F-09 EP'!B150+'F-09 MGP'!B162+'F-09 FAP'!B162</f>
        <v>5</v>
      </c>
      <c r="C162" s="13"/>
      <c r="D162" s="13"/>
      <c r="E162" s="13"/>
      <c r="F162" s="13"/>
      <c r="G162" s="13"/>
      <c r="H162" s="13"/>
      <c r="I162" s="13"/>
      <c r="J162" s="13"/>
      <c r="K162" s="13">
        <f>SUM(B162:J162)</f>
        <v>5</v>
      </c>
      <c r="L162" s="472">
        <f>'F-09 EP'!L150+'F-09 MGP'!L162+'F-09 FAP'!L162</f>
        <v>246173.948</v>
      </c>
      <c r="M162" s="13">
        <f>'F-09 EP'!M150+'F-09 MGP'!M162+'F-09 FAP'!M162</f>
        <v>5</v>
      </c>
      <c r="N162" s="13"/>
      <c r="O162" s="13"/>
      <c r="P162" s="13"/>
      <c r="Q162" s="13"/>
      <c r="R162" s="13"/>
      <c r="S162" s="13"/>
      <c r="T162" s="13"/>
      <c r="U162" s="13"/>
      <c r="V162" s="13">
        <f>SUM(M162:U162)</f>
        <v>5</v>
      </c>
      <c r="W162" s="472">
        <f>'F-09 EP'!W150+'F-09 MGP'!W162+'F-09 FAP'!W162</f>
        <v>282744.83659999998</v>
      </c>
      <c r="Z162" s="68"/>
    </row>
    <row r="163" spans="1:26">
      <c r="A163" s="703" t="s">
        <v>6986</v>
      </c>
      <c r="B163" s="13">
        <f>'F-09 EP'!B151+'F-09 MGP'!B163+'F-09 FAP'!B163</f>
        <v>13</v>
      </c>
      <c r="C163" s="13"/>
      <c r="D163" s="13"/>
      <c r="E163" s="13"/>
      <c r="F163" s="13"/>
      <c r="G163" s="13"/>
      <c r="H163" s="13"/>
      <c r="I163" s="13"/>
      <c r="J163" s="13"/>
      <c r="K163" s="13">
        <f>SUM(B163:J163)</f>
        <v>13</v>
      </c>
      <c r="L163" s="472">
        <f>'F-09 EP'!L151+'F-09 MGP'!L163+'F-09 FAP'!L163</f>
        <v>603568.34199999995</v>
      </c>
      <c r="M163" s="13">
        <f>'F-09 EP'!M151+'F-09 MGP'!M163+'F-09 FAP'!M163</f>
        <v>13</v>
      </c>
      <c r="N163" s="13"/>
      <c r="O163" s="13"/>
      <c r="P163" s="13"/>
      <c r="Q163" s="13"/>
      <c r="R163" s="13"/>
      <c r="S163" s="13"/>
      <c r="T163" s="13"/>
      <c r="U163" s="13"/>
      <c r="V163" s="13">
        <f>SUM(M163:U163)</f>
        <v>13</v>
      </c>
      <c r="W163" s="472">
        <f>'F-09 EP'!W151+'F-09 MGP'!W163+'F-09 FAP'!W163</f>
        <v>690328.67799999996</v>
      </c>
      <c r="Z163" s="68"/>
    </row>
    <row r="164" spans="1:26">
      <c r="A164" s="703" t="s">
        <v>6985</v>
      </c>
      <c r="B164" s="13">
        <f>'F-09 EP'!B152+'F-09 MGP'!B164+'F-09 FAP'!B164</f>
        <v>6</v>
      </c>
      <c r="C164" s="13"/>
      <c r="D164" s="13"/>
      <c r="E164" s="13"/>
      <c r="F164" s="13"/>
      <c r="G164" s="13"/>
      <c r="H164" s="13"/>
      <c r="I164" s="13"/>
      <c r="J164" s="13"/>
      <c r="K164" s="13">
        <f>SUM(B164:J164)</f>
        <v>6</v>
      </c>
      <c r="L164" s="472">
        <f>'F-09 EP'!L152+'F-09 MGP'!L164+'F-09 FAP'!L164</f>
        <v>263218.45199999999</v>
      </c>
      <c r="M164" s="13">
        <f>'F-09 EP'!M152+'F-09 MGP'!M164+'F-09 FAP'!M164</f>
        <v>6</v>
      </c>
      <c r="N164" s="13"/>
      <c r="O164" s="13"/>
      <c r="P164" s="13"/>
      <c r="Q164" s="13"/>
      <c r="R164" s="13"/>
      <c r="S164" s="13"/>
      <c r="T164" s="13"/>
      <c r="U164" s="13"/>
      <c r="V164" s="13">
        <f>SUM(M164:U164)</f>
        <v>6</v>
      </c>
      <c r="W164" s="472">
        <f>'F-09 EP'!W152+'F-09 MGP'!W164+'F-09 FAP'!W164</f>
        <v>297377.1384</v>
      </c>
      <c r="Z164" s="68"/>
    </row>
    <row r="165" spans="1:26">
      <c r="A165" s="703" t="s">
        <v>6984</v>
      </c>
      <c r="B165" s="13">
        <f>'F-09 EP'!B153+'F-09 MGP'!B165+'F-09 FAP'!B165</f>
        <v>5</v>
      </c>
      <c r="C165" s="13"/>
      <c r="D165" s="13"/>
      <c r="E165" s="13"/>
      <c r="F165" s="13"/>
      <c r="G165" s="13"/>
      <c r="H165" s="13"/>
      <c r="I165" s="13"/>
      <c r="J165" s="13"/>
      <c r="K165" s="13">
        <f>SUM(B165:J165)</f>
        <v>5</v>
      </c>
      <c r="L165" s="472">
        <f>'F-09 EP'!L153+'F-09 MGP'!L165+'F-09 FAP'!L165</f>
        <v>192290.9</v>
      </c>
      <c r="M165" s="13">
        <f>'F-09 EP'!M153+'F-09 MGP'!M165+'F-09 FAP'!M165</f>
        <v>5</v>
      </c>
      <c r="N165" s="13"/>
      <c r="O165" s="13"/>
      <c r="P165" s="13"/>
      <c r="Q165" s="13"/>
      <c r="R165" s="13"/>
      <c r="S165" s="13"/>
      <c r="T165" s="13"/>
      <c r="U165" s="13"/>
      <c r="V165" s="13">
        <f>SUM(M165:U165)</f>
        <v>5</v>
      </c>
      <c r="W165" s="472">
        <f>'F-09 EP'!W153+'F-09 MGP'!W165+'F-09 FAP'!W165</f>
        <v>219242.38880000002</v>
      </c>
      <c r="Z165" s="68"/>
    </row>
    <row r="166" spans="1:26">
      <c r="A166" s="705" t="s">
        <v>6991</v>
      </c>
      <c r="B166" s="484">
        <f t="shared" ref="B166:W166" si="39">SUM(B167:B171)</f>
        <v>1</v>
      </c>
      <c r="C166" s="484">
        <f t="shared" si="39"/>
        <v>0</v>
      </c>
      <c r="D166" s="484">
        <f t="shared" si="39"/>
        <v>0</v>
      </c>
      <c r="E166" s="484">
        <f t="shared" si="39"/>
        <v>0</v>
      </c>
      <c r="F166" s="484">
        <f t="shared" si="39"/>
        <v>0</v>
      </c>
      <c r="G166" s="484">
        <f t="shared" si="39"/>
        <v>0</v>
      </c>
      <c r="H166" s="484">
        <f t="shared" si="39"/>
        <v>0</v>
      </c>
      <c r="I166" s="484">
        <f t="shared" si="39"/>
        <v>0</v>
      </c>
      <c r="J166" s="484">
        <f t="shared" si="39"/>
        <v>0</v>
      </c>
      <c r="K166" s="484">
        <f t="shared" si="39"/>
        <v>1</v>
      </c>
      <c r="L166" s="485">
        <f t="shared" si="39"/>
        <v>38458.18</v>
      </c>
      <c r="M166" s="484">
        <f t="shared" si="39"/>
        <v>1</v>
      </c>
      <c r="N166" s="484">
        <f t="shared" si="39"/>
        <v>0</v>
      </c>
      <c r="O166" s="484">
        <f t="shared" si="39"/>
        <v>0</v>
      </c>
      <c r="P166" s="484">
        <f t="shared" si="39"/>
        <v>0</v>
      </c>
      <c r="Q166" s="484">
        <f t="shared" si="39"/>
        <v>0</v>
      </c>
      <c r="R166" s="484">
        <f t="shared" si="39"/>
        <v>0</v>
      </c>
      <c r="S166" s="484">
        <f t="shared" si="39"/>
        <v>0</v>
      </c>
      <c r="T166" s="484">
        <f t="shared" si="39"/>
        <v>0</v>
      </c>
      <c r="U166" s="484">
        <f t="shared" si="39"/>
        <v>0</v>
      </c>
      <c r="V166" s="484">
        <f t="shared" si="39"/>
        <v>1</v>
      </c>
      <c r="W166" s="485">
        <f t="shared" si="39"/>
        <v>43848.477760000002</v>
      </c>
      <c r="Z166" s="68"/>
    </row>
    <row r="167" spans="1:26" hidden="1">
      <c r="A167" s="703" t="s">
        <v>6989</v>
      </c>
      <c r="B167" s="13">
        <f>'F-09 EP'!B155+'F-09 MGP'!B167+'F-09 FAP'!B167</f>
        <v>0</v>
      </c>
      <c r="C167" s="13"/>
      <c r="D167" s="13"/>
      <c r="E167" s="13"/>
      <c r="F167" s="13"/>
      <c r="G167" s="13"/>
      <c r="H167" s="13"/>
      <c r="I167" s="13"/>
      <c r="J167" s="13"/>
      <c r="K167" s="13">
        <f>SUM(B167:J167)</f>
        <v>0</v>
      </c>
      <c r="L167" s="472">
        <f>'F-09 EP'!L155+'F-09 MGP'!L167+'F-09 FAP'!L167</f>
        <v>0</v>
      </c>
      <c r="M167" s="13">
        <f>'F-09 EP'!M155+'F-09 MGP'!M167+'F-09 FAP'!M167</f>
        <v>0</v>
      </c>
      <c r="N167" s="13"/>
      <c r="O167" s="13"/>
      <c r="P167" s="13"/>
      <c r="Q167" s="13"/>
      <c r="R167" s="13"/>
      <c r="S167" s="13"/>
      <c r="T167" s="13"/>
      <c r="U167" s="13"/>
      <c r="V167" s="13">
        <f>SUM(M167:U167)</f>
        <v>0</v>
      </c>
      <c r="W167" s="472">
        <f>'F-09 EP'!W155+'F-09 MGP'!W167+'F-09 FAP'!W167</f>
        <v>0</v>
      </c>
      <c r="Z167" s="68"/>
    </row>
    <row r="168" spans="1:26" hidden="1">
      <c r="A168" s="703" t="s">
        <v>6988</v>
      </c>
      <c r="B168" s="13">
        <f>'F-09 EP'!B156+'F-09 MGP'!B168+'F-09 FAP'!B168</f>
        <v>0</v>
      </c>
      <c r="C168" s="13"/>
      <c r="D168" s="13"/>
      <c r="E168" s="13"/>
      <c r="F168" s="13"/>
      <c r="G168" s="13"/>
      <c r="H168" s="13"/>
      <c r="I168" s="13"/>
      <c r="J168" s="13"/>
      <c r="K168" s="13">
        <f>SUM(B168:J168)</f>
        <v>0</v>
      </c>
      <c r="L168" s="472">
        <f>'F-09 EP'!L156+'F-09 MGP'!L168+'F-09 FAP'!L168</f>
        <v>0</v>
      </c>
      <c r="M168" s="13">
        <f>'F-09 EP'!M156+'F-09 MGP'!M168+'F-09 FAP'!M168</f>
        <v>0</v>
      </c>
      <c r="N168" s="13"/>
      <c r="O168" s="13"/>
      <c r="P168" s="13"/>
      <c r="Q168" s="13"/>
      <c r="R168" s="13"/>
      <c r="S168" s="13"/>
      <c r="T168" s="13"/>
      <c r="U168" s="13"/>
      <c r="V168" s="13">
        <f>SUM(M168:U168)</f>
        <v>0</v>
      </c>
      <c r="W168" s="472">
        <f>'F-09 EP'!W156+'F-09 MGP'!W168+'F-09 FAP'!W168</f>
        <v>0</v>
      </c>
      <c r="Z168" s="68"/>
    </row>
    <row r="169" spans="1:26" hidden="1">
      <c r="A169" s="703" t="s">
        <v>6986</v>
      </c>
      <c r="B169" s="13">
        <f>'F-09 EP'!B157+'F-09 MGP'!B169+'F-09 FAP'!B169</f>
        <v>0</v>
      </c>
      <c r="C169" s="13"/>
      <c r="D169" s="13"/>
      <c r="E169" s="13"/>
      <c r="F169" s="13"/>
      <c r="G169" s="13"/>
      <c r="H169" s="13"/>
      <c r="I169" s="13"/>
      <c r="J169" s="13"/>
      <c r="K169" s="13">
        <f>SUM(B169:J169)</f>
        <v>0</v>
      </c>
      <c r="L169" s="472">
        <f>'F-09 EP'!L157+'F-09 MGP'!L169+'F-09 FAP'!L169</f>
        <v>0</v>
      </c>
      <c r="M169" s="13">
        <f>'F-09 EP'!M157+'F-09 MGP'!M169+'F-09 FAP'!M169</f>
        <v>0</v>
      </c>
      <c r="N169" s="13"/>
      <c r="O169" s="13"/>
      <c r="P169" s="13"/>
      <c r="Q169" s="13"/>
      <c r="R169" s="13"/>
      <c r="S169" s="13"/>
      <c r="T169" s="13"/>
      <c r="U169" s="13"/>
      <c r="V169" s="13">
        <f>SUM(M169:U169)</f>
        <v>0</v>
      </c>
      <c r="W169" s="472">
        <f>'F-09 EP'!W157+'F-09 MGP'!W169+'F-09 FAP'!W169</f>
        <v>0</v>
      </c>
      <c r="Z169" s="68"/>
    </row>
    <row r="170" spans="1:26" hidden="1">
      <c r="A170" s="703" t="s">
        <v>6985</v>
      </c>
      <c r="B170" s="13">
        <f>'F-09 EP'!B158+'F-09 MGP'!B170+'F-09 FAP'!B170</f>
        <v>0</v>
      </c>
      <c r="C170" s="13"/>
      <c r="D170" s="13"/>
      <c r="E170" s="13"/>
      <c r="F170" s="13"/>
      <c r="G170" s="13"/>
      <c r="H170" s="13"/>
      <c r="I170" s="13"/>
      <c r="J170" s="13"/>
      <c r="K170" s="13">
        <f>SUM(B170:J170)</f>
        <v>0</v>
      </c>
      <c r="L170" s="472">
        <f>'F-09 EP'!L158+'F-09 MGP'!L170+'F-09 FAP'!L170</f>
        <v>0</v>
      </c>
      <c r="M170" s="13">
        <f>'F-09 EP'!M158+'F-09 MGP'!M170+'F-09 FAP'!M170</f>
        <v>0</v>
      </c>
      <c r="N170" s="13"/>
      <c r="O170" s="13"/>
      <c r="P170" s="13"/>
      <c r="Q170" s="13"/>
      <c r="R170" s="13"/>
      <c r="S170" s="13"/>
      <c r="T170" s="13"/>
      <c r="U170" s="13"/>
      <c r="V170" s="13">
        <f>SUM(M170:U170)</f>
        <v>0</v>
      </c>
      <c r="W170" s="472">
        <f>'F-09 EP'!W158+'F-09 MGP'!W170+'F-09 FAP'!W170</f>
        <v>0</v>
      </c>
      <c r="Z170" s="68"/>
    </row>
    <row r="171" spans="1:26">
      <c r="A171" s="703" t="s">
        <v>6984</v>
      </c>
      <c r="B171" s="13">
        <f>'F-09 EP'!B159+'F-09 MGP'!B171+'F-09 FAP'!B171</f>
        <v>1</v>
      </c>
      <c r="C171" s="13"/>
      <c r="D171" s="13"/>
      <c r="E171" s="13"/>
      <c r="F171" s="13"/>
      <c r="G171" s="13"/>
      <c r="H171" s="13"/>
      <c r="I171" s="13"/>
      <c r="J171" s="13"/>
      <c r="K171" s="13">
        <f>SUM(B171:J171)</f>
        <v>1</v>
      </c>
      <c r="L171" s="472">
        <f>'F-09 EP'!L159+'F-09 MGP'!L171+'F-09 FAP'!L171</f>
        <v>38458.18</v>
      </c>
      <c r="M171" s="13">
        <f>'F-09 EP'!M159+'F-09 MGP'!M171+'F-09 FAP'!M171</f>
        <v>1</v>
      </c>
      <c r="N171" s="13"/>
      <c r="O171" s="13"/>
      <c r="P171" s="13"/>
      <c r="Q171" s="13"/>
      <c r="R171" s="13"/>
      <c r="S171" s="13"/>
      <c r="T171" s="13"/>
      <c r="U171" s="13"/>
      <c r="V171" s="13">
        <f>SUM(M171:U171)</f>
        <v>1</v>
      </c>
      <c r="W171" s="472">
        <f>'F-09 EP'!W159+'F-09 MGP'!W171+'F-09 FAP'!W171</f>
        <v>43848.477760000002</v>
      </c>
      <c r="Z171" s="68"/>
    </row>
    <row r="172" spans="1:26" ht="24">
      <c r="A172" s="705" t="s">
        <v>6990</v>
      </c>
      <c r="B172" s="484">
        <f t="shared" ref="B172:W172" si="40">SUM(B173:B177)</f>
        <v>1</v>
      </c>
      <c r="C172" s="484">
        <f t="shared" si="40"/>
        <v>0</v>
      </c>
      <c r="D172" s="484">
        <f t="shared" si="40"/>
        <v>0</v>
      </c>
      <c r="E172" s="484">
        <f t="shared" si="40"/>
        <v>0</v>
      </c>
      <c r="F172" s="484">
        <f t="shared" si="40"/>
        <v>0</v>
      </c>
      <c r="G172" s="484">
        <f t="shared" si="40"/>
        <v>0</v>
      </c>
      <c r="H172" s="484">
        <f t="shared" si="40"/>
        <v>0</v>
      </c>
      <c r="I172" s="484">
        <f t="shared" si="40"/>
        <v>0</v>
      </c>
      <c r="J172" s="484">
        <f t="shared" si="40"/>
        <v>0</v>
      </c>
      <c r="K172" s="484">
        <f t="shared" si="40"/>
        <v>1</v>
      </c>
      <c r="L172" s="485">
        <f t="shared" si="40"/>
        <v>43869.741999999998</v>
      </c>
      <c r="M172" s="484">
        <f t="shared" si="40"/>
        <v>1</v>
      </c>
      <c r="N172" s="484">
        <f t="shared" si="40"/>
        <v>0</v>
      </c>
      <c r="O172" s="484">
        <f t="shared" si="40"/>
        <v>0</v>
      </c>
      <c r="P172" s="484">
        <f t="shared" si="40"/>
        <v>0</v>
      </c>
      <c r="Q172" s="484">
        <f t="shared" si="40"/>
        <v>0</v>
      </c>
      <c r="R172" s="484">
        <f t="shared" si="40"/>
        <v>0</v>
      </c>
      <c r="S172" s="484">
        <f t="shared" si="40"/>
        <v>0</v>
      </c>
      <c r="T172" s="484">
        <f t="shared" si="40"/>
        <v>0</v>
      </c>
      <c r="U172" s="484">
        <f t="shared" si="40"/>
        <v>0</v>
      </c>
      <c r="V172" s="484">
        <f t="shared" si="40"/>
        <v>1</v>
      </c>
      <c r="W172" s="485">
        <f t="shared" si="40"/>
        <v>49895.916400000002</v>
      </c>
      <c r="Z172" s="68"/>
    </row>
    <row r="173" spans="1:26" hidden="1">
      <c r="A173" s="703" t="s">
        <v>6989</v>
      </c>
      <c r="B173" s="13">
        <f>'F-09 EP'!B161+'F-09 MGP'!B173+'F-09 FAP'!B173</f>
        <v>0</v>
      </c>
      <c r="C173" s="13"/>
      <c r="D173" s="13"/>
      <c r="E173" s="13"/>
      <c r="F173" s="13"/>
      <c r="G173" s="13"/>
      <c r="H173" s="13"/>
      <c r="I173" s="13"/>
      <c r="J173" s="13"/>
      <c r="K173" s="13">
        <f>SUM(B173:J173)</f>
        <v>0</v>
      </c>
      <c r="L173" s="472">
        <f>'F-09 EP'!L161+'F-09 MGP'!L173+'F-09 FAP'!L173</f>
        <v>0</v>
      </c>
      <c r="M173" s="13">
        <f>'F-09 EP'!M161+'F-09 MGP'!M173+'F-09 FAP'!M173</f>
        <v>0</v>
      </c>
      <c r="N173" s="13"/>
      <c r="O173" s="13"/>
      <c r="P173" s="13"/>
      <c r="Q173" s="13"/>
      <c r="R173" s="13"/>
      <c r="S173" s="13"/>
      <c r="T173" s="13"/>
      <c r="U173" s="13"/>
      <c r="V173" s="13">
        <f>SUM(M173:U173)</f>
        <v>0</v>
      </c>
      <c r="W173" s="472">
        <f>'F-09 EP'!W161+'F-09 MGP'!W173+'F-09 FAP'!W173</f>
        <v>0</v>
      </c>
      <c r="Z173" s="68"/>
    </row>
    <row r="174" spans="1:26" hidden="1">
      <c r="A174" s="703" t="s">
        <v>6988</v>
      </c>
      <c r="B174" s="13">
        <f>'F-09 EP'!B162+'F-09 MGP'!B174+'F-09 FAP'!B174</f>
        <v>0</v>
      </c>
      <c r="C174" s="13"/>
      <c r="D174" s="13"/>
      <c r="E174" s="13"/>
      <c r="F174" s="13"/>
      <c r="G174" s="13"/>
      <c r="H174" s="13"/>
      <c r="I174" s="13"/>
      <c r="J174" s="13"/>
      <c r="K174" s="13">
        <f>SUM(B174:J174)</f>
        <v>0</v>
      </c>
      <c r="L174" s="472">
        <f>'F-09 EP'!L162+'F-09 MGP'!L174+'F-09 FAP'!L174</f>
        <v>0</v>
      </c>
      <c r="M174" s="13">
        <f>'F-09 EP'!M162+'F-09 MGP'!M174+'F-09 FAP'!M174</f>
        <v>0</v>
      </c>
      <c r="N174" s="13"/>
      <c r="O174" s="13"/>
      <c r="P174" s="13"/>
      <c r="Q174" s="13"/>
      <c r="R174" s="13"/>
      <c r="S174" s="13"/>
      <c r="T174" s="13"/>
      <c r="U174" s="13"/>
      <c r="V174" s="13">
        <f>SUM(M174:U174)</f>
        <v>0</v>
      </c>
      <c r="W174" s="472">
        <f>'F-09 EP'!W162+'F-09 MGP'!W174+'F-09 FAP'!W174</f>
        <v>0</v>
      </c>
      <c r="Z174" s="68"/>
    </row>
    <row r="175" spans="1:26" hidden="1">
      <c r="A175" s="703" t="s">
        <v>6986</v>
      </c>
      <c r="B175" s="13">
        <f>'F-09 EP'!B163+'F-09 MGP'!B175+'F-09 FAP'!B175</f>
        <v>0</v>
      </c>
      <c r="C175" s="13"/>
      <c r="D175" s="13"/>
      <c r="E175" s="13"/>
      <c r="F175" s="13"/>
      <c r="G175" s="13"/>
      <c r="H175" s="13"/>
      <c r="I175" s="13"/>
      <c r="J175" s="13"/>
      <c r="K175" s="13">
        <f>SUM(B175:J175)</f>
        <v>0</v>
      </c>
      <c r="L175" s="472">
        <f>'F-09 EP'!L163+'F-09 MGP'!L175+'F-09 FAP'!L175</f>
        <v>0</v>
      </c>
      <c r="M175" s="13">
        <f>'F-09 EP'!M163+'F-09 MGP'!M175+'F-09 FAP'!M175</f>
        <v>0</v>
      </c>
      <c r="N175" s="13"/>
      <c r="O175" s="13"/>
      <c r="P175" s="13"/>
      <c r="Q175" s="13"/>
      <c r="R175" s="13"/>
      <c r="S175" s="13"/>
      <c r="T175" s="13"/>
      <c r="U175" s="13"/>
      <c r="V175" s="13">
        <f>SUM(M175:U175)</f>
        <v>0</v>
      </c>
      <c r="W175" s="472">
        <f>'F-09 EP'!W163+'F-09 MGP'!W175+'F-09 FAP'!W175</f>
        <v>0</v>
      </c>
      <c r="Z175" s="68"/>
    </row>
    <row r="176" spans="1:26">
      <c r="A176" s="703" t="s">
        <v>6985</v>
      </c>
      <c r="B176" s="13">
        <f>'F-09 EP'!B164+'F-09 MGP'!B176+'F-09 FAP'!B176</f>
        <v>1</v>
      </c>
      <c r="C176" s="13"/>
      <c r="D176" s="13"/>
      <c r="E176" s="13"/>
      <c r="F176" s="13"/>
      <c r="G176" s="13"/>
      <c r="H176" s="13"/>
      <c r="I176" s="13"/>
      <c r="J176" s="13"/>
      <c r="K176" s="13">
        <f>SUM(B176:J176)</f>
        <v>1</v>
      </c>
      <c r="L176" s="472">
        <f>'F-09 EP'!L164+'F-09 MGP'!L176+'F-09 FAP'!L176</f>
        <v>43869.741999999998</v>
      </c>
      <c r="M176" s="13">
        <f>'F-09 EP'!M164+'F-09 MGP'!M176+'F-09 FAP'!M176</f>
        <v>1</v>
      </c>
      <c r="N176" s="13"/>
      <c r="O176" s="13"/>
      <c r="P176" s="13"/>
      <c r="Q176" s="13"/>
      <c r="R176" s="13"/>
      <c r="S176" s="13"/>
      <c r="T176" s="13"/>
      <c r="U176" s="13"/>
      <c r="V176" s="13">
        <f>SUM(M176:U176)</f>
        <v>1</v>
      </c>
      <c r="W176" s="472">
        <f>'F-09 EP'!W164+'F-09 MGP'!W176+'F-09 FAP'!W176</f>
        <v>49895.916400000002</v>
      </c>
      <c r="Z176" s="68"/>
    </row>
    <row r="177" spans="1:26" hidden="1">
      <c r="A177" s="703" t="s">
        <v>6984</v>
      </c>
      <c r="B177" s="13">
        <f>'F-09 EP'!B165+'F-09 MGP'!B177+'F-09 FAP'!B177</f>
        <v>0</v>
      </c>
      <c r="C177" s="13"/>
      <c r="D177" s="13"/>
      <c r="E177" s="13"/>
      <c r="F177" s="13"/>
      <c r="G177" s="13"/>
      <c r="H177" s="13"/>
      <c r="I177" s="13"/>
      <c r="J177" s="13"/>
      <c r="K177" s="13">
        <f>SUM(B177:J177)</f>
        <v>0</v>
      </c>
      <c r="L177" s="472">
        <f>'F-09 EP'!L165+'F-09 MGP'!L177+'F-09 FAP'!L177</f>
        <v>0</v>
      </c>
      <c r="M177" s="13">
        <f>'F-09 EP'!M165+'F-09 MGP'!M177+'F-09 FAP'!M177</f>
        <v>0</v>
      </c>
      <c r="N177" s="13"/>
      <c r="O177" s="13"/>
      <c r="P177" s="13"/>
      <c r="Q177" s="13"/>
      <c r="R177" s="13"/>
      <c r="S177" s="13"/>
      <c r="T177" s="13"/>
      <c r="U177" s="13"/>
      <c r="V177" s="13">
        <f>SUM(M177:U177)</f>
        <v>0</v>
      </c>
      <c r="W177" s="472">
        <f>'F-09 EP'!W165+'F-09 MGP'!W177+'F-09 FAP'!W177</f>
        <v>0</v>
      </c>
      <c r="Z177" s="68"/>
    </row>
    <row r="178" spans="1:26" ht="36">
      <c r="A178" s="705" t="s">
        <v>6987</v>
      </c>
      <c r="B178" s="484">
        <f t="shared" ref="B178:W178" si="41">SUM(B179:B184)</f>
        <v>8</v>
      </c>
      <c r="C178" s="484">
        <f t="shared" si="41"/>
        <v>0</v>
      </c>
      <c r="D178" s="484">
        <f t="shared" si="41"/>
        <v>0</v>
      </c>
      <c r="E178" s="484">
        <f t="shared" si="41"/>
        <v>0</v>
      </c>
      <c r="F178" s="484">
        <f t="shared" si="41"/>
        <v>0</v>
      </c>
      <c r="G178" s="484">
        <f t="shared" si="41"/>
        <v>0</v>
      </c>
      <c r="H178" s="484">
        <f t="shared" si="41"/>
        <v>0</v>
      </c>
      <c r="I178" s="484">
        <f t="shared" si="41"/>
        <v>0</v>
      </c>
      <c r="J178" s="484">
        <f t="shared" si="41"/>
        <v>0</v>
      </c>
      <c r="K178" s="484">
        <f t="shared" si="41"/>
        <v>8</v>
      </c>
      <c r="L178" s="485">
        <f t="shared" si="41"/>
        <v>240669.64640000003</v>
      </c>
      <c r="M178" s="484">
        <f t="shared" si="41"/>
        <v>8</v>
      </c>
      <c r="N178" s="484">
        <f t="shared" si="41"/>
        <v>0</v>
      </c>
      <c r="O178" s="484">
        <f t="shared" si="41"/>
        <v>0</v>
      </c>
      <c r="P178" s="484">
        <f t="shared" si="41"/>
        <v>0</v>
      </c>
      <c r="Q178" s="484">
        <f t="shared" si="41"/>
        <v>0</v>
      </c>
      <c r="R178" s="484">
        <f t="shared" si="41"/>
        <v>0</v>
      </c>
      <c r="S178" s="484">
        <f t="shared" si="41"/>
        <v>0</v>
      </c>
      <c r="T178" s="484">
        <f t="shared" si="41"/>
        <v>0</v>
      </c>
      <c r="U178" s="484">
        <f t="shared" si="41"/>
        <v>0</v>
      </c>
      <c r="V178" s="484">
        <f t="shared" si="41"/>
        <v>8</v>
      </c>
      <c r="W178" s="485">
        <f t="shared" si="41"/>
        <v>256525.22048000002</v>
      </c>
      <c r="Z178" s="68"/>
    </row>
    <row r="179" spans="1:26" hidden="1">
      <c r="A179" s="703" t="s">
        <v>6986</v>
      </c>
      <c r="B179" s="13">
        <f>'F-09 EP'!B167+'F-09 MGP'!B179+'F-09 FAP'!B179</f>
        <v>0</v>
      </c>
      <c r="C179" s="13"/>
      <c r="D179" s="13"/>
      <c r="E179" s="13"/>
      <c r="F179" s="13"/>
      <c r="G179" s="13"/>
      <c r="H179" s="13"/>
      <c r="I179" s="13"/>
      <c r="J179" s="13"/>
      <c r="K179" s="13">
        <f t="shared" ref="K179:K184" si="42">SUM(B179:J179)</f>
        <v>0</v>
      </c>
      <c r="L179" s="472">
        <f>'F-09 EP'!L167+'F-09 MGP'!L179+'F-09 FAP'!L179</f>
        <v>0</v>
      </c>
      <c r="M179" s="13">
        <f>'F-09 EP'!M167+'F-09 MGP'!M179+'F-09 FAP'!M179</f>
        <v>0</v>
      </c>
      <c r="N179" s="13"/>
      <c r="O179" s="13"/>
      <c r="P179" s="13"/>
      <c r="Q179" s="13"/>
      <c r="R179" s="13"/>
      <c r="S179" s="13"/>
      <c r="T179" s="13"/>
      <c r="U179" s="13"/>
      <c r="V179" s="13">
        <f t="shared" ref="V179:V184" si="43">SUM(M179:U179)</f>
        <v>0</v>
      </c>
      <c r="W179" s="472">
        <f>'F-09 EP'!W167+'F-09 MGP'!W179+'F-09 FAP'!W179</f>
        <v>0</v>
      </c>
      <c r="Z179" s="68"/>
    </row>
    <row r="180" spans="1:26">
      <c r="A180" s="703" t="s">
        <v>6985</v>
      </c>
      <c r="B180" s="13">
        <f>'F-09 EP'!B168+'F-09 MGP'!B180+'F-09 FAP'!B180</f>
        <v>1</v>
      </c>
      <c r="C180" s="13"/>
      <c r="D180" s="13"/>
      <c r="E180" s="13"/>
      <c r="F180" s="13"/>
      <c r="G180" s="13"/>
      <c r="H180" s="13"/>
      <c r="I180" s="13"/>
      <c r="J180" s="13"/>
      <c r="K180" s="13">
        <f t="shared" si="42"/>
        <v>1</v>
      </c>
      <c r="L180" s="472">
        <f>'F-09 EP'!L168+'F-09 MGP'!L180+'F-09 FAP'!L180</f>
        <v>31816.032400000004</v>
      </c>
      <c r="M180" s="13">
        <f>'F-09 EP'!M168+'F-09 MGP'!M180+'F-09 FAP'!M180</f>
        <v>1</v>
      </c>
      <c r="N180" s="13"/>
      <c r="O180" s="13"/>
      <c r="P180" s="13"/>
      <c r="Q180" s="13"/>
      <c r="R180" s="13"/>
      <c r="S180" s="13"/>
      <c r="T180" s="13"/>
      <c r="U180" s="13"/>
      <c r="V180" s="13">
        <f t="shared" si="43"/>
        <v>1</v>
      </c>
      <c r="W180" s="472">
        <f>'F-09 EP'!W168+'F-09 MGP'!W180+'F-09 FAP'!W180</f>
        <v>38100.384760000001</v>
      </c>
      <c r="Z180" s="68"/>
    </row>
    <row r="181" spans="1:26">
      <c r="A181" s="703" t="s">
        <v>6984</v>
      </c>
      <c r="B181" s="13">
        <f>'F-09 EP'!B169+'F-09 MGP'!B181+'F-09 FAP'!B181</f>
        <v>2</v>
      </c>
      <c r="C181" s="13"/>
      <c r="D181" s="13"/>
      <c r="E181" s="13"/>
      <c r="F181" s="13"/>
      <c r="G181" s="13"/>
      <c r="H181" s="13"/>
      <c r="I181" s="13"/>
      <c r="J181" s="13"/>
      <c r="K181" s="13">
        <f t="shared" si="42"/>
        <v>2</v>
      </c>
      <c r="L181" s="472">
        <f>'F-09 EP'!L169+'F-09 MGP'!L181+'F-09 FAP'!L181</f>
        <v>59776.205600000008</v>
      </c>
      <c r="M181" s="13">
        <f>'F-09 EP'!M169+'F-09 MGP'!M181+'F-09 FAP'!M181</f>
        <v>2</v>
      </c>
      <c r="N181" s="13"/>
      <c r="O181" s="13"/>
      <c r="P181" s="13"/>
      <c r="Q181" s="13"/>
      <c r="R181" s="13"/>
      <c r="S181" s="13"/>
      <c r="T181" s="13"/>
      <c r="U181" s="13"/>
      <c r="V181" s="13">
        <f t="shared" si="43"/>
        <v>2</v>
      </c>
      <c r="W181" s="472">
        <f>'F-09 EP'!W169+'F-09 MGP'!W181+'F-09 FAP'!W181</f>
        <v>63053.097800000003</v>
      </c>
      <c r="Z181" s="68"/>
    </row>
    <row r="182" spans="1:26">
      <c r="A182" s="703" t="s">
        <v>6983</v>
      </c>
      <c r="B182" s="13">
        <f>'F-09 EP'!B170+'F-09 MGP'!B182+'F-09 FAP'!B182</f>
        <v>3</v>
      </c>
      <c r="C182" s="13"/>
      <c r="D182" s="13"/>
      <c r="E182" s="13"/>
      <c r="F182" s="13"/>
      <c r="G182" s="13"/>
      <c r="H182" s="13"/>
      <c r="I182" s="13"/>
      <c r="J182" s="13"/>
      <c r="K182" s="13">
        <f t="shared" si="42"/>
        <v>3</v>
      </c>
      <c r="L182" s="472">
        <f>'F-09 EP'!L170+'F-09 MGP'!L182+'F-09 FAP'!L182</f>
        <v>89384.462400000004</v>
      </c>
      <c r="M182" s="13">
        <f>'F-09 EP'!M170+'F-09 MGP'!M182+'F-09 FAP'!M182</f>
        <v>3</v>
      </c>
      <c r="N182" s="13"/>
      <c r="O182" s="13"/>
      <c r="P182" s="13"/>
      <c r="Q182" s="13"/>
      <c r="R182" s="13"/>
      <c r="S182" s="13"/>
      <c r="T182" s="13"/>
      <c r="U182" s="13"/>
      <c r="V182" s="13">
        <f t="shared" si="43"/>
        <v>3</v>
      </c>
      <c r="W182" s="472">
        <f>'F-09 EP'!W170+'F-09 MGP'!W182+'F-09 FAP'!W182</f>
        <v>94299.096359999996</v>
      </c>
      <c r="Z182" s="68"/>
    </row>
    <row r="183" spans="1:26">
      <c r="A183" s="703" t="s">
        <v>6982</v>
      </c>
      <c r="B183" s="13">
        <f>'F-09 EP'!B171+'F-09 MGP'!B183+'F-09 FAP'!B183</f>
        <v>0</v>
      </c>
      <c r="C183" s="13"/>
      <c r="D183" s="13"/>
      <c r="E183" s="13"/>
      <c r="F183" s="13"/>
      <c r="G183" s="13"/>
      <c r="H183" s="13"/>
      <c r="I183" s="13"/>
      <c r="J183" s="13"/>
      <c r="K183" s="13">
        <f t="shared" si="42"/>
        <v>0</v>
      </c>
      <c r="L183" s="472">
        <f>'F-09 EP'!L171+'F-09 MGP'!L183+'F-09 FAP'!L183</f>
        <v>0</v>
      </c>
      <c r="M183" s="13">
        <f>'F-09 EP'!M171+'F-09 MGP'!M183+'F-09 FAP'!M183</f>
        <v>0</v>
      </c>
      <c r="N183" s="13"/>
      <c r="O183" s="13"/>
      <c r="P183" s="13"/>
      <c r="Q183" s="13"/>
      <c r="R183" s="13"/>
      <c r="S183" s="13"/>
      <c r="T183" s="13"/>
      <c r="U183" s="13"/>
      <c r="V183" s="13">
        <f t="shared" si="43"/>
        <v>0</v>
      </c>
      <c r="W183" s="472">
        <f>'F-09 EP'!W171+'F-09 MGP'!W183+'F-09 FAP'!W183</f>
        <v>0</v>
      </c>
      <c r="Z183" s="68"/>
    </row>
    <row r="184" spans="1:26">
      <c r="A184" s="703" t="s">
        <v>6981</v>
      </c>
      <c r="B184" s="13">
        <f>'F-09 EP'!B172+'F-09 MGP'!B184+'F-09 FAP'!B184</f>
        <v>2</v>
      </c>
      <c r="C184" s="13"/>
      <c r="D184" s="13"/>
      <c r="E184" s="13"/>
      <c r="F184" s="13"/>
      <c r="G184" s="13"/>
      <c r="H184" s="13"/>
      <c r="I184" s="13"/>
      <c r="J184" s="13"/>
      <c r="K184" s="13">
        <f t="shared" si="42"/>
        <v>2</v>
      </c>
      <c r="L184" s="472">
        <f>'F-09 EP'!L172+'F-09 MGP'!L184+'F-09 FAP'!L184</f>
        <v>59692.945999999996</v>
      </c>
      <c r="M184" s="13">
        <f>'F-09 EP'!M172+'F-09 MGP'!M184+'F-09 FAP'!M184</f>
        <v>2</v>
      </c>
      <c r="N184" s="13"/>
      <c r="O184" s="13"/>
      <c r="P184" s="13"/>
      <c r="Q184" s="13"/>
      <c r="R184" s="13"/>
      <c r="S184" s="13"/>
      <c r="T184" s="13"/>
      <c r="U184" s="13"/>
      <c r="V184" s="13">
        <f t="shared" si="43"/>
        <v>2</v>
      </c>
      <c r="W184" s="472">
        <f>'F-09 EP'!W172+'F-09 MGP'!W184+'F-09 FAP'!W184</f>
        <v>61072.641560000004</v>
      </c>
      <c r="Z184" s="68"/>
    </row>
    <row r="185" spans="1:26">
      <c r="A185" s="705" t="s">
        <v>58</v>
      </c>
      <c r="B185" s="484">
        <f t="shared" ref="B185:W185" si="44">SUM(B186:B187)</f>
        <v>149</v>
      </c>
      <c r="C185" s="484">
        <f t="shared" si="44"/>
        <v>0</v>
      </c>
      <c r="D185" s="484">
        <f t="shared" si="44"/>
        <v>0</v>
      </c>
      <c r="E185" s="484">
        <f t="shared" si="44"/>
        <v>0</v>
      </c>
      <c r="F185" s="484">
        <f t="shared" si="44"/>
        <v>0</v>
      </c>
      <c r="G185" s="484">
        <f t="shared" si="44"/>
        <v>0</v>
      </c>
      <c r="H185" s="484">
        <f t="shared" si="44"/>
        <v>0</v>
      </c>
      <c r="I185" s="484">
        <f t="shared" si="44"/>
        <v>0</v>
      </c>
      <c r="J185" s="484">
        <f t="shared" si="44"/>
        <v>0</v>
      </c>
      <c r="K185" s="484">
        <f t="shared" si="44"/>
        <v>149</v>
      </c>
      <c r="L185" s="485">
        <f t="shared" si="44"/>
        <v>10251096.98430128</v>
      </c>
      <c r="M185" s="484">
        <f t="shared" si="44"/>
        <v>181</v>
      </c>
      <c r="N185" s="484">
        <f t="shared" si="44"/>
        <v>0</v>
      </c>
      <c r="O185" s="484">
        <f t="shared" si="44"/>
        <v>0</v>
      </c>
      <c r="P185" s="484">
        <f t="shared" si="44"/>
        <v>0</v>
      </c>
      <c r="Q185" s="484">
        <f t="shared" si="44"/>
        <v>0</v>
      </c>
      <c r="R185" s="484">
        <f t="shared" si="44"/>
        <v>0</v>
      </c>
      <c r="S185" s="484">
        <f t="shared" si="44"/>
        <v>0</v>
      </c>
      <c r="T185" s="484">
        <f t="shared" si="44"/>
        <v>0</v>
      </c>
      <c r="U185" s="484">
        <f t="shared" si="44"/>
        <v>0</v>
      </c>
      <c r="V185" s="484">
        <f t="shared" si="44"/>
        <v>181</v>
      </c>
      <c r="W185" s="485">
        <f t="shared" si="44"/>
        <v>11666455.72086128</v>
      </c>
      <c r="Z185" s="68"/>
    </row>
    <row r="186" spans="1:26">
      <c r="A186" s="703" t="s">
        <v>6980</v>
      </c>
      <c r="B186" s="13">
        <f>'F-09 EP'!B174+'F-09 MGP'!B186+'F-09 FAP'!B186</f>
        <v>117</v>
      </c>
      <c r="C186" s="13"/>
      <c r="D186" s="13"/>
      <c r="E186" s="13"/>
      <c r="F186" s="13"/>
      <c r="G186" s="13"/>
      <c r="H186" s="13"/>
      <c r="I186" s="13"/>
      <c r="J186" s="13"/>
      <c r="K186" s="13">
        <f>SUM(B186:J186)</f>
        <v>117</v>
      </c>
      <c r="L186" s="472">
        <f>'F-09 EP'!L174+'F-09 MGP'!L186+'F-09 FAP'!L186</f>
        <v>8818146.2141745109</v>
      </c>
      <c r="M186" s="13">
        <f>'F-09 EP'!M174+'F-09 MGP'!M186+'F-09 FAP'!M186</f>
        <v>144</v>
      </c>
      <c r="N186" s="13"/>
      <c r="O186" s="13"/>
      <c r="P186" s="13"/>
      <c r="Q186" s="13"/>
      <c r="R186" s="13"/>
      <c r="S186" s="13"/>
      <c r="T186" s="13"/>
      <c r="U186" s="13"/>
      <c r="V186" s="13">
        <f>SUM(M186:U186)</f>
        <v>144</v>
      </c>
      <c r="W186" s="472">
        <f>'F-09 EP'!W174+'F-09 MGP'!W186+'F-09 FAP'!W186</f>
        <v>9978595.3178545106</v>
      </c>
      <c r="Z186" s="68"/>
    </row>
    <row r="187" spans="1:26">
      <c r="A187" s="703" t="s">
        <v>6979</v>
      </c>
      <c r="B187" s="13">
        <f>'F-09 EP'!B175+'F-09 MGP'!B187+'F-09 FAP'!B187</f>
        <v>32</v>
      </c>
      <c r="C187" s="13"/>
      <c r="D187" s="13"/>
      <c r="E187" s="13"/>
      <c r="F187" s="13"/>
      <c r="G187" s="13"/>
      <c r="H187" s="13"/>
      <c r="I187" s="13"/>
      <c r="J187" s="13"/>
      <c r="K187" s="13">
        <f>SUM(B187:J187)</f>
        <v>32</v>
      </c>
      <c r="L187" s="472">
        <f>'F-09 EP'!L175+'F-09 MGP'!L187+'F-09 FAP'!L187</f>
        <v>1432950.77012677</v>
      </c>
      <c r="M187" s="13">
        <f>'F-09 EP'!M175+'F-09 MGP'!M187+'F-09 FAP'!M187</f>
        <v>37</v>
      </c>
      <c r="N187" s="13"/>
      <c r="O187" s="13"/>
      <c r="P187" s="13"/>
      <c r="Q187" s="13"/>
      <c r="R187" s="13"/>
      <c r="S187" s="13"/>
      <c r="T187" s="13"/>
      <c r="U187" s="13"/>
      <c r="V187" s="13">
        <f>SUM(M187:U187)</f>
        <v>37</v>
      </c>
      <c r="W187" s="472">
        <f>'F-09 EP'!W175+'F-09 MGP'!W187+'F-09 FAP'!W187</f>
        <v>1687860.4030067702</v>
      </c>
      <c r="Z187" s="68"/>
    </row>
    <row r="188" spans="1:26" hidden="1">
      <c r="A188" s="705" t="s">
        <v>6912</v>
      </c>
      <c r="B188" s="484">
        <f t="shared" ref="B188:W188" si="45">SUM(B189:B190)</f>
        <v>0</v>
      </c>
      <c r="C188" s="484">
        <f t="shared" si="45"/>
        <v>0</v>
      </c>
      <c r="D188" s="484">
        <f t="shared" si="45"/>
        <v>0</v>
      </c>
      <c r="E188" s="484">
        <f t="shared" si="45"/>
        <v>0</v>
      </c>
      <c r="F188" s="484">
        <f t="shared" si="45"/>
        <v>0</v>
      </c>
      <c r="G188" s="484">
        <f t="shared" si="45"/>
        <v>0</v>
      </c>
      <c r="H188" s="484">
        <f t="shared" si="45"/>
        <v>0</v>
      </c>
      <c r="I188" s="484">
        <f t="shared" si="45"/>
        <v>0</v>
      </c>
      <c r="J188" s="484">
        <f t="shared" si="45"/>
        <v>0</v>
      </c>
      <c r="K188" s="484">
        <f t="shared" si="45"/>
        <v>0</v>
      </c>
      <c r="L188" s="485">
        <f t="shared" si="45"/>
        <v>0</v>
      </c>
      <c r="M188" s="484">
        <f t="shared" si="45"/>
        <v>0</v>
      </c>
      <c r="N188" s="484">
        <f t="shared" si="45"/>
        <v>0</v>
      </c>
      <c r="O188" s="484">
        <f t="shared" si="45"/>
        <v>0</v>
      </c>
      <c r="P188" s="484">
        <f t="shared" si="45"/>
        <v>0</v>
      </c>
      <c r="Q188" s="484">
        <f t="shared" si="45"/>
        <v>0</v>
      </c>
      <c r="R188" s="484">
        <f t="shared" si="45"/>
        <v>0</v>
      </c>
      <c r="S188" s="484">
        <f t="shared" si="45"/>
        <v>0</v>
      </c>
      <c r="T188" s="484">
        <f t="shared" si="45"/>
        <v>0</v>
      </c>
      <c r="U188" s="484">
        <f t="shared" si="45"/>
        <v>0</v>
      </c>
      <c r="V188" s="484">
        <f t="shared" si="45"/>
        <v>0</v>
      </c>
      <c r="W188" s="485">
        <f t="shared" si="45"/>
        <v>0</v>
      </c>
      <c r="Z188" s="68"/>
    </row>
    <row r="189" spans="1:26" hidden="1">
      <c r="A189" s="703" t="s">
        <v>6911</v>
      </c>
      <c r="B189" s="13"/>
      <c r="C189" s="13"/>
      <c r="D189" s="13"/>
      <c r="E189" s="13"/>
      <c r="F189" s="13"/>
      <c r="G189" s="13"/>
      <c r="H189" s="13"/>
      <c r="I189" s="13"/>
      <c r="J189" s="13"/>
      <c r="K189" s="13">
        <f>SUM(B189:J189)</f>
        <v>0</v>
      </c>
      <c r="L189" s="472"/>
      <c r="M189" s="13"/>
      <c r="N189" s="13"/>
      <c r="O189" s="13"/>
      <c r="P189" s="13"/>
      <c r="Q189" s="13"/>
      <c r="R189" s="13"/>
      <c r="S189" s="13"/>
      <c r="T189" s="13"/>
      <c r="U189" s="13"/>
      <c r="V189" s="13">
        <f>SUM(M189:U189)</f>
        <v>0</v>
      </c>
      <c r="W189" s="472"/>
      <c r="Z189" s="68"/>
    </row>
    <row r="190" spans="1:26" hidden="1">
      <c r="A190" s="703" t="s">
        <v>6910</v>
      </c>
      <c r="B190" s="13"/>
      <c r="C190" s="13"/>
      <c r="D190" s="13"/>
      <c r="E190" s="13"/>
      <c r="F190" s="13"/>
      <c r="G190" s="13"/>
      <c r="H190" s="13"/>
      <c r="I190" s="13"/>
      <c r="J190" s="13"/>
      <c r="K190" s="13">
        <f>SUM(B190:J190)</f>
        <v>0</v>
      </c>
      <c r="L190" s="472"/>
      <c r="M190" s="13"/>
      <c r="N190" s="13"/>
      <c r="O190" s="13"/>
      <c r="P190" s="13"/>
      <c r="Q190" s="13"/>
      <c r="R190" s="13"/>
      <c r="S190" s="13"/>
      <c r="T190" s="13"/>
      <c r="U190" s="13"/>
      <c r="V190" s="13">
        <f>SUM(M190:U190)</f>
        <v>0</v>
      </c>
      <c r="W190" s="472"/>
      <c r="Z190" s="68"/>
    </row>
    <row r="191" spans="1:26" ht="24">
      <c r="A191" s="705" t="s">
        <v>50</v>
      </c>
      <c r="B191" s="484">
        <f t="shared" ref="B191:W191" si="46">B192+B199+B206</f>
        <v>2336</v>
      </c>
      <c r="C191" s="484">
        <f t="shared" si="46"/>
        <v>0</v>
      </c>
      <c r="D191" s="484">
        <f t="shared" si="46"/>
        <v>0</v>
      </c>
      <c r="E191" s="484">
        <f t="shared" si="46"/>
        <v>0</v>
      </c>
      <c r="F191" s="484">
        <f t="shared" si="46"/>
        <v>0</v>
      </c>
      <c r="G191" s="484">
        <f t="shared" si="46"/>
        <v>0</v>
      </c>
      <c r="H191" s="484">
        <f t="shared" si="46"/>
        <v>0</v>
      </c>
      <c r="I191" s="484">
        <f t="shared" si="46"/>
        <v>0</v>
      </c>
      <c r="J191" s="484">
        <f t="shared" si="46"/>
        <v>0</v>
      </c>
      <c r="K191" s="484">
        <f t="shared" si="46"/>
        <v>2336</v>
      </c>
      <c r="L191" s="485">
        <f t="shared" si="46"/>
        <v>77608934.193742007</v>
      </c>
      <c r="M191" s="484">
        <f t="shared" si="46"/>
        <v>2350</v>
      </c>
      <c r="N191" s="484">
        <f t="shared" si="46"/>
        <v>0</v>
      </c>
      <c r="O191" s="484">
        <f t="shared" si="46"/>
        <v>0</v>
      </c>
      <c r="P191" s="484">
        <f t="shared" si="46"/>
        <v>0</v>
      </c>
      <c r="Q191" s="484">
        <f t="shared" si="46"/>
        <v>0</v>
      </c>
      <c r="R191" s="484">
        <f t="shared" si="46"/>
        <v>0</v>
      </c>
      <c r="S191" s="484">
        <f t="shared" si="46"/>
        <v>0</v>
      </c>
      <c r="T191" s="484">
        <f t="shared" si="46"/>
        <v>0</v>
      </c>
      <c r="U191" s="484">
        <f t="shared" si="46"/>
        <v>0</v>
      </c>
      <c r="V191" s="484">
        <f t="shared" si="46"/>
        <v>2350</v>
      </c>
      <c r="W191" s="485">
        <f t="shared" si="46"/>
        <v>73153738.245291144</v>
      </c>
      <c r="Z191" s="68"/>
    </row>
    <row r="192" spans="1:26">
      <c r="A192" s="705" t="s">
        <v>4</v>
      </c>
      <c r="B192" s="484">
        <f t="shared" ref="B192:W192" si="47">SUM(B193:B198)</f>
        <v>56</v>
      </c>
      <c r="C192" s="484">
        <f t="shared" si="47"/>
        <v>0</v>
      </c>
      <c r="D192" s="484">
        <f t="shared" si="47"/>
        <v>0</v>
      </c>
      <c r="E192" s="484">
        <f t="shared" si="47"/>
        <v>0</v>
      </c>
      <c r="F192" s="484">
        <f t="shared" si="47"/>
        <v>0</v>
      </c>
      <c r="G192" s="484">
        <f t="shared" si="47"/>
        <v>0</v>
      </c>
      <c r="H192" s="484">
        <f t="shared" si="47"/>
        <v>0</v>
      </c>
      <c r="I192" s="484">
        <f t="shared" si="47"/>
        <v>0</v>
      </c>
      <c r="J192" s="484">
        <f t="shared" si="47"/>
        <v>0</v>
      </c>
      <c r="K192" s="484">
        <f t="shared" si="47"/>
        <v>56</v>
      </c>
      <c r="L192" s="485">
        <f t="shared" si="47"/>
        <v>1992909.558783547</v>
      </c>
      <c r="M192" s="484">
        <f t="shared" si="47"/>
        <v>58</v>
      </c>
      <c r="N192" s="484">
        <f t="shared" si="47"/>
        <v>0</v>
      </c>
      <c r="O192" s="484">
        <f t="shared" si="47"/>
        <v>0</v>
      </c>
      <c r="P192" s="484">
        <f t="shared" si="47"/>
        <v>0</v>
      </c>
      <c r="Q192" s="484">
        <f t="shared" si="47"/>
        <v>0</v>
      </c>
      <c r="R192" s="484">
        <f t="shared" si="47"/>
        <v>0</v>
      </c>
      <c r="S192" s="484">
        <f t="shared" si="47"/>
        <v>0</v>
      </c>
      <c r="T192" s="484">
        <f t="shared" si="47"/>
        <v>0</v>
      </c>
      <c r="U192" s="484">
        <f t="shared" si="47"/>
        <v>0</v>
      </c>
      <c r="V192" s="484">
        <f t="shared" si="47"/>
        <v>58</v>
      </c>
      <c r="W192" s="485">
        <f t="shared" si="47"/>
        <v>1864247.7948835469</v>
      </c>
      <c r="Z192" s="68"/>
    </row>
    <row r="193" spans="1:26">
      <c r="A193" s="703" t="s">
        <v>13</v>
      </c>
      <c r="B193" s="13">
        <f>'F-09 EP'!B181+'F-09 MGP'!B193+'F-09 FAP'!B193</f>
        <v>3</v>
      </c>
      <c r="C193" s="13"/>
      <c r="D193" s="13"/>
      <c r="E193" s="13"/>
      <c r="F193" s="13"/>
      <c r="G193" s="13"/>
      <c r="H193" s="13"/>
      <c r="I193" s="13"/>
      <c r="J193" s="13"/>
      <c r="K193" s="13">
        <f t="shared" ref="K193:K198" si="48">SUM(B193:J193)</f>
        <v>3</v>
      </c>
      <c r="L193" s="472">
        <f>'F-09 EP'!L181+'F-09 MGP'!L193+'F-09 FAP'!L193</f>
        <v>110321.04000000001</v>
      </c>
      <c r="M193" s="13">
        <f>'F-09 EP'!M181+'F-09 MGP'!M193+'F-09 FAP'!M193</f>
        <v>5</v>
      </c>
      <c r="N193" s="13"/>
      <c r="O193" s="13"/>
      <c r="P193" s="13"/>
      <c r="Q193" s="13"/>
      <c r="R193" s="13"/>
      <c r="S193" s="13"/>
      <c r="T193" s="13"/>
      <c r="U193" s="13"/>
      <c r="V193" s="13">
        <f t="shared" ref="V193:V198" si="49">SUM(M193:U193)</f>
        <v>5</v>
      </c>
      <c r="W193" s="472">
        <f>'F-09 EP'!W181+'F-09 MGP'!W193+'F-09 FAP'!W193</f>
        <v>175520.24803999998</v>
      </c>
      <c r="Z193" s="68"/>
    </row>
    <row r="194" spans="1:26">
      <c r="A194" s="703" t="s">
        <v>6978</v>
      </c>
      <c r="B194" s="13">
        <f>'F-09 EP'!B182+'F-09 MGP'!B194+'F-09 FAP'!B194</f>
        <v>5</v>
      </c>
      <c r="C194" s="13"/>
      <c r="D194" s="13"/>
      <c r="E194" s="13"/>
      <c r="F194" s="13"/>
      <c r="G194" s="13"/>
      <c r="H194" s="13"/>
      <c r="I194" s="13"/>
      <c r="J194" s="13"/>
      <c r="K194" s="13">
        <f t="shared" si="48"/>
        <v>5</v>
      </c>
      <c r="L194" s="472">
        <f>'F-09 EP'!L182+'F-09 MGP'!L194+'F-09 FAP'!L194</f>
        <v>183208.4</v>
      </c>
      <c r="M194" s="13">
        <f>'F-09 EP'!M182+'F-09 MGP'!M194+'F-09 FAP'!M194</f>
        <v>9</v>
      </c>
      <c r="N194" s="13"/>
      <c r="O194" s="13"/>
      <c r="P194" s="13"/>
      <c r="Q194" s="13"/>
      <c r="R194" s="13"/>
      <c r="S194" s="13"/>
      <c r="T194" s="13"/>
      <c r="U194" s="13"/>
      <c r="V194" s="13">
        <f t="shared" si="49"/>
        <v>9</v>
      </c>
      <c r="W194" s="472">
        <f>'F-09 EP'!W182+'F-09 MGP'!W194+'F-09 FAP'!W194</f>
        <v>318636.67631999997</v>
      </c>
      <c r="Z194" s="68"/>
    </row>
    <row r="195" spans="1:26">
      <c r="A195" s="703" t="s">
        <v>6977</v>
      </c>
      <c r="B195" s="13">
        <f>'F-09 EP'!B183+'F-09 MGP'!B195+'F-09 FAP'!B195</f>
        <v>8</v>
      </c>
      <c r="C195" s="13"/>
      <c r="D195" s="13"/>
      <c r="E195" s="13"/>
      <c r="F195" s="13"/>
      <c r="G195" s="13"/>
      <c r="H195" s="13"/>
      <c r="I195" s="13"/>
      <c r="J195" s="13"/>
      <c r="K195" s="13">
        <f t="shared" si="48"/>
        <v>8</v>
      </c>
      <c r="L195" s="472">
        <f>'F-09 EP'!L183+'F-09 MGP'!L195+'F-09 FAP'!L195</f>
        <v>287373.44</v>
      </c>
      <c r="M195" s="13">
        <f>'F-09 EP'!M183+'F-09 MGP'!M195+'F-09 FAP'!M195</f>
        <v>8</v>
      </c>
      <c r="N195" s="13"/>
      <c r="O195" s="13"/>
      <c r="P195" s="13"/>
      <c r="Q195" s="13"/>
      <c r="R195" s="13"/>
      <c r="S195" s="13"/>
      <c r="T195" s="13"/>
      <c r="U195" s="13"/>
      <c r="V195" s="13">
        <f t="shared" si="49"/>
        <v>8</v>
      </c>
      <c r="W195" s="472">
        <f>'F-09 EP'!W183+'F-09 MGP'!W195+'F-09 FAP'!W195</f>
        <v>242432</v>
      </c>
      <c r="Z195" s="68"/>
    </row>
    <row r="196" spans="1:26">
      <c r="A196" s="703" t="s">
        <v>6976</v>
      </c>
      <c r="B196" s="13">
        <f>'F-09 EP'!B184+'F-09 MGP'!B196+'F-09 FAP'!B196</f>
        <v>11</v>
      </c>
      <c r="C196" s="13"/>
      <c r="D196" s="13"/>
      <c r="E196" s="13"/>
      <c r="F196" s="13"/>
      <c r="G196" s="13"/>
      <c r="H196" s="13"/>
      <c r="I196" s="13"/>
      <c r="J196" s="13"/>
      <c r="K196" s="13">
        <f t="shared" si="48"/>
        <v>11</v>
      </c>
      <c r="L196" s="472">
        <f>'F-09 EP'!L184+'F-09 MGP'!L196+'F-09 FAP'!L196</f>
        <v>396013.42022387055</v>
      </c>
      <c r="M196" s="13">
        <f>'F-09 EP'!M184+'F-09 MGP'!M196+'F-09 FAP'!M196</f>
        <v>9</v>
      </c>
      <c r="N196" s="13"/>
      <c r="O196" s="13"/>
      <c r="P196" s="13"/>
      <c r="Q196" s="13"/>
      <c r="R196" s="13"/>
      <c r="S196" s="13"/>
      <c r="T196" s="13"/>
      <c r="U196" s="13"/>
      <c r="V196" s="13">
        <f t="shared" si="49"/>
        <v>9</v>
      </c>
      <c r="W196" s="472">
        <f>'F-09 EP'!W184+'F-09 MGP'!W196+'F-09 FAP'!W196</f>
        <v>288520.2860438705</v>
      </c>
      <c r="Z196" s="68"/>
    </row>
    <row r="197" spans="1:26">
      <c r="A197" s="703" t="s">
        <v>14</v>
      </c>
      <c r="B197" s="13">
        <f>'F-09 EP'!B185+'F-09 MGP'!B197+'F-09 FAP'!B197</f>
        <v>14</v>
      </c>
      <c r="C197" s="13"/>
      <c r="D197" s="13"/>
      <c r="E197" s="13"/>
      <c r="F197" s="13"/>
      <c r="G197" s="13"/>
      <c r="H197" s="13"/>
      <c r="I197" s="13"/>
      <c r="J197" s="13"/>
      <c r="K197" s="13">
        <f t="shared" si="48"/>
        <v>14</v>
      </c>
      <c r="L197" s="472">
        <f>'F-09 EP'!L185+'F-09 MGP'!L197+'F-09 FAP'!L197</f>
        <v>501104.06444774108</v>
      </c>
      <c r="M197" s="13">
        <f>'F-09 EP'!M185+'F-09 MGP'!M197+'F-09 FAP'!M197</f>
        <v>12</v>
      </c>
      <c r="N197" s="13"/>
      <c r="O197" s="13"/>
      <c r="P197" s="13"/>
      <c r="Q197" s="13"/>
      <c r="R197" s="13"/>
      <c r="S197" s="13"/>
      <c r="T197" s="13"/>
      <c r="U197" s="13"/>
      <c r="V197" s="13">
        <f t="shared" si="49"/>
        <v>12</v>
      </c>
      <c r="W197" s="472">
        <f>'F-09 EP'!W185+'F-09 MGP'!W197+'F-09 FAP'!W197</f>
        <v>382248.04044774105</v>
      </c>
      <c r="Z197" s="68"/>
    </row>
    <row r="198" spans="1:26">
      <c r="A198" s="703" t="s">
        <v>6975</v>
      </c>
      <c r="B198" s="13">
        <f>'F-09 EP'!B186+'F-09 MGP'!B198+'F-09 FAP'!B198</f>
        <v>15</v>
      </c>
      <c r="C198" s="13"/>
      <c r="D198" s="13"/>
      <c r="E198" s="13"/>
      <c r="F198" s="13"/>
      <c r="G198" s="13"/>
      <c r="H198" s="13"/>
      <c r="I198" s="13"/>
      <c r="J198" s="13"/>
      <c r="K198" s="13">
        <f t="shared" si="48"/>
        <v>15</v>
      </c>
      <c r="L198" s="472">
        <f>'F-09 EP'!L186+'F-09 MGP'!L198+'F-09 FAP'!L198</f>
        <v>514889.19411193527</v>
      </c>
      <c r="M198" s="13">
        <f>'F-09 EP'!M186+'F-09 MGP'!M198+'F-09 FAP'!M198</f>
        <v>15</v>
      </c>
      <c r="N198" s="13"/>
      <c r="O198" s="13"/>
      <c r="P198" s="13"/>
      <c r="Q198" s="13"/>
      <c r="R198" s="13"/>
      <c r="S198" s="13"/>
      <c r="T198" s="13"/>
      <c r="U198" s="13"/>
      <c r="V198" s="13">
        <f t="shared" si="49"/>
        <v>15</v>
      </c>
      <c r="W198" s="472">
        <f>'F-09 EP'!W186+'F-09 MGP'!W198+'F-09 FAP'!W198</f>
        <v>456890.54403193528</v>
      </c>
      <c r="Z198" s="68"/>
    </row>
    <row r="199" spans="1:26">
      <c r="A199" s="705" t="s">
        <v>5</v>
      </c>
      <c r="B199" s="484">
        <f t="shared" ref="B199:W199" si="50">SUM(B200:B205)</f>
        <v>1237</v>
      </c>
      <c r="C199" s="484">
        <f t="shared" si="50"/>
        <v>0</v>
      </c>
      <c r="D199" s="484">
        <f t="shared" si="50"/>
        <v>0</v>
      </c>
      <c r="E199" s="484">
        <f t="shared" si="50"/>
        <v>0</v>
      </c>
      <c r="F199" s="484">
        <f t="shared" si="50"/>
        <v>0</v>
      </c>
      <c r="G199" s="484">
        <f t="shared" si="50"/>
        <v>0</v>
      </c>
      <c r="H199" s="484">
        <f t="shared" si="50"/>
        <v>0</v>
      </c>
      <c r="I199" s="484">
        <f t="shared" si="50"/>
        <v>0</v>
      </c>
      <c r="J199" s="484">
        <f t="shared" si="50"/>
        <v>0</v>
      </c>
      <c r="K199" s="484">
        <f t="shared" si="50"/>
        <v>1237</v>
      </c>
      <c r="L199" s="485">
        <f t="shared" si="50"/>
        <v>41807787.24292995</v>
      </c>
      <c r="M199" s="484">
        <f t="shared" si="50"/>
        <v>1242</v>
      </c>
      <c r="N199" s="484">
        <f t="shared" si="50"/>
        <v>0</v>
      </c>
      <c r="O199" s="484">
        <f t="shared" si="50"/>
        <v>0</v>
      </c>
      <c r="P199" s="484">
        <f t="shared" si="50"/>
        <v>0</v>
      </c>
      <c r="Q199" s="484">
        <f t="shared" si="50"/>
        <v>0</v>
      </c>
      <c r="R199" s="484">
        <f t="shared" si="50"/>
        <v>0</v>
      </c>
      <c r="S199" s="484">
        <f t="shared" si="50"/>
        <v>0</v>
      </c>
      <c r="T199" s="484">
        <f t="shared" si="50"/>
        <v>0</v>
      </c>
      <c r="U199" s="484">
        <f t="shared" si="50"/>
        <v>0</v>
      </c>
      <c r="V199" s="484">
        <f t="shared" si="50"/>
        <v>1242</v>
      </c>
      <c r="W199" s="485">
        <f t="shared" si="50"/>
        <v>39720775.900505759</v>
      </c>
      <c r="Z199" s="68"/>
    </row>
    <row r="200" spans="1:26">
      <c r="A200" s="703" t="s">
        <v>6974</v>
      </c>
      <c r="B200" s="13">
        <f>'F-09 EP'!B188+'F-09 MGP'!B200+'F-09 FAP'!B200</f>
        <v>228</v>
      </c>
      <c r="C200" s="13"/>
      <c r="D200" s="13"/>
      <c r="E200" s="13"/>
      <c r="F200" s="13"/>
      <c r="G200" s="13"/>
      <c r="H200" s="13"/>
      <c r="I200" s="13"/>
      <c r="J200" s="13"/>
      <c r="K200" s="13">
        <f t="shared" ref="K200:K205" si="51">SUM(B200:J200)</f>
        <v>228</v>
      </c>
      <c r="L200" s="472">
        <f>'F-09 EP'!L188+'F-09 MGP'!L200+'F-09 FAP'!L200</f>
        <v>7855314.5130016413</v>
      </c>
      <c r="M200" s="13">
        <f>'F-09 EP'!M188+'F-09 MGP'!M200+'F-09 FAP'!M200</f>
        <v>237</v>
      </c>
      <c r="N200" s="13"/>
      <c r="O200" s="13"/>
      <c r="P200" s="13"/>
      <c r="Q200" s="13"/>
      <c r="R200" s="13"/>
      <c r="S200" s="13"/>
      <c r="T200" s="13"/>
      <c r="U200" s="13"/>
      <c r="V200" s="13">
        <f t="shared" ref="V200:V205" si="52">SUM(M200:U200)</f>
        <v>237</v>
      </c>
      <c r="W200" s="472">
        <f>'F-09 EP'!W188+'F-09 MGP'!W200+'F-09 FAP'!W200</f>
        <v>7929829.6953967642</v>
      </c>
      <c r="Z200" s="68"/>
    </row>
    <row r="201" spans="1:26">
      <c r="A201" s="703" t="s">
        <v>6973</v>
      </c>
      <c r="B201" s="13">
        <f>'F-09 EP'!B189+'F-09 MGP'!B201+'F-09 FAP'!B201</f>
        <v>292</v>
      </c>
      <c r="C201" s="13"/>
      <c r="D201" s="13"/>
      <c r="E201" s="13"/>
      <c r="F201" s="13"/>
      <c r="G201" s="13"/>
      <c r="H201" s="13"/>
      <c r="I201" s="13"/>
      <c r="J201" s="13"/>
      <c r="K201" s="13">
        <f t="shared" si="51"/>
        <v>292</v>
      </c>
      <c r="L201" s="472">
        <f>'F-09 EP'!L189+'F-09 MGP'!L201+'F-09 FAP'!L201</f>
        <v>9898669.5327491127</v>
      </c>
      <c r="M201" s="13">
        <f>'F-09 EP'!M189+'F-09 MGP'!M201+'F-09 FAP'!M201</f>
        <v>297</v>
      </c>
      <c r="N201" s="13"/>
      <c r="O201" s="13"/>
      <c r="P201" s="13"/>
      <c r="Q201" s="13"/>
      <c r="R201" s="13"/>
      <c r="S201" s="13"/>
      <c r="T201" s="13"/>
      <c r="U201" s="13"/>
      <c r="V201" s="13">
        <f t="shared" si="52"/>
        <v>297</v>
      </c>
      <c r="W201" s="472">
        <f>'F-09 EP'!W189+'F-09 MGP'!W201+'F-09 FAP'!W201</f>
        <v>9672271.9517757781</v>
      </c>
      <c r="Z201" s="68"/>
    </row>
    <row r="202" spans="1:26">
      <c r="A202" s="703" t="s">
        <v>6972</v>
      </c>
      <c r="B202" s="13">
        <f>'F-09 EP'!B190+'F-09 MGP'!B202+'F-09 FAP'!B202</f>
        <v>348</v>
      </c>
      <c r="C202" s="13"/>
      <c r="D202" s="13"/>
      <c r="E202" s="13"/>
      <c r="F202" s="13"/>
      <c r="G202" s="13"/>
      <c r="H202" s="13"/>
      <c r="I202" s="13"/>
      <c r="J202" s="13"/>
      <c r="K202" s="13">
        <f t="shared" si="51"/>
        <v>348</v>
      </c>
      <c r="L202" s="472">
        <f>'F-09 EP'!L190+'F-09 MGP'!L202+'F-09 FAP'!L202</f>
        <v>11849797.087477915</v>
      </c>
      <c r="M202" s="13">
        <f>'F-09 EP'!M190+'F-09 MGP'!M202+'F-09 FAP'!M202</f>
        <v>351</v>
      </c>
      <c r="N202" s="13"/>
      <c r="O202" s="13"/>
      <c r="P202" s="13"/>
      <c r="Q202" s="13"/>
      <c r="R202" s="13"/>
      <c r="S202" s="13"/>
      <c r="T202" s="13"/>
      <c r="U202" s="13"/>
      <c r="V202" s="13">
        <f t="shared" si="52"/>
        <v>351</v>
      </c>
      <c r="W202" s="472">
        <f>'F-09 EP'!W190+'F-09 MGP'!W202+'F-09 FAP'!W202</f>
        <v>11302174.25827064</v>
      </c>
      <c r="Z202" s="68"/>
    </row>
    <row r="203" spans="1:26">
      <c r="A203" s="703" t="s">
        <v>6971</v>
      </c>
      <c r="B203" s="13">
        <f>'F-09 EP'!B191+'F-09 MGP'!B203+'F-09 FAP'!B203</f>
        <v>165</v>
      </c>
      <c r="C203" s="13"/>
      <c r="D203" s="13"/>
      <c r="E203" s="13"/>
      <c r="F203" s="13"/>
      <c r="G203" s="13"/>
      <c r="H203" s="13"/>
      <c r="I203" s="13"/>
      <c r="J203" s="13"/>
      <c r="K203" s="13">
        <f t="shared" si="51"/>
        <v>165</v>
      </c>
      <c r="L203" s="472">
        <f>'F-09 EP'!L191+'F-09 MGP'!L203+'F-09 FAP'!L203</f>
        <v>5505110.7658461276</v>
      </c>
      <c r="M203" s="13">
        <f>'F-09 EP'!M191+'F-09 MGP'!M203+'F-09 FAP'!M203</f>
        <v>165</v>
      </c>
      <c r="N203" s="13"/>
      <c r="O203" s="13"/>
      <c r="P203" s="13"/>
      <c r="Q203" s="13"/>
      <c r="R203" s="13"/>
      <c r="S203" s="13"/>
      <c r="T203" s="13"/>
      <c r="U203" s="13"/>
      <c r="V203" s="13">
        <f t="shared" si="52"/>
        <v>165</v>
      </c>
      <c r="W203" s="472">
        <f>'F-09 EP'!W191+'F-09 MGP'!W203+'F-09 FAP'!W203</f>
        <v>5029528.4914074177</v>
      </c>
      <c r="Z203" s="68"/>
    </row>
    <row r="204" spans="1:26">
      <c r="A204" s="703" t="s">
        <v>16</v>
      </c>
      <c r="B204" s="13">
        <f>'F-09 EP'!B192+'F-09 MGP'!B204+'F-09 FAP'!B204</f>
        <v>66</v>
      </c>
      <c r="C204" s="13"/>
      <c r="D204" s="13"/>
      <c r="E204" s="13"/>
      <c r="F204" s="13"/>
      <c r="G204" s="13"/>
      <c r="H204" s="13"/>
      <c r="I204" s="13"/>
      <c r="J204" s="13"/>
      <c r="K204" s="13">
        <f t="shared" si="51"/>
        <v>66</v>
      </c>
      <c r="L204" s="472">
        <f>'F-09 EP'!L192+'F-09 MGP'!L204+'F-09 FAP'!L204</f>
        <v>2238338.9201119351</v>
      </c>
      <c r="M204" s="13">
        <f>'F-09 EP'!M192+'F-09 MGP'!M204+'F-09 FAP'!M204</f>
        <v>65</v>
      </c>
      <c r="N204" s="13"/>
      <c r="O204" s="13"/>
      <c r="P204" s="13"/>
      <c r="Q204" s="13"/>
      <c r="R204" s="13"/>
      <c r="S204" s="13"/>
      <c r="T204" s="13"/>
      <c r="U204" s="13"/>
      <c r="V204" s="13">
        <f t="shared" si="52"/>
        <v>65</v>
      </c>
      <c r="W204" s="472">
        <f>'F-09 EP'!W192+'F-09 MGP'!W204+'F-09 FAP'!W204</f>
        <v>1896926.1230319352</v>
      </c>
      <c r="Z204" s="68"/>
    </row>
    <row r="205" spans="1:26">
      <c r="A205" s="703" t="s">
        <v>6970</v>
      </c>
      <c r="B205" s="13">
        <f>'F-09 EP'!B193+'F-09 MGP'!B205+'F-09 FAP'!B205</f>
        <v>138</v>
      </c>
      <c r="C205" s="13"/>
      <c r="D205" s="13"/>
      <c r="E205" s="13"/>
      <c r="F205" s="13"/>
      <c r="G205" s="13"/>
      <c r="H205" s="13"/>
      <c r="I205" s="13"/>
      <c r="J205" s="13"/>
      <c r="K205" s="13">
        <f t="shared" si="51"/>
        <v>138</v>
      </c>
      <c r="L205" s="472">
        <f>'F-09 EP'!L193+'F-09 MGP'!L205+'F-09 FAP'!L205</f>
        <v>4460556.4237432228</v>
      </c>
      <c r="M205" s="13">
        <f>'F-09 EP'!M193+'F-09 MGP'!M205+'F-09 FAP'!M205</f>
        <v>127</v>
      </c>
      <c r="N205" s="13"/>
      <c r="O205" s="13"/>
      <c r="P205" s="13"/>
      <c r="Q205" s="13"/>
      <c r="R205" s="13"/>
      <c r="S205" s="13"/>
      <c r="T205" s="13"/>
      <c r="U205" s="13"/>
      <c r="V205" s="13">
        <f t="shared" si="52"/>
        <v>127</v>
      </c>
      <c r="W205" s="472">
        <f>'F-09 EP'!W193+'F-09 MGP'!W205+'F-09 FAP'!W205</f>
        <v>3890045.3806232233</v>
      </c>
      <c r="Z205" s="68"/>
    </row>
    <row r="206" spans="1:26">
      <c r="A206" s="705" t="s">
        <v>6</v>
      </c>
      <c r="B206" s="484">
        <f t="shared" ref="B206:W206" si="53">SUM(B207:B212)</f>
        <v>1043</v>
      </c>
      <c r="C206" s="484">
        <f t="shared" si="53"/>
        <v>0</v>
      </c>
      <c r="D206" s="484">
        <f t="shared" si="53"/>
        <v>0</v>
      </c>
      <c r="E206" s="484">
        <f t="shared" si="53"/>
        <v>0</v>
      </c>
      <c r="F206" s="484">
        <f t="shared" si="53"/>
        <v>0</v>
      </c>
      <c r="G206" s="484">
        <f t="shared" si="53"/>
        <v>0</v>
      </c>
      <c r="H206" s="484">
        <f t="shared" si="53"/>
        <v>0</v>
      </c>
      <c r="I206" s="484">
        <f t="shared" si="53"/>
        <v>0</v>
      </c>
      <c r="J206" s="484">
        <f t="shared" si="53"/>
        <v>0</v>
      </c>
      <c r="K206" s="484">
        <f t="shared" si="53"/>
        <v>1043</v>
      </c>
      <c r="L206" s="485">
        <f t="shared" si="53"/>
        <v>33808237.392028503</v>
      </c>
      <c r="M206" s="484">
        <f t="shared" si="53"/>
        <v>1050</v>
      </c>
      <c r="N206" s="484">
        <f t="shared" si="53"/>
        <v>0</v>
      </c>
      <c r="O206" s="484">
        <f t="shared" si="53"/>
        <v>0</v>
      </c>
      <c r="P206" s="484">
        <f t="shared" si="53"/>
        <v>0</v>
      </c>
      <c r="Q206" s="484">
        <f t="shared" si="53"/>
        <v>0</v>
      </c>
      <c r="R206" s="484">
        <f t="shared" si="53"/>
        <v>0</v>
      </c>
      <c r="S206" s="484">
        <f t="shared" si="53"/>
        <v>0</v>
      </c>
      <c r="T206" s="484">
        <f t="shared" si="53"/>
        <v>0</v>
      </c>
      <c r="U206" s="484">
        <f t="shared" si="53"/>
        <v>0</v>
      </c>
      <c r="V206" s="484">
        <f t="shared" si="53"/>
        <v>1050</v>
      </c>
      <c r="W206" s="485">
        <f t="shared" si="53"/>
        <v>31568714.549901836</v>
      </c>
      <c r="Z206" s="68"/>
    </row>
    <row r="207" spans="1:26">
      <c r="A207" s="703" t="s">
        <v>17</v>
      </c>
      <c r="B207" s="13">
        <f>'F-09 EP'!B195+'F-09 MGP'!B207+'F-09 FAP'!B207</f>
        <v>501</v>
      </c>
      <c r="C207" s="13"/>
      <c r="D207" s="13"/>
      <c r="E207" s="13"/>
      <c r="F207" s="13"/>
      <c r="G207" s="13"/>
      <c r="H207" s="13"/>
      <c r="I207" s="13"/>
      <c r="J207" s="13"/>
      <c r="K207" s="13">
        <f t="shared" ref="K207:K212" si="54">SUM(B207:J207)</f>
        <v>501</v>
      </c>
      <c r="L207" s="472">
        <f>'F-09 EP'!L195+'F-09 MGP'!L207+'F-09 FAP'!L207</f>
        <v>16090734.896329511</v>
      </c>
      <c r="M207" s="13">
        <f>'F-09 EP'!M195+'F-09 MGP'!M207+'F-09 FAP'!M207</f>
        <v>506</v>
      </c>
      <c r="N207" s="13"/>
      <c r="O207" s="13"/>
      <c r="P207" s="13"/>
      <c r="Q207" s="13"/>
      <c r="R207" s="13"/>
      <c r="S207" s="13"/>
      <c r="T207" s="13"/>
      <c r="U207" s="13"/>
      <c r="V207" s="13">
        <f t="shared" ref="V207:V212" si="55">SUM(M207:U207)</f>
        <v>506</v>
      </c>
      <c r="W207" s="472">
        <f>'F-09 EP'!W195+'F-09 MGP'!W207+'F-09 FAP'!W207</f>
        <v>15275559.650662847</v>
      </c>
      <c r="Z207" s="68"/>
    </row>
    <row r="208" spans="1:26">
      <c r="A208" s="703" t="s">
        <v>6969</v>
      </c>
      <c r="B208" s="13">
        <f>'F-09 EP'!B196+'F-09 MGP'!B208+'F-09 FAP'!B208</f>
        <v>203</v>
      </c>
      <c r="C208" s="13"/>
      <c r="D208" s="13"/>
      <c r="E208" s="13"/>
      <c r="F208" s="13"/>
      <c r="G208" s="13"/>
      <c r="H208" s="13"/>
      <c r="I208" s="13"/>
      <c r="J208" s="13"/>
      <c r="K208" s="13">
        <f t="shared" si="54"/>
        <v>203</v>
      </c>
      <c r="L208" s="472">
        <f>'F-09 EP'!L196+'F-09 MGP'!L208+'F-09 FAP'!L208</f>
        <v>6819822.5773054622</v>
      </c>
      <c r="M208" s="13">
        <f>'F-09 EP'!M196+'F-09 MGP'!M208+'F-09 FAP'!M208</f>
        <v>203</v>
      </c>
      <c r="N208" s="13"/>
      <c r="O208" s="13"/>
      <c r="P208" s="13"/>
      <c r="Q208" s="13"/>
      <c r="R208" s="13"/>
      <c r="S208" s="13"/>
      <c r="T208" s="13"/>
      <c r="U208" s="13"/>
      <c r="V208" s="13">
        <f t="shared" si="55"/>
        <v>203</v>
      </c>
      <c r="W208" s="472">
        <f>'F-09 EP'!W196+'F-09 MGP'!W208+'F-09 FAP'!W208</f>
        <v>6364154.5686054621</v>
      </c>
      <c r="Z208" s="68"/>
    </row>
    <row r="209" spans="1:26">
      <c r="A209" s="703" t="s">
        <v>6968</v>
      </c>
      <c r="B209" s="13">
        <f>'F-09 EP'!B197+'F-09 MGP'!B209+'F-09 FAP'!B209</f>
        <v>123</v>
      </c>
      <c r="C209" s="13"/>
      <c r="D209" s="13"/>
      <c r="E209" s="13"/>
      <c r="F209" s="13"/>
      <c r="G209" s="13"/>
      <c r="H209" s="13"/>
      <c r="I209" s="13"/>
      <c r="J209" s="13"/>
      <c r="K209" s="13">
        <f t="shared" si="54"/>
        <v>123</v>
      </c>
      <c r="L209" s="472">
        <f>'F-09 EP'!L197+'F-09 MGP'!L209+'F-09 FAP'!L209</f>
        <v>3976316.0729235332</v>
      </c>
      <c r="M209" s="13">
        <f>'F-09 EP'!M197+'F-09 MGP'!M209+'F-09 FAP'!M209</f>
        <v>123</v>
      </c>
      <c r="N209" s="13"/>
      <c r="O209" s="13"/>
      <c r="P209" s="13"/>
      <c r="Q209" s="13"/>
      <c r="R209" s="13"/>
      <c r="S209" s="13"/>
      <c r="T209" s="13"/>
      <c r="U209" s="13"/>
      <c r="V209" s="13">
        <f t="shared" si="55"/>
        <v>123</v>
      </c>
      <c r="W209" s="472">
        <f>'F-09 EP'!W197+'F-09 MGP'!W209+'F-09 FAP'!W209</f>
        <v>3666498.6991635328</v>
      </c>
      <c r="Z209" s="68"/>
    </row>
    <row r="210" spans="1:26">
      <c r="A210" s="703" t="s">
        <v>6967</v>
      </c>
      <c r="B210" s="13">
        <f>'F-09 EP'!B198+'F-09 MGP'!B210+'F-09 FAP'!B210</f>
        <v>54</v>
      </c>
      <c r="C210" s="13"/>
      <c r="D210" s="13"/>
      <c r="E210" s="13"/>
      <c r="F210" s="13"/>
      <c r="G210" s="13"/>
      <c r="H210" s="13"/>
      <c r="I210" s="13"/>
      <c r="J210" s="13"/>
      <c r="K210" s="13">
        <f t="shared" si="54"/>
        <v>54</v>
      </c>
      <c r="L210" s="472">
        <f>'F-09 EP'!L198+'F-09 MGP'!L210+'F-09 FAP'!L210</f>
        <v>1704180.6910074176</v>
      </c>
      <c r="M210" s="13">
        <f>'F-09 EP'!M198+'F-09 MGP'!M210+'F-09 FAP'!M210</f>
        <v>55</v>
      </c>
      <c r="N210" s="13"/>
      <c r="O210" s="13"/>
      <c r="P210" s="13"/>
      <c r="Q210" s="13"/>
      <c r="R210" s="13"/>
      <c r="S210" s="13"/>
      <c r="T210" s="13"/>
      <c r="U210" s="13"/>
      <c r="V210" s="13">
        <f t="shared" si="55"/>
        <v>55</v>
      </c>
      <c r="W210" s="472">
        <f>'F-09 EP'!W198+'F-09 MGP'!W210+'F-09 FAP'!W210</f>
        <v>1475878.0910074175</v>
      </c>
      <c r="Z210" s="68"/>
    </row>
    <row r="211" spans="1:26">
      <c r="A211" s="703" t="s">
        <v>18</v>
      </c>
      <c r="B211" s="13">
        <f>'F-09 EP'!B199+'F-09 MGP'!B211+'F-09 FAP'!B211</f>
        <v>55</v>
      </c>
      <c r="C211" s="13"/>
      <c r="D211" s="13"/>
      <c r="E211" s="13"/>
      <c r="F211" s="13"/>
      <c r="G211" s="13"/>
      <c r="H211" s="13"/>
      <c r="I211" s="13"/>
      <c r="J211" s="13"/>
      <c r="K211" s="13">
        <f t="shared" si="54"/>
        <v>55</v>
      </c>
      <c r="L211" s="472">
        <f>'F-09 EP'!L199+'F-09 MGP'!L211+'F-09 FAP'!L211</f>
        <v>1860811.7922238705</v>
      </c>
      <c r="M211" s="13">
        <f>'F-09 EP'!M199+'F-09 MGP'!M211+'F-09 FAP'!M211</f>
        <v>56</v>
      </c>
      <c r="N211" s="13"/>
      <c r="O211" s="13"/>
      <c r="P211" s="13"/>
      <c r="Q211" s="13"/>
      <c r="R211" s="13"/>
      <c r="S211" s="13"/>
      <c r="T211" s="13"/>
      <c r="U211" s="13"/>
      <c r="V211" s="13">
        <f t="shared" si="55"/>
        <v>56</v>
      </c>
      <c r="W211" s="472">
        <f>'F-09 EP'!W199+'F-09 MGP'!W211+'F-09 FAP'!W211</f>
        <v>1921339.3382238706</v>
      </c>
      <c r="Z211" s="68"/>
    </row>
    <row r="212" spans="1:26">
      <c r="A212" s="703" t="s">
        <v>6966</v>
      </c>
      <c r="B212" s="13">
        <f>'F-09 EP'!B200+'F-09 MGP'!B212+'F-09 FAP'!B212</f>
        <v>107</v>
      </c>
      <c r="C212" s="13"/>
      <c r="D212" s="13"/>
      <c r="E212" s="13"/>
      <c r="F212" s="13"/>
      <c r="G212" s="13"/>
      <c r="H212" s="13"/>
      <c r="I212" s="13"/>
      <c r="J212" s="13"/>
      <c r="K212" s="13">
        <f t="shared" si="54"/>
        <v>107</v>
      </c>
      <c r="L212" s="472">
        <f>'F-09 EP'!L200+'F-09 MGP'!L212+'F-09 FAP'!L212</f>
        <v>3356371.3622387056</v>
      </c>
      <c r="M212" s="13">
        <f>'F-09 EP'!M200+'F-09 MGP'!M212+'F-09 FAP'!M212</f>
        <v>107</v>
      </c>
      <c r="N212" s="13"/>
      <c r="O212" s="13"/>
      <c r="P212" s="13"/>
      <c r="Q212" s="13"/>
      <c r="R212" s="13"/>
      <c r="S212" s="13"/>
      <c r="T212" s="13"/>
      <c r="U212" s="13"/>
      <c r="V212" s="13">
        <f t="shared" si="55"/>
        <v>107</v>
      </c>
      <c r="W212" s="472">
        <f>'F-09 EP'!W200+'F-09 MGP'!W212+'F-09 FAP'!W212</f>
        <v>2865284.2022387055</v>
      </c>
      <c r="Z212" s="68"/>
    </row>
    <row r="213" spans="1:26">
      <c r="A213" s="704" t="s">
        <v>6965</v>
      </c>
      <c r="B213" s="482"/>
      <c r="C213" s="482"/>
      <c r="D213" s="482"/>
      <c r="E213" s="482"/>
      <c r="F213" s="482"/>
      <c r="G213" s="482"/>
      <c r="H213" s="482"/>
      <c r="I213" s="482"/>
      <c r="J213" s="482">
        <f>SUM(J214:J218)</f>
        <v>303</v>
      </c>
      <c r="K213" s="482">
        <f>SUM(K214:K218)</f>
        <v>303</v>
      </c>
      <c r="L213" s="474">
        <f>SUM(L214:L218)</f>
        <v>81254233.347692996</v>
      </c>
      <c r="M213" s="482">
        <f t="shared" ref="M213:T213" si="56">SUM(M214:M215)</f>
        <v>0</v>
      </c>
      <c r="N213" s="482">
        <f t="shared" si="56"/>
        <v>0</v>
      </c>
      <c r="O213" s="482">
        <f t="shared" si="56"/>
        <v>0</v>
      </c>
      <c r="P213" s="482">
        <f t="shared" si="56"/>
        <v>0</v>
      </c>
      <c r="Q213" s="482">
        <f t="shared" si="56"/>
        <v>0</v>
      </c>
      <c r="R213" s="482">
        <f t="shared" si="56"/>
        <v>0</v>
      </c>
      <c r="S213" s="482">
        <f t="shared" si="56"/>
        <v>0</v>
      </c>
      <c r="T213" s="482">
        <f t="shared" si="56"/>
        <v>0</v>
      </c>
      <c r="U213" s="482">
        <f>SUM(U214:U218)</f>
        <v>452</v>
      </c>
      <c r="V213" s="482">
        <f>SUM(V214:V218)</f>
        <v>452</v>
      </c>
      <c r="W213" s="474">
        <f>SUM(W214:W218)</f>
        <v>67615864.542926744</v>
      </c>
      <c r="Z213" s="68"/>
    </row>
    <row r="214" spans="1:26">
      <c r="A214" s="703" t="s">
        <v>6964</v>
      </c>
      <c r="B214" s="13"/>
      <c r="C214" s="13"/>
      <c r="D214" s="13"/>
      <c r="E214" s="13"/>
      <c r="F214" s="13"/>
      <c r="G214" s="13"/>
      <c r="H214" s="13"/>
      <c r="I214" s="13"/>
      <c r="J214" s="13">
        <f>'F-09 OGA'!J46+'F-09 EP'!J202+'F-09 MGP'!J214+'F-09 FAP'!J214</f>
        <v>137</v>
      </c>
      <c r="K214" s="13">
        <f>SUM(B214:J214)</f>
        <v>137</v>
      </c>
      <c r="L214" s="472">
        <f>'F-09 OGA'!L46+'F-09 EP'!L202+'F-09 MGP'!L214+'F-09 FAP'!L214</f>
        <v>46567849.029403798</v>
      </c>
      <c r="M214" s="13"/>
      <c r="N214" s="13"/>
      <c r="O214" s="13"/>
      <c r="P214" s="13"/>
      <c r="Q214" s="13"/>
      <c r="R214" s="13"/>
      <c r="S214" s="13"/>
      <c r="T214" s="13"/>
      <c r="U214" s="13">
        <f>'F-09 OGA'!U46+'F-09 EP'!U202+'F-09 MGP'!U214+'F-09 FAP'!U214</f>
        <v>128</v>
      </c>
      <c r="V214" s="13">
        <f>SUM(M214:U214)</f>
        <v>128</v>
      </c>
      <c r="W214" s="472">
        <f>'F-09 OGA'!W46+'F-09 EP'!W202+'F-09 MGP'!W214+'F-09 FAP'!W214</f>
        <v>48331760.724743992</v>
      </c>
      <c r="Z214" s="68"/>
    </row>
    <row r="215" spans="1:26">
      <c r="A215" s="703" t="s">
        <v>6963</v>
      </c>
      <c r="B215" s="13"/>
      <c r="C215" s="13"/>
      <c r="D215" s="13"/>
      <c r="E215" s="13"/>
      <c r="F215" s="13"/>
      <c r="G215" s="13"/>
      <c r="H215" s="13"/>
      <c r="I215" s="13"/>
      <c r="J215" s="13">
        <f>'F-09 EP'!J203+'F-09 MGP'!J215+'F-09 FAP'!J215</f>
        <v>101</v>
      </c>
      <c r="K215" s="13">
        <f>SUM(B215:J215)</f>
        <v>101</v>
      </c>
      <c r="L215" s="472">
        <f>'F-09 EP'!L203+'F-09 MGP'!L215+'F-09 FAP'!L215</f>
        <v>27226450.318289198</v>
      </c>
      <c r="M215" s="13"/>
      <c r="N215" s="13"/>
      <c r="O215" s="13"/>
      <c r="P215" s="13"/>
      <c r="Q215" s="13"/>
      <c r="R215" s="13"/>
      <c r="S215" s="13"/>
      <c r="T215" s="13"/>
      <c r="U215" s="13">
        <f>'F-09 EP'!U203+'F-09 MGP'!U215+'F-09 FAP'!U215</f>
        <v>297</v>
      </c>
      <c r="V215" s="13">
        <f>SUM(M215:U215)</f>
        <v>297</v>
      </c>
      <c r="W215" s="472">
        <f>'F-09 EP'!W203+'F-09 MGP'!W215+'F-09 FAP'!W215</f>
        <v>12579428.920788759</v>
      </c>
      <c r="Z215" s="68"/>
    </row>
    <row r="216" spans="1:26">
      <c r="A216" s="703" t="s">
        <v>6962</v>
      </c>
      <c r="B216" s="13"/>
      <c r="C216" s="13"/>
      <c r="D216" s="13"/>
      <c r="E216" s="13"/>
      <c r="F216" s="13"/>
      <c r="G216" s="13"/>
      <c r="H216" s="13"/>
      <c r="I216" s="13"/>
      <c r="J216" s="13">
        <f>'F-09 EP'!J204+'F-09 MGP'!J216+'F-09 FAP'!J216</f>
        <v>0</v>
      </c>
      <c r="K216" s="13">
        <f>SUM(B216:J216)</f>
        <v>0</v>
      </c>
      <c r="L216" s="472">
        <f>'F-09 EP'!L204+'F-09 MGP'!L216+'F-09 FAP'!L216</f>
        <v>0</v>
      </c>
      <c r="M216" s="13"/>
      <c r="N216" s="13"/>
      <c r="O216" s="13"/>
      <c r="P216" s="13"/>
      <c r="Q216" s="13"/>
      <c r="R216" s="13"/>
      <c r="S216" s="13"/>
      <c r="T216" s="13"/>
      <c r="U216" s="13">
        <f>'F-09 EP'!U204+'F-09 MGP'!U216+'F-09 FAP'!U216</f>
        <v>8</v>
      </c>
      <c r="V216" s="13">
        <f>SUM(M216:U216)</f>
        <v>8</v>
      </c>
      <c r="W216" s="472">
        <f>'F-09 EP'!W204+'F-09 MGP'!W216+'F-09 FAP'!W216</f>
        <v>409887.04403400002</v>
      </c>
      <c r="Z216" s="68"/>
    </row>
    <row r="217" spans="1:26">
      <c r="A217" s="703" t="s">
        <v>6961</v>
      </c>
      <c r="B217" s="13"/>
      <c r="C217" s="13"/>
      <c r="D217" s="13"/>
      <c r="E217" s="13"/>
      <c r="F217" s="13"/>
      <c r="G217" s="13"/>
      <c r="H217" s="13"/>
      <c r="I217" s="13"/>
      <c r="J217" s="13">
        <f>'F-09 EP'!J205+'F-09 MGP'!J217+'F-09 FAP'!J217</f>
        <v>65</v>
      </c>
      <c r="K217" s="13">
        <f>SUM(B217:J217)</f>
        <v>65</v>
      </c>
      <c r="L217" s="472">
        <f>'F-09 EP'!L205+'F-09 MGP'!L217+'F-09 FAP'!L217</f>
        <v>7459934</v>
      </c>
      <c r="M217" s="13"/>
      <c r="N217" s="13"/>
      <c r="O217" s="13"/>
      <c r="P217" s="13"/>
      <c r="Q217" s="13"/>
      <c r="R217" s="13"/>
      <c r="S217" s="13"/>
      <c r="T217" s="13"/>
      <c r="U217" s="13">
        <f>'F-09 EP'!U205+'F-09 MGP'!U217+'F-09 FAP'!U217</f>
        <v>19</v>
      </c>
      <c r="V217" s="13">
        <f>SUM(M217:U217)</f>
        <v>19</v>
      </c>
      <c r="W217" s="472">
        <f>'F-09 EP'!W205+'F-09 MGP'!W217+'F-09 FAP'!W217</f>
        <v>6294787.853360001</v>
      </c>
      <c r="Z217" s="68"/>
    </row>
    <row r="218" spans="1:26" hidden="1">
      <c r="A218" s="703" t="s">
        <v>6960</v>
      </c>
      <c r="B218" s="13"/>
      <c r="C218" s="13"/>
      <c r="D218" s="13"/>
      <c r="E218" s="13"/>
      <c r="F218" s="13"/>
      <c r="G218" s="13"/>
      <c r="H218" s="13"/>
      <c r="I218" s="13"/>
      <c r="J218" s="13">
        <f>'F-09 EP'!J206+'F-09 MGP'!J218+'F-09 FAP'!J218</f>
        <v>0</v>
      </c>
      <c r="K218" s="13">
        <f>SUM(B218:J218)</f>
        <v>0</v>
      </c>
      <c r="L218" s="472">
        <f>'F-09 EP'!L206+'F-09 MGP'!L218+'F-09 FAP'!L218</f>
        <v>0</v>
      </c>
      <c r="M218" s="13"/>
      <c r="N218" s="13"/>
      <c r="O218" s="13"/>
      <c r="P218" s="13"/>
      <c r="Q218" s="13"/>
      <c r="R218" s="13"/>
      <c r="S218" s="13"/>
      <c r="T218" s="13"/>
      <c r="U218" s="13">
        <f>'F-09 EP'!U206+'F-09 MGP'!U218+'F-09 FAP'!U218</f>
        <v>0</v>
      </c>
      <c r="V218" s="13">
        <f>SUM(M218:U218)</f>
        <v>0</v>
      </c>
      <c r="W218" s="472">
        <f>'F-09 EP'!W206+'F-09 MGP'!W218+'F-09 FAP'!W218</f>
        <v>0</v>
      </c>
      <c r="Z218" s="68"/>
    </row>
    <row r="219" spans="1:26">
      <c r="A219" s="704" t="s">
        <v>56</v>
      </c>
      <c r="B219" s="482"/>
      <c r="C219" s="482"/>
      <c r="D219" s="482"/>
      <c r="E219" s="482"/>
      <c r="F219" s="482"/>
      <c r="G219" s="482"/>
      <c r="H219" s="482"/>
      <c r="I219" s="482"/>
      <c r="J219" s="475">
        <f>J220+J229+J238+J253+J258+J262+J266+J270+J274</f>
        <v>92778</v>
      </c>
      <c r="K219" s="475">
        <f>K220+K229+K238+K253+K258+K262+K266+K270+K274</f>
        <v>92778</v>
      </c>
      <c r="L219" s="474">
        <f t="shared" ref="L219:T219" si="57">L220+L229+L238+L253+L258+L262+L266+L270+L274+L278+L283+L287+L290</f>
        <v>2713093319.9405274</v>
      </c>
      <c r="M219" s="482">
        <f t="shared" si="57"/>
        <v>0</v>
      </c>
      <c r="N219" s="482">
        <f t="shared" si="57"/>
        <v>0</v>
      </c>
      <c r="O219" s="482">
        <f t="shared" si="57"/>
        <v>0</v>
      </c>
      <c r="P219" s="482">
        <f t="shared" si="57"/>
        <v>0</v>
      </c>
      <c r="Q219" s="482">
        <f t="shared" si="57"/>
        <v>0</v>
      </c>
      <c r="R219" s="482">
        <f t="shared" si="57"/>
        <v>0</v>
      </c>
      <c r="S219" s="482">
        <f t="shared" si="57"/>
        <v>0</v>
      </c>
      <c r="T219" s="482">
        <f t="shared" si="57"/>
        <v>0</v>
      </c>
      <c r="U219" s="480">
        <f>U220+U229+U238+U253+U258+U262+U266+U270+U274</f>
        <v>93180</v>
      </c>
      <c r="V219" s="480">
        <f>V220+V229+V238+V253+V258+V262+V266+V270+V274</f>
        <v>93180</v>
      </c>
      <c r="W219" s="474">
        <f>W220+W229+W238+W253+W258+W262+W266+W270+W274+W278+W283+W287+W290</f>
        <v>2739601758.1400003</v>
      </c>
      <c r="Z219" s="68"/>
    </row>
    <row r="220" spans="1:26">
      <c r="A220" s="705" t="s">
        <v>6959</v>
      </c>
      <c r="B220" s="484"/>
      <c r="C220" s="484"/>
      <c r="D220" s="484"/>
      <c r="E220" s="484"/>
      <c r="F220" s="484"/>
      <c r="G220" s="484"/>
      <c r="H220" s="484"/>
      <c r="I220" s="484"/>
      <c r="J220" s="491">
        <f t="shared" ref="J220:W220" si="58">SUM(J221:J228)</f>
        <v>11072</v>
      </c>
      <c r="K220" s="491">
        <f t="shared" si="58"/>
        <v>11072</v>
      </c>
      <c r="L220" s="485">
        <f t="shared" si="58"/>
        <v>741384875.20514166</v>
      </c>
      <c r="M220" s="484">
        <f t="shared" si="58"/>
        <v>0</v>
      </c>
      <c r="N220" s="484">
        <f t="shared" si="58"/>
        <v>0</v>
      </c>
      <c r="O220" s="484">
        <f t="shared" si="58"/>
        <v>0</v>
      </c>
      <c r="P220" s="484">
        <f t="shared" si="58"/>
        <v>0</v>
      </c>
      <c r="Q220" s="484">
        <f t="shared" si="58"/>
        <v>0</v>
      </c>
      <c r="R220" s="484">
        <f t="shared" si="58"/>
        <v>0</v>
      </c>
      <c r="S220" s="484">
        <f t="shared" si="58"/>
        <v>0</v>
      </c>
      <c r="T220" s="484">
        <f t="shared" si="58"/>
        <v>0</v>
      </c>
      <c r="U220" s="491">
        <f t="shared" si="58"/>
        <v>11179</v>
      </c>
      <c r="V220" s="491">
        <f t="shared" si="58"/>
        <v>11179</v>
      </c>
      <c r="W220" s="485">
        <f t="shared" si="58"/>
        <v>749717620.67577863</v>
      </c>
      <c r="Z220" s="68"/>
    </row>
    <row r="221" spans="1:26">
      <c r="A221" s="703" t="s">
        <v>6958</v>
      </c>
      <c r="B221" s="13"/>
      <c r="C221" s="13"/>
      <c r="D221" s="13"/>
      <c r="E221" s="13"/>
      <c r="F221" s="13"/>
      <c r="G221" s="13"/>
      <c r="H221" s="13"/>
      <c r="I221" s="13"/>
      <c r="J221" s="13">
        <f>'F-09 EP'!J209+'F-09 MGP'!J221+'F-09 FAP'!J221</f>
        <v>35</v>
      </c>
      <c r="K221" s="13">
        <f t="shared" ref="K221:K228" si="59">SUM(B221:J221)</f>
        <v>35</v>
      </c>
      <c r="L221" s="472">
        <f>'F-09 EP'!L209+'F-09 MGP'!L221+'F-09 FAP'!L221</f>
        <v>5593481.7666167803</v>
      </c>
      <c r="M221" s="13"/>
      <c r="N221" s="13"/>
      <c r="O221" s="13"/>
      <c r="P221" s="13"/>
      <c r="Q221" s="13"/>
      <c r="R221" s="13"/>
      <c r="S221" s="13"/>
      <c r="T221" s="13"/>
      <c r="U221" s="13">
        <f>'F-09 EP'!U209+'F-09 MGP'!U221+'F-09 FAP'!U221</f>
        <v>36</v>
      </c>
      <c r="V221" s="13">
        <f t="shared" ref="V221:V228" si="60">SUM(M221:U221)</f>
        <v>36</v>
      </c>
      <c r="W221" s="472">
        <f>'F-09 EP'!W209+'F-09 MGP'!W221+'F-09 FAP'!W221</f>
        <v>5711157.7666167803</v>
      </c>
      <c r="Z221" s="68"/>
    </row>
    <row r="222" spans="1:26">
      <c r="A222" s="703" t="s">
        <v>6957</v>
      </c>
      <c r="B222" s="13"/>
      <c r="C222" s="13"/>
      <c r="D222" s="13"/>
      <c r="E222" s="13"/>
      <c r="F222" s="13"/>
      <c r="G222" s="13"/>
      <c r="H222" s="13"/>
      <c r="I222" s="13"/>
      <c r="J222" s="13">
        <f>'F-09 EP'!J210+'F-09 MGP'!J222+'F-09 FAP'!J222</f>
        <v>182</v>
      </c>
      <c r="K222" s="13">
        <f t="shared" si="59"/>
        <v>182</v>
      </c>
      <c r="L222" s="472">
        <f>'F-09 EP'!L210+'F-09 MGP'!L222+'F-09 FAP'!L222</f>
        <v>26311039.084020205</v>
      </c>
      <c r="M222" s="13"/>
      <c r="N222" s="13"/>
      <c r="O222" s="13"/>
      <c r="P222" s="13"/>
      <c r="Q222" s="13"/>
      <c r="R222" s="13"/>
      <c r="S222" s="13"/>
      <c r="T222" s="13"/>
      <c r="U222" s="13">
        <f>'F-09 EP'!U210+'F-09 MGP'!U222+'F-09 FAP'!U222</f>
        <v>185</v>
      </c>
      <c r="V222" s="13">
        <f t="shared" si="60"/>
        <v>185</v>
      </c>
      <c r="W222" s="472">
        <f>'F-09 EP'!W210+'F-09 MGP'!W222+'F-09 FAP'!W222</f>
        <v>27012246.095530819</v>
      </c>
      <c r="Z222" s="68"/>
    </row>
    <row r="223" spans="1:26">
      <c r="A223" s="703" t="s">
        <v>6953</v>
      </c>
      <c r="B223" s="13"/>
      <c r="C223" s="13"/>
      <c r="D223" s="13"/>
      <c r="E223" s="13"/>
      <c r="F223" s="13"/>
      <c r="G223" s="13"/>
      <c r="H223" s="13"/>
      <c r="I223" s="13"/>
      <c r="J223" s="13">
        <f>'F-09 EP'!J211+'F-09 MGP'!J223+'F-09 FAP'!J223</f>
        <v>1260</v>
      </c>
      <c r="K223" s="13">
        <f t="shared" si="59"/>
        <v>1260</v>
      </c>
      <c r="L223" s="472">
        <f>'F-09 EP'!L211+'F-09 MGP'!L223+'F-09 FAP'!L223</f>
        <v>149984587.32780376</v>
      </c>
      <c r="M223" s="13"/>
      <c r="N223" s="13"/>
      <c r="O223" s="13"/>
      <c r="P223" s="13"/>
      <c r="Q223" s="13"/>
      <c r="R223" s="13"/>
      <c r="S223" s="13"/>
      <c r="T223" s="13"/>
      <c r="U223" s="13">
        <f>'F-09 EP'!U211+'F-09 MGP'!U223+'F-09 FAP'!U223</f>
        <v>1271</v>
      </c>
      <c r="V223" s="13">
        <f t="shared" si="60"/>
        <v>1271</v>
      </c>
      <c r="W223" s="472">
        <f>'F-09 EP'!W211+'F-09 MGP'!W223+'F-09 FAP'!W223</f>
        <v>152507930.40593114</v>
      </c>
      <c r="Z223" s="68"/>
    </row>
    <row r="224" spans="1:26">
      <c r="A224" s="703" t="s">
        <v>6952</v>
      </c>
      <c r="B224" s="13"/>
      <c r="C224" s="13"/>
      <c r="D224" s="13"/>
      <c r="E224" s="13"/>
      <c r="F224" s="13"/>
      <c r="G224" s="13"/>
      <c r="H224" s="13"/>
      <c r="I224" s="13"/>
      <c r="J224" s="13">
        <f>'F-09 EP'!J212+'F-09 MGP'!J224+'F-09 FAP'!J224</f>
        <v>1735</v>
      </c>
      <c r="K224" s="13">
        <f t="shared" si="59"/>
        <v>1735</v>
      </c>
      <c r="L224" s="472">
        <f>'F-09 EP'!L212+'F-09 MGP'!L224+'F-09 FAP'!L224</f>
        <v>144134059.8848452</v>
      </c>
      <c r="M224" s="13"/>
      <c r="N224" s="13"/>
      <c r="O224" s="13"/>
      <c r="P224" s="13"/>
      <c r="Q224" s="13"/>
      <c r="R224" s="13"/>
      <c r="S224" s="13"/>
      <c r="T224" s="13"/>
      <c r="U224" s="13">
        <f>'F-09 EP'!U212+'F-09 MGP'!U224+'F-09 FAP'!U224</f>
        <v>1709</v>
      </c>
      <c r="V224" s="13">
        <f t="shared" si="60"/>
        <v>1709</v>
      </c>
      <c r="W224" s="472">
        <f>'F-09 EP'!W212+'F-09 MGP'!W224+'F-09 FAP'!W224</f>
        <v>142299028.14786643</v>
      </c>
      <c r="Z224" s="68"/>
    </row>
    <row r="225" spans="1:26">
      <c r="A225" s="703" t="s">
        <v>6951</v>
      </c>
      <c r="B225" s="13"/>
      <c r="C225" s="13"/>
      <c r="D225" s="13"/>
      <c r="E225" s="13"/>
      <c r="F225" s="13"/>
      <c r="G225" s="13"/>
      <c r="H225" s="13"/>
      <c r="I225" s="13"/>
      <c r="J225" s="13">
        <f>'F-09 EP'!J213+'F-09 MGP'!J225+'F-09 FAP'!J225</f>
        <v>2158</v>
      </c>
      <c r="K225" s="13">
        <f t="shared" si="59"/>
        <v>2158</v>
      </c>
      <c r="L225" s="472">
        <f>'F-09 EP'!L213+'F-09 MGP'!L225+'F-09 FAP'!L225</f>
        <v>133242755.32681882</v>
      </c>
      <c r="M225" s="13"/>
      <c r="N225" s="13"/>
      <c r="O225" s="13"/>
      <c r="P225" s="13"/>
      <c r="Q225" s="13"/>
      <c r="R225" s="13"/>
      <c r="S225" s="13"/>
      <c r="T225" s="13"/>
      <c r="U225" s="13">
        <f>'F-09 EP'!U213+'F-09 MGP'!U225+'F-09 FAP'!U225</f>
        <v>2178</v>
      </c>
      <c r="V225" s="13">
        <f t="shared" si="60"/>
        <v>2178</v>
      </c>
      <c r="W225" s="472">
        <f>'F-09 EP'!W213+'F-09 MGP'!W225+'F-09 FAP'!W225</f>
        <v>138988056.22005239</v>
      </c>
      <c r="Z225" s="68"/>
    </row>
    <row r="226" spans="1:26">
      <c r="A226" s="703" t="s">
        <v>6950</v>
      </c>
      <c r="B226" s="13"/>
      <c r="C226" s="13"/>
      <c r="D226" s="13"/>
      <c r="E226" s="13"/>
      <c r="F226" s="13"/>
      <c r="G226" s="13"/>
      <c r="H226" s="13"/>
      <c r="I226" s="13"/>
      <c r="J226" s="13">
        <f>'F-09 EP'!J214+'F-09 MGP'!J226+'F-09 FAP'!J226</f>
        <v>2140</v>
      </c>
      <c r="K226" s="13">
        <f t="shared" si="59"/>
        <v>2140</v>
      </c>
      <c r="L226" s="472">
        <f>'F-09 EP'!L214+'F-09 MGP'!L226+'F-09 FAP'!L226</f>
        <v>114597431.74639417</v>
      </c>
      <c r="M226" s="13"/>
      <c r="N226" s="13"/>
      <c r="O226" s="13"/>
      <c r="P226" s="13"/>
      <c r="Q226" s="13"/>
      <c r="R226" s="13"/>
      <c r="S226" s="13"/>
      <c r="T226" s="13"/>
      <c r="U226" s="13">
        <f>'F-09 EP'!U214+'F-09 MGP'!U226+'F-09 FAP'!U226</f>
        <v>2236</v>
      </c>
      <c r="V226" s="13">
        <f t="shared" si="60"/>
        <v>2236</v>
      </c>
      <c r="W226" s="472">
        <f>'F-09 EP'!W214+'F-09 MGP'!W226+'F-09 FAP'!W226</f>
        <v>119931662.90696847</v>
      </c>
      <c r="Z226" s="68"/>
    </row>
    <row r="227" spans="1:26">
      <c r="A227" s="703" t="s">
        <v>6949</v>
      </c>
      <c r="B227" s="13"/>
      <c r="C227" s="13"/>
      <c r="D227" s="13"/>
      <c r="E227" s="13"/>
      <c r="F227" s="13"/>
      <c r="G227" s="13"/>
      <c r="H227" s="13"/>
      <c r="I227" s="13"/>
      <c r="J227" s="13">
        <f>'F-09 EP'!J215+'F-09 MGP'!J227+'F-09 FAP'!J227</f>
        <v>2126</v>
      </c>
      <c r="K227" s="13">
        <f t="shared" si="59"/>
        <v>2126</v>
      </c>
      <c r="L227" s="472">
        <f>'F-09 EP'!L215+'F-09 MGP'!L227+'F-09 FAP'!L227</f>
        <v>102070312.75560753</v>
      </c>
      <c r="M227" s="13"/>
      <c r="N227" s="13"/>
      <c r="O227" s="13"/>
      <c r="P227" s="13"/>
      <c r="Q227" s="13"/>
      <c r="R227" s="13"/>
      <c r="S227" s="13"/>
      <c r="T227" s="13"/>
      <c r="U227" s="13">
        <f>'F-09 EP'!U215+'F-09 MGP'!U227+'F-09 FAP'!U227</f>
        <v>2101</v>
      </c>
      <c r="V227" s="13">
        <f t="shared" si="60"/>
        <v>2101</v>
      </c>
      <c r="W227" s="472">
        <f>'F-09 EP'!W215+'F-09 MGP'!W227+'F-09 FAP'!W227</f>
        <v>101888045.95877841</v>
      </c>
      <c r="Z227" s="68"/>
    </row>
    <row r="228" spans="1:26">
      <c r="A228" s="703" t="s">
        <v>6948</v>
      </c>
      <c r="B228" s="13"/>
      <c r="C228" s="13"/>
      <c r="D228" s="13"/>
      <c r="E228" s="13"/>
      <c r="F228" s="13"/>
      <c r="G228" s="13"/>
      <c r="H228" s="13"/>
      <c r="I228" s="13"/>
      <c r="J228" s="13">
        <f>'F-09 EP'!J216+'F-09 MGP'!J228+'F-09 FAP'!J228</f>
        <v>1436</v>
      </c>
      <c r="K228" s="13">
        <f t="shared" si="59"/>
        <v>1436</v>
      </c>
      <c r="L228" s="472">
        <f>'F-09 EP'!L216+'F-09 MGP'!L228+'F-09 FAP'!L228</f>
        <v>65451207.313035257</v>
      </c>
      <c r="M228" s="13"/>
      <c r="N228" s="13"/>
      <c r="O228" s="13"/>
      <c r="P228" s="13"/>
      <c r="Q228" s="13"/>
      <c r="R228" s="13"/>
      <c r="S228" s="13"/>
      <c r="T228" s="13"/>
      <c r="U228" s="13">
        <f>'F-09 EP'!U216+'F-09 MGP'!U228+'F-09 FAP'!U228</f>
        <v>1463</v>
      </c>
      <c r="V228" s="13">
        <f t="shared" si="60"/>
        <v>1463</v>
      </c>
      <c r="W228" s="472">
        <f>'F-09 EP'!W216+'F-09 MGP'!W228+'F-09 FAP'!W228</f>
        <v>61379493.174034238</v>
      </c>
      <c r="Z228" s="68"/>
    </row>
    <row r="229" spans="1:26">
      <c r="A229" s="705" t="s">
        <v>6956</v>
      </c>
      <c r="B229" s="484"/>
      <c r="C229" s="484"/>
      <c r="D229" s="484"/>
      <c r="E229" s="484"/>
      <c r="F229" s="484"/>
      <c r="G229" s="484"/>
      <c r="H229" s="484"/>
      <c r="I229" s="484"/>
      <c r="J229" s="491">
        <f t="shared" ref="J229:W229" si="61">SUM(J230:J237)</f>
        <v>40073</v>
      </c>
      <c r="K229" s="484">
        <f t="shared" si="61"/>
        <v>40073</v>
      </c>
      <c r="L229" s="485">
        <f t="shared" si="61"/>
        <v>1724932774.8404481</v>
      </c>
      <c r="M229" s="484">
        <f t="shared" si="61"/>
        <v>0</v>
      </c>
      <c r="N229" s="484">
        <f t="shared" si="61"/>
        <v>0</v>
      </c>
      <c r="O229" s="484">
        <f t="shared" si="61"/>
        <v>0</v>
      </c>
      <c r="P229" s="484">
        <f t="shared" si="61"/>
        <v>0</v>
      </c>
      <c r="Q229" s="484">
        <f t="shared" si="61"/>
        <v>0</v>
      </c>
      <c r="R229" s="484">
        <f t="shared" si="61"/>
        <v>0</v>
      </c>
      <c r="S229" s="484">
        <f t="shared" si="61"/>
        <v>0</v>
      </c>
      <c r="T229" s="484">
        <f t="shared" si="61"/>
        <v>0</v>
      </c>
      <c r="U229" s="484">
        <f t="shared" si="61"/>
        <v>40027</v>
      </c>
      <c r="V229" s="484">
        <f t="shared" si="61"/>
        <v>40027</v>
      </c>
      <c r="W229" s="485">
        <f t="shared" si="61"/>
        <v>1752362627.2971799</v>
      </c>
      <c r="Z229" s="68"/>
    </row>
    <row r="230" spans="1:26">
      <c r="A230" s="703" t="s">
        <v>6955</v>
      </c>
      <c r="B230" s="13"/>
      <c r="C230" s="13"/>
      <c r="D230" s="13"/>
      <c r="E230" s="13"/>
      <c r="F230" s="13"/>
      <c r="G230" s="13"/>
      <c r="H230" s="13"/>
      <c r="I230" s="13"/>
      <c r="J230" s="13">
        <f>'F-09 EP'!J218+'F-09 MGP'!J230+'F-09 FAP'!J230</f>
        <v>593</v>
      </c>
      <c r="K230" s="13">
        <f t="shared" ref="K230:K237" si="62">SUM(B230:J230)</f>
        <v>593</v>
      </c>
      <c r="L230" s="472">
        <f>'F-09 EP'!L218+'F-09 MGP'!L230+'F-09 FAP'!L230</f>
        <v>31942096.136655129</v>
      </c>
      <c r="M230" s="13"/>
      <c r="N230" s="13"/>
      <c r="O230" s="13"/>
      <c r="P230" s="13"/>
      <c r="Q230" s="13"/>
      <c r="R230" s="13"/>
      <c r="S230" s="13"/>
      <c r="T230" s="13"/>
      <c r="U230" s="13">
        <f>'F-09 EP'!U218+'F-09 MGP'!U230+'F-09 FAP'!U230</f>
        <v>595</v>
      </c>
      <c r="V230" s="13">
        <f t="shared" ref="V230:V237" si="63">SUM(M230:U230)</f>
        <v>595</v>
      </c>
      <c r="W230" s="472">
        <f>'F-09 EP'!W218+'F-09 MGP'!W230+'F-09 FAP'!W230</f>
        <v>32413311.216080815</v>
      </c>
      <c r="Z230" s="68"/>
    </row>
    <row r="231" spans="1:26">
      <c r="A231" s="703" t="s">
        <v>6947</v>
      </c>
      <c r="B231" s="13"/>
      <c r="C231" s="13"/>
      <c r="D231" s="13"/>
      <c r="E231" s="13"/>
      <c r="F231" s="13"/>
      <c r="G231" s="13"/>
      <c r="H231" s="13"/>
      <c r="I231" s="13"/>
      <c r="J231" s="13">
        <f>'F-09 EP'!J219+'F-09 MGP'!J231+'F-09 FAP'!J231</f>
        <v>1582</v>
      </c>
      <c r="K231" s="13">
        <f t="shared" si="62"/>
        <v>1582</v>
      </c>
      <c r="L231" s="472">
        <f>'F-09 EP'!L219+'F-09 MGP'!L231+'F-09 FAP'!L231</f>
        <v>82893994.704371899</v>
      </c>
      <c r="M231" s="13"/>
      <c r="N231" s="13"/>
      <c r="O231" s="13"/>
      <c r="P231" s="13"/>
      <c r="Q231" s="13"/>
      <c r="R231" s="13"/>
      <c r="S231" s="13"/>
      <c r="T231" s="13"/>
      <c r="U231" s="13">
        <f>'F-09 EP'!U219+'F-09 MGP'!U231+'F-09 FAP'!U231</f>
        <v>1591</v>
      </c>
      <c r="V231" s="13">
        <f t="shared" si="63"/>
        <v>1591</v>
      </c>
      <c r="W231" s="472">
        <f>'F-09 EP'!W219+'F-09 MGP'!W231+'F-09 FAP'!W231</f>
        <v>84327382.602499291</v>
      </c>
      <c r="Z231" s="68"/>
    </row>
    <row r="232" spans="1:26">
      <c r="A232" s="703" t="s">
        <v>6946</v>
      </c>
      <c r="B232" s="13"/>
      <c r="C232" s="13"/>
      <c r="D232" s="13"/>
      <c r="E232" s="13"/>
      <c r="F232" s="13"/>
      <c r="G232" s="13"/>
      <c r="H232" s="13"/>
      <c r="I232" s="13"/>
      <c r="J232" s="13">
        <f>'F-09 EP'!J220+'F-09 MGP'!J232+'F-09 FAP'!J232</f>
        <v>3768</v>
      </c>
      <c r="K232" s="13">
        <f t="shared" si="62"/>
        <v>3768</v>
      </c>
      <c r="L232" s="472">
        <f>'F-09 EP'!L220+'F-09 MGP'!L232+'F-09 FAP'!L232</f>
        <v>181563929.86978114</v>
      </c>
      <c r="M232" s="13"/>
      <c r="N232" s="13"/>
      <c r="O232" s="13"/>
      <c r="P232" s="13"/>
      <c r="Q232" s="13"/>
      <c r="R232" s="13"/>
      <c r="S232" s="13"/>
      <c r="T232" s="13"/>
      <c r="U232" s="13">
        <f>'F-09 EP'!U220+'F-09 MGP'!U232+'F-09 FAP'!U232</f>
        <v>4020</v>
      </c>
      <c r="V232" s="13">
        <f t="shared" si="63"/>
        <v>4020</v>
      </c>
      <c r="W232" s="472">
        <f>'F-09 EP'!W220+'F-09 MGP'!W232+'F-09 FAP'!W232</f>
        <v>194815588.29471332</v>
      </c>
      <c r="Z232" s="68"/>
    </row>
    <row r="233" spans="1:26">
      <c r="A233" s="703" t="s">
        <v>6945</v>
      </c>
      <c r="B233" s="13"/>
      <c r="C233" s="13"/>
      <c r="D233" s="13"/>
      <c r="E233" s="13"/>
      <c r="F233" s="13"/>
      <c r="G233" s="13"/>
      <c r="H233" s="13"/>
      <c r="I233" s="13"/>
      <c r="J233" s="13">
        <f>'F-09 EP'!J221+'F-09 MGP'!J233+'F-09 FAP'!J233</f>
        <v>6840</v>
      </c>
      <c r="K233" s="13">
        <f t="shared" si="62"/>
        <v>6840</v>
      </c>
      <c r="L233" s="472">
        <f>'F-09 EP'!L221+'F-09 MGP'!L233+'F-09 FAP'!L233</f>
        <v>306706796.93285191</v>
      </c>
      <c r="M233" s="13"/>
      <c r="N233" s="13"/>
      <c r="O233" s="13"/>
      <c r="P233" s="13"/>
      <c r="Q233" s="13"/>
      <c r="R233" s="13"/>
      <c r="S233" s="13"/>
      <c r="T233" s="13"/>
      <c r="U233" s="13">
        <f>'F-09 EP'!U221+'F-09 MGP'!U233+'F-09 FAP'!U233</f>
        <v>6877</v>
      </c>
      <c r="V233" s="13">
        <f t="shared" si="63"/>
        <v>6877</v>
      </c>
      <c r="W233" s="472">
        <f>'F-09 EP'!W221+'F-09 MGP'!W233+'F-09 FAP'!W233</f>
        <v>310760716.71412593</v>
      </c>
      <c r="Z233" s="68"/>
    </row>
    <row r="234" spans="1:26">
      <c r="A234" s="703" t="s">
        <v>6944</v>
      </c>
      <c r="B234" s="13"/>
      <c r="C234" s="13"/>
      <c r="D234" s="13"/>
      <c r="E234" s="13"/>
      <c r="F234" s="13"/>
      <c r="G234" s="13"/>
      <c r="H234" s="13"/>
      <c r="I234" s="13"/>
      <c r="J234" s="13">
        <f>'F-09 EP'!J222+'F-09 MGP'!J234+'F-09 FAP'!J234</f>
        <v>6702</v>
      </c>
      <c r="K234" s="13">
        <f t="shared" si="62"/>
        <v>6702</v>
      </c>
      <c r="L234" s="472">
        <f>'F-09 EP'!L222+'F-09 MGP'!L234+'F-09 FAP'!L234</f>
        <v>288171155.66011596</v>
      </c>
      <c r="M234" s="13"/>
      <c r="N234" s="13"/>
      <c r="O234" s="13"/>
      <c r="P234" s="13"/>
      <c r="Q234" s="13"/>
      <c r="R234" s="13"/>
      <c r="S234" s="13"/>
      <c r="T234" s="13"/>
      <c r="U234" s="13">
        <f>'F-09 EP'!U222+'F-09 MGP'!U234+'F-09 FAP'!U234</f>
        <v>6809</v>
      </c>
      <c r="V234" s="13">
        <f t="shared" si="63"/>
        <v>6809</v>
      </c>
      <c r="W234" s="472">
        <f>'F-09 EP'!W222+'F-09 MGP'!W234+'F-09 FAP'!W234</f>
        <v>297357299.29205126</v>
      </c>
      <c r="Z234" s="68"/>
    </row>
    <row r="235" spans="1:26">
      <c r="A235" s="703" t="s">
        <v>6943</v>
      </c>
      <c r="B235" s="13"/>
      <c r="C235" s="13"/>
      <c r="D235" s="13"/>
      <c r="E235" s="13"/>
      <c r="F235" s="13"/>
      <c r="G235" s="13"/>
      <c r="H235" s="13"/>
      <c r="I235" s="13"/>
      <c r="J235" s="13">
        <f>'F-09 EP'!J223+'F-09 MGP'!J235+'F-09 FAP'!J235</f>
        <v>6481</v>
      </c>
      <c r="K235" s="13">
        <f t="shared" si="62"/>
        <v>6481</v>
      </c>
      <c r="L235" s="472">
        <f>'F-09 EP'!L223+'F-09 MGP'!L235+'F-09 FAP'!L235</f>
        <v>274498713.90283418</v>
      </c>
      <c r="M235" s="13"/>
      <c r="N235" s="13"/>
      <c r="O235" s="13"/>
      <c r="P235" s="13"/>
      <c r="Q235" s="13"/>
      <c r="R235" s="13"/>
      <c r="S235" s="13"/>
      <c r="T235" s="13"/>
      <c r="U235" s="13">
        <f>'F-09 EP'!U223+'F-09 MGP'!U235+'F-09 FAP'!U235</f>
        <v>6420</v>
      </c>
      <c r="V235" s="13">
        <f t="shared" si="63"/>
        <v>6420</v>
      </c>
      <c r="W235" s="472">
        <f>'F-09 EP'!W223+'F-09 MGP'!W235+'F-09 FAP'!W235</f>
        <v>275646932.62609202</v>
      </c>
      <c r="Z235" s="68"/>
    </row>
    <row r="236" spans="1:26">
      <c r="A236" s="703" t="s">
        <v>6942</v>
      </c>
      <c r="B236" s="13"/>
      <c r="C236" s="13"/>
      <c r="D236" s="13"/>
      <c r="E236" s="13"/>
      <c r="F236" s="13"/>
      <c r="G236" s="13"/>
      <c r="H236" s="13"/>
      <c r="I236" s="13"/>
      <c r="J236" s="13">
        <f>'F-09 EP'!J224+'F-09 MGP'!J236+'F-09 FAP'!J236</f>
        <v>7161</v>
      </c>
      <c r="K236" s="13">
        <f t="shared" si="62"/>
        <v>7161</v>
      </c>
      <c r="L236" s="472">
        <f>'F-09 EP'!L224+'F-09 MGP'!L236+'F-09 FAP'!L236</f>
        <v>300362126.35709476</v>
      </c>
      <c r="M236" s="13"/>
      <c r="N236" s="13"/>
      <c r="O236" s="13"/>
      <c r="P236" s="13"/>
      <c r="Q236" s="13"/>
      <c r="R236" s="13"/>
      <c r="S236" s="13"/>
      <c r="T236" s="13"/>
      <c r="U236" s="13">
        <f>'F-09 EP'!U224+'F-09 MGP'!U236+'F-09 FAP'!U236</f>
        <v>7407</v>
      </c>
      <c r="V236" s="13">
        <f t="shared" si="63"/>
        <v>7407</v>
      </c>
      <c r="W236" s="472">
        <f>'F-09 EP'!W224+'F-09 MGP'!W236+'F-09 FAP'!W236</f>
        <v>315215926.84426153</v>
      </c>
      <c r="Z236" s="68"/>
    </row>
    <row r="237" spans="1:26">
      <c r="A237" s="703" t="s">
        <v>6941</v>
      </c>
      <c r="B237" s="13"/>
      <c r="C237" s="13"/>
      <c r="D237" s="13"/>
      <c r="E237" s="13"/>
      <c r="F237" s="13"/>
      <c r="G237" s="13"/>
      <c r="H237" s="13"/>
      <c r="I237" s="13"/>
      <c r="J237" s="13">
        <f>'F-09 EP'!J225+'F-09 MGP'!J237+'F-09 FAP'!J237</f>
        <v>6946</v>
      </c>
      <c r="K237" s="13">
        <f t="shared" si="62"/>
        <v>6946</v>
      </c>
      <c r="L237" s="472">
        <f>'F-09 EP'!L225+'F-09 MGP'!L237+'F-09 FAP'!L237</f>
        <v>258793961.27674308</v>
      </c>
      <c r="M237" s="13"/>
      <c r="N237" s="13"/>
      <c r="O237" s="13"/>
      <c r="P237" s="13"/>
      <c r="Q237" s="13"/>
      <c r="R237" s="13"/>
      <c r="S237" s="13"/>
      <c r="T237" s="13"/>
      <c r="U237" s="13">
        <f>'F-09 EP'!U225+'F-09 MGP'!U237+'F-09 FAP'!U237</f>
        <v>6308</v>
      </c>
      <c r="V237" s="13">
        <f t="shared" si="63"/>
        <v>6308</v>
      </c>
      <c r="W237" s="472">
        <f>'F-09 EP'!W225+'F-09 MGP'!W237+'F-09 FAP'!W237</f>
        <v>241825469.70735574</v>
      </c>
      <c r="Z237" s="68"/>
    </row>
    <row r="238" spans="1:26" ht="24">
      <c r="A238" s="705" t="s">
        <v>6954</v>
      </c>
      <c r="B238" s="484"/>
      <c r="C238" s="484"/>
      <c r="D238" s="484"/>
      <c r="E238" s="484"/>
      <c r="F238" s="484"/>
      <c r="G238" s="484"/>
      <c r="H238" s="484"/>
      <c r="I238" s="484"/>
      <c r="J238" s="484">
        <f t="shared" ref="J238:W238" si="64">SUM(J239:J251)</f>
        <v>474</v>
      </c>
      <c r="K238" s="484">
        <f t="shared" si="64"/>
        <v>474</v>
      </c>
      <c r="L238" s="485">
        <f t="shared" si="64"/>
        <v>27673799.894937739</v>
      </c>
      <c r="M238" s="484">
        <f t="shared" si="64"/>
        <v>0</v>
      </c>
      <c r="N238" s="484">
        <f t="shared" si="64"/>
        <v>0</v>
      </c>
      <c r="O238" s="484">
        <f t="shared" si="64"/>
        <v>0</v>
      </c>
      <c r="P238" s="484">
        <f t="shared" si="64"/>
        <v>0</v>
      </c>
      <c r="Q238" s="484">
        <f t="shared" si="64"/>
        <v>0</v>
      </c>
      <c r="R238" s="484">
        <f t="shared" si="64"/>
        <v>0</v>
      </c>
      <c r="S238" s="484">
        <f t="shared" si="64"/>
        <v>0</v>
      </c>
      <c r="T238" s="484">
        <f t="shared" si="64"/>
        <v>0</v>
      </c>
      <c r="U238" s="484">
        <f t="shared" si="64"/>
        <v>473</v>
      </c>
      <c r="V238" s="484">
        <f t="shared" si="64"/>
        <v>473</v>
      </c>
      <c r="W238" s="485">
        <f t="shared" si="64"/>
        <v>23377166.467041437</v>
      </c>
      <c r="Z238" s="68"/>
    </row>
    <row r="239" spans="1:26">
      <c r="A239" s="703" t="s">
        <v>6953</v>
      </c>
      <c r="B239" s="13"/>
      <c r="C239" s="13"/>
      <c r="D239" s="13"/>
      <c r="E239" s="13"/>
      <c r="F239" s="13"/>
      <c r="G239" s="13"/>
      <c r="H239" s="13"/>
      <c r="I239" s="13"/>
      <c r="J239" s="13">
        <f>'F-09 EP'!J227+'F-09 MGP'!J239+'F-09 FAP'!J239</f>
        <v>3</v>
      </c>
      <c r="K239" s="13">
        <f t="shared" ref="K239:K244" si="65">SUM(B239:J239)</f>
        <v>3</v>
      </c>
      <c r="L239" s="472">
        <f>'F-09 EP'!L227+'F-09 MGP'!L239+'F-09 FAP'!L239</f>
        <v>333686.85151061637</v>
      </c>
      <c r="M239" s="13"/>
      <c r="N239" s="13"/>
      <c r="O239" s="13"/>
      <c r="P239" s="13"/>
      <c r="Q239" s="13"/>
      <c r="R239" s="13"/>
      <c r="S239" s="13"/>
      <c r="T239" s="13"/>
      <c r="U239" s="13">
        <f>'F-09 EP'!U227+'F-09 MGP'!U239+'F-09 FAP'!U239</f>
        <v>3</v>
      </c>
      <c r="V239" s="13">
        <f t="shared" ref="V239:V251" si="66">SUM(M239:U239)</f>
        <v>3</v>
      </c>
      <c r="W239" s="472">
        <f>'F-09 EP'!W227+'F-09 MGP'!W239+'F-09 FAP'!W239</f>
        <v>844886.85151061637</v>
      </c>
      <c r="Z239" s="68"/>
    </row>
    <row r="240" spans="1:26">
      <c r="A240" s="703" t="s">
        <v>6952</v>
      </c>
      <c r="B240" s="13"/>
      <c r="C240" s="13"/>
      <c r="D240" s="13"/>
      <c r="E240" s="13"/>
      <c r="F240" s="13"/>
      <c r="G240" s="13"/>
      <c r="H240" s="13"/>
      <c r="I240" s="13"/>
      <c r="J240" s="13">
        <f>'F-09 EP'!J228+'F-09 MGP'!J240+'F-09 FAP'!J240</f>
        <v>9</v>
      </c>
      <c r="K240" s="13">
        <f t="shared" si="65"/>
        <v>9</v>
      </c>
      <c r="L240" s="472">
        <f>'F-09 EP'!L228+'F-09 MGP'!L240+'F-09 FAP'!L240</f>
        <v>732185.70302123285</v>
      </c>
      <c r="M240" s="13"/>
      <c r="N240" s="13"/>
      <c r="O240" s="13"/>
      <c r="P240" s="13"/>
      <c r="Q240" s="13"/>
      <c r="R240" s="13"/>
      <c r="S240" s="13"/>
      <c r="T240" s="13"/>
      <c r="U240" s="13">
        <f>'F-09 EP'!U228+'F-09 MGP'!U240+'F-09 FAP'!U240</f>
        <v>10</v>
      </c>
      <c r="V240" s="13">
        <f t="shared" si="66"/>
        <v>10</v>
      </c>
      <c r="W240" s="472">
        <f>'F-09 EP'!W228+'F-09 MGP'!W240+'F-09 FAP'!W240</f>
        <v>1158060.5545318492</v>
      </c>
      <c r="Z240" s="68"/>
    </row>
    <row r="241" spans="1:26">
      <c r="A241" s="703" t="s">
        <v>6951</v>
      </c>
      <c r="B241" s="13"/>
      <c r="C241" s="13"/>
      <c r="D241" s="13"/>
      <c r="E241" s="13"/>
      <c r="F241" s="13"/>
      <c r="G241" s="13"/>
      <c r="H241" s="13"/>
      <c r="I241" s="13"/>
      <c r="J241" s="13">
        <f>'F-09 EP'!J229+'F-09 MGP'!J241+'F-09 FAP'!J241</f>
        <v>29</v>
      </c>
      <c r="K241" s="13">
        <f t="shared" si="65"/>
        <v>29</v>
      </c>
      <c r="L241" s="472">
        <f>'F-09 EP'!L229+'F-09 MGP'!L241+'F-09 FAP'!L241</f>
        <v>2085718.8515106165</v>
      </c>
      <c r="M241" s="13"/>
      <c r="N241" s="13"/>
      <c r="O241" s="13"/>
      <c r="P241" s="13"/>
      <c r="Q241" s="13"/>
      <c r="R241" s="13"/>
      <c r="S241" s="13"/>
      <c r="T241" s="13"/>
      <c r="U241" s="13">
        <f>'F-09 EP'!U229+'F-09 MGP'!U241+'F-09 FAP'!U241</f>
        <v>31</v>
      </c>
      <c r="V241" s="13">
        <f t="shared" si="66"/>
        <v>31</v>
      </c>
      <c r="W241" s="472">
        <f>'F-09 EP'!W229+'F-09 MGP'!W241+'F-09 FAP'!W241</f>
        <v>1735148.2915106164</v>
      </c>
      <c r="Z241" s="68"/>
    </row>
    <row r="242" spans="1:26">
      <c r="A242" s="703" t="s">
        <v>6950</v>
      </c>
      <c r="B242" s="13"/>
      <c r="C242" s="13"/>
      <c r="D242" s="13"/>
      <c r="E242" s="13"/>
      <c r="F242" s="13"/>
      <c r="G242" s="13"/>
      <c r="H242" s="13"/>
      <c r="I242" s="13"/>
      <c r="J242" s="13">
        <f>'F-09 EP'!J230+'F-09 MGP'!J242+'F-09 FAP'!J242</f>
        <v>15</v>
      </c>
      <c r="K242" s="13">
        <f t="shared" si="65"/>
        <v>15</v>
      </c>
      <c r="L242" s="472">
        <f>'F-09 EP'!L230+'F-09 MGP'!L242+'F-09 FAP'!L242</f>
        <v>987900</v>
      </c>
      <c r="M242" s="13"/>
      <c r="N242" s="13"/>
      <c r="O242" s="13"/>
      <c r="P242" s="13"/>
      <c r="Q242" s="13"/>
      <c r="R242" s="13"/>
      <c r="S242" s="13"/>
      <c r="T242" s="13"/>
      <c r="U242" s="13">
        <f>'F-09 EP'!U230+'F-09 MGP'!U242+'F-09 FAP'!U242</f>
        <v>15</v>
      </c>
      <c r="V242" s="13">
        <f t="shared" si="66"/>
        <v>15</v>
      </c>
      <c r="W242" s="472">
        <f>'F-09 EP'!W230+'F-09 MGP'!W242+'F-09 FAP'!W242</f>
        <v>745826.85151061637</v>
      </c>
      <c r="Z242" s="68"/>
    </row>
    <row r="243" spans="1:26">
      <c r="A243" s="703" t="s">
        <v>6949</v>
      </c>
      <c r="B243" s="13"/>
      <c r="C243" s="13"/>
      <c r="D243" s="13"/>
      <c r="E243" s="13"/>
      <c r="F243" s="13"/>
      <c r="G243" s="13"/>
      <c r="H243" s="13"/>
      <c r="I243" s="13"/>
      <c r="J243" s="13">
        <f>'F-09 EP'!J231+'F-09 MGP'!J243+'F-09 FAP'!J243</f>
        <v>12</v>
      </c>
      <c r="K243" s="13">
        <f t="shared" si="65"/>
        <v>12</v>
      </c>
      <c r="L243" s="472">
        <f>'F-09 EP'!L231+'F-09 MGP'!L243+'F-09 FAP'!L243</f>
        <v>710678.85151061637</v>
      </c>
      <c r="M243" s="13"/>
      <c r="N243" s="13"/>
      <c r="O243" s="13"/>
      <c r="P243" s="13"/>
      <c r="Q243" s="13"/>
      <c r="R243" s="13"/>
      <c r="S243" s="13"/>
      <c r="T243" s="13"/>
      <c r="U243" s="13">
        <f>'F-09 EP'!U231+'F-09 MGP'!U243+'F-09 FAP'!U243</f>
        <v>11</v>
      </c>
      <c r="V243" s="13">
        <f t="shared" si="66"/>
        <v>11</v>
      </c>
      <c r="W243" s="472">
        <f>'F-09 EP'!W231+'F-09 MGP'!W243+'F-09 FAP'!W243</f>
        <v>438656</v>
      </c>
      <c r="Z243" s="68"/>
    </row>
    <row r="244" spans="1:26">
      <c r="A244" s="703" t="s">
        <v>6948</v>
      </c>
      <c r="B244" s="13"/>
      <c r="C244" s="13"/>
      <c r="D244" s="13"/>
      <c r="E244" s="13"/>
      <c r="F244" s="13"/>
      <c r="G244" s="13"/>
      <c r="H244" s="13"/>
      <c r="I244" s="13"/>
      <c r="J244" s="13">
        <f>'F-09 EP'!J232+'F-09 MGP'!J244+'F-09 FAP'!J244</f>
        <v>27</v>
      </c>
      <c r="K244" s="13">
        <f t="shared" si="65"/>
        <v>27</v>
      </c>
      <c r="L244" s="472">
        <f>'F-09 EP'!L232+'F-09 MGP'!L244+'F-09 FAP'!L244</f>
        <v>1615896</v>
      </c>
      <c r="M244" s="13"/>
      <c r="N244" s="13"/>
      <c r="O244" s="13"/>
      <c r="P244" s="13"/>
      <c r="Q244" s="13"/>
      <c r="R244" s="13"/>
      <c r="S244" s="13"/>
      <c r="T244" s="13"/>
      <c r="U244" s="13">
        <f>'F-09 EP'!U232+'F-09 MGP'!U244+'F-09 FAP'!U244</f>
        <v>25</v>
      </c>
      <c r="V244" s="13">
        <f t="shared" si="66"/>
        <v>25</v>
      </c>
      <c r="W244" s="472">
        <f>'F-09 EP'!W232+'F-09 MGP'!W244+'F-09 FAP'!W244</f>
        <v>783400</v>
      </c>
      <c r="Z244" s="68"/>
    </row>
    <row r="245" spans="1:26" hidden="1">
      <c r="A245" s="703" t="s">
        <v>6947</v>
      </c>
      <c r="B245" s="13"/>
      <c r="C245" s="13"/>
      <c r="D245" s="13"/>
      <c r="E245" s="13"/>
      <c r="F245" s="13"/>
      <c r="G245" s="13"/>
      <c r="H245" s="13"/>
      <c r="I245" s="13"/>
      <c r="J245" s="13">
        <f>'F-09 EP'!J233+'F-09 MGP'!J245+'F-09 FAP'!J245</f>
        <v>0</v>
      </c>
      <c r="K245" s="13"/>
      <c r="L245" s="472">
        <f>'F-09 EP'!L233+'F-09 MGP'!L245+'F-09 FAP'!L245</f>
        <v>0</v>
      </c>
      <c r="M245" s="13"/>
      <c r="N245" s="13"/>
      <c r="O245" s="13"/>
      <c r="P245" s="13"/>
      <c r="Q245" s="13"/>
      <c r="R245" s="13"/>
      <c r="S245" s="13"/>
      <c r="T245" s="13"/>
      <c r="U245" s="13">
        <f>'F-09 EP'!U233+'F-09 MGP'!U245+'F-09 FAP'!U245</f>
        <v>0</v>
      </c>
      <c r="V245" s="13">
        <f t="shared" si="66"/>
        <v>0</v>
      </c>
      <c r="W245" s="472">
        <f>'F-09 EP'!W233+'F-09 MGP'!W245+'F-09 FAP'!W245</f>
        <v>0</v>
      </c>
      <c r="Z245" s="68"/>
    </row>
    <row r="246" spans="1:26">
      <c r="A246" s="703" t="s">
        <v>6946</v>
      </c>
      <c r="B246" s="13"/>
      <c r="C246" s="13"/>
      <c r="D246" s="13"/>
      <c r="E246" s="13"/>
      <c r="F246" s="13"/>
      <c r="G246" s="13"/>
      <c r="H246" s="13"/>
      <c r="I246" s="13"/>
      <c r="J246" s="13">
        <f>'F-09 EP'!J234+'F-09 MGP'!J246+'F-09 FAP'!J246</f>
        <v>1</v>
      </c>
      <c r="K246" s="13">
        <f t="shared" ref="K246:K251" si="67">SUM(B246:J246)</f>
        <v>1</v>
      </c>
      <c r="L246" s="472">
        <f>'F-09 EP'!L234+'F-09 MGP'!L246+'F-09 FAP'!L246</f>
        <v>46710.851510616412</v>
      </c>
      <c r="M246" s="13"/>
      <c r="N246" s="13"/>
      <c r="O246" s="13"/>
      <c r="P246" s="13"/>
      <c r="Q246" s="13"/>
      <c r="R246" s="13"/>
      <c r="S246" s="13"/>
      <c r="T246" s="13"/>
      <c r="U246" s="13">
        <f>'F-09 EP'!U234+'F-09 MGP'!U246+'F-09 FAP'!U246</f>
        <v>10</v>
      </c>
      <c r="V246" s="13">
        <f t="shared" si="66"/>
        <v>10</v>
      </c>
      <c r="W246" s="472">
        <f>'F-09 EP'!W234+'F-09 MGP'!W246+'F-09 FAP'!W246</f>
        <v>1268204.6290636985</v>
      </c>
      <c r="Z246" s="68"/>
    </row>
    <row r="247" spans="1:26">
      <c r="A247" s="703" t="s">
        <v>6945</v>
      </c>
      <c r="B247" s="13"/>
      <c r="C247" s="13"/>
      <c r="D247" s="13"/>
      <c r="E247" s="13"/>
      <c r="F247" s="13"/>
      <c r="G247" s="13"/>
      <c r="H247" s="13"/>
      <c r="I247" s="13"/>
      <c r="J247" s="13">
        <f>'F-09 EP'!J235+'F-09 MGP'!J247+'F-09 FAP'!J247</f>
        <v>34</v>
      </c>
      <c r="K247" s="13">
        <f t="shared" si="67"/>
        <v>34</v>
      </c>
      <c r="L247" s="472">
        <f>'F-09 EP'!L235+'F-09 MGP'!L247+'F-09 FAP'!L247</f>
        <v>1846073.0696380134</v>
      </c>
      <c r="M247" s="13"/>
      <c r="N247" s="13"/>
      <c r="O247" s="13"/>
      <c r="P247" s="13"/>
      <c r="Q247" s="13"/>
      <c r="R247" s="13"/>
      <c r="S247" s="13"/>
      <c r="T247" s="13"/>
      <c r="U247" s="13">
        <f>'F-09 EP'!U235+'F-09 MGP'!U247+'F-09 FAP'!U247</f>
        <v>32</v>
      </c>
      <c r="V247" s="13">
        <f t="shared" si="66"/>
        <v>32</v>
      </c>
      <c r="W247" s="472">
        <f>'F-09 EP'!W235+'F-09 MGP'!W247+'F-09 FAP'!W247</f>
        <v>1965017.2581273969</v>
      </c>
      <c r="Z247" s="68"/>
    </row>
    <row r="248" spans="1:26">
      <c r="A248" s="703" t="s">
        <v>6944</v>
      </c>
      <c r="B248" s="13"/>
      <c r="C248" s="13"/>
      <c r="D248" s="13"/>
      <c r="E248" s="13"/>
      <c r="F248" s="13"/>
      <c r="G248" s="13"/>
      <c r="H248" s="13"/>
      <c r="I248" s="13"/>
      <c r="J248" s="13">
        <f>'F-09 EP'!J236+'F-09 MGP'!J248+'F-09 FAP'!J248</f>
        <v>45</v>
      </c>
      <c r="K248" s="13">
        <f t="shared" si="67"/>
        <v>45</v>
      </c>
      <c r="L248" s="472">
        <f>'F-09 EP'!L236+'F-09 MGP'!L248+'F-09 FAP'!L248</f>
        <v>2516974.8120849309</v>
      </c>
      <c r="M248" s="13"/>
      <c r="N248" s="13"/>
      <c r="O248" s="13"/>
      <c r="P248" s="13"/>
      <c r="Q248" s="13"/>
      <c r="R248" s="13"/>
      <c r="S248" s="13"/>
      <c r="T248" s="13"/>
      <c r="U248" s="13">
        <f>'F-09 EP'!U236+'F-09 MGP'!U248+'F-09 FAP'!U248</f>
        <v>42</v>
      </c>
      <c r="V248" s="13">
        <f t="shared" si="66"/>
        <v>42</v>
      </c>
      <c r="W248" s="472">
        <f>'F-09 EP'!W236+'F-09 MGP'!W248+'F-09 FAP'!W248</f>
        <v>2728619.2351061641</v>
      </c>
      <c r="Z248" s="68"/>
    </row>
    <row r="249" spans="1:26">
      <c r="A249" s="703" t="s">
        <v>6943</v>
      </c>
      <c r="B249" s="13"/>
      <c r="C249" s="13"/>
      <c r="D249" s="13"/>
      <c r="E249" s="13"/>
      <c r="F249" s="13"/>
      <c r="G249" s="13"/>
      <c r="H249" s="13"/>
      <c r="I249" s="13"/>
      <c r="J249" s="13">
        <f>'F-09 EP'!J237+'F-09 MGP'!J249+'F-09 FAP'!J249</f>
        <v>55</v>
      </c>
      <c r="K249" s="13">
        <f t="shared" si="67"/>
        <v>55</v>
      </c>
      <c r="L249" s="472">
        <f>'F-09 EP'!L237+'F-09 MGP'!L249+'F-09 FAP'!L249</f>
        <v>3047921.6635955479</v>
      </c>
      <c r="M249" s="13"/>
      <c r="N249" s="13"/>
      <c r="O249" s="13"/>
      <c r="P249" s="13"/>
      <c r="Q249" s="13"/>
      <c r="R249" s="13"/>
      <c r="S249" s="13"/>
      <c r="T249" s="13"/>
      <c r="U249" s="13">
        <f>'F-09 EP'!U237+'F-09 MGP'!U249+'F-09 FAP'!U249</f>
        <v>51</v>
      </c>
      <c r="V249" s="13">
        <f t="shared" si="66"/>
        <v>51</v>
      </c>
      <c r="W249" s="472">
        <f>'F-09 EP'!W237+'F-09 MGP'!W249+'F-09 FAP'!W249</f>
        <v>2722973.8290636986</v>
      </c>
      <c r="Z249" s="68"/>
    </row>
    <row r="250" spans="1:26">
      <c r="A250" s="703" t="s">
        <v>6942</v>
      </c>
      <c r="B250" s="13"/>
      <c r="C250" s="13"/>
      <c r="D250" s="13"/>
      <c r="E250" s="13"/>
      <c r="F250" s="13"/>
      <c r="G250" s="13"/>
      <c r="H250" s="13"/>
      <c r="I250" s="13"/>
      <c r="J250" s="13">
        <f>'F-09 EP'!J238+'F-09 MGP'!J250+'F-09 FAP'!J250</f>
        <v>49</v>
      </c>
      <c r="K250" s="13">
        <f t="shared" si="67"/>
        <v>49</v>
      </c>
      <c r="L250" s="472">
        <f>'F-09 EP'!L238+'F-09 MGP'!L250+'F-09 FAP'!L250</f>
        <v>2800266.8515106165</v>
      </c>
      <c r="M250" s="13"/>
      <c r="N250" s="13"/>
      <c r="O250" s="13"/>
      <c r="P250" s="13"/>
      <c r="Q250" s="13"/>
      <c r="R250" s="13"/>
      <c r="S250" s="13"/>
      <c r="T250" s="13"/>
      <c r="U250" s="13">
        <f>'F-09 EP'!U238+'F-09 MGP'!U250+'F-09 FAP'!U250</f>
        <v>56</v>
      </c>
      <c r="V250" s="13">
        <f t="shared" si="66"/>
        <v>56</v>
      </c>
      <c r="W250" s="472">
        <f>'F-09 EP'!W238+'F-09 MGP'!W250+'F-09 FAP'!W250</f>
        <v>2253667.8575530821</v>
      </c>
      <c r="Z250" s="68"/>
    </row>
    <row r="251" spans="1:26">
      <c r="A251" s="703" t="s">
        <v>6941</v>
      </c>
      <c r="B251" s="13"/>
      <c r="C251" s="13"/>
      <c r="D251" s="13"/>
      <c r="E251" s="13"/>
      <c r="F251" s="13"/>
      <c r="G251" s="13"/>
      <c r="H251" s="13"/>
      <c r="I251" s="13"/>
      <c r="J251" s="13">
        <f>'F-09 EP'!J239+'F-09 MGP'!J251+'F-09 FAP'!J251</f>
        <v>195</v>
      </c>
      <c r="K251" s="13">
        <f t="shared" si="67"/>
        <v>195</v>
      </c>
      <c r="L251" s="472">
        <f>'F-09 EP'!L239+'F-09 MGP'!L251+'F-09 FAP'!L251</f>
        <v>10949786.389044931</v>
      </c>
      <c r="M251" s="13"/>
      <c r="N251" s="13"/>
      <c r="O251" s="13"/>
      <c r="P251" s="13"/>
      <c r="Q251" s="13"/>
      <c r="R251" s="13"/>
      <c r="S251" s="13"/>
      <c r="T251" s="13"/>
      <c r="U251" s="13">
        <f>'F-09 EP'!U239+'F-09 MGP'!U251+'F-09 FAP'!U251</f>
        <v>187</v>
      </c>
      <c r="V251" s="13">
        <f t="shared" si="66"/>
        <v>187</v>
      </c>
      <c r="W251" s="472">
        <f>'F-09 EP'!W239+'F-09 MGP'!W251+'F-09 FAP'!W251</f>
        <v>6732705.1090636989</v>
      </c>
      <c r="Z251" s="68"/>
    </row>
    <row r="252" spans="1:26">
      <c r="A252" s="707" t="s">
        <v>6940</v>
      </c>
      <c r="B252" s="493"/>
      <c r="C252" s="493"/>
      <c r="D252" s="493"/>
      <c r="E252" s="493"/>
      <c r="F252" s="493"/>
      <c r="G252" s="493"/>
      <c r="H252" s="493"/>
      <c r="I252" s="493"/>
      <c r="J252" s="494">
        <f>J253+J258+J262+J266+J270+J274</f>
        <v>41159</v>
      </c>
      <c r="K252" s="494">
        <f>K253+K258+K262+K266+K270+K274</f>
        <v>41159</v>
      </c>
      <c r="L252" s="492">
        <f t="shared" ref="L252:T252" si="68">L253+L258+L262+L266+L270+L274+L278+L283+L287+L290</f>
        <v>219101870</v>
      </c>
      <c r="M252" s="493">
        <f t="shared" si="68"/>
        <v>0</v>
      </c>
      <c r="N252" s="493">
        <f t="shared" si="68"/>
        <v>0</v>
      </c>
      <c r="O252" s="493">
        <f t="shared" si="68"/>
        <v>0</v>
      </c>
      <c r="P252" s="493">
        <f t="shared" si="68"/>
        <v>0</v>
      </c>
      <c r="Q252" s="493">
        <f t="shared" si="68"/>
        <v>0</v>
      </c>
      <c r="R252" s="493">
        <f t="shared" si="68"/>
        <v>0</v>
      </c>
      <c r="S252" s="493">
        <f t="shared" si="68"/>
        <v>0</v>
      </c>
      <c r="T252" s="493">
        <f t="shared" si="68"/>
        <v>0</v>
      </c>
      <c r="U252" s="493">
        <f>U253+U258+U262+U266+U270+U274</f>
        <v>41501</v>
      </c>
      <c r="V252" s="493">
        <f>V253+V258+V262+V266+V270+V274</f>
        <v>41501</v>
      </c>
      <c r="W252" s="492">
        <f>W253+W258+W262+W266+W270+W274+W278+W283+W287+W290</f>
        <v>214144343.70000002</v>
      </c>
      <c r="Z252" s="68"/>
    </row>
    <row r="253" spans="1:26">
      <c r="A253" s="705" t="s">
        <v>6939</v>
      </c>
      <c r="B253" s="484"/>
      <c r="C253" s="484"/>
      <c r="D253" s="484"/>
      <c r="E253" s="484"/>
      <c r="F253" s="484"/>
      <c r="G253" s="484"/>
      <c r="H253" s="484"/>
      <c r="I253" s="484"/>
      <c r="J253" s="491">
        <f t="shared" ref="J253:W253" si="69">SUM(J254:J257)</f>
        <v>35896</v>
      </c>
      <c r="K253" s="491">
        <f t="shared" si="69"/>
        <v>35896</v>
      </c>
      <c r="L253" s="485">
        <f t="shared" si="69"/>
        <v>162534173</v>
      </c>
      <c r="M253" s="484">
        <f t="shared" si="69"/>
        <v>0</v>
      </c>
      <c r="N253" s="484">
        <f t="shared" si="69"/>
        <v>0</v>
      </c>
      <c r="O253" s="484">
        <f t="shared" si="69"/>
        <v>0</v>
      </c>
      <c r="P253" s="484">
        <f t="shared" si="69"/>
        <v>0</v>
      </c>
      <c r="Q253" s="484">
        <f t="shared" si="69"/>
        <v>0</v>
      </c>
      <c r="R253" s="484">
        <f t="shared" si="69"/>
        <v>0</v>
      </c>
      <c r="S253" s="484">
        <f t="shared" si="69"/>
        <v>0</v>
      </c>
      <c r="T253" s="484">
        <f t="shared" si="69"/>
        <v>0</v>
      </c>
      <c r="U253" s="484">
        <f t="shared" si="69"/>
        <v>35712</v>
      </c>
      <c r="V253" s="484">
        <f t="shared" si="69"/>
        <v>35712</v>
      </c>
      <c r="W253" s="485">
        <f t="shared" si="69"/>
        <v>161243609.05000001</v>
      </c>
      <c r="Z253" s="68"/>
    </row>
    <row r="254" spans="1:26">
      <c r="A254" s="703" t="s">
        <v>6923</v>
      </c>
      <c r="B254" s="13"/>
      <c r="C254" s="13"/>
      <c r="D254" s="13"/>
      <c r="E254" s="13"/>
      <c r="F254" s="13"/>
      <c r="G254" s="13"/>
      <c r="H254" s="13"/>
      <c r="I254" s="13"/>
      <c r="J254" s="13">
        <f>'F-09 EP'!J242+'F-09 MGP'!J254+'F-09 FAP'!J254</f>
        <v>1796</v>
      </c>
      <c r="K254" s="13">
        <f>SUM(B254:J254)</f>
        <v>1796</v>
      </c>
      <c r="L254" s="472">
        <f>'F-09 EP'!L242+'F-09 MGP'!L254+'F-09 FAP'!L254</f>
        <v>7952280</v>
      </c>
      <c r="M254" s="13"/>
      <c r="N254" s="13"/>
      <c r="O254" s="13"/>
      <c r="P254" s="13"/>
      <c r="Q254" s="13"/>
      <c r="R254" s="13"/>
      <c r="S254" s="13"/>
      <c r="T254" s="13"/>
      <c r="U254" s="13">
        <f>'F-09 EP'!U242+'F-09 MGP'!U254+'F-09 FAP'!U254</f>
        <v>1825</v>
      </c>
      <c r="V254" s="13">
        <f>SUM(M254:U254)</f>
        <v>1825</v>
      </c>
      <c r="W254" s="472">
        <f>'F-09 EP'!W242+'F-09 MGP'!W254+'F-09 FAP'!W254</f>
        <v>7993500</v>
      </c>
      <c r="Z254" s="68"/>
    </row>
    <row r="255" spans="1:26">
      <c r="A255" s="703" t="s">
        <v>6925</v>
      </c>
      <c r="B255" s="13"/>
      <c r="C255" s="13"/>
      <c r="D255" s="13"/>
      <c r="E255" s="13"/>
      <c r="F255" s="13"/>
      <c r="G255" s="13"/>
      <c r="H255" s="13"/>
      <c r="I255" s="13"/>
      <c r="J255" s="13">
        <f>'F-09 EP'!J243+'F-09 MGP'!J255+'F-09 FAP'!J255</f>
        <v>6100</v>
      </c>
      <c r="K255" s="13">
        <f>SUM(B255:J255)</f>
        <v>6100</v>
      </c>
      <c r="L255" s="472">
        <f>'F-09 EP'!L243+'F-09 MGP'!L255+'F-09 FAP'!L255</f>
        <v>24121800</v>
      </c>
      <c r="M255" s="13"/>
      <c r="N255" s="13"/>
      <c r="O255" s="13"/>
      <c r="P255" s="13"/>
      <c r="Q255" s="13"/>
      <c r="R255" s="13"/>
      <c r="S255" s="13"/>
      <c r="T255" s="13"/>
      <c r="U255" s="13">
        <f>'F-09 EP'!U243+'F-09 MGP'!U255+'F-09 FAP'!U255</f>
        <v>5690</v>
      </c>
      <c r="V255" s="13">
        <f>SUM(M255:U255)</f>
        <v>5690</v>
      </c>
      <c r="W255" s="472">
        <f>'F-09 EP'!W243+'F-09 MGP'!W255+'F-09 FAP'!W255</f>
        <v>22464120</v>
      </c>
      <c r="Z255" s="68"/>
    </row>
    <row r="256" spans="1:26">
      <c r="A256" s="703" t="s">
        <v>6927</v>
      </c>
      <c r="B256" s="13"/>
      <c r="C256" s="13"/>
      <c r="D256" s="13"/>
      <c r="E256" s="13"/>
      <c r="F256" s="13"/>
      <c r="G256" s="13"/>
      <c r="H256" s="13"/>
      <c r="I256" s="13"/>
      <c r="J256" s="13">
        <f>'F-09 EP'!J244+'F-09 MGP'!J256+'F-09 FAP'!J256</f>
        <v>10358</v>
      </c>
      <c r="K256" s="13">
        <f>SUM(B256:J256)</f>
        <v>10358</v>
      </c>
      <c r="L256" s="472">
        <f>'F-09 EP'!L244+'F-09 MGP'!L256+'F-09 FAP'!L256</f>
        <v>36481632</v>
      </c>
      <c r="M256" s="13"/>
      <c r="N256" s="13"/>
      <c r="O256" s="13"/>
      <c r="P256" s="13"/>
      <c r="Q256" s="13"/>
      <c r="R256" s="13"/>
      <c r="S256" s="13"/>
      <c r="T256" s="13"/>
      <c r="U256" s="13">
        <f>'F-09 EP'!U244+'F-09 MGP'!U256+'F-09 FAP'!U256</f>
        <v>10360</v>
      </c>
      <c r="V256" s="13">
        <f>SUM(M256:U256)</f>
        <v>10360</v>
      </c>
      <c r="W256" s="472">
        <f>'F-09 EP'!W244+'F-09 MGP'!W256+'F-09 FAP'!W256</f>
        <v>36301440</v>
      </c>
      <c r="Z256" s="68"/>
    </row>
    <row r="257" spans="1:26">
      <c r="A257" s="703" t="s">
        <v>6929</v>
      </c>
      <c r="B257" s="13"/>
      <c r="C257" s="13"/>
      <c r="D257" s="13"/>
      <c r="E257" s="13"/>
      <c r="F257" s="13"/>
      <c r="G257" s="13"/>
      <c r="H257" s="13"/>
      <c r="I257" s="13"/>
      <c r="J257" s="13">
        <f>'F-09 EP'!J245+'F-09 MGP'!J257+'F-09 FAP'!J257</f>
        <v>17642</v>
      </c>
      <c r="K257" s="13">
        <f>SUM(B257:J257)</f>
        <v>17642</v>
      </c>
      <c r="L257" s="472">
        <f>'F-09 EP'!L245+'F-09 MGP'!L257+'F-09 FAP'!L257</f>
        <v>93978461</v>
      </c>
      <c r="M257" s="13"/>
      <c r="N257" s="13"/>
      <c r="O257" s="13"/>
      <c r="P257" s="13"/>
      <c r="Q257" s="13"/>
      <c r="R257" s="13"/>
      <c r="S257" s="13"/>
      <c r="T257" s="13"/>
      <c r="U257" s="13">
        <f>'F-09 EP'!U245+'F-09 MGP'!U257+'F-09 FAP'!U257</f>
        <v>17837</v>
      </c>
      <c r="V257" s="13">
        <f>SUM(M257:U257)</f>
        <v>17837</v>
      </c>
      <c r="W257" s="472">
        <f>'F-09 EP'!W245+'F-09 MGP'!W257+'F-09 FAP'!W257</f>
        <v>94484549.049999997</v>
      </c>
      <c r="Z257" s="68"/>
    </row>
    <row r="258" spans="1:26">
      <c r="A258" s="705" t="s">
        <v>6938</v>
      </c>
      <c r="B258" s="484"/>
      <c r="C258" s="484"/>
      <c r="D258" s="484"/>
      <c r="E258" s="484"/>
      <c r="F258" s="484"/>
      <c r="G258" s="484"/>
      <c r="H258" s="484"/>
      <c r="I258" s="484"/>
      <c r="J258" s="484">
        <f t="shared" ref="J258:W258" si="70">SUM(J259:J261)</f>
        <v>3154</v>
      </c>
      <c r="K258" s="484">
        <f t="shared" si="70"/>
        <v>3154</v>
      </c>
      <c r="L258" s="485">
        <f t="shared" si="70"/>
        <v>19467564</v>
      </c>
      <c r="M258" s="484">
        <f t="shared" si="70"/>
        <v>0</v>
      </c>
      <c r="N258" s="484">
        <f t="shared" si="70"/>
        <v>0</v>
      </c>
      <c r="O258" s="484">
        <f t="shared" si="70"/>
        <v>0</v>
      </c>
      <c r="P258" s="484">
        <f t="shared" si="70"/>
        <v>0</v>
      </c>
      <c r="Q258" s="484">
        <f t="shared" si="70"/>
        <v>0</v>
      </c>
      <c r="R258" s="484">
        <f t="shared" si="70"/>
        <v>0</v>
      </c>
      <c r="S258" s="484">
        <f t="shared" si="70"/>
        <v>0</v>
      </c>
      <c r="T258" s="484">
        <f t="shared" si="70"/>
        <v>0</v>
      </c>
      <c r="U258" s="484">
        <f t="shared" si="70"/>
        <v>3592</v>
      </c>
      <c r="V258" s="484">
        <f t="shared" si="70"/>
        <v>3592</v>
      </c>
      <c r="W258" s="485">
        <f t="shared" si="70"/>
        <v>21841632</v>
      </c>
      <c r="Z258" s="68"/>
    </row>
    <row r="259" spans="1:26">
      <c r="A259" s="703" t="s">
        <v>6933</v>
      </c>
      <c r="B259" s="13"/>
      <c r="C259" s="13"/>
      <c r="D259" s="13"/>
      <c r="E259" s="13"/>
      <c r="F259" s="13"/>
      <c r="G259" s="13"/>
      <c r="H259" s="13"/>
      <c r="I259" s="13"/>
      <c r="J259" s="13">
        <f>'F-09 EP'!J247+'F-09 MGP'!J259+'F-09 FAP'!J259</f>
        <v>1504</v>
      </c>
      <c r="K259" s="13">
        <f>SUM(B259:J259)</f>
        <v>1504</v>
      </c>
      <c r="L259" s="472">
        <f>'F-09 EP'!L247+'F-09 MGP'!L259+'F-09 FAP'!L259</f>
        <v>9890304</v>
      </c>
      <c r="M259" s="13"/>
      <c r="N259" s="13"/>
      <c r="O259" s="13"/>
      <c r="P259" s="13"/>
      <c r="Q259" s="13"/>
      <c r="R259" s="13"/>
      <c r="S259" s="13"/>
      <c r="T259" s="13"/>
      <c r="U259" s="13">
        <f>'F-09 EP'!U247+'F-09 MGP'!U259+'F-09 FAP'!U259</f>
        <v>1500</v>
      </c>
      <c r="V259" s="13">
        <f>SUM(M259:U259)</f>
        <v>1500</v>
      </c>
      <c r="W259" s="472">
        <f>'F-09 EP'!W247+'F-09 MGP'!W259+'F-09 FAP'!W259</f>
        <v>9864000</v>
      </c>
      <c r="Z259" s="68"/>
    </row>
    <row r="260" spans="1:26">
      <c r="A260" s="703" t="s">
        <v>6932</v>
      </c>
      <c r="B260" s="13"/>
      <c r="C260" s="13"/>
      <c r="D260" s="13"/>
      <c r="E260" s="13"/>
      <c r="F260" s="13"/>
      <c r="G260" s="13"/>
      <c r="H260" s="13"/>
      <c r="I260" s="13"/>
      <c r="J260" s="13">
        <f>'F-09 EP'!J248+'F-09 MGP'!J260+'F-09 FAP'!J260</f>
        <v>1371</v>
      </c>
      <c r="K260" s="13">
        <f>SUM(B260:J260)</f>
        <v>1371</v>
      </c>
      <c r="L260" s="472">
        <f>'F-09 EP'!L248+'F-09 MGP'!L260+'F-09 FAP'!L260</f>
        <v>8110836</v>
      </c>
      <c r="M260" s="13"/>
      <c r="N260" s="13"/>
      <c r="O260" s="13"/>
      <c r="P260" s="13"/>
      <c r="Q260" s="13"/>
      <c r="R260" s="13"/>
      <c r="S260" s="13"/>
      <c r="T260" s="13"/>
      <c r="U260" s="13">
        <f>'F-09 EP'!U248+'F-09 MGP'!U260+'F-09 FAP'!U260</f>
        <v>1488</v>
      </c>
      <c r="V260" s="13">
        <f>SUM(M260:U260)</f>
        <v>1488</v>
      </c>
      <c r="W260" s="472">
        <f>'F-09 EP'!W248+'F-09 MGP'!W260+'F-09 FAP'!W260</f>
        <v>8803008</v>
      </c>
      <c r="Z260" s="68"/>
    </row>
    <row r="261" spans="1:26">
      <c r="A261" s="703" t="s">
        <v>6931</v>
      </c>
      <c r="B261" s="13"/>
      <c r="C261" s="13"/>
      <c r="D261" s="13"/>
      <c r="E261" s="13"/>
      <c r="F261" s="13"/>
      <c r="G261" s="13"/>
      <c r="H261" s="13"/>
      <c r="I261" s="13"/>
      <c r="J261" s="13">
        <f>'F-09 EP'!J249+'F-09 MGP'!J261+'F-09 FAP'!J261</f>
        <v>279</v>
      </c>
      <c r="K261" s="13">
        <f>SUM(B261:J261)</f>
        <v>279</v>
      </c>
      <c r="L261" s="472">
        <f>'F-09 EP'!L249+'F-09 MGP'!L261+'F-09 FAP'!L261</f>
        <v>1466424</v>
      </c>
      <c r="M261" s="13"/>
      <c r="N261" s="13"/>
      <c r="O261" s="13"/>
      <c r="P261" s="13"/>
      <c r="Q261" s="13"/>
      <c r="R261" s="13"/>
      <c r="S261" s="13"/>
      <c r="T261" s="13"/>
      <c r="U261" s="13">
        <f>'F-09 EP'!U249+'F-09 MGP'!U261+'F-09 FAP'!U261</f>
        <v>604</v>
      </c>
      <c r="V261" s="13">
        <f>SUM(M261:U261)</f>
        <v>604</v>
      </c>
      <c r="W261" s="472">
        <f>'F-09 EP'!W249+'F-09 MGP'!W261+'F-09 FAP'!W261</f>
        <v>3174624</v>
      </c>
      <c r="Z261" s="68"/>
    </row>
    <row r="262" spans="1:26">
      <c r="A262" s="705" t="s">
        <v>6937</v>
      </c>
      <c r="B262" s="484"/>
      <c r="C262" s="484"/>
      <c r="D262" s="484"/>
      <c r="E262" s="484"/>
      <c r="F262" s="484"/>
      <c r="G262" s="484"/>
      <c r="H262" s="484"/>
      <c r="I262" s="484"/>
      <c r="J262" s="484">
        <f t="shared" ref="J262:W262" si="71">SUM(J263:J265)</f>
        <v>1430</v>
      </c>
      <c r="K262" s="484">
        <f t="shared" si="71"/>
        <v>1430</v>
      </c>
      <c r="L262" s="485">
        <f t="shared" si="71"/>
        <v>10196400</v>
      </c>
      <c r="M262" s="484">
        <f t="shared" si="71"/>
        <v>0</v>
      </c>
      <c r="N262" s="484">
        <f t="shared" si="71"/>
        <v>0</v>
      </c>
      <c r="O262" s="484">
        <f t="shared" si="71"/>
        <v>0</v>
      </c>
      <c r="P262" s="484">
        <f t="shared" si="71"/>
        <v>0</v>
      </c>
      <c r="Q262" s="484">
        <f t="shared" si="71"/>
        <v>0</v>
      </c>
      <c r="R262" s="484">
        <f t="shared" si="71"/>
        <v>0</v>
      </c>
      <c r="S262" s="484">
        <f t="shared" si="71"/>
        <v>0</v>
      </c>
      <c r="T262" s="484">
        <f t="shared" si="71"/>
        <v>0</v>
      </c>
      <c r="U262" s="484">
        <f t="shared" si="71"/>
        <v>1742</v>
      </c>
      <c r="V262" s="484">
        <f t="shared" si="71"/>
        <v>1742</v>
      </c>
      <c r="W262" s="485">
        <f t="shared" si="71"/>
        <v>12268128</v>
      </c>
      <c r="Z262" s="68"/>
    </row>
    <row r="263" spans="1:26">
      <c r="A263" s="703" t="s">
        <v>6933</v>
      </c>
      <c r="B263" s="13"/>
      <c r="C263" s="13"/>
      <c r="D263" s="13"/>
      <c r="E263" s="13"/>
      <c r="F263" s="13"/>
      <c r="G263" s="13"/>
      <c r="H263" s="13"/>
      <c r="I263" s="13"/>
      <c r="J263" s="13">
        <f>'F-09 EP'!J251+'F-09 MGP'!J263+'F-09 FAP'!J263</f>
        <v>1259</v>
      </c>
      <c r="K263" s="13">
        <f>SUM(B263:J263)</f>
        <v>1259</v>
      </c>
      <c r="L263" s="472">
        <f>'F-09 EP'!L251+'F-09 MGP'!L263+'F-09 FAP'!L263</f>
        <v>9095016</v>
      </c>
      <c r="M263" s="13"/>
      <c r="N263" s="13"/>
      <c r="O263" s="13"/>
      <c r="P263" s="13"/>
      <c r="Q263" s="13"/>
      <c r="R263" s="13"/>
      <c r="S263" s="13"/>
      <c r="T263" s="13"/>
      <c r="U263" s="13">
        <f>'F-09 EP'!U251+'F-09 MGP'!U263+'F-09 FAP'!U263</f>
        <v>1334</v>
      </c>
      <c r="V263" s="13">
        <f>SUM(M263:U263)</f>
        <v>1334</v>
      </c>
      <c r="W263" s="472">
        <f>'F-09 EP'!W251+'F-09 MGP'!W263+'F-09 FAP'!W263</f>
        <v>9636816</v>
      </c>
      <c r="Z263" s="68"/>
    </row>
    <row r="264" spans="1:26">
      <c r="A264" s="703" t="s">
        <v>6932</v>
      </c>
      <c r="B264" s="13"/>
      <c r="C264" s="13"/>
      <c r="D264" s="13"/>
      <c r="E264" s="13"/>
      <c r="F264" s="13"/>
      <c r="G264" s="13"/>
      <c r="H264" s="13"/>
      <c r="I264" s="13"/>
      <c r="J264" s="13">
        <f>'F-09 EP'!J252+'F-09 MGP'!J264+'F-09 FAP'!J264</f>
        <v>156</v>
      </c>
      <c r="K264" s="13">
        <f>SUM(B264:J264)</f>
        <v>156</v>
      </c>
      <c r="L264" s="472">
        <f>'F-09 EP'!L252+'F-09 MGP'!L264+'F-09 FAP'!L264</f>
        <v>1014624</v>
      </c>
      <c r="M264" s="13"/>
      <c r="N264" s="13"/>
      <c r="O264" s="13"/>
      <c r="P264" s="13"/>
      <c r="Q264" s="13"/>
      <c r="R264" s="13"/>
      <c r="S264" s="13"/>
      <c r="T264" s="13"/>
      <c r="U264" s="13">
        <f>'F-09 EP'!U252+'F-09 MGP'!U264+'F-09 FAP'!U264</f>
        <v>377</v>
      </c>
      <c r="V264" s="13">
        <f>SUM(M264:U264)</f>
        <v>377</v>
      </c>
      <c r="W264" s="472">
        <f>'F-09 EP'!W252+'F-09 MGP'!W264+'F-09 FAP'!W264</f>
        <v>2452008</v>
      </c>
      <c r="Z264" s="68"/>
    </row>
    <row r="265" spans="1:26">
      <c r="A265" s="703" t="s">
        <v>6931</v>
      </c>
      <c r="B265" s="13"/>
      <c r="C265" s="13"/>
      <c r="D265" s="13"/>
      <c r="E265" s="13"/>
      <c r="F265" s="13"/>
      <c r="G265" s="13"/>
      <c r="H265" s="13"/>
      <c r="I265" s="13"/>
      <c r="J265" s="13">
        <f>'F-09 EP'!J253+'F-09 MGP'!J265+'F-09 FAP'!J265</f>
        <v>15</v>
      </c>
      <c r="K265" s="13">
        <f>SUM(B265:J265)</f>
        <v>15</v>
      </c>
      <c r="L265" s="472">
        <f>'F-09 EP'!L253+'F-09 MGP'!L265+'F-09 FAP'!L265</f>
        <v>86760</v>
      </c>
      <c r="M265" s="13"/>
      <c r="N265" s="13"/>
      <c r="O265" s="13"/>
      <c r="P265" s="13"/>
      <c r="Q265" s="13"/>
      <c r="R265" s="13"/>
      <c r="S265" s="13"/>
      <c r="T265" s="13"/>
      <c r="U265" s="13">
        <f>'F-09 EP'!U253+'F-09 MGP'!U265+'F-09 FAP'!U265</f>
        <v>31</v>
      </c>
      <c r="V265" s="13">
        <f>SUM(M265:U265)</f>
        <v>31</v>
      </c>
      <c r="W265" s="472">
        <f>'F-09 EP'!W253+'F-09 MGP'!W265+'F-09 FAP'!W265</f>
        <v>179304</v>
      </c>
      <c r="Z265" s="68"/>
    </row>
    <row r="266" spans="1:26">
      <c r="A266" s="705" t="s">
        <v>6936</v>
      </c>
      <c r="B266" s="484"/>
      <c r="C266" s="484"/>
      <c r="D266" s="484"/>
      <c r="E266" s="484"/>
      <c r="F266" s="484"/>
      <c r="G266" s="484"/>
      <c r="H266" s="484"/>
      <c r="I266" s="484"/>
      <c r="J266" s="484">
        <f t="shared" ref="J266:W266" si="72">SUM(J267:J269)</f>
        <v>646</v>
      </c>
      <c r="K266" s="484">
        <f t="shared" si="72"/>
        <v>646</v>
      </c>
      <c r="L266" s="485">
        <f t="shared" si="72"/>
        <v>5112024</v>
      </c>
      <c r="M266" s="484">
        <f t="shared" si="72"/>
        <v>0</v>
      </c>
      <c r="N266" s="484">
        <f t="shared" si="72"/>
        <v>0</v>
      </c>
      <c r="O266" s="484">
        <f t="shared" si="72"/>
        <v>0</v>
      </c>
      <c r="P266" s="484">
        <f t="shared" si="72"/>
        <v>0</v>
      </c>
      <c r="Q266" s="484">
        <f t="shared" si="72"/>
        <v>0</v>
      </c>
      <c r="R266" s="484">
        <f t="shared" si="72"/>
        <v>0</v>
      </c>
      <c r="S266" s="484">
        <f t="shared" si="72"/>
        <v>0</v>
      </c>
      <c r="T266" s="484">
        <f t="shared" si="72"/>
        <v>0</v>
      </c>
      <c r="U266" s="484">
        <f t="shared" si="72"/>
        <v>367</v>
      </c>
      <c r="V266" s="484">
        <f t="shared" si="72"/>
        <v>367</v>
      </c>
      <c r="W266" s="485">
        <f t="shared" si="72"/>
        <v>2860008</v>
      </c>
      <c r="Z266" s="68"/>
    </row>
    <row r="267" spans="1:26">
      <c r="A267" s="703" t="s">
        <v>6933</v>
      </c>
      <c r="B267" s="13"/>
      <c r="C267" s="13"/>
      <c r="D267" s="13"/>
      <c r="E267" s="13"/>
      <c r="F267" s="13"/>
      <c r="G267" s="13"/>
      <c r="H267" s="13"/>
      <c r="I267" s="13"/>
      <c r="J267" s="13">
        <f>'F-09 EP'!J255+'F-09 MGP'!J267+'F-09 FAP'!J267</f>
        <v>621</v>
      </c>
      <c r="K267" s="13">
        <f>SUM(B267:J267)</f>
        <v>621</v>
      </c>
      <c r="L267" s="472">
        <f>'F-09 EP'!L255+'F-09 MGP'!L267+'F-09 FAP'!L267</f>
        <v>4933224</v>
      </c>
      <c r="M267" s="13"/>
      <c r="N267" s="13"/>
      <c r="O267" s="13"/>
      <c r="P267" s="13"/>
      <c r="Q267" s="13"/>
      <c r="R267" s="13"/>
      <c r="S267" s="13"/>
      <c r="T267" s="13"/>
      <c r="U267" s="13">
        <f>'F-09 EP'!U255+'F-09 MGP'!U267+'F-09 FAP'!U267</f>
        <v>312</v>
      </c>
      <c r="V267" s="13">
        <f>SUM(M267:U267)</f>
        <v>312</v>
      </c>
      <c r="W267" s="472">
        <f>'F-09 EP'!W255+'F-09 MGP'!W267+'F-09 FAP'!W267</f>
        <v>2478528</v>
      </c>
      <c r="Z267" s="68"/>
    </row>
    <row r="268" spans="1:26">
      <c r="A268" s="703" t="s">
        <v>6932</v>
      </c>
      <c r="B268" s="13"/>
      <c r="C268" s="13"/>
      <c r="D268" s="13"/>
      <c r="E268" s="13"/>
      <c r="F268" s="13"/>
      <c r="G268" s="13"/>
      <c r="H268" s="13"/>
      <c r="I268" s="13"/>
      <c r="J268" s="13">
        <f>'F-09 EP'!J256+'F-09 MGP'!J268+'F-09 FAP'!J268</f>
        <v>25</v>
      </c>
      <c r="K268" s="13">
        <f>SUM(B268:J268)</f>
        <v>25</v>
      </c>
      <c r="L268" s="472">
        <f>'F-09 EP'!L256+'F-09 MGP'!L268+'F-09 FAP'!L268</f>
        <v>178800</v>
      </c>
      <c r="M268" s="13"/>
      <c r="N268" s="13"/>
      <c r="O268" s="13"/>
      <c r="P268" s="13"/>
      <c r="Q268" s="13"/>
      <c r="R268" s="13"/>
      <c r="S268" s="13"/>
      <c r="T268" s="13"/>
      <c r="U268" s="13">
        <f>'F-09 EP'!U256+'F-09 MGP'!U268+'F-09 FAP'!U268</f>
        <v>40</v>
      </c>
      <c r="V268" s="13">
        <f>SUM(M268:U268)</f>
        <v>40</v>
      </c>
      <c r="W268" s="472">
        <f>'F-09 EP'!W256+'F-09 MGP'!W268+'F-09 FAP'!W268</f>
        <v>286080</v>
      </c>
      <c r="Z268" s="68"/>
    </row>
    <row r="269" spans="1:26">
      <c r="A269" s="703" t="s">
        <v>6931</v>
      </c>
      <c r="B269" s="13"/>
      <c r="C269" s="13"/>
      <c r="D269" s="13"/>
      <c r="E269" s="13"/>
      <c r="F269" s="13"/>
      <c r="G269" s="13"/>
      <c r="H269" s="13"/>
      <c r="I269" s="13"/>
      <c r="J269" s="13">
        <f>'F-09 EP'!J257+'F-09 MGP'!J269+'F-09 FAP'!J269</f>
        <v>0</v>
      </c>
      <c r="K269" s="13">
        <f>SUM(B269:J269)</f>
        <v>0</v>
      </c>
      <c r="L269" s="472">
        <f>'F-09 EP'!L257+'F-09 MGP'!L269+'F-09 FAP'!L269</f>
        <v>0</v>
      </c>
      <c r="M269" s="13"/>
      <c r="N269" s="13"/>
      <c r="O269" s="13"/>
      <c r="P269" s="13"/>
      <c r="Q269" s="13"/>
      <c r="R269" s="13"/>
      <c r="S269" s="13"/>
      <c r="T269" s="13"/>
      <c r="U269" s="13">
        <f>'F-09 EP'!U257+'F-09 MGP'!U269+'F-09 FAP'!U269</f>
        <v>15</v>
      </c>
      <c r="V269" s="13">
        <f>SUM(M269:U269)</f>
        <v>15</v>
      </c>
      <c r="W269" s="472">
        <f>'F-09 EP'!W257+'F-09 MGP'!W269+'F-09 FAP'!W269</f>
        <v>95400</v>
      </c>
      <c r="Z269" s="68"/>
    </row>
    <row r="270" spans="1:26">
      <c r="A270" s="705" t="s">
        <v>6935</v>
      </c>
      <c r="B270" s="484"/>
      <c r="C270" s="484"/>
      <c r="D270" s="484"/>
      <c r="E270" s="484"/>
      <c r="F270" s="484"/>
      <c r="G270" s="484"/>
      <c r="H270" s="484"/>
      <c r="I270" s="484"/>
      <c r="J270" s="484">
        <f t="shared" ref="J270:W270" si="73">SUM(J271:J273)</f>
        <v>28</v>
      </c>
      <c r="K270" s="484">
        <f t="shared" si="73"/>
        <v>28</v>
      </c>
      <c r="L270" s="485">
        <f t="shared" si="73"/>
        <v>244944</v>
      </c>
      <c r="M270" s="484">
        <f t="shared" si="73"/>
        <v>0</v>
      </c>
      <c r="N270" s="484">
        <f t="shared" si="73"/>
        <v>0</v>
      </c>
      <c r="O270" s="484">
        <f t="shared" si="73"/>
        <v>0</v>
      </c>
      <c r="P270" s="484">
        <f t="shared" si="73"/>
        <v>0</v>
      </c>
      <c r="Q270" s="484">
        <f t="shared" si="73"/>
        <v>0</v>
      </c>
      <c r="R270" s="484">
        <f t="shared" si="73"/>
        <v>0</v>
      </c>
      <c r="S270" s="484">
        <f t="shared" si="73"/>
        <v>0</v>
      </c>
      <c r="T270" s="484">
        <f t="shared" si="73"/>
        <v>0</v>
      </c>
      <c r="U270" s="484">
        <f t="shared" si="73"/>
        <v>78</v>
      </c>
      <c r="V270" s="484">
        <f t="shared" si="73"/>
        <v>78</v>
      </c>
      <c r="W270" s="485">
        <f t="shared" si="73"/>
        <v>682344</v>
      </c>
      <c r="Z270" s="68"/>
    </row>
    <row r="271" spans="1:26">
      <c r="A271" s="703" t="s">
        <v>6933</v>
      </c>
      <c r="B271" s="13"/>
      <c r="C271" s="13"/>
      <c r="D271" s="13"/>
      <c r="E271" s="13"/>
      <c r="F271" s="13"/>
      <c r="G271" s="13"/>
      <c r="H271" s="13"/>
      <c r="I271" s="13"/>
      <c r="J271" s="13">
        <f>'F-09 EP'!J259+'F-09 MGP'!J271+'F-09 FAP'!J271</f>
        <v>28</v>
      </c>
      <c r="K271" s="13">
        <f>SUM(B271:J271)</f>
        <v>28</v>
      </c>
      <c r="L271" s="472">
        <f>'F-09 EP'!L259+'F-09 MGP'!L271+'F-09 FAP'!L271</f>
        <v>244944</v>
      </c>
      <c r="M271" s="13"/>
      <c r="N271" s="13"/>
      <c r="O271" s="13"/>
      <c r="P271" s="13"/>
      <c r="Q271" s="13"/>
      <c r="R271" s="13"/>
      <c r="S271" s="13"/>
      <c r="T271" s="13"/>
      <c r="U271" s="13">
        <f>'F-09 EP'!U259+'F-09 MGP'!U271+'F-09 FAP'!U271</f>
        <v>78</v>
      </c>
      <c r="V271" s="13">
        <f>SUM(M271:U271)</f>
        <v>78</v>
      </c>
      <c r="W271" s="472">
        <f>'F-09 EP'!W259+'F-09 MGP'!W271+'F-09 FAP'!W271</f>
        <v>682344</v>
      </c>
      <c r="Z271" s="68"/>
    </row>
    <row r="272" spans="1:26" hidden="1">
      <c r="A272" s="703" t="s">
        <v>6932</v>
      </c>
      <c r="B272" s="13"/>
      <c r="C272" s="13"/>
      <c r="D272" s="13"/>
      <c r="E272" s="13"/>
      <c r="F272" s="13"/>
      <c r="G272" s="13"/>
      <c r="H272" s="13"/>
      <c r="I272" s="13"/>
      <c r="J272" s="13">
        <f>'F-09 EP'!J260+'F-09 MGP'!J272+'F-09 FAP'!J272</f>
        <v>0</v>
      </c>
      <c r="K272" s="13">
        <f>SUM(B272:J272)</f>
        <v>0</v>
      </c>
      <c r="L272" s="472">
        <f>'F-09 EP'!L260+'F-09 MGP'!L272+'F-09 FAP'!L272</f>
        <v>0</v>
      </c>
      <c r="M272" s="13"/>
      <c r="N272" s="13"/>
      <c r="O272" s="13"/>
      <c r="P272" s="13"/>
      <c r="Q272" s="13"/>
      <c r="R272" s="13"/>
      <c r="S272" s="13"/>
      <c r="T272" s="13"/>
      <c r="U272" s="13">
        <f>'F-09 EP'!U260+'F-09 MGP'!U272+'F-09 FAP'!U272</f>
        <v>0</v>
      </c>
      <c r="V272" s="13">
        <f>SUM(M272:U272)</f>
        <v>0</v>
      </c>
      <c r="W272" s="472">
        <f>'F-09 EP'!W260+'F-09 MGP'!W272+'F-09 FAP'!W272</f>
        <v>0</v>
      </c>
      <c r="Z272" s="68"/>
    </row>
    <row r="273" spans="1:26" hidden="1">
      <c r="A273" s="703" t="s">
        <v>6931</v>
      </c>
      <c r="B273" s="13"/>
      <c r="C273" s="13"/>
      <c r="D273" s="13"/>
      <c r="E273" s="13"/>
      <c r="F273" s="13"/>
      <c r="G273" s="13"/>
      <c r="H273" s="13"/>
      <c r="I273" s="13"/>
      <c r="J273" s="13">
        <f>'F-09 EP'!J261+'F-09 MGP'!J273+'F-09 FAP'!J273</f>
        <v>0</v>
      </c>
      <c r="K273" s="13">
        <f>SUM(B273:J273)</f>
        <v>0</v>
      </c>
      <c r="L273" s="472">
        <f>'F-09 EP'!L261+'F-09 MGP'!L273+'F-09 FAP'!L273</f>
        <v>0</v>
      </c>
      <c r="M273" s="13"/>
      <c r="N273" s="13"/>
      <c r="O273" s="13"/>
      <c r="P273" s="13"/>
      <c r="Q273" s="13"/>
      <c r="R273" s="13"/>
      <c r="S273" s="13"/>
      <c r="T273" s="13"/>
      <c r="U273" s="13">
        <f>'F-09 EP'!U261+'F-09 MGP'!U273+'F-09 FAP'!U273</f>
        <v>0</v>
      </c>
      <c r="V273" s="13">
        <f>SUM(M273:U273)</f>
        <v>0</v>
      </c>
      <c r="W273" s="472">
        <f>'F-09 EP'!W261+'F-09 MGP'!W273+'F-09 FAP'!W273</f>
        <v>0</v>
      </c>
      <c r="Z273" s="68"/>
    </row>
    <row r="274" spans="1:26">
      <c r="A274" s="705" t="s">
        <v>6934</v>
      </c>
      <c r="B274" s="484"/>
      <c r="C274" s="484"/>
      <c r="D274" s="484"/>
      <c r="E274" s="484"/>
      <c r="F274" s="484"/>
      <c r="G274" s="484"/>
      <c r="H274" s="484"/>
      <c r="I274" s="484"/>
      <c r="J274" s="484">
        <f t="shared" ref="J274:W274" si="74">SUM(J275:J277)</f>
        <v>5</v>
      </c>
      <c r="K274" s="484">
        <f t="shared" si="74"/>
        <v>5</v>
      </c>
      <c r="L274" s="485">
        <f t="shared" si="74"/>
        <v>48120</v>
      </c>
      <c r="M274" s="484">
        <f t="shared" si="74"/>
        <v>0</v>
      </c>
      <c r="N274" s="484">
        <f t="shared" si="74"/>
        <v>0</v>
      </c>
      <c r="O274" s="484">
        <f t="shared" si="74"/>
        <v>0</v>
      </c>
      <c r="P274" s="484">
        <f t="shared" si="74"/>
        <v>0</v>
      </c>
      <c r="Q274" s="484">
        <f t="shared" si="74"/>
        <v>0</v>
      </c>
      <c r="R274" s="484">
        <f t="shared" si="74"/>
        <v>0</v>
      </c>
      <c r="S274" s="484">
        <f t="shared" si="74"/>
        <v>0</v>
      </c>
      <c r="T274" s="484">
        <f t="shared" si="74"/>
        <v>0</v>
      </c>
      <c r="U274" s="484">
        <f t="shared" si="74"/>
        <v>10</v>
      </c>
      <c r="V274" s="484">
        <f t="shared" si="74"/>
        <v>10</v>
      </c>
      <c r="W274" s="485">
        <f t="shared" si="74"/>
        <v>96240</v>
      </c>
      <c r="Z274" s="68"/>
    </row>
    <row r="275" spans="1:26">
      <c r="A275" s="703" t="s">
        <v>6933</v>
      </c>
      <c r="B275" s="13"/>
      <c r="C275" s="13"/>
      <c r="D275" s="13"/>
      <c r="E275" s="13"/>
      <c r="F275" s="13"/>
      <c r="G275" s="13"/>
      <c r="H275" s="13"/>
      <c r="I275" s="13"/>
      <c r="J275" s="13">
        <f>'F-09 EP'!J263+'F-09 MGP'!J275+'F-09 FAP'!J275</f>
        <v>5</v>
      </c>
      <c r="K275" s="13">
        <f>SUM(B275:J275)</f>
        <v>5</v>
      </c>
      <c r="L275" s="472">
        <f>'F-09 EP'!L263+'F-09 MGP'!L275+'F-09 FAP'!L275</f>
        <v>48120</v>
      </c>
      <c r="M275" s="13"/>
      <c r="N275" s="13"/>
      <c r="O275" s="13"/>
      <c r="P275" s="13"/>
      <c r="Q275" s="13"/>
      <c r="R275" s="13"/>
      <c r="S275" s="13"/>
      <c r="T275" s="13"/>
      <c r="U275" s="13">
        <f>'F-09 EP'!U263+'F-09 MGP'!U275+'F-09 FAP'!U275</f>
        <v>10</v>
      </c>
      <c r="V275" s="13">
        <f>SUM(M275:U275)</f>
        <v>10</v>
      </c>
      <c r="W275" s="472">
        <f>'F-09 EP'!W263+'F-09 MGP'!W275+'F-09 FAP'!W275</f>
        <v>96240</v>
      </c>
      <c r="Z275" s="68"/>
    </row>
    <row r="276" spans="1:26" hidden="1">
      <c r="A276" s="703" t="s">
        <v>6932</v>
      </c>
      <c r="B276" s="13"/>
      <c r="C276" s="13"/>
      <c r="D276" s="13"/>
      <c r="E276" s="13"/>
      <c r="F276" s="13"/>
      <c r="G276" s="13"/>
      <c r="H276" s="13"/>
      <c r="I276" s="13"/>
      <c r="J276" s="13">
        <f>'F-09 EP'!J264+'F-09 MGP'!J276+'F-09 FAP'!J276</f>
        <v>0</v>
      </c>
      <c r="K276" s="13">
        <f>SUM(B276:J276)</f>
        <v>0</v>
      </c>
      <c r="L276" s="472">
        <f>'F-09 EP'!L264+'F-09 MGP'!L276+'F-09 FAP'!L276</f>
        <v>0</v>
      </c>
      <c r="M276" s="13"/>
      <c r="N276" s="13"/>
      <c r="O276" s="13"/>
      <c r="P276" s="13"/>
      <c r="Q276" s="13"/>
      <c r="R276" s="13"/>
      <c r="S276" s="13"/>
      <c r="T276" s="13"/>
      <c r="U276" s="13">
        <f>'F-09 EP'!U264+'F-09 MGP'!U276+'F-09 FAP'!U276</f>
        <v>0</v>
      </c>
      <c r="V276" s="13">
        <f>SUM(M276:U276)</f>
        <v>0</v>
      </c>
      <c r="W276" s="472">
        <f>'F-09 EP'!W264+'F-09 MGP'!W276+'F-09 FAP'!W276</f>
        <v>0</v>
      </c>
      <c r="Z276" s="68"/>
    </row>
    <row r="277" spans="1:26" hidden="1">
      <c r="A277" s="703" t="s">
        <v>6931</v>
      </c>
      <c r="B277" s="13"/>
      <c r="C277" s="13"/>
      <c r="D277" s="13"/>
      <c r="E277" s="13"/>
      <c r="F277" s="13"/>
      <c r="G277" s="13"/>
      <c r="H277" s="13"/>
      <c r="I277" s="13"/>
      <c r="J277" s="13">
        <f>'F-09 EP'!J265+'F-09 MGP'!J277+'F-09 FAP'!J277</f>
        <v>0</v>
      </c>
      <c r="K277" s="13">
        <f>SUM(B277:J277)</f>
        <v>0</v>
      </c>
      <c r="L277" s="472">
        <f>'F-09 EP'!L265+'F-09 MGP'!L277+'F-09 FAP'!L277</f>
        <v>0</v>
      </c>
      <c r="M277" s="13"/>
      <c r="N277" s="13"/>
      <c r="O277" s="13"/>
      <c r="P277" s="13"/>
      <c r="Q277" s="13"/>
      <c r="R277" s="13"/>
      <c r="S277" s="13"/>
      <c r="T277" s="13"/>
      <c r="U277" s="13">
        <f>'F-09 EP'!U265+'F-09 MGP'!U277+'F-09 FAP'!U277</f>
        <v>0</v>
      </c>
      <c r="V277" s="13">
        <f>SUM(M277:U277)</f>
        <v>0</v>
      </c>
      <c r="W277" s="472">
        <f>'F-09 EP'!W265+'F-09 MGP'!W277+'F-09 FAP'!W277</f>
        <v>0</v>
      </c>
      <c r="Z277" s="68"/>
    </row>
    <row r="278" spans="1:26" ht="24">
      <c r="A278" s="705" t="s">
        <v>6930</v>
      </c>
      <c r="B278" s="484"/>
      <c r="C278" s="484"/>
      <c r="D278" s="484"/>
      <c r="E278" s="484"/>
      <c r="F278" s="484"/>
      <c r="G278" s="484"/>
      <c r="H278" s="484"/>
      <c r="I278" s="484"/>
      <c r="J278" s="484">
        <f t="shared" ref="J278:W278" si="75">SUM(J279:J282)</f>
        <v>8515</v>
      </c>
      <c r="K278" s="484">
        <f t="shared" si="75"/>
        <v>8515</v>
      </c>
      <c r="L278" s="485">
        <f t="shared" si="75"/>
        <v>15717734.587129092</v>
      </c>
      <c r="M278" s="484">
        <f t="shared" si="75"/>
        <v>0</v>
      </c>
      <c r="N278" s="484">
        <f t="shared" si="75"/>
        <v>0</v>
      </c>
      <c r="O278" s="484">
        <f t="shared" si="75"/>
        <v>0</v>
      </c>
      <c r="P278" s="484">
        <f t="shared" si="75"/>
        <v>0</v>
      </c>
      <c r="Q278" s="484">
        <f t="shared" si="75"/>
        <v>0</v>
      </c>
      <c r="R278" s="484">
        <f t="shared" si="75"/>
        <v>0</v>
      </c>
      <c r="S278" s="484">
        <f t="shared" si="75"/>
        <v>0</v>
      </c>
      <c r="T278" s="484">
        <f t="shared" si="75"/>
        <v>0</v>
      </c>
      <c r="U278" s="484">
        <f t="shared" si="75"/>
        <v>6817</v>
      </c>
      <c r="V278" s="484">
        <f t="shared" si="75"/>
        <v>6817</v>
      </c>
      <c r="W278" s="485">
        <f t="shared" si="75"/>
        <v>15152382.650000002</v>
      </c>
      <c r="Z278" s="68"/>
    </row>
    <row r="279" spans="1:26">
      <c r="A279" s="703" t="s">
        <v>6923</v>
      </c>
      <c r="B279" s="13"/>
      <c r="C279" s="13"/>
      <c r="D279" s="13"/>
      <c r="E279" s="13"/>
      <c r="F279" s="13"/>
      <c r="G279" s="13"/>
      <c r="H279" s="13"/>
      <c r="I279" s="13"/>
      <c r="J279" s="13">
        <f>'F-09 EP'!J267+'F-09 MGP'!J279+'F-09 FAP'!J279</f>
        <v>430</v>
      </c>
      <c r="K279" s="13">
        <f>SUM(B279:J279)</f>
        <v>430</v>
      </c>
      <c r="L279" s="472">
        <f>'F-09 EP'!L267+'F-09 MGP'!L279+'F-09 FAP'!L279</f>
        <v>940936.71911918325</v>
      </c>
      <c r="M279" s="13"/>
      <c r="N279" s="13"/>
      <c r="O279" s="13"/>
      <c r="P279" s="13"/>
      <c r="Q279" s="13"/>
      <c r="R279" s="13"/>
      <c r="S279" s="13"/>
      <c r="T279" s="13"/>
      <c r="U279" s="13">
        <f>'F-09 EP'!U267+'F-09 MGP'!U279+'F-09 FAP'!U279</f>
        <v>1</v>
      </c>
      <c r="V279" s="13">
        <f>SUM(M279:U279)</f>
        <v>1</v>
      </c>
      <c r="W279" s="472">
        <f>'F-09 EP'!W267+'F-09 MGP'!W279+'F-09 FAP'!W279</f>
        <v>1354.0213862042283</v>
      </c>
      <c r="Z279" s="68"/>
    </row>
    <row r="280" spans="1:26">
      <c r="A280" s="703" t="s">
        <v>6925</v>
      </c>
      <c r="B280" s="13"/>
      <c r="C280" s="13"/>
      <c r="D280" s="13"/>
      <c r="E280" s="13"/>
      <c r="F280" s="13"/>
      <c r="G280" s="13"/>
      <c r="H280" s="13"/>
      <c r="I280" s="13"/>
      <c r="J280" s="13">
        <f>'F-09 EP'!J268+'F-09 MGP'!J280+'F-09 FAP'!J280</f>
        <v>3488</v>
      </c>
      <c r="K280" s="13">
        <f>SUM(B280:J280)</f>
        <v>3488</v>
      </c>
      <c r="L280" s="472">
        <f>'F-09 EP'!L268+'F-09 MGP'!L280+'F-09 FAP'!L280</f>
        <v>6885301.7860666094</v>
      </c>
      <c r="M280" s="13"/>
      <c r="N280" s="13"/>
      <c r="O280" s="13"/>
      <c r="P280" s="13"/>
      <c r="Q280" s="13"/>
      <c r="R280" s="13"/>
      <c r="S280" s="13"/>
      <c r="T280" s="13"/>
      <c r="U280" s="13">
        <f>'F-09 EP'!U268+'F-09 MGP'!U280+'F-09 FAP'!U280</f>
        <v>346</v>
      </c>
      <c r="V280" s="13">
        <f>SUM(M280:U280)</f>
        <v>346</v>
      </c>
      <c r="W280" s="472">
        <f>'F-09 EP'!W268+'F-09 MGP'!W280+'F-09 FAP'!W280</f>
        <v>722520.65026910999</v>
      </c>
      <c r="Z280" s="68"/>
    </row>
    <row r="281" spans="1:26">
      <c r="A281" s="703" t="s">
        <v>6927</v>
      </c>
      <c r="B281" s="13"/>
      <c r="C281" s="13"/>
      <c r="D281" s="13"/>
      <c r="E281" s="13"/>
      <c r="F281" s="13"/>
      <c r="G281" s="13"/>
      <c r="H281" s="13"/>
      <c r="I281" s="13"/>
      <c r="J281" s="13">
        <f>'F-09 EP'!J269+'F-09 MGP'!J281+'F-09 FAP'!J281</f>
        <v>3843</v>
      </c>
      <c r="K281" s="13">
        <f>SUM(B281:J281)</f>
        <v>3843</v>
      </c>
      <c r="L281" s="472">
        <f>'F-09 EP'!L269+'F-09 MGP'!L281+'F-09 FAP'!L281</f>
        <v>6733770.4614289785</v>
      </c>
      <c r="M281" s="13"/>
      <c r="N281" s="13"/>
      <c r="O281" s="13"/>
      <c r="P281" s="13"/>
      <c r="Q281" s="13"/>
      <c r="R281" s="13"/>
      <c r="S281" s="13"/>
      <c r="T281" s="13"/>
      <c r="U281" s="13">
        <f>'F-09 EP'!U269+'F-09 MGP'!U281+'F-09 FAP'!U281</f>
        <v>4228</v>
      </c>
      <c r="V281" s="13">
        <f>SUM(M281:U281)</f>
        <v>4228</v>
      </c>
      <c r="W281" s="472">
        <f>'F-09 EP'!W269+'F-09 MGP'!W281+'F-09 FAP'!W281</f>
        <v>7831659.6978052566</v>
      </c>
      <c r="Z281" s="68"/>
    </row>
    <row r="282" spans="1:26">
      <c r="A282" s="703" t="s">
        <v>6929</v>
      </c>
      <c r="B282" s="13"/>
      <c r="C282" s="13"/>
      <c r="D282" s="13"/>
      <c r="E282" s="13"/>
      <c r="F282" s="13"/>
      <c r="G282" s="13"/>
      <c r="H282" s="13"/>
      <c r="I282" s="13"/>
      <c r="J282" s="13">
        <f>'F-09 EP'!J270+'F-09 MGP'!J282+'F-09 FAP'!J282</f>
        <v>754</v>
      </c>
      <c r="K282" s="13">
        <f>SUM(B282:J282)</f>
        <v>754</v>
      </c>
      <c r="L282" s="472">
        <f>'F-09 EP'!L270+'F-09 MGP'!L282+'F-09 FAP'!L282</f>
        <v>1157725.6205143197</v>
      </c>
      <c r="M282" s="13"/>
      <c r="N282" s="13"/>
      <c r="O282" s="13"/>
      <c r="P282" s="13"/>
      <c r="Q282" s="13"/>
      <c r="R282" s="13"/>
      <c r="S282" s="13"/>
      <c r="T282" s="13"/>
      <c r="U282" s="13">
        <f>'F-09 EP'!U270+'F-09 MGP'!U282+'F-09 FAP'!U282</f>
        <v>2242</v>
      </c>
      <c r="V282" s="13">
        <f>SUM(M282:U282)</f>
        <v>2242</v>
      </c>
      <c r="W282" s="472">
        <f>'F-09 EP'!W270+'F-09 MGP'!W282+'F-09 FAP'!W282</f>
        <v>6596848.2805394307</v>
      </c>
      <c r="Z282" s="68"/>
    </row>
    <row r="283" spans="1:26" ht="24">
      <c r="A283" s="705" t="s">
        <v>6928</v>
      </c>
      <c r="B283" s="484"/>
      <c r="C283" s="484"/>
      <c r="D283" s="484"/>
      <c r="E283" s="484"/>
      <c r="F283" s="484"/>
      <c r="G283" s="484"/>
      <c r="H283" s="484"/>
      <c r="I283" s="484"/>
      <c r="J283" s="484">
        <f t="shared" ref="J283:W283" si="76">SUM(J284:J286)</f>
        <v>1741</v>
      </c>
      <c r="K283" s="484">
        <f t="shared" si="76"/>
        <v>1741</v>
      </c>
      <c r="L283" s="485">
        <f t="shared" si="76"/>
        <v>5780910.4128709063</v>
      </c>
      <c r="M283" s="484">
        <f t="shared" si="76"/>
        <v>0</v>
      </c>
      <c r="N283" s="484">
        <f t="shared" si="76"/>
        <v>0</v>
      </c>
      <c r="O283" s="484">
        <f t="shared" si="76"/>
        <v>0</v>
      </c>
      <c r="P283" s="484">
        <f t="shared" si="76"/>
        <v>0</v>
      </c>
      <c r="Q283" s="484">
        <f t="shared" si="76"/>
        <v>0</v>
      </c>
      <c r="R283" s="484">
        <f t="shared" si="76"/>
        <v>0</v>
      </c>
      <c r="S283" s="484">
        <f t="shared" si="76"/>
        <v>0</v>
      </c>
      <c r="T283" s="484">
        <f t="shared" si="76"/>
        <v>0</v>
      </c>
      <c r="U283" s="484">
        <f t="shared" si="76"/>
        <v>0</v>
      </c>
      <c r="V283" s="484">
        <f t="shared" si="76"/>
        <v>0</v>
      </c>
      <c r="W283" s="485">
        <f t="shared" si="76"/>
        <v>0</v>
      </c>
      <c r="Z283" s="68"/>
    </row>
    <row r="284" spans="1:26">
      <c r="A284" s="703" t="s">
        <v>6923</v>
      </c>
      <c r="B284" s="13"/>
      <c r="C284" s="13"/>
      <c r="D284" s="13"/>
      <c r="E284" s="13"/>
      <c r="F284" s="13"/>
      <c r="G284" s="13"/>
      <c r="H284" s="13"/>
      <c r="I284" s="13"/>
      <c r="J284" s="13">
        <f>'F-09 EP'!J272+'F-09 MGP'!J284+'F-09 FAP'!J284</f>
        <v>1210</v>
      </c>
      <c r="K284" s="13">
        <f>SUM(B284:J284)</f>
        <v>1210</v>
      </c>
      <c r="L284" s="472">
        <f>'F-09 EP'!L272+'F-09 MGP'!L284+'F-09 FAP'!L284</f>
        <v>4212194.762955253</v>
      </c>
      <c r="M284" s="13"/>
      <c r="N284" s="13"/>
      <c r="O284" s="13"/>
      <c r="P284" s="13"/>
      <c r="Q284" s="13"/>
      <c r="R284" s="13"/>
      <c r="S284" s="13"/>
      <c r="T284" s="13"/>
      <c r="U284" s="13">
        <f>'F-09 EP'!U272+'F-09 MGP'!U284+'F-09 FAP'!U284</f>
        <v>0</v>
      </c>
      <c r="V284" s="13">
        <f>SUM(M284:U284)</f>
        <v>0</v>
      </c>
      <c r="W284" s="472">
        <f>'F-09 EP'!W272+'F-09 MGP'!W284+'F-09 FAP'!W284</f>
        <v>0</v>
      </c>
      <c r="Z284" s="68"/>
    </row>
    <row r="285" spans="1:26">
      <c r="A285" s="703" t="s">
        <v>6925</v>
      </c>
      <c r="B285" s="13"/>
      <c r="C285" s="13"/>
      <c r="D285" s="13"/>
      <c r="E285" s="13"/>
      <c r="F285" s="13"/>
      <c r="G285" s="13"/>
      <c r="H285" s="13"/>
      <c r="I285" s="13"/>
      <c r="J285" s="13">
        <f>'F-09 EP'!J273+'F-09 MGP'!J285+'F-09 FAP'!J285</f>
        <v>496</v>
      </c>
      <c r="K285" s="13">
        <f>SUM(B285:J285)</f>
        <v>496</v>
      </c>
      <c r="L285" s="472">
        <f>'F-09 EP'!L273+'F-09 MGP'!L285+'F-09 FAP'!L285</f>
        <v>1477402.3508907114</v>
      </c>
      <c r="M285" s="13"/>
      <c r="N285" s="13"/>
      <c r="O285" s="13"/>
      <c r="P285" s="13"/>
      <c r="Q285" s="13"/>
      <c r="R285" s="13"/>
      <c r="S285" s="13"/>
      <c r="T285" s="13"/>
      <c r="U285" s="13">
        <f>'F-09 EP'!U273+'F-09 MGP'!U285+'F-09 FAP'!U285</f>
        <v>0</v>
      </c>
      <c r="V285" s="13">
        <f>SUM(M285:U285)</f>
        <v>0</v>
      </c>
      <c r="W285" s="472">
        <f>'F-09 EP'!W273+'F-09 MGP'!W285+'F-09 FAP'!W285</f>
        <v>0</v>
      </c>
      <c r="Z285" s="68"/>
    </row>
    <row r="286" spans="1:26">
      <c r="A286" s="703" t="s">
        <v>6927</v>
      </c>
      <c r="B286" s="13"/>
      <c r="C286" s="13"/>
      <c r="D286" s="13"/>
      <c r="E286" s="13"/>
      <c r="F286" s="13"/>
      <c r="G286" s="13"/>
      <c r="H286" s="13"/>
      <c r="I286" s="13"/>
      <c r="J286" s="13">
        <f>'F-09 EP'!J274+'F-09 MGP'!J286+'F-09 FAP'!J286</f>
        <v>35</v>
      </c>
      <c r="K286" s="13">
        <f>SUM(B286:J286)</f>
        <v>35</v>
      </c>
      <c r="L286" s="472">
        <f>'F-09 EP'!L274+'F-09 MGP'!L286+'F-09 FAP'!L286</f>
        <v>91313.299024940949</v>
      </c>
      <c r="M286" s="13"/>
      <c r="N286" s="13"/>
      <c r="O286" s="13"/>
      <c r="P286" s="13"/>
      <c r="Q286" s="13"/>
      <c r="R286" s="13"/>
      <c r="S286" s="13"/>
      <c r="T286" s="13"/>
      <c r="U286" s="13">
        <f>'F-09 EP'!U274+'F-09 MGP'!U286+'F-09 FAP'!U286</f>
        <v>0</v>
      </c>
      <c r="V286" s="13">
        <f>SUM(M286:U286)</f>
        <v>0</v>
      </c>
      <c r="W286" s="472">
        <f>'F-09 EP'!W274+'F-09 MGP'!W286+'F-09 FAP'!W286</f>
        <v>0</v>
      </c>
      <c r="Z286" s="68"/>
    </row>
    <row r="287" spans="1:26" ht="24" hidden="1">
      <c r="A287" s="705" t="s">
        <v>6926</v>
      </c>
      <c r="B287" s="484"/>
      <c r="C287" s="484"/>
      <c r="D287" s="484"/>
      <c r="E287" s="484"/>
      <c r="F287" s="484"/>
      <c r="G287" s="484"/>
      <c r="H287" s="484"/>
      <c r="I287" s="484"/>
      <c r="J287" s="484">
        <f t="shared" ref="J287:W287" si="77">SUM(J288:J289)</f>
        <v>0</v>
      </c>
      <c r="K287" s="484">
        <f t="shared" si="77"/>
        <v>0</v>
      </c>
      <c r="L287" s="485">
        <f t="shared" si="77"/>
        <v>0</v>
      </c>
      <c r="M287" s="484">
        <f t="shared" si="77"/>
        <v>0</v>
      </c>
      <c r="N287" s="484">
        <f t="shared" si="77"/>
        <v>0</v>
      </c>
      <c r="O287" s="484">
        <f t="shared" si="77"/>
        <v>0</v>
      </c>
      <c r="P287" s="484">
        <f t="shared" si="77"/>
        <v>0</v>
      </c>
      <c r="Q287" s="484">
        <f t="shared" si="77"/>
        <v>0</v>
      </c>
      <c r="R287" s="484">
        <f t="shared" si="77"/>
        <v>0</v>
      </c>
      <c r="S287" s="484">
        <f t="shared" si="77"/>
        <v>0</v>
      </c>
      <c r="T287" s="484">
        <f t="shared" si="77"/>
        <v>0</v>
      </c>
      <c r="U287" s="484">
        <f t="shared" si="77"/>
        <v>0</v>
      </c>
      <c r="V287" s="484">
        <f t="shared" si="77"/>
        <v>0</v>
      </c>
      <c r="W287" s="485">
        <f t="shared" si="77"/>
        <v>0</v>
      </c>
      <c r="Z287" s="68"/>
    </row>
    <row r="288" spans="1:26" hidden="1">
      <c r="A288" s="703" t="s">
        <v>6923</v>
      </c>
      <c r="B288" s="13"/>
      <c r="C288" s="13"/>
      <c r="D288" s="13"/>
      <c r="E288" s="13"/>
      <c r="F288" s="13"/>
      <c r="G288" s="13"/>
      <c r="H288" s="13"/>
      <c r="I288" s="13"/>
      <c r="J288" s="13">
        <f>'F-09 EP'!J276+'F-09 MGP'!J288+'F-09 FAP'!J288</f>
        <v>0</v>
      </c>
      <c r="K288" s="13">
        <f>SUM(B288:J288)</f>
        <v>0</v>
      </c>
      <c r="L288" s="472">
        <f>'F-09 EP'!L276+'F-09 MGP'!L288+'F-09 FAP'!L288</f>
        <v>0</v>
      </c>
      <c r="M288" s="13"/>
      <c r="N288" s="13"/>
      <c r="O288" s="13"/>
      <c r="P288" s="13"/>
      <c r="Q288" s="13"/>
      <c r="R288" s="13"/>
      <c r="S288" s="13"/>
      <c r="T288" s="13"/>
      <c r="U288" s="13"/>
      <c r="V288" s="13">
        <f>SUM(M288:U288)</f>
        <v>0</v>
      </c>
      <c r="W288" s="472">
        <f>'F-09 EP'!W276+'F-09 MGP'!W288+'F-09 FAP'!W288</f>
        <v>0</v>
      </c>
      <c r="Z288" s="68"/>
    </row>
    <row r="289" spans="1:26" hidden="1">
      <c r="A289" s="703" t="s">
        <v>6925</v>
      </c>
      <c r="B289" s="13"/>
      <c r="C289" s="13"/>
      <c r="D289" s="13"/>
      <c r="E289" s="13"/>
      <c r="F289" s="13"/>
      <c r="G289" s="13"/>
      <c r="H289" s="13"/>
      <c r="I289" s="13"/>
      <c r="J289" s="13">
        <f>'F-09 EP'!J277+'F-09 MGP'!J289+'F-09 FAP'!J289</f>
        <v>0</v>
      </c>
      <c r="K289" s="13">
        <f>SUM(B289:J289)</f>
        <v>0</v>
      </c>
      <c r="L289" s="472">
        <f>'F-09 EP'!L277+'F-09 MGP'!L289+'F-09 FAP'!L289</f>
        <v>0</v>
      </c>
      <c r="M289" s="13"/>
      <c r="N289" s="13"/>
      <c r="O289" s="13"/>
      <c r="P289" s="13"/>
      <c r="Q289" s="13"/>
      <c r="R289" s="13"/>
      <c r="S289" s="13"/>
      <c r="T289" s="13"/>
      <c r="U289" s="13"/>
      <c r="V289" s="13">
        <f>SUM(M289:U289)</f>
        <v>0</v>
      </c>
      <c r="W289" s="472">
        <f>'F-09 EP'!W277+'F-09 MGP'!W289+'F-09 FAP'!W289</f>
        <v>0</v>
      </c>
      <c r="Z289" s="68"/>
    </row>
    <row r="290" spans="1:26" ht="24" hidden="1">
      <c r="A290" s="705" t="s">
        <v>6924</v>
      </c>
      <c r="B290" s="484"/>
      <c r="C290" s="484"/>
      <c r="D290" s="484"/>
      <c r="E290" s="484"/>
      <c r="F290" s="484"/>
      <c r="G290" s="484"/>
      <c r="H290" s="484"/>
      <c r="I290" s="484"/>
      <c r="J290" s="484">
        <f>J291</f>
        <v>0</v>
      </c>
      <c r="K290" s="484"/>
      <c r="L290" s="485"/>
      <c r="M290" s="484"/>
      <c r="N290" s="484"/>
      <c r="O290" s="484"/>
      <c r="P290" s="484"/>
      <c r="Q290" s="484"/>
      <c r="R290" s="484"/>
      <c r="S290" s="484"/>
      <c r="T290" s="484"/>
      <c r="U290" s="484">
        <f>U291</f>
        <v>0</v>
      </c>
      <c r="V290" s="484">
        <f>V291</f>
        <v>0</v>
      </c>
      <c r="W290" s="485">
        <f>W291</f>
        <v>0</v>
      </c>
      <c r="Z290" s="68"/>
    </row>
    <row r="291" spans="1:26" hidden="1">
      <c r="A291" s="703" t="s">
        <v>6923</v>
      </c>
      <c r="B291" s="13"/>
      <c r="C291" s="13"/>
      <c r="D291" s="13"/>
      <c r="E291" s="13"/>
      <c r="F291" s="13"/>
      <c r="G291" s="13"/>
      <c r="H291" s="13"/>
      <c r="I291" s="13"/>
      <c r="J291" s="13">
        <v>0</v>
      </c>
      <c r="K291" s="13">
        <f>SUM(B291:J291)</f>
        <v>0</v>
      </c>
      <c r="L291" s="472"/>
      <c r="M291" s="13"/>
      <c r="N291" s="13"/>
      <c r="O291" s="13"/>
      <c r="P291" s="13"/>
      <c r="Q291" s="13"/>
      <c r="R291" s="13"/>
      <c r="S291" s="13"/>
      <c r="T291" s="13"/>
      <c r="U291" s="13"/>
      <c r="V291" s="13">
        <f>SUM(M291:U291)</f>
        <v>0</v>
      </c>
      <c r="W291" s="472"/>
      <c r="Z291" s="68"/>
    </row>
    <row r="292" spans="1:26">
      <c r="A292" s="704" t="s">
        <v>24</v>
      </c>
      <c r="B292" s="482"/>
      <c r="C292" s="482"/>
      <c r="D292" s="482"/>
      <c r="E292" s="482"/>
      <c r="F292" s="482"/>
      <c r="G292" s="482"/>
      <c r="H292" s="482"/>
      <c r="I292" s="482">
        <f>I293+I299+I303</f>
        <v>225</v>
      </c>
      <c r="J292" s="482">
        <f>J293+J299+J303</f>
        <v>5753</v>
      </c>
      <c r="K292" s="482">
        <f>K293+K299+K303</f>
        <v>5978</v>
      </c>
      <c r="L292" s="474">
        <f>L293+L299+L303</f>
        <v>15741206.337599998</v>
      </c>
      <c r="M292" s="482">
        <f t="shared" ref="M292:S292" si="78">M293+M299</f>
        <v>0</v>
      </c>
      <c r="N292" s="482">
        <f t="shared" si="78"/>
        <v>0</v>
      </c>
      <c r="O292" s="482">
        <f t="shared" si="78"/>
        <v>0</v>
      </c>
      <c r="P292" s="482">
        <f t="shared" si="78"/>
        <v>0</v>
      </c>
      <c r="Q292" s="482">
        <f t="shared" si="78"/>
        <v>0</v>
      </c>
      <c r="R292" s="482">
        <f t="shared" si="78"/>
        <v>0</v>
      </c>
      <c r="S292" s="482">
        <f t="shared" si="78"/>
        <v>0</v>
      </c>
      <c r="T292" s="482">
        <f>T293+T299+T303</f>
        <v>233</v>
      </c>
      <c r="U292" s="482">
        <f>U293+U299+U303</f>
        <v>4866</v>
      </c>
      <c r="V292" s="482">
        <f>V293+V299+V303</f>
        <v>5099</v>
      </c>
      <c r="W292" s="474">
        <f>W293+W299+W303</f>
        <v>12836372.039999999</v>
      </c>
      <c r="Z292" s="68"/>
    </row>
    <row r="293" spans="1:26">
      <c r="A293" s="705" t="s">
        <v>6922</v>
      </c>
      <c r="B293" s="484"/>
      <c r="C293" s="484"/>
      <c r="D293" s="484"/>
      <c r="E293" s="484"/>
      <c r="F293" s="484"/>
      <c r="G293" s="484"/>
      <c r="H293" s="484"/>
      <c r="I293" s="484">
        <f t="shared" ref="I293:W293" si="79">SUM(I294:I298)</f>
        <v>0</v>
      </c>
      <c r="J293" s="484">
        <f t="shared" si="79"/>
        <v>2455</v>
      </c>
      <c r="K293" s="484">
        <f t="shared" si="79"/>
        <v>2455</v>
      </c>
      <c r="L293" s="485">
        <f t="shared" si="79"/>
        <v>6242658.9695999995</v>
      </c>
      <c r="M293" s="484">
        <f t="shared" si="79"/>
        <v>0</v>
      </c>
      <c r="N293" s="484">
        <f t="shared" si="79"/>
        <v>0</v>
      </c>
      <c r="O293" s="484">
        <f t="shared" si="79"/>
        <v>0</v>
      </c>
      <c r="P293" s="484">
        <f t="shared" si="79"/>
        <v>0</v>
      </c>
      <c r="Q293" s="484">
        <f t="shared" si="79"/>
        <v>0</v>
      </c>
      <c r="R293" s="484">
        <f t="shared" si="79"/>
        <v>0</v>
      </c>
      <c r="S293" s="484">
        <f t="shared" si="79"/>
        <v>0</v>
      </c>
      <c r="T293" s="484">
        <f t="shared" si="79"/>
        <v>0</v>
      </c>
      <c r="U293" s="484">
        <f t="shared" si="79"/>
        <v>2285</v>
      </c>
      <c r="V293" s="484">
        <f t="shared" si="79"/>
        <v>2285</v>
      </c>
      <c r="W293" s="485">
        <f t="shared" si="79"/>
        <v>5624181.4400000004</v>
      </c>
      <c r="Z293" s="68"/>
    </row>
    <row r="294" spans="1:26">
      <c r="A294" s="703" t="s">
        <v>6921</v>
      </c>
      <c r="B294" s="13"/>
      <c r="C294" s="13"/>
      <c r="D294" s="13"/>
      <c r="E294" s="13"/>
      <c r="F294" s="13"/>
      <c r="G294" s="13"/>
      <c r="H294" s="13"/>
      <c r="I294" s="13"/>
      <c r="J294" s="13">
        <f>'F-09 EP'!J282+'F-09 MGP'!J294+'F-09 FAP'!J294</f>
        <v>478</v>
      </c>
      <c r="K294" s="13">
        <f>SUM(B294:J294)</f>
        <v>478</v>
      </c>
      <c r="L294" s="472">
        <f>'F-09 EP'!L282+'F-09 MGP'!L294+'F-09 FAP'!L294</f>
        <v>1911793.6800000002</v>
      </c>
      <c r="M294" s="13"/>
      <c r="N294" s="13"/>
      <c r="O294" s="13"/>
      <c r="P294" s="13"/>
      <c r="Q294" s="13"/>
      <c r="R294" s="13"/>
      <c r="S294" s="13"/>
      <c r="T294" s="13"/>
      <c r="U294" s="13">
        <f>'F-09 EP'!U282+'F-09 MGP'!U294+'F-09 FAP'!U294</f>
        <v>370</v>
      </c>
      <c r="V294" s="13">
        <f>SUM(M294:U294)</f>
        <v>370</v>
      </c>
      <c r="W294" s="472">
        <f>'F-09 EP'!W282+'F-09 MGP'!W294+'F-09 FAP'!W294</f>
        <v>1467864</v>
      </c>
      <c r="Z294" s="68"/>
    </row>
    <row r="295" spans="1:26">
      <c r="A295" s="703" t="s">
        <v>6920</v>
      </c>
      <c r="B295" s="13"/>
      <c r="C295" s="13"/>
      <c r="D295" s="13"/>
      <c r="E295" s="13"/>
      <c r="F295" s="13"/>
      <c r="G295" s="13"/>
      <c r="H295" s="13"/>
      <c r="I295" s="13"/>
      <c r="J295" s="13">
        <f>'F-09 EP'!J283+'F-09 MGP'!J295+'F-09 FAP'!J295</f>
        <v>426</v>
      </c>
      <c r="K295" s="13">
        <f>SUM(B295:J295)</f>
        <v>426</v>
      </c>
      <c r="L295" s="472">
        <f>'F-09 EP'!L283+'F-09 MGP'!L295+'F-09 FAP'!L295</f>
        <v>1134460.5120000001</v>
      </c>
      <c r="M295" s="13"/>
      <c r="N295" s="13"/>
      <c r="O295" s="13"/>
      <c r="P295" s="13"/>
      <c r="Q295" s="13"/>
      <c r="R295" s="13"/>
      <c r="S295" s="13"/>
      <c r="T295" s="13"/>
      <c r="U295" s="13">
        <f>'F-09 EP'!U283+'F-09 MGP'!U295+'F-09 FAP'!U295</f>
        <v>431</v>
      </c>
      <c r="V295" s="13">
        <f>SUM(M295:U295)</f>
        <v>431</v>
      </c>
      <c r="W295" s="472">
        <f>'F-09 EP'!W283+'F-09 MGP'!W295+'F-09 FAP'!W295</f>
        <v>1140110.7200000002</v>
      </c>
      <c r="Z295" s="68"/>
    </row>
    <row r="296" spans="1:26">
      <c r="A296" s="703" t="s">
        <v>6919</v>
      </c>
      <c r="B296" s="13"/>
      <c r="C296" s="13"/>
      <c r="D296" s="13"/>
      <c r="E296" s="13"/>
      <c r="F296" s="13"/>
      <c r="G296" s="13"/>
      <c r="H296" s="13"/>
      <c r="I296" s="13"/>
      <c r="J296" s="13">
        <f>'F-09 EP'!J284+'F-09 MGP'!J296+'F-09 FAP'!J296</f>
        <v>449</v>
      </c>
      <c r="K296" s="13">
        <f>SUM(B296:J296)</f>
        <v>449</v>
      </c>
      <c r="L296" s="472">
        <f>'F-09 EP'!L284+'F-09 MGP'!L296+'F-09 FAP'!L296</f>
        <v>1077761.2896</v>
      </c>
      <c r="M296" s="13"/>
      <c r="N296" s="13"/>
      <c r="O296" s="13"/>
      <c r="P296" s="13"/>
      <c r="Q296" s="13"/>
      <c r="R296" s="13"/>
      <c r="S296" s="13"/>
      <c r="T296" s="13"/>
      <c r="U296" s="13">
        <f>'F-09 EP'!U284+'F-09 MGP'!U296+'F-09 FAP'!U296</f>
        <v>424</v>
      </c>
      <c r="V296" s="13">
        <f>SUM(M296:U296)</f>
        <v>424</v>
      </c>
      <c r="W296" s="472">
        <f>'F-09 EP'!W284+'F-09 MGP'!W296+'F-09 FAP'!W296</f>
        <v>1009457.6000000001</v>
      </c>
      <c r="Z296" s="68"/>
    </row>
    <row r="297" spans="1:26">
      <c r="A297" s="703" t="s">
        <v>6918</v>
      </c>
      <c r="B297" s="13"/>
      <c r="C297" s="13"/>
      <c r="D297" s="13"/>
      <c r="E297" s="13"/>
      <c r="F297" s="13"/>
      <c r="G297" s="13"/>
      <c r="H297" s="13"/>
      <c r="I297" s="13"/>
      <c r="J297" s="13">
        <f>'F-09 EP'!J285+'F-09 MGP'!J297+'F-09 FAP'!J297</f>
        <v>517</v>
      </c>
      <c r="K297" s="13">
        <f>SUM(B297:J297)</f>
        <v>517</v>
      </c>
      <c r="L297" s="472">
        <f>'F-09 EP'!L285+'F-09 MGP'!L297+'F-09 FAP'!L297</f>
        <v>1110392.8319999999</v>
      </c>
      <c r="M297" s="13"/>
      <c r="N297" s="13"/>
      <c r="O297" s="13"/>
      <c r="P297" s="13"/>
      <c r="Q297" s="13"/>
      <c r="R297" s="13"/>
      <c r="S297" s="13"/>
      <c r="T297" s="13"/>
      <c r="U297" s="13">
        <f>'F-09 EP'!U285+'F-09 MGP'!U297+'F-09 FAP'!U297</f>
        <v>516</v>
      </c>
      <c r="V297" s="13">
        <f>SUM(M297:U297)</f>
        <v>516</v>
      </c>
      <c r="W297" s="472">
        <f>'F-09 EP'!W285+'F-09 MGP'!W297+'F-09 FAP'!W297</f>
        <v>1091975.3600000001</v>
      </c>
      <c r="Z297" s="68"/>
    </row>
    <row r="298" spans="1:26">
      <c r="A298" s="703" t="s">
        <v>6917</v>
      </c>
      <c r="B298" s="13"/>
      <c r="C298" s="13"/>
      <c r="D298" s="13"/>
      <c r="E298" s="13"/>
      <c r="F298" s="13"/>
      <c r="G298" s="13"/>
      <c r="H298" s="13"/>
      <c r="I298" s="13"/>
      <c r="J298" s="13">
        <f>'F-09 EP'!J286+'F-09 MGP'!J298+'F-09 FAP'!J298</f>
        <v>585</v>
      </c>
      <c r="K298" s="13">
        <f>SUM(B298:J298)</f>
        <v>585</v>
      </c>
      <c r="L298" s="472">
        <f>'F-09 EP'!L286+'F-09 MGP'!L298+'F-09 FAP'!L298</f>
        <v>1008250.656</v>
      </c>
      <c r="M298" s="13"/>
      <c r="N298" s="13"/>
      <c r="O298" s="13"/>
      <c r="P298" s="13"/>
      <c r="Q298" s="13"/>
      <c r="R298" s="13"/>
      <c r="S298" s="13"/>
      <c r="T298" s="13"/>
      <c r="U298" s="13">
        <f>'F-09 EP'!U286+'F-09 MGP'!U298+'F-09 FAP'!U298</f>
        <v>544</v>
      </c>
      <c r="V298" s="13">
        <f>SUM(M298:U298)</f>
        <v>544</v>
      </c>
      <c r="W298" s="472">
        <f>'F-09 EP'!W286+'F-09 MGP'!W298+'F-09 FAP'!W298</f>
        <v>914773.76</v>
      </c>
      <c r="Z298" s="68"/>
    </row>
    <row r="299" spans="1:26">
      <c r="A299" s="705" t="s">
        <v>6916</v>
      </c>
      <c r="B299" s="484"/>
      <c r="C299" s="484"/>
      <c r="D299" s="484"/>
      <c r="E299" s="484"/>
      <c r="F299" s="484"/>
      <c r="G299" s="484"/>
      <c r="H299" s="484"/>
      <c r="I299" s="484"/>
      <c r="J299" s="484">
        <f t="shared" ref="J299:W299" si="80">SUM(J300:J302)</f>
        <v>3298</v>
      </c>
      <c r="K299" s="484">
        <f t="shared" si="80"/>
        <v>3298</v>
      </c>
      <c r="L299" s="485">
        <f t="shared" si="80"/>
        <v>8587947.3679999989</v>
      </c>
      <c r="M299" s="484">
        <f t="shared" si="80"/>
        <v>0</v>
      </c>
      <c r="N299" s="484">
        <f t="shared" si="80"/>
        <v>0</v>
      </c>
      <c r="O299" s="484">
        <f t="shared" si="80"/>
        <v>0</v>
      </c>
      <c r="P299" s="484">
        <f t="shared" si="80"/>
        <v>0</v>
      </c>
      <c r="Q299" s="484">
        <f t="shared" si="80"/>
        <v>0</v>
      </c>
      <c r="R299" s="484">
        <f t="shared" si="80"/>
        <v>0</v>
      </c>
      <c r="S299" s="484">
        <f t="shared" si="80"/>
        <v>0</v>
      </c>
      <c r="T299" s="484">
        <f t="shared" si="80"/>
        <v>0</v>
      </c>
      <c r="U299" s="484">
        <f t="shared" si="80"/>
        <v>2581</v>
      </c>
      <c r="V299" s="484">
        <f t="shared" si="80"/>
        <v>2581</v>
      </c>
      <c r="W299" s="485">
        <f t="shared" si="80"/>
        <v>6299190.5999999996</v>
      </c>
      <c r="Z299" s="68"/>
    </row>
    <row r="300" spans="1:26">
      <c r="A300" s="703" t="s">
        <v>6915</v>
      </c>
      <c r="B300" s="13"/>
      <c r="C300" s="13"/>
      <c r="D300" s="13"/>
      <c r="E300" s="13"/>
      <c r="F300" s="13"/>
      <c r="G300" s="13"/>
      <c r="H300" s="13"/>
      <c r="I300" s="13"/>
      <c r="J300" s="13">
        <f>'F-09 EP'!J288+'F-09 MGP'!J300+'F-09 FAP'!J300</f>
        <v>1126</v>
      </c>
      <c r="K300" s="13">
        <f>SUM(B300:J300)</f>
        <v>1126</v>
      </c>
      <c r="L300" s="472">
        <f>'F-09 EP'!L288+'F-09 MGP'!L300+'F-09 FAP'!L300</f>
        <v>4208573.9279999994</v>
      </c>
      <c r="M300" s="13"/>
      <c r="N300" s="13"/>
      <c r="O300" s="13"/>
      <c r="P300" s="13"/>
      <c r="Q300" s="13"/>
      <c r="R300" s="13"/>
      <c r="S300" s="13"/>
      <c r="T300" s="13"/>
      <c r="U300" s="13">
        <f>'F-09 EP'!U288+'F-09 MGP'!U300+'F-09 FAP'!U300</f>
        <v>739</v>
      </c>
      <c r="V300" s="13">
        <f>SUM(M300:U300)</f>
        <v>739</v>
      </c>
      <c r="W300" s="472">
        <f>'F-09 EP'!W288+'F-09 MGP'!W300+'F-09 FAP'!W300</f>
        <v>2628428.1399999997</v>
      </c>
      <c r="Z300" s="68"/>
    </row>
    <row r="301" spans="1:26">
      <c r="A301" s="703" t="s">
        <v>6914</v>
      </c>
      <c r="B301" s="13"/>
      <c r="C301" s="13"/>
      <c r="D301" s="13"/>
      <c r="E301" s="13"/>
      <c r="F301" s="13"/>
      <c r="G301" s="13"/>
      <c r="H301" s="13"/>
      <c r="I301" s="13"/>
      <c r="J301" s="13">
        <f>'F-09 EP'!J289+'F-09 MGP'!J301+'F-09 FAP'!J301</f>
        <v>1019</v>
      </c>
      <c r="K301" s="13">
        <f>SUM(B301:J301)</f>
        <v>1019</v>
      </c>
      <c r="L301" s="472">
        <f>'F-09 EP'!L289+'F-09 MGP'!L301+'F-09 FAP'!L301</f>
        <v>2444707.2000000002</v>
      </c>
      <c r="M301" s="13"/>
      <c r="N301" s="13"/>
      <c r="O301" s="13"/>
      <c r="P301" s="13"/>
      <c r="Q301" s="13"/>
      <c r="R301" s="13"/>
      <c r="S301" s="13"/>
      <c r="T301" s="13"/>
      <c r="U301" s="13">
        <f>'F-09 EP'!U289+'F-09 MGP'!U301+'F-09 FAP'!U301</f>
        <v>921</v>
      </c>
      <c r="V301" s="13">
        <f>SUM(M301:U301)</f>
        <v>921</v>
      </c>
      <c r="W301" s="472">
        <f>'F-09 EP'!W289+'F-09 MGP'!W301+'F-09 FAP'!W301</f>
        <v>2183828.1399999997</v>
      </c>
      <c r="Z301" s="68"/>
    </row>
    <row r="302" spans="1:26">
      <c r="A302" s="703" t="s">
        <v>6913</v>
      </c>
      <c r="B302" s="13"/>
      <c r="C302" s="13"/>
      <c r="D302" s="13"/>
      <c r="E302" s="13"/>
      <c r="F302" s="13"/>
      <c r="G302" s="13"/>
      <c r="H302" s="13"/>
      <c r="I302" s="13"/>
      <c r="J302" s="13">
        <f>'F-09 EP'!J290+'F-09 MGP'!J302+'F-09 FAP'!J302</f>
        <v>1153</v>
      </c>
      <c r="K302" s="13">
        <f>SUM(B302:J302)</f>
        <v>1153</v>
      </c>
      <c r="L302" s="472">
        <f>'F-09 EP'!L290+'F-09 MGP'!L302+'F-09 FAP'!L302</f>
        <v>1934666.24</v>
      </c>
      <c r="M302" s="13"/>
      <c r="N302" s="13"/>
      <c r="O302" s="13"/>
      <c r="P302" s="13"/>
      <c r="Q302" s="13"/>
      <c r="R302" s="13"/>
      <c r="S302" s="13"/>
      <c r="T302" s="13"/>
      <c r="U302" s="13">
        <f>'F-09 EP'!U290+'F-09 MGP'!U302+'F-09 FAP'!U302</f>
        <v>921</v>
      </c>
      <c r="V302" s="13">
        <f>SUM(M302:U302)</f>
        <v>921</v>
      </c>
      <c r="W302" s="472">
        <f>'F-09 EP'!W290+'F-09 MGP'!W302+'F-09 FAP'!W302</f>
        <v>1486934.3199999998</v>
      </c>
      <c r="Z302" s="68"/>
    </row>
    <row r="303" spans="1:26">
      <c r="A303" s="705" t="s">
        <v>6912</v>
      </c>
      <c r="B303" s="484">
        <f t="shared" ref="B303:W303" si="81">SUM(B304:B305)</f>
        <v>0</v>
      </c>
      <c r="C303" s="484">
        <f t="shared" si="81"/>
        <v>0</v>
      </c>
      <c r="D303" s="484">
        <f t="shared" si="81"/>
        <v>0</v>
      </c>
      <c r="E303" s="484">
        <f t="shared" si="81"/>
        <v>0</v>
      </c>
      <c r="F303" s="484">
        <f t="shared" si="81"/>
        <v>0</v>
      </c>
      <c r="G303" s="484">
        <f t="shared" si="81"/>
        <v>0</v>
      </c>
      <c r="H303" s="484">
        <f t="shared" si="81"/>
        <v>0</v>
      </c>
      <c r="I303" s="484">
        <f t="shared" si="81"/>
        <v>225</v>
      </c>
      <c r="J303" s="484">
        <f t="shared" si="81"/>
        <v>0</v>
      </c>
      <c r="K303" s="484">
        <f t="shared" si="81"/>
        <v>225</v>
      </c>
      <c r="L303" s="485">
        <f t="shared" si="81"/>
        <v>910600</v>
      </c>
      <c r="M303" s="484">
        <f t="shared" si="81"/>
        <v>0</v>
      </c>
      <c r="N303" s="484">
        <f t="shared" si="81"/>
        <v>0</v>
      </c>
      <c r="O303" s="484">
        <f t="shared" si="81"/>
        <v>0</v>
      </c>
      <c r="P303" s="484">
        <f t="shared" si="81"/>
        <v>0</v>
      </c>
      <c r="Q303" s="484">
        <f t="shared" si="81"/>
        <v>0</v>
      </c>
      <c r="R303" s="484">
        <f t="shared" si="81"/>
        <v>0</v>
      </c>
      <c r="S303" s="484">
        <f t="shared" si="81"/>
        <v>0</v>
      </c>
      <c r="T303" s="484">
        <f t="shared" si="81"/>
        <v>233</v>
      </c>
      <c r="U303" s="484">
        <f t="shared" si="81"/>
        <v>0</v>
      </c>
      <c r="V303" s="484">
        <f t="shared" si="81"/>
        <v>233</v>
      </c>
      <c r="W303" s="485">
        <f t="shared" si="81"/>
        <v>913000</v>
      </c>
      <c r="Z303" s="68"/>
    </row>
    <row r="304" spans="1:26">
      <c r="A304" s="703" t="s">
        <v>6911</v>
      </c>
      <c r="B304" s="13"/>
      <c r="C304" s="13"/>
      <c r="D304" s="13"/>
      <c r="E304" s="13"/>
      <c r="F304" s="13"/>
      <c r="G304" s="13"/>
      <c r="H304" s="13"/>
      <c r="I304" s="13">
        <f>'F-09 EP'!I292+'F-09 MGP'!I304+'F-09 FAP'!I304</f>
        <v>103</v>
      </c>
      <c r="J304" s="13">
        <f>'F-09 EP'!J292+'F-09 MGP'!J304+'F-09 FAP'!J304</f>
        <v>0</v>
      </c>
      <c r="K304" s="13">
        <f>SUM(B304:J304)</f>
        <v>103</v>
      </c>
      <c r="L304" s="472">
        <f>'F-09 EP'!L292+'F-09 MGP'!L304+'F-09 FAP'!L304</f>
        <v>260600</v>
      </c>
      <c r="M304" s="13"/>
      <c r="N304" s="13"/>
      <c r="O304" s="13"/>
      <c r="P304" s="13"/>
      <c r="Q304" s="13"/>
      <c r="R304" s="13"/>
      <c r="S304" s="13"/>
      <c r="T304" s="13">
        <f>'F-09 EP'!T292+'F-09 MGP'!T304+'F-09 FAP'!T304</f>
        <v>111</v>
      </c>
      <c r="U304" s="13">
        <f>'F-09 EP'!U292+'F-09 MGP'!U304+'F-09 FAP'!U304</f>
        <v>0</v>
      </c>
      <c r="V304" s="13">
        <f>SUM(M304:U304)</f>
        <v>111</v>
      </c>
      <c r="W304" s="472">
        <f>'F-09 EP'!W292+'F-09 MGP'!W304+'F-09 FAP'!W304</f>
        <v>247800</v>
      </c>
      <c r="Z304" s="68"/>
    </row>
    <row r="305" spans="1:26">
      <c r="A305" s="703" t="s">
        <v>6910</v>
      </c>
      <c r="B305" s="13"/>
      <c r="C305" s="13"/>
      <c r="D305" s="13"/>
      <c r="E305" s="13"/>
      <c r="F305" s="13"/>
      <c r="G305" s="13"/>
      <c r="H305" s="13"/>
      <c r="I305" s="13">
        <f>'F-09 EP'!I293+'F-09 MGP'!I305+'F-09 FAP'!I305</f>
        <v>122</v>
      </c>
      <c r="J305" s="13">
        <f>'F-09 EP'!J293+'F-09 MGP'!J305+'F-09 FAP'!J305</f>
        <v>0</v>
      </c>
      <c r="K305" s="13">
        <f>SUM(B305:J305)</f>
        <v>122</v>
      </c>
      <c r="L305" s="472">
        <f>'F-09 EP'!L293+'F-09 MGP'!L305+'F-09 FAP'!L305</f>
        <v>650000</v>
      </c>
      <c r="M305" s="13"/>
      <c r="N305" s="13"/>
      <c r="O305" s="13"/>
      <c r="P305" s="13"/>
      <c r="Q305" s="13"/>
      <c r="R305" s="13"/>
      <c r="S305" s="13"/>
      <c r="T305" s="13">
        <f>'F-09 EP'!T293+'F-09 MGP'!T305+'F-09 FAP'!T305</f>
        <v>122</v>
      </c>
      <c r="U305" s="13">
        <f>'F-09 EP'!U293+'F-09 MGP'!U305+'F-09 FAP'!U305</f>
        <v>0</v>
      </c>
      <c r="V305" s="13">
        <f>SUM(M305:U305)</f>
        <v>122</v>
      </c>
      <c r="W305" s="472">
        <f>'F-09 EP'!W293+'F-09 MGP'!W305+'F-09 FAP'!W305</f>
        <v>665200</v>
      </c>
      <c r="Z305" s="68"/>
    </row>
    <row r="306" spans="1:26" ht="24">
      <c r="A306" s="704" t="s">
        <v>6909</v>
      </c>
      <c r="B306" s="482"/>
      <c r="C306" s="482"/>
      <c r="D306" s="482">
        <f t="shared" ref="D306:W306" si="82">SUM(D307:D309)</f>
        <v>1130</v>
      </c>
      <c r="E306" s="482">
        <f t="shared" si="82"/>
        <v>0</v>
      </c>
      <c r="F306" s="482">
        <f t="shared" si="82"/>
        <v>0</v>
      </c>
      <c r="G306" s="482">
        <f t="shared" si="82"/>
        <v>0</v>
      </c>
      <c r="H306" s="482">
        <f t="shared" si="82"/>
        <v>0</v>
      </c>
      <c r="I306" s="482">
        <f t="shared" si="82"/>
        <v>0</v>
      </c>
      <c r="J306" s="482">
        <f t="shared" si="82"/>
        <v>0</v>
      </c>
      <c r="K306" s="482">
        <f t="shared" si="82"/>
        <v>1130</v>
      </c>
      <c r="L306" s="474">
        <f t="shared" si="82"/>
        <v>56982918.080000013</v>
      </c>
      <c r="M306" s="482">
        <f t="shared" si="82"/>
        <v>0</v>
      </c>
      <c r="N306" s="482">
        <f t="shared" si="82"/>
        <v>0</v>
      </c>
      <c r="O306" s="482">
        <f t="shared" si="82"/>
        <v>1055</v>
      </c>
      <c r="P306" s="482">
        <f t="shared" si="82"/>
        <v>0</v>
      </c>
      <c r="Q306" s="482">
        <f t="shared" si="82"/>
        <v>0</v>
      </c>
      <c r="R306" s="482">
        <f t="shared" si="82"/>
        <v>0</v>
      </c>
      <c r="S306" s="482">
        <f t="shared" si="82"/>
        <v>0</v>
      </c>
      <c r="T306" s="482">
        <f t="shared" si="82"/>
        <v>0</v>
      </c>
      <c r="U306" s="482">
        <f t="shared" si="82"/>
        <v>0</v>
      </c>
      <c r="V306" s="482">
        <f t="shared" si="82"/>
        <v>1055</v>
      </c>
      <c r="W306" s="474">
        <f t="shared" si="82"/>
        <v>46858757.480000004</v>
      </c>
      <c r="Y306" s="490"/>
      <c r="Z306" s="68"/>
    </row>
    <row r="307" spans="1:26" ht="24">
      <c r="A307" s="703" t="s">
        <v>6908</v>
      </c>
      <c r="B307" s="13"/>
      <c r="C307" s="13"/>
      <c r="D307" s="13">
        <f>'F-09 OGA'!D49+'F-09 CCFFAA'!D51+'F-09 EP'!D295+'F-09 MGP'!D307+'F-09 FAP'!D307+'F-09 CONIDA'!D51+'F-09 ENAMM'!D59+'F-09 OPREFA'!D43</f>
        <v>846</v>
      </c>
      <c r="E307" s="13"/>
      <c r="F307" s="13"/>
      <c r="G307" s="13"/>
      <c r="H307" s="13"/>
      <c r="I307" s="13"/>
      <c r="J307" s="13"/>
      <c r="K307" s="13">
        <f>SUM(B307:J307)</f>
        <v>846</v>
      </c>
      <c r="L307" s="472">
        <f>'F-09 OGA'!L49+'F-09 CCFFAA'!L51+'F-09 EP'!L295+'F-09 MGP'!L307+'F-09 FAP'!L307+'F-09 CONIDA'!L51+'F-09 ENAMM'!L59+'F-09 OPREFA'!L43</f>
        <v>47218024.926315799</v>
      </c>
      <c r="M307" s="13"/>
      <c r="N307" s="13"/>
      <c r="O307" s="13">
        <f>'F-09 OGA'!O49+'F-09 CCFFAA'!O51+'F-09 EP'!O295+'F-09 MGP'!O307+'F-09 FAP'!O307+'F-09 CONIDA'!O51+'F-09 ENAMM'!O59+'F-09 OPREFA'!O43</f>
        <v>801</v>
      </c>
      <c r="P307" s="13"/>
      <c r="Q307" s="13"/>
      <c r="R307" s="13"/>
      <c r="S307" s="13"/>
      <c r="T307" s="13"/>
      <c r="U307" s="13"/>
      <c r="V307" s="13">
        <f>SUM(M307:U307)</f>
        <v>801</v>
      </c>
      <c r="W307" s="472">
        <f>'F-09 OGA'!W49+'F-09 CCFFAA'!W51+'F-09 EP'!W295+'F-09 MGP'!W307+'F-09 FAP'!W307+'F-09 CONIDA'!W51+'F-09 ENAMM'!W59+'F-09 OPREFA'!W43</f>
        <v>38354208.926315799</v>
      </c>
      <c r="Y307" s="489"/>
      <c r="Z307" s="68"/>
    </row>
    <row r="308" spans="1:26" ht="24">
      <c r="A308" s="703" t="s">
        <v>6907</v>
      </c>
      <c r="B308" s="13"/>
      <c r="C308" s="13"/>
      <c r="D308" s="13">
        <f>'F-09 OGA'!D50+'F-09 CCFFAA'!D52+'F-09 EP'!D296+'F-09 MGP'!D308+'F-09 FAP'!D308+'F-09 CONIDA'!D52+'F-09 ENAMM'!D60+'F-09 OPREFA'!D44</f>
        <v>167</v>
      </c>
      <c r="E308" s="13"/>
      <c r="F308" s="13"/>
      <c r="G308" s="13"/>
      <c r="H308" s="13"/>
      <c r="I308" s="13"/>
      <c r="J308" s="13"/>
      <c r="K308" s="13">
        <f>SUM(B308:J308)</f>
        <v>167</v>
      </c>
      <c r="L308" s="472">
        <f>'F-09 OGA'!L50+'F-09 CCFFAA'!L52+'F-09 EP'!L296+'F-09 MGP'!L308+'F-09 FAP'!L308+'F-09 CONIDA'!L52+'F-09 ENAMM'!L60+'F-09 OPREFA'!L44</f>
        <v>7561195.4905263204</v>
      </c>
      <c r="M308" s="13"/>
      <c r="N308" s="13"/>
      <c r="O308" s="13">
        <f>'F-09 OGA'!O50+'F-09 CCFFAA'!O52+'F-09 EP'!O296+'F-09 MGP'!O308+'F-09 FAP'!O308+'F-09 CONIDA'!O52+'F-09 ENAMM'!O60+'F-09 OPREFA'!O44</f>
        <v>170</v>
      </c>
      <c r="P308" s="13"/>
      <c r="Q308" s="13"/>
      <c r="R308" s="13"/>
      <c r="S308" s="13"/>
      <c r="T308" s="13"/>
      <c r="U308" s="13"/>
      <c r="V308" s="13">
        <f>SUM(M308:U308)</f>
        <v>170</v>
      </c>
      <c r="W308" s="472">
        <f>'F-09 OGA'!W50+'F-09 CCFFAA'!W52+'F-09 EP'!W296+'F-09 MGP'!W308+'F-09 FAP'!W308+'F-09 CONIDA'!W52+'F-09 ENAMM'!W60+'F-09 OPREFA'!W44</f>
        <v>6674031.0905263154</v>
      </c>
      <c r="Y308" s="489"/>
      <c r="Z308" s="68"/>
    </row>
    <row r="309" spans="1:26" ht="24">
      <c r="A309" s="703" t="s">
        <v>6906</v>
      </c>
      <c r="B309" s="13"/>
      <c r="C309" s="13"/>
      <c r="D309" s="13">
        <f>'F-09 OGA'!D51+'F-09 CCFFAA'!D53+'F-09 EP'!D297+'F-09 MGP'!D309+'F-09 FAP'!D309+'F-09 CONIDA'!D53+'F-09 ENAMM'!D61+'F-09 OPREFA'!D45</f>
        <v>117</v>
      </c>
      <c r="E309" s="13"/>
      <c r="F309" s="13"/>
      <c r="G309" s="13"/>
      <c r="H309" s="13"/>
      <c r="I309" s="13"/>
      <c r="J309" s="13"/>
      <c r="K309" s="13">
        <f>SUM(B309:J309)</f>
        <v>117</v>
      </c>
      <c r="L309" s="472">
        <f>'F-09 OGA'!L51+'F-09 CCFFAA'!L53+'F-09 EP'!L297+'F-09 MGP'!L309+'F-09 FAP'!L309+'F-09 CONIDA'!L53+'F-09 ENAMM'!L61+'F-09 OPREFA'!L45</f>
        <v>2203697.6631578952</v>
      </c>
      <c r="M309" s="13"/>
      <c r="N309" s="13"/>
      <c r="O309" s="13">
        <f>'F-09 OGA'!O51+'F-09 CCFFAA'!O53+'F-09 EP'!O297+'F-09 MGP'!O309+'F-09 FAP'!O309+'F-09 CONIDA'!O53+'F-09 ENAMM'!O61+'F-09 OPREFA'!O45</f>
        <v>84</v>
      </c>
      <c r="P309" s="13"/>
      <c r="Q309" s="13"/>
      <c r="R309" s="13"/>
      <c r="S309" s="13"/>
      <c r="T309" s="13"/>
      <c r="U309" s="13"/>
      <c r="V309" s="13">
        <f>SUM(M309:U309)</f>
        <v>84</v>
      </c>
      <c r="W309" s="472">
        <f>'F-09 OGA'!W51+'F-09 CCFFAA'!W53+'F-09 EP'!W297+'F-09 MGP'!W309+'F-09 FAP'!W309+'F-09 CONIDA'!W53+'F-09 ENAMM'!W61+'F-09 OPREFA'!W45</f>
        <v>1830517.4631578946</v>
      </c>
      <c r="Y309" s="489"/>
      <c r="Z309" s="68"/>
    </row>
    <row r="310" spans="1:26" hidden="1">
      <c r="A310" s="703"/>
      <c r="B310" s="13"/>
      <c r="C310" s="13"/>
      <c r="D310" s="13"/>
      <c r="E310" s="13"/>
      <c r="F310" s="13"/>
      <c r="G310" s="13"/>
      <c r="H310" s="13"/>
      <c r="I310" s="13"/>
      <c r="J310" s="13"/>
      <c r="K310" s="13"/>
      <c r="L310" s="472"/>
      <c r="M310" s="13"/>
      <c r="N310" s="13"/>
      <c r="O310" s="13"/>
      <c r="P310" s="13"/>
      <c r="Q310" s="13"/>
      <c r="R310" s="13"/>
      <c r="S310" s="13"/>
      <c r="T310" s="13"/>
      <c r="U310" s="13"/>
      <c r="V310" s="13"/>
      <c r="W310" s="472"/>
      <c r="Z310" s="68"/>
    </row>
    <row r="311" spans="1:26" ht="24" hidden="1">
      <c r="A311" s="704" t="s">
        <v>6905</v>
      </c>
      <c r="B311" s="477"/>
      <c r="C311" s="477"/>
      <c r="D311" s="477"/>
      <c r="E311" s="477"/>
      <c r="F311" s="477"/>
      <c r="G311" s="477"/>
      <c r="H311" s="477"/>
      <c r="I311" s="477"/>
      <c r="J311" s="477"/>
      <c r="K311" s="477"/>
      <c r="L311" s="488"/>
      <c r="M311" s="477"/>
      <c r="N311" s="477"/>
      <c r="O311" s="477"/>
      <c r="P311" s="477"/>
      <c r="Q311" s="477"/>
      <c r="R311" s="477"/>
      <c r="S311" s="477"/>
      <c r="T311" s="477"/>
      <c r="U311" s="477"/>
      <c r="V311" s="477"/>
      <c r="W311" s="487"/>
      <c r="Z311" s="68"/>
    </row>
    <row r="312" spans="1:26" hidden="1">
      <c r="A312" s="703" t="s">
        <v>6904</v>
      </c>
      <c r="B312" s="13"/>
      <c r="C312" s="13"/>
      <c r="D312" s="13"/>
      <c r="E312" s="13"/>
      <c r="F312" s="13"/>
      <c r="G312" s="13"/>
      <c r="H312" s="13"/>
      <c r="I312" s="13"/>
      <c r="J312" s="13"/>
      <c r="K312" s="13"/>
      <c r="L312" s="472"/>
      <c r="M312" s="13"/>
      <c r="N312" s="13"/>
      <c r="O312" s="13"/>
      <c r="P312" s="13"/>
      <c r="Q312" s="13"/>
      <c r="R312" s="13"/>
      <c r="S312" s="13"/>
      <c r="T312" s="13"/>
      <c r="U312" s="13"/>
      <c r="V312" s="13"/>
      <c r="W312" s="16"/>
      <c r="Z312" s="68"/>
    </row>
    <row r="313" spans="1:26" hidden="1">
      <c r="A313" s="703"/>
      <c r="B313" s="13"/>
      <c r="C313" s="13"/>
      <c r="D313" s="13"/>
      <c r="E313" s="13"/>
      <c r="F313" s="13"/>
      <c r="G313" s="13"/>
      <c r="H313" s="13"/>
      <c r="I313" s="13"/>
      <c r="J313" s="13"/>
      <c r="K313" s="13"/>
      <c r="L313" s="472"/>
      <c r="M313" s="13"/>
      <c r="N313" s="13"/>
      <c r="O313" s="13"/>
      <c r="P313" s="13"/>
      <c r="Q313" s="13"/>
      <c r="R313" s="13"/>
      <c r="S313" s="13"/>
      <c r="T313" s="13"/>
      <c r="U313" s="13"/>
      <c r="V313" s="13"/>
      <c r="W313" s="16"/>
      <c r="Z313" s="68"/>
    </row>
    <row r="314" spans="1:26">
      <c r="A314" s="704" t="s">
        <v>6903</v>
      </c>
      <c r="B314" s="477">
        <f t="shared" ref="B314:W314" si="83">B315</f>
        <v>0</v>
      </c>
      <c r="C314" s="477">
        <f t="shared" si="83"/>
        <v>0</v>
      </c>
      <c r="D314" s="477">
        <f t="shared" si="83"/>
        <v>0</v>
      </c>
      <c r="E314" s="477">
        <f t="shared" si="83"/>
        <v>0</v>
      </c>
      <c r="F314" s="477">
        <f t="shared" si="83"/>
        <v>0</v>
      </c>
      <c r="G314" s="477">
        <f t="shared" si="83"/>
        <v>0</v>
      </c>
      <c r="H314" s="477">
        <f t="shared" si="83"/>
        <v>0</v>
      </c>
      <c r="I314" s="477">
        <f t="shared" si="83"/>
        <v>26</v>
      </c>
      <c r="J314" s="477">
        <f t="shared" si="83"/>
        <v>0</v>
      </c>
      <c r="K314" s="477">
        <f t="shared" si="83"/>
        <v>26</v>
      </c>
      <c r="L314" s="474">
        <f t="shared" si="83"/>
        <v>452832</v>
      </c>
      <c r="M314" s="477">
        <f t="shared" si="83"/>
        <v>0</v>
      </c>
      <c r="N314" s="477">
        <f t="shared" si="83"/>
        <v>0</v>
      </c>
      <c r="O314" s="477">
        <f t="shared" si="83"/>
        <v>0</v>
      </c>
      <c r="P314" s="477">
        <f t="shared" si="83"/>
        <v>0</v>
      </c>
      <c r="Q314" s="477">
        <f t="shared" si="83"/>
        <v>0</v>
      </c>
      <c r="R314" s="477">
        <f t="shared" si="83"/>
        <v>0</v>
      </c>
      <c r="S314" s="477">
        <f t="shared" si="83"/>
        <v>0</v>
      </c>
      <c r="T314" s="477">
        <f t="shared" si="83"/>
        <v>0</v>
      </c>
      <c r="U314" s="477">
        <f t="shared" si="83"/>
        <v>0</v>
      </c>
      <c r="V314" s="477">
        <f t="shared" si="83"/>
        <v>0</v>
      </c>
      <c r="W314" s="474">
        <f t="shared" si="83"/>
        <v>0</v>
      </c>
      <c r="Z314" s="68"/>
    </row>
    <row r="315" spans="1:26">
      <c r="A315" s="703" t="s">
        <v>6902</v>
      </c>
      <c r="B315" s="13">
        <f>'F-09 CCFFAA'!B59+'F-09 EP'!B303+'F-09 MGP'!B315+'F-09 FAP'!B315+'F-09 CONIDA'!B59+'F-09 OPREFA'!B51</f>
        <v>0</v>
      </c>
      <c r="C315" s="13">
        <f>'F-09 CCFFAA'!C59+'F-09 EP'!C303+'F-09 MGP'!C315+'F-09 FAP'!C315+'F-09 CONIDA'!C59+'F-09 OPREFA'!C51</f>
        <v>0</v>
      </c>
      <c r="D315" s="13">
        <f>'F-09 CCFFAA'!D59+'F-09 EP'!D303+'F-09 MGP'!D315+'F-09 FAP'!D315+'F-09 CONIDA'!D59+'F-09 OPREFA'!D51</f>
        <v>0</v>
      </c>
      <c r="E315" s="13">
        <f>'F-09 CCFFAA'!E59+'F-09 EP'!E303+'F-09 MGP'!E315+'F-09 FAP'!E315+'F-09 CONIDA'!E59+'F-09 OPREFA'!E51</f>
        <v>0</v>
      </c>
      <c r="F315" s="13">
        <f>'F-09 CCFFAA'!F59+'F-09 EP'!F303+'F-09 MGP'!F315+'F-09 FAP'!F315+'F-09 CONIDA'!F59+'F-09 OPREFA'!F51</f>
        <v>0</v>
      </c>
      <c r="G315" s="13">
        <f>'F-09 CCFFAA'!G59+'F-09 EP'!G303+'F-09 MGP'!G315+'F-09 FAP'!G315+'F-09 CONIDA'!G59+'F-09 OPREFA'!G51</f>
        <v>0</v>
      </c>
      <c r="H315" s="13">
        <f>'F-09 CCFFAA'!H59+'F-09 EP'!H303+'F-09 MGP'!H315+'F-09 FAP'!H315+'F-09 CONIDA'!H59+'F-09 OPREFA'!H51</f>
        <v>0</v>
      </c>
      <c r="I315" s="13">
        <f>'F-09 CCFFAA'!I59+'F-09 EP'!I303+'F-09 MGP'!I315+'F-09 FAP'!I315+'F-09 CONIDA'!I59+'F-09 OPREFA'!I51</f>
        <v>26</v>
      </c>
      <c r="J315" s="13">
        <f>'F-09 CCFFAA'!J59+'F-09 EP'!J303+'F-09 MGP'!J315+'F-09 FAP'!J315+'F-09 CONIDA'!J59+'F-09 OPREFA'!J51</f>
        <v>0</v>
      </c>
      <c r="K315" s="13">
        <f>SUM(B315:J315)</f>
        <v>26</v>
      </c>
      <c r="L315" s="472">
        <f>'F-09 CCFFAA'!L59+'F-09 EP'!L303+'F-09 MGP'!L315+'F-09 FAP'!L315+'F-09 CONIDA'!L59+'F-09 OPREFA'!L51</f>
        <v>452832</v>
      </c>
      <c r="M315" s="13">
        <f>'F-09 CCFFAA'!M59+'F-09 EP'!M303+'F-09 MGP'!M315+'F-09 FAP'!M315+'F-09 CONIDA'!M59+'F-09 OPREFA'!M51</f>
        <v>0</v>
      </c>
      <c r="N315" s="13">
        <f>'F-09 CCFFAA'!N59+'F-09 EP'!N303+'F-09 MGP'!N315+'F-09 FAP'!N315+'F-09 CONIDA'!N59+'F-09 OPREFA'!N51</f>
        <v>0</v>
      </c>
      <c r="O315" s="13">
        <f>'F-09 CCFFAA'!O59+'F-09 EP'!O303+'F-09 MGP'!O315+'F-09 FAP'!O315+'F-09 CONIDA'!O59+'F-09 OPREFA'!O51</f>
        <v>0</v>
      </c>
      <c r="P315" s="13">
        <f>'F-09 CCFFAA'!P59+'F-09 EP'!P303+'F-09 MGP'!P315+'F-09 FAP'!P315+'F-09 CONIDA'!P59+'F-09 OPREFA'!P51</f>
        <v>0</v>
      </c>
      <c r="Q315" s="13">
        <f>'F-09 CCFFAA'!Q59+'F-09 EP'!Q303+'F-09 MGP'!Q315+'F-09 FAP'!Q315+'F-09 CONIDA'!Q59+'F-09 OPREFA'!Q51</f>
        <v>0</v>
      </c>
      <c r="R315" s="13">
        <f>'F-09 CCFFAA'!R59+'F-09 EP'!R303+'F-09 MGP'!R315+'F-09 FAP'!R315+'F-09 CONIDA'!R59+'F-09 OPREFA'!R51</f>
        <v>0</v>
      </c>
      <c r="S315" s="13">
        <f>'F-09 CCFFAA'!S59+'F-09 EP'!S303+'F-09 MGP'!S315+'F-09 FAP'!S315+'F-09 CONIDA'!S59+'F-09 OPREFA'!S51</f>
        <v>0</v>
      </c>
      <c r="T315" s="13">
        <f>'F-09 CCFFAA'!T59+'F-09 EP'!T303+'F-09 MGP'!T315+'F-09 FAP'!T315+'F-09 CONIDA'!T59+'F-09 OPREFA'!T51</f>
        <v>0</v>
      </c>
      <c r="U315" s="13">
        <f>'F-09 CCFFAA'!U59+'F-09 EP'!U303+'F-09 MGP'!U315+'F-09 FAP'!U315+'F-09 CONIDA'!U59+'F-09 OPREFA'!U51</f>
        <v>0</v>
      </c>
      <c r="V315" s="13">
        <f>SUM(M315:U315)</f>
        <v>0</v>
      </c>
      <c r="W315" s="472">
        <f>'F-09 CCFFAA'!W59+'F-09 EP'!W303+'F-09 MGP'!W315+'F-09 FAP'!W315+'F-09 CONIDA'!W59+'F-09 OPREFA'!W51</f>
        <v>0</v>
      </c>
      <c r="Z315" s="68"/>
    </row>
    <row r="316" spans="1:26" hidden="1">
      <c r="A316" s="703"/>
      <c r="B316" s="13"/>
      <c r="C316" s="13"/>
      <c r="D316" s="13"/>
      <c r="E316" s="13"/>
      <c r="F316" s="13"/>
      <c r="G316" s="13"/>
      <c r="H316" s="13"/>
      <c r="I316" s="13"/>
      <c r="J316" s="13"/>
      <c r="K316" s="13"/>
      <c r="L316" s="472"/>
      <c r="M316" s="13"/>
      <c r="N316" s="13"/>
      <c r="O316" s="13"/>
      <c r="P316" s="13"/>
      <c r="Q316" s="13"/>
      <c r="R316" s="13"/>
      <c r="S316" s="13"/>
      <c r="T316" s="13"/>
      <c r="U316" s="13"/>
      <c r="V316" s="13"/>
      <c r="W316" s="16"/>
      <c r="Z316" s="68"/>
    </row>
    <row r="317" spans="1:26">
      <c r="A317" s="705" t="s">
        <v>6901</v>
      </c>
      <c r="B317" s="477">
        <f t="shared" ref="B317:W317" si="84">B318</f>
        <v>47</v>
      </c>
      <c r="C317" s="477">
        <f t="shared" si="84"/>
        <v>0</v>
      </c>
      <c r="D317" s="477">
        <f t="shared" si="84"/>
        <v>0</v>
      </c>
      <c r="E317" s="477">
        <f t="shared" si="84"/>
        <v>0</v>
      </c>
      <c r="F317" s="477">
        <f t="shared" si="84"/>
        <v>0</v>
      </c>
      <c r="G317" s="477">
        <f t="shared" si="84"/>
        <v>0</v>
      </c>
      <c r="H317" s="477">
        <f t="shared" si="84"/>
        <v>0</v>
      </c>
      <c r="I317" s="477">
        <f t="shared" si="84"/>
        <v>0</v>
      </c>
      <c r="J317" s="477">
        <f t="shared" si="84"/>
        <v>0</v>
      </c>
      <c r="K317" s="477">
        <f t="shared" si="84"/>
        <v>47</v>
      </c>
      <c r="L317" s="474">
        <f t="shared" si="84"/>
        <v>506002.64</v>
      </c>
      <c r="M317" s="477">
        <f t="shared" si="84"/>
        <v>20</v>
      </c>
      <c r="N317" s="477">
        <f t="shared" si="84"/>
        <v>0</v>
      </c>
      <c r="O317" s="477">
        <f t="shared" si="84"/>
        <v>0</v>
      </c>
      <c r="P317" s="477">
        <f t="shared" si="84"/>
        <v>0</v>
      </c>
      <c r="Q317" s="477">
        <f t="shared" si="84"/>
        <v>0</v>
      </c>
      <c r="R317" s="477">
        <f t="shared" si="84"/>
        <v>0</v>
      </c>
      <c r="S317" s="477">
        <f t="shared" si="84"/>
        <v>0</v>
      </c>
      <c r="T317" s="477">
        <f t="shared" si="84"/>
        <v>0</v>
      </c>
      <c r="U317" s="477">
        <f t="shared" si="84"/>
        <v>0</v>
      </c>
      <c r="V317" s="477">
        <f t="shared" si="84"/>
        <v>20</v>
      </c>
      <c r="W317" s="474">
        <f t="shared" si="84"/>
        <v>174069</v>
      </c>
      <c r="Z317" s="68"/>
    </row>
    <row r="318" spans="1:26">
      <c r="A318" s="703" t="s">
        <v>6901</v>
      </c>
      <c r="B318" s="13">
        <f>'F-09 OGA'!B54+'F-09 CCFFAA'!B62+'F-09 EP'!B306+'F-09 MGP'!B318+'F-09 FAP'!B318+'F-09 CONIDA'!B62+'F-09 OPREFA'!B54</f>
        <v>47</v>
      </c>
      <c r="C318" s="13">
        <f>'F-09 OGA'!C54+'F-09 CCFFAA'!C62+'F-09 EP'!C306+'F-09 MGP'!C318+'F-09 FAP'!C318+'F-09 CONIDA'!C62+'F-09 OPREFA'!C54</f>
        <v>0</v>
      </c>
      <c r="D318" s="13">
        <f>'F-09 OGA'!D54+'F-09 CCFFAA'!D62+'F-09 EP'!D306+'F-09 MGP'!D318+'F-09 FAP'!D318+'F-09 CONIDA'!D62+'F-09 OPREFA'!D54</f>
        <v>0</v>
      </c>
      <c r="E318" s="13">
        <f>'F-09 OGA'!E54+'F-09 CCFFAA'!E62+'F-09 EP'!E306+'F-09 MGP'!E318+'F-09 FAP'!E318+'F-09 CONIDA'!E62+'F-09 OPREFA'!E54</f>
        <v>0</v>
      </c>
      <c r="F318" s="13">
        <f>'F-09 OGA'!F54+'F-09 CCFFAA'!F62+'F-09 EP'!F306+'F-09 MGP'!F318+'F-09 FAP'!F318+'F-09 CONIDA'!F62+'F-09 OPREFA'!F54</f>
        <v>0</v>
      </c>
      <c r="G318" s="13">
        <f>'F-09 OGA'!G54+'F-09 CCFFAA'!G62+'F-09 EP'!G306+'F-09 MGP'!G318+'F-09 FAP'!G318+'F-09 CONIDA'!G62+'F-09 OPREFA'!G54</f>
        <v>0</v>
      </c>
      <c r="H318" s="13">
        <f>'F-09 OGA'!H54+'F-09 CCFFAA'!H62+'F-09 EP'!H306+'F-09 MGP'!H318+'F-09 FAP'!H318+'F-09 CONIDA'!H62+'F-09 OPREFA'!H54</f>
        <v>0</v>
      </c>
      <c r="I318" s="13">
        <f>'F-09 OGA'!I54+'F-09 CCFFAA'!I62+'F-09 EP'!I306+'F-09 MGP'!I318+'F-09 FAP'!I318+'F-09 CONIDA'!I62+'F-09 OPREFA'!I54</f>
        <v>0</v>
      </c>
      <c r="J318" s="13">
        <f>'F-09 OGA'!J54+'F-09 CCFFAA'!J62+'F-09 EP'!J306+'F-09 MGP'!J318+'F-09 FAP'!J318+'F-09 CONIDA'!J62+'F-09 OPREFA'!J54</f>
        <v>0</v>
      </c>
      <c r="K318" s="13">
        <f>SUM(B318:J318)</f>
        <v>47</v>
      </c>
      <c r="L318" s="472">
        <f>'F-09 OGA'!L54+'F-09 CCFFAA'!L62+'F-09 EP'!L306+'F-09 MGP'!L318+'F-09 FAP'!L318+'F-09 CONIDA'!L62+'F-09 OPREFA'!L54</f>
        <v>506002.64</v>
      </c>
      <c r="M318" s="13">
        <f>'F-09 OGA'!M54+'F-09 CCFFAA'!M62+'F-09 EP'!M306+'F-09 MGP'!M318+'F-09 FAP'!M318+'F-09 CONIDA'!M62+'F-09 OPREFA'!M54</f>
        <v>20</v>
      </c>
      <c r="N318" s="13">
        <f>'F-09 OGA'!N54+'F-09 CCFFAA'!N62+'F-09 EP'!N306+'F-09 MGP'!N318+'F-09 FAP'!N318+'F-09 CONIDA'!N62+'F-09 OPREFA'!N54</f>
        <v>0</v>
      </c>
      <c r="O318" s="13">
        <f>'F-09 OGA'!O54+'F-09 CCFFAA'!O62+'F-09 EP'!O306+'F-09 MGP'!O318+'F-09 FAP'!O318+'F-09 CONIDA'!O62+'F-09 OPREFA'!O54</f>
        <v>0</v>
      </c>
      <c r="P318" s="13">
        <f>'F-09 OGA'!P54+'F-09 CCFFAA'!P62+'F-09 EP'!P306+'F-09 MGP'!P318+'F-09 FAP'!P318+'F-09 CONIDA'!P62+'F-09 OPREFA'!P54</f>
        <v>0</v>
      </c>
      <c r="Q318" s="13">
        <f>'F-09 OGA'!Q54+'F-09 CCFFAA'!Q62+'F-09 EP'!Q306+'F-09 MGP'!Q318+'F-09 FAP'!Q318+'F-09 CONIDA'!Q62+'F-09 OPREFA'!Q54</f>
        <v>0</v>
      </c>
      <c r="R318" s="13">
        <f>'F-09 OGA'!R54+'F-09 CCFFAA'!R62+'F-09 EP'!R306+'F-09 MGP'!R318+'F-09 FAP'!R318+'F-09 CONIDA'!R62+'F-09 OPREFA'!R54</f>
        <v>0</v>
      </c>
      <c r="S318" s="13">
        <f>'F-09 OGA'!S54+'F-09 CCFFAA'!S62+'F-09 EP'!S306+'F-09 MGP'!S318+'F-09 FAP'!S318+'F-09 CONIDA'!S62+'F-09 OPREFA'!S54</f>
        <v>0</v>
      </c>
      <c r="T318" s="13">
        <f>'F-09 OGA'!T54+'F-09 CCFFAA'!T62+'F-09 EP'!T306+'F-09 MGP'!T318+'F-09 FAP'!T318+'F-09 CONIDA'!T62+'F-09 OPREFA'!T54</f>
        <v>0</v>
      </c>
      <c r="U318" s="13">
        <f>'F-09 OGA'!U54+'F-09 CCFFAA'!U62+'F-09 EP'!U306+'F-09 MGP'!U318+'F-09 FAP'!U318+'F-09 CONIDA'!U62+'F-09 OPREFA'!U54</f>
        <v>0</v>
      </c>
      <c r="V318" s="13">
        <f>SUM(M318:U318)</f>
        <v>20</v>
      </c>
      <c r="W318" s="472">
        <f>'F-09 OGA'!W54+'F-09 CCFFAA'!W62+'F-09 EP'!W306+'F-09 MGP'!W318+'F-09 FAP'!W318+'F-09 CONIDA'!W62+'F-09 OPREFA'!W54</f>
        <v>174069</v>
      </c>
      <c r="Z318" s="68"/>
    </row>
    <row r="319" spans="1:26" hidden="1">
      <c r="A319" s="703"/>
      <c r="B319" s="13"/>
      <c r="C319" s="13"/>
      <c r="D319" s="13"/>
      <c r="E319" s="13"/>
      <c r="F319" s="13"/>
      <c r="G319" s="13"/>
      <c r="H319" s="13"/>
      <c r="I319" s="13"/>
      <c r="J319" s="13"/>
      <c r="K319" s="13"/>
      <c r="L319" s="472"/>
      <c r="M319" s="13"/>
      <c r="N319" s="13"/>
      <c r="O319" s="13"/>
      <c r="P319" s="13"/>
      <c r="Q319" s="13"/>
      <c r="R319" s="13"/>
      <c r="S319" s="13"/>
      <c r="T319" s="13"/>
      <c r="U319" s="13"/>
      <c r="V319" s="13"/>
      <c r="W319" s="16"/>
      <c r="Z319" s="68"/>
    </row>
    <row r="320" spans="1:26" hidden="1">
      <c r="A320" s="705" t="s">
        <v>6900</v>
      </c>
      <c r="B320" s="484"/>
      <c r="C320" s="484"/>
      <c r="D320" s="484"/>
      <c r="E320" s="484"/>
      <c r="F320" s="484"/>
      <c r="G320" s="484"/>
      <c r="H320" s="484"/>
      <c r="I320" s="484"/>
      <c r="J320" s="484"/>
      <c r="K320" s="484"/>
      <c r="L320" s="485"/>
      <c r="M320" s="484"/>
      <c r="N320" s="484"/>
      <c r="O320" s="484"/>
      <c r="P320" s="484"/>
      <c r="Q320" s="484"/>
      <c r="R320" s="484"/>
      <c r="S320" s="484"/>
      <c r="T320" s="484"/>
      <c r="U320" s="484"/>
      <c r="V320" s="484"/>
      <c r="W320" s="483"/>
      <c r="Z320" s="68"/>
    </row>
    <row r="321" spans="1:26" hidden="1">
      <c r="A321" s="703" t="s">
        <v>6900</v>
      </c>
      <c r="B321" s="13"/>
      <c r="C321" s="13"/>
      <c r="D321" s="13"/>
      <c r="E321" s="13"/>
      <c r="F321" s="13"/>
      <c r="G321" s="13"/>
      <c r="H321" s="13"/>
      <c r="I321" s="13"/>
      <c r="J321" s="13"/>
      <c r="K321" s="13"/>
      <c r="L321" s="472"/>
      <c r="M321" s="13"/>
      <c r="N321" s="13"/>
      <c r="O321" s="13"/>
      <c r="P321" s="13"/>
      <c r="Q321" s="13"/>
      <c r="R321" s="13"/>
      <c r="S321" s="13"/>
      <c r="T321" s="13"/>
      <c r="U321" s="13"/>
      <c r="V321" s="13"/>
      <c r="W321" s="16"/>
      <c r="Z321" s="68"/>
    </row>
    <row r="322" spans="1:26" hidden="1">
      <c r="A322" s="703"/>
      <c r="B322" s="13"/>
      <c r="C322" s="13"/>
      <c r="D322" s="13"/>
      <c r="E322" s="13"/>
      <c r="F322" s="13"/>
      <c r="G322" s="13"/>
      <c r="H322" s="13"/>
      <c r="I322" s="13"/>
      <c r="J322" s="13"/>
      <c r="K322" s="13"/>
      <c r="L322" s="472"/>
      <c r="M322" s="13"/>
      <c r="N322" s="13"/>
      <c r="O322" s="13"/>
      <c r="P322" s="13"/>
      <c r="Q322" s="13"/>
      <c r="R322" s="13"/>
      <c r="S322" s="13"/>
      <c r="T322" s="13"/>
      <c r="U322" s="13"/>
      <c r="V322" s="13"/>
      <c r="W322" s="16"/>
      <c r="Z322" s="68"/>
    </row>
    <row r="323" spans="1:26" hidden="1">
      <c r="A323" s="705" t="s">
        <v>6899</v>
      </c>
      <c r="B323" s="484"/>
      <c r="C323" s="484"/>
      <c r="D323" s="484"/>
      <c r="E323" s="484"/>
      <c r="F323" s="484"/>
      <c r="G323" s="484"/>
      <c r="H323" s="484"/>
      <c r="I323" s="484"/>
      <c r="J323" s="484"/>
      <c r="K323" s="484"/>
      <c r="L323" s="485"/>
      <c r="M323" s="484"/>
      <c r="N323" s="484"/>
      <c r="O323" s="484"/>
      <c r="P323" s="484"/>
      <c r="Q323" s="484"/>
      <c r="R323" s="484"/>
      <c r="S323" s="484"/>
      <c r="T323" s="484"/>
      <c r="U323" s="484"/>
      <c r="V323" s="484"/>
      <c r="W323" s="483"/>
      <c r="Z323" s="68"/>
    </row>
    <row r="324" spans="1:26" ht="24" hidden="1">
      <c r="A324" s="703" t="s">
        <v>6898</v>
      </c>
      <c r="B324" s="13"/>
      <c r="C324" s="13"/>
      <c r="D324" s="13"/>
      <c r="E324" s="13"/>
      <c r="F324" s="13"/>
      <c r="G324" s="13"/>
      <c r="H324" s="13"/>
      <c r="I324" s="13"/>
      <c r="J324" s="13"/>
      <c r="K324" s="13"/>
      <c r="L324" s="472"/>
      <c r="M324" s="13"/>
      <c r="N324" s="13"/>
      <c r="O324" s="13"/>
      <c r="P324" s="13"/>
      <c r="Q324" s="13"/>
      <c r="R324" s="13"/>
      <c r="S324" s="13"/>
      <c r="T324" s="13"/>
      <c r="U324" s="13"/>
      <c r="V324" s="13"/>
      <c r="W324" s="16"/>
      <c r="Z324" s="68"/>
    </row>
    <row r="325" spans="1:26" hidden="1">
      <c r="A325" s="703" t="s">
        <v>6897</v>
      </c>
      <c r="B325" s="13"/>
      <c r="C325" s="13"/>
      <c r="D325" s="13"/>
      <c r="E325" s="13"/>
      <c r="F325" s="13"/>
      <c r="G325" s="13"/>
      <c r="H325" s="13"/>
      <c r="I325" s="13"/>
      <c r="J325" s="13"/>
      <c r="K325" s="13"/>
      <c r="L325" s="472"/>
      <c r="M325" s="13"/>
      <c r="N325" s="13"/>
      <c r="O325" s="13"/>
      <c r="P325" s="13"/>
      <c r="Q325" s="13"/>
      <c r="R325" s="13"/>
      <c r="S325" s="13"/>
      <c r="T325" s="13"/>
      <c r="U325" s="13"/>
      <c r="V325" s="13"/>
      <c r="W325" s="16"/>
      <c r="Z325" s="68"/>
    </row>
    <row r="326" spans="1:26" hidden="1">
      <c r="A326" s="703" t="s">
        <v>6896</v>
      </c>
      <c r="B326" s="13"/>
      <c r="C326" s="13"/>
      <c r="D326" s="13"/>
      <c r="E326" s="13"/>
      <c r="F326" s="13"/>
      <c r="G326" s="13"/>
      <c r="H326" s="13"/>
      <c r="I326" s="13"/>
      <c r="J326" s="13"/>
      <c r="K326" s="13"/>
      <c r="L326" s="472"/>
      <c r="M326" s="13"/>
      <c r="N326" s="13"/>
      <c r="O326" s="13"/>
      <c r="P326" s="13"/>
      <c r="Q326" s="13"/>
      <c r="R326" s="13"/>
      <c r="S326" s="13"/>
      <c r="T326" s="13"/>
      <c r="U326" s="13"/>
      <c r="V326" s="13"/>
      <c r="W326" s="16"/>
      <c r="Z326" s="68"/>
    </row>
    <row r="327" spans="1:26" hidden="1">
      <c r="A327" s="703" t="s">
        <v>6895</v>
      </c>
      <c r="B327" s="13"/>
      <c r="C327" s="13"/>
      <c r="D327" s="13"/>
      <c r="E327" s="13"/>
      <c r="F327" s="13"/>
      <c r="G327" s="13"/>
      <c r="H327" s="13"/>
      <c r="I327" s="13"/>
      <c r="J327" s="13"/>
      <c r="K327" s="13"/>
      <c r="L327" s="472"/>
      <c r="M327" s="13"/>
      <c r="N327" s="13"/>
      <c r="O327" s="13"/>
      <c r="P327" s="13"/>
      <c r="Q327" s="13"/>
      <c r="R327" s="13"/>
      <c r="S327" s="13"/>
      <c r="T327" s="13"/>
      <c r="U327" s="13"/>
      <c r="V327" s="13"/>
      <c r="W327" s="16"/>
      <c r="Z327" s="68"/>
    </row>
    <row r="328" spans="1:26" hidden="1">
      <c r="A328" s="703"/>
      <c r="B328" s="13"/>
      <c r="C328" s="13"/>
      <c r="D328" s="13"/>
      <c r="E328" s="13"/>
      <c r="F328" s="13"/>
      <c r="G328" s="13"/>
      <c r="H328" s="13"/>
      <c r="I328" s="13"/>
      <c r="J328" s="13"/>
      <c r="K328" s="13"/>
      <c r="L328" s="472"/>
      <c r="M328" s="13"/>
      <c r="N328" s="13"/>
      <c r="O328" s="13"/>
      <c r="P328" s="13"/>
      <c r="Q328" s="13"/>
      <c r="R328" s="13"/>
      <c r="S328" s="13"/>
      <c r="T328" s="13"/>
      <c r="U328" s="13"/>
      <c r="V328" s="13"/>
      <c r="W328" s="16"/>
      <c r="Z328" s="68"/>
    </row>
    <row r="329" spans="1:26">
      <c r="A329" s="704" t="s">
        <v>6894</v>
      </c>
      <c r="B329" s="482"/>
      <c r="C329" s="482"/>
      <c r="D329" s="482"/>
      <c r="E329" s="482"/>
      <c r="F329" s="482"/>
      <c r="G329" s="482"/>
      <c r="H329" s="482"/>
      <c r="I329" s="482"/>
      <c r="J329" s="482">
        <f>SUM(J330:J333)</f>
        <v>780</v>
      </c>
      <c r="K329" s="482">
        <f>SUM(K330:K333)</f>
        <v>982</v>
      </c>
      <c r="L329" s="474">
        <f>SUM(L330:L335)</f>
        <v>41642433.310000002</v>
      </c>
      <c r="M329" s="478"/>
      <c r="N329" s="482"/>
      <c r="O329" s="482"/>
      <c r="P329" s="482"/>
      <c r="Q329" s="482"/>
      <c r="R329" s="482"/>
      <c r="S329" s="482"/>
      <c r="T329" s="482"/>
      <c r="U329" s="482"/>
      <c r="V329" s="482"/>
      <c r="W329" s="474">
        <f>SUM(W330:W335)</f>
        <v>993102.69</v>
      </c>
      <c r="Z329" s="68"/>
    </row>
    <row r="330" spans="1:26" ht="24" hidden="1">
      <c r="A330" s="703" t="s">
        <v>6893</v>
      </c>
      <c r="B330" s="13"/>
      <c r="C330" s="13"/>
      <c r="D330" s="13"/>
      <c r="E330" s="13"/>
      <c r="F330" s="13"/>
      <c r="G330" s="13"/>
      <c r="H330" s="13"/>
      <c r="I330" s="13"/>
      <c r="J330" s="13"/>
      <c r="K330" s="13">
        <f t="shared" ref="K330:K335" si="85">SUM(B330:J330)</f>
        <v>0</v>
      </c>
      <c r="L330" s="472"/>
      <c r="M330" s="13"/>
      <c r="N330" s="13"/>
      <c r="O330" s="13"/>
      <c r="P330" s="13"/>
      <c r="Q330" s="13"/>
      <c r="R330" s="13"/>
      <c r="S330" s="13"/>
      <c r="T330" s="13"/>
      <c r="U330" s="13"/>
      <c r="V330" s="13">
        <f t="shared" ref="V330:V335" si="86">SUM(M330:U330)</f>
        <v>0</v>
      </c>
      <c r="W330" s="472"/>
      <c r="Z330" s="68"/>
    </row>
    <row r="331" spans="1:26" ht="24">
      <c r="A331" s="703" t="s">
        <v>6892</v>
      </c>
      <c r="B331" s="13">
        <f>'F-09 OGA'!B57+'F-09 CCFFAA'!B75+'F-09 EP'!B319+'F-09 MGP'!B331+'F-09 FAP'!B331+'F-09 CONIDA'!B75+'F-09 ENAMM'!B65</f>
        <v>0</v>
      </c>
      <c r="C331" s="13">
        <f>'F-09 OGA'!C57+'F-09 CCFFAA'!C75+'F-09 EP'!C319+'F-09 MGP'!C331+'F-09 FAP'!C331+'F-09 CONIDA'!C75+'F-09 ENAMM'!C65</f>
        <v>0</v>
      </c>
      <c r="D331" s="13">
        <f>'F-09 OGA'!D57+'F-09 CCFFAA'!D75+'F-09 EP'!D319+'F-09 MGP'!D331+'F-09 FAP'!D331+'F-09 CONIDA'!D75+'F-09 ENAMM'!D65</f>
        <v>0</v>
      </c>
      <c r="E331" s="13">
        <f>'F-09 OGA'!E57+'F-09 CCFFAA'!E75+'F-09 EP'!E319+'F-09 MGP'!E331+'F-09 FAP'!E331+'F-09 CONIDA'!E75+'F-09 ENAMM'!E65</f>
        <v>0</v>
      </c>
      <c r="F331" s="13">
        <f>'F-09 OGA'!F57+'F-09 CCFFAA'!F75+'F-09 EP'!F319+'F-09 MGP'!F331+'F-09 FAP'!F331+'F-09 CONIDA'!F75+'F-09 ENAMM'!F65</f>
        <v>0</v>
      </c>
      <c r="G331" s="13">
        <f>'F-09 OGA'!G57+'F-09 CCFFAA'!G75+'F-09 EP'!G319+'F-09 MGP'!G331+'F-09 FAP'!G331+'F-09 CONIDA'!G75+'F-09 ENAMM'!G65</f>
        <v>0</v>
      </c>
      <c r="H331" s="13">
        <f>'F-09 OGA'!H57+'F-09 CCFFAA'!H75+'F-09 EP'!H319+'F-09 MGP'!H331+'F-09 FAP'!H331+'F-09 CONIDA'!H75+'F-09 ENAMM'!H65</f>
        <v>0</v>
      </c>
      <c r="I331" s="13">
        <f>'F-09 OGA'!I57+'F-09 CCFFAA'!I75+'F-09 EP'!I319+'F-09 MGP'!I331+'F-09 FAP'!I331+'F-09 CONIDA'!I75+'F-09 ENAMM'!I65</f>
        <v>0</v>
      </c>
      <c r="J331" s="13">
        <f>'F-09 OGA'!J57+'F-09 CCFFAA'!J75+'F-09 EP'!J319+'F-09 MGP'!J331+'F-09 FAP'!J331+'F-09 CONIDA'!J75+'F-09 ENAMM'!J65</f>
        <v>0</v>
      </c>
      <c r="K331" s="13">
        <f t="shared" si="85"/>
        <v>0</v>
      </c>
      <c r="L331" s="472">
        <f>'F-09 OGA'!L57+'F-09 CCFFAA'!L75+'F-09 EP'!L319+'F-09 MGP'!L331+'F-09 FAP'!L331+'F-09 CONIDA'!L75+'F-09 ENAMM'!L65</f>
        <v>2926742.03</v>
      </c>
      <c r="M331" s="13">
        <f>'F-09 OGA'!M57+'F-09 CCFFAA'!M75+'F-09 EP'!M319+'F-09 MGP'!M331+'F-09 FAP'!M331+'F-09 CONIDA'!M75+'F-09 ENAMM'!M65</f>
        <v>0</v>
      </c>
      <c r="N331" s="13">
        <f>'F-09 OGA'!N57+'F-09 CCFFAA'!N75+'F-09 EP'!N319+'F-09 MGP'!N331+'F-09 FAP'!N331+'F-09 CONIDA'!N75+'F-09 ENAMM'!N65</f>
        <v>0</v>
      </c>
      <c r="O331" s="13">
        <f>'F-09 OGA'!O57+'F-09 CCFFAA'!O75+'F-09 EP'!O319+'F-09 MGP'!O331+'F-09 FAP'!O331+'F-09 CONIDA'!O75+'F-09 ENAMM'!O65</f>
        <v>0</v>
      </c>
      <c r="P331" s="13">
        <f>'F-09 OGA'!P57+'F-09 CCFFAA'!P75+'F-09 EP'!P319+'F-09 MGP'!P331+'F-09 FAP'!P331+'F-09 CONIDA'!P75+'F-09 ENAMM'!P65</f>
        <v>0</v>
      </c>
      <c r="Q331" s="13">
        <f>'F-09 OGA'!Q57+'F-09 CCFFAA'!Q75+'F-09 EP'!Q319+'F-09 MGP'!Q331+'F-09 FAP'!Q331+'F-09 CONIDA'!Q75+'F-09 ENAMM'!Q65</f>
        <v>0</v>
      </c>
      <c r="R331" s="13">
        <f>'F-09 OGA'!R57+'F-09 CCFFAA'!R75+'F-09 EP'!R319+'F-09 MGP'!R331+'F-09 FAP'!R331+'F-09 CONIDA'!R75+'F-09 ENAMM'!R65</f>
        <v>0</v>
      </c>
      <c r="S331" s="13">
        <f>'F-09 OGA'!S57+'F-09 CCFFAA'!S75+'F-09 EP'!S319+'F-09 MGP'!S331+'F-09 FAP'!S331+'F-09 CONIDA'!S75+'F-09 ENAMM'!S65</f>
        <v>0</v>
      </c>
      <c r="T331" s="13">
        <f>'F-09 OGA'!T57+'F-09 CCFFAA'!T75+'F-09 EP'!T319+'F-09 MGP'!T331+'F-09 FAP'!T331+'F-09 CONIDA'!T75+'F-09 ENAMM'!T65</f>
        <v>0</v>
      </c>
      <c r="U331" s="13">
        <f>'F-09 OGA'!U57+'F-09 CCFFAA'!U75+'F-09 EP'!U319+'F-09 MGP'!U331+'F-09 FAP'!U331+'F-09 CONIDA'!U75+'F-09 ENAMM'!U65</f>
        <v>0</v>
      </c>
      <c r="V331" s="13">
        <f t="shared" si="86"/>
        <v>0</v>
      </c>
      <c r="W331" s="472">
        <f>'F-09 OGA'!W57+'F-09 CCFFAA'!W75+'F-09 EP'!W319+'F-09 MGP'!W331+'F-09 FAP'!W331+'F-09 CONIDA'!W75+'F-09 ENAMM'!W65</f>
        <v>432110</v>
      </c>
      <c r="Z331" s="68"/>
    </row>
    <row r="332" spans="1:26" ht="24">
      <c r="A332" s="703" t="s">
        <v>6891</v>
      </c>
      <c r="B332" s="13">
        <f>'F-09 OGA'!B58+'F-09 CCFFAA'!B76+'F-09 EP'!B320+'F-09 MGP'!B332+'F-09 FAP'!B332+'F-09 CONIDA'!B76+'F-09 ENAMM'!B66</f>
        <v>202</v>
      </c>
      <c r="C332" s="13">
        <f>'F-09 OGA'!C58+'F-09 CCFFAA'!C76+'F-09 EP'!C320+'F-09 MGP'!C332+'F-09 FAP'!C332+'F-09 CONIDA'!C76+'F-09 ENAMM'!C66</f>
        <v>0</v>
      </c>
      <c r="D332" s="13">
        <f>'F-09 OGA'!D58+'F-09 CCFFAA'!D76+'F-09 EP'!D320+'F-09 MGP'!D332+'F-09 FAP'!D332+'F-09 CONIDA'!D76+'F-09 ENAMM'!D66</f>
        <v>0</v>
      </c>
      <c r="E332" s="13">
        <f>'F-09 OGA'!E58+'F-09 CCFFAA'!E76+'F-09 EP'!E320+'F-09 MGP'!E332+'F-09 FAP'!E332+'F-09 CONIDA'!E76+'F-09 ENAMM'!E66</f>
        <v>0</v>
      </c>
      <c r="F332" s="13">
        <f>'F-09 OGA'!F58+'F-09 CCFFAA'!F76+'F-09 EP'!F320+'F-09 MGP'!F332+'F-09 FAP'!F332+'F-09 CONIDA'!F76+'F-09 ENAMM'!F66</f>
        <v>0</v>
      </c>
      <c r="G332" s="13">
        <f>'F-09 OGA'!G58+'F-09 CCFFAA'!G76+'F-09 EP'!G320+'F-09 MGP'!G332+'F-09 FAP'!G332+'F-09 CONIDA'!G76+'F-09 ENAMM'!G66</f>
        <v>0</v>
      </c>
      <c r="H332" s="13">
        <f>'F-09 OGA'!H58+'F-09 CCFFAA'!H76+'F-09 EP'!H320+'F-09 MGP'!H332+'F-09 FAP'!H332+'F-09 CONIDA'!H76+'F-09 ENAMM'!H66</f>
        <v>0</v>
      </c>
      <c r="I332" s="13">
        <f>'F-09 OGA'!I58+'F-09 CCFFAA'!I76+'F-09 EP'!I320+'F-09 MGP'!I332+'F-09 FAP'!I332+'F-09 CONIDA'!I76+'F-09 ENAMM'!I66</f>
        <v>0</v>
      </c>
      <c r="J332" s="13">
        <f>'F-09 OGA'!J58+'F-09 CCFFAA'!J76+'F-09 EP'!J320+'F-09 MGP'!J332+'F-09 FAP'!J332+'F-09 CONIDA'!J76+'F-09 ENAMM'!J66</f>
        <v>780</v>
      </c>
      <c r="K332" s="13">
        <f t="shared" si="85"/>
        <v>982</v>
      </c>
      <c r="L332" s="472">
        <f>'F-09 OGA'!L58+'F-09 CCFFAA'!L76+'F-09 EP'!L320+'F-09 MGP'!L332+'F-09 FAP'!L332+'F-09 CONIDA'!L76+'F-09 ENAMM'!L66</f>
        <v>6900581.2799999993</v>
      </c>
      <c r="M332" s="13">
        <f>'F-09 OGA'!M58+'F-09 CCFFAA'!M76+'F-09 EP'!M320+'F-09 MGP'!M332+'F-09 FAP'!M332+'F-09 CONIDA'!M76+'F-09 ENAMM'!M66</f>
        <v>0</v>
      </c>
      <c r="N332" s="13">
        <f>'F-09 OGA'!N58+'F-09 CCFFAA'!N76+'F-09 EP'!N320+'F-09 MGP'!N332+'F-09 FAP'!N332+'F-09 CONIDA'!N76+'F-09 ENAMM'!N66</f>
        <v>0</v>
      </c>
      <c r="O332" s="13">
        <f>'F-09 OGA'!O58+'F-09 CCFFAA'!O76+'F-09 EP'!O320+'F-09 MGP'!O332+'F-09 FAP'!O332+'F-09 CONIDA'!O76+'F-09 ENAMM'!O66</f>
        <v>0</v>
      </c>
      <c r="P332" s="13">
        <f>'F-09 OGA'!P58+'F-09 CCFFAA'!P76+'F-09 EP'!P320+'F-09 MGP'!P332+'F-09 FAP'!P332+'F-09 CONIDA'!P76+'F-09 ENAMM'!P66</f>
        <v>0</v>
      </c>
      <c r="Q332" s="13">
        <f>'F-09 OGA'!Q58+'F-09 CCFFAA'!Q76+'F-09 EP'!Q320+'F-09 MGP'!Q332+'F-09 FAP'!Q332+'F-09 CONIDA'!Q76+'F-09 ENAMM'!Q66</f>
        <v>0</v>
      </c>
      <c r="R332" s="13">
        <f>'F-09 OGA'!R58+'F-09 CCFFAA'!R76+'F-09 EP'!R320+'F-09 MGP'!R332+'F-09 FAP'!R332+'F-09 CONIDA'!R76+'F-09 ENAMM'!R66</f>
        <v>0</v>
      </c>
      <c r="S332" s="13">
        <f>'F-09 OGA'!S58+'F-09 CCFFAA'!S76+'F-09 EP'!S320+'F-09 MGP'!S332+'F-09 FAP'!S332+'F-09 CONIDA'!S76+'F-09 ENAMM'!S66</f>
        <v>0</v>
      </c>
      <c r="T332" s="13">
        <f>'F-09 OGA'!T58+'F-09 CCFFAA'!T76+'F-09 EP'!T320+'F-09 MGP'!T332+'F-09 FAP'!T332+'F-09 CONIDA'!T76+'F-09 ENAMM'!T66</f>
        <v>0</v>
      </c>
      <c r="U332" s="13">
        <f>'F-09 OGA'!U58+'F-09 CCFFAA'!U76+'F-09 EP'!U320+'F-09 MGP'!U332+'F-09 FAP'!U332+'F-09 CONIDA'!U76+'F-09 ENAMM'!U66</f>
        <v>0</v>
      </c>
      <c r="V332" s="13">
        <f t="shared" si="86"/>
        <v>0</v>
      </c>
      <c r="W332" s="472">
        <f>'F-09 OGA'!W58+'F-09 CCFFAA'!W76+'F-09 EP'!W320+'F-09 MGP'!W332+'F-09 FAP'!W332+'F-09 CONIDA'!W76+'F-09 ENAMM'!W66</f>
        <v>141887</v>
      </c>
      <c r="Z332" s="68"/>
    </row>
    <row r="333" spans="1:26" hidden="1">
      <c r="A333" s="703" t="s">
        <v>6890</v>
      </c>
      <c r="B333" s="13">
        <f>'F-09 OGA'!B59+'F-09 CCFFAA'!B77+'F-09 EP'!B321+'F-09 MGP'!B333+'F-09 FAP'!B333+'F-09 CONIDA'!B77+'F-09 ENAMM'!B67</f>
        <v>0</v>
      </c>
      <c r="C333" s="13"/>
      <c r="D333" s="13"/>
      <c r="E333" s="13"/>
      <c r="F333" s="13"/>
      <c r="G333" s="13"/>
      <c r="H333" s="13"/>
      <c r="I333" s="13"/>
      <c r="J333" s="13"/>
      <c r="K333" s="13">
        <f t="shared" si="85"/>
        <v>0</v>
      </c>
      <c r="L333" s="472">
        <f>'F-09 OGA'!L59+'F-09 CCFFAA'!L77+'F-09 EP'!L321+'F-09 MGP'!L333+'F-09 FAP'!L333+'F-09 CONIDA'!L77+'F-09 ENAMM'!L67</f>
        <v>0</v>
      </c>
      <c r="M333" s="13">
        <f>'F-09 OGA'!M59+'F-09 CCFFAA'!M77+'F-09 EP'!M321+'F-09 MGP'!M333+'F-09 FAP'!M333+'F-09 CONIDA'!M77+'F-09 ENAMM'!M67</f>
        <v>0</v>
      </c>
      <c r="N333" s="13"/>
      <c r="O333" s="13"/>
      <c r="P333" s="13"/>
      <c r="Q333" s="13"/>
      <c r="R333" s="13"/>
      <c r="S333" s="13"/>
      <c r="T333" s="13"/>
      <c r="U333" s="13"/>
      <c r="V333" s="13">
        <f t="shared" si="86"/>
        <v>0</v>
      </c>
      <c r="W333" s="472">
        <f>'F-09 OGA'!W59+'F-09 CCFFAA'!W77+'F-09 EP'!W321+'F-09 MGP'!W333+'F-09 FAP'!W333+'F-09 CONIDA'!W77+'F-09 ENAMM'!W67</f>
        <v>0</v>
      </c>
      <c r="Z333" s="68"/>
    </row>
    <row r="334" spans="1:26" ht="24">
      <c r="A334" s="703" t="s">
        <v>6889</v>
      </c>
      <c r="B334" s="13">
        <f>'F-09 OGA'!B60+'F-09 CCFFAA'!B78+'F-09 EP'!B322+'F-09 MGP'!B334+'F-09 FAP'!B334+'F-09 CONIDA'!B78+'F-09 ENAMM'!B68</f>
        <v>88</v>
      </c>
      <c r="C334" s="13"/>
      <c r="D334" s="13"/>
      <c r="E334" s="13"/>
      <c r="F334" s="13"/>
      <c r="G334" s="13"/>
      <c r="H334" s="13"/>
      <c r="I334" s="13"/>
      <c r="J334" s="13"/>
      <c r="K334" s="13">
        <f t="shared" si="85"/>
        <v>88</v>
      </c>
      <c r="L334" s="472">
        <f>'F-09 OGA'!L61+'F-09 CCFFAA'!L78+'F-09 EP'!L322+'F-09 MGP'!L334+'F-09 FAP'!L334+'F-09 CONIDA'!L78+'F-09 ENAMM'!L68</f>
        <v>2566249</v>
      </c>
      <c r="M334" s="13">
        <f>'F-09 OGA'!M60+'F-09 CCFFAA'!M78+'F-09 EP'!M322+'F-09 MGP'!M334+'F-09 FAP'!M334+'F-09 CONIDA'!M78+'F-09 ENAMM'!M68</f>
        <v>0</v>
      </c>
      <c r="N334" s="13"/>
      <c r="O334" s="13"/>
      <c r="P334" s="13"/>
      <c r="Q334" s="13"/>
      <c r="R334" s="13"/>
      <c r="S334" s="13"/>
      <c r="T334" s="13"/>
      <c r="U334" s="13"/>
      <c r="V334" s="13">
        <f t="shared" si="86"/>
        <v>0</v>
      </c>
      <c r="W334" s="472">
        <f>'F-09 OGA'!W61+'F-09 CCFFAA'!W78+'F-09 EP'!W322+'F-09 MGP'!W334+'F-09 FAP'!W334+'F-09 CONIDA'!W78+'F-09 ENAMM'!W68</f>
        <v>263348.69</v>
      </c>
      <c r="Z334" s="68"/>
    </row>
    <row r="335" spans="1:26" ht="24">
      <c r="A335" s="703" t="s">
        <v>6888</v>
      </c>
      <c r="B335" s="13"/>
      <c r="C335" s="13"/>
      <c r="D335" s="13"/>
      <c r="E335" s="13"/>
      <c r="F335" s="13"/>
      <c r="G335" s="13"/>
      <c r="H335" s="13"/>
      <c r="I335" s="13"/>
      <c r="J335" s="13"/>
      <c r="K335" s="13">
        <f t="shared" si="85"/>
        <v>0</v>
      </c>
      <c r="L335" s="472">
        <f>'F-09 OGA'!L62+'F-09 CCFFAA'!L79+'F-09 EP'!L323+'F-09 MGP'!L335+'F-09 FAP'!L335+'F-09 CONIDA'!L79+'F-09 ENAMM'!L69</f>
        <v>29248861</v>
      </c>
      <c r="M335" s="13"/>
      <c r="N335" s="13"/>
      <c r="O335" s="13"/>
      <c r="P335" s="13"/>
      <c r="Q335" s="13"/>
      <c r="R335" s="13"/>
      <c r="S335" s="13"/>
      <c r="T335" s="13"/>
      <c r="U335" s="13"/>
      <c r="V335" s="13">
        <f t="shared" si="86"/>
        <v>0</v>
      </c>
      <c r="W335" s="472">
        <f>'F-09 OGA'!W62+'F-09 CCFFAA'!W79+'F-09 EP'!W323+'F-09 MGP'!W335+'F-09 FAP'!W335+'F-09 CONIDA'!W79+'F-09 ENAMM'!W69</f>
        <v>155757</v>
      </c>
      <c r="Z335" s="68"/>
    </row>
    <row r="336" spans="1:26" hidden="1">
      <c r="A336" s="704" t="s">
        <v>6887</v>
      </c>
      <c r="B336" s="477"/>
      <c r="C336" s="477"/>
      <c r="D336" s="477"/>
      <c r="E336" s="477"/>
      <c r="F336" s="477"/>
      <c r="G336" s="477"/>
      <c r="H336" s="477"/>
      <c r="I336" s="477"/>
      <c r="J336" s="480">
        <f>SUM(J337:J341)</f>
        <v>0</v>
      </c>
      <c r="K336" s="477"/>
      <c r="L336" s="479">
        <f>SUM(L337:L339)</f>
        <v>0</v>
      </c>
      <c r="M336" s="478"/>
      <c r="N336" s="477"/>
      <c r="O336" s="477"/>
      <c r="P336" s="477"/>
      <c r="Q336" s="477"/>
      <c r="R336" s="477"/>
      <c r="S336" s="477"/>
      <c r="T336" s="477"/>
      <c r="U336" s="477"/>
      <c r="V336" s="477"/>
      <c r="W336" s="474">
        <f>SUM(W337:W339)</f>
        <v>0</v>
      </c>
      <c r="Z336" s="68"/>
    </row>
    <row r="337" spans="1:26" hidden="1">
      <c r="A337" s="703" t="s">
        <v>6886</v>
      </c>
      <c r="B337" s="13"/>
      <c r="C337" s="13"/>
      <c r="D337" s="13"/>
      <c r="E337" s="13"/>
      <c r="F337" s="13"/>
      <c r="G337" s="13"/>
      <c r="H337" s="13"/>
      <c r="I337" s="13"/>
      <c r="J337" s="13"/>
      <c r="K337" s="13"/>
      <c r="L337" s="472"/>
      <c r="M337" s="13"/>
      <c r="N337" s="13"/>
      <c r="O337" s="13"/>
      <c r="P337" s="13"/>
      <c r="Q337" s="13"/>
      <c r="R337" s="13"/>
      <c r="S337" s="13"/>
      <c r="T337" s="13"/>
      <c r="U337" s="13"/>
      <c r="V337" s="13"/>
      <c r="W337" s="16"/>
      <c r="Z337" s="68"/>
    </row>
    <row r="338" spans="1:26" hidden="1">
      <c r="A338" s="703" t="s">
        <v>6885</v>
      </c>
      <c r="B338" s="13"/>
      <c r="C338" s="13"/>
      <c r="D338" s="13"/>
      <c r="E338" s="13"/>
      <c r="F338" s="13"/>
      <c r="G338" s="13"/>
      <c r="H338" s="13"/>
      <c r="I338" s="13"/>
      <c r="J338" s="13"/>
      <c r="K338" s="13"/>
      <c r="L338" s="472"/>
      <c r="M338" s="13"/>
      <c r="N338" s="13"/>
      <c r="O338" s="13"/>
      <c r="P338" s="13"/>
      <c r="Q338" s="13"/>
      <c r="R338" s="13"/>
      <c r="S338" s="13"/>
      <c r="T338" s="13"/>
      <c r="U338" s="13"/>
      <c r="V338" s="13"/>
      <c r="W338" s="16"/>
      <c r="Z338" s="68"/>
    </row>
    <row r="339" spans="1:26" hidden="1">
      <c r="A339" s="703" t="s">
        <v>6884</v>
      </c>
      <c r="B339" s="13"/>
      <c r="C339" s="13"/>
      <c r="D339" s="13"/>
      <c r="E339" s="13"/>
      <c r="F339" s="13"/>
      <c r="G339" s="13"/>
      <c r="H339" s="13"/>
      <c r="I339" s="13"/>
      <c r="J339" s="13"/>
      <c r="K339" s="13"/>
      <c r="L339" s="472"/>
      <c r="M339" s="13"/>
      <c r="N339" s="13"/>
      <c r="O339" s="13"/>
      <c r="P339" s="13"/>
      <c r="Q339" s="13"/>
      <c r="R339" s="13"/>
      <c r="S339" s="13"/>
      <c r="T339" s="13"/>
      <c r="U339" s="13"/>
      <c r="V339" s="13"/>
      <c r="W339" s="16"/>
      <c r="Z339" s="68"/>
    </row>
    <row r="340" spans="1:26" ht="24">
      <c r="A340" s="708" t="s">
        <v>6883</v>
      </c>
      <c r="B340" s="475">
        <f t="shared" ref="B340:W340" si="87">B341</f>
        <v>0</v>
      </c>
      <c r="C340" s="475">
        <f t="shared" si="87"/>
        <v>0</v>
      </c>
      <c r="D340" s="475">
        <f t="shared" si="87"/>
        <v>0</v>
      </c>
      <c r="E340" s="475">
        <f t="shared" si="87"/>
        <v>0</v>
      </c>
      <c r="F340" s="475">
        <f t="shared" si="87"/>
        <v>0</v>
      </c>
      <c r="G340" s="475">
        <f t="shared" si="87"/>
        <v>0</v>
      </c>
      <c r="H340" s="475">
        <f t="shared" si="87"/>
        <v>0</v>
      </c>
      <c r="I340" s="475">
        <f t="shared" si="87"/>
        <v>0</v>
      </c>
      <c r="J340" s="475">
        <f t="shared" si="87"/>
        <v>0</v>
      </c>
      <c r="K340" s="475">
        <f t="shared" si="87"/>
        <v>0</v>
      </c>
      <c r="L340" s="474">
        <f t="shared" si="87"/>
        <v>261614935.19602001</v>
      </c>
      <c r="M340" s="475">
        <f t="shared" si="87"/>
        <v>0</v>
      </c>
      <c r="N340" s="475">
        <f t="shared" si="87"/>
        <v>0</v>
      </c>
      <c r="O340" s="475">
        <f t="shared" si="87"/>
        <v>0</v>
      </c>
      <c r="P340" s="475">
        <f t="shared" si="87"/>
        <v>0</v>
      </c>
      <c r="Q340" s="475">
        <f t="shared" si="87"/>
        <v>0</v>
      </c>
      <c r="R340" s="475">
        <f t="shared" si="87"/>
        <v>0</v>
      </c>
      <c r="S340" s="475">
        <f t="shared" si="87"/>
        <v>0</v>
      </c>
      <c r="T340" s="475">
        <f t="shared" si="87"/>
        <v>0</v>
      </c>
      <c r="U340" s="475">
        <f t="shared" si="87"/>
        <v>0</v>
      </c>
      <c r="V340" s="475">
        <f t="shared" si="87"/>
        <v>0</v>
      </c>
      <c r="W340" s="474">
        <f t="shared" si="87"/>
        <v>319000622.430664</v>
      </c>
    </row>
    <row r="341" spans="1:26" ht="13.5" thickBot="1">
      <c r="A341" s="703" t="s">
        <v>6882</v>
      </c>
      <c r="B341" s="13"/>
      <c r="C341" s="13"/>
      <c r="D341" s="13"/>
      <c r="E341" s="13"/>
      <c r="F341" s="13"/>
      <c r="G341" s="13"/>
      <c r="H341" s="13"/>
      <c r="I341" s="13"/>
      <c r="J341" s="473"/>
      <c r="K341" s="473">
        <f>SUM(B341:J341)</f>
        <v>0</v>
      </c>
      <c r="L341" s="472">
        <f>'F-09 OGA'!L64+'F-09 CCFFAA'!L85+'F-09 EP'!L329+'F-09 MGP'!L341+'F-09 FAP'!L341+'F-09 CONIDA'!L85+'F-09 ENAMM'!L75+'F-09 OPREFA'!L56</f>
        <v>261614935.19602001</v>
      </c>
      <c r="M341" s="13"/>
      <c r="N341" s="13"/>
      <c r="O341" s="13"/>
      <c r="P341" s="13"/>
      <c r="Q341" s="13"/>
      <c r="R341" s="13"/>
      <c r="S341" s="13"/>
      <c r="T341" s="13"/>
      <c r="U341" s="473"/>
      <c r="V341" s="473">
        <f>SUM(M341:U341)</f>
        <v>0</v>
      </c>
      <c r="W341" s="472">
        <f>'F-09 OGA'!W64+'F-09 CCFFAA'!W85+'F-09 EP'!W329+'F-09 MGP'!W341+'F-09 FAP'!W341+'F-09 CONIDA'!W85+'F-09 ENAMM'!W75+'F-09 OPREFA'!W56</f>
        <v>319000622.430664</v>
      </c>
      <c r="Z341" s="68"/>
    </row>
    <row r="342" spans="1:26" ht="13.5" thickBot="1">
      <c r="A342" s="17" t="s">
        <v>23</v>
      </c>
      <c r="B342" s="471">
        <f>B10+B50+B79+B91+B213+B219+B292+B306+B329+B336+B340+B67</f>
        <v>19281</v>
      </c>
      <c r="C342" s="470">
        <f t="shared" ref="C342:H342" si="88">C10+C50+C79+C91+C213+C219+C292+C306+C329+C336+C340</f>
        <v>35</v>
      </c>
      <c r="D342" s="470">
        <f t="shared" si="88"/>
        <v>1130</v>
      </c>
      <c r="E342" s="470">
        <f t="shared" si="88"/>
        <v>4</v>
      </c>
      <c r="F342" s="470">
        <f t="shared" si="88"/>
        <v>0</v>
      </c>
      <c r="G342" s="470">
        <f t="shared" si="88"/>
        <v>0</v>
      </c>
      <c r="H342" s="470">
        <f t="shared" si="88"/>
        <v>0</v>
      </c>
      <c r="I342" s="470">
        <f>I10+I50+I79+I91+I213+I219+I292+I306+I329+I336+I340+I314</f>
        <v>251</v>
      </c>
      <c r="J342" s="470">
        <f>J10+J50+J79+J91+J213+J219+J292+J306+J329+J336+J340+J314</f>
        <v>99614</v>
      </c>
      <c r="K342" s="470">
        <f>K10+K50+K79+K91+K213+K219+K292+K306+K329+K336+K314+K67+K317</f>
        <v>120564</v>
      </c>
      <c r="L342" s="469">
        <f>L10+L50+L79+L91+L213+L219+L292+L306+L329+L336+L340+L314+L67+L317</f>
        <v>3876266098.7586503</v>
      </c>
      <c r="M342" s="471">
        <f t="shared" ref="M342:T342" si="89">M10+M50+M79+M91+M213+M219+M292+M306+M329+M336+M340+M67+M317</f>
        <v>19356</v>
      </c>
      <c r="N342" s="470">
        <f t="shared" si="89"/>
        <v>37</v>
      </c>
      <c r="O342" s="470">
        <f t="shared" si="89"/>
        <v>1055</v>
      </c>
      <c r="P342" s="470">
        <f t="shared" si="89"/>
        <v>4</v>
      </c>
      <c r="Q342" s="470">
        <f t="shared" si="89"/>
        <v>0</v>
      </c>
      <c r="R342" s="470">
        <f t="shared" si="89"/>
        <v>0</v>
      </c>
      <c r="S342" s="470">
        <f t="shared" si="89"/>
        <v>0</v>
      </c>
      <c r="T342" s="470">
        <f t="shared" si="89"/>
        <v>233</v>
      </c>
      <c r="U342" s="470">
        <f>U10+U50+U79+U91+U219+U292+U306+U329+U336+U340+U67+U317</f>
        <v>98046</v>
      </c>
      <c r="V342" s="470">
        <f>V10+V50+V67+V79+V91+V219+V292+V306+V317+1</f>
        <v>118732</v>
      </c>
      <c r="W342" s="469">
        <f>W10+W50+W79+W91+W213+W219+W292+W306+W329+W336+W340+W314+W67+W317</f>
        <v>3881847473.537322</v>
      </c>
      <c r="X342" s="55"/>
      <c r="Z342" s="68"/>
    </row>
    <row r="343" spans="1:26" s="712" customFormat="1" ht="6">
      <c r="A343" s="2007"/>
      <c r="B343" s="2008"/>
      <c r="C343" s="2008"/>
      <c r="D343" s="2008"/>
      <c r="E343" s="2008"/>
      <c r="F343" s="2008"/>
      <c r="G343" s="2008"/>
      <c r="H343" s="2008"/>
      <c r="I343" s="2008"/>
      <c r="J343" s="2008"/>
      <c r="K343" s="2008"/>
      <c r="L343" s="2008"/>
      <c r="M343" s="2008"/>
      <c r="N343" s="2008"/>
      <c r="O343" s="2008"/>
      <c r="P343" s="2008"/>
      <c r="Q343" s="2008"/>
      <c r="R343" s="2008"/>
      <c r="S343" s="2008"/>
      <c r="T343" s="2008"/>
      <c r="U343" s="2008"/>
      <c r="V343" s="2008"/>
      <c r="W343" s="2009"/>
      <c r="X343" s="711"/>
    </row>
    <row r="344" spans="1:26" ht="15">
      <c r="A344" s="2004" t="s">
        <v>7177</v>
      </c>
      <c r="B344" s="2005"/>
      <c r="C344" s="2005"/>
      <c r="D344" s="2005"/>
      <c r="E344" s="2005"/>
      <c r="F344" s="2005"/>
      <c r="G344" s="2005"/>
      <c r="H344" s="2005"/>
      <c r="I344" s="2005"/>
      <c r="J344" s="2005"/>
      <c r="K344" s="2005"/>
      <c r="L344" s="2005"/>
      <c r="M344" s="2005"/>
      <c r="N344" s="2005"/>
      <c r="O344" s="2005"/>
      <c r="P344" s="2005"/>
      <c r="Q344" s="2005"/>
      <c r="R344" s="2005"/>
      <c r="S344" s="2005"/>
      <c r="T344" s="2005"/>
      <c r="U344" s="2005"/>
      <c r="V344" s="2005"/>
      <c r="W344" s="2006"/>
      <c r="Y344" s="68"/>
      <c r="Z344" s="68"/>
    </row>
    <row r="345" spans="1:26" s="710" customFormat="1" ht="8.25">
      <c r="A345" s="2010"/>
      <c r="B345" s="2011"/>
      <c r="C345" s="2011"/>
      <c r="D345" s="2011"/>
      <c r="E345" s="2011"/>
      <c r="F345" s="2011"/>
      <c r="G345" s="2011"/>
      <c r="H345" s="2011"/>
      <c r="I345" s="2011"/>
      <c r="J345" s="2011"/>
      <c r="K345" s="2011"/>
      <c r="L345" s="2011"/>
      <c r="M345" s="2011"/>
      <c r="N345" s="2011"/>
      <c r="O345" s="2011"/>
      <c r="P345" s="2011"/>
      <c r="Q345" s="2011"/>
      <c r="R345" s="2011"/>
      <c r="S345" s="2011"/>
      <c r="T345" s="2011"/>
      <c r="U345" s="2011"/>
      <c r="V345" s="2011"/>
      <c r="W345" s="2012"/>
      <c r="X345" s="709"/>
    </row>
    <row r="346" spans="1:26">
      <c r="A346" s="704" t="s">
        <v>48</v>
      </c>
      <c r="B346" s="478">
        <f t="shared" ref="B346:W346" si="90">B347</f>
        <v>30</v>
      </c>
      <c r="C346" s="482">
        <f t="shared" si="90"/>
        <v>0</v>
      </c>
      <c r="D346" s="482">
        <f t="shared" si="90"/>
        <v>0</v>
      </c>
      <c r="E346" s="482">
        <f t="shared" si="90"/>
        <v>0</v>
      </c>
      <c r="F346" s="482">
        <f t="shared" si="90"/>
        <v>0</v>
      </c>
      <c r="G346" s="482">
        <f t="shared" si="90"/>
        <v>0</v>
      </c>
      <c r="H346" s="482">
        <f t="shared" si="90"/>
        <v>0</v>
      </c>
      <c r="I346" s="482">
        <f t="shared" si="90"/>
        <v>0</v>
      </c>
      <c r="J346" s="482">
        <f t="shared" si="90"/>
        <v>0</v>
      </c>
      <c r="K346" s="482">
        <f t="shared" si="90"/>
        <v>30</v>
      </c>
      <c r="L346" s="507">
        <f t="shared" si="90"/>
        <v>800005</v>
      </c>
      <c r="M346" s="478">
        <f t="shared" si="90"/>
        <v>30</v>
      </c>
      <c r="N346" s="482">
        <f t="shared" si="90"/>
        <v>0</v>
      </c>
      <c r="O346" s="482">
        <f t="shared" si="90"/>
        <v>0</v>
      </c>
      <c r="P346" s="482">
        <f t="shared" si="90"/>
        <v>0</v>
      </c>
      <c r="Q346" s="482">
        <f t="shared" si="90"/>
        <v>0</v>
      </c>
      <c r="R346" s="482">
        <f t="shared" si="90"/>
        <v>0</v>
      </c>
      <c r="S346" s="482">
        <f t="shared" si="90"/>
        <v>0</v>
      </c>
      <c r="T346" s="482">
        <f t="shared" si="90"/>
        <v>0</v>
      </c>
      <c r="U346" s="482">
        <f t="shared" si="90"/>
        <v>0</v>
      </c>
      <c r="V346" s="482">
        <f t="shared" si="90"/>
        <v>30</v>
      </c>
      <c r="W346" s="507">
        <f t="shared" si="90"/>
        <v>170656</v>
      </c>
      <c r="X346" s="55"/>
      <c r="Z346" s="68"/>
    </row>
    <row r="347" spans="1:26">
      <c r="A347" s="705" t="s">
        <v>4</v>
      </c>
      <c r="B347" s="506">
        <f t="shared" ref="B347:W347" si="91">SUM(B348:B353)</f>
        <v>30</v>
      </c>
      <c r="C347" s="484">
        <f t="shared" si="91"/>
        <v>0</v>
      </c>
      <c r="D347" s="484">
        <f t="shared" si="91"/>
        <v>0</v>
      </c>
      <c r="E347" s="484">
        <f t="shared" si="91"/>
        <v>0</v>
      </c>
      <c r="F347" s="484">
        <f t="shared" si="91"/>
        <v>0</v>
      </c>
      <c r="G347" s="484">
        <f t="shared" si="91"/>
        <v>0</v>
      </c>
      <c r="H347" s="484">
        <f t="shared" si="91"/>
        <v>0</v>
      </c>
      <c r="I347" s="484">
        <f t="shared" si="91"/>
        <v>0</v>
      </c>
      <c r="J347" s="484">
        <f t="shared" si="91"/>
        <v>0</v>
      </c>
      <c r="K347" s="484">
        <f t="shared" si="91"/>
        <v>30</v>
      </c>
      <c r="L347" s="485">
        <f t="shared" si="91"/>
        <v>800005</v>
      </c>
      <c r="M347" s="506">
        <f t="shared" si="91"/>
        <v>30</v>
      </c>
      <c r="N347" s="484">
        <f t="shared" si="91"/>
        <v>0</v>
      </c>
      <c r="O347" s="484">
        <f t="shared" si="91"/>
        <v>0</v>
      </c>
      <c r="P347" s="484">
        <f t="shared" si="91"/>
        <v>0</v>
      </c>
      <c r="Q347" s="484">
        <f t="shared" si="91"/>
        <v>0</v>
      </c>
      <c r="R347" s="484">
        <f t="shared" si="91"/>
        <v>0</v>
      </c>
      <c r="S347" s="484">
        <f t="shared" si="91"/>
        <v>0</v>
      </c>
      <c r="T347" s="484">
        <f t="shared" si="91"/>
        <v>0</v>
      </c>
      <c r="U347" s="484">
        <f t="shared" si="91"/>
        <v>0</v>
      </c>
      <c r="V347" s="484">
        <f t="shared" si="91"/>
        <v>30</v>
      </c>
      <c r="W347" s="485">
        <f t="shared" si="91"/>
        <v>170656</v>
      </c>
      <c r="Z347" s="68"/>
    </row>
    <row r="348" spans="1:26" hidden="1">
      <c r="A348" s="703" t="s">
        <v>13</v>
      </c>
      <c r="B348" s="503"/>
      <c r="C348" s="13"/>
      <c r="D348" s="13"/>
      <c r="E348" s="13"/>
      <c r="F348" s="13"/>
      <c r="G348" s="13"/>
      <c r="H348" s="13"/>
      <c r="I348" s="13"/>
      <c r="J348" s="13"/>
      <c r="K348" s="13">
        <f t="shared" ref="K348:K353" si="92">SUM(B348:J348)</f>
        <v>0</v>
      </c>
      <c r="L348" s="472"/>
      <c r="M348" s="503"/>
      <c r="N348" s="13"/>
      <c r="O348" s="13"/>
      <c r="P348" s="13"/>
      <c r="Q348" s="13"/>
      <c r="R348" s="13"/>
      <c r="S348" s="13"/>
      <c r="T348" s="13"/>
      <c r="U348" s="13"/>
      <c r="V348" s="13">
        <f t="shared" ref="V348:V353" si="93">SUM(M348:U348)</f>
        <v>0</v>
      </c>
      <c r="W348" s="472"/>
      <c r="Z348" s="68"/>
    </row>
    <row r="349" spans="1:26" hidden="1">
      <c r="A349" s="703" t="s">
        <v>6978</v>
      </c>
      <c r="B349" s="503"/>
      <c r="C349" s="13"/>
      <c r="D349" s="13"/>
      <c r="E349" s="13"/>
      <c r="F349" s="13"/>
      <c r="G349" s="13"/>
      <c r="H349" s="13"/>
      <c r="I349" s="13"/>
      <c r="J349" s="13"/>
      <c r="K349" s="13">
        <f t="shared" si="92"/>
        <v>0</v>
      </c>
      <c r="L349" s="472"/>
      <c r="M349" s="503"/>
      <c r="N349" s="13"/>
      <c r="O349" s="13"/>
      <c r="P349" s="13"/>
      <c r="Q349" s="13"/>
      <c r="R349" s="13"/>
      <c r="S349" s="13"/>
      <c r="T349" s="13"/>
      <c r="U349" s="13"/>
      <c r="V349" s="13">
        <f t="shared" si="93"/>
        <v>0</v>
      </c>
      <c r="W349" s="472"/>
      <c r="Z349" s="68"/>
    </row>
    <row r="350" spans="1:26" hidden="1">
      <c r="A350" s="703" t="s">
        <v>6977</v>
      </c>
      <c r="B350" s="503"/>
      <c r="C350" s="13"/>
      <c r="D350" s="13"/>
      <c r="E350" s="13"/>
      <c r="F350" s="13"/>
      <c r="G350" s="13"/>
      <c r="H350" s="13"/>
      <c r="I350" s="13"/>
      <c r="J350" s="13"/>
      <c r="K350" s="13">
        <f t="shared" si="92"/>
        <v>0</v>
      </c>
      <c r="L350" s="472"/>
      <c r="M350" s="503"/>
      <c r="N350" s="13"/>
      <c r="O350" s="13"/>
      <c r="P350" s="13"/>
      <c r="Q350" s="13"/>
      <c r="R350" s="13"/>
      <c r="S350" s="13"/>
      <c r="T350" s="13"/>
      <c r="U350" s="13"/>
      <c r="V350" s="13">
        <f t="shared" si="93"/>
        <v>0</v>
      </c>
      <c r="W350" s="472"/>
      <c r="X350" s="55"/>
      <c r="Z350" s="68"/>
    </row>
    <row r="351" spans="1:26" hidden="1">
      <c r="A351" s="703" t="s">
        <v>6976</v>
      </c>
      <c r="B351" s="503"/>
      <c r="C351" s="13"/>
      <c r="D351" s="13"/>
      <c r="E351" s="13"/>
      <c r="F351" s="13"/>
      <c r="G351" s="13"/>
      <c r="H351" s="13"/>
      <c r="I351" s="13"/>
      <c r="J351" s="13"/>
      <c r="K351" s="13">
        <f t="shared" si="92"/>
        <v>0</v>
      </c>
      <c r="L351" s="472"/>
      <c r="M351" s="503"/>
      <c r="N351" s="13"/>
      <c r="O351" s="13"/>
      <c r="P351" s="13"/>
      <c r="Q351" s="13"/>
      <c r="R351" s="13"/>
      <c r="S351" s="13"/>
      <c r="T351" s="13"/>
      <c r="U351" s="13"/>
      <c r="V351" s="13">
        <f t="shared" si="93"/>
        <v>0</v>
      </c>
      <c r="W351" s="472"/>
      <c r="Z351" s="68"/>
    </row>
    <row r="352" spans="1:26">
      <c r="A352" s="703" t="s">
        <v>7063</v>
      </c>
      <c r="B352" s="503">
        <f>'F-09 ENAMM'!B86</f>
        <v>3</v>
      </c>
      <c r="C352" s="13"/>
      <c r="D352" s="13"/>
      <c r="E352" s="13"/>
      <c r="F352" s="13"/>
      <c r="G352" s="13"/>
      <c r="H352" s="13"/>
      <c r="I352" s="13"/>
      <c r="J352" s="13"/>
      <c r="K352" s="13">
        <f t="shared" si="92"/>
        <v>3</v>
      </c>
      <c r="L352" s="472">
        <f>'F-09 ENAMM'!L86</f>
        <v>128568</v>
      </c>
      <c r="M352" s="503">
        <f>'F-09 ENAMM'!M86</f>
        <v>3</v>
      </c>
      <c r="N352" s="13"/>
      <c r="O352" s="13"/>
      <c r="P352" s="13"/>
      <c r="Q352" s="13"/>
      <c r="R352" s="13"/>
      <c r="S352" s="13"/>
      <c r="T352" s="13"/>
      <c r="U352" s="13"/>
      <c r="V352" s="13">
        <f t="shared" si="93"/>
        <v>3</v>
      </c>
      <c r="W352" s="472">
        <f>'F-09 ENAMM'!W86</f>
        <v>0</v>
      </c>
      <c r="Z352" s="68"/>
    </row>
    <row r="353" spans="1:26">
      <c r="A353" s="703" t="s">
        <v>7063</v>
      </c>
      <c r="B353" s="503">
        <f>'F-09 ENAMM'!B87</f>
        <v>27</v>
      </c>
      <c r="C353" s="13"/>
      <c r="D353" s="13"/>
      <c r="E353" s="13"/>
      <c r="F353" s="13"/>
      <c r="G353" s="13"/>
      <c r="H353" s="13"/>
      <c r="I353" s="13"/>
      <c r="J353" s="13"/>
      <c r="K353" s="13">
        <f t="shared" si="92"/>
        <v>27</v>
      </c>
      <c r="L353" s="472">
        <f>'F-09 ENAMM'!L87</f>
        <v>671437</v>
      </c>
      <c r="M353" s="503">
        <f>'F-09 ENAMM'!M87</f>
        <v>27</v>
      </c>
      <c r="N353" s="13"/>
      <c r="O353" s="13"/>
      <c r="P353" s="13"/>
      <c r="Q353" s="13"/>
      <c r="R353" s="13"/>
      <c r="S353" s="13"/>
      <c r="T353" s="13"/>
      <c r="U353" s="13"/>
      <c r="V353" s="13">
        <f t="shared" si="93"/>
        <v>27</v>
      </c>
      <c r="W353" s="472">
        <f>'F-09 ENAMM'!W87</f>
        <v>170656</v>
      </c>
      <c r="Z353" s="68"/>
    </row>
    <row r="354" spans="1:26" ht="24">
      <c r="A354" s="704" t="s">
        <v>6909</v>
      </c>
      <c r="B354" s="478"/>
      <c r="C354" s="482"/>
      <c r="D354" s="482">
        <f t="shared" ref="D354:W354" si="94">SUM(D355:D357)</f>
        <v>396</v>
      </c>
      <c r="E354" s="482">
        <f t="shared" si="94"/>
        <v>0</v>
      </c>
      <c r="F354" s="482">
        <f t="shared" si="94"/>
        <v>0</v>
      </c>
      <c r="G354" s="482">
        <f t="shared" si="94"/>
        <v>0</v>
      </c>
      <c r="H354" s="482">
        <f t="shared" si="94"/>
        <v>0</v>
      </c>
      <c r="I354" s="482">
        <f t="shared" si="94"/>
        <v>0</v>
      </c>
      <c r="J354" s="482">
        <f t="shared" si="94"/>
        <v>0</v>
      </c>
      <c r="K354" s="482">
        <f t="shared" si="94"/>
        <v>396</v>
      </c>
      <c r="L354" s="474">
        <f t="shared" si="94"/>
        <v>11852083.960000001</v>
      </c>
      <c r="M354" s="478">
        <f t="shared" si="94"/>
        <v>0</v>
      </c>
      <c r="N354" s="482">
        <f t="shared" si="94"/>
        <v>0</v>
      </c>
      <c r="O354" s="482">
        <f t="shared" si="94"/>
        <v>406</v>
      </c>
      <c r="P354" s="482">
        <f t="shared" si="94"/>
        <v>0</v>
      </c>
      <c r="Q354" s="482">
        <f t="shared" si="94"/>
        <v>0</v>
      </c>
      <c r="R354" s="482">
        <f t="shared" si="94"/>
        <v>0</v>
      </c>
      <c r="S354" s="482">
        <f t="shared" si="94"/>
        <v>0</v>
      </c>
      <c r="T354" s="482">
        <f t="shared" si="94"/>
        <v>0</v>
      </c>
      <c r="U354" s="482">
        <f t="shared" si="94"/>
        <v>0</v>
      </c>
      <c r="V354" s="482">
        <f t="shared" si="94"/>
        <v>406</v>
      </c>
      <c r="W354" s="474">
        <f t="shared" si="94"/>
        <v>10050989.960000001</v>
      </c>
      <c r="Y354" s="490"/>
      <c r="Z354" s="68"/>
    </row>
    <row r="355" spans="1:26" ht="24">
      <c r="A355" s="703" t="s">
        <v>6908</v>
      </c>
      <c r="B355" s="503"/>
      <c r="C355" s="13"/>
      <c r="D355" s="13">
        <v>159</v>
      </c>
      <c r="E355" s="13"/>
      <c r="F355" s="13"/>
      <c r="G355" s="13"/>
      <c r="H355" s="13"/>
      <c r="I355" s="13"/>
      <c r="J355" s="13"/>
      <c r="K355" s="13">
        <f>SUM(B355:J355)</f>
        <v>159</v>
      </c>
      <c r="L355" s="473">
        <v>7347477.3521568626</v>
      </c>
      <c r="M355" s="503"/>
      <c r="N355" s="13"/>
      <c r="O355" s="13">
        <v>166</v>
      </c>
      <c r="P355" s="13"/>
      <c r="Q355" s="13"/>
      <c r="R355" s="13"/>
      <c r="S355" s="13"/>
      <c r="T355" s="13"/>
      <c r="U355" s="13"/>
      <c r="V355" s="13">
        <f>SUM(M355:U355)</f>
        <v>166</v>
      </c>
      <c r="W355" s="504">
        <v>6272570.0449673198</v>
      </c>
      <c r="Y355" s="489"/>
      <c r="Z355" s="68"/>
    </row>
    <row r="356" spans="1:26" ht="24">
      <c r="A356" s="703" t="s">
        <v>6907</v>
      </c>
      <c r="B356" s="503"/>
      <c r="C356" s="13"/>
      <c r="D356" s="13">
        <v>88</v>
      </c>
      <c r="E356" s="13"/>
      <c r="F356" s="13"/>
      <c r="G356" s="13"/>
      <c r="H356" s="13"/>
      <c r="I356" s="13"/>
      <c r="J356" s="13"/>
      <c r="K356" s="13">
        <f>SUM(B356:J356)</f>
        <v>88</v>
      </c>
      <c r="L356" s="473">
        <v>1643713.1470588236</v>
      </c>
      <c r="M356" s="503"/>
      <c r="N356" s="13"/>
      <c r="O356" s="13">
        <v>91</v>
      </c>
      <c r="P356" s="13"/>
      <c r="Q356" s="13"/>
      <c r="R356" s="13"/>
      <c r="S356" s="13"/>
      <c r="T356" s="13"/>
      <c r="U356" s="13"/>
      <c r="V356" s="13">
        <f>SUM(M356:U356)</f>
        <v>91</v>
      </c>
      <c r="W356" s="504">
        <v>1510756.3235294118</v>
      </c>
      <c r="Y356" s="489"/>
      <c r="Z356" s="68"/>
    </row>
    <row r="357" spans="1:26" ht="24">
      <c r="A357" s="703" t="s">
        <v>6906</v>
      </c>
      <c r="B357" s="503"/>
      <c r="C357" s="13"/>
      <c r="D357" s="13">
        <v>149</v>
      </c>
      <c r="E357" s="13"/>
      <c r="F357" s="13"/>
      <c r="G357" s="13"/>
      <c r="H357" s="13"/>
      <c r="I357" s="13"/>
      <c r="J357" s="13"/>
      <c r="K357" s="13">
        <f>SUM(B357:J357)</f>
        <v>149</v>
      </c>
      <c r="L357" s="473">
        <v>2860893.4607843137</v>
      </c>
      <c r="M357" s="503"/>
      <c r="N357" s="13"/>
      <c r="O357" s="13">
        <v>149</v>
      </c>
      <c r="P357" s="13"/>
      <c r="Q357" s="13"/>
      <c r="R357" s="13"/>
      <c r="S357" s="13"/>
      <c r="T357" s="13"/>
      <c r="U357" s="13"/>
      <c r="V357" s="13">
        <f>SUM(M357:U357)</f>
        <v>149</v>
      </c>
      <c r="W357" s="504">
        <v>2267663.5915032681</v>
      </c>
      <c r="Y357" s="489"/>
      <c r="Z357" s="68"/>
    </row>
    <row r="358" spans="1:26" hidden="1">
      <c r="A358" s="703"/>
      <c r="B358" s="503"/>
      <c r="C358" s="13"/>
      <c r="D358" s="13"/>
      <c r="E358" s="13"/>
      <c r="F358" s="13"/>
      <c r="G358" s="13"/>
      <c r="H358" s="13"/>
      <c r="I358" s="13"/>
      <c r="J358" s="13"/>
      <c r="K358" s="13"/>
      <c r="L358" s="472"/>
      <c r="M358" s="503"/>
      <c r="N358" s="13"/>
      <c r="O358" s="13"/>
      <c r="P358" s="13"/>
      <c r="Q358" s="13"/>
      <c r="R358" s="13"/>
      <c r="S358" s="13"/>
      <c r="T358" s="13"/>
      <c r="U358" s="13"/>
      <c r="V358" s="13"/>
      <c r="W358" s="472"/>
      <c r="Z358" s="68"/>
    </row>
    <row r="359" spans="1:26">
      <c r="A359" s="704" t="s">
        <v>6903</v>
      </c>
      <c r="B359" s="505">
        <f t="shared" ref="B359:W359" si="95">B360</f>
        <v>0</v>
      </c>
      <c r="C359" s="477">
        <f t="shared" si="95"/>
        <v>0</v>
      </c>
      <c r="D359" s="477">
        <f t="shared" si="95"/>
        <v>0</v>
      </c>
      <c r="E359" s="477">
        <f t="shared" si="95"/>
        <v>0</v>
      </c>
      <c r="F359" s="477">
        <f t="shared" si="95"/>
        <v>0</v>
      </c>
      <c r="G359" s="477">
        <f t="shared" si="95"/>
        <v>0</v>
      </c>
      <c r="H359" s="477">
        <f t="shared" si="95"/>
        <v>0</v>
      </c>
      <c r="I359" s="477">
        <f t="shared" si="95"/>
        <v>14</v>
      </c>
      <c r="J359" s="477">
        <f t="shared" si="95"/>
        <v>0</v>
      </c>
      <c r="K359" s="477">
        <f t="shared" si="95"/>
        <v>14</v>
      </c>
      <c r="L359" s="474">
        <f t="shared" si="95"/>
        <v>180392</v>
      </c>
      <c r="M359" s="505">
        <f t="shared" si="95"/>
        <v>0</v>
      </c>
      <c r="N359" s="477">
        <f t="shared" si="95"/>
        <v>0</v>
      </c>
      <c r="O359" s="477">
        <f t="shared" si="95"/>
        <v>0</v>
      </c>
      <c r="P359" s="477">
        <f t="shared" si="95"/>
        <v>0</v>
      </c>
      <c r="Q359" s="477">
        <f t="shared" si="95"/>
        <v>0</v>
      </c>
      <c r="R359" s="477">
        <f t="shared" si="95"/>
        <v>0</v>
      </c>
      <c r="S359" s="477">
        <f t="shared" si="95"/>
        <v>0</v>
      </c>
      <c r="T359" s="477">
        <f t="shared" si="95"/>
        <v>14</v>
      </c>
      <c r="U359" s="477">
        <f t="shared" si="95"/>
        <v>0</v>
      </c>
      <c r="V359" s="477">
        <f t="shared" si="95"/>
        <v>14</v>
      </c>
      <c r="W359" s="474">
        <f t="shared" si="95"/>
        <v>180394</v>
      </c>
      <c r="Z359" s="68"/>
    </row>
    <row r="360" spans="1:26">
      <c r="A360" s="703" t="s">
        <v>6902</v>
      </c>
      <c r="B360" s="503">
        <f>'F-09 CCFFAA'!B59+'F-09 EP'!B303+'F-09 MGP'!B315+'F-09 FAP'!B315+'F-09 CONIDA'!B59+'F-09 OPREFA'!B51</f>
        <v>0</v>
      </c>
      <c r="C360" s="13">
        <f>'F-09 CCFFAA'!C59+'F-09 EP'!C303+'F-09 MGP'!C315+'F-09 FAP'!C315+'F-09 CONIDA'!C59+'F-09 OPREFA'!C51</f>
        <v>0</v>
      </c>
      <c r="D360" s="13">
        <f>'F-09 CCFFAA'!D59+'F-09 EP'!D303+'F-09 MGP'!D315+'F-09 FAP'!D315+'F-09 CONIDA'!D59+'F-09 OPREFA'!D51</f>
        <v>0</v>
      </c>
      <c r="E360" s="13">
        <f>'F-09 CCFFAA'!E59+'F-09 EP'!E303+'F-09 MGP'!E315+'F-09 FAP'!E315+'F-09 CONIDA'!E59+'F-09 OPREFA'!E51</f>
        <v>0</v>
      </c>
      <c r="F360" s="13">
        <f>'F-09 CCFFAA'!F59+'F-09 EP'!F303+'F-09 MGP'!F315+'F-09 FAP'!F315+'F-09 CONIDA'!F59+'F-09 OPREFA'!F51</f>
        <v>0</v>
      </c>
      <c r="G360" s="13">
        <f>'F-09 CCFFAA'!G59+'F-09 EP'!G303+'F-09 MGP'!G315+'F-09 FAP'!G315+'F-09 CONIDA'!G59+'F-09 OPREFA'!G51</f>
        <v>0</v>
      </c>
      <c r="H360" s="13">
        <f>'F-09 CCFFAA'!H59+'F-09 EP'!H303+'F-09 MGP'!H315+'F-09 FAP'!H315+'F-09 CONIDA'!H59+'F-09 OPREFA'!H51</f>
        <v>0</v>
      </c>
      <c r="I360" s="13">
        <f>'F-09 MGP'!I352+'F-09 ENAMM'!I94</f>
        <v>14</v>
      </c>
      <c r="J360" s="13">
        <f>'F-09 CCFFAA'!J59+'F-09 EP'!J303+'F-09 MGP'!J315+'F-09 FAP'!J315+'F-09 CONIDA'!J59+'F-09 OPREFA'!J51</f>
        <v>0</v>
      </c>
      <c r="K360" s="13">
        <f>SUM(B360:J360)</f>
        <v>14</v>
      </c>
      <c r="L360" s="473">
        <f>'F-09 MGP'!L352+'F-09 ENAMM'!L94</f>
        <v>180392</v>
      </c>
      <c r="M360" s="503">
        <f>'F-09 CCFFAA'!M59+'F-09 EP'!M303+'F-09 MGP'!M315+'F-09 FAP'!M315+'F-09 CONIDA'!M59+'F-09 OPREFA'!M51</f>
        <v>0</v>
      </c>
      <c r="N360" s="13">
        <f>'F-09 CCFFAA'!N59+'F-09 EP'!N303+'F-09 MGP'!N315+'F-09 FAP'!N315+'F-09 CONIDA'!N59+'F-09 OPREFA'!N51</f>
        <v>0</v>
      </c>
      <c r="O360" s="13">
        <f>'F-09 CCFFAA'!O59+'F-09 EP'!O303+'F-09 MGP'!O315+'F-09 FAP'!O315+'F-09 CONIDA'!O59+'F-09 OPREFA'!O51</f>
        <v>0</v>
      </c>
      <c r="P360" s="13">
        <f>'F-09 CCFFAA'!P59+'F-09 EP'!P303+'F-09 MGP'!P315+'F-09 FAP'!P315+'F-09 CONIDA'!P59+'F-09 OPREFA'!P51</f>
        <v>0</v>
      </c>
      <c r="Q360" s="13">
        <f>'F-09 CCFFAA'!Q59+'F-09 EP'!Q303+'F-09 MGP'!Q315+'F-09 FAP'!Q315+'F-09 CONIDA'!Q59+'F-09 OPREFA'!Q51</f>
        <v>0</v>
      </c>
      <c r="R360" s="13">
        <f>'F-09 CCFFAA'!R59+'F-09 EP'!R303+'F-09 MGP'!R315+'F-09 FAP'!R315+'F-09 CONIDA'!R59+'F-09 OPREFA'!R51</f>
        <v>0</v>
      </c>
      <c r="S360" s="13">
        <f>'F-09 CCFFAA'!S59+'F-09 EP'!S303+'F-09 MGP'!S315+'F-09 FAP'!S315+'F-09 CONIDA'!S59+'F-09 OPREFA'!S51</f>
        <v>0</v>
      </c>
      <c r="T360" s="13">
        <f>'F-09 MGP'!T352+'F-09 ENAMM'!T94</f>
        <v>14</v>
      </c>
      <c r="U360" s="13">
        <f>'F-09 CCFFAA'!U59+'F-09 EP'!U303+'F-09 MGP'!U315+'F-09 FAP'!U315+'F-09 CONIDA'!U59+'F-09 OPREFA'!U51</f>
        <v>0</v>
      </c>
      <c r="V360" s="13">
        <f>SUM(M360:U360)</f>
        <v>14</v>
      </c>
      <c r="W360" s="504">
        <f>'F-09 MGP'!W352+'F-09 ENAMM'!W94</f>
        <v>180394</v>
      </c>
      <c r="Z360" s="68"/>
    </row>
    <row r="361" spans="1:26" hidden="1">
      <c r="A361" s="703"/>
      <c r="B361" s="503"/>
      <c r="C361" s="13"/>
      <c r="D361" s="13"/>
      <c r="E361" s="13"/>
      <c r="F361" s="13"/>
      <c r="G361" s="13"/>
      <c r="H361" s="13"/>
      <c r="I361" s="13"/>
      <c r="J361" s="13"/>
      <c r="K361" s="13"/>
      <c r="L361" s="472"/>
      <c r="M361" s="503"/>
      <c r="N361" s="13"/>
      <c r="O361" s="13"/>
      <c r="P361" s="13"/>
      <c r="Q361" s="13"/>
      <c r="R361" s="13"/>
      <c r="S361" s="13"/>
      <c r="T361" s="13"/>
      <c r="U361" s="13"/>
      <c r="V361" s="13"/>
      <c r="W361" s="16"/>
      <c r="Z361" s="68"/>
    </row>
    <row r="362" spans="1:26">
      <c r="A362" s="704" t="s">
        <v>6894</v>
      </c>
      <c r="B362" s="478"/>
      <c r="C362" s="482"/>
      <c r="D362" s="482"/>
      <c r="E362" s="482"/>
      <c r="F362" s="482"/>
      <c r="G362" s="482"/>
      <c r="H362" s="482"/>
      <c r="I362" s="482"/>
      <c r="J362" s="482">
        <f>SUM(J363:J366)</f>
        <v>0</v>
      </c>
      <c r="K362" s="482">
        <f>SUM(K363:K366)</f>
        <v>0</v>
      </c>
      <c r="L362" s="474">
        <f>SUM(L363:L368)</f>
        <v>0</v>
      </c>
      <c r="M362" s="478"/>
      <c r="N362" s="482"/>
      <c r="O362" s="482"/>
      <c r="P362" s="482"/>
      <c r="Q362" s="482"/>
      <c r="R362" s="482"/>
      <c r="S362" s="482"/>
      <c r="T362" s="482"/>
      <c r="U362" s="482"/>
      <c r="V362" s="482"/>
      <c r="W362" s="474">
        <f>SUM(W363:W368)</f>
        <v>629349</v>
      </c>
      <c r="Z362" s="68"/>
    </row>
    <row r="363" spans="1:26" ht="24" hidden="1">
      <c r="A363" s="703" t="s">
        <v>6893</v>
      </c>
      <c r="B363" s="503"/>
      <c r="C363" s="13"/>
      <c r="D363" s="13"/>
      <c r="E363" s="13"/>
      <c r="F363" s="13"/>
      <c r="G363" s="13"/>
      <c r="H363" s="13"/>
      <c r="I363" s="13"/>
      <c r="J363" s="13"/>
      <c r="K363" s="13">
        <f t="shared" ref="K363:K368" si="96">SUM(B363:J363)</f>
        <v>0</v>
      </c>
      <c r="L363" s="472"/>
      <c r="M363" s="503"/>
      <c r="N363" s="13"/>
      <c r="O363" s="13"/>
      <c r="P363" s="13"/>
      <c r="Q363" s="13"/>
      <c r="R363" s="13"/>
      <c r="S363" s="13"/>
      <c r="T363" s="13"/>
      <c r="U363" s="13"/>
      <c r="V363" s="13">
        <f t="shared" ref="V363:V368" si="97">SUM(M363:U363)</f>
        <v>0</v>
      </c>
      <c r="W363" s="472"/>
      <c r="Z363" s="68"/>
    </row>
    <row r="364" spans="1:26" ht="24" hidden="1">
      <c r="A364" s="703" t="s">
        <v>6892</v>
      </c>
      <c r="B364" s="503"/>
      <c r="C364" s="13"/>
      <c r="D364" s="13"/>
      <c r="E364" s="13"/>
      <c r="F364" s="13"/>
      <c r="G364" s="13"/>
      <c r="H364" s="13"/>
      <c r="I364" s="13"/>
      <c r="J364" s="13"/>
      <c r="K364" s="13">
        <f t="shared" si="96"/>
        <v>0</v>
      </c>
      <c r="L364" s="472"/>
      <c r="M364" s="503"/>
      <c r="N364" s="13"/>
      <c r="O364" s="13"/>
      <c r="P364" s="13"/>
      <c r="Q364" s="13"/>
      <c r="R364" s="13"/>
      <c r="S364" s="13"/>
      <c r="T364" s="13"/>
      <c r="U364" s="13"/>
      <c r="V364" s="13">
        <f t="shared" si="97"/>
        <v>0</v>
      </c>
      <c r="W364" s="472"/>
      <c r="Z364" s="68"/>
    </row>
    <row r="365" spans="1:26" ht="24" hidden="1">
      <c r="A365" s="703" t="s">
        <v>6891</v>
      </c>
      <c r="B365" s="503"/>
      <c r="C365" s="13"/>
      <c r="D365" s="13"/>
      <c r="E365" s="13"/>
      <c r="F365" s="13"/>
      <c r="G365" s="13"/>
      <c r="H365" s="13"/>
      <c r="I365" s="13"/>
      <c r="J365" s="13"/>
      <c r="K365" s="13">
        <f t="shared" si="96"/>
        <v>0</v>
      </c>
      <c r="L365" s="472"/>
      <c r="M365" s="503"/>
      <c r="N365" s="13"/>
      <c r="O365" s="13"/>
      <c r="P365" s="13"/>
      <c r="Q365" s="13"/>
      <c r="R365" s="13"/>
      <c r="S365" s="13"/>
      <c r="T365" s="13"/>
      <c r="U365" s="13"/>
      <c r="V365" s="13">
        <f t="shared" si="97"/>
        <v>0</v>
      </c>
      <c r="W365" s="472"/>
      <c r="Z365" s="68"/>
    </row>
    <row r="366" spans="1:26" hidden="1">
      <c r="A366" s="703" t="s">
        <v>6890</v>
      </c>
      <c r="B366" s="503"/>
      <c r="C366" s="13"/>
      <c r="D366" s="13"/>
      <c r="E366" s="13"/>
      <c r="F366" s="13"/>
      <c r="G366" s="13"/>
      <c r="H366" s="13"/>
      <c r="I366" s="13"/>
      <c r="J366" s="13"/>
      <c r="K366" s="13">
        <f t="shared" si="96"/>
        <v>0</v>
      </c>
      <c r="L366" s="472"/>
      <c r="M366" s="503"/>
      <c r="N366" s="13"/>
      <c r="O366" s="13"/>
      <c r="P366" s="13"/>
      <c r="Q366" s="13"/>
      <c r="R366" s="13"/>
      <c r="S366" s="13"/>
      <c r="T366" s="13"/>
      <c r="U366" s="13"/>
      <c r="V366" s="13">
        <f t="shared" si="97"/>
        <v>0</v>
      </c>
      <c r="W366" s="472"/>
      <c r="Z366" s="68"/>
    </row>
    <row r="367" spans="1:26" ht="24.75" thickBot="1">
      <c r="A367" s="703" t="s">
        <v>6889</v>
      </c>
      <c r="B367" s="503"/>
      <c r="C367" s="13"/>
      <c r="D367" s="13"/>
      <c r="E367" s="13"/>
      <c r="F367" s="13"/>
      <c r="G367" s="13"/>
      <c r="H367" s="13"/>
      <c r="I367" s="13"/>
      <c r="J367" s="13"/>
      <c r="K367" s="13">
        <f t="shared" si="96"/>
        <v>0</v>
      </c>
      <c r="L367" s="472">
        <f>'F-09 ENAMM'!L102</f>
        <v>0</v>
      </c>
      <c r="M367" s="503"/>
      <c r="N367" s="13"/>
      <c r="O367" s="13"/>
      <c r="P367" s="13"/>
      <c r="Q367" s="13"/>
      <c r="R367" s="13"/>
      <c r="S367" s="13"/>
      <c r="T367" s="13"/>
      <c r="U367" s="13"/>
      <c r="V367" s="13">
        <f t="shared" si="97"/>
        <v>0</v>
      </c>
      <c r="W367" s="472">
        <f>'F-09 ENAMM'!W102</f>
        <v>629349</v>
      </c>
      <c r="Z367" s="68"/>
    </row>
    <row r="368" spans="1:26" ht="24.75" hidden="1" thickBot="1">
      <c r="A368" s="703" t="s">
        <v>6888</v>
      </c>
      <c r="B368" s="503"/>
      <c r="C368" s="13"/>
      <c r="D368" s="13"/>
      <c r="E368" s="13"/>
      <c r="F368" s="13"/>
      <c r="G368" s="13"/>
      <c r="H368" s="13"/>
      <c r="I368" s="13"/>
      <c r="J368" s="13"/>
      <c r="K368" s="13">
        <f t="shared" si="96"/>
        <v>0</v>
      </c>
      <c r="L368" s="472"/>
      <c r="M368" s="502"/>
      <c r="N368" s="501"/>
      <c r="O368" s="501"/>
      <c r="P368" s="501"/>
      <c r="Q368" s="501"/>
      <c r="R368" s="501"/>
      <c r="S368" s="501"/>
      <c r="T368" s="501"/>
      <c r="U368" s="501"/>
      <c r="V368" s="501">
        <f t="shared" si="97"/>
        <v>0</v>
      </c>
      <c r="W368" s="500"/>
      <c r="Z368" s="68"/>
    </row>
    <row r="369" spans="1:26" ht="13.5" thickBot="1">
      <c r="A369" s="46" t="s">
        <v>23</v>
      </c>
      <c r="B369" s="499">
        <f t="shared" ref="B369:H369" si="98">B346+B354+B362</f>
        <v>30</v>
      </c>
      <c r="C369" s="498">
        <f t="shared" si="98"/>
        <v>0</v>
      </c>
      <c r="D369" s="498">
        <f t="shared" si="98"/>
        <v>396</v>
      </c>
      <c r="E369" s="498">
        <f t="shared" si="98"/>
        <v>0</v>
      </c>
      <c r="F369" s="498">
        <f t="shared" si="98"/>
        <v>0</v>
      </c>
      <c r="G369" s="498">
        <f t="shared" si="98"/>
        <v>0</v>
      </c>
      <c r="H369" s="498">
        <f t="shared" si="98"/>
        <v>0</v>
      </c>
      <c r="I369" s="498">
        <f>I359</f>
        <v>14</v>
      </c>
      <c r="J369" s="498">
        <f>J346+J354+J362</f>
        <v>0</v>
      </c>
      <c r="K369" s="498">
        <f>K346+K354+K362+K359</f>
        <v>440</v>
      </c>
      <c r="L369" s="497">
        <f>L346+L354+L362+L359</f>
        <v>12832480.960000001</v>
      </c>
      <c r="M369" s="499">
        <f t="shared" ref="M369:S369" si="99">M346+M354+M362</f>
        <v>30</v>
      </c>
      <c r="N369" s="498">
        <f t="shared" si="99"/>
        <v>0</v>
      </c>
      <c r="O369" s="498">
        <f t="shared" si="99"/>
        <v>406</v>
      </c>
      <c r="P369" s="498">
        <f t="shared" si="99"/>
        <v>0</v>
      </c>
      <c r="Q369" s="498">
        <f t="shared" si="99"/>
        <v>0</v>
      </c>
      <c r="R369" s="498">
        <f t="shared" si="99"/>
        <v>0</v>
      </c>
      <c r="S369" s="498">
        <f t="shared" si="99"/>
        <v>0</v>
      </c>
      <c r="T369" s="498">
        <f>T359</f>
        <v>14</v>
      </c>
      <c r="U369" s="498">
        <f>U346+U354+U362</f>
        <v>0</v>
      </c>
      <c r="V369" s="498">
        <f>V346+V354+V362+V359</f>
        <v>450</v>
      </c>
      <c r="W369" s="497">
        <f>W346+W354+W362+W359</f>
        <v>11031388.960000001</v>
      </c>
      <c r="X369" s="55"/>
      <c r="Z369" s="68"/>
    </row>
    <row r="370" spans="1:26" s="712" customFormat="1" ht="6">
      <c r="A370" s="2007"/>
      <c r="B370" s="2008"/>
      <c r="C370" s="2008"/>
      <c r="D370" s="2008"/>
      <c r="E370" s="2008"/>
      <c r="F370" s="2008"/>
      <c r="G370" s="2008"/>
      <c r="H370" s="2008"/>
      <c r="I370" s="2008"/>
      <c r="J370" s="2008"/>
      <c r="K370" s="2008"/>
      <c r="L370" s="2008"/>
      <c r="M370" s="2008"/>
      <c r="N370" s="2008"/>
      <c r="O370" s="2008"/>
      <c r="P370" s="2008"/>
      <c r="Q370" s="2008"/>
      <c r="R370" s="2008"/>
      <c r="S370" s="2008"/>
      <c r="T370" s="2008"/>
      <c r="U370" s="2008"/>
      <c r="V370" s="2008"/>
      <c r="W370" s="2009"/>
      <c r="X370" s="711"/>
    </row>
    <row r="371" spans="1:26" ht="15">
      <c r="A371" s="2004" t="s">
        <v>7178</v>
      </c>
      <c r="B371" s="2005"/>
      <c r="C371" s="2005"/>
      <c r="D371" s="2005"/>
      <c r="E371" s="2005"/>
      <c r="F371" s="2005"/>
      <c r="G371" s="2005"/>
      <c r="H371" s="2005"/>
      <c r="I371" s="2005"/>
      <c r="J371" s="2005"/>
      <c r="K371" s="2005"/>
      <c r="L371" s="2005"/>
      <c r="M371" s="2005"/>
      <c r="N371" s="2005"/>
      <c r="O371" s="2005"/>
      <c r="P371" s="2005"/>
      <c r="Q371" s="2005"/>
      <c r="R371" s="2005"/>
      <c r="S371" s="2005"/>
      <c r="T371" s="2005"/>
      <c r="U371" s="2005"/>
      <c r="V371" s="2005"/>
      <c r="W371" s="2006"/>
      <c r="Y371" s="68"/>
      <c r="Z371" s="68"/>
    </row>
    <row r="372" spans="1:26" s="710" customFormat="1" ht="8.25">
      <c r="A372" s="2010"/>
      <c r="B372" s="2011"/>
      <c r="C372" s="2011"/>
      <c r="D372" s="2011"/>
      <c r="E372" s="2011"/>
      <c r="F372" s="2011"/>
      <c r="G372" s="2011"/>
      <c r="H372" s="2011"/>
      <c r="I372" s="2011"/>
      <c r="J372" s="2011"/>
      <c r="K372" s="2011"/>
      <c r="L372" s="2011"/>
      <c r="M372" s="2011"/>
      <c r="N372" s="2011"/>
      <c r="O372" s="2011"/>
      <c r="P372" s="2011"/>
      <c r="Q372" s="2011"/>
      <c r="R372" s="2011"/>
      <c r="S372" s="2011"/>
      <c r="T372" s="2011"/>
      <c r="U372" s="2011"/>
      <c r="V372" s="2011"/>
      <c r="W372" s="2012"/>
      <c r="X372" s="709"/>
    </row>
    <row r="373" spans="1:26">
      <c r="A373" s="481" t="s">
        <v>6909</v>
      </c>
      <c r="B373" s="482"/>
      <c r="C373" s="482"/>
      <c r="D373" s="482" t="e">
        <f t="shared" ref="D373:W373" si="100">SUM(D374:D376)</f>
        <v>#REF!</v>
      </c>
      <c r="E373" s="482">
        <f t="shared" si="100"/>
        <v>0</v>
      </c>
      <c r="F373" s="482">
        <f t="shared" si="100"/>
        <v>0</v>
      </c>
      <c r="G373" s="482">
        <f t="shared" si="100"/>
        <v>0</v>
      </c>
      <c r="H373" s="482">
        <f t="shared" si="100"/>
        <v>0</v>
      </c>
      <c r="I373" s="482">
        <f t="shared" si="100"/>
        <v>0</v>
      </c>
      <c r="J373" s="482">
        <f t="shared" si="100"/>
        <v>0</v>
      </c>
      <c r="K373" s="482" t="e">
        <f t="shared" si="100"/>
        <v>#REF!</v>
      </c>
      <c r="L373" s="474" t="e">
        <f t="shared" si="100"/>
        <v>#REF!</v>
      </c>
      <c r="M373" s="482">
        <f t="shared" si="100"/>
        <v>0</v>
      </c>
      <c r="N373" s="482">
        <f t="shared" si="100"/>
        <v>0</v>
      </c>
      <c r="O373" s="482" t="e">
        <f t="shared" si="100"/>
        <v>#REF!</v>
      </c>
      <c r="P373" s="482">
        <f t="shared" si="100"/>
        <v>0</v>
      </c>
      <c r="Q373" s="482">
        <f t="shared" si="100"/>
        <v>0</v>
      </c>
      <c r="R373" s="482">
        <f t="shared" si="100"/>
        <v>0</v>
      </c>
      <c r="S373" s="482">
        <f t="shared" si="100"/>
        <v>0</v>
      </c>
      <c r="T373" s="482">
        <f t="shared" si="100"/>
        <v>0</v>
      </c>
      <c r="U373" s="482">
        <f t="shared" si="100"/>
        <v>0</v>
      </c>
      <c r="V373" s="482" t="e">
        <f t="shared" si="100"/>
        <v>#REF!</v>
      </c>
      <c r="W373" s="474" t="e">
        <f t="shared" si="100"/>
        <v>#REF!</v>
      </c>
      <c r="Y373" s="490"/>
      <c r="Z373" s="68"/>
    </row>
    <row r="374" spans="1:26" ht="24">
      <c r="A374" s="703" t="s">
        <v>6908</v>
      </c>
      <c r="B374" s="13"/>
      <c r="C374" s="13"/>
      <c r="D374" s="13" t="e">
        <f>#REF!</f>
        <v>#REF!</v>
      </c>
      <c r="E374" s="13"/>
      <c r="F374" s="13"/>
      <c r="G374" s="13"/>
      <c r="H374" s="13"/>
      <c r="I374" s="13"/>
      <c r="J374" s="13"/>
      <c r="K374" s="13" t="e">
        <f>SUM(B374:J374)</f>
        <v>#REF!</v>
      </c>
      <c r="L374" s="472" t="e">
        <f>#REF!</f>
        <v>#REF!</v>
      </c>
      <c r="M374" s="13"/>
      <c r="N374" s="13"/>
      <c r="O374" s="13" t="e">
        <f>#REF!</f>
        <v>#REF!</v>
      </c>
      <c r="P374" s="13"/>
      <c r="Q374" s="13"/>
      <c r="R374" s="13"/>
      <c r="S374" s="13"/>
      <c r="T374" s="13"/>
      <c r="U374" s="13"/>
      <c r="V374" s="13" t="e">
        <f>SUM(M374:U374)</f>
        <v>#REF!</v>
      </c>
      <c r="W374" s="472" t="e">
        <f>#REF!</f>
        <v>#REF!</v>
      </c>
      <c r="Y374" s="489"/>
      <c r="Z374" s="68"/>
    </row>
    <row r="375" spans="1:26" ht="24" hidden="1">
      <c r="A375" s="703" t="s">
        <v>6907</v>
      </c>
      <c r="B375" s="13"/>
      <c r="C375" s="13"/>
      <c r="D375" s="13"/>
      <c r="E375" s="13"/>
      <c r="F375" s="13"/>
      <c r="G375" s="13"/>
      <c r="H375" s="13"/>
      <c r="I375" s="13"/>
      <c r="J375" s="13"/>
      <c r="K375" s="13"/>
      <c r="L375" s="472"/>
      <c r="M375" s="13"/>
      <c r="N375" s="13"/>
      <c r="O375" s="13"/>
      <c r="P375" s="13"/>
      <c r="Q375" s="13"/>
      <c r="R375" s="13"/>
      <c r="S375" s="13"/>
      <c r="T375" s="13"/>
      <c r="U375" s="13"/>
      <c r="V375" s="13"/>
      <c r="W375" s="472"/>
      <c r="Y375" s="489"/>
      <c r="Z375" s="68"/>
    </row>
    <row r="376" spans="1:26" ht="24" hidden="1">
      <c r="A376" s="703" t="s">
        <v>6906</v>
      </c>
      <c r="B376" s="13"/>
      <c r="C376" s="13"/>
      <c r="D376" s="13"/>
      <c r="E376" s="13"/>
      <c r="F376" s="13"/>
      <c r="G376" s="13"/>
      <c r="H376" s="13"/>
      <c r="I376" s="13"/>
      <c r="J376" s="13"/>
      <c r="K376" s="13"/>
      <c r="L376" s="472"/>
      <c r="M376" s="13"/>
      <c r="N376" s="13"/>
      <c r="O376" s="13"/>
      <c r="P376" s="13"/>
      <c r="Q376" s="13"/>
      <c r="R376" s="13"/>
      <c r="S376" s="13"/>
      <c r="T376" s="13"/>
      <c r="U376" s="13"/>
      <c r="V376" s="13"/>
      <c r="W376" s="472"/>
      <c r="Y376" s="489"/>
      <c r="Z376" s="68"/>
    </row>
    <row r="377" spans="1:26" hidden="1">
      <c r="A377" s="703"/>
      <c r="B377" s="13"/>
      <c r="C377" s="13"/>
      <c r="D377" s="13"/>
      <c r="E377" s="13"/>
      <c r="F377" s="13"/>
      <c r="G377" s="13"/>
      <c r="H377" s="13"/>
      <c r="I377" s="13"/>
      <c r="J377" s="13"/>
      <c r="K377" s="13"/>
      <c r="L377" s="472"/>
      <c r="M377" s="13"/>
      <c r="N377" s="13"/>
      <c r="O377" s="13"/>
      <c r="P377" s="13"/>
      <c r="Q377" s="13"/>
      <c r="R377" s="13"/>
      <c r="S377" s="13"/>
      <c r="T377" s="13"/>
      <c r="U377" s="13"/>
      <c r="V377" s="13"/>
      <c r="W377" s="472"/>
      <c r="Z377" s="68"/>
    </row>
    <row r="378" spans="1:26">
      <c r="A378" s="704" t="s">
        <v>6894</v>
      </c>
      <c r="B378" s="482"/>
      <c r="C378" s="482"/>
      <c r="D378" s="482"/>
      <c r="E378" s="482"/>
      <c r="F378" s="482"/>
      <c r="G378" s="482"/>
      <c r="H378" s="482"/>
      <c r="I378" s="482"/>
      <c r="J378" s="482">
        <f>SUM(J379:J382)</f>
        <v>0</v>
      </c>
      <c r="K378" s="482">
        <f>SUM(K379:K382)</f>
        <v>0</v>
      </c>
      <c r="L378" s="474" t="e">
        <f>SUM(L379:L384)</f>
        <v>#REF!</v>
      </c>
      <c r="M378" s="478"/>
      <c r="N378" s="482"/>
      <c r="O378" s="482"/>
      <c r="P378" s="482"/>
      <c r="Q378" s="482"/>
      <c r="R378" s="482"/>
      <c r="S378" s="482"/>
      <c r="T378" s="482"/>
      <c r="U378" s="482"/>
      <c r="V378" s="482"/>
      <c r="W378" s="474" t="e">
        <f>SUM(W379:W384)</f>
        <v>#REF!</v>
      </c>
      <c r="Z378" s="68"/>
    </row>
    <row r="379" spans="1:26" ht="24" hidden="1">
      <c r="A379" s="703" t="s">
        <v>6893</v>
      </c>
      <c r="B379" s="13"/>
      <c r="C379" s="13"/>
      <c r="D379" s="13"/>
      <c r="E379" s="13"/>
      <c r="F379" s="13"/>
      <c r="G379" s="13"/>
      <c r="H379" s="13"/>
      <c r="I379" s="13"/>
      <c r="J379" s="13"/>
      <c r="K379" s="13">
        <f t="shared" ref="K379:K384" si="101">SUM(B379:J379)</f>
        <v>0</v>
      </c>
      <c r="L379" s="472"/>
      <c r="M379" s="13"/>
      <c r="N379" s="13"/>
      <c r="O379" s="13"/>
      <c r="P379" s="13"/>
      <c r="Q379" s="13"/>
      <c r="R379" s="13"/>
      <c r="S379" s="13"/>
      <c r="T379" s="13"/>
      <c r="U379" s="13"/>
      <c r="V379" s="13">
        <f t="shared" ref="V379:V384" si="102">SUM(M379:U379)</f>
        <v>0</v>
      </c>
      <c r="W379" s="472"/>
      <c r="Z379" s="68"/>
    </row>
    <row r="380" spans="1:26" ht="24" hidden="1">
      <c r="A380" s="703" t="s">
        <v>6892</v>
      </c>
      <c r="B380" s="13"/>
      <c r="C380" s="13"/>
      <c r="D380" s="13"/>
      <c r="E380" s="13"/>
      <c r="F380" s="13"/>
      <c r="G380" s="13"/>
      <c r="H380" s="13"/>
      <c r="I380" s="13"/>
      <c r="J380" s="13"/>
      <c r="K380" s="13">
        <f t="shared" si="101"/>
        <v>0</v>
      </c>
      <c r="L380" s="472"/>
      <c r="M380" s="13"/>
      <c r="N380" s="13"/>
      <c r="O380" s="13"/>
      <c r="P380" s="13"/>
      <c r="Q380" s="13"/>
      <c r="R380" s="13"/>
      <c r="S380" s="13"/>
      <c r="T380" s="13"/>
      <c r="U380" s="13"/>
      <c r="V380" s="13">
        <f t="shared" si="102"/>
        <v>0</v>
      </c>
      <c r="W380" s="472"/>
      <c r="Z380" s="68"/>
    </row>
    <row r="381" spans="1:26" ht="24" hidden="1">
      <c r="A381" s="703" t="s">
        <v>6891</v>
      </c>
      <c r="B381" s="13"/>
      <c r="C381" s="13"/>
      <c r="D381" s="13"/>
      <c r="E381" s="13"/>
      <c r="F381" s="13"/>
      <c r="G381" s="13"/>
      <c r="H381" s="13"/>
      <c r="I381" s="13"/>
      <c r="J381" s="13"/>
      <c r="K381" s="13">
        <f t="shared" si="101"/>
        <v>0</v>
      </c>
      <c r="L381" s="472"/>
      <c r="M381" s="13"/>
      <c r="N381" s="13"/>
      <c r="O381" s="13"/>
      <c r="P381" s="13"/>
      <c r="Q381" s="13"/>
      <c r="R381" s="13"/>
      <c r="S381" s="13"/>
      <c r="T381" s="13"/>
      <c r="U381" s="13"/>
      <c r="V381" s="13">
        <f t="shared" si="102"/>
        <v>0</v>
      </c>
      <c r="W381" s="472"/>
      <c r="Z381" s="68"/>
    </row>
    <row r="382" spans="1:26" hidden="1">
      <c r="A382" s="703" t="s">
        <v>6890</v>
      </c>
      <c r="B382" s="13"/>
      <c r="C382" s="13"/>
      <c r="D382" s="13"/>
      <c r="E382" s="13"/>
      <c r="F382" s="13"/>
      <c r="G382" s="13"/>
      <c r="H382" s="13"/>
      <c r="I382" s="13"/>
      <c r="J382" s="13"/>
      <c r="K382" s="13">
        <f t="shared" si="101"/>
        <v>0</v>
      </c>
      <c r="L382" s="472"/>
      <c r="M382" s="13"/>
      <c r="N382" s="13"/>
      <c r="O382" s="13"/>
      <c r="P382" s="13"/>
      <c r="Q382" s="13"/>
      <c r="R382" s="13"/>
      <c r="S382" s="13"/>
      <c r="T382" s="13"/>
      <c r="U382" s="13"/>
      <c r="V382" s="13">
        <f t="shared" si="102"/>
        <v>0</v>
      </c>
      <c r="W382" s="472"/>
      <c r="Z382" s="68"/>
    </row>
    <row r="383" spans="1:26" ht="24.75" thickBot="1">
      <c r="A383" s="703" t="s">
        <v>6889</v>
      </c>
      <c r="B383" s="13"/>
      <c r="C383" s="13"/>
      <c r="D383" s="13"/>
      <c r="E383" s="13"/>
      <c r="F383" s="13"/>
      <c r="G383" s="13"/>
      <c r="H383" s="13"/>
      <c r="I383" s="13"/>
      <c r="J383" s="13"/>
      <c r="K383" s="13">
        <f t="shared" si="101"/>
        <v>0</v>
      </c>
      <c r="L383" s="472" t="e">
        <f>#REF!</f>
        <v>#REF!</v>
      </c>
      <c r="M383" s="13"/>
      <c r="N383" s="13"/>
      <c r="O383" s="13"/>
      <c r="P383" s="13"/>
      <c r="Q383" s="13"/>
      <c r="R383" s="13"/>
      <c r="S383" s="13"/>
      <c r="T383" s="13"/>
      <c r="U383" s="13"/>
      <c r="V383" s="13">
        <f t="shared" si="102"/>
        <v>0</v>
      </c>
      <c r="W383" s="472" t="e">
        <f>#REF!</f>
        <v>#REF!</v>
      </c>
      <c r="Z383" s="68"/>
    </row>
    <row r="384" spans="1:26" ht="24.75" hidden="1" thickBot="1">
      <c r="A384" s="703" t="s">
        <v>6888</v>
      </c>
      <c r="B384" s="13"/>
      <c r="C384" s="13"/>
      <c r="D384" s="13"/>
      <c r="E384" s="13"/>
      <c r="F384" s="13"/>
      <c r="G384" s="13"/>
      <c r="H384" s="13"/>
      <c r="I384" s="13"/>
      <c r="J384" s="13"/>
      <c r="K384" s="13">
        <f t="shared" si="101"/>
        <v>0</v>
      </c>
      <c r="L384" s="472"/>
      <c r="M384" s="13"/>
      <c r="N384" s="13"/>
      <c r="O384" s="13"/>
      <c r="P384" s="13"/>
      <c r="Q384" s="13"/>
      <c r="R384" s="13"/>
      <c r="S384" s="13"/>
      <c r="T384" s="13"/>
      <c r="U384" s="13"/>
      <c r="V384" s="13">
        <f t="shared" si="102"/>
        <v>0</v>
      </c>
      <c r="W384" s="472"/>
      <c r="Z384" s="68"/>
    </row>
    <row r="385" spans="1:26" ht="13.5" thickBot="1">
      <c r="A385" s="46" t="s">
        <v>23</v>
      </c>
      <c r="B385" s="499">
        <f t="shared" ref="B385:W385" si="103">B373+B378</f>
        <v>0</v>
      </c>
      <c r="C385" s="498">
        <f t="shared" si="103"/>
        <v>0</v>
      </c>
      <c r="D385" s="498" t="e">
        <f t="shared" si="103"/>
        <v>#REF!</v>
      </c>
      <c r="E385" s="498">
        <f t="shared" si="103"/>
        <v>0</v>
      </c>
      <c r="F385" s="498">
        <f t="shared" si="103"/>
        <v>0</v>
      </c>
      <c r="G385" s="498">
        <f t="shared" si="103"/>
        <v>0</v>
      </c>
      <c r="H385" s="498">
        <f t="shared" si="103"/>
        <v>0</v>
      </c>
      <c r="I385" s="498">
        <f t="shared" si="103"/>
        <v>0</v>
      </c>
      <c r="J385" s="498">
        <f t="shared" si="103"/>
        <v>0</v>
      </c>
      <c r="K385" s="498" t="e">
        <f t="shared" si="103"/>
        <v>#REF!</v>
      </c>
      <c r="L385" s="497" t="e">
        <f t="shared" si="103"/>
        <v>#REF!</v>
      </c>
      <c r="M385" s="499">
        <f t="shared" si="103"/>
        <v>0</v>
      </c>
      <c r="N385" s="498">
        <f t="shared" si="103"/>
        <v>0</v>
      </c>
      <c r="O385" s="498" t="e">
        <f t="shared" si="103"/>
        <v>#REF!</v>
      </c>
      <c r="P385" s="498">
        <f t="shared" si="103"/>
        <v>0</v>
      </c>
      <c r="Q385" s="498">
        <f t="shared" si="103"/>
        <v>0</v>
      </c>
      <c r="R385" s="498">
        <f t="shared" si="103"/>
        <v>0</v>
      </c>
      <c r="S385" s="498">
        <f t="shared" si="103"/>
        <v>0</v>
      </c>
      <c r="T385" s="498">
        <f t="shared" si="103"/>
        <v>0</v>
      </c>
      <c r="U385" s="498">
        <f t="shared" si="103"/>
        <v>0</v>
      </c>
      <c r="V385" s="498" t="e">
        <f t="shared" si="103"/>
        <v>#REF!</v>
      </c>
      <c r="W385" s="497" t="e">
        <f t="shared" si="103"/>
        <v>#REF!</v>
      </c>
      <c r="X385" s="55"/>
      <c r="Z385" s="68"/>
    </row>
    <row r="386" spans="1:26">
      <c r="A386" s="1" t="s">
        <v>273</v>
      </c>
      <c r="B386" s="2"/>
      <c r="C386" s="2"/>
      <c r="D386" s="2"/>
      <c r="E386" s="2"/>
      <c r="F386" s="2"/>
      <c r="G386" s="2"/>
      <c r="H386" s="2"/>
      <c r="I386" s="2"/>
      <c r="J386" s="2"/>
      <c r="K386" s="2"/>
      <c r="L386" s="2"/>
      <c r="M386" s="2"/>
      <c r="N386" s="2"/>
      <c r="O386" s="2"/>
      <c r="P386" s="6"/>
      <c r="Q386" s="52"/>
      <c r="R386"/>
      <c r="S386"/>
      <c r="T386" s="68"/>
      <c r="U386" s="68"/>
      <c r="V386" s="68"/>
      <c r="W386" s="468"/>
      <c r="X386" s="68"/>
      <c r="Y386" s="68"/>
      <c r="Z386" s="68"/>
    </row>
    <row r="387" spans="1:26">
      <c r="A387" s="11" t="s">
        <v>267</v>
      </c>
      <c r="P387" s="68"/>
      <c r="Q387" s="52"/>
      <c r="R387"/>
      <c r="S387"/>
      <c r="T387"/>
      <c r="U387"/>
      <c r="V387" s="68"/>
      <c r="W387" s="467"/>
      <c r="X387" s="68"/>
      <c r="Y387" s="68"/>
      <c r="Z387" s="68"/>
    </row>
    <row r="388" spans="1:26">
      <c r="A388" s="11" t="s">
        <v>271</v>
      </c>
      <c r="P388" s="68"/>
      <c r="Q388" s="52"/>
      <c r="R388"/>
      <c r="S388"/>
      <c r="T388"/>
      <c r="U388"/>
      <c r="V388" s="68"/>
      <c r="W388" s="467"/>
      <c r="X388" s="68"/>
      <c r="Y388" s="68"/>
      <c r="Z388" s="68"/>
    </row>
    <row r="389" spans="1:26">
      <c r="A389" s="11" t="s">
        <v>278</v>
      </c>
      <c r="W389" s="461"/>
    </row>
    <row r="392" spans="1:26" hidden="1">
      <c r="A392" s="460"/>
      <c r="B392" s="464" t="s">
        <v>6880</v>
      </c>
      <c r="C392" s="464" t="s">
        <v>6879</v>
      </c>
      <c r="D392" s="464" t="s">
        <v>6878</v>
      </c>
      <c r="E392" s="464" t="s">
        <v>6877</v>
      </c>
      <c r="F392" s="464" t="s">
        <v>6876</v>
      </c>
      <c r="G392" s="464" t="s">
        <v>6875</v>
      </c>
      <c r="H392" s="464" t="s">
        <v>6874</v>
      </c>
      <c r="I392" s="464" t="s">
        <v>6873</v>
      </c>
      <c r="J392" s="464" t="s">
        <v>0</v>
      </c>
      <c r="W392" s="465"/>
    </row>
    <row r="393" spans="1:26" hidden="1">
      <c r="A393" s="460" t="s">
        <v>6872</v>
      </c>
      <c r="B393" s="460">
        <f>'F-09 OGA'!V10</f>
        <v>117</v>
      </c>
      <c r="C393" s="460">
        <f>'F-09 CCFFAA'!V10</f>
        <v>43</v>
      </c>
      <c r="D393" s="460">
        <f>'F-09 EP'!V10</f>
        <v>3872</v>
      </c>
      <c r="E393" s="460">
        <f>'F-09 MGP'!V10</f>
        <v>2889</v>
      </c>
      <c r="F393" s="460">
        <f>'F-09 FAP'!V10</f>
        <v>4488</v>
      </c>
      <c r="G393" s="460">
        <f>'F-09 CONIDA'!V10</f>
        <v>16</v>
      </c>
      <c r="H393" s="460">
        <f>'F-09 ENAMM'!V10</f>
        <v>55</v>
      </c>
      <c r="I393" s="460">
        <f>'F-09 OPREFA'!V10</f>
        <v>0</v>
      </c>
      <c r="J393" s="460">
        <f t="shared" ref="J393:J400" si="104">SUM(B393:I393)</f>
        <v>11480</v>
      </c>
      <c r="L393" s="460" t="s">
        <v>6872</v>
      </c>
      <c r="M393" s="459">
        <f>'F-09 OGA'!M10+'F-09 CCFFAA'!M10+'F-09 EP'!M10+'F-09 MGP'!M10+'F-09 FAP'!M10+'F-09 CONIDA'!M10+'F-09 ENAMM'!M10+'F-09 OPREFA'!M10</f>
        <v>11439</v>
      </c>
      <c r="N393" s="459">
        <f>'F-09 OGA'!N10+'F-09 CCFFAA'!N10+'F-09 EP'!N10+'F-09 MGP'!N10+'F-09 FAP'!N10+'F-09 CONIDA'!N10+'F-09 ENAMM'!N10+'F-09 OPREFA'!N10</f>
        <v>37</v>
      </c>
      <c r="O393" s="459">
        <f>'F-09 OGA'!O10+'F-09 CCFFAA'!O10+'F-09 EP'!O10+'F-09 MGP'!O10+'F-09 FAP'!O10+'F-09 CONIDA'!O10+'F-09 ENAMM'!O10+'F-09 OPREFA'!O10</f>
        <v>0</v>
      </c>
      <c r="P393" s="459">
        <f>'F-09 OGA'!P10+'F-09 CCFFAA'!P10+'F-09 EP'!P10+'F-09 MGP'!P10+'F-09 FAP'!P10+'F-09 CONIDA'!P10+'F-09 ENAMM'!P10+'F-09 OPREFA'!P10</f>
        <v>4</v>
      </c>
      <c r="Q393" s="459">
        <f>'F-09 OGA'!Q10+'F-09 CCFFAA'!Q10+'F-09 EP'!Q10+'F-09 MGP'!Q10+'F-09 FAP'!Q10+'F-09 CONIDA'!Q10+'F-09 ENAMM'!Q10+'F-09 OPREFA'!Q10</f>
        <v>0</v>
      </c>
      <c r="R393" s="459">
        <f>'F-09 OGA'!R10+'F-09 CCFFAA'!R10+'F-09 EP'!R10+'F-09 MGP'!R10+'F-09 FAP'!R10+'F-09 CONIDA'!R10+'F-09 ENAMM'!R10+'F-09 OPREFA'!R10</f>
        <v>0</v>
      </c>
      <c r="S393" s="459">
        <f>'F-09 OGA'!S10+'F-09 CCFFAA'!S10+'F-09 EP'!S10+'F-09 MGP'!S10+'F-09 FAP'!S10+'F-09 CONIDA'!S10+'F-09 ENAMM'!S10+'F-09 OPREFA'!S10</f>
        <v>0</v>
      </c>
      <c r="T393" s="459">
        <f>'F-09 OGA'!T10+'F-09 CCFFAA'!T10+'F-09 EP'!T10+'F-09 MGP'!T10+'F-09 FAP'!T10+'F-09 CONIDA'!T10+'F-09 ENAMM'!T10+'F-09 OPREFA'!T10</f>
        <v>0</v>
      </c>
      <c r="U393" s="459">
        <f>'F-09 OGA'!U10+'F-09 CCFFAA'!U10+'F-09 EP'!U10+'F-09 MGP'!U10+'F-09 FAP'!U10+'F-09 CONIDA'!U10+'F-09 ENAMM'!U10+'F-09 OPREFA'!U10</f>
        <v>0</v>
      </c>
      <c r="V393" s="459">
        <f>'F-09 OGA'!V10+'F-09 CCFFAA'!V10+'F-09 EP'!V10+'F-09 MGP'!V10+'F-09 FAP'!V10+'F-09 CONIDA'!V10+'F-09 ENAMM'!V10+'F-09 OPREFA'!V10</f>
        <v>11480</v>
      </c>
    </row>
    <row r="394" spans="1:26" hidden="1">
      <c r="A394" s="460" t="s">
        <v>6871</v>
      </c>
      <c r="B394" s="460"/>
      <c r="C394" s="460"/>
      <c r="D394" s="460">
        <f>'F-09 EP'!V50+'F-09 EP'!V67</f>
        <v>496</v>
      </c>
      <c r="E394" s="460">
        <f>'F-09 MGP'!V50+'F-09 MGP'!V67+'F-09 MGP'!V79</f>
        <v>778</v>
      </c>
      <c r="F394" s="460">
        <f>'F-09 FAP'!V50+'F-09 FAP'!V67+'F-09 FAP'!V79</f>
        <v>1062</v>
      </c>
      <c r="G394" s="460"/>
      <c r="H394" s="460"/>
      <c r="I394" s="460"/>
      <c r="J394" s="460">
        <f t="shared" si="104"/>
        <v>2336</v>
      </c>
      <c r="L394" s="460" t="s">
        <v>6871</v>
      </c>
      <c r="M394" s="459">
        <f>'F-09 EP'!M50+'F-09 EP'!M67+'F-09 MGP'!M50+'F-09 MGP'!M67+'F-09 MGP'!M79+'F-09 FAP'!M50+'F-09 FAP'!M67+'F-09 FAP'!M79</f>
        <v>2336</v>
      </c>
      <c r="N394" s="459">
        <f>'F-09 EP'!N50+'F-09 EP'!N67+'F-09 MGP'!N50+'F-09 MGP'!N67+'F-09 MGP'!N79+'F-09 FAP'!N50+'F-09 FAP'!N67+'F-09 FAP'!N79</f>
        <v>0</v>
      </c>
      <c r="O394" s="459">
        <f>'F-09 EP'!O50+'F-09 EP'!O67+'F-09 MGP'!O50+'F-09 MGP'!O67+'F-09 MGP'!O79+'F-09 FAP'!O50+'F-09 FAP'!O67+'F-09 FAP'!O79</f>
        <v>0</v>
      </c>
      <c r="P394" s="459">
        <f>'F-09 EP'!P50+'F-09 EP'!P67+'F-09 MGP'!P50+'F-09 MGP'!P67+'F-09 MGP'!P79+'F-09 FAP'!P50+'F-09 FAP'!P67+'F-09 FAP'!P79</f>
        <v>0</v>
      </c>
      <c r="Q394" s="459">
        <f>'F-09 EP'!Q50+'F-09 EP'!Q67+'F-09 MGP'!Q50+'F-09 MGP'!Q67+'F-09 MGP'!Q79+'F-09 FAP'!Q50+'F-09 FAP'!Q67+'F-09 FAP'!Q79</f>
        <v>0</v>
      </c>
      <c r="R394" s="459">
        <f>'F-09 EP'!R50+'F-09 EP'!R67+'F-09 MGP'!R50+'F-09 MGP'!R67+'F-09 MGP'!R79+'F-09 FAP'!R50+'F-09 FAP'!R67+'F-09 FAP'!R79</f>
        <v>0</v>
      </c>
      <c r="S394" s="459">
        <f>'F-09 EP'!S50+'F-09 EP'!S67+'F-09 MGP'!S50+'F-09 MGP'!S67+'F-09 MGP'!S79+'F-09 FAP'!S50+'F-09 FAP'!S67+'F-09 FAP'!S79</f>
        <v>0</v>
      </c>
      <c r="T394" s="459">
        <f>'F-09 EP'!T50+'F-09 EP'!T67+'F-09 MGP'!T50+'F-09 MGP'!T67+'F-09 MGP'!T79+'F-09 FAP'!T50+'F-09 FAP'!T67+'F-09 FAP'!T79</f>
        <v>0</v>
      </c>
      <c r="U394" s="459">
        <f>'F-09 EP'!U50+'F-09 EP'!U67+'F-09 MGP'!U50+'F-09 MGP'!U67+'F-09 MGP'!U79+'F-09 FAP'!U50+'F-09 FAP'!U67+'F-09 FAP'!U79</f>
        <v>0</v>
      </c>
      <c r="V394" s="459">
        <f>'F-09 EP'!V50+'F-09 EP'!V67+'F-09 MGP'!V50+'F-09 MGP'!V67+'F-09 MGP'!V79+'F-09 FAP'!V50+'F-09 FAP'!V67+'F-09 FAP'!V79</f>
        <v>2336</v>
      </c>
    </row>
    <row r="395" spans="1:26" hidden="1">
      <c r="A395" s="460" t="s">
        <v>6870</v>
      </c>
      <c r="B395" s="460"/>
      <c r="C395" s="460"/>
      <c r="D395" s="460">
        <f>'F-09 EP'!V79</f>
        <v>2394</v>
      </c>
      <c r="E395" s="460">
        <f>'F-09 MGP'!V91</f>
        <v>1483</v>
      </c>
      <c r="F395" s="460">
        <f>'F-09 FAP'!V91</f>
        <v>1683</v>
      </c>
      <c r="G395" s="460"/>
      <c r="H395" s="460">
        <f>'F-09 ENAMM'!V50</f>
        <v>1</v>
      </c>
      <c r="I395" s="460"/>
      <c r="J395" s="460">
        <f t="shared" si="104"/>
        <v>5561</v>
      </c>
      <c r="L395" s="460" t="s">
        <v>6870</v>
      </c>
      <c r="M395" s="459">
        <f>'F-09 EP'!M79+'F-09 MGP'!M91+'F-09 FAP'!M91+'F-09 ENAMM'!M50</f>
        <v>5561</v>
      </c>
      <c r="N395" s="459">
        <f>'F-09 EP'!N79+'F-09 MGP'!N91+'F-09 FAP'!N91+'F-09 ENAMM'!N50</f>
        <v>0</v>
      </c>
      <c r="O395" s="459">
        <f>'F-09 EP'!O79+'F-09 MGP'!O91+'F-09 FAP'!O91+'F-09 ENAMM'!O50</f>
        <v>0</v>
      </c>
      <c r="P395" s="459">
        <f>'F-09 EP'!P79+'F-09 MGP'!P91+'F-09 FAP'!P91+'F-09 ENAMM'!P50</f>
        <v>0</v>
      </c>
      <c r="Q395" s="459">
        <f>'F-09 EP'!Q79+'F-09 MGP'!Q91+'F-09 FAP'!Q91+'F-09 ENAMM'!Q50</f>
        <v>0</v>
      </c>
      <c r="R395" s="459">
        <f>'F-09 EP'!R79+'F-09 MGP'!R91+'F-09 FAP'!R91+'F-09 ENAMM'!R50</f>
        <v>0</v>
      </c>
      <c r="S395" s="459">
        <f>'F-09 EP'!S79+'F-09 MGP'!S91+'F-09 FAP'!S91+'F-09 ENAMM'!S50</f>
        <v>0</v>
      </c>
      <c r="T395" s="459">
        <f>'F-09 EP'!T79+'F-09 MGP'!T91+'F-09 FAP'!T91+'F-09 ENAMM'!T50</f>
        <v>0</v>
      </c>
      <c r="U395" s="459">
        <f>'F-09 EP'!U79+'F-09 MGP'!U91+'F-09 FAP'!U91+'F-09 ENAMM'!U50</f>
        <v>0</v>
      </c>
      <c r="V395" s="459">
        <f>'F-09 EP'!V79+'F-09 MGP'!V91+'F-09 FAP'!V91+'F-09 ENAMM'!V50</f>
        <v>5561</v>
      </c>
    </row>
    <row r="396" spans="1:26" hidden="1">
      <c r="A396" s="460" t="s">
        <v>6869</v>
      </c>
      <c r="B396" s="460"/>
      <c r="C396" s="460"/>
      <c r="D396" s="460">
        <f>'F-09 EP'!V207</f>
        <v>56456</v>
      </c>
      <c r="E396" s="460">
        <f>'F-09 MGP'!V219</f>
        <v>26283</v>
      </c>
      <c r="F396" s="460">
        <f>'F-09 FAP'!V219</f>
        <v>10441</v>
      </c>
      <c r="G396" s="460"/>
      <c r="H396" s="460"/>
      <c r="I396" s="460"/>
      <c r="J396" s="460">
        <f t="shared" si="104"/>
        <v>93180</v>
      </c>
      <c r="L396" s="460" t="s">
        <v>6869</v>
      </c>
      <c r="M396" s="459">
        <f>'F-09 EP'!M207+'F-09 MGP'!M219+'F-09 FAP'!M219</f>
        <v>0</v>
      </c>
      <c r="N396" s="459">
        <f>'F-09 EP'!N207+'F-09 MGP'!N219+'F-09 FAP'!N219</f>
        <v>0</v>
      </c>
      <c r="O396" s="459">
        <f>'F-09 EP'!O207+'F-09 MGP'!O219+'F-09 FAP'!O219</f>
        <v>0</v>
      </c>
      <c r="P396" s="459">
        <f>'F-09 EP'!P207+'F-09 MGP'!P219+'F-09 FAP'!P219</f>
        <v>0</v>
      </c>
      <c r="Q396" s="459">
        <f>'F-09 EP'!Q207+'F-09 MGP'!Q219+'F-09 FAP'!Q219</f>
        <v>0</v>
      </c>
      <c r="R396" s="459">
        <f>'F-09 EP'!R207+'F-09 MGP'!R219+'F-09 FAP'!R219</f>
        <v>0</v>
      </c>
      <c r="S396" s="459">
        <f>'F-09 EP'!S207+'F-09 MGP'!S219+'F-09 FAP'!S219</f>
        <v>0</v>
      </c>
      <c r="T396" s="459">
        <f>'F-09 EP'!T207+'F-09 MGP'!T219+'F-09 FAP'!T219</f>
        <v>0</v>
      </c>
      <c r="U396" s="459">
        <f>'F-09 EP'!U207+'F-09 MGP'!U219+'F-09 FAP'!U219</f>
        <v>93180</v>
      </c>
      <c r="V396" s="459">
        <f>'F-09 EP'!V207+'F-09 MGP'!V219+'F-09 FAP'!V219</f>
        <v>93180</v>
      </c>
    </row>
    <row r="397" spans="1:26" hidden="1">
      <c r="A397" s="460" t="s">
        <v>6868</v>
      </c>
      <c r="B397" s="460"/>
      <c r="C397" s="460"/>
      <c r="D397" s="460">
        <f>'F-09 EP'!V280</f>
        <v>1449</v>
      </c>
      <c r="E397" s="460">
        <f>'F-09 MGP'!V292</f>
        <v>2678</v>
      </c>
      <c r="F397" s="460">
        <f>'F-09 FAP'!V292</f>
        <v>972</v>
      </c>
      <c r="G397" s="460"/>
      <c r="H397" s="460"/>
      <c r="I397" s="460"/>
      <c r="J397" s="460">
        <f t="shared" si="104"/>
        <v>5099</v>
      </c>
      <c r="L397" s="460" t="s">
        <v>6868</v>
      </c>
      <c r="M397" s="459">
        <f>'F-09 EP'!M280+'F-09 MGP'!M292+'F-09 FAP'!M292</f>
        <v>0</v>
      </c>
      <c r="N397" s="459">
        <f>'F-09 EP'!N280+'F-09 MGP'!N292+'F-09 FAP'!N292</f>
        <v>0</v>
      </c>
      <c r="O397" s="459">
        <f>'F-09 EP'!O280+'F-09 MGP'!O292+'F-09 FAP'!O292</f>
        <v>0</v>
      </c>
      <c r="P397" s="459">
        <f>'F-09 EP'!P280+'F-09 MGP'!P292+'F-09 FAP'!P292</f>
        <v>0</v>
      </c>
      <c r="Q397" s="459">
        <f>'F-09 EP'!Q280+'F-09 MGP'!Q292+'F-09 FAP'!Q292</f>
        <v>0</v>
      </c>
      <c r="R397" s="459">
        <f>'F-09 EP'!R280+'F-09 MGP'!R292+'F-09 FAP'!R292</f>
        <v>0</v>
      </c>
      <c r="S397" s="459">
        <f>'F-09 EP'!S280+'F-09 MGP'!S292+'F-09 FAP'!S292</f>
        <v>0</v>
      </c>
      <c r="T397" s="459">
        <f>'F-09 EP'!T280+'F-09 MGP'!T292+'F-09 FAP'!T292</f>
        <v>233</v>
      </c>
      <c r="U397" s="459">
        <f>'F-09 EP'!U280+'F-09 MGP'!U292+'F-09 FAP'!U292</f>
        <v>4866</v>
      </c>
      <c r="V397" s="459">
        <f>'F-09 EP'!V280+'F-09 MGP'!V292+'F-09 FAP'!V292</f>
        <v>5099</v>
      </c>
    </row>
    <row r="398" spans="1:26" hidden="1">
      <c r="A398" s="460" t="s">
        <v>6867</v>
      </c>
      <c r="B398" s="460">
        <f>'F-09 OGA'!V48</f>
        <v>297</v>
      </c>
      <c r="C398" s="460">
        <f>'F-09 CCFFAA'!V50</f>
        <v>58</v>
      </c>
      <c r="D398" s="460">
        <f>'F-09 EP'!V294</f>
        <v>65</v>
      </c>
      <c r="E398" s="460">
        <f>'F-09 MGP'!V306</f>
        <v>393</v>
      </c>
      <c r="F398" s="460">
        <f>'F-09 FAP'!V306</f>
        <v>137</v>
      </c>
      <c r="G398" s="460">
        <f>'F-09 CONIDA'!V50</f>
        <v>81</v>
      </c>
      <c r="H398" s="460">
        <f>'F-09 ENAMM'!V58</f>
        <v>0</v>
      </c>
      <c r="I398" s="460">
        <f>'F-09 OPREFA'!V42</f>
        <v>24</v>
      </c>
      <c r="J398" s="460">
        <f t="shared" si="104"/>
        <v>1055</v>
      </c>
      <c r="L398" s="460" t="s">
        <v>6867</v>
      </c>
      <c r="M398" s="459">
        <f>'F-09 OGA'!M48+'F-09 CCFFAA'!M50+'F-09 EP'!M294+'F-09 MGP'!M306+'F-09 FAP'!M306+'F-09 CONIDA'!M50+'F-09 ENAMM'!M58+'F-09 OPREFA'!M42</f>
        <v>0</v>
      </c>
      <c r="N398" s="459">
        <f>'F-09 OGA'!N48+'F-09 CCFFAA'!N50+'F-09 EP'!N294+'F-09 MGP'!N306+'F-09 FAP'!N306+'F-09 CONIDA'!N50+'F-09 ENAMM'!N58+'F-09 OPREFA'!N42</f>
        <v>0</v>
      </c>
      <c r="O398" s="459">
        <f>'F-09 OGA'!O48+'F-09 CCFFAA'!O50+'F-09 EP'!O294+'F-09 MGP'!O306+'F-09 FAP'!O306+'F-09 CONIDA'!O50+'F-09 ENAMM'!O58+'F-09 OPREFA'!O42</f>
        <v>1055</v>
      </c>
      <c r="P398" s="459">
        <f>'F-09 OGA'!P48+'F-09 CCFFAA'!P50+'F-09 EP'!P294+'F-09 MGP'!P306+'F-09 FAP'!P306+'F-09 CONIDA'!P50+'F-09 ENAMM'!P58+'F-09 OPREFA'!P42</f>
        <v>0</v>
      </c>
      <c r="Q398" s="459">
        <f>'F-09 OGA'!Q48+'F-09 CCFFAA'!Q50+'F-09 EP'!Q294+'F-09 MGP'!Q306+'F-09 FAP'!Q306+'F-09 CONIDA'!Q50+'F-09 ENAMM'!Q58+'F-09 OPREFA'!Q42</f>
        <v>0</v>
      </c>
      <c r="R398" s="459">
        <f>'F-09 OGA'!R48+'F-09 CCFFAA'!R50+'F-09 EP'!R294+'F-09 MGP'!R306+'F-09 FAP'!R306+'F-09 CONIDA'!R50+'F-09 ENAMM'!R58+'F-09 OPREFA'!R42</f>
        <v>0</v>
      </c>
      <c r="S398" s="459">
        <f>'F-09 OGA'!S48+'F-09 CCFFAA'!S50+'F-09 EP'!S294+'F-09 MGP'!S306+'F-09 FAP'!S306+'F-09 CONIDA'!S50+'F-09 ENAMM'!S58+'F-09 OPREFA'!S42</f>
        <v>0</v>
      </c>
      <c r="T398" s="459">
        <f>'F-09 OGA'!T48+'F-09 CCFFAA'!T50+'F-09 EP'!T294+'F-09 MGP'!T306+'F-09 FAP'!T306+'F-09 CONIDA'!T50+'F-09 ENAMM'!T58+'F-09 OPREFA'!T42</f>
        <v>0</v>
      </c>
      <c r="U398" s="459">
        <f>'F-09 OGA'!U48+'F-09 CCFFAA'!U50+'F-09 EP'!U294+'F-09 MGP'!U306+'F-09 FAP'!U306+'F-09 CONIDA'!U50+'F-09 ENAMM'!U58+'F-09 OPREFA'!U42</f>
        <v>0</v>
      </c>
      <c r="V398" s="459">
        <f>'F-09 OGA'!V48+'F-09 CCFFAA'!V50+'F-09 EP'!V294+'F-09 MGP'!V306+'F-09 FAP'!V306+'F-09 CONIDA'!V50+'F-09 ENAMM'!V58+'F-09 OPREFA'!V42</f>
        <v>1055</v>
      </c>
    </row>
    <row r="399" spans="1:26" hidden="1">
      <c r="A399" s="460" t="s">
        <v>6866</v>
      </c>
      <c r="B399" s="460">
        <f>'F-09 OGA'!V53</f>
        <v>20</v>
      </c>
      <c r="C399" s="460">
        <f>'F-09 CCFFAA'!V61</f>
        <v>0</v>
      </c>
      <c r="D399" s="460"/>
      <c r="E399" s="460"/>
      <c r="F399" s="460"/>
      <c r="G399" s="460"/>
      <c r="H399" s="460"/>
      <c r="I399" s="460"/>
      <c r="J399" s="460">
        <f t="shared" si="104"/>
        <v>20</v>
      </c>
      <c r="L399" s="460" t="s">
        <v>6866</v>
      </c>
      <c r="M399" s="460">
        <f>'F-09 OGA'!M53+'F-09 CCFFAA'!M61</f>
        <v>20</v>
      </c>
      <c r="N399" s="460">
        <f>'F-09 OGA'!N53+'F-09 CCFFAA'!N61</f>
        <v>0</v>
      </c>
      <c r="O399" s="460">
        <f>'F-09 OGA'!O53+'F-09 CCFFAA'!O61</f>
        <v>0</v>
      </c>
      <c r="P399" s="460">
        <f>'F-09 OGA'!P53+'F-09 CCFFAA'!P61</f>
        <v>0</v>
      </c>
      <c r="Q399" s="460">
        <f>'F-09 OGA'!Q53+'F-09 CCFFAA'!Q61</f>
        <v>0</v>
      </c>
      <c r="R399" s="460">
        <f>'F-09 OGA'!R53+'F-09 CCFFAA'!R61</f>
        <v>0</v>
      </c>
      <c r="S399" s="460">
        <f>'F-09 OGA'!S53+'F-09 CCFFAA'!S61</f>
        <v>0</v>
      </c>
      <c r="T399" s="460">
        <f>'F-09 OGA'!T53+'F-09 CCFFAA'!T61</f>
        <v>0</v>
      </c>
      <c r="U399" s="460">
        <f>'F-09 OGA'!U53+'F-09 CCFFAA'!U61</f>
        <v>0</v>
      </c>
      <c r="V399" s="460">
        <f>'F-09 OGA'!V53+'F-09 CCFFAA'!V61</f>
        <v>20</v>
      </c>
    </row>
    <row r="400" spans="1:26" hidden="1">
      <c r="A400" s="460" t="s">
        <v>6865</v>
      </c>
      <c r="B400" s="460">
        <f>'F-09 OGA'!V45</f>
        <v>1</v>
      </c>
      <c r="C400" s="460"/>
      <c r="D400" s="460"/>
      <c r="E400" s="460"/>
      <c r="F400" s="460"/>
      <c r="G400" s="460"/>
      <c r="H400" s="460"/>
      <c r="I400" s="460"/>
      <c r="J400" s="460">
        <f t="shared" si="104"/>
        <v>1</v>
      </c>
      <c r="L400" s="460" t="s">
        <v>6881</v>
      </c>
      <c r="M400" s="460">
        <v>1</v>
      </c>
      <c r="N400" s="460"/>
      <c r="O400" s="460"/>
      <c r="P400" s="460"/>
      <c r="Q400" s="460"/>
      <c r="R400" s="460"/>
      <c r="S400" s="460"/>
      <c r="T400" s="460"/>
      <c r="U400" s="460"/>
      <c r="V400" s="460">
        <f>M400</f>
        <v>1</v>
      </c>
    </row>
    <row r="401" spans="1:22" hidden="1">
      <c r="A401" s="460"/>
      <c r="B401" s="463">
        <f t="shared" ref="B401:J401" si="105">SUM(B393:B400)</f>
        <v>435</v>
      </c>
      <c r="C401" s="463">
        <f t="shared" si="105"/>
        <v>101</v>
      </c>
      <c r="D401" s="463">
        <f t="shared" si="105"/>
        <v>64732</v>
      </c>
      <c r="E401" s="463">
        <f t="shared" si="105"/>
        <v>34504</v>
      </c>
      <c r="F401" s="463">
        <f t="shared" si="105"/>
        <v>18783</v>
      </c>
      <c r="G401" s="463">
        <f t="shared" si="105"/>
        <v>97</v>
      </c>
      <c r="H401" s="463">
        <f t="shared" si="105"/>
        <v>56</v>
      </c>
      <c r="I401" s="463">
        <f t="shared" si="105"/>
        <v>24</v>
      </c>
      <c r="J401" s="463">
        <f t="shared" si="105"/>
        <v>118732</v>
      </c>
      <c r="L401" s="460"/>
      <c r="M401" s="466">
        <f t="shared" ref="M401:U401" si="106">SUM(M393:M399)</f>
        <v>19356</v>
      </c>
      <c r="N401" s="466">
        <f t="shared" si="106"/>
        <v>37</v>
      </c>
      <c r="O401" s="466">
        <f t="shared" si="106"/>
        <v>1055</v>
      </c>
      <c r="P401" s="466">
        <f t="shared" si="106"/>
        <v>4</v>
      </c>
      <c r="Q401" s="466">
        <f t="shared" si="106"/>
        <v>0</v>
      </c>
      <c r="R401" s="466">
        <f t="shared" si="106"/>
        <v>0</v>
      </c>
      <c r="S401" s="466">
        <f t="shared" si="106"/>
        <v>0</v>
      </c>
      <c r="T401" s="466">
        <f t="shared" si="106"/>
        <v>233</v>
      </c>
      <c r="U401" s="466">
        <f t="shared" si="106"/>
        <v>98046</v>
      </c>
      <c r="V401" s="459">
        <f>SUM(V393:V400)</f>
        <v>118732</v>
      </c>
    </row>
    <row r="402" spans="1:22" hidden="1">
      <c r="V402" s="465">
        <f>V342-V401</f>
        <v>0</v>
      </c>
    </row>
    <row r="403" spans="1:22" hidden="1">
      <c r="B403" s="460">
        <f>'F-09 OGA'!V67</f>
        <v>435</v>
      </c>
      <c r="C403" s="460">
        <f>'F-09 CCFFAA'!V86</f>
        <v>101</v>
      </c>
      <c r="D403" s="460">
        <f>'F-09 EP'!V331</f>
        <v>64732</v>
      </c>
      <c r="E403" s="460">
        <f>'F-09 MGP'!V342</f>
        <v>34504</v>
      </c>
      <c r="F403" s="460">
        <f>'F-09 FAP'!V342</f>
        <v>18783</v>
      </c>
      <c r="G403" s="460">
        <f>'F-09 CONIDA'!V86</f>
        <v>97</v>
      </c>
      <c r="H403" s="460">
        <f>'F-09 ENAMM'!V76</f>
        <v>56</v>
      </c>
      <c r="I403" s="460">
        <f>'F-09 OPREFA'!V57</f>
        <v>24</v>
      </c>
      <c r="J403" s="460">
        <f>SUM(B403:I403)</f>
        <v>118732</v>
      </c>
    </row>
    <row r="404" spans="1:22" hidden="1"/>
    <row r="405" spans="1:22" hidden="1">
      <c r="B405" s="11">
        <f t="shared" ref="B405:J405" si="107">B403-B401</f>
        <v>0</v>
      </c>
      <c r="C405" s="11">
        <f t="shared" si="107"/>
        <v>0</v>
      </c>
      <c r="D405" s="11">
        <f t="shared" si="107"/>
        <v>0</v>
      </c>
      <c r="E405" s="11">
        <f t="shared" si="107"/>
        <v>0</v>
      </c>
      <c r="F405" s="11">
        <f t="shared" si="107"/>
        <v>0</v>
      </c>
      <c r="G405" s="11">
        <f t="shared" si="107"/>
        <v>0</v>
      </c>
      <c r="H405" s="11">
        <f t="shared" si="107"/>
        <v>0</v>
      </c>
      <c r="I405" s="11">
        <f t="shared" si="107"/>
        <v>0</v>
      </c>
      <c r="J405" s="11">
        <f t="shared" si="107"/>
        <v>0</v>
      </c>
    </row>
  </sheetData>
  <mergeCells count="11">
    <mergeCell ref="A343:W343"/>
    <mergeCell ref="B5:L5"/>
    <mergeCell ref="M5:W5"/>
    <mergeCell ref="A7:W7"/>
    <mergeCell ref="A8:W8"/>
    <mergeCell ref="A9:W9"/>
    <mergeCell ref="A344:W344"/>
    <mergeCell ref="A345:W345"/>
    <mergeCell ref="A370:W370"/>
    <mergeCell ref="A371:W371"/>
    <mergeCell ref="A372:W372"/>
  </mergeCells>
  <printOptions horizontalCentered="1"/>
  <pageMargins left="0.19685039370078741" right="0.19685039370078741" top="0.78740157480314965" bottom="0.78740157480314965" header="0.19685039370078741" footer="0.19685039370078741"/>
  <pageSetup paperSize="9" scale="78"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2060"/>
  </sheetPr>
  <dimension ref="A1:AH81"/>
  <sheetViews>
    <sheetView view="pageBreakPreview" zoomScaleNormal="100" zoomScaleSheetLayoutView="100" workbookViewId="0">
      <pane xSplit="1" ySplit="6" topLeftCell="B61" activePane="bottomRight" state="frozen"/>
      <selection activeCell="B8" sqref="B8"/>
      <selection pane="topRight" activeCell="B8" sqref="B8"/>
      <selection pane="bottomLeft" activeCell="B8" sqref="B8"/>
      <selection pane="bottomRight" activeCell="B8" sqref="B8"/>
    </sheetView>
  </sheetViews>
  <sheetFormatPr baseColWidth="10" defaultColWidth="11.42578125" defaultRowHeight="12.75"/>
  <cols>
    <col min="1" max="1" width="29.28515625" style="11" customWidth="1"/>
    <col min="2" max="2" width="6.5703125" style="11" bestFit="1" customWidth="1"/>
    <col min="3" max="3" width="6.140625" style="11" bestFit="1" customWidth="1"/>
    <col min="4" max="4" width="7.28515625" style="11" bestFit="1" customWidth="1"/>
    <col min="5" max="10" width="6.140625" style="11" bestFit="1" customWidth="1"/>
    <col min="11" max="11" width="6.5703125" style="11" bestFit="1" customWidth="1"/>
    <col min="12" max="12" width="12.42578125" style="11" bestFit="1" customWidth="1"/>
    <col min="13" max="13" width="6.5703125" style="11" bestFit="1" customWidth="1"/>
    <col min="14" max="14" width="6.140625" style="11" bestFit="1" customWidth="1"/>
    <col min="15" max="15" width="7.28515625" style="11" bestFit="1" customWidth="1"/>
    <col min="16" max="21" width="6.140625" style="11" bestFit="1" customWidth="1"/>
    <col min="22" max="22" width="6.5703125" style="11" bestFit="1" customWidth="1"/>
    <col min="23" max="23" width="12.42578125" style="11" bestFit="1" customWidth="1"/>
    <col min="24" max="24" width="1.7109375" style="52" customWidth="1"/>
    <col min="25" max="25" width="10.7109375" customWidth="1"/>
    <col min="26" max="26" width="13.140625" customWidth="1"/>
    <col min="27" max="27" width="11.42578125" bestFit="1" customWidth="1"/>
    <col min="28" max="28" width="10.7109375" customWidth="1"/>
    <col min="29" max="16384" width="11.42578125" style="68"/>
  </cols>
  <sheetData>
    <row r="1" spans="1:28" s="72" customFormat="1" ht="15.75">
      <c r="A1" s="186" t="s">
        <v>458</v>
      </c>
      <c r="B1" s="71"/>
      <c r="C1" s="71"/>
      <c r="D1" s="71"/>
      <c r="E1" s="71"/>
      <c r="F1" s="71"/>
      <c r="G1" s="71"/>
      <c r="H1" s="71"/>
      <c r="I1" s="71"/>
      <c r="J1" s="71"/>
      <c r="K1" s="71"/>
      <c r="L1" s="71"/>
      <c r="M1" s="71"/>
      <c r="N1" s="71"/>
      <c r="O1" s="71"/>
      <c r="P1" s="71"/>
      <c r="Q1" s="71"/>
      <c r="R1" s="71"/>
      <c r="S1" s="71"/>
      <c r="T1" s="71"/>
      <c r="U1" s="71"/>
      <c r="V1" s="71"/>
      <c r="W1" s="71"/>
      <c r="X1" s="73"/>
    </row>
    <row r="2" spans="1:28" s="72" customFormat="1" ht="15.75">
      <c r="A2" s="186" t="s">
        <v>382</v>
      </c>
      <c r="B2" s="71"/>
      <c r="C2" s="71"/>
      <c r="D2" s="71"/>
      <c r="E2" s="71"/>
      <c r="F2" s="71"/>
      <c r="G2" s="71"/>
      <c r="H2" s="71"/>
      <c r="I2" s="71"/>
      <c r="J2" s="71"/>
      <c r="K2" s="71"/>
      <c r="L2" s="71"/>
      <c r="M2" s="71"/>
      <c r="N2" s="71"/>
      <c r="O2" s="71"/>
      <c r="P2" s="71"/>
      <c r="Q2" s="71"/>
      <c r="R2" s="71"/>
      <c r="S2" s="71"/>
      <c r="T2" s="71"/>
      <c r="U2" s="71"/>
      <c r="V2" s="71"/>
      <c r="W2" s="71"/>
      <c r="X2" s="73"/>
    </row>
    <row r="3" spans="1:28" s="56" customFormat="1" ht="15.75">
      <c r="A3" s="187" t="s">
        <v>1654</v>
      </c>
      <c r="X3" s="51"/>
    </row>
    <row r="4" spans="1:28" ht="13.5" thickBot="1">
      <c r="A4" s="187" t="s">
        <v>1653</v>
      </c>
      <c r="L4" s="12"/>
      <c r="W4" s="12"/>
    </row>
    <row r="5" spans="1:28" s="41" customFormat="1" ht="11.25">
      <c r="A5" s="120" t="s">
        <v>10</v>
      </c>
      <c r="B5" s="2001" t="s">
        <v>456</v>
      </c>
      <c r="C5" s="2002"/>
      <c r="D5" s="2002"/>
      <c r="E5" s="2002"/>
      <c r="F5" s="2002"/>
      <c r="G5" s="2002"/>
      <c r="H5" s="2002"/>
      <c r="I5" s="2002"/>
      <c r="J5" s="2002"/>
      <c r="K5" s="2002"/>
      <c r="L5" s="2003"/>
      <c r="M5" s="2001" t="s">
        <v>457</v>
      </c>
      <c r="N5" s="2002"/>
      <c r="O5" s="2002"/>
      <c r="P5" s="2002"/>
      <c r="Q5" s="2002"/>
      <c r="R5" s="2002"/>
      <c r="S5" s="2002"/>
      <c r="T5" s="2002"/>
      <c r="U5" s="2002"/>
      <c r="V5" s="2002"/>
      <c r="W5" s="2003"/>
      <c r="X5" s="53"/>
    </row>
    <row r="6" spans="1:28" s="42" customFormat="1" ht="98.25">
      <c r="A6" s="121" t="s">
        <v>9</v>
      </c>
      <c r="B6" s="122" t="s">
        <v>310</v>
      </c>
      <c r="C6" s="122" t="s">
        <v>118</v>
      </c>
      <c r="D6" s="123" t="s">
        <v>266</v>
      </c>
      <c r="E6" s="123" t="s">
        <v>259</v>
      </c>
      <c r="F6" s="123" t="s">
        <v>268</v>
      </c>
      <c r="G6" s="123" t="s">
        <v>269</v>
      </c>
      <c r="H6" s="123" t="s">
        <v>270</v>
      </c>
      <c r="I6" s="123" t="s">
        <v>277</v>
      </c>
      <c r="J6" s="124" t="s">
        <v>272</v>
      </c>
      <c r="K6" s="125" t="s">
        <v>274</v>
      </c>
      <c r="L6" s="126" t="s">
        <v>276</v>
      </c>
      <c r="M6" s="122" t="s">
        <v>310</v>
      </c>
      <c r="N6" s="122" t="s">
        <v>118</v>
      </c>
      <c r="O6" s="123" t="s">
        <v>266</v>
      </c>
      <c r="P6" s="123" t="s">
        <v>259</v>
      </c>
      <c r="Q6" s="123" t="s">
        <v>268</v>
      </c>
      <c r="R6" s="123" t="s">
        <v>269</v>
      </c>
      <c r="S6" s="123" t="s">
        <v>270</v>
      </c>
      <c r="T6" s="123" t="s">
        <v>277</v>
      </c>
      <c r="U6" s="124" t="s">
        <v>272</v>
      </c>
      <c r="V6" s="125" t="s">
        <v>274</v>
      </c>
      <c r="W6" s="126" t="s">
        <v>275</v>
      </c>
      <c r="X6" s="54"/>
    </row>
    <row r="7" spans="1:28" s="712" customFormat="1" ht="6">
      <c r="A7" s="2007"/>
      <c r="B7" s="2008"/>
      <c r="C7" s="2008"/>
      <c r="D7" s="2008"/>
      <c r="E7" s="2008"/>
      <c r="F7" s="2008"/>
      <c r="G7" s="2008"/>
      <c r="H7" s="2008"/>
      <c r="I7" s="2008"/>
      <c r="J7" s="2008"/>
      <c r="K7" s="2008"/>
      <c r="L7" s="2008"/>
      <c r="M7" s="2008"/>
      <c r="N7" s="2008"/>
      <c r="O7" s="2008"/>
      <c r="P7" s="2008"/>
      <c r="Q7" s="2008"/>
      <c r="R7" s="2008"/>
      <c r="S7" s="2008"/>
      <c r="T7" s="2008"/>
      <c r="U7" s="2008"/>
      <c r="V7" s="2008"/>
      <c r="W7" s="2009"/>
      <c r="X7" s="711"/>
    </row>
    <row r="8" spans="1:28" ht="15">
      <c r="A8" s="2004" t="s">
        <v>7176</v>
      </c>
      <c r="B8" s="2005"/>
      <c r="C8" s="2005"/>
      <c r="D8" s="2005"/>
      <c r="E8" s="2005"/>
      <c r="F8" s="2005"/>
      <c r="G8" s="2005"/>
      <c r="H8" s="2005"/>
      <c r="I8" s="2005"/>
      <c r="J8" s="2005"/>
      <c r="K8" s="2005"/>
      <c r="L8" s="2005"/>
      <c r="M8" s="2005"/>
      <c r="N8" s="2005"/>
      <c r="O8" s="2005"/>
      <c r="P8" s="2005"/>
      <c r="Q8" s="2005"/>
      <c r="R8" s="2005"/>
      <c r="S8" s="2005"/>
      <c r="T8" s="2005"/>
      <c r="U8" s="2005"/>
      <c r="V8" s="2005"/>
      <c r="W8" s="2006"/>
      <c r="Y8" s="68"/>
      <c r="Z8" s="68"/>
      <c r="AA8" s="68"/>
      <c r="AB8" s="68"/>
    </row>
    <row r="9" spans="1:28" s="710" customFormat="1" ht="8.25">
      <c r="A9" s="2010"/>
      <c r="B9" s="2011"/>
      <c r="C9" s="2011"/>
      <c r="D9" s="2011"/>
      <c r="E9" s="2011"/>
      <c r="F9" s="2011"/>
      <c r="G9" s="2011"/>
      <c r="H9" s="2011"/>
      <c r="I9" s="2011"/>
      <c r="J9" s="2011"/>
      <c r="K9" s="2011"/>
      <c r="L9" s="2011"/>
      <c r="M9" s="2011"/>
      <c r="N9" s="2011"/>
      <c r="O9" s="2011"/>
      <c r="P9" s="2011"/>
      <c r="Q9" s="2011"/>
      <c r="R9" s="2011"/>
      <c r="S9" s="2011"/>
      <c r="T9" s="2011"/>
      <c r="U9" s="2011"/>
      <c r="V9" s="2011"/>
      <c r="W9" s="2012"/>
      <c r="X9" s="709"/>
    </row>
    <row r="10" spans="1:28">
      <c r="A10" s="708" t="s">
        <v>48</v>
      </c>
      <c r="B10" s="520">
        <f t="shared" ref="B10:W10" si="0">B11+B20+B27+B34+B41</f>
        <v>122</v>
      </c>
      <c r="C10" s="520">
        <f t="shared" si="0"/>
        <v>0</v>
      </c>
      <c r="D10" s="520">
        <f t="shared" si="0"/>
        <v>0</v>
      </c>
      <c r="E10" s="520">
        <f t="shared" si="0"/>
        <v>4</v>
      </c>
      <c r="F10" s="520">
        <f t="shared" si="0"/>
        <v>0</v>
      </c>
      <c r="G10" s="520">
        <f t="shared" si="0"/>
        <v>0</v>
      </c>
      <c r="H10" s="520">
        <f t="shared" si="0"/>
        <v>0</v>
      </c>
      <c r="I10" s="520">
        <f t="shared" si="0"/>
        <v>0</v>
      </c>
      <c r="J10" s="520">
        <f t="shared" si="0"/>
        <v>0</v>
      </c>
      <c r="K10" s="513">
        <f t="shared" si="0"/>
        <v>126</v>
      </c>
      <c r="L10" s="512">
        <f t="shared" si="0"/>
        <v>5085056.8499999996</v>
      </c>
      <c r="M10" s="520">
        <f t="shared" si="0"/>
        <v>113</v>
      </c>
      <c r="N10" s="520">
        <f t="shared" si="0"/>
        <v>0</v>
      </c>
      <c r="O10" s="520">
        <f t="shared" si="0"/>
        <v>0</v>
      </c>
      <c r="P10" s="520">
        <f t="shared" si="0"/>
        <v>4</v>
      </c>
      <c r="Q10" s="520">
        <f t="shared" si="0"/>
        <v>0</v>
      </c>
      <c r="R10" s="520">
        <f t="shared" si="0"/>
        <v>0</v>
      </c>
      <c r="S10" s="520">
        <f t="shared" si="0"/>
        <v>0</v>
      </c>
      <c r="T10" s="520">
        <f t="shared" si="0"/>
        <v>0</v>
      </c>
      <c r="U10" s="520">
        <f t="shared" si="0"/>
        <v>0</v>
      </c>
      <c r="V10" s="513">
        <f t="shared" si="0"/>
        <v>117</v>
      </c>
      <c r="W10" s="512">
        <f t="shared" si="0"/>
        <v>4991356.2799999993</v>
      </c>
      <c r="AA10" s="68"/>
      <c r="AB10" s="68"/>
    </row>
    <row r="11" spans="1:28">
      <c r="A11" s="715" t="s">
        <v>7</v>
      </c>
      <c r="B11" s="517">
        <f t="shared" ref="B11:W11" si="1">SUM(B12:B19)</f>
        <v>6</v>
      </c>
      <c r="C11" s="517">
        <f t="shared" si="1"/>
        <v>0</v>
      </c>
      <c r="D11" s="517">
        <f t="shared" si="1"/>
        <v>0</v>
      </c>
      <c r="E11" s="517">
        <f t="shared" si="1"/>
        <v>0</v>
      </c>
      <c r="F11" s="517">
        <f t="shared" si="1"/>
        <v>0</v>
      </c>
      <c r="G11" s="517">
        <f t="shared" si="1"/>
        <v>0</v>
      </c>
      <c r="H11" s="517">
        <f t="shared" si="1"/>
        <v>0</v>
      </c>
      <c r="I11" s="517">
        <f t="shared" si="1"/>
        <v>0</v>
      </c>
      <c r="J11" s="517">
        <f t="shared" si="1"/>
        <v>0</v>
      </c>
      <c r="K11" s="513">
        <f t="shared" si="1"/>
        <v>6</v>
      </c>
      <c r="L11" s="512">
        <f t="shared" si="1"/>
        <v>243797.57439999998</v>
      </c>
      <c r="M11" s="517">
        <f t="shared" si="1"/>
        <v>6</v>
      </c>
      <c r="N11" s="517">
        <f t="shared" si="1"/>
        <v>0</v>
      </c>
      <c r="O11" s="517">
        <f t="shared" si="1"/>
        <v>0</v>
      </c>
      <c r="P11" s="517">
        <f t="shared" si="1"/>
        <v>0</v>
      </c>
      <c r="Q11" s="517">
        <f t="shared" si="1"/>
        <v>0</v>
      </c>
      <c r="R11" s="517">
        <f t="shared" si="1"/>
        <v>0</v>
      </c>
      <c r="S11" s="517">
        <f t="shared" si="1"/>
        <v>0</v>
      </c>
      <c r="T11" s="517">
        <f t="shared" si="1"/>
        <v>0</v>
      </c>
      <c r="U11" s="517">
        <f t="shared" si="1"/>
        <v>0</v>
      </c>
      <c r="V11" s="513">
        <f t="shared" si="1"/>
        <v>6</v>
      </c>
      <c r="W11" s="512">
        <f t="shared" si="1"/>
        <v>209788.68</v>
      </c>
      <c r="X11" s="55"/>
      <c r="AA11" s="68"/>
      <c r="AB11" s="68"/>
    </row>
    <row r="12" spans="1:28" hidden="1">
      <c r="A12" s="703" t="s">
        <v>3</v>
      </c>
      <c r="B12" s="32">
        <v>0</v>
      </c>
      <c r="C12" s="32"/>
      <c r="D12" s="32"/>
      <c r="E12" s="32"/>
      <c r="F12" s="32"/>
      <c r="G12" s="32"/>
      <c r="H12" s="32"/>
      <c r="I12" s="32"/>
      <c r="J12" s="32"/>
      <c r="K12" s="32">
        <f t="shared" ref="K12:K19" si="2">SUM(B12:J12)</f>
        <v>0</v>
      </c>
      <c r="L12" s="16"/>
      <c r="M12" s="32">
        <v>0</v>
      </c>
      <c r="N12" s="32"/>
      <c r="O12" s="32"/>
      <c r="P12" s="32"/>
      <c r="Q12" s="32"/>
      <c r="R12" s="32"/>
      <c r="S12" s="32"/>
      <c r="T12" s="32"/>
      <c r="U12" s="32"/>
      <c r="V12" s="32">
        <f t="shared" ref="V12:V19" si="3">SUM(M12:U12)</f>
        <v>0</v>
      </c>
      <c r="W12" s="16"/>
      <c r="AA12" s="68"/>
      <c r="AB12" s="68"/>
    </row>
    <row r="13" spans="1:28" hidden="1">
      <c r="A13" s="703" t="s">
        <v>7062</v>
      </c>
      <c r="B13" s="32">
        <v>0</v>
      </c>
      <c r="C13" s="32"/>
      <c r="D13" s="32"/>
      <c r="E13" s="32"/>
      <c r="F13" s="32"/>
      <c r="G13" s="32"/>
      <c r="H13" s="32"/>
      <c r="I13" s="32"/>
      <c r="J13" s="32"/>
      <c r="K13" s="32">
        <f t="shared" si="2"/>
        <v>0</v>
      </c>
      <c r="L13" s="16"/>
      <c r="M13" s="32">
        <v>0</v>
      </c>
      <c r="N13" s="32"/>
      <c r="O13" s="32"/>
      <c r="P13" s="32"/>
      <c r="Q13" s="32"/>
      <c r="R13" s="32"/>
      <c r="S13" s="32"/>
      <c r="T13" s="32"/>
      <c r="U13" s="32"/>
      <c r="V13" s="32">
        <f t="shared" si="3"/>
        <v>0</v>
      </c>
      <c r="W13" s="16"/>
      <c r="AA13" s="68"/>
      <c r="AB13" s="68"/>
    </row>
    <row r="14" spans="1:28">
      <c r="A14" s="703" t="s">
        <v>7061</v>
      </c>
      <c r="B14" s="32">
        <v>1</v>
      </c>
      <c r="C14" s="32"/>
      <c r="D14" s="32"/>
      <c r="E14" s="32"/>
      <c r="F14" s="32"/>
      <c r="G14" s="32"/>
      <c r="H14" s="32"/>
      <c r="I14" s="32"/>
      <c r="J14" s="32"/>
      <c r="K14" s="32">
        <f t="shared" si="2"/>
        <v>1</v>
      </c>
      <c r="L14" s="515">
        <f>((1154.17+400+39.5416)*12)+1000+(1610*12)</f>
        <v>39444.539199999999</v>
      </c>
      <c r="M14" s="32">
        <v>1</v>
      </c>
      <c r="N14" s="32"/>
      <c r="O14" s="32"/>
      <c r="P14" s="32"/>
      <c r="Q14" s="32"/>
      <c r="R14" s="32"/>
      <c r="S14" s="32"/>
      <c r="T14" s="32"/>
      <c r="U14" s="32"/>
      <c r="V14" s="32">
        <f t="shared" si="3"/>
        <v>1</v>
      </c>
      <c r="W14" s="515">
        <f>((815.82+687.48+1450+(930*0.09))*12)+1000</f>
        <v>37444</v>
      </c>
      <c r="AA14" s="68"/>
      <c r="AB14" s="68"/>
    </row>
    <row r="15" spans="1:28">
      <c r="A15" s="703" t="s">
        <v>7060</v>
      </c>
      <c r="B15" s="32">
        <v>0</v>
      </c>
      <c r="C15" s="32"/>
      <c r="D15" s="32"/>
      <c r="E15" s="32"/>
      <c r="F15" s="32"/>
      <c r="G15" s="32"/>
      <c r="H15" s="32"/>
      <c r="I15" s="32"/>
      <c r="J15" s="32"/>
      <c r="K15" s="32">
        <f t="shared" si="2"/>
        <v>0</v>
      </c>
      <c r="L15" s="515">
        <f>((1154.17+400+39.5416)*12)+1000+(1610*12)</f>
        <v>39444.539199999999</v>
      </c>
      <c r="M15" s="32">
        <v>0</v>
      </c>
      <c r="N15" s="32"/>
      <c r="O15" s="32"/>
      <c r="P15" s="32"/>
      <c r="Q15" s="32"/>
      <c r="R15" s="32"/>
      <c r="S15" s="32"/>
      <c r="T15" s="32"/>
      <c r="U15" s="32"/>
      <c r="V15" s="32">
        <f t="shared" si="3"/>
        <v>0</v>
      </c>
      <c r="W15" s="515"/>
      <c r="AA15" s="68"/>
      <c r="AB15" s="68"/>
    </row>
    <row r="16" spans="1:28" hidden="1">
      <c r="A16" s="703" t="s">
        <v>7059</v>
      </c>
      <c r="B16" s="32">
        <v>0</v>
      </c>
      <c r="C16" s="32"/>
      <c r="D16" s="32"/>
      <c r="E16" s="32"/>
      <c r="F16" s="32"/>
      <c r="G16" s="32"/>
      <c r="H16" s="32"/>
      <c r="I16" s="32"/>
      <c r="J16" s="32"/>
      <c r="K16" s="32">
        <f t="shared" si="2"/>
        <v>0</v>
      </c>
      <c r="L16" s="515"/>
      <c r="M16" s="32">
        <v>0</v>
      </c>
      <c r="N16" s="32"/>
      <c r="O16" s="32"/>
      <c r="P16" s="32"/>
      <c r="Q16" s="32"/>
      <c r="R16" s="32"/>
      <c r="S16" s="32"/>
      <c r="T16" s="32"/>
      <c r="U16" s="32"/>
      <c r="V16" s="32">
        <f t="shared" si="3"/>
        <v>0</v>
      </c>
      <c r="W16" s="515"/>
      <c r="AA16" s="68"/>
      <c r="AB16" s="68"/>
    </row>
    <row r="17" spans="1:28">
      <c r="A17" s="703" t="s">
        <v>7058</v>
      </c>
      <c r="B17" s="32">
        <v>3</v>
      </c>
      <c r="C17" s="32"/>
      <c r="D17" s="32"/>
      <c r="E17" s="32"/>
      <c r="F17" s="32"/>
      <c r="G17" s="32"/>
      <c r="H17" s="32"/>
      <c r="I17" s="32"/>
      <c r="J17" s="32"/>
      <c r="K17" s="32">
        <f t="shared" si="2"/>
        <v>3</v>
      </c>
      <c r="L17" s="515">
        <f>((921.43+400+39.5416)*12*K17)+(1000*K17)+(1450*12*K17)</f>
        <v>104194.9776</v>
      </c>
      <c r="M17" s="32">
        <v>3</v>
      </c>
      <c r="N17" s="32"/>
      <c r="O17" s="32"/>
      <c r="P17" s="32"/>
      <c r="Q17" s="32"/>
      <c r="R17" s="32"/>
      <c r="S17" s="32"/>
      <c r="T17" s="32"/>
      <c r="U17" s="32"/>
      <c r="V17" s="32">
        <f t="shared" si="3"/>
        <v>3</v>
      </c>
      <c r="W17" s="515">
        <f>(((757.49+608.68+1450+(930*0.09))*12)*M17)+(1000*M17)</f>
        <v>107395.32</v>
      </c>
      <c r="AA17" s="68"/>
      <c r="AB17" s="68"/>
    </row>
    <row r="18" spans="1:28">
      <c r="A18" s="703" t="s">
        <v>7057</v>
      </c>
      <c r="B18" s="32">
        <v>1</v>
      </c>
      <c r="C18" s="32"/>
      <c r="D18" s="32"/>
      <c r="E18" s="32"/>
      <c r="F18" s="32"/>
      <c r="G18" s="32"/>
      <c r="H18" s="32"/>
      <c r="I18" s="32"/>
      <c r="J18" s="32"/>
      <c r="K18" s="32">
        <f t="shared" si="2"/>
        <v>1</v>
      </c>
      <c r="L18" s="515">
        <f>((956.13+400+39.5416)*12*K18)+(1000*K18)+(1130*12*K18)</f>
        <v>31308.059200000003</v>
      </c>
      <c r="M18" s="32">
        <v>1</v>
      </c>
      <c r="N18" s="32"/>
      <c r="O18" s="32"/>
      <c r="P18" s="32"/>
      <c r="Q18" s="32"/>
      <c r="R18" s="32"/>
      <c r="S18" s="32"/>
      <c r="T18" s="32"/>
      <c r="U18" s="32"/>
      <c r="V18" s="32">
        <f t="shared" si="3"/>
        <v>1</v>
      </c>
      <c r="W18" s="515">
        <f>(((738.1+657.03+1210+(930*0.09))*12)*M18)+(1000*M18)</f>
        <v>33265.96</v>
      </c>
      <c r="AA18" s="68"/>
      <c r="AB18" s="68"/>
    </row>
    <row r="19" spans="1:28">
      <c r="A19" s="703" t="s">
        <v>12</v>
      </c>
      <c r="B19" s="32">
        <v>1</v>
      </c>
      <c r="C19" s="32"/>
      <c r="D19" s="32"/>
      <c r="E19" s="32"/>
      <c r="F19" s="32"/>
      <c r="G19" s="32"/>
      <c r="H19" s="32"/>
      <c r="I19" s="32"/>
      <c r="J19" s="32"/>
      <c r="K19" s="32">
        <f t="shared" si="2"/>
        <v>1</v>
      </c>
      <c r="L19" s="515">
        <f>((824.25+400+39.5416)*12*K19)+(1000*K19)+(1103.33*12*K19)</f>
        <v>29405.459199999998</v>
      </c>
      <c r="M19" s="32">
        <v>1</v>
      </c>
      <c r="N19" s="32"/>
      <c r="O19" s="32"/>
      <c r="P19" s="32"/>
      <c r="Q19" s="32"/>
      <c r="R19" s="32"/>
      <c r="S19" s="32"/>
      <c r="T19" s="32"/>
      <c r="U19" s="32"/>
      <c r="V19" s="32">
        <f t="shared" si="3"/>
        <v>1</v>
      </c>
      <c r="W19" s="515">
        <f>(((713.93+549.32+1210+(930*0.09))*12)*M19)+(1000*M19)</f>
        <v>31683.399999999998</v>
      </c>
      <c r="AA19" s="68"/>
      <c r="AB19" s="68"/>
    </row>
    <row r="20" spans="1:28">
      <c r="A20" s="715" t="s">
        <v>4</v>
      </c>
      <c r="B20" s="517">
        <f t="shared" ref="B20:W20" si="4">SUM(B21:B26)</f>
        <v>28</v>
      </c>
      <c r="C20" s="517">
        <f t="shared" si="4"/>
        <v>0</v>
      </c>
      <c r="D20" s="517">
        <f t="shared" si="4"/>
        <v>0</v>
      </c>
      <c r="E20" s="517">
        <f t="shared" si="4"/>
        <v>0</v>
      </c>
      <c r="F20" s="517">
        <f t="shared" si="4"/>
        <v>0</v>
      </c>
      <c r="G20" s="517">
        <f t="shared" si="4"/>
        <v>0</v>
      </c>
      <c r="H20" s="517">
        <f t="shared" si="4"/>
        <v>0</v>
      </c>
      <c r="I20" s="517">
        <f t="shared" si="4"/>
        <v>0</v>
      </c>
      <c r="J20" s="517">
        <f t="shared" si="4"/>
        <v>0</v>
      </c>
      <c r="K20" s="513">
        <f t="shared" si="4"/>
        <v>28</v>
      </c>
      <c r="L20" s="512">
        <f t="shared" si="4"/>
        <v>810242.01760000002</v>
      </c>
      <c r="M20" s="517">
        <f t="shared" si="4"/>
        <v>26</v>
      </c>
      <c r="N20" s="517">
        <f t="shared" si="4"/>
        <v>0</v>
      </c>
      <c r="O20" s="517">
        <f t="shared" si="4"/>
        <v>0</v>
      </c>
      <c r="P20" s="517">
        <f t="shared" si="4"/>
        <v>0</v>
      </c>
      <c r="Q20" s="517">
        <f t="shared" si="4"/>
        <v>0</v>
      </c>
      <c r="R20" s="517">
        <f t="shared" si="4"/>
        <v>0</v>
      </c>
      <c r="S20" s="517">
        <f t="shared" si="4"/>
        <v>0</v>
      </c>
      <c r="T20" s="517">
        <f t="shared" si="4"/>
        <v>0</v>
      </c>
      <c r="U20" s="517">
        <f t="shared" si="4"/>
        <v>0</v>
      </c>
      <c r="V20" s="513">
        <f t="shared" si="4"/>
        <v>26</v>
      </c>
      <c r="W20" s="512">
        <f t="shared" si="4"/>
        <v>779240.84</v>
      </c>
      <c r="AA20" s="68"/>
      <c r="AB20" s="68"/>
    </row>
    <row r="21" spans="1:28">
      <c r="A21" s="703" t="s">
        <v>13</v>
      </c>
      <c r="B21" s="32">
        <v>5</v>
      </c>
      <c r="C21" s="32"/>
      <c r="D21" s="32"/>
      <c r="E21" s="32"/>
      <c r="F21" s="32"/>
      <c r="G21" s="32"/>
      <c r="H21" s="32"/>
      <c r="I21" s="32"/>
      <c r="J21" s="32"/>
      <c r="K21" s="32">
        <f t="shared" ref="K21:K26" si="5">SUM(B21:J21)</f>
        <v>5</v>
      </c>
      <c r="L21" s="515">
        <f>((823.73+400+39.5416)*12*K21)+(1000*K21)+(1130*12*K21)</f>
        <v>148596.296</v>
      </c>
      <c r="M21" s="32">
        <v>5</v>
      </c>
      <c r="N21" s="32"/>
      <c r="O21" s="32"/>
      <c r="P21" s="32"/>
      <c r="Q21" s="32"/>
      <c r="R21" s="32"/>
      <c r="S21" s="32"/>
      <c r="T21" s="32"/>
      <c r="U21" s="32"/>
      <c r="V21" s="32">
        <f t="shared" ref="V21:V26" si="6">SUM(M21:U21)</f>
        <v>5</v>
      </c>
      <c r="W21" s="515">
        <f>(((698.59+561.59+1130+(930*0.09))*12)*M21)+(1000*M21)</f>
        <v>153432.80000000002</v>
      </c>
      <c r="AA21" s="68"/>
      <c r="AB21" s="68"/>
    </row>
    <row r="22" spans="1:28">
      <c r="A22" s="703" t="s">
        <v>6978</v>
      </c>
      <c r="B22" s="32">
        <v>3</v>
      </c>
      <c r="C22" s="32"/>
      <c r="D22" s="32"/>
      <c r="E22" s="32"/>
      <c r="F22" s="32"/>
      <c r="G22" s="32"/>
      <c r="H22" s="32"/>
      <c r="I22" s="32"/>
      <c r="J22" s="32"/>
      <c r="K22" s="32">
        <f t="shared" si="5"/>
        <v>3</v>
      </c>
      <c r="L22" s="515">
        <f>((788.9+400+39.5416)*12*K22)+(1000*K22)+(1130*12*K22)</f>
        <v>87903.897599999997</v>
      </c>
      <c r="M22" s="32">
        <v>2</v>
      </c>
      <c r="N22" s="32"/>
      <c r="O22" s="32"/>
      <c r="P22" s="32"/>
      <c r="Q22" s="32"/>
      <c r="R22" s="32"/>
      <c r="S22" s="32"/>
      <c r="T22" s="32"/>
      <c r="U22" s="32"/>
      <c r="V22" s="32">
        <f t="shared" si="6"/>
        <v>2</v>
      </c>
      <c r="W22" s="515">
        <f>(((673.65+554.16+1130+(930*0.09))*12)*M22)+(1000*M22)</f>
        <v>60596.239999999991</v>
      </c>
      <c r="AA22" s="68"/>
      <c r="AB22" s="68"/>
    </row>
    <row r="23" spans="1:28">
      <c r="A23" s="703" t="s">
        <v>6977</v>
      </c>
      <c r="B23" s="32">
        <v>7</v>
      </c>
      <c r="C23" s="32"/>
      <c r="D23" s="32"/>
      <c r="E23" s="32"/>
      <c r="F23" s="32"/>
      <c r="G23" s="32"/>
      <c r="H23" s="32"/>
      <c r="I23" s="32"/>
      <c r="J23" s="32"/>
      <c r="K23" s="32">
        <f t="shared" si="5"/>
        <v>7</v>
      </c>
      <c r="L23" s="515">
        <f>((761.11+400+39.5416)*12*K23)+(1000*K23)+(1130*12*K23)</f>
        <v>202774.73440000002</v>
      </c>
      <c r="M23" s="32">
        <v>7</v>
      </c>
      <c r="N23" s="32"/>
      <c r="O23" s="32"/>
      <c r="P23" s="32"/>
      <c r="Q23" s="32"/>
      <c r="R23" s="32"/>
      <c r="S23" s="32"/>
      <c r="T23" s="32"/>
      <c r="U23" s="32"/>
      <c r="V23" s="32">
        <f t="shared" si="6"/>
        <v>7</v>
      </c>
      <c r="W23" s="515">
        <f>(((648.77+555.51+1130+(930*0.09))*12)*M23)+(1000*M23)</f>
        <v>210110.31999999995</v>
      </c>
      <c r="AA23" s="68"/>
      <c r="AB23" s="68"/>
    </row>
    <row r="24" spans="1:28">
      <c r="A24" s="703" t="s">
        <v>6976</v>
      </c>
      <c r="B24" s="32">
        <v>7</v>
      </c>
      <c r="C24" s="32"/>
      <c r="D24" s="32"/>
      <c r="E24" s="32"/>
      <c r="F24" s="32"/>
      <c r="G24" s="32"/>
      <c r="H24" s="32"/>
      <c r="I24" s="32"/>
      <c r="J24" s="32"/>
      <c r="K24" s="32">
        <f t="shared" si="5"/>
        <v>7</v>
      </c>
      <c r="L24" s="515">
        <f>((750.17+400+39.5416)*12*K24)+(1000*K24)+(1130*12*K24)</f>
        <v>201855.77439999999</v>
      </c>
      <c r="M24" s="32">
        <v>7</v>
      </c>
      <c r="N24" s="32"/>
      <c r="O24" s="32"/>
      <c r="P24" s="32"/>
      <c r="Q24" s="32"/>
      <c r="R24" s="32"/>
      <c r="S24" s="32"/>
      <c r="T24" s="32"/>
      <c r="U24" s="32"/>
      <c r="V24" s="32">
        <f t="shared" si="6"/>
        <v>7</v>
      </c>
      <c r="W24" s="515">
        <f>(((623.88+565.29+1130+(930*0.09))*12)*M24)+(1000*M24)</f>
        <v>208841.08</v>
      </c>
      <c r="AA24" s="68"/>
      <c r="AB24" s="68"/>
    </row>
    <row r="25" spans="1:28">
      <c r="A25" s="703" t="s">
        <v>14</v>
      </c>
      <c r="B25" s="32">
        <v>2</v>
      </c>
      <c r="C25" s="32"/>
      <c r="D25" s="32"/>
      <c r="E25" s="32"/>
      <c r="F25" s="32"/>
      <c r="G25" s="32"/>
      <c r="H25" s="32"/>
      <c r="I25" s="32"/>
      <c r="J25" s="32"/>
      <c r="K25" s="32">
        <f t="shared" si="5"/>
        <v>2</v>
      </c>
      <c r="L25" s="515">
        <f>((721.48+400+39.5416)*12*K25)+(1000*K25)+(1130*12*K25)</f>
        <v>56984.518400000001</v>
      </c>
      <c r="M25" s="32">
        <v>1</v>
      </c>
      <c r="N25" s="32"/>
      <c r="O25" s="32"/>
      <c r="P25" s="32"/>
      <c r="Q25" s="32"/>
      <c r="R25" s="32"/>
      <c r="S25" s="32"/>
      <c r="T25" s="32"/>
      <c r="U25" s="32"/>
      <c r="V25" s="32">
        <f t="shared" si="6"/>
        <v>1</v>
      </c>
      <c r="W25" s="515">
        <f>(((598.98+608.86+1130+(930*0.09))*12)*M25)+(1000*M25)</f>
        <v>30058.48</v>
      </c>
      <c r="AA25" s="68"/>
      <c r="AB25" s="68"/>
    </row>
    <row r="26" spans="1:28">
      <c r="A26" s="703" t="s">
        <v>6975</v>
      </c>
      <c r="B26" s="32">
        <v>4</v>
      </c>
      <c r="C26" s="32"/>
      <c r="D26" s="32"/>
      <c r="E26" s="32"/>
      <c r="F26" s="32"/>
      <c r="G26" s="32"/>
      <c r="H26" s="32"/>
      <c r="I26" s="32"/>
      <c r="J26" s="32"/>
      <c r="K26" s="32">
        <f t="shared" si="5"/>
        <v>4</v>
      </c>
      <c r="L26" s="515">
        <f>((683.1+400+39.5416)*12*K26)+(1000*K26)+(1130*12*K26)</f>
        <v>112126.7968</v>
      </c>
      <c r="M26" s="32">
        <v>4</v>
      </c>
      <c r="N26" s="32"/>
      <c r="O26" s="32"/>
      <c r="P26" s="32"/>
      <c r="Q26" s="32"/>
      <c r="R26" s="32"/>
      <c r="S26" s="32"/>
      <c r="T26" s="32"/>
      <c r="U26" s="32"/>
      <c r="V26" s="32">
        <f t="shared" si="6"/>
        <v>4</v>
      </c>
      <c r="W26" s="515">
        <f>(((575.93+547.91+1130+(930*0.09))*12)*M26)+(1000*M26)</f>
        <v>116201.92</v>
      </c>
      <c r="AA26" s="68"/>
      <c r="AB26" s="68"/>
    </row>
    <row r="27" spans="1:28">
      <c r="A27" s="715" t="s">
        <v>5</v>
      </c>
      <c r="B27" s="517">
        <f t="shared" ref="B27:W27" si="7">SUM(B28:B33)</f>
        <v>61</v>
      </c>
      <c r="C27" s="517">
        <f t="shared" si="7"/>
        <v>0</v>
      </c>
      <c r="D27" s="517">
        <f t="shared" si="7"/>
        <v>0</v>
      </c>
      <c r="E27" s="517">
        <f t="shared" si="7"/>
        <v>0</v>
      </c>
      <c r="F27" s="517">
        <f t="shared" si="7"/>
        <v>0</v>
      </c>
      <c r="G27" s="517">
        <f t="shared" si="7"/>
        <v>0</v>
      </c>
      <c r="H27" s="517">
        <f t="shared" si="7"/>
        <v>0</v>
      </c>
      <c r="I27" s="517">
        <f t="shared" si="7"/>
        <v>0</v>
      </c>
      <c r="J27" s="517">
        <f t="shared" si="7"/>
        <v>0</v>
      </c>
      <c r="K27" s="513">
        <f t="shared" si="7"/>
        <v>61</v>
      </c>
      <c r="L27" s="512">
        <f t="shared" si="7"/>
        <v>1736708.6596000001</v>
      </c>
      <c r="M27" s="517">
        <f t="shared" si="7"/>
        <v>54</v>
      </c>
      <c r="N27" s="517">
        <f t="shared" si="7"/>
        <v>0</v>
      </c>
      <c r="O27" s="517">
        <f t="shared" si="7"/>
        <v>0</v>
      </c>
      <c r="P27" s="517">
        <f t="shared" si="7"/>
        <v>0</v>
      </c>
      <c r="Q27" s="517">
        <f t="shared" si="7"/>
        <v>0</v>
      </c>
      <c r="R27" s="517">
        <f t="shared" si="7"/>
        <v>0</v>
      </c>
      <c r="S27" s="517">
        <f t="shared" si="7"/>
        <v>0</v>
      </c>
      <c r="T27" s="517">
        <f t="shared" si="7"/>
        <v>0</v>
      </c>
      <c r="U27" s="517">
        <f t="shared" si="7"/>
        <v>0</v>
      </c>
      <c r="V27" s="513">
        <f t="shared" si="7"/>
        <v>54</v>
      </c>
      <c r="W27" s="512">
        <f t="shared" si="7"/>
        <v>1554886.08</v>
      </c>
      <c r="AA27" s="68"/>
      <c r="AB27" s="68"/>
    </row>
    <row r="28" spans="1:28">
      <c r="A28" s="703" t="s">
        <v>15</v>
      </c>
      <c r="B28" s="32">
        <v>16</v>
      </c>
      <c r="C28" s="32"/>
      <c r="D28" s="32"/>
      <c r="E28" s="32"/>
      <c r="F28" s="32"/>
      <c r="G28" s="32"/>
      <c r="H28" s="32"/>
      <c r="I28" s="32"/>
      <c r="J28" s="32"/>
      <c r="K28" s="32">
        <f t="shared" ref="K28:K33" si="8">SUM(B28:J28)</f>
        <v>16</v>
      </c>
      <c r="L28" s="515">
        <f>((716.64+400+39.5416)*12*17)+(1000*17)+(1050*12*17)+7437.37</f>
        <v>474498.41639999999</v>
      </c>
      <c r="M28" s="32">
        <v>13</v>
      </c>
      <c r="N28" s="32"/>
      <c r="O28" s="32"/>
      <c r="P28" s="32"/>
      <c r="Q28" s="32"/>
      <c r="R28" s="32"/>
      <c r="S28" s="32"/>
      <c r="T28" s="32"/>
      <c r="U28" s="32"/>
      <c r="V28" s="32">
        <f t="shared" ref="V28:V33" si="9">SUM(M28:U28)</f>
        <v>13</v>
      </c>
      <c r="W28" s="515">
        <f>(((574.93+599.09+1070+(930*0.09))*12)*M28)+(1000*M28)</f>
        <v>376124.32</v>
      </c>
      <c r="AA28" s="68"/>
      <c r="AB28" s="68"/>
    </row>
    <row r="29" spans="1:28">
      <c r="A29" s="703" t="s">
        <v>7056</v>
      </c>
      <c r="B29" s="32">
        <v>9</v>
      </c>
      <c r="C29" s="32"/>
      <c r="D29" s="32"/>
      <c r="E29" s="32"/>
      <c r="F29" s="32"/>
      <c r="G29" s="32"/>
      <c r="H29" s="32"/>
      <c r="I29" s="32"/>
      <c r="J29" s="32"/>
      <c r="K29" s="32">
        <f t="shared" si="8"/>
        <v>9</v>
      </c>
      <c r="L29" s="515">
        <f>((713.04+400+39.5416)*12*K29)+(1000*K29)+(1050*12*K29)</f>
        <v>246878.81280000001</v>
      </c>
      <c r="M29" s="32">
        <v>8</v>
      </c>
      <c r="N29" s="32"/>
      <c r="O29" s="32"/>
      <c r="P29" s="32"/>
      <c r="Q29" s="32"/>
      <c r="R29" s="32"/>
      <c r="S29" s="32"/>
      <c r="T29" s="32"/>
      <c r="U29" s="32"/>
      <c r="V29" s="32">
        <f t="shared" si="9"/>
        <v>8</v>
      </c>
      <c r="W29" s="515">
        <f>(((567.17+586.76+1070+(930*0.09))*12)*M29)+(1000*M29)</f>
        <v>229532.47999999998</v>
      </c>
      <c r="AA29" s="68"/>
      <c r="AB29" s="68"/>
    </row>
    <row r="30" spans="1:28">
      <c r="A30" s="703" t="s">
        <v>6972</v>
      </c>
      <c r="B30" s="32">
        <v>20</v>
      </c>
      <c r="C30" s="32"/>
      <c r="D30" s="32"/>
      <c r="E30" s="32"/>
      <c r="F30" s="32"/>
      <c r="G30" s="32"/>
      <c r="H30" s="32"/>
      <c r="I30" s="32"/>
      <c r="J30" s="32"/>
      <c r="K30" s="32">
        <f t="shared" si="8"/>
        <v>20</v>
      </c>
      <c r="L30" s="515">
        <f>((720.96+400+39.5416)*12*21)+(1000*21)+(1050*12*21)</f>
        <v>578046.40320000006</v>
      </c>
      <c r="M30" s="32">
        <v>18</v>
      </c>
      <c r="N30" s="32"/>
      <c r="O30" s="32"/>
      <c r="P30" s="32"/>
      <c r="Q30" s="32"/>
      <c r="R30" s="32"/>
      <c r="S30" s="32"/>
      <c r="T30" s="32"/>
      <c r="U30" s="32"/>
      <c r="V30" s="32">
        <f t="shared" si="9"/>
        <v>18</v>
      </c>
      <c r="W30" s="515">
        <f>(((559.39+605.13+1070+(930*0.09))*12)*M30)+(1000*M30)</f>
        <v>518735.52</v>
      </c>
      <c r="AA30" s="68"/>
      <c r="AB30" s="68"/>
    </row>
    <row r="31" spans="1:28">
      <c r="A31" s="703" t="s">
        <v>6971</v>
      </c>
      <c r="B31" s="32">
        <v>8</v>
      </c>
      <c r="C31" s="32"/>
      <c r="D31" s="32"/>
      <c r="E31" s="32"/>
      <c r="F31" s="32"/>
      <c r="G31" s="32"/>
      <c r="H31" s="32"/>
      <c r="I31" s="32"/>
      <c r="J31" s="32"/>
      <c r="K31" s="32">
        <f t="shared" si="8"/>
        <v>8</v>
      </c>
      <c r="L31" s="515">
        <f>((713.25+400+39.5416)*12*K31)+(1000*K31)+(1050*12*K31)</f>
        <v>219467.99359999999</v>
      </c>
      <c r="M31" s="32">
        <v>8</v>
      </c>
      <c r="N31" s="32"/>
      <c r="O31" s="32"/>
      <c r="P31" s="32"/>
      <c r="Q31" s="32"/>
      <c r="R31" s="32"/>
      <c r="S31" s="32"/>
      <c r="T31" s="32"/>
      <c r="U31" s="32"/>
      <c r="V31" s="32">
        <f t="shared" si="9"/>
        <v>8</v>
      </c>
      <c r="W31" s="515">
        <f>(((554.68+600.63+1070+(930*0.09))*12)*M31)+(1000*M31)</f>
        <v>229664.95999999996</v>
      </c>
      <c r="AA31" s="68"/>
      <c r="AB31" s="68"/>
    </row>
    <row r="32" spans="1:28">
      <c r="A32" s="703" t="s">
        <v>16</v>
      </c>
      <c r="B32" s="32">
        <v>2</v>
      </c>
      <c r="C32" s="32"/>
      <c r="D32" s="32"/>
      <c r="E32" s="32"/>
      <c r="F32" s="32"/>
      <c r="G32" s="32"/>
      <c r="H32" s="32"/>
      <c r="I32" s="32"/>
      <c r="J32" s="32"/>
      <c r="K32" s="32">
        <f t="shared" si="8"/>
        <v>2</v>
      </c>
      <c r="L32" s="515">
        <f>((709.29+400+39.5416)*12*K32)+(1000*K32)+(1050*12*K32)</f>
        <v>54771.958400000003</v>
      </c>
      <c r="M32" s="32">
        <v>1</v>
      </c>
      <c r="N32" s="32"/>
      <c r="O32" s="32"/>
      <c r="P32" s="32"/>
      <c r="Q32" s="32"/>
      <c r="R32" s="32"/>
      <c r="S32" s="32"/>
      <c r="T32" s="32"/>
      <c r="U32" s="32"/>
      <c r="V32" s="32">
        <f t="shared" si="9"/>
        <v>1</v>
      </c>
      <c r="W32" s="515">
        <f>(((553.68+605.12+1070+(930*0.09))*12)*M32)+(1000*M32)</f>
        <v>28750</v>
      </c>
      <c r="AA32" s="68"/>
      <c r="AB32" s="68"/>
    </row>
    <row r="33" spans="1:28">
      <c r="A33" s="703" t="s">
        <v>6970</v>
      </c>
      <c r="B33" s="32">
        <v>6</v>
      </c>
      <c r="C33" s="32"/>
      <c r="D33" s="32"/>
      <c r="E33" s="32"/>
      <c r="F33" s="32"/>
      <c r="G33" s="32"/>
      <c r="H33" s="32"/>
      <c r="I33" s="32"/>
      <c r="J33" s="32"/>
      <c r="K33" s="32">
        <f t="shared" si="8"/>
        <v>6</v>
      </c>
      <c r="L33" s="515">
        <f>((691.64+400+39.5416)*12*K33)+(1000*K33)+(1050*12*K33)</f>
        <v>163045.07519999999</v>
      </c>
      <c r="M33" s="32">
        <v>6</v>
      </c>
      <c r="N33" s="32"/>
      <c r="O33" s="32"/>
      <c r="P33" s="32"/>
      <c r="Q33" s="32"/>
      <c r="R33" s="32"/>
      <c r="S33" s="32"/>
      <c r="T33" s="32"/>
      <c r="U33" s="32"/>
      <c r="V33" s="32">
        <f t="shared" si="9"/>
        <v>6</v>
      </c>
      <c r="W33" s="515">
        <f>(((552.68+600.27+1070+(930*0.09))*12)*M33)+(1000*M33)</f>
        <v>172078.8</v>
      </c>
      <c r="AA33" s="68"/>
      <c r="AB33" s="68"/>
    </row>
    <row r="34" spans="1:28">
      <c r="A34" s="715" t="s">
        <v>6</v>
      </c>
      <c r="B34" s="517">
        <f>SUM(B35:B40)</f>
        <v>27</v>
      </c>
      <c r="C34" s="517">
        <f>SUM(C35:C40)</f>
        <v>0</v>
      </c>
      <c r="D34" s="517">
        <f>SUM(D35:D42)</f>
        <v>0</v>
      </c>
      <c r="E34" s="517">
        <f>SUM(E35:E40)</f>
        <v>0</v>
      </c>
      <c r="F34" s="517">
        <f>SUM(F35:F42)</f>
        <v>0</v>
      </c>
      <c r="G34" s="517">
        <f>SUM(G35:G42)</f>
        <v>0</v>
      </c>
      <c r="H34" s="517">
        <f>SUM(H35:H42)</f>
        <v>0</v>
      </c>
      <c r="I34" s="517">
        <f>SUM(I35:I42)</f>
        <v>0</v>
      </c>
      <c r="J34" s="517">
        <f>SUM(J35:J42)</f>
        <v>0</v>
      </c>
      <c r="K34" s="513">
        <f>SUM(K35:K40)</f>
        <v>27</v>
      </c>
      <c r="L34" s="512">
        <f>SUM(L35:L40)</f>
        <v>740308.59840000002</v>
      </c>
      <c r="M34" s="517">
        <f>SUM(M35:M40)</f>
        <v>27</v>
      </c>
      <c r="N34" s="517">
        <f>SUM(N35:N40)</f>
        <v>0</v>
      </c>
      <c r="O34" s="517">
        <f>SUM(O35:O42)</f>
        <v>0</v>
      </c>
      <c r="P34" s="517">
        <f>SUM(P35:P40)</f>
        <v>0</v>
      </c>
      <c r="Q34" s="517">
        <f>SUM(Q35:Q42)</f>
        <v>0</v>
      </c>
      <c r="R34" s="517">
        <f>SUM(R35:R42)</f>
        <v>0</v>
      </c>
      <c r="S34" s="517">
        <f>SUM(S35:S42)</f>
        <v>0</v>
      </c>
      <c r="T34" s="517">
        <f>SUM(T35:T42)</f>
        <v>0</v>
      </c>
      <c r="U34" s="517">
        <f>SUM(U35:U42)</f>
        <v>0</v>
      </c>
      <c r="V34" s="513">
        <f>SUM(V35:V40)</f>
        <v>27</v>
      </c>
      <c r="W34" s="512">
        <f>SUM(W35:W40)</f>
        <v>773560.67999999982</v>
      </c>
      <c r="AA34" s="68"/>
      <c r="AB34" s="68"/>
    </row>
    <row r="35" spans="1:28">
      <c r="A35" s="703" t="s">
        <v>17</v>
      </c>
      <c r="B35" s="32">
        <v>9</v>
      </c>
      <c r="C35" s="32"/>
      <c r="D35" s="32"/>
      <c r="E35" s="32"/>
      <c r="F35" s="32"/>
      <c r="G35" s="32"/>
      <c r="H35" s="32"/>
      <c r="I35" s="32"/>
      <c r="J35" s="32"/>
      <c r="K35" s="32">
        <f t="shared" ref="K35:K40" si="10">SUM(B35:J35)</f>
        <v>9</v>
      </c>
      <c r="L35" s="515">
        <f>((722.14+400+39.5416)*12*K35)+(1000*K35)+(1050*12*K35)</f>
        <v>247861.6128</v>
      </c>
      <c r="M35" s="32">
        <v>9</v>
      </c>
      <c r="N35" s="32"/>
      <c r="O35" s="32"/>
      <c r="P35" s="32"/>
      <c r="Q35" s="32"/>
      <c r="R35" s="32"/>
      <c r="S35" s="32"/>
      <c r="T35" s="32"/>
      <c r="U35" s="32"/>
      <c r="V35" s="32">
        <f t="shared" ref="V35:V40" si="11">SUM(M35:U35)</f>
        <v>9</v>
      </c>
      <c r="W35" s="515">
        <f>(((551.68+610.19+1070+(930*0.09))*12)*M35)+(1000*M35)</f>
        <v>259081.55999999997</v>
      </c>
      <c r="AA35" s="68"/>
      <c r="AB35" s="68"/>
    </row>
    <row r="36" spans="1:28">
      <c r="A36" s="703" t="s">
        <v>6969</v>
      </c>
      <c r="B36" s="32">
        <v>7</v>
      </c>
      <c r="C36" s="32"/>
      <c r="D36" s="32"/>
      <c r="E36" s="32"/>
      <c r="F36" s="32"/>
      <c r="G36" s="32"/>
      <c r="H36" s="32"/>
      <c r="I36" s="32"/>
      <c r="J36" s="32"/>
      <c r="K36" s="32">
        <f t="shared" si="10"/>
        <v>7</v>
      </c>
      <c r="L36" s="515">
        <f>((722.82+400+39.5416)*12*K36)+(1000*K36)+(1050*12*K36)</f>
        <v>192838.37440000003</v>
      </c>
      <c r="M36" s="32">
        <v>6</v>
      </c>
      <c r="N36" s="32"/>
      <c r="O36" s="32"/>
      <c r="P36" s="32"/>
      <c r="Q36" s="32"/>
      <c r="R36" s="32"/>
      <c r="S36" s="32"/>
      <c r="T36" s="32"/>
      <c r="U36" s="32"/>
      <c r="V36" s="32">
        <f t="shared" si="11"/>
        <v>6</v>
      </c>
      <c r="W36" s="515">
        <f>(((543.9+616.95+1070+(930*0.09))*12)*M36)+(1000*M36)</f>
        <v>172647.59999999998</v>
      </c>
      <c r="AA36" s="68"/>
      <c r="AB36" s="68"/>
    </row>
    <row r="37" spans="1:28">
      <c r="A37" s="703" t="s">
        <v>6968</v>
      </c>
      <c r="B37" s="32">
        <v>9</v>
      </c>
      <c r="C37" s="32"/>
      <c r="D37" s="32"/>
      <c r="E37" s="32"/>
      <c r="F37" s="32"/>
      <c r="G37" s="32"/>
      <c r="H37" s="32"/>
      <c r="I37" s="32"/>
      <c r="J37" s="32"/>
      <c r="K37" s="32">
        <f t="shared" si="10"/>
        <v>9</v>
      </c>
      <c r="L37" s="515">
        <f>((703.3+400+39.5416)*12*K37)+(1000*K37)+(1050*12*K37)</f>
        <v>245826.8928</v>
      </c>
      <c r="M37" s="32">
        <v>10</v>
      </c>
      <c r="N37" s="32"/>
      <c r="O37" s="32"/>
      <c r="P37" s="32"/>
      <c r="Q37" s="32"/>
      <c r="R37" s="32"/>
      <c r="S37" s="32"/>
      <c r="T37" s="32"/>
      <c r="U37" s="32"/>
      <c r="V37" s="32">
        <f t="shared" si="11"/>
        <v>10</v>
      </c>
      <c r="W37" s="515">
        <f>(((536.12+606.55+1070+(930*0.09))*12)*M37)+(1000*M37)</f>
        <v>285564.39999999997</v>
      </c>
      <c r="AA37" s="68"/>
      <c r="AB37" s="68"/>
    </row>
    <row r="38" spans="1:28">
      <c r="A38" s="703" t="s">
        <v>6967</v>
      </c>
      <c r="B38" s="32">
        <v>1</v>
      </c>
      <c r="C38" s="32"/>
      <c r="D38" s="32"/>
      <c r="E38" s="32"/>
      <c r="F38" s="32"/>
      <c r="G38" s="32"/>
      <c r="H38" s="32"/>
      <c r="I38" s="32"/>
      <c r="J38" s="32"/>
      <c r="K38" s="32">
        <f t="shared" si="10"/>
        <v>1</v>
      </c>
      <c r="L38" s="515">
        <f>((682.04+400+39.5416)*12*K38)+(1000*K38)+(1050*12*K38)</f>
        <v>27058.979200000002</v>
      </c>
      <c r="M38" s="32">
        <v>1</v>
      </c>
      <c r="N38" s="32"/>
      <c r="O38" s="32"/>
      <c r="P38" s="32"/>
      <c r="Q38" s="32"/>
      <c r="R38" s="32"/>
      <c r="S38" s="32"/>
      <c r="T38" s="32"/>
      <c r="U38" s="32"/>
      <c r="V38" s="32">
        <f t="shared" si="11"/>
        <v>1</v>
      </c>
      <c r="W38" s="515">
        <f>(((528.34+593.5+1070+(930*0.09))*12)*M38)+(1000*M38)</f>
        <v>28306.48</v>
      </c>
      <c r="AA38" s="68"/>
      <c r="AB38" s="68"/>
    </row>
    <row r="39" spans="1:28" hidden="1">
      <c r="A39" s="703" t="s">
        <v>18</v>
      </c>
      <c r="B39" s="32">
        <v>0</v>
      </c>
      <c r="C39" s="32"/>
      <c r="D39" s="32"/>
      <c r="E39" s="32"/>
      <c r="F39" s="32"/>
      <c r="G39" s="32"/>
      <c r="H39" s="32"/>
      <c r="I39" s="32"/>
      <c r="J39" s="32"/>
      <c r="K39" s="32">
        <f t="shared" si="10"/>
        <v>0</v>
      </c>
      <c r="L39" s="515">
        <f>((722.14+400+39.5416)*12*K39)+(1000*K39)+(1050*12*K39)</f>
        <v>0</v>
      </c>
      <c r="M39" s="32">
        <v>0</v>
      </c>
      <c r="N39" s="32"/>
      <c r="O39" s="32"/>
      <c r="P39" s="32"/>
      <c r="Q39" s="32"/>
      <c r="R39" s="32"/>
      <c r="S39" s="32"/>
      <c r="T39" s="32"/>
      <c r="U39" s="32"/>
      <c r="V39" s="32">
        <f t="shared" si="11"/>
        <v>0</v>
      </c>
      <c r="W39" s="515">
        <f>(((552.68+547.91+1130+(930*0.09))*12)*M39)+(1000*M39)</f>
        <v>0</v>
      </c>
      <c r="AA39" s="68"/>
      <c r="AB39" s="68"/>
    </row>
    <row r="40" spans="1:28">
      <c r="A40" s="703" t="s">
        <v>6966</v>
      </c>
      <c r="B40" s="32">
        <v>1</v>
      </c>
      <c r="C40" s="32"/>
      <c r="D40" s="32"/>
      <c r="E40" s="32"/>
      <c r="F40" s="32"/>
      <c r="G40" s="32"/>
      <c r="H40" s="32"/>
      <c r="I40" s="32"/>
      <c r="J40" s="32"/>
      <c r="K40" s="32">
        <f t="shared" si="10"/>
        <v>1</v>
      </c>
      <c r="L40" s="515">
        <f>((654.02+400+39.5416)*12*K40)+(1000*K40)+(1050*12*K40)</f>
        <v>26722.7392</v>
      </c>
      <c r="M40" s="32">
        <v>1</v>
      </c>
      <c r="N40" s="32"/>
      <c r="O40" s="32"/>
      <c r="P40" s="32"/>
      <c r="Q40" s="32"/>
      <c r="R40" s="32"/>
      <c r="S40" s="32"/>
      <c r="T40" s="32"/>
      <c r="U40" s="32"/>
      <c r="V40" s="32">
        <f t="shared" si="11"/>
        <v>1</v>
      </c>
      <c r="W40" s="515">
        <f>(((512.8+580.22+1070+(930*0.09))*12)*M40)+(1000*M40)</f>
        <v>27960.639999999999</v>
      </c>
      <c r="AA40" s="68"/>
      <c r="AB40" s="68"/>
    </row>
    <row r="41" spans="1:28">
      <c r="A41" s="708" t="s">
        <v>7052</v>
      </c>
      <c r="B41" s="517">
        <f t="shared" ref="B41:W41" si="12">SUM(B42:B44)</f>
        <v>0</v>
      </c>
      <c r="C41" s="517">
        <f t="shared" si="12"/>
        <v>0</v>
      </c>
      <c r="D41" s="517">
        <f t="shared" si="12"/>
        <v>0</v>
      </c>
      <c r="E41" s="517">
        <f t="shared" si="12"/>
        <v>4</v>
      </c>
      <c r="F41" s="517">
        <f t="shared" si="12"/>
        <v>0</v>
      </c>
      <c r="G41" s="517">
        <f t="shared" si="12"/>
        <v>0</v>
      </c>
      <c r="H41" s="517">
        <f t="shared" si="12"/>
        <v>0</v>
      </c>
      <c r="I41" s="517">
        <f t="shared" si="12"/>
        <v>0</v>
      </c>
      <c r="J41" s="517">
        <f t="shared" si="12"/>
        <v>0</v>
      </c>
      <c r="K41" s="513">
        <f t="shared" si="12"/>
        <v>4</v>
      </c>
      <c r="L41" s="512">
        <f t="shared" si="12"/>
        <v>1554000</v>
      </c>
      <c r="M41" s="517">
        <f t="shared" si="12"/>
        <v>0</v>
      </c>
      <c r="N41" s="517">
        <f t="shared" si="12"/>
        <v>0</v>
      </c>
      <c r="O41" s="517">
        <f t="shared" si="12"/>
        <v>0</v>
      </c>
      <c r="P41" s="517">
        <f t="shared" si="12"/>
        <v>4</v>
      </c>
      <c r="Q41" s="517">
        <f t="shared" si="12"/>
        <v>0</v>
      </c>
      <c r="R41" s="517">
        <f t="shared" si="12"/>
        <v>0</v>
      </c>
      <c r="S41" s="517">
        <f t="shared" si="12"/>
        <v>0</v>
      </c>
      <c r="T41" s="517">
        <f t="shared" si="12"/>
        <v>0</v>
      </c>
      <c r="U41" s="517">
        <f t="shared" si="12"/>
        <v>0</v>
      </c>
      <c r="V41" s="513">
        <f t="shared" si="12"/>
        <v>4</v>
      </c>
      <c r="W41" s="512">
        <f t="shared" si="12"/>
        <v>1673880</v>
      </c>
      <c r="AA41" s="68"/>
      <c r="AB41" s="68"/>
    </row>
    <row r="42" spans="1:28">
      <c r="A42" s="703" t="s">
        <v>7051</v>
      </c>
      <c r="B42" s="32"/>
      <c r="C42" s="32"/>
      <c r="D42" s="32"/>
      <c r="E42" s="32">
        <v>1</v>
      </c>
      <c r="F42" s="32"/>
      <c r="G42" s="32"/>
      <c r="H42" s="32"/>
      <c r="I42" s="32"/>
      <c r="J42" s="13"/>
      <c r="K42" s="32">
        <f>SUM(B42:J42)</f>
        <v>1</v>
      </c>
      <c r="L42" s="515">
        <v>420000</v>
      </c>
      <c r="M42" s="32"/>
      <c r="N42" s="32"/>
      <c r="O42" s="32"/>
      <c r="P42" s="32">
        <v>1</v>
      </c>
      <c r="Q42" s="32"/>
      <c r="R42" s="32"/>
      <c r="S42" s="32"/>
      <c r="T42" s="32"/>
      <c r="U42" s="32"/>
      <c r="V42" s="32">
        <f>SUM(M42:U42)</f>
        <v>1</v>
      </c>
      <c r="W42" s="515">
        <f>(30000*12)+(30000*0.09*12)+60000</f>
        <v>452400</v>
      </c>
      <c r="AA42" s="68"/>
      <c r="AB42" s="68"/>
    </row>
    <row r="43" spans="1:28">
      <c r="A43" s="703" t="s">
        <v>7050</v>
      </c>
      <c r="B43" s="32"/>
      <c r="C43" s="32"/>
      <c r="D43" s="32"/>
      <c r="E43" s="32">
        <v>2</v>
      </c>
      <c r="F43" s="32"/>
      <c r="G43" s="32"/>
      <c r="H43" s="32"/>
      <c r="I43" s="32"/>
      <c r="J43" s="32"/>
      <c r="K43" s="32">
        <f>SUM(B43:J43)</f>
        <v>2</v>
      </c>
      <c r="L43" s="515">
        <f>(28000*12*2)+(28000*4)</f>
        <v>784000</v>
      </c>
      <c r="M43" s="32"/>
      <c r="N43" s="32"/>
      <c r="O43" s="32"/>
      <c r="P43" s="32">
        <v>2</v>
      </c>
      <c r="Q43" s="32"/>
      <c r="R43" s="32"/>
      <c r="S43" s="32"/>
      <c r="T43" s="32"/>
      <c r="U43" s="32"/>
      <c r="V43" s="32">
        <f>SUM(M43:U43)</f>
        <v>2</v>
      </c>
      <c r="W43" s="515">
        <f>(28000*12*2)+(28000*4)+(28000*0.09*24)</f>
        <v>844480</v>
      </c>
      <c r="AA43" s="68"/>
      <c r="AB43" s="68"/>
    </row>
    <row r="44" spans="1:28">
      <c r="A44" s="703" t="s">
        <v>7049</v>
      </c>
      <c r="B44" s="32"/>
      <c r="C44" s="32"/>
      <c r="D44" s="32"/>
      <c r="E44" s="32">
        <v>1</v>
      </c>
      <c r="F44" s="32"/>
      <c r="G44" s="32"/>
      <c r="H44" s="32"/>
      <c r="I44" s="32"/>
      <c r="J44" s="32"/>
      <c r="K44" s="32">
        <f>SUM(B44:J44)</f>
        <v>1</v>
      </c>
      <c r="L44" s="515">
        <f>(25000*12)+(50000)</f>
        <v>350000</v>
      </c>
      <c r="M44" s="32"/>
      <c r="N44" s="32"/>
      <c r="O44" s="32"/>
      <c r="P44" s="32">
        <v>1</v>
      </c>
      <c r="Q44" s="32"/>
      <c r="R44" s="32"/>
      <c r="S44" s="32"/>
      <c r="T44" s="32"/>
      <c r="U44" s="32"/>
      <c r="V44" s="32">
        <f>SUM(M44:U44)</f>
        <v>1</v>
      </c>
      <c r="W44" s="515">
        <f>(25000*12)+(25000*0.09*12)+50000</f>
        <v>377000</v>
      </c>
      <c r="AA44" s="68"/>
      <c r="AB44" s="68"/>
    </row>
    <row r="45" spans="1:28">
      <c r="A45" s="708" t="s">
        <v>6965</v>
      </c>
      <c r="B45" s="517">
        <f t="shared" ref="B45:W45" si="13">SUM(B46)</f>
        <v>0</v>
      </c>
      <c r="C45" s="517">
        <f t="shared" si="13"/>
        <v>0</v>
      </c>
      <c r="D45" s="517">
        <f t="shared" si="13"/>
        <v>0</v>
      </c>
      <c r="E45" s="517">
        <f t="shared" si="13"/>
        <v>0</v>
      </c>
      <c r="F45" s="517">
        <f t="shared" si="13"/>
        <v>0</v>
      </c>
      <c r="G45" s="517">
        <f t="shared" si="13"/>
        <v>0</v>
      </c>
      <c r="H45" s="517">
        <f t="shared" si="13"/>
        <v>0</v>
      </c>
      <c r="I45" s="517">
        <f t="shared" si="13"/>
        <v>0</v>
      </c>
      <c r="J45" s="517">
        <f t="shared" si="13"/>
        <v>3</v>
      </c>
      <c r="K45" s="513">
        <f t="shared" si="13"/>
        <v>3</v>
      </c>
      <c r="L45" s="512">
        <f t="shared" si="13"/>
        <v>1596000</v>
      </c>
      <c r="M45" s="517">
        <f t="shared" si="13"/>
        <v>0</v>
      </c>
      <c r="N45" s="517">
        <f t="shared" si="13"/>
        <v>0</v>
      </c>
      <c r="O45" s="517">
        <f t="shared" si="13"/>
        <v>0</v>
      </c>
      <c r="P45" s="517">
        <f t="shared" si="13"/>
        <v>0</v>
      </c>
      <c r="Q45" s="517">
        <f t="shared" si="13"/>
        <v>0</v>
      </c>
      <c r="R45" s="517">
        <f t="shared" si="13"/>
        <v>0</v>
      </c>
      <c r="S45" s="517">
        <f t="shared" si="13"/>
        <v>0</v>
      </c>
      <c r="T45" s="517">
        <f t="shared" si="13"/>
        <v>0</v>
      </c>
      <c r="U45" s="517">
        <f t="shared" si="13"/>
        <v>1</v>
      </c>
      <c r="V45" s="513">
        <f t="shared" si="13"/>
        <v>1</v>
      </c>
      <c r="W45" s="512">
        <f t="shared" si="13"/>
        <v>540841</v>
      </c>
      <c r="AA45" s="68"/>
      <c r="AB45" s="68"/>
    </row>
    <row r="46" spans="1:28">
      <c r="A46" s="703" t="s">
        <v>6964</v>
      </c>
      <c r="B46" s="32"/>
      <c r="C46" s="32"/>
      <c r="D46" s="32"/>
      <c r="E46" s="32"/>
      <c r="F46" s="32"/>
      <c r="G46" s="32"/>
      <c r="H46" s="32"/>
      <c r="I46" s="32"/>
      <c r="J46" s="32">
        <v>3</v>
      </c>
      <c r="K46" s="32">
        <f>SUM(B46:J46)</f>
        <v>3</v>
      </c>
      <c r="L46" s="515">
        <f>(43000+43000+47000)*12</f>
        <v>1596000</v>
      </c>
      <c r="M46" s="32"/>
      <c r="N46" s="32"/>
      <c r="O46" s="32"/>
      <c r="P46" s="32"/>
      <c r="Q46" s="32"/>
      <c r="R46" s="32"/>
      <c r="S46" s="32"/>
      <c r="T46" s="32"/>
      <c r="U46" s="32">
        <v>1</v>
      </c>
      <c r="V46" s="32">
        <f>SUM(M46:U46)</f>
        <v>1</v>
      </c>
      <c r="W46" s="515">
        <v>540841</v>
      </c>
      <c r="AA46" s="68"/>
      <c r="AB46" s="68"/>
    </row>
    <row r="47" spans="1:28">
      <c r="A47" s="708" t="s">
        <v>24</v>
      </c>
      <c r="B47" s="514"/>
      <c r="C47" s="514"/>
      <c r="D47" s="514"/>
      <c r="E47" s="514"/>
      <c r="F47" s="514"/>
      <c r="G47" s="514"/>
      <c r="H47" s="514"/>
      <c r="I47" s="514"/>
      <c r="J47" s="514"/>
      <c r="K47" s="514"/>
      <c r="L47" s="487"/>
      <c r="M47" s="514"/>
      <c r="N47" s="514"/>
      <c r="O47" s="514"/>
      <c r="P47" s="514"/>
      <c r="Q47" s="514"/>
      <c r="R47" s="514"/>
      <c r="S47" s="514"/>
      <c r="T47" s="514"/>
      <c r="U47" s="514"/>
      <c r="V47" s="514"/>
      <c r="W47" s="487"/>
      <c r="AA47" s="68"/>
      <c r="AB47" s="68"/>
    </row>
    <row r="48" spans="1:28" ht="24">
      <c r="A48" s="708" t="s">
        <v>6909</v>
      </c>
      <c r="B48" s="517">
        <f t="shared" ref="B48:K48" si="14">SUM(B49:B52)</f>
        <v>0</v>
      </c>
      <c r="C48" s="517">
        <f t="shared" si="14"/>
        <v>0</v>
      </c>
      <c r="D48" s="517">
        <f t="shared" si="14"/>
        <v>317</v>
      </c>
      <c r="E48" s="517">
        <f t="shared" si="14"/>
        <v>0</v>
      </c>
      <c r="F48" s="517">
        <f t="shared" si="14"/>
        <v>0</v>
      </c>
      <c r="G48" s="517">
        <f t="shared" si="14"/>
        <v>0</v>
      </c>
      <c r="H48" s="517">
        <f t="shared" si="14"/>
        <v>0</v>
      </c>
      <c r="I48" s="517">
        <f t="shared" si="14"/>
        <v>0</v>
      </c>
      <c r="J48" s="517">
        <f t="shared" si="14"/>
        <v>0</v>
      </c>
      <c r="K48" s="513">
        <f t="shared" si="14"/>
        <v>317</v>
      </c>
      <c r="L48" s="512">
        <f>SUM(L49:L51)</f>
        <v>24895084.000000015</v>
      </c>
      <c r="M48" s="517">
        <f t="shared" ref="M48:V48" si="15">SUM(M49:M52)</f>
        <v>0</v>
      </c>
      <c r="N48" s="517">
        <f t="shared" si="15"/>
        <v>0</v>
      </c>
      <c r="O48" s="517">
        <f t="shared" si="15"/>
        <v>297</v>
      </c>
      <c r="P48" s="517">
        <f t="shared" si="15"/>
        <v>0</v>
      </c>
      <c r="Q48" s="517">
        <f t="shared" si="15"/>
        <v>0</v>
      </c>
      <c r="R48" s="517">
        <f t="shared" si="15"/>
        <v>0</v>
      </c>
      <c r="S48" s="517">
        <f t="shared" si="15"/>
        <v>0</v>
      </c>
      <c r="T48" s="517">
        <f t="shared" si="15"/>
        <v>0</v>
      </c>
      <c r="U48" s="517">
        <f t="shared" si="15"/>
        <v>0</v>
      </c>
      <c r="V48" s="513">
        <f t="shared" si="15"/>
        <v>297</v>
      </c>
      <c r="W48" s="512">
        <f>SUM(W49:W51)</f>
        <v>21160824.000000007</v>
      </c>
      <c r="Z48" s="519"/>
      <c r="AA48" s="518"/>
      <c r="AB48" s="68"/>
    </row>
    <row r="49" spans="1:28" ht="24">
      <c r="A49" s="703" t="s">
        <v>6908</v>
      </c>
      <c r="B49" s="32"/>
      <c r="C49" s="32"/>
      <c r="D49" s="32">
        <f>317-D50-D51</f>
        <v>250</v>
      </c>
      <c r="E49" s="32"/>
      <c r="F49" s="32"/>
      <c r="G49" s="32"/>
      <c r="H49" s="32"/>
      <c r="I49" s="32"/>
      <c r="J49" s="32"/>
      <c r="K49" s="32">
        <f>SUM(B49:J49)</f>
        <v>250</v>
      </c>
      <c r="L49" s="515">
        <f>19237570.7263158+38500</f>
        <v>19276070.7263158</v>
      </c>
      <c r="M49" s="32"/>
      <c r="N49" s="32"/>
      <c r="O49" s="32">
        <v>220</v>
      </c>
      <c r="P49" s="32"/>
      <c r="Q49" s="32"/>
      <c r="R49" s="32"/>
      <c r="S49" s="32"/>
      <c r="T49" s="32"/>
      <c r="U49" s="32"/>
      <c r="V49" s="32">
        <f>SUM(M49:U49)</f>
        <v>220</v>
      </c>
      <c r="W49" s="515">
        <f>17638027.7263158-1381050</f>
        <v>16256977.7263158</v>
      </c>
      <c r="AA49" s="68"/>
      <c r="AB49" s="68"/>
    </row>
    <row r="50" spans="1:28" ht="24">
      <c r="A50" s="703" t="s">
        <v>6907</v>
      </c>
      <c r="B50" s="32"/>
      <c r="C50" s="32"/>
      <c r="D50" s="32">
        <v>60</v>
      </c>
      <c r="E50" s="32"/>
      <c r="F50" s="32"/>
      <c r="G50" s="32"/>
      <c r="H50" s="32"/>
      <c r="I50" s="32"/>
      <c r="J50" s="32"/>
      <c r="K50" s="32">
        <f>SUM(B50:J50)</f>
        <v>60</v>
      </c>
      <c r="L50" s="515">
        <v>5053832.2105263202</v>
      </c>
      <c r="M50" s="32"/>
      <c r="N50" s="32"/>
      <c r="O50" s="32">
        <v>68</v>
      </c>
      <c r="P50" s="32"/>
      <c r="Q50" s="32"/>
      <c r="R50" s="32"/>
      <c r="S50" s="32"/>
      <c r="T50" s="32"/>
      <c r="U50" s="32"/>
      <c r="V50" s="32">
        <f>SUM(M50:U50)</f>
        <v>68</v>
      </c>
      <c r="W50" s="515">
        <v>4350186.2105263155</v>
      </c>
      <c r="AA50" s="68"/>
      <c r="AB50" s="68"/>
    </row>
    <row r="51" spans="1:28" ht="24">
      <c r="A51" s="703" t="s">
        <v>6906</v>
      </c>
      <c r="B51" s="32"/>
      <c r="C51" s="32"/>
      <c r="D51" s="32">
        <v>7</v>
      </c>
      <c r="E51" s="32"/>
      <c r="F51" s="32"/>
      <c r="G51" s="32"/>
      <c r="H51" s="32"/>
      <c r="I51" s="32"/>
      <c r="J51" s="32"/>
      <c r="K51" s="32">
        <f>SUM(B51:J51)</f>
        <v>7</v>
      </c>
      <c r="L51" s="515">
        <v>565181.063157895</v>
      </c>
      <c r="M51" s="32"/>
      <c r="N51" s="32"/>
      <c r="O51" s="32">
        <v>9</v>
      </c>
      <c r="P51" s="32"/>
      <c r="Q51" s="32"/>
      <c r="R51" s="32"/>
      <c r="S51" s="32"/>
      <c r="T51" s="32"/>
      <c r="U51" s="32"/>
      <c r="V51" s="32">
        <f>SUM(M51:U51)</f>
        <v>9</v>
      </c>
      <c r="W51" s="515">
        <v>553660.06315789465</v>
      </c>
      <c r="AA51" s="68"/>
      <c r="AB51" s="68"/>
    </row>
    <row r="52" spans="1:28" hidden="1">
      <c r="A52" s="703"/>
      <c r="B52" s="32"/>
      <c r="C52" s="32"/>
      <c r="D52" s="32"/>
      <c r="E52" s="32"/>
      <c r="F52" s="32"/>
      <c r="G52" s="32"/>
      <c r="H52" s="32"/>
      <c r="I52" s="32"/>
      <c r="J52" s="32"/>
      <c r="K52" s="32">
        <f>SUM(B52:J52)</f>
        <v>0</v>
      </c>
      <c r="L52" s="16"/>
      <c r="M52" s="32"/>
      <c r="N52" s="32"/>
      <c r="O52" s="32"/>
      <c r="P52" s="32"/>
      <c r="Q52" s="32"/>
      <c r="R52" s="32"/>
      <c r="S52" s="32"/>
      <c r="T52" s="32"/>
      <c r="U52" s="32"/>
      <c r="V52" s="32">
        <f>SUM(M52:U52)</f>
        <v>0</v>
      </c>
      <c r="W52" s="16"/>
      <c r="AA52" s="68"/>
      <c r="AB52" s="68"/>
    </row>
    <row r="53" spans="1:28">
      <c r="A53" s="708" t="s">
        <v>6901</v>
      </c>
      <c r="B53" s="517">
        <f t="shared" ref="B53:J53" si="16">SUM(B54:B57)</f>
        <v>20</v>
      </c>
      <c r="C53" s="517">
        <f t="shared" si="16"/>
        <v>0</v>
      </c>
      <c r="D53" s="517">
        <f t="shared" si="16"/>
        <v>0</v>
      </c>
      <c r="E53" s="517">
        <f t="shared" si="16"/>
        <v>0</v>
      </c>
      <c r="F53" s="517">
        <f t="shared" si="16"/>
        <v>0</v>
      </c>
      <c r="G53" s="517">
        <f t="shared" si="16"/>
        <v>0</v>
      </c>
      <c r="H53" s="517">
        <f t="shared" si="16"/>
        <v>0</v>
      </c>
      <c r="I53" s="517">
        <f t="shared" si="16"/>
        <v>0</v>
      </c>
      <c r="J53" s="517">
        <f t="shared" si="16"/>
        <v>0</v>
      </c>
      <c r="K53" s="513">
        <f>SUM(K54)</f>
        <v>20</v>
      </c>
      <c r="L53" s="512">
        <f>SUM(L54)</f>
        <v>240000</v>
      </c>
      <c r="M53" s="517">
        <f t="shared" ref="M53:U53" si="17">SUM(M54:M57)</f>
        <v>20</v>
      </c>
      <c r="N53" s="517">
        <f t="shared" si="17"/>
        <v>0</v>
      </c>
      <c r="O53" s="517">
        <f t="shared" si="17"/>
        <v>0</v>
      </c>
      <c r="P53" s="517">
        <f t="shared" si="17"/>
        <v>0</v>
      </c>
      <c r="Q53" s="517">
        <f t="shared" si="17"/>
        <v>0</v>
      </c>
      <c r="R53" s="517">
        <f t="shared" si="17"/>
        <v>0</v>
      </c>
      <c r="S53" s="517">
        <f t="shared" si="17"/>
        <v>0</v>
      </c>
      <c r="T53" s="517">
        <f t="shared" si="17"/>
        <v>0</v>
      </c>
      <c r="U53" s="517">
        <f t="shared" si="17"/>
        <v>0</v>
      </c>
      <c r="V53" s="513">
        <f>SUM(V54)</f>
        <v>20</v>
      </c>
      <c r="W53" s="512">
        <f>SUM(W54)</f>
        <v>174069</v>
      </c>
      <c r="AA53" s="68"/>
      <c r="AB53" s="68"/>
    </row>
    <row r="54" spans="1:28">
      <c r="A54" s="703" t="s">
        <v>6901</v>
      </c>
      <c r="B54" s="32">
        <v>20</v>
      </c>
      <c r="C54" s="32"/>
      <c r="D54" s="32"/>
      <c r="E54" s="32"/>
      <c r="F54" s="32"/>
      <c r="G54" s="32"/>
      <c r="H54" s="32"/>
      <c r="I54" s="32"/>
      <c r="J54" s="32"/>
      <c r="K54" s="32">
        <f>SUM(B54:J54)</f>
        <v>20</v>
      </c>
      <c r="L54" s="516">
        <f>1000*K54*12</f>
        <v>240000</v>
      </c>
      <c r="M54" s="32">
        <v>20</v>
      </c>
      <c r="N54" s="32"/>
      <c r="O54" s="32"/>
      <c r="P54" s="32"/>
      <c r="Q54" s="32"/>
      <c r="R54" s="32"/>
      <c r="S54" s="32"/>
      <c r="T54" s="32"/>
      <c r="U54" s="32"/>
      <c r="V54" s="32">
        <f>SUM(M54:U54)</f>
        <v>20</v>
      </c>
      <c r="W54" s="516">
        <f>(1070*V54*12)-82731</f>
        <v>174069</v>
      </c>
      <c r="AA54" s="68"/>
      <c r="AB54" s="68"/>
    </row>
    <row r="55" spans="1:28">
      <c r="A55" s="708" t="s">
        <v>6894</v>
      </c>
      <c r="B55" s="514"/>
      <c r="C55" s="514"/>
      <c r="D55" s="514"/>
      <c r="E55" s="514"/>
      <c r="F55" s="514"/>
      <c r="G55" s="514"/>
      <c r="H55" s="514"/>
      <c r="I55" s="514"/>
      <c r="J55" s="514"/>
      <c r="K55" s="514"/>
      <c r="L55" s="487"/>
      <c r="M55" s="514"/>
      <c r="N55" s="514"/>
      <c r="O55" s="514"/>
      <c r="P55" s="514"/>
      <c r="Q55" s="514"/>
      <c r="R55" s="514"/>
      <c r="S55" s="514"/>
      <c r="T55" s="514"/>
      <c r="U55" s="514"/>
      <c r="V55" s="514"/>
      <c r="W55" s="487"/>
      <c r="AA55" s="68"/>
      <c r="AB55" s="68"/>
    </row>
    <row r="56" spans="1:28" ht="24">
      <c r="A56" s="708" t="s">
        <v>6893</v>
      </c>
      <c r="B56" s="514"/>
      <c r="C56" s="514"/>
      <c r="D56" s="514"/>
      <c r="E56" s="514"/>
      <c r="F56" s="514"/>
      <c r="G56" s="514"/>
      <c r="H56" s="514"/>
      <c r="I56" s="514"/>
      <c r="J56" s="514"/>
      <c r="K56" s="513">
        <f>SUM(K57:K62)</f>
        <v>0</v>
      </c>
      <c r="L56" s="512">
        <f>SUM(L57:L62)</f>
        <v>648540</v>
      </c>
      <c r="M56" s="514"/>
      <c r="N56" s="514"/>
      <c r="O56" s="514"/>
      <c r="P56" s="514"/>
      <c r="Q56" s="514"/>
      <c r="R56" s="514"/>
      <c r="S56" s="514"/>
      <c r="T56" s="514"/>
      <c r="U56" s="514"/>
      <c r="V56" s="513">
        <f>SUM(V57:V62)</f>
        <v>0</v>
      </c>
      <c r="W56" s="512">
        <f>SUM(W57:W62)</f>
        <v>696741</v>
      </c>
      <c r="AA56" s="68"/>
      <c r="AB56" s="68"/>
    </row>
    <row r="57" spans="1:28" ht="24">
      <c r="A57" s="703" t="s">
        <v>6892</v>
      </c>
      <c r="B57" s="32"/>
      <c r="C57" s="32"/>
      <c r="D57" s="32"/>
      <c r="E57" s="32"/>
      <c r="F57" s="32"/>
      <c r="G57" s="32"/>
      <c r="H57" s="32"/>
      <c r="I57" s="32"/>
      <c r="J57" s="32"/>
      <c r="K57" s="32"/>
      <c r="L57" s="511">
        <v>123767</v>
      </c>
      <c r="M57" s="32"/>
      <c r="N57" s="32"/>
      <c r="O57" s="32"/>
      <c r="P57" s="32"/>
      <c r="Q57" s="32"/>
      <c r="R57" s="32"/>
      <c r="S57" s="32"/>
      <c r="T57" s="32"/>
      <c r="U57" s="32"/>
      <c r="V57" s="32"/>
      <c r="W57" s="515">
        <v>356621</v>
      </c>
      <c r="AA57" s="68"/>
      <c r="AB57" s="68"/>
    </row>
    <row r="58" spans="1:28" ht="24">
      <c r="A58" s="703" t="s">
        <v>6891</v>
      </c>
      <c r="B58" s="32"/>
      <c r="C58" s="32"/>
      <c r="D58" s="32"/>
      <c r="E58" s="32"/>
      <c r="F58" s="32"/>
      <c r="G58" s="32"/>
      <c r="H58" s="32"/>
      <c r="I58" s="32"/>
      <c r="J58" s="32"/>
      <c r="K58" s="32"/>
      <c r="L58" s="511">
        <v>9900</v>
      </c>
      <c r="M58" s="32"/>
      <c r="N58" s="32"/>
      <c r="O58" s="32"/>
      <c r="P58" s="32"/>
      <c r="Q58" s="32"/>
      <c r="R58" s="32"/>
      <c r="S58" s="32"/>
      <c r="T58" s="32"/>
      <c r="U58" s="32"/>
      <c r="V58" s="32"/>
      <c r="W58" s="515">
        <v>114363</v>
      </c>
      <c r="AA58" s="68"/>
      <c r="AB58" s="68"/>
    </row>
    <row r="59" spans="1:28" hidden="1">
      <c r="A59" s="703" t="s">
        <v>6890</v>
      </c>
      <c r="B59" s="32"/>
      <c r="C59" s="32"/>
      <c r="D59" s="32"/>
      <c r="E59" s="32"/>
      <c r="F59" s="32"/>
      <c r="G59" s="32"/>
      <c r="H59" s="32"/>
      <c r="I59" s="32"/>
      <c r="J59" s="32"/>
      <c r="K59" s="32"/>
      <c r="L59" s="511"/>
      <c r="M59" s="32"/>
      <c r="N59" s="32"/>
      <c r="O59" s="32"/>
      <c r="P59" s="32"/>
      <c r="Q59" s="32"/>
      <c r="R59" s="32"/>
      <c r="S59" s="32"/>
      <c r="T59" s="32"/>
      <c r="U59" s="32"/>
      <c r="V59" s="32"/>
      <c r="W59" s="511"/>
      <c r="AA59" s="68"/>
      <c r="AB59" s="68"/>
    </row>
    <row r="60" spans="1:28" hidden="1">
      <c r="A60" s="703" t="s">
        <v>165</v>
      </c>
      <c r="B60" s="32"/>
      <c r="C60" s="32"/>
      <c r="D60" s="32"/>
      <c r="E60" s="32"/>
      <c r="F60" s="32"/>
      <c r="G60" s="32"/>
      <c r="H60" s="32"/>
      <c r="I60" s="32"/>
      <c r="J60" s="32"/>
      <c r="K60" s="32"/>
      <c r="L60" s="511"/>
      <c r="M60" s="32"/>
      <c r="N60" s="32"/>
      <c r="O60" s="32"/>
      <c r="P60" s="32"/>
      <c r="Q60" s="32"/>
      <c r="R60" s="32"/>
      <c r="S60" s="32"/>
      <c r="T60" s="32"/>
      <c r="U60" s="32"/>
      <c r="V60" s="32"/>
      <c r="W60" s="511"/>
      <c r="AA60" s="68"/>
      <c r="AB60" s="68"/>
    </row>
    <row r="61" spans="1:28" ht="24">
      <c r="A61" s="703" t="s">
        <v>6889</v>
      </c>
      <c r="B61" s="32"/>
      <c r="C61" s="32"/>
      <c r="D61" s="32"/>
      <c r="E61" s="32"/>
      <c r="F61" s="32"/>
      <c r="G61" s="32"/>
      <c r="H61" s="32"/>
      <c r="I61" s="32"/>
      <c r="J61" s="32"/>
      <c r="K61" s="32"/>
      <c r="L61" s="511">
        <f>354000+111000-21519</f>
        <v>443481</v>
      </c>
      <c r="M61" s="32"/>
      <c r="N61" s="32"/>
      <c r="O61" s="32"/>
      <c r="P61" s="32"/>
      <c r="Q61" s="32"/>
      <c r="R61" s="32"/>
      <c r="S61" s="32"/>
      <c r="T61" s="32"/>
      <c r="U61" s="32"/>
      <c r="V61" s="32"/>
      <c r="W61" s="515">
        <v>110000</v>
      </c>
      <c r="AA61" s="68"/>
      <c r="AB61" s="68"/>
    </row>
    <row r="62" spans="1:28" ht="24">
      <c r="A62" s="703" t="s">
        <v>6888</v>
      </c>
      <c r="B62" s="32"/>
      <c r="C62" s="32"/>
      <c r="D62" s="32"/>
      <c r="E62" s="32"/>
      <c r="F62" s="32"/>
      <c r="G62" s="32"/>
      <c r="H62" s="32"/>
      <c r="I62" s="32"/>
      <c r="J62" s="32"/>
      <c r="K62" s="32"/>
      <c r="L62" s="511">
        <v>71392</v>
      </c>
      <c r="M62" s="32"/>
      <c r="N62" s="32"/>
      <c r="O62" s="32"/>
      <c r="P62" s="32"/>
      <c r="Q62" s="32"/>
      <c r="R62" s="32"/>
      <c r="S62" s="32"/>
      <c r="T62" s="32"/>
      <c r="U62" s="32"/>
      <c r="V62" s="32"/>
      <c r="W62" s="515">
        <v>115757</v>
      </c>
      <c r="AA62" s="68"/>
      <c r="AB62" s="68"/>
    </row>
    <row r="63" spans="1:28" ht="24">
      <c r="A63" s="708" t="s">
        <v>6883</v>
      </c>
      <c r="B63" s="514"/>
      <c r="C63" s="514"/>
      <c r="D63" s="514"/>
      <c r="E63" s="514"/>
      <c r="F63" s="514"/>
      <c r="G63" s="514"/>
      <c r="H63" s="514"/>
      <c r="I63" s="514"/>
      <c r="J63" s="514"/>
      <c r="K63" s="513">
        <f>SUM(K64:K66)</f>
        <v>0</v>
      </c>
      <c r="L63" s="512">
        <f>SUM(L64:L66)</f>
        <v>307032</v>
      </c>
      <c r="M63" s="514"/>
      <c r="N63" s="514"/>
      <c r="O63" s="514"/>
      <c r="P63" s="514"/>
      <c r="Q63" s="514"/>
      <c r="R63" s="514"/>
      <c r="S63" s="514"/>
      <c r="T63" s="514"/>
      <c r="U63" s="514"/>
      <c r="V63" s="513">
        <f>SUM(V64:V66)</f>
        <v>0</v>
      </c>
      <c r="W63" s="512">
        <f>SUM(W64:W66)</f>
        <v>0</v>
      </c>
      <c r="AA63" s="68"/>
      <c r="AB63" s="68"/>
    </row>
    <row r="64" spans="1:28" ht="13.5" thickBot="1">
      <c r="A64" s="703" t="s">
        <v>6882</v>
      </c>
      <c r="B64" s="32"/>
      <c r="C64" s="32"/>
      <c r="D64" s="32"/>
      <c r="E64" s="32"/>
      <c r="F64" s="32"/>
      <c r="G64" s="32"/>
      <c r="H64" s="32"/>
      <c r="I64" s="32"/>
      <c r="J64" s="32"/>
      <c r="K64" s="32"/>
      <c r="L64" s="511">
        <f>252720+54312</f>
        <v>307032</v>
      </c>
      <c r="M64" s="32"/>
      <c r="N64" s="32"/>
      <c r="O64" s="32"/>
      <c r="P64" s="32"/>
      <c r="Q64" s="32"/>
      <c r="R64" s="32"/>
      <c r="S64" s="32"/>
      <c r="T64" s="32"/>
      <c r="U64" s="32"/>
      <c r="V64" s="32"/>
      <c r="W64" s="511"/>
      <c r="AA64" s="68"/>
      <c r="AB64" s="68"/>
    </row>
    <row r="65" spans="1:34" hidden="1">
      <c r="A65" s="15"/>
      <c r="B65" s="32"/>
      <c r="C65" s="32"/>
      <c r="D65" s="32"/>
      <c r="E65" s="32"/>
      <c r="F65" s="32"/>
      <c r="G65" s="32"/>
      <c r="H65" s="32"/>
      <c r="I65" s="32"/>
      <c r="J65" s="32"/>
      <c r="K65" s="32"/>
      <c r="L65" s="16"/>
      <c r="M65" s="32"/>
      <c r="N65" s="32"/>
      <c r="O65" s="32"/>
      <c r="P65" s="32"/>
      <c r="Q65" s="32"/>
      <c r="R65" s="32"/>
      <c r="S65" s="32"/>
      <c r="T65" s="32"/>
      <c r="U65" s="32"/>
      <c r="V65" s="32"/>
      <c r="W65" s="16"/>
      <c r="AA65" s="68"/>
      <c r="AB65" s="68"/>
    </row>
    <row r="66" spans="1:34" ht="13.5" hidden="1" thickBot="1">
      <c r="A66" s="15"/>
      <c r="B66" s="32"/>
      <c r="C66" s="32"/>
      <c r="D66" s="32"/>
      <c r="E66" s="32"/>
      <c r="F66" s="32"/>
      <c r="G66" s="32"/>
      <c r="H66" s="32"/>
      <c r="I66" s="32"/>
      <c r="J66" s="32"/>
      <c r="K66" s="32"/>
      <c r="L66" s="16"/>
      <c r="M66" s="32"/>
      <c r="N66" s="32"/>
      <c r="O66" s="32"/>
      <c r="P66" s="32"/>
      <c r="Q66" s="32"/>
      <c r="R66" s="32"/>
      <c r="S66" s="32"/>
      <c r="T66" s="32"/>
      <c r="U66" s="32"/>
      <c r="V66" s="32"/>
      <c r="W66" s="16"/>
      <c r="AA66" s="68"/>
      <c r="AB66" s="68"/>
    </row>
    <row r="67" spans="1:34" ht="13.5" thickBot="1">
      <c r="A67" s="17" t="s">
        <v>23</v>
      </c>
      <c r="B67" s="510">
        <f>B10+B48+B53+B56+B46</f>
        <v>142</v>
      </c>
      <c r="C67" s="510">
        <f t="shared" ref="C67:J67" si="18">C10+C48+C56+C46</f>
        <v>0</v>
      </c>
      <c r="D67" s="510">
        <f t="shared" si="18"/>
        <v>317</v>
      </c>
      <c r="E67" s="510">
        <f t="shared" si="18"/>
        <v>4</v>
      </c>
      <c r="F67" s="510">
        <f t="shared" si="18"/>
        <v>0</v>
      </c>
      <c r="G67" s="510">
        <f t="shared" si="18"/>
        <v>0</v>
      </c>
      <c r="H67" s="510">
        <f t="shared" si="18"/>
        <v>0</v>
      </c>
      <c r="I67" s="510">
        <f t="shared" si="18"/>
        <v>0</v>
      </c>
      <c r="J67" s="510">
        <f t="shared" si="18"/>
        <v>3</v>
      </c>
      <c r="K67" s="510">
        <f>K10+K48+K53+K56+K46</f>
        <v>466</v>
      </c>
      <c r="L67" s="509">
        <f>L10+L48+L56+L45+L64</f>
        <v>32531712.850000016</v>
      </c>
      <c r="M67" s="510">
        <f>M10+M48+M53+M56+M46</f>
        <v>133</v>
      </c>
      <c r="N67" s="510">
        <f t="shared" ref="N67:U67" si="19">N10+N48+N56+N46</f>
        <v>0</v>
      </c>
      <c r="O67" s="510">
        <f t="shared" si="19"/>
        <v>297</v>
      </c>
      <c r="P67" s="510">
        <f t="shared" si="19"/>
        <v>4</v>
      </c>
      <c r="Q67" s="510">
        <f t="shared" si="19"/>
        <v>0</v>
      </c>
      <c r="R67" s="510">
        <f t="shared" si="19"/>
        <v>0</v>
      </c>
      <c r="S67" s="510">
        <f t="shared" si="19"/>
        <v>0</v>
      </c>
      <c r="T67" s="510">
        <f t="shared" si="19"/>
        <v>0</v>
      </c>
      <c r="U67" s="510">
        <f t="shared" si="19"/>
        <v>1</v>
      </c>
      <c r="V67" s="510">
        <f>V10+V48+V53+V56+V45</f>
        <v>435</v>
      </c>
      <c r="W67" s="509">
        <f>W10+W48+W56+W45+W64+W53</f>
        <v>27563831.280000009</v>
      </c>
      <c r="X67" s="55"/>
      <c r="AA67" s="68"/>
      <c r="AB67" s="68"/>
    </row>
    <row r="68" spans="1:34" s="712" customFormat="1" ht="6">
      <c r="A68" s="2007"/>
      <c r="B68" s="2008"/>
      <c r="C68" s="2008"/>
      <c r="D68" s="2008"/>
      <c r="E68" s="2008"/>
      <c r="F68" s="2008"/>
      <c r="G68" s="2008"/>
      <c r="H68" s="2008"/>
      <c r="I68" s="2008"/>
      <c r="J68" s="2008"/>
      <c r="K68" s="2008"/>
      <c r="L68" s="2008"/>
      <c r="M68" s="2008"/>
      <c r="N68" s="2008"/>
      <c r="O68" s="2008"/>
      <c r="P68" s="2008"/>
      <c r="Q68" s="2008"/>
      <c r="R68" s="2008"/>
      <c r="S68" s="2008"/>
      <c r="T68" s="2008"/>
      <c r="U68" s="2008"/>
      <c r="V68" s="2008"/>
      <c r="W68" s="2009"/>
      <c r="X68" s="711"/>
    </row>
    <row r="69" spans="1:34" ht="15">
      <c r="A69" s="2004" t="s">
        <v>7177</v>
      </c>
      <c r="B69" s="2005"/>
      <c r="C69" s="2005"/>
      <c r="D69" s="2005"/>
      <c r="E69" s="2005"/>
      <c r="F69" s="2005"/>
      <c r="G69" s="2005"/>
      <c r="H69" s="2005"/>
      <c r="I69" s="2005"/>
      <c r="J69" s="2005"/>
      <c r="K69" s="2005"/>
      <c r="L69" s="2005"/>
      <c r="M69" s="2005"/>
      <c r="N69" s="2005"/>
      <c r="O69" s="2005"/>
      <c r="P69" s="2005"/>
      <c r="Q69" s="2005"/>
      <c r="R69" s="2005"/>
      <c r="S69" s="2005"/>
      <c r="T69" s="2005"/>
      <c r="U69" s="2005"/>
      <c r="V69" s="2005"/>
      <c r="W69" s="2006"/>
      <c r="Y69" s="68"/>
      <c r="Z69" s="68"/>
      <c r="AA69" s="68"/>
      <c r="AB69" s="68"/>
    </row>
    <row r="70" spans="1:34" s="710" customFormat="1" ht="8.25">
      <c r="A70" s="2010"/>
      <c r="B70" s="2011"/>
      <c r="C70" s="2011"/>
      <c r="D70" s="2011"/>
      <c r="E70" s="2011"/>
      <c r="F70" s="2011"/>
      <c r="G70" s="2011"/>
      <c r="H70" s="2011"/>
      <c r="I70" s="2011"/>
      <c r="J70" s="2011"/>
      <c r="K70" s="2011"/>
      <c r="L70" s="2011"/>
      <c r="M70" s="2011"/>
      <c r="N70" s="2011"/>
      <c r="O70" s="2011"/>
      <c r="P70" s="2011"/>
      <c r="Q70" s="2011"/>
      <c r="R70" s="2011"/>
      <c r="S70" s="2011"/>
      <c r="T70" s="2011"/>
      <c r="U70" s="2011"/>
      <c r="V70" s="2011"/>
      <c r="W70" s="2012"/>
      <c r="X70" s="709"/>
    </row>
    <row r="71" spans="1:34">
      <c r="A71" s="476" t="s">
        <v>24</v>
      </c>
      <c r="B71" s="514"/>
      <c r="C71" s="514"/>
      <c r="D71" s="514"/>
      <c r="E71" s="514"/>
      <c r="F71" s="514"/>
      <c r="G71" s="514"/>
      <c r="H71" s="514"/>
      <c r="I71" s="514"/>
      <c r="J71" s="514"/>
      <c r="K71" s="514"/>
      <c r="L71" s="487"/>
      <c r="M71" s="514"/>
      <c r="N71" s="514"/>
      <c r="O71" s="514"/>
      <c r="P71" s="514"/>
      <c r="Q71" s="514"/>
      <c r="R71" s="514"/>
      <c r="S71" s="514"/>
      <c r="T71" s="514"/>
      <c r="U71" s="514"/>
      <c r="V71" s="514"/>
      <c r="W71" s="487"/>
      <c r="AA71" s="68"/>
      <c r="AB71" s="68"/>
    </row>
    <row r="72" spans="1:34">
      <c r="A72" s="476" t="s">
        <v>6909</v>
      </c>
      <c r="B72" s="517">
        <f t="shared" ref="B72:K72" si="20">SUM(B73:B76)</f>
        <v>0</v>
      </c>
      <c r="C72" s="517">
        <f t="shared" si="20"/>
        <v>0</v>
      </c>
      <c r="D72" s="517">
        <f t="shared" si="20"/>
        <v>20</v>
      </c>
      <c r="E72" s="517">
        <f t="shared" si="20"/>
        <v>0</v>
      </c>
      <c r="F72" s="517">
        <f t="shared" si="20"/>
        <v>0</v>
      </c>
      <c r="G72" s="517">
        <f t="shared" si="20"/>
        <v>0</v>
      </c>
      <c r="H72" s="517">
        <f t="shared" si="20"/>
        <v>0</v>
      </c>
      <c r="I72" s="517">
        <f t="shared" si="20"/>
        <v>0</v>
      </c>
      <c r="J72" s="517">
        <f t="shared" si="20"/>
        <v>0</v>
      </c>
      <c r="K72" s="513">
        <f t="shared" si="20"/>
        <v>20</v>
      </c>
      <c r="L72" s="512">
        <f>SUM(L73:L75)</f>
        <v>1065560</v>
      </c>
      <c r="M72" s="517">
        <f t="shared" ref="M72:V72" si="21">SUM(M73:M76)</f>
        <v>0</v>
      </c>
      <c r="N72" s="517">
        <f t="shared" si="21"/>
        <v>0</v>
      </c>
      <c r="O72" s="517">
        <f t="shared" si="21"/>
        <v>17</v>
      </c>
      <c r="P72" s="517">
        <f t="shared" si="21"/>
        <v>0</v>
      </c>
      <c r="Q72" s="517">
        <f t="shared" si="21"/>
        <v>0</v>
      </c>
      <c r="R72" s="517">
        <f t="shared" si="21"/>
        <v>0</v>
      </c>
      <c r="S72" s="517">
        <f t="shared" si="21"/>
        <v>0</v>
      </c>
      <c r="T72" s="517">
        <f t="shared" si="21"/>
        <v>0</v>
      </c>
      <c r="U72" s="517">
        <f t="shared" si="21"/>
        <v>0</v>
      </c>
      <c r="V72" s="513">
        <f t="shared" si="21"/>
        <v>17</v>
      </c>
      <c r="W72" s="512">
        <f>SUM(W73:W75)</f>
        <v>905726</v>
      </c>
      <c r="Z72" s="519"/>
      <c r="AA72" s="518"/>
      <c r="AB72" s="68"/>
    </row>
    <row r="73" spans="1:34" ht="24">
      <c r="A73" s="703" t="s">
        <v>6908</v>
      </c>
      <c r="B73" s="32"/>
      <c r="C73" s="32"/>
      <c r="D73" s="32">
        <v>12</v>
      </c>
      <c r="E73" s="32"/>
      <c r="F73" s="32"/>
      <c r="G73" s="32"/>
      <c r="H73" s="32"/>
      <c r="I73" s="32"/>
      <c r="J73" s="32"/>
      <c r="K73" s="32">
        <f>SUM(B73:J73)</f>
        <v>12</v>
      </c>
      <c r="L73" s="515">
        <f>709986+4250</f>
        <v>714236</v>
      </c>
      <c r="M73" s="32"/>
      <c r="N73" s="32"/>
      <c r="O73" s="32">
        <v>9</v>
      </c>
      <c r="P73" s="32"/>
      <c r="Q73" s="32"/>
      <c r="R73" s="32"/>
      <c r="S73" s="32"/>
      <c r="T73" s="32"/>
      <c r="U73" s="32"/>
      <c r="V73" s="32">
        <f>SUM(M73:U73)</f>
        <v>9</v>
      </c>
      <c r="W73" s="515">
        <f>709986-155584</f>
        <v>554402</v>
      </c>
      <c r="Z73" s="523"/>
      <c r="AA73" s="522"/>
      <c r="AB73" s="522"/>
      <c r="AC73" s="522"/>
      <c r="AD73" s="522"/>
      <c r="AE73" s="522"/>
      <c r="AF73" s="522"/>
      <c r="AG73" s="522"/>
    </row>
    <row r="74" spans="1:34" ht="24">
      <c r="A74" s="703" t="s">
        <v>6907</v>
      </c>
      <c r="B74" s="32"/>
      <c r="C74" s="32"/>
      <c r="D74" s="32">
        <v>5</v>
      </c>
      <c r="E74" s="32"/>
      <c r="F74" s="32"/>
      <c r="G74" s="32"/>
      <c r="H74" s="32"/>
      <c r="I74" s="32"/>
      <c r="J74" s="32"/>
      <c r="K74" s="32">
        <f>SUM(B74:J74)</f>
        <v>5</v>
      </c>
      <c r="L74" s="515">
        <v>229327.5</v>
      </c>
      <c r="M74" s="32"/>
      <c r="N74" s="32"/>
      <c r="O74" s="32">
        <v>5</v>
      </c>
      <c r="P74" s="32"/>
      <c r="Q74" s="32"/>
      <c r="R74" s="32"/>
      <c r="S74" s="32"/>
      <c r="T74" s="32"/>
      <c r="U74" s="32"/>
      <c r="V74" s="32">
        <f>SUM(M74:U74)</f>
        <v>5</v>
      </c>
      <c r="W74" s="515">
        <v>229327.5</v>
      </c>
      <c r="Z74" s="523"/>
      <c r="AA74" s="522"/>
      <c r="AB74" s="522"/>
      <c r="AC74" s="522"/>
      <c r="AD74" s="522"/>
      <c r="AE74" s="522"/>
      <c r="AF74" s="522"/>
      <c r="AG74" s="522"/>
    </row>
    <row r="75" spans="1:34" ht="24.75" thickBot="1">
      <c r="A75" s="703" t="s">
        <v>6906</v>
      </c>
      <c r="B75" s="32"/>
      <c r="C75" s="32"/>
      <c r="D75" s="32">
        <v>3</v>
      </c>
      <c r="E75" s="32"/>
      <c r="F75" s="32"/>
      <c r="G75" s="32"/>
      <c r="H75" s="32"/>
      <c r="I75" s="32"/>
      <c r="J75" s="32"/>
      <c r="K75" s="32">
        <f>SUM(B75:J75)</f>
        <v>3</v>
      </c>
      <c r="L75" s="515">
        <v>121996.5</v>
      </c>
      <c r="M75" s="32"/>
      <c r="N75" s="32"/>
      <c r="O75" s="32">
        <v>3</v>
      </c>
      <c r="P75" s="32"/>
      <c r="Q75" s="32"/>
      <c r="R75" s="32"/>
      <c r="S75" s="32"/>
      <c r="T75" s="32"/>
      <c r="U75" s="32"/>
      <c r="V75" s="32">
        <f>SUM(M75:U75)</f>
        <v>3</v>
      </c>
      <c r="W75" s="515">
        <v>121996.5</v>
      </c>
      <c r="Z75" s="523"/>
      <c r="AA75" s="522"/>
      <c r="AB75" s="522"/>
      <c r="AC75" s="522"/>
      <c r="AD75" s="522"/>
      <c r="AE75" s="522"/>
      <c r="AF75" s="522"/>
      <c r="AG75" s="522"/>
    </row>
    <row r="76" spans="1:34" ht="13.5" hidden="1" thickBot="1">
      <c r="A76" s="15"/>
      <c r="B76" s="32"/>
      <c r="C76" s="32"/>
      <c r="D76" s="32"/>
      <c r="E76" s="32"/>
      <c r="F76" s="32"/>
      <c r="G76" s="32"/>
      <c r="H76" s="32"/>
      <c r="I76" s="32"/>
      <c r="J76" s="32"/>
      <c r="K76" s="32"/>
      <c r="L76" s="16"/>
      <c r="M76" s="32"/>
      <c r="N76" s="32"/>
      <c r="O76" s="32"/>
      <c r="P76" s="32"/>
      <c r="Q76" s="32"/>
      <c r="R76" s="32"/>
      <c r="S76" s="32"/>
      <c r="T76" s="32"/>
      <c r="U76" s="32"/>
      <c r="V76" s="32"/>
      <c r="W76" s="16"/>
      <c r="Z76" s="523"/>
      <c r="AA76" s="522"/>
      <c r="AB76" s="522"/>
      <c r="AC76" s="522"/>
      <c r="AD76" s="522"/>
      <c r="AE76" s="522"/>
      <c r="AF76" s="522"/>
      <c r="AG76" s="522"/>
    </row>
    <row r="77" spans="1:34" ht="13.5" thickBot="1">
      <c r="A77" s="17" t="s">
        <v>23</v>
      </c>
      <c r="B77" s="525">
        <f t="shared" ref="B77:W77" si="22">B72</f>
        <v>0</v>
      </c>
      <c r="C77" s="510">
        <f t="shared" si="22"/>
        <v>0</v>
      </c>
      <c r="D77" s="510">
        <f t="shared" si="22"/>
        <v>20</v>
      </c>
      <c r="E77" s="510">
        <f t="shared" si="22"/>
        <v>0</v>
      </c>
      <c r="F77" s="510">
        <f t="shared" si="22"/>
        <v>0</v>
      </c>
      <c r="G77" s="510">
        <f t="shared" si="22"/>
        <v>0</v>
      </c>
      <c r="H77" s="510">
        <f t="shared" si="22"/>
        <v>0</v>
      </c>
      <c r="I77" s="510">
        <f t="shared" si="22"/>
        <v>0</v>
      </c>
      <c r="J77" s="510">
        <f t="shared" si="22"/>
        <v>0</v>
      </c>
      <c r="K77" s="510">
        <f t="shared" si="22"/>
        <v>20</v>
      </c>
      <c r="L77" s="524">
        <f t="shared" si="22"/>
        <v>1065560</v>
      </c>
      <c r="M77" s="525">
        <f t="shared" si="22"/>
        <v>0</v>
      </c>
      <c r="N77" s="510">
        <f t="shared" si="22"/>
        <v>0</v>
      </c>
      <c r="O77" s="510">
        <f t="shared" si="22"/>
        <v>17</v>
      </c>
      <c r="P77" s="510">
        <f t="shared" si="22"/>
        <v>0</v>
      </c>
      <c r="Q77" s="510">
        <f t="shared" si="22"/>
        <v>0</v>
      </c>
      <c r="R77" s="510">
        <f t="shared" si="22"/>
        <v>0</v>
      </c>
      <c r="S77" s="510">
        <f t="shared" si="22"/>
        <v>0</v>
      </c>
      <c r="T77" s="510">
        <f t="shared" si="22"/>
        <v>0</v>
      </c>
      <c r="U77" s="510">
        <f t="shared" si="22"/>
        <v>0</v>
      </c>
      <c r="V77" s="510">
        <f t="shared" si="22"/>
        <v>17</v>
      </c>
      <c r="W77" s="524">
        <f t="shared" si="22"/>
        <v>905726</v>
      </c>
      <c r="X77" s="55"/>
      <c r="Z77" s="523"/>
      <c r="AA77" s="522"/>
      <c r="AB77" s="522"/>
      <c r="AC77" s="522"/>
      <c r="AD77" s="522"/>
      <c r="AE77" s="522"/>
      <c r="AF77" s="522"/>
      <c r="AG77" s="522"/>
      <c r="AH77" s="521"/>
    </row>
    <row r="78" spans="1:34">
      <c r="A78" s="1" t="s">
        <v>273</v>
      </c>
      <c r="B78" s="2"/>
      <c r="C78" s="2"/>
      <c r="D78" s="2"/>
      <c r="E78" s="2"/>
      <c r="F78" s="2"/>
      <c r="G78" s="2"/>
      <c r="H78" s="2"/>
      <c r="I78" s="2"/>
      <c r="J78" s="2"/>
      <c r="K78" s="2"/>
      <c r="L78" s="2"/>
      <c r="M78" s="2"/>
      <c r="N78" s="2"/>
      <c r="O78" s="2"/>
      <c r="P78" s="6"/>
      <c r="Q78" s="52"/>
      <c r="R78"/>
      <c r="S78"/>
      <c r="T78" s="68"/>
      <c r="U78" s="68"/>
      <c r="V78" s="68"/>
      <c r="W78" s="68"/>
      <c r="X78" s="68"/>
      <c r="Y78" s="68"/>
      <c r="Z78" s="68"/>
      <c r="AA78" s="68"/>
      <c r="AB78" s="68"/>
    </row>
    <row r="79" spans="1:34">
      <c r="A79" s="11" t="s">
        <v>267</v>
      </c>
      <c r="L79" s="508"/>
      <c r="P79" s="68"/>
      <c r="Q79" s="52"/>
      <c r="R79"/>
      <c r="S79"/>
      <c r="T79"/>
      <c r="U79"/>
      <c r="V79" s="68"/>
      <c r="W79" s="508"/>
      <c r="X79" s="68"/>
      <c r="Y79" s="68"/>
      <c r="Z79" s="68"/>
      <c r="AA79" s="68"/>
      <c r="AB79" s="68"/>
    </row>
    <row r="80" spans="1:34">
      <c r="A80" s="11" t="s">
        <v>271</v>
      </c>
      <c r="P80" s="68"/>
      <c r="Q80" s="52"/>
      <c r="R80"/>
      <c r="S80"/>
      <c r="T80"/>
      <c r="U80"/>
      <c r="V80" s="68"/>
      <c r="W80" s="508"/>
      <c r="X80" s="68"/>
      <c r="Y80" s="68"/>
      <c r="Z80" s="68"/>
      <c r="AA80" s="68"/>
      <c r="AB80" s="68"/>
    </row>
    <row r="81" spans="1:23">
      <c r="A81" s="11" t="s">
        <v>278</v>
      </c>
      <c r="W81" s="508"/>
    </row>
  </sheetData>
  <mergeCells count="8">
    <mergeCell ref="A69:W69"/>
    <mergeCell ref="A70:W70"/>
    <mergeCell ref="B5:L5"/>
    <mergeCell ref="M5:W5"/>
    <mergeCell ref="A7:W7"/>
    <mergeCell ref="A8:W8"/>
    <mergeCell ref="A9:W9"/>
    <mergeCell ref="A68:W68"/>
  </mergeCells>
  <printOptions horizontalCentered="1"/>
  <pageMargins left="0.19685039370078741" right="0.19685039370078741" top="0.78740157480314965" bottom="0.78740157480314965" header="0.19685039370078741" footer="0.19685039370078741"/>
  <pageSetup paperSize="9" scale="81" fitToHeight="5"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rowBreaks count="2" manualBreakCount="2">
    <brk id="44" max="22" man="1"/>
    <brk id="67"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2060"/>
  </sheetPr>
  <dimension ref="A1:AB109"/>
  <sheetViews>
    <sheetView zoomScaleNormal="100" workbookViewId="0">
      <pane xSplit="1" ySplit="6" topLeftCell="B73" activePane="bottomRight" state="frozen"/>
      <selection activeCell="B8" sqref="B8"/>
      <selection pane="topRight" activeCell="B8" sqref="B8"/>
      <selection pane="bottomLeft" activeCell="B8" sqref="B8"/>
      <selection pane="bottomRight" activeCell="B8" sqref="B8"/>
    </sheetView>
  </sheetViews>
  <sheetFormatPr baseColWidth="10" defaultColWidth="11.42578125" defaultRowHeight="12.75"/>
  <cols>
    <col min="1" max="1" width="29.28515625" style="11" customWidth="1"/>
    <col min="2" max="3" width="5.140625" style="11" bestFit="1" customWidth="1"/>
    <col min="4" max="4" width="7.28515625" style="11" bestFit="1" customWidth="1"/>
    <col min="5" max="8" width="5.140625" style="11" bestFit="1" customWidth="1"/>
    <col min="9" max="9" width="4.7109375" style="11" bestFit="1" customWidth="1"/>
    <col min="10" max="11" width="5.140625" style="11" bestFit="1" customWidth="1"/>
    <col min="12" max="12" width="11" style="11" bestFit="1" customWidth="1"/>
    <col min="13" max="14" width="5.140625" style="11" bestFit="1" customWidth="1"/>
    <col min="15" max="15" width="7.28515625" style="11" bestFit="1" customWidth="1"/>
    <col min="16" max="19" width="5.140625" style="11" bestFit="1" customWidth="1"/>
    <col min="20" max="20" width="4.7109375" style="11" bestFit="1" customWidth="1"/>
    <col min="21" max="22" width="5.140625" style="11" bestFit="1" customWidth="1"/>
    <col min="23" max="23" width="11" style="11" bestFit="1" customWidth="1"/>
    <col min="24" max="24" width="1.7109375" style="52" customWidth="1"/>
    <col min="25" max="25" width="12.28515625" bestFit="1" customWidth="1"/>
    <col min="26" max="28" width="10.7109375" customWidth="1"/>
    <col min="29" max="16384" width="11.42578125" style="68"/>
  </cols>
  <sheetData>
    <row r="1" spans="1:28" s="72" customFormat="1" ht="15.75">
      <c r="A1" s="186" t="s">
        <v>458</v>
      </c>
      <c r="B1" s="71"/>
      <c r="C1" s="71"/>
      <c r="D1" s="71"/>
      <c r="E1" s="71"/>
      <c r="F1" s="71"/>
      <c r="G1" s="71"/>
      <c r="H1" s="71"/>
      <c r="I1" s="71"/>
      <c r="J1" s="71"/>
      <c r="K1" s="71"/>
      <c r="L1" s="71"/>
      <c r="M1" s="71"/>
      <c r="N1" s="71"/>
      <c r="O1" s="71"/>
      <c r="P1" s="71"/>
      <c r="Q1" s="71"/>
      <c r="R1" s="71"/>
      <c r="S1" s="71"/>
      <c r="T1" s="71"/>
      <c r="U1" s="71"/>
      <c r="V1" s="71"/>
      <c r="W1" s="71"/>
      <c r="X1" s="73"/>
    </row>
    <row r="2" spans="1:28" s="72" customFormat="1" ht="15.75">
      <c r="A2" s="186" t="s">
        <v>382</v>
      </c>
      <c r="B2" s="71"/>
      <c r="C2" s="71"/>
      <c r="D2" s="71"/>
      <c r="E2" s="71"/>
      <c r="F2" s="71"/>
      <c r="G2" s="71"/>
      <c r="H2" s="71"/>
      <c r="I2" s="71"/>
      <c r="J2" s="71"/>
      <c r="K2" s="71"/>
      <c r="L2" s="71"/>
      <c r="M2" s="71"/>
      <c r="N2" s="71"/>
      <c r="O2" s="71"/>
      <c r="P2" s="71"/>
      <c r="Q2" s="71"/>
      <c r="R2" s="71"/>
      <c r="S2" s="71"/>
      <c r="T2" s="71"/>
      <c r="U2" s="71"/>
      <c r="V2" s="71"/>
      <c r="W2" s="532"/>
      <c r="X2" s="73"/>
    </row>
    <row r="3" spans="1:28" s="56" customFormat="1" ht="15.75">
      <c r="A3" s="187" t="s">
        <v>1654</v>
      </c>
      <c r="X3" s="51"/>
    </row>
    <row r="4" spans="1:28" ht="13.5" thickBot="1">
      <c r="A4" s="187" t="s">
        <v>1864</v>
      </c>
      <c r="L4" s="12"/>
      <c r="W4" s="12"/>
    </row>
    <row r="5" spans="1:28" s="41" customFormat="1" ht="11.25">
      <c r="A5" s="120" t="s">
        <v>10</v>
      </c>
      <c r="B5" s="2001" t="s">
        <v>456</v>
      </c>
      <c r="C5" s="2002"/>
      <c r="D5" s="2002"/>
      <c r="E5" s="2002"/>
      <c r="F5" s="2002"/>
      <c r="G5" s="2002"/>
      <c r="H5" s="2002"/>
      <c r="I5" s="2002"/>
      <c r="J5" s="2002"/>
      <c r="K5" s="2002"/>
      <c r="L5" s="2003"/>
      <c r="M5" s="2001" t="s">
        <v>457</v>
      </c>
      <c r="N5" s="2002"/>
      <c r="O5" s="2002"/>
      <c r="P5" s="2002"/>
      <c r="Q5" s="2002"/>
      <c r="R5" s="2002"/>
      <c r="S5" s="2002"/>
      <c r="T5" s="2002"/>
      <c r="U5" s="2002"/>
      <c r="V5" s="2002"/>
      <c r="W5" s="2003"/>
      <c r="X5" s="53"/>
    </row>
    <row r="6" spans="1:28" s="42" customFormat="1" ht="98.25">
      <c r="A6" s="121" t="s">
        <v>9</v>
      </c>
      <c r="B6" s="122" t="s">
        <v>310</v>
      </c>
      <c r="C6" s="122" t="s">
        <v>118</v>
      </c>
      <c r="D6" s="123" t="s">
        <v>266</v>
      </c>
      <c r="E6" s="123" t="s">
        <v>259</v>
      </c>
      <c r="F6" s="123" t="s">
        <v>268</v>
      </c>
      <c r="G6" s="123" t="s">
        <v>269</v>
      </c>
      <c r="H6" s="123" t="s">
        <v>270</v>
      </c>
      <c r="I6" s="123" t="s">
        <v>277</v>
      </c>
      <c r="J6" s="124" t="s">
        <v>272</v>
      </c>
      <c r="K6" s="125" t="s">
        <v>274</v>
      </c>
      <c r="L6" s="126" t="s">
        <v>276</v>
      </c>
      <c r="M6" s="122" t="s">
        <v>310</v>
      </c>
      <c r="N6" s="122" t="s">
        <v>118</v>
      </c>
      <c r="O6" s="123" t="s">
        <v>266</v>
      </c>
      <c r="P6" s="123" t="s">
        <v>259</v>
      </c>
      <c r="Q6" s="123" t="s">
        <v>268</v>
      </c>
      <c r="R6" s="123" t="s">
        <v>269</v>
      </c>
      <c r="S6" s="123" t="s">
        <v>270</v>
      </c>
      <c r="T6" s="123" t="s">
        <v>277</v>
      </c>
      <c r="U6" s="124" t="s">
        <v>272</v>
      </c>
      <c r="V6" s="125" t="s">
        <v>274</v>
      </c>
      <c r="W6" s="126" t="s">
        <v>275</v>
      </c>
      <c r="X6" s="54"/>
    </row>
    <row r="7" spans="1:28" s="712" customFormat="1" ht="6">
      <c r="A7" s="2007"/>
      <c r="B7" s="2008"/>
      <c r="C7" s="2008"/>
      <c r="D7" s="2008"/>
      <c r="E7" s="2008"/>
      <c r="F7" s="2008"/>
      <c r="G7" s="2008"/>
      <c r="H7" s="2008"/>
      <c r="I7" s="2008"/>
      <c r="J7" s="2008"/>
      <c r="K7" s="2008"/>
      <c r="L7" s="2008"/>
      <c r="M7" s="2008"/>
      <c r="N7" s="2008"/>
      <c r="O7" s="2008"/>
      <c r="P7" s="2008"/>
      <c r="Q7" s="2008"/>
      <c r="R7" s="2008"/>
      <c r="S7" s="2008"/>
      <c r="T7" s="2008"/>
      <c r="U7" s="2008"/>
      <c r="V7" s="2008"/>
      <c r="W7" s="2009"/>
      <c r="X7" s="711"/>
    </row>
    <row r="8" spans="1:28" ht="15">
      <c r="A8" s="2004" t="s">
        <v>7176</v>
      </c>
      <c r="B8" s="2005"/>
      <c r="C8" s="2005"/>
      <c r="D8" s="2005"/>
      <c r="E8" s="2005"/>
      <c r="F8" s="2005"/>
      <c r="G8" s="2005"/>
      <c r="H8" s="2005"/>
      <c r="I8" s="2005"/>
      <c r="J8" s="2005"/>
      <c r="K8" s="2005"/>
      <c r="L8" s="2005"/>
      <c r="M8" s="2005"/>
      <c r="N8" s="2005"/>
      <c r="O8" s="2005"/>
      <c r="P8" s="2005"/>
      <c r="Q8" s="2005"/>
      <c r="R8" s="2005"/>
      <c r="S8" s="2005"/>
      <c r="T8" s="2005"/>
      <c r="U8" s="2005"/>
      <c r="V8" s="2005"/>
      <c r="W8" s="2006"/>
      <c r="Y8" s="68"/>
      <c r="Z8" s="68"/>
      <c r="AA8" s="68"/>
      <c r="AB8" s="68"/>
    </row>
    <row r="9" spans="1:28" s="710" customFormat="1" ht="8.25">
      <c r="A9" s="2010"/>
      <c r="B9" s="2011"/>
      <c r="C9" s="2011"/>
      <c r="D9" s="2011"/>
      <c r="E9" s="2011"/>
      <c r="F9" s="2011"/>
      <c r="G9" s="2011"/>
      <c r="H9" s="2011"/>
      <c r="I9" s="2011"/>
      <c r="J9" s="2011"/>
      <c r="K9" s="2011"/>
      <c r="L9" s="2011"/>
      <c r="M9" s="2011"/>
      <c r="N9" s="2011"/>
      <c r="O9" s="2011"/>
      <c r="P9" s="2011"/>
      <c r="Q9" s="2011"/>
      <c r="R9" s="2011"/>
      <c r="S9" s="2011"/>
      <c r="T9" s="2011"/>
      <c r="U9" s="2011"/>
      <c r="V9" s="2011"/>
      <c r="W9" s="2012"/>
      <c r="X9" s="709"/>
    </row>
    <row r="10" spans="1:28">
      <c r="A10" s="708" t="s">
        <v>48</v>
      </c>
      <c r="B10" s="482">
        <f t="shared" ref="B10:W10" si="0">B11+B20+B27+B34+B42+B46</f>
        <v>43</v>
      </c>
      <c r="C10" s="482">
        <f t="shared" si="0"/>
        <v>0</v>
      </c>
      <c r="D10" s="482">
        <f t="shared" si="0"/>
        <v>0</v>
      </c>
      <c r="E10" s="482">
        <f t="shared" si="0"/>
        <v>0</v>
      </c>
      <c r="F10" s="482">
        <f t="shared" si="0"/>
        <v>0</v>
      </c>
      <c r="G10" s="482">
        <f t="shared" si="0"/>
        <v>0</v>
      </c>
      <c r="H10" s="482">
        <f t="shared" si="0"/>
        <v>0</v>
      </c>
      <c r="I10" s="482">
        <f t="shared" si="0"/>
        <v>0</v>
      </c>
      <c r="J10" s="482">
        <f t="shared" si="0"/>
        <v>0</v>
      </c>
      <c r="K10" s="482">
        <f t="shared" si="0"/>
        <v>43</v>
      </c>
      <c r="L10" s="474">
        <f t="shared" si="0"/>
        <v>1169922.3600000001</v>
      </c>
      <c r="M10" s="482">
        <f t="shared" si="0"/>
        <v>43</v>
      </c>
      <c r="N10" s="482">
        <f t="shared" si="0"/>
        <v>0</v>
      </c>
      <c r="O10" s="482">
        <f t="shared" si="0"/>
        <v>0</v>
      </c>
      <c r="P10" s="482">
        <f t="shared" si="0"/>
        <v>0</v>
      </c>
      <c r="Q10" s="482">
        <f t="shared" si="0"/>
        <v>0</v>
      </c>
      <c r="R10" s="482">
        <f t="shared" si="0"/>
        <v>0</v>
      </c>
      <c r="S10" s="482">
        <f t="shared" si="0"/>
        <v>0</v>
      </c>
      <c r="T10" s="482">
        <f t="shared" si="0"/>
        <v>0</v>
      </c>
      <c r="U10" s="482">
        <f t="shared" si="0"/>
        <v>0</v>
      </c>
      <c r="V10" s="482">
        <f t="shared" si="0"/>
        <v>43</v>
      </c>
      <c r="W10" s="474">
        <f t="shared" si="0"/>
        <v>1172423.3600000001</v>
      </c>
      <c r="X10" s="55"/>
      <c r="AA10" s="68"/>
      <c r="AB10" s="68"/>
    </row>
    <row r="11" spans="1:28">
      <c r="A11" s="705" t="s">
        <v>7</v>
      </c>
      <c r="B11" s="484">
        <f t="shared" ref="B11:W11" si="1">SUM(B12:B19)</f>
        <v>2</v>
      </c>
      <c r="C11" s="484">
        <f t="shared" si="1"/>
        <v>0</v>
      </c>
      <c r="D11" s="484">
        <f t="shared" si="1"/>
        <v>0</v>
      </c>
      <c r="E11" s="484">
        <f t="shared" si="1"/>
        <v>0</v>
      </c>
      <c r="F11" s="484">
        <f t="shared" si="1"/>
        <v>0</v>
      </c>
      <c r="G11" s="484">
        <f t="shared" si="1"/>
        <v>0</v>
      </c>
      <c r="H11" s="484">
        <f t="shared" si="1"/>
        <v>0</v>
      </c>
      <c r="I11" s="484">
        <f t="shared" si="1"/>
        <v>0</v>
      </c>
      <c r="J11" s="484">
        <f t="shared" si="1"/>
        <v>0</v>
      </c>
      <c r="K11" s="484">
        <f t="shared" si="1"/>
        <v>2</v>
      </c>
      <c r="L11" s="485">
        <f t="shared" si="1"/>
        <v>67180.639999999999</v>
      </c>
      <c r="M11" s="484">
        <f t="shared" si="1"/>
        <v>2</v>
      </c>
      <c r="N11" s="484">
        <f t="shared" si="1"/>
        <v>0</v>
      </c>
      <c r="O11" s="484">
        <f t="shared" si="1"/>
        <v>0</v>
      </c>
      <c r="P11" s="484">
        <f t="shared" si="1"/>
        <v>0</v>
      </c>
      <c r="Q11" s="484">
        <f t="shared" si="1"/>
        <v>0</v>
      </c>
      <c r="R11" s="484">
        <f t="shared" si="1"/>
        <v>0</v>
      </c>
      <c r="S11" s="484">
        <f t="shared" si="1"/>
        <v>0</v>
      </c>
      <c r="T11" s="484">
        <f t="shared" si="1"/>
        <v>0</v>
      </c>
      <c r="U11" s="484">
        <f t="shared" si="1"/>
        <v>0</v>
      </c>
      <c r="V11" s="484">
        <f t="shared" si="1"/>
        <v>2</v>
      </c>
      <c r="W11" s="485">
        <f t="shared" si="1"/>
        <v>67180.639999999999</v>
      </c>
      <c r="AA11" s="68"/>
      <c r="AB11" s="68"/>
    </row>
    <row r="12" spans="1:28" hidden="1">
      <c r="A12" s="703" t="s">
        <v>3</v>
      </c>
      <c r="B12" s="13"/>
      <c r="C12" s="13"/>
      <c r="D12" s="13"/>
      <c r="E12" s="13"/>
      <c r="F12" s="13"/>
      <c r="G12" s="13"/>
      <c r="H12" s="13"/>
      <c r="I12" s="13"/>
      <c r="J12" s="13"/>
      <c r="K12" s="13"/>
      <c r="L12" s="16"/>
      <c r="M12" s="13"/>
      <c r="N12" s="13"/>
      <c r="O12" s="13"/>
      <c r="P12" s="13"/>
      <c r="Q12" s="13"/>
      <c r="R12" s="13"/>
      <c r="S12" s="13"/>
      <c r="T12" s="13"/>
      <c r="U12" s="13"/>
      <c r="V12" s="13"/>
      <c r="W12" s="16"/>
      <c r="AA12" s="68"/>
      <c r="AB12" s="68"/>
    </row>
    <row r="13" spans="1:28" hidden="1">
      <c r="A13" s="703" t="s">
        <v>7062</v>
      </c>
      <c r="B13" s="13"/>
      <c r="C13" s="13"/>
      <c r="D13" s="13"/>
      <c r="E13" s="13"/>
      <c r="F13" s="13"/>
      <c r="G13" s="13"/>
      <c r="H13" s="13"/>
      <c r="I13" s="13"/>
      <c r="J13" s="13"/>
      <c r="K13" s="13"/>
      <c r="L13" s="16"/>
      <c r="M13" s="13"/>
      <c r="N13" s="13"/>
      <c r="O13" s="13"/>
      <c r="P13" s="13"/>
      <c r="Q13" s="13"/>
      <c r="R13" s="13"/>
      <c r="S13" s="13"/>
      <c r="T13" s="13"/>
      <c r="U13" s="13"/>
      <c r="V13" s="13"/>
      <c r="W13" s="16"/>
      <c r="AA13" s="68"/>
      <c r="AB13" s="68"/>
    </row>
    <row r="14" spans="1:28" hidden="1">
      <c r="A14" s="703" t="s">
        <v>7061</v>
      </c>
      <c r="B14" s="13"/>
      <c r="C14" s="13"/>
      <c r="D14" s="13"/>
      <c r="E14" s="13"/>
      <c r="F14" s="13"/>
      <c r="G14" s="13"/>
      <c r="H14" s="13"/>
      <c r="I14" s="13"/>
      <c r="J14" s="13"/>
      <c r="K14" s="13"/>
      <c r="L14" s="16"/>
      <c r="M14" s="13"/>
      <c r="N14" s="13"/>
      <c r="O14" s="13"/>
      <c r="P14" s="13"/>
      <c r="Q14" s="13"/>
      <c r="R14" s="13"/>
      <c r="S14" s="13"/>
      <c r="T14" s="13"/>
      <c r="U14" s="13"/>
      <c r="V14" s="13"/>
      <c r="W14" s="16"/>
      <c r="AA14" s="68"/>
      <c r="AB14" s="68"/>
    </row>
    <row r="15" spans="1:28">
      <c r="A15" s="703" t="s">
        <v>7060</v>
      </c>
      <c r="B15" s="13">
        <v>1</v>
      </c>
      <c r="C15" s="13"/>
      <c r="D15" s="13"/>
      <c r="E15" s="13"/>
      <c r="F15" s="13"/>
      <c r="G15" s="13"/>
      <c r="H15" s="13"/>
      <c r="I15" s="13"/>
      <c r="J15" s="13"/>
      <c r="K15" s="13">
        <f>SUM(B15:J15)</f>
        <v>1</v>
      </c>
      <c r="L15" s="472">
        <v>34949.32</v>
      </c>
      <c r="M15" s="13">
        <v>1</v>
      </c>
      <c r="N15" s="13"/>
      <c r="O15" s="13"/>
      <c r="P15" s="13"/>
      <c r="Q15" s="13"/>
      <c r="R15" s="13"/>
      <c r="S15" s="13"/>
      <c r="T15" s="13"/>
      <c r="U15" s="13"/>
      <c r="V15" s="13">
        <f>SUM(M15:U15)</f>
        <v>1</v>
      </c>
      <c r="W15" s="472">
        <v>34949.32</v>
      </c>
      <c r="AA15" s="68"/>
      <c r="AB15" s="68"/>
    </row>
    <row r="16" spans="1:28" hidden="1">
      <c r="A16" s="703" t="s">
        <v>7059</v>
      </c>
      <c r="B16" s="13"/>
      <c r="C16" s="13"/>
      <c r="D16" s="13"/>
      <c r="E16" s="13"/>
      <c r="F16" s="13"/>
      <c r="G16" s="13"/>
      <c r="H16" s="13"/>
      <c r="I16" s="13"/>
      <c r="J16" s="13"/>
      <c r="K16" s="13">
        <f>SUM(B16:J16)</f>
        <v>0</v>
      </c>
      <c r="L16" s="472"/>
      <c r="M16" s="13"/>
      <c r="N16" s="13"/>
      <c r="O16" s="13"/>
      <c r="P16" s="13"/>
      <c r="Q16" s="13"/>
      <c r="R16" s="13"/>
      <c r="S16" s="13"/>
      <c r="T16" s="13"/>
      <c r="U16" s="13"/>
      <c r="V16" s="13">
        <f>SUM(M16:U16)</f>
        <v>0</v>
      </c>
      <c r="W16" s="472"/>
      <c r="AA16" s="68"/>
      <c r="AB16" s="68"/>
    </row>
    <row r="17" spans="1:28" hidden="1">
      <c r="A17" s="703" t="s">
        <v>7058</v>
      </c>
      <c r="B17" s="13"/>
      <c r="C17" s="13"/>
      <c r="D17" s="13"/>
      <c r="E17" s="13"/>
      <c r="F17" s="13"/>
      <c r="G17" s="13"/>
      <c r="H17" s="13"/>
      <c r="I17" s="13"/>
      <c r="J17" s="13"/>
      <c r="K17" s="13">
        <f>SUM(B17:J17)</f>
        <v>0</v>
      </c>
      <c r="L17" s="472"/>
      <c r="M17" s="13"/>
      <c r="N17" s="13"/>
      <c r="O17" s="13"/>
      <c r="P17" s="13"/>
      <c r="Q17" s="13"/>
      <c r="R17" s="13"/>
      <c r="S17" s="13"/>
      <c r="T17" s="13"/>
      <c r="U17" s="13"/>
      <c r="V17" s="13">
        <f>SUM(M17:U17)</f>
        <v>0</v>
      </c>
      <c r="W17" s="472"/>
      <c r="AA17" s="68"/>
      <c r="AB17" s="68"/>
    </row>
    <row r="18" spans="1:28">
      <c r="A18" s="703" t="s">
        <v>7057</v>
      </c>
      <c r="B18" s="13">
        <v>1</v>
      </c>
      <c r="C18" s="13"/>
      <c r="D18" s="13"/>
      <c r="E18" s="13"/>
      <c r="F18" s="13"/>
      <c r="G18" s="13"/>
      <c r="H18" s="13"/>
      <c r="I18" s="13"/>
      <c r="J18" s="13"/>
      <c r="K18" s="13">
        <f>SUM(B18:J18)</f>
        <v>1</v>
      </c>
      <c r="L18" s="472">
        <v>32231.32</v>
      </c>
      <c r="M18" s="13">
        <v>1</v>
      </c>
      <c r="N18" s="13"/>
      <c r="O18" s="13"/>
      <c r="P18" s="13"/>
      <c r="Q18" s="13"/>
      <c r="R18" s="13"/>
      <c r="S18" s="13"/>
      <c r="T18" s="13"/>
      <c r="U18" s="13"/>
      <c r="V18" s="13">
        <f>SUM(M18:U18)</f>
        <v>1</v>
      </c>
      <c r="W18" s="472">
        <v>32231.32</v>
      </c>
      <c r="X18" s="55"/>
      <c r="AA18" s="68"/>
      <c r="AB18" s="68"/>
    </row>
    <row r="19" spans="1:28" hidden="1">
      <c r="A19" s="703" t="s">
        <v>12</v>
      </c>
      <c r="B19" s="13"/>
      <c r="C19" s="13"/>
      <c r="D19" s="13"/>
      <c r="E19" s="13"/>
      <c r="F19" s="13"/>
      <c r="G19" s="13"/>
      <c r="H19" s="13"/>
      <c r="I19" s="13"/>
      <c r="J19" s="13"/>
      <c r="K19" s="13">
        <f>SUM(B19:J19)</f>
        <v>0</v>
      </c>
      <c r="L19" s="472"/>
      <c r="M19" s="13"/>
      <c r="N19" s="13"/>
      <c r="O19" s="13"/>
      <c r="P19" s="13"/>
      <c r="Q19" s="13"/>
      <c r="R19" s="13"/>
      <c r="S19" s="13"/>
      <c r="T19" s="13"/>
      <c r="U19" s="13"/>
      <c r="V19" s="13">
        <f>SUM(M19:U19)</f>
        <v>0</v>
      </c>
      <c r="W19" s="472"/>
      <c r="AA19" s="68"/>
      <c r="AB19" s="68"/>
    </row>
    <row r="20" spans="1:28">
      <c r="A20" s="705" t="s">
        <v>4</v>
      </c>
      <c r="B20" s="484">
        <f t="shared" ref="B20:W20" si="2">SUM(B21:B26)</f>
        <v>6</v>
      </c>
      <c r="C20" s="484">
        <f t="shared" si="2"/>
        <v>0</v>
      </c>
      <c r="D20" s="484">
        <f t="shared" si="2"/>
        <v>0</v>
      </c>
      <c r="E20" s="484">
        <f t="shared" si="2"/>
        <v>0</v>
      </c>
      <c r="F20" s="484">
        <f t="shared" si="2"/>
        <v>0</v>
      </c>
      <c r="G20" s="484">
        <f t="shared" si="2"/>
        <v>0</v>
      </c>
      <c r="H20" s="484">
        <f t="shared" si="2"/>
        <v>0</v>
      </c>
      <c r="I20" s="484">
        <f t="shared" si="2"/>
        <v>0</v>
      </c>
      <c r="J20" s="484">
        <f t="shared" si="2"/>
        <v>0</v>
      </c>
      <c r="K20" s="484">
        <f t="shared" si="2"/>
        <v>6</v>
      </c>
      <c r="L20" s="485">
        <f t="shared" si="2"/>
        <v>145275.88</v>
      </c>
      <c r="M20" s="484">
        <f t="shared" si="2"/>
        <v>6</v>
      </c>
      <c r="N20" s="484">
        <f t="shared" si="2"/>
        <v>0</v>
      </c>
      <c r="O20" s="484">
        <f t="shared" si="2"/>
        <v>0</v>
      </c>
      <c r="P20" s="484">
        <f t="shared" si="2"/>
        <v>0</v>
      </c>
      <c r="Q20" s="484">
        <f t="shared" si="2"/>
        <v>0</v>
      </c>
      <c r="R20" s="484">
        <f t="shared" si="2"/>
        <v>0</v>
      </c>
      <c r="S20" s="484">
        <f t="shared" si="2"/>
        <v>0</v>
      </c>
      <c r="T20" s="484">
        <f t="shared" si="2"/>
        <v>0</v>
      </c>
      <c r="U20" s="484">
        <f t="shared" si="2"/>
        <v>0</v>
      </c>
      <c r="V20" s="484">
        <f t="shared" si="2"/>
        <v>6</v>
      </c>
      <c r="W20" s="485">
        <f t="shared" si="2"/>
        <v>145275.88</v>
      </c>
      <c r="AA20" s="68"/>
      <c r="AB20" s="68"/>
    </row>
    <row r="21" spans="1:28" hidden="1">
      <c r="A21" s="703" t="s">
        <v>13</v>
      </c>
      <c r="B21" s="13"/>
      <c r="C21" s="13"/>
      <c r="D21" s="13"/>
      <c r="E21" s="13"/>
      <c r="F21" s="13"/>
      <c r="G21" s="13"/>
      <c r="H21" s="13"/>
      <c r="I21" s="13"/>
      <c r="J21" s="13"/>
      <c r="K21" s="13">
        <f t="shared" ref="K21:K26" si="3">SUM(B21:J21)</f>
        <v>0</v>
      </c>
      <c r="L21" s="472"/>
      <c r="M21" s="13"/>
      <c r="N21" s="13"/>
      <c r="O21" s="13"/>
      <c r="P21" s="13"/>
      <c r="Q21" s="13"/>
      <c r="R21" s="13"/>
      <c r="S21" s="13"/>
      <c r="T21" s="13"/>
      <c r="U21" s="13"/>
      <c r="V21" s="13">
        <f t="shared" ref="V21:V26" si="4">SUM(M21:U21)</f>
        <v>0</v>
      </c>
      <c r="W21" s="472"/>
      <c r="AA21" s="68"/>
      <c r="AB21" s="68"/>
    </row>
    <row r="22" spans="1:28">
      <c r="A22" s="703" t="s">
        <v>6978</v>
      </c>
      <c r="B22" s="13">
        <v>1</v>
      </c>
      <c r="C22" s="13"/>
      <c r="D22" s="13"/>
      <c r="E22" s="13"/>
      <c r="F22" s="13"/>
      <c r="G22" s="13"/>
      <c r="H22" s="13"/>
      <c r="I22" s="13"/>
      <c r="J22" s="13"/>
      <c r="K22" s="13">
        <f t="shared" si="3"/>
        <v>1</v>
      </c>
      <c r="L22" s="472">
        <f>1110*12</f>
        <v>13320</v>
      </c>
      <c r="M22" s="13">
        <v>1</v>
      </c>
      <c r="N22" s="13"/>
      <c r="O22" s="13"/>
      <c r="P22" s="13"/>
      <c r="Q22" s="13"/>
      <c r="R22" s="13"/>
      <c r="S22" s="13"/>
      <c r="T22" s="13"/>
      <c r="U22" s="13"/>
      <c r="V22" s="13">
        <f t="shared" si="4"/>
        <v>1</v>
      </c>
      <c r="W22" s="472">
        <f>1110*12</f>
        <v>13320</v>
      </c>
      <c r="AA22" s="68"/>
      <c r="AB22" s="68"/>
    </row>
    <row r="23" spans="1:28">
      <c r="A23" s="703" t="s">
        <v>6977</v>
      </c>
      <c r="B23" s="13">
        <v>1</v>
      </c>
      <c r="C23" s="13"/>
      <c r="D23" s="13"/>
      <c r="E23" s="13"/>
      <c r="F23" s="13"/>
      <c r="G23" s="13"/>
      <c r="H23" s="13"/>
      <c r="I23" s="13"/>
      <c r="J23" s="13"/>
      <c r="K23" s="13">
        <f t="shared" si="3"/>
        <v>1</v>
      </c>
      <c r="L23" s="472">
        <f>1110*12</f>
        <v>13320</v>
      </c>
      <c r="M23" s="13">
        <v>1</v>
      </c>
      <c r="N23" s="13"/>
      <c r="O23" s="13"/>
      <c r="P23" s="13"/>
      <c r="Q23" s="13"/>
      <c r="R23" s="13"/>
      <c r="S23" s="13"/>
      <c r="T23" s="13"/>
      <c r="U23" s="13"/>
      <c r="V23" s="13">
        <f t="shared" si="4"/>
        <v>1</v>
      </c>
      <c r="W23" s="472">
        <f>1110*12</f>
        <v>13320</v>
      </c>
      <c r="X23" s="55"/>
      <c r="AA23" s="68"/>
      <c r="AB23" s="68"/>
    </row>
    <row r="24" spans="1:28" hidden="1">
      <c r="A24" s="703" t="s">
        <v>6976</v>
      </c>
      <c r="B24" s="13"/>
      <c r="C24" s="13"/>
      <c r="D24" s="13"/>
      <c r="E24" s="13"/>
      <c r="F24" s="13"/>
      <c r="G24" s="13"/>
      <c r="H24" s="13"/>
      <c r="I24" s="13"/>
      <c r="J24" s="13"/>
      <c r="K24" s="13">
        <f t="shared" si="3"/>
        <v>0</v>
      </c>
      <c r="L24" s="472"/>
      <c r="M24" s="13"/>
      <c r="N24" s="13"/>
      <c r="O24" s="13"/>
      <c r="P24" s="13"/>
      <c r="Q24" s="13"/>
      <c r="R24" s="13"/>
      <c r="S24" s="13"/>
      <c r="T24" s="13"/>
      <c r="U24" s="13"/>
      <c r="V24" s="13">
        <f t="shared" si="4"/>
        <v>0</v>
      </c>
      <c r="W24" s="472"/>
      <c r="AA24" s="68"/>
      <c r="AB24" s="68"/>
    </row>
    <row r="25" spans="1:28">
      <c r="A25" s="703" t="s">
        <v>14</v>
      </c>
      <c r="B25" s="13">
        <v>4</v>
      </c>
      <c r="C25" s="13"/>
      <c r="D25" s="13"/>
      <c r="E25" s="13"/>
      <c r="F25" s="13"/>
      <c r="G25" s="13"/>
      <c r="H25" s="13"/>
      <c r="I25" s="13"/>
      <c r="J25" s="13"/>
      <c r="K25" s="13">
        <f t="shared" si="3"/>
        <v>4</v>
      </c>
      <c r="L25" s="472">
        <v>118635.88</v>
      </c>
      <c r="M25" s="13">
        <v>4</v>
      </c>
      <c r="N25" s="13"/>
      <c r="O25" s="13"/>
      <c r="P25" s="13"/>
      <c r="Q25" s="13"/>
      <c r="R25" s="13"/>
      <c r="S25" s="13"/>
      <c r="T25" s="13"/>
      <c r="U25" s="13"/>
      <c r="V25" s="13">
        <f t="shared" si="4"/>
        <v>4</v>
      </c>
      <c r="W25" s="472">
        <v>118635.88</v>
      </c>
      <c r="AA25" s="68"/>
      <c r="AB25" s="68"/>
    </row>
    <row r="26" spans="1:28" hidden="1">
      <c r="A26" s="703" t="s">
        <v>6975</v>
      </c>
      <c r="B26" s="13"/>
      <c r="C26" s="13"/>
      <c r="D26" s="13"/>
      <c r="E26" s="13"/>
      <c r="F26" s="13"/>
      <c r="G26" s="13"/>
      <c r="H26" s="13"/>
      <c r="I26" s="13"/>
      <c r="J26" s="13"/>
      <c r="K26" s="13">
        <f t="shared" si="3"/>
        <v>0</v>
      </c>
      <c r="L26" s="472">
        <f>(((721.15+1110+400+40.3)*12)+1000+((36.13+83.7)*12))*K26</f>
        <v>0</v>
      </c>
      <c r="M26" s="13"/>
      <c r="N26" s="13"/>
      <c r="O26" s="13"/>
      <c r="P26" s="13"/>
      <c r="Q26" s="13"/>
      <c r="R26" s="13"/>
      <c r="S26" s="13"/>
      <c r="T26" s="13"/>
      <c r="U26" s="13"/>
      <c r="V26" s="13">
        <f t="shared" si="4"/>
        <v>0</v>
      </c>
      <c r="W26" s="472">
        <f>(((721.15+1110+400+40.3)*12)+1000+((36.13+83.7)*12))*V26</f>
        <v>0</v>
      </c>
      <c r="AA26" s="68"/>
      <c r="AB26" s="68"/>
    </row>
    <row r="27" spans="1:28">
      <c r="A27" s="705" t="s">
        <v>5</v>
      </c>
      <c r="B27" s="484">
        <f t="shared" ref="B27:W27" si="5">SUM(B28:B33)</f>
        <v>30</v>
      </c>
      <c r="C27" s="484">
        <f t="shared" si="5"/>
        <v>0</v>
      </c>
      <c r="D27" s="484">
        <f t="shared" si="5"/>
        <v>0</v>
      </c>
      <c r="E27" s="484">
        <f t="shared" si="5"/>
        <v>0</v>
      </c>
      <c r="F27" s="484">
        <f t="shared" si="5"/>
        <v>0</v>
      </c>
      <c r="G27" s="484">
        <f t="shared" si="5"/>
        <v>0</v>
      </c>
      <c r="H27" s="484">
        <f t="shared" si="5"/>
        <v>0</v>
      </c>
      <c r="I27" s="484">
        <f t="shared" si="5"/>
        <v>0</v>
      </c>
      <c r="J27" s="484">
        <f t="shared" si="5"/>
        <v>0</v>
      </c>
      <c r="K27" s="484">
        <f t="shared" si="5"/>
        <v>30</v>
      </c>
      <c r="L27" s="485">
        <f t="shared" si="5"/>
        <v>833114.48</v>
      </c>
      <c r="M27" s="484">
        <f t="shared" si="5"/>
        <v>30</v>
      </c>
      <c r="N27" s="484">
        <f t="shared" si="5"/>
        <v>0</v>
      </c>
      <c r="O27" s="484">
        <f t="shared" si="5"/>
        <v>0</v>
      </c>
      <c r="P27" s="484">
        <f t="shared" si="5"/>
        <v>0</v>
      </c>
      <c r="Q27" s="484">
        <f t="shared" si="5"/>
        <v>0</v>
      </c>
      <c r="R27" s="484">
        <f t="shared" si="5"/>
        <v>0</v>
      </c>
      <c r="S27" s="484">
        <f t="shared" si="5"/>
        <v>0</v>
      </c>
      <c r="T27" s="484">
        <f t="shared" si="5"/>
        <v>0</v>
      </c>
      <c r="U27" s="484">
        <f t="shared" si="5"/>
        <v>0</v>
      </c>
      <c r="V27" s="484">
        <f t="shared" si="5"/>
        <v>30</v>
      </c>
      <c r="W27" s="485">
        <f t="shared" si="5"/>
        <v>835615.48</v>
      </c>
      <c r="AA27" s="68"/>
      <c r="AB27" s="68"/>
    </row>
    <row r="28" spans="1:28">
      <c r="A28" s="703" t="s">
        <v>15</v>
      </c>
      <c r="B28" s="13">
        <v>6</v>
      </c>
      <c r="C28" s="13"/>
      <c r="D28" s="13"/>
      <c r="E28" s="13"/>
      <c r="F28" s="13"/>
      <c r="G28" s="13"/>
      <c r="H28" s="13"/>
      <c r="I28" s="13"/>
      <c r="J28" s="13"/>
      <c r="K28" s="13">
        <f t="shared" ref="K28:K33" si="6">SUM(B28:J28)</f>
        <v>6</v>
      </c>
      <c r="L28" s="472">
        <f>171366.72+12840</f>
        <v>184206.72</v>
      </c>
      <c r="M28" s="13">
        <v>6</v>
      </c>
      <c r="N28" s="13"/>
      <c r="O28" s="13"/>
      <c r="P28" s="13"/>
      <c r="Q28" s="13"/>
      <c r="R28" s="13"/>
      <c r="S28" s="13"/>
      <c r="T28" s="13"/>
      <c r="U28" s="13"/>
      <c r="V28" s="13">
        <f t="shared" ref="V28:V33" si="7">SUM(M28:U28)</f>
        <v>6</v>
      </c>
      <c r="W28" s="472">
        <f>171366.72+12840</f>
        <v>184206.72</v>
      </c>
      <c r="X28" s="55"/>
      <c r="AA28" s="68"/>
      <c r="AB28" s="68"/>
    </row>
    <row r="29" spans="1:28">
      <c r="A29" s="703" t="s">
        <v>7056</v>
      </c>
      <c r="B29" s="13">
        <v>3</v>
      </c>
      <c r="C29" s="13"/>
      <c r="D29" s="13"/>
      <c r="E29" s="13"/>
      <c r="F29" s="13"/>
      <c r="G29" s="13"/>
      <c r="H29" s="13"/>
      <c r="I29" s="13"/>
      <c r="J29" s="13"/>
      <c r="K29" s="13">
        <f t="shared" si="6"/>
        <v>3</v>
      </c>
      <c r="L29" s="472">
        <f>56104.88</f>
        <v>56104.88</v>
      </c>
      <c r="M29" s="13">
        <v>3</v>
      </c>
      <c r="N29" s="13"/>
      <c r="O29" s="13"/>
      <c r="P29" s="13"/>
      <c r="Q29" s="13"/>
      <c r="R29" s="13"/>
      <c r="S29" s="13"/>
      <c r="T29" s="13"/>
      <c r="U29" s="13"/>
      <c r="V29" s="13">
        <f t="shared" si="7"/>
        <v>3</v>
      </c>
      <c r="W29" s="472">
        <f>56104.88</f>
        <v>56104.88</v>
      </c>
      <c r="AA29" s="68"/>
      <c r="AB29" s="68"/>
    </row>
    <row r="30" spans="1:28">
      <c r="A30" s="703" t="s">
        <v>6972</v>
      </c>
      <c r="B30" s="13">
        <v>7</v>
      </c>
      <c r="C30" s="13"/>
      <c r="D30" s="13"/>
      <c r="E30" s="13"/>
      <c r="F30" s="13"/>
      <c r="G30" s="13"/>
      <c r="H30" s="13"/>
      <c r="I30" s="13"/>
      <c r="J30" s="13"/>
      <c r="K30" s="13">
        <f t="shared" si="6"/>
        <v>7</v>
      </c>
      <c r="L30" s="472">
        <v>197591.80000000005</v>
      </c>
      <c r="M30" s="13">
        <v>7</v>
      </c>
      <c r="N30" s="13"/>
      <c r="O30" s="13"/>
      <c r="P30" s="13"/>
      <c r="Q30" s="13"/>
      <c r="R30" s="13"/>
      <c r="S30" s="13"/>
      <c r="T30" s="13"/>
      <c r="U30" s="13"/>
      <c r="V30" s="13">
        <f t="shared" si="7"/>
        <v>7</v>
      </c>
      <c r="W30" s="472">
        <v>197591.80000000005</v>
      </c>
      <c r="AA30" s="68"/>
      <c r="AB30" s="68"/>
    </row>
    <row r="31" spans="1:28" hidden="1">
      <c r="A31" s="703" t="s">
        <v>6971</v>
      </c>
      <c r="B31" s="13"/>
      <c r="C31" s="13"/>
      <c r="D31" s="13"/>
      <c r="E31" s="13"/>
      <c r="F31" s="13"/>
      <c r="G31" s="13"/>
      <c r="H31" s="13"/>
      <c r="I31" s="13"/>
      <c r="J31" s="13"/>
      <c r="K31" s="13">
        <f t="shared" si="6"/>
        <v>0</v>
      </c>
      <c r="L31" s="472"/>
      <c r="M31" s="13"/>
      <c r="N31" s="13"/>
      <c r="O31" s="13"/>
      <c r="P31" s="13"/>
      <c r="Q31" s="13"/>
      <c r="R31" s="13"/>
      <c r="S31" s="13"/>
      <c r="T31" s="13"/>
      <c r="U31" s="13"/>
      <c r="V31" s="13">
        <f t="shared" si="7"/>
        <v>0</v>
      </c>
      <c r="W31" s="472"/>
      <c r="AA31" s="68"/>
      <c r="AB31" s="68"/>
    </row>
    <row r="32" spans="1:28">
      <c r="A32" s="703" t="s">
        <v>16</v>
      </c>
      <c r="B32" s="13">
        <v>4</v>
      </c>
      <c r="C32" s="13"/>
      <c r="D32" s="13"/>
      <c r="E32" s="13"/>
      <c r="F32" s="13"/>
      <c r="G32" s="13"/>
      <c r="H32" s="13"/>
      <c r="I32" s="13"/>
      <c r="J32" s="13"/>
      <c r="K32" s="13">
        <f t="shared" si="6"/>
        <v>4</v>
      </c>
      <c r="L32" s="472">
        <v>113176.12000000001</v>
      </c>
      <c r="M32" s="13">
        <v>4</v>
      </c>
      <c r="N32" s="13"/>
      <c r="O32" s="13"/>
      <c r="P32" s="13"/>
      <c r="Q32" s="13"/>
      <c r="R32" s="13"/>
      <c r="S32" s="13"/>
      <c r="T32" s="13"/>
      <c r="U32" s="13"/>
      <c r="V32" s="13">
        <f t="shared" si="7"/>
        <v>4</v>
      </c>
      <c r="W32" s="472">
        <v>113176.12000000001</v>
      </c>
      <c r="AA32" s="68"/>
      <c r="AB32" s="68"/>
    </row>
    <row r="33" spans="1:28">
      <c r="A33" s="703" t="s">
        <v>6970</v>
      </c>
      <c r="B33" s="13">
        <v>10</v>
      </c>
      <c r="C33" s="13"/>
      <c r="D33" s="13"/>
      <c r="E33" s="13"/>
      <c r="F33" s="13"/>
      <c r="G33" s="13"/>
      <c r="H33" s="13"/>
      <c r="I33" s="13"/>
      <c r="J33" s="13"/>
      <c r="K33" s="13">
        <f t="shared" si="6"/>
        <v>10</v>
      </c>
      <c r="L33" s="472">
        <v>282034.96000000002</v>
      </c>
      <c r="M33" s="13">
        <v>10</v>
      </c>
      <c r="N33" s="13"/>
      <c r="O33" s="13"/>
      <c r="P33" s="13"/>
      <c r="Q33" s="13"/>
      <c r="R33" s="13"/>
      <c r="S33" s="13"/>
      <c r="T33" s="13"/>
      <c r="U33" s="13"/>
      <c r="V33" s="13">
        <f t="shared" si="7"/>
        <v>10</v>
      </c>
      <c r="W33" s="472">
        <f>282034.96+2501</f>
        <v>284535.96000000002</v>
      </c>
      <c r="AA33" s="68"/>
      <c r="AB33" s="68"/>
    </row>
    <row r="34" spans="1:28">
      <c r="A34" s="705" t="s">
        <v>6</v>
      </c>
      <c r="B34" s="484">
        <f t="shared" ref="B34:W34" si="8">SUM(B35:B40)</f>
        <v>5</v>
      </c>
      <c r="C34" s="484">
        <f t="shared" si="8"/>
        <v>0</v>
      </c>
      <c r="D34" s="484">
        <f t="shared" si="8"/>
        <v>0</v>
      </c>
      <c r="E34" s="484">
        <f t="shared" si="8"/>
        <v>0</v>
      </c>
      <c r="F34" s="484">
        <f t="shared" si="8"/>
        <v>0</v>
      </c>
      <c r="G34" s="484">
        <f t="shared" si="8"/>
        <v>0</v>
      </c>
      <c r="H34" s="484">
        <f t="shared" si="8"/>
        <v>0</v>
      </c>
      <c r="I34" s="484">
        <f t="shared" si="8"/>
        <v>0</v>
      </c>
      <c r="J34" s="484">
        <f t="shared" si="8"/>
        <v>0</v>
      </c>
      <c r="K34" s="484">
        <f t="shared" si="8"/>
        <v>5</v>
      </c>
      <c r="L34" s="485">
        <f t="shared" si="8"/>
        <v>124351.36</v>
      </c>
      <c r="M34" s="484">
        <f t="shared" si="8"/>
        <v>5</v>
      </c>
      <c r="N34" s="484">
        <f t="shared" si="8"/>
        <v>0</v>
      </c>
      <c r="O34" s="484">
        <f t="shared" si="8"/>
        <v>0</v>
      </c>
      <c r="P34" s="484">
        <f t="shared" si="8"/>
        <v>0</v>
      </c>
      <c r="Q34" s="484">
        <f t="shared" si="8"/>
        <v>0</v>
      </c>
      <c r="R34" s="484">
        <f t="shared" si="8"/>
        <v>0</v>
      </c>
      <c r="S34" s="484">
        <f t="shared" si="8"/>
        <v>0</v>
      </c>
      <c r="T34" s="484">
        <f t="shared" si="8"/>
        <v>0</v>
      </c>
      <c r="U34" s="484">
        <f t="shared" si="8"/>
        <v>0</v>
      </c>
      <c r="V34" s="484">
        <f t="shared" si="8"/>
        <v>5</v>
      </c>
      <c r="W34" s="485">
        <f t="shared" si="8"/>
        <v>124351.36</v>
      </c>
      <c r="AA34" s="68"/>
      <c r="AB34" s="68"/>
    </row>
    <row r="35" spans="1:28">
      <c r="A35" s="703" t="s">
        <v>17</v>
      </c>
      <c r="B35" s="13">
        <v>4</v>
      </c>
      <c r="C35" s="13"/>
      <c r="D35" s="13"/>
      <c r="E35" s="13"/>
      <c r="F35" s="13"/>
      <c r="G35" s="13"/>
      <c r="H35" s="13"/>
      <c r="I35" s="13"/>
      <c r="J35" s="13"/>
      <c r="K35" s="13">
        <f t="shared" ref="K35:K40" si="9">SUM(B35:J35)</f>
        <v>4</v>
      </c>
      <c r="L35" s="472">
        <v>111511.36</v>
      </c>
      <c r="M35" s="13">
        <v>4</v>
      </c>
      <c r="N35" s="13"/>
      <c r="O35" s="13"/>
      <c r="P35" s="13"/>
      <c r="Q35" s="13"/>
      <c r="R35" s="13"/>
      <c r="S35" s="13"/>
      <c r="T35" s="13"/>
      <c r="U35" s="13"/>
      <c r="V35" s="13">
        <f t="shared" ref="V35:V40" si="10">SUM(M35:U35)</f>
        <v>4</v>
      </c>
      <c r="W35" s="472">
        <v>111511.36</v>
      </c>
      <c r="AA35" s="68"/>
      <c r="AB35" s="68"/>
    </row>
    <row r="36" spans="1:28" hidden="1">
      <c r="A36" s="703" t="s">
        <v>6969</v>
      </c>
      <c r="B36" s="13"/>
      <c r="C36" s="13"/>
      <c r="D36" s="13"/>
      <c r="E36" s="13"/>
      <c r="F36" s="13"/>
      <c r="G36" s="13"/>
      <c r="H36" s="13"/>
      <c r="I36" s="13"/>
      <c r="J36" s="13"/>
      <c r="K36" s="13">
        <f t="shared" si="9"/>
        <v>0</v>
      </c>
      <c r="L36" s="472"/>
      <c r="M36" s="13"/>
      <c r="N36" s="13"/>
      <c r="O36" s="13"/>
      <c r="P36" s="13"/>
      <c r="Q36" s="13"/>
      <c r="R36" s="13"/>
      <c r="S36" s="13"/>
      <c r="T36" s="13"/>
      <c r="U36" s="13"/>
      <c r="V36" s="13">
        <f t="shared" si="10"/>
        <v>0</v>
      </c>
      <c r="W36" s="472"/>
      <c r="AA36" s="68"/>
      <c r="AB36" s="68"/>
    </row>
    <row r="37" spans="1:28" hidden="1">
      <c r="A37" s="703" t="s">
        <v>6968</v>
      </c>
      <c r="B37" s="13"/>
      <c r="C37" s="13"/>
      <c r="D37" s="13"/>
      <c r="E37" s="13"/>
      <c r="F37" s="13"/>
      <c r="G37" s="13"/>
      <c r="H37" s="13"/>
      <c r="I37" s="13"/>
      <c r="J37" s="13"/>
      <c r="K37" s="13">
        <f t="shared" si="9"/>
        <v>0</v>
      </c>
      <c r="L37" s="472"/>
      <c r="M37" s="13"/>
      <c r="N37" s="13"/>
      <c r="O37" s="13"/>
      <c r="P37" s="13"/>
      <c r="Q37" s="13"/>
      <c r="R37" s="13"/>
      <c r="S37" s="13"/>
      <c r="T37" s="13"/>
      <c r="U37" s="13"/>
      <c r="V37" s="13">
        <f t="shared" si="10"/>
        <v>0</v>
      </c>
      <c r="W37" s="472"/>
      <c r="AA37" s="68"/>
      <c r="AB37" s="68"/>
    </row>
    <row r="38" spans="1:28" hidden="1">
      <c r="A38" s="703" t="s">
        <v>6967</v>
      </c>
      <c r="B38" s="13"/>
      <c r="C38" s="13"/>
      <c r="D38" s="13"/>
      <c r="E38" s="13"/>
      <c r="F38" s="13"/>
      <c r="G38" s="13"/>
      <c r="H38" s="13"/>
      <c r="I38" s="13"/>
      <c r="J38" s="13"/>
      <c r="K38" s="13">
        <f t="shared" si="9"/>
        <v>0</v>
      </c>
      <c r="L38" s="472"/>
      <c r="M38" s="13"/>
      <c r="N38" s="13"/>
      <c r="O38" s="13"/>
      <c r="P38" s="13"/>
      <c r="Q38" s="13"/>
      <c r="R38" s="13"/>
      <c r="S38" s="13"/>
      <c r="T38" s="13"/>
      <c r="U38" s="13"/>
      <c r="V38" s="13">
        <f t="shared" si="10"/>
        <v>0</v>
      </c>
      <c r="W38" s="472"/>
      <c r="AA38" s="68"/>
      <c r="AB38" s="68"/>
    </row>
    <row r="39" spans="1:28" hidden="1">
      <c r="A39" s="703" t="s">
        <v>18</v>
      </c>
      <c r="B39" s="13"/>
      <c r="C39" s="13"/>
      <c r="D39" s="13"/>
      <c r="E39" s="13"/>
      <c r="F39" s="13"/>
      <c r="G39" s="13"/>
      <c r="H39" s="13"/>
      <c r="I39" s="13"/>
      <c r="J39" s="13"/>
      <c r="K39" s="13">
        <f t="shared" si="9"/>
        <v>0</v>
      </c>
      <c r="L39" s="472"/>
      <c r="M39" s="13"/>
      <c r="N39" s="13"/>
      <c r="O39" s="13"/>
      <c r="P39" s="13"/>
      <c r="Q39" s="13"/>
      <c r="R39" s="13"/>
      <c r="S39" s="13"/>
      <c r="T39" s="13"/>
      <c r="U39" s="13"/>
      <c r="V39" s="13">
        <f t="shared" si="10"/>
        <v>0</v>
      </c>
      <c r="W39" s="472"/>
      <c r="AA39" s="68"/>
      <c r="AB39" s="68"/>
    </row>
    <row r="40" spans="1:28">
      <c r="A40" s="703" t="s">
        <v>6966</v>
      </c>
      <c r="B40" s="13">
        <v>1</v>
      </c>
      <c r="C40" s="13"/>
      <c r="D40" s="13"/>
      <c r="E40" s="13"/>
      <c r="F40" s="13"/>
      <c r="G40" s="13"/>
      <c r="H40" s="13"/>
      <c r="I40" s="13"/>
      <c r="J40" s="13"/>
      <c r="K40" s="13">
        <f t="shared" si="9"/>
        <v>1</v>
      </c>
      <c r="L40" s="472">
        <f>1070*12</f>
        <v>12840</v>
      </c>
      <c r="M40" s="13">
        <v>1</v>
      </c>
      <c r="N40" s="13"/>
      <c r="O40" s="13"/>
      <c r="P40" s="13"/>
      <c r="Q40" s="13"/>
      <c r="R40" s="13"/>
      <c r="S40" s="13"/>
      <c r="T40" s="13"/>
      <c r="U40" s="13"/>
      <c r="V40" s="13">
        <f t="shared" si="10"/>
        <v>1</v>
      </c>
      <c r="W40" s="472">
        <f>1070*12</f>
        <v>12840</v>
      </c>
      <c r="AA40" s="68"/>
      <c r="AB40" s="68"/>
    </row>
    <row r="41" spans="1:28" hidden="1">
      <c r="A41" s="703" t="s">
        <v>7055</v>
      </c>
      <c r="B41" s="13"/>
      <c r="C41" s="13"/>
      <c r="D41" s="13"/>
      <c r="E41" s="13"/>
      <c r="F41" s="13"/>
      <c r="G41" s="13"/>
      <c r="H41" s="13"/>
      <c r="I41" s="13"/>
      <c r="J41" s="13"/>
      <c r="K41" s="13"/>
      <c r="L41" s="16"/>
      <c r="M41" s="13"/>
      <c r="N41" s="13"/>
      <c r="O41" s="13"/>
      <c r="P41" s="13"/>
      <c r="Q41" s="13"/>
      <c r="R41" s="13"/>
      <c r="S41" s="13"/>
      <c r="T41" s="13"/>
      <c r="U41" s="13"/>
      <c r="V41" s="13"/>
      <c r="W41" s="16"/>
      <c r="AA41" s="68"/>
      <c r="AB41" s="68"/>
    </row>
    <row r="42" spans="1:28" hidden="1">
      <c r="A42" s="705" t="s">
        <v>7064</v>
      </c>
      <c r="B42" s="484">
        <f t="shared" ref="B42:W42" si="11">SUM(B43:B44)</f>
        <v>0</v>
      </c>
      <c r="C42" s="484">
        <f t="shared" si="11"/>
        <v>0</v>
      </c>
      <c r="D42" s="484">
        <f t="shared" si="11"/>
        <v>0</v>
      </c>
      <c r="E42" s="484">
        <f t="shared" si="11"/>
        <v>0</v>
      </c>
      <c r="F42" s="484">
        <f t="shared" si="11"/>
        <v>0</v>
      </c>
      <c r="G42" s="484">
        <f t="shared" si="11"/>
        <v>0</v>
      </c>
      <c r="H42" s="484">
        <f t="shared" si="11"/>
        <v>0</v>
      </c>
      <c r="I42" s="484">
        <f t="shared" si="11"/>
        <v>0</v>
      </c>
      <c r="J42" s="484">
        <f t="shared" si="11"/>
        <v>0</v>
      </c>
      <c r="K42" s="484">
        <f t="shared" si="11"/>
        <v>0</v>
      </c>
      <c r="L42" s="485">
        <f t="shared" si="11"/>
        <v>0</v>
      </c>
      <c r="M42" s="484">
        <f t="shared" si="11"/>
        <v>0</v>
      </c>
      <c r="N42" s="484">
        <f t="shared" si="11"/>
        <v>0</v>
      </c>
      <c r="O42" s="484">
        <f t="shared" si="11"/>
        <v>0</v>
      </c>
      <c r="P42" s="484">
        <f t="shared" si="11"/>
        <v>0</v>
      </c>
      <c r="Q42" s="484">
        <f t="shared" si="11"/>
        <v>0</v>
      </c>
      <c r="R42" s="484">
        <f t="shared" si="11"/>
        <v>0</v>
      </c>
      <c r="S42" s="484">
        <f t="shared" si="11"/>
        <v>0</v>
      </c>
      <c r="T42" s="484">
        <f t="shared" si="11"/>
        <v>0</v>
      </c>
      <c r="U42" s="484">
        <f t="shared" si="11"/>
        <v>0</v>
      </c>
      <c r="V42" s="484">
        <f t="shared" si="11"/>
        <v>0</v>
      </c>
      <c r="W42" s="485">
        <f t="shared" si="11"/>
        <v>0</v>
      </c>
      <c r="AA42" s="68"/>
      <c r="AB42" s="68"/>
    </row>
    <row r="43" spans="1:28" hidden="1">
      <c r="A43" s="703" t="s">
        <v>7053</v>
      </c>
      <c r="B43" s="13"/>
      <c r="C43" s="13"/>
      <c r="D43" s="13"/>
      <c r="E43" s="13"/>
      <c r="F43" s="13"/>
      <c r="G43" s="13"/>
      <c r="H43" s="13"/>
      <c r="I43" s="13"/>
      <c r="J43" s="13"/>
      <c r="K43" s="13">
        <f>SUM(B43:J43)</f>
        <v>0</v>
      </c>
      <c r="L43" s="472"/>
      <c r="M43" s="13"/>
      <c r="N43" s="13"/>
      <c r="O43" s="13"/>
      <c r="P43" s="13"/>
      <c r="Q43" s="13"/>
      <c r="R43" s="13"/>
      <c r="S43" s="13"/>
      <c r="T43" s="13"/>
      <c r="U43" s="13"/>
      <c r="V43" s="13">
        <f>SUM(M43:U43)</f>
        <v>0</v>
      </c>
      <c r="W43" s="472"/>
      <c r="AA43" s="68"/>
      <c r="AB43" s="68"/>
    </row>
    <row r="44" spans="1:28" hidden="1">
      <c r="A44" s="703" t="s">
        <v>57</v>
      </c>
      <c r="B44" s="13"/>
      <c r="C44" s="13"/>
      <c r="D44" s="13"/>
      <c r="E44" s="13"/>
      <c r="F44" s="13"/>
      <c r="G44" s="13"/>
      <c r="H44" s="13"/>
      <c r="I44" s="13"/>
      <c r="J44" s="13"/>
      <c r="K44" s="13"/>
      <c r="L44" s="472"/>
      <c r="M44" s="13"/>
      <c r="N44" s="13"/>
      <c r="O44" s="13"/>
      <c r="P44" s="13"/>
      <c r="Q44" s="13"/>
      <c r="R44" s="13"/>
      <c r="S44" s="13"/>
      <c r="T44" s="13"/>
      <c r="U44" s="13"/>
      <c r="V44" s="13"/>
      <c r="W44" s="472"/>
      <c r="AA44" s="68"/>
      <c r="AB44" s="68"/>
    </row>
    <row r="45" spans="1:28" hidden="1">
      <c r="A45" s="703"/>
      <c r="B45" s="13"/>
      <c r="C45" s="13"/>
      <c r="D45" s="13"/>
      <c r="E45" s="13"/>
      <c r="F45" s="13"/>
      <c r="G45" s="13"/>
      <c r="H45" s="13"/>
      <c r="I45" s="13"/>
      <c r="J45" s="13"/>
      <c r="K45" s="13"/>
      <c r="L45" s="16"/>
      <c r="M45" s="13"/>
      <c r="N45" s="13"/>
      <c r="O45" s="13"/>
      <c r="P45" s="13"/>
      <c r="Q45" s="13"/>
      <c r="R45" s="13"/>
      <c r="S45" s="13"/>
      <c r="T45" s="13"/>
      <c r="U45" s="13"/>
      <c r="V45" s="13"/>
      <c r="W45" s="16"/>
      <c r="AA45" s="68"/>
      <c r="AB45" s="68"/>
    </row>
    <row r="46" spans="1:28" hidden="1">
      <c r="A46" s="705" t="s">
        <v>7052</v>
      </c>
      <c r="B46" s="484"/>
      <c r="C46" s="484"/>
      <c r="D46" s="484"/>
      <c r="E46" s="484"/>
      <c r="F46" s="484"/>
      <c r="G46" s="484"/>
      <c r="H46" s="484"/>
      <c r="I46" s="484"/>
      <c r="J46" s="484"/>
      <c r="K46" s="484"/>
      <c r="L46" s="483"/>
      <c r="M46" s="484"/>
      <c r="N46" s="484"/>
      <c r="O46" s="484"/>
      <c r="P46" s="484"/>
      <c r="Q46" s="484"/>
      <c r="R46" s="484"/>
      <c r="S46" s="484"/>
      <c r="T46" s="484"/>
      <c r="U46" s="484"/>
      <c r="V46" s="484"/>
      <c r="W46" s="483"/>
      <c r="AA46" s="68"/>
      <c r="AB46" s="68"/>
    </row>
    <row r="47" spans="1:28" hidden="1">
      <c r="A47" s="703" t="s">
        <v>7051</v>
      </c>
      <c r="B47" s="13"/>
      <c r="C47" s="13"/>
      <c r="D47" s="13"/>
      <c r="E47" s="13"/>
      <c r="F47" s="13"/>
      <c r="G47" s="13"/>
      <c r="H47" s="13"/>
      <c r="I47" s="13"/>
      <c r="J47" s="13"/>
      <c r="K47" s="13">
        <f>SUM(B47:J47)</f>
        <v>0</v>
      </c>
      <c r="L47" s="16"/>
      <c r="M47" s="13"/>
      <c r="N47" s="13"/>
      <c r="O47" s="13"/>
      <c r="P47" s="13"/>
      <c r="Q47" s="13"/>
      <c r="R47" s="13"/>
      <c r="S47" s="13"/>
      <c r="T47" s="13"/>
      <c r="U47" s="13"/>
      <c r="V47" s="13">
        <f>SUM(M47:U47)</f>
        <v>0</v>
      </c>
      <c r="W47" s="16"/>
      <c r="AA47" s="68"/>
      <c r="AB47" s="68"/>
    </row>
    <row r="48" spans="1:28" hidden="1">
      <c r="A48" s="703" t="s">
        <v>7050</v>
      </c>
      <c r="B48" s="13"/>
      <c r="C48" s="13"/>
      <c r="D48" s="13"/>
      <c r="E48" s="13"/>
      <c r="F48" s="13"/>
      <c r="G48" s="13"/>
      <c r="H48" s="13"/>
      <c r="I48" s="13"/>
      <c r="J48" s="13"/>
      <c r="K48" s="13">
        <f>SUM(B48:J48)</f>
        <v>0</v>
      </c>
      <c r="L48" s="16"/>
      <c r="M48" s="13"/>
      <c r="N48" s="13"/>
      <c r="O48" s="13"/>
      <c r="P48" s="13"/>
      <c r="Q48" s="13"/>
      <c r="R48" s="13"/>
      <c r="S48" s="13"/>
      <c r="T48" s="13"/>
      <c r="U48" s="13"/>
      <c r="V48" s="13">
        <f>SUM(M48:U48)</f>
        <v>0</v>
      </c>
      <c r="W48" s="16"/>
      <c r="AA48" s="68"/>
      <c r="AB48" s="68"/>
    </row>
    <row r="49" spans="1:28" hidden="1">
      <c r="A49" s="703" t="s">
        <v>7049</v>
      </c>
      <c r="B49" s="13"/>
      <c r="C49" s="13"/>
      <c r="D49" s="13"/>
      <c r="E49" s="13"/>
      <c r="F49" s="13"/>
      <c r="G49" s="13"/>
      <c r="H49" s="13"/>
      <c r="I49" s="13"/>
      <c r="J49" s="13"/>
      <c r="K49" s="13">
        <f>SUM(B49:J49)</f>
        <v>0</v>
      </c>
      <c r="L49" s="16"/>
      <c r="M49" s="13"/>
      <c r="N49" s="13"/>
      <c r="O49" s="13"/>
      <c r="P49" s="13"/>
      <c r="Q49" s="13"/>
      <c r="R49" s="13"/>
      <c r="S49" s="13"/>
      <c r="T49" s="13"/>
      <c r="U49" s="13"/>
      <c r="V49" s="13">
        <f>SUM(M49:U49)</f>
        <v>0</v>
      </c>
      <c r="W49" s="16"/>
      <c r="AA49" s="68"/>
      <c r="AB49" s="68"/>
    </row>
    <row r="50" spans="1:28" ht="24">
      <c r="A50" s="708" t="s">
        <v>6909</v>
      </c>
      <c r="B50" s="482"/>
      <c r="C50" s="482"/>
      <c r="D50" s="482">
        <f t="shared" ref="D50:W50" si="12">SUM(D51:D53)</f>
        <v>58</v>
      </c>
      <c r="E50" s="482">
        <f t="shared" si="12"/>
        <v>0</v>
      </c>
      <c r="F50" s="482">
        <f t="shared" si="12"/>
        <v>0</v>
      </c>
      <c r="G50" s="482">
        <f t="shared" si="12"/>
        <v>0</v>
      </c>
      <c r="H50" s="482">
        <f t="shared" si="12"/>
        <v>0</v>
      </c>
      <c r="I50" s="482">
        <f t="shared" si="12"/>
        <v>0</v>
      </c>
      <c r="J50" s="482">
        <f t="shared" si="12"/>
        <v>0</v>
      </c>
      <c r="K50" s="482">
        <f t="shared" si="12"/>
        <v>58</v>
      </c>
      <c r="L50" s="474">
        <f t="shared" si="12"/>
        <v>3847138.0000000005</v>
      </c>
      <c r="M50" s="482">
        <f t="shared" si="12"/>
        <v>0</v>
      </c>
      <c r="N50" s="482">
        <f t="shared" si="12"/>
        <v>0</v>
      </c>
      <c r="O50" s="482">
        <f t="shared" si="12"/>
        <v>58</v>
      </c>
      <c r="P50" s="482">
        <f t="shared" si="12"/>
        <v>0</v>
      </c>
      <c r="Q50" s="482">
        <f t="shared" si="12"/>
        <v>0</v>
      </c>
      <c r="R50" s="482">
        <f t="shared" si="12"/>
        <v>0</v>
      </c>
      <c r="S50" s="482">
        <f t="shared" si="12"/>
        <v>0</v>
      </c>
      <c r="T50" s="482">
        <f t="shared" si="12"/>
        <v>0</v>
      </c>
      <c r="U50" s="482">
        <f t="shared" si="12"/>
        <v>0</v>
      </c>
      <c r="V50" s="482">
        <f t="shared" si="12"/>
        <v>58</v>
      </c>
      <c r="W50" s="474">
        <f t="shared" si="12"/>
        <v>2806992.8000000003</v>
      </c>
      <c r="Y50" s="490"/>
      <c r="AA50" s="68"/>
      <c r="AB50" s="68"/>
    </row>
    <row r="51" spans="1:28" ht="24">
      <c r="A51" s="703" t="s">
        <v>6908</v>
      </c>
      <c r="B51" s="13"/>
      <c r="C51" s="13"/>
      <c r="D51" s="13">
        <v>39</v>
      </c>
      <c r="E51" s="13"/>
      <c r="F51" s="13"/>
      <c r="G51" s="13"/>
      <c r="H51" s="13"/>
      <c r="I51" s="13"/>
      <c r="J51" s="13"/>
      <c r="K51" s="13">
        <f>SUM(B51:J51)</f>
        <v>39</v>
      </c>
      <c r="L51" s="472">
        <f>2654902.2+505037.2</f>
        <v>3159939.4000000004</v>
      </c>
      <c r="M51" s="13"/>
      <c r="N51" s="13"/>
      <c r="O51" s="13">
        <v>39</v>
      </c>
      <c r="P51" s="13"/>
      <c r="Q51" s="13"/>
      <c r="R51" s="13"/>
      <c r="S51" s="13"/>
      <c r="T51" s="13"/>
      <c r="U51" s="13"/>
      <c r="V51" s="13">
        <f>SUM(M51:U51)</f>
        <v>39</v>
      </c>
      <c r="W51" s="472">
        <f>2654902.2-535108</f>
        <v>2119794.2000000002</v>
      </c>
      <c r="Y51" s="489"/>
      <c r="AA51" s="68"/>
      <c r="AB51" s="68"/>
    </row>
    <row r="52" spans="1:28" ht="24">
      <c r="A52" s="703" t="s">
        <v>6907</v>
      </c>
      <c r="B52" s="13"/>
      <c r="C52" s="13"/>
      <c r="D52" s="13">
        <v>16</v>
      </c>
      <c r="E52" s="13"/>
      <c r="F52" s="13"/>
      <c r="G52" s="13"/>
      <c r="H52" s="13"/>
      <c r="I52" s="13"/>
      <c r="J52" s="13"/>
      <c r="K52" s="13">
        <f>SUM(B52:J52)</f>
        <v>16</v>
      </c>
      <c r="L52" s="472">
        <v>589129.20000000007</v>
      </c>
      <c r="M52" s="13"/>
      <c r="N52" s="13"/>
      <c r="O52" s="13">
        <v>16</v>
      </c>
      <c r="P52" s="13"/>
      <c r="Q52" s="13"/>
      <c r="R52" s="13"/>
      <c r="S52" s="13"/>
      <c r="T52" s="13"/>
      <c r="U52" s="13"/>
      <c r="V52" s="13">
        <f>SUM(M52:U52)</f>
        <v>16</v>
      </c>
      <c r="W52" s="472">
        <v>589129.20000000007</v>
      </c>
      <c r="Y52" s="489"/>
      <c r="AA52" s="68"/>
      <c r="AB52" s="68"/>
    </row>
    <row r="53" spans="1:28" ht="24">
      <c r="A53" s="703" t="s">
        <v>6906</v>
      </c>
      <c r="B53" s="13"/>
      <c r="C53" s="13"/>
      <c r="D53" s="13">
        <v>3</v>
      </c>
      <c r="E53" s="13"/>
      <c r="F53" s="13"/>
      <c r="G53" s="13"/>
      <c r="H53" s="13"/>
      <c r="I53" s="13"/>
      <c r="J53" s="13"/>
      <c r="K53" s="13">
        <f>SUM(B53:J53)</f>
        <v>3</v>
      </c>
      <c r="L53" s="472">
        <v>98069.400000000009</v>
      </c>
      <c r="M53" s="13"/>
      <c r="N53" s="13"/>
      <c r="O53" s="13">
        <v>3</v>
      </c>
      <c r="P53" s="13"/>
      <c r="Q53" s="13"/>
      <c r="R53" s="13"/>
      <c r="S53" s="13"/>
      <c r="T53" s="13"/>
      <c r="U53" s="13"/>
      <c r="V53" s="13">
        <f>SUM(M53:U53)</f>
        <v>3</v>
      </c>
      <c r="W53" s="472">
        <v>98069.400000000009</v>
      </c>
      <c r="Y53" s="489"/>
      <c r="AA53" s="68"/>
      <c r="AB53" s="68"/>
    </row>
    <row r="54" spans="1:28" hidden="1">
      <c r="A54" s="703"/>
      <c r="B54" s="13"/>
      <c r="C54" s="13"/>
      <c r="D54" s="13"/>
      <c r="E54" s="13"/>
      <c r="F54" s="13"/>
      <c r="G54" s="13"/>
      <c r="H54" s="13"/>
      <c r="I54" s="13"/>
      <c r="J54" s="13"/>
      <c r="K54" s="13"/>
      <c r="L54" s="472"/>
      <c r="M54" s="13"/>
      <c r="N54" s="13"/>
      <c r="O54" s="13"/>
      <c r="P54" s="13"/>
      <c r="Q54" s="13"/>
      <c r="R54" s="13"/>
      <c r="S54" s="13"/>
      <c r="T54" s="13"/>
      <c r="U54" s="13"/>
      <c r="V54" s="13"/>
      <c r="W54" s="472"/>
      <c r="Z54" s="531"/>
      <c r="AA54" s="68"/>
      <c r="AB54" s="68"/>
    </row>
    <row r="55" spans="1:28" ht="24" hidden="1">
      <c r="A55" s="704" t="s">
        <v>6905</v>
      </c>
      <c r="B55" s="477"/>
      <c r="C55" s="477"/>
      <c r="D55" s="477"/>
      <c r="E55" s="477"/>
      <c r="F55" s="477"/>
      <c r="G55" s="477"/>
      <c r="H55" s="477"/>
      <c r="I55" s="477"/>
      <c r="J55" s="477"/>
      <c r="K55" s="477"/>
      <c r="L55" s="488"/>
      <c r="M55" s="477"/>
      <c r="N55" s="477"/>
      <c r="O55" s="477"/>
      <c r="P55" s="477"/>
      <c r="Q55" s="477"/>
      <c r="R55" s="477"/>
      <c r="S55" s="477"/>
      <c r="T55" s="477"/>
      <c r="U55" s="477"/>
      <c r="V55" s="477"/>
      <c r="W55" s="487"/>
      <c r="AA55" s="68"/>
      <c r="AB55" s="68"/>
    </row>
    <row r="56" spans="1:28" hidden="1">
      <c r="A56" s="703" t="s">
        <v>6904</v>
      </c>
      <c r="B56" s="13"/>
      <c r="C56" s="13"/>
      <c r="D56" s="13"/>
      <c r="E56" s="13"/>
      <c r="F56" s="13"/>
      <c r="G56" s="13"/>
      <c r="H56" s="13"/>
      <c r="I56" s="13"/>
      <c r="J56" s="13"/>
      <c r="K56" s="13"/>
      <c r="L56" s="472"/>
      <c r="M56" s="13"/>
      <c r="N56" s="13"/>
      <c r="O56" s="13"/>
      <c r="P56" s="13"/>
      <c r="Q56" s="13"/>
      <c r="R56" s="13"/>
      <c r="S56" s="13"/>
      <c r="T56" s="13"/>
      <c r="U56" s="13"/>
      <c r="V56" s="13"/>
      <c r="W56" s="16"/>
      <c r="AA56" s="68"/>
      <c r="AB56" s="68"/>
    </row>
    <row r="57" spans="1:28" hidden="1">
      <c r="A57" s="703"/>
      <c r="B57" s="13"/>
      <c r="C57" s="13"/>
      <c r="D57" s="13"/>
      <c r="E57" s="13"/>
      <c r="F57" s="13"/>
      <c r="G57" s="13"/>
      <c r="H57" s="13"/>
      <c r="I57" s="13"/>
      <c r="J57" s="13"/>
      <c r="K57" s="13"/>
      <c r="L57" s="472"/>
      <c r="M57" s="13"/>
      <c r="N57" s="13"/>
      <c r="O57" s="13"/>
      <c r="P57" s="13"/>
      <c r="Q57" s="13"/>
      <c r="R57" s="13"/>
      <c r="S57" s="13"/>
      <c r="T57" s="13"/>
      <c r="U57" s="13"/>
      <c r="V57" s="13"/>
      <c r="W57" s="16"/>
      <c r="AA57" s="68"/>
      <c r="AB57" s="68"/>
    </row>
    <row r="58" spans="1:28" hidden="1">
      <c r="A58" s="707" t="s">
        <v>6903</v>
      </c>
      <c r="B58" s="493"/>
      <c r="C58" s="493"/>
      <c r="D58" s="493"/>
      <c r="E58" s="493"/>
      <c r="F58" s="493"/>
      <c r="G58" s="493"/>
      <c r="H58" s="493"/>
      <c r="I58" s="493"/>
      <c r="J58" s="493"/>
      <c r="K58" s="493"/>
      <c r="L58" s="492"/>
      <c r="M58" s="493"/>
      <c r="N58" s="493"/>
      <c r="O58" s="493"/>
      <c r="P58" s="493"/>
      <c r="Q58" s="493"/>
      <c r="R58" s="493"/>
      <c r="S58" s="493"/>
      <c r="T58" s="493"/>
      <c r="U58" s="493"/>
      <c r="V58" s="493"/>
      <c r="W58" s="530"/>
      <c r="AA58" s="68"/>
      <c r="AB58" s="68"/>
    </row>
    <row r="59" spans="1:28" hidden="1">
      <c r="A59" s="703" t="s">
        <v>6902</v>
      </c>
      <c r="B59" s="13"/>
      <c r="C59" s="13"/>
      <c r="D59" s="13"/>
      <c r="E59" s="13"/>
      <c r="F59" s="13"/>
      <c r="G59" s="13"/>
      <c r="H59" s="13"/>
      <c r="I59" s="13"/>
      <c r="J59" s="13"/>
      <c r="K59" s="13"/>
      <c r="L59" s="472"/>
      <c r="M59" s="13"/>
      <c r="N59" s="13"/>
      <c r="O59" s="13"/>
      <c r="P59" s="13"/>
      <c r="Q59" s="13"/>
      <c r="R59" s="13"/>
      <c r="S59" s="13"/>
      <c r="T59" s="13"/>
      <c r="U59" s="13"/>
      <c r="V59" s="13"/>
      <c r="W59" s="16"/>
      <c r="AA59" s="68"/>
      <c r="AB59" s="68"/>
    </row>
    <row r="60" spans="1:28" hidden="1">
      <c r="A60" s="703"/>
      <c r="B60" s="13"/>
      <c r="C60" s="13"/>
      <c r="D60" s="13"/>
      <c r="E60" s="13"/>
      <c r="F60" s="13"/>
      <c r="G60" s="13"/>
      <c r="H60" s="13"/>
      <c r="I60" s="13"/>
      <c r="J60" s="13"/>
      <c r="K60" s="13"/>
      <c r="L60" s="472"/>
      <c r="M60" s="13"/>
      <c r="N60" s="13"/>
      <c r="O60" s="13"/>
      <c r="P60" s="13"/>
      <c r="Q60" s="13"/>
      <c r="R60" s="13"/>
      <c r="S60" s="13"/>
      <c r="T60" s="13"/>
      <c r="U60" s="13"/>
      <c r="V60" s="13"/>
      <c r="W60" s="16"/>
      <c r="AA60" s="68"/>
      <c r="AB60" s="68"/>
    </row>
    <row r="61" spans="1:28">
      <c r="A61" s="707" t="s">
        <v>6901</v>
      </c>
      <c r="B61" s="493">
        <f>B62</f>
        <v>27</v>
      </c>
      <c r="C61" s="493"/>
      <c r="D61" s="493"/>
      <c r="E61" s="493"/>
      <c r="F61" s="493"/>
      <c r="G61" s="493"/>
      <c r="H61" s="493"/>
      <c r="I61" s="493"/>
      <c r="J61" s="493"/>
      <c r="K61" s="493">
        <f>K62</f>
        <v>27</v>
      </c>
      <c r="L61" s="492">
        <f>L62</f>
        <v>266002.64</v>
      </c>
      <c r="M61" s="493"/>
      <c r="N61" s="493"/>
      <c r="O61" s="493"/>
      <c r="P61" s="493"/>
      <c r="Q61" s="493"/>
      <c r="R61" s="493"/>
      <c r="S61" s="493"/>
      <c r="T61" s="493"/>
      <c r="U61" s="493"/>
      <c r="V61" s="493"/>
      <c r="W61" s="530">
        <f>W62</f>
        <v>0</v>
      </c>
      <c r="AA61" s="68"/>
      <c r="AB61" s="68"/>
    </row>
    <row r="62" spans="1:28">
      <c r="A62" s="703" t="s">
        <v>6901</v>
      </c>
      <c r="B62" s="13">
        <v>27</v>
      </c>
      <c r="C62" s="13"/>
      <c r="D62" s="13"/>
      <c r="E62" s="13"/>
      <c r="F62" s="13"/>
      <c r="G62" s="13"/>
      <c r="H62" s="13"/>
      <c r="I62" s="13"/>
      <c r="J62" s="13"/>
      <c r="K62" s="13">
        <f>SUM(B62:J62)</f>
        <v>27</v>
      </c>
      <c r="L62" s="472">
        <v>266002.64</v>
      </c>
      <c r="M62" s="13"/>
      <c r="N62" s="13"/>
      <c r="O62" s="13"/>
      <c r="P62" s="13"/>
      <c r="Q62" s="13"/>
      <c r="R62" s="13"/>
      <c r="S62" s="13"/>
      <c r="T62" s="13"/>
      <c r="U62" s="13"/>
      <c r="V62" s="13"/>
      <c r="W62" s="16"/>
      <c r="AA62" s="68"/>
      <c r="AB62" s="68"/>
    </row>
    <row r="63" spans="1:28" hidden="1">
      <c r="A63" s="703"/>
      <c r="B63" s="13"/>
      <c r="C63" s="13"/>
      <c r="D63" s="13"/>
      <c r="E63" s="13"/>
      <c r="F63" s="13"/>
      <c r="G63" s="13"/>
      <c r="H63" s="13"/>
      <c r="I63" s="13"/>
      <c r="J63" s="13"/>
      <c r="K63" s="13"/>
      <c r="L63" s="472"/>
      <c r="M63" s="13"/>
      <c r="N63" s="13"/>
      <c r="O63" s="13"/>
      <c r="P63" s="13"/>
      <c r="Q63" s="13"/>
      <c r="R63" s="13"/>
      <c r="S63" s="13"/>
      <c r="T63" s="13"/>
      <c r="U63" s="13"/>
      <c r="V63" s="13"/>
      <c r="W63" s="16"/>
      <c r="AA63" s="68"/>
      <c r="AB63" s="68"/>
    </row>
    <row r="64" spans="1:28" hidden="1">
      <c r="A64" s="705" t="s">
        <v>6900</v>
      </c>
      <c r="B64" s="484"/>
      <c r="C64" s="484"/>
      <c r="D64" s="484"/>
      <c r="E64" s="484"/>
      <c r="F64" s="484"/>
      <c r="G64" s="484"/>
      <c r="H64" s="484"/>
      <c r="I64" s="484"/>
      <c r="J64" s="484"/>
      <c r="K64" s="484"/>
      <c r="L64" s="485"/>
      <c r="M64" s="484"/>
      <c r="N64" s="484"/>
      <c r="O64" s="484"/>
      <c r="P64" s="484"/>
      <c r="Q64" s="484"/>
      <c r="R64" s="484"/>
      <c r="S64" s="484"/>
      <c r="T64" s="484"/>
      <c r="U64" s="484"/>
      <c r="V64" s="484"/>
      <c r="W64" s="483"/>
      <c r="AA64" s="68"/>
      <c r="AB64" s="68"/>
    </row>
    <row r="65" spans="1:28" hidden="1">
      <c r="A65" s="703" t="s">
        <v>6900</v>
      </c>
      <c r="B65" s="13"/>
      <c r="C65" s="13"/>
      <c r="D65" s="13"/>
      <c r="E65" s="13"/>
      <c r="F65" s="13"/>
      <c r="G65" s="13"/>
      <c r="H65" s="13"/>
      <c r="I65" s="13"/>
      <c r="J65" s="13"/>
      <c r="K65" s="13"/>
      <c r="L65" s="472"/>
      <c r="M65" s="13"/>
      <c r="N65" s="13"/>
      <c r="O65" s="13"/>
      <c r="P65" s="13"/>
      <c r="Q65" s="13"/>
      <c r="R65" s="13"/>
      <c r="S65" s="13"/>
      <c r="T65" s="13"/>
      <c r="U65" s="13"/>
      <c r="V65" s="13"/>
      <c r="W65" s="16"/>
      <c r="AA65" s="68"/>
      <c r="AB65" s="68"/>
    </row>
    <row r="66" spans="1:28" hidden="1">
      <c r="A66" s="703"/>
      <c r="B66" s="13"/>
      <c r="C66" s="13"/>
      <c r="D66" s="13"/>
      <c r="E66" s="13"/>
      <c r="F66" s="13"/>
      <c r="G66" s="13"/>
      <c r="H66" s="13"/>
      <c r="I66" s="13"/>
      <c r="J66" s="13"/>
      <c r="K66" s="13"/>
      <c r="L66" s="472"/>
      <c r="M66" s="13"/>
      <c r="N66" s="13"/>
      <c r="O66" s="13"/>
      <c r="P66" s="13"/>
      <c r="Q66" s="13"/>
      <c r="R66" s="13"/>
      <c r="S66" s="13"/>
      <c r="T66" s="13"/>
      <c r="U66" s="13"/>
      <c r="V66" s="13"/>
      <c r="W66" s="16"/>
      <c r="AA66" s="68"/>
      <c r="AB66" s="68"/>
    </row>
    <row r="67" spans="1:28" hidden="1">
      <c r="A67" s="705" t="s">
        <v>6899</v>
      </c>
      <c r="B67" s="484"/>
      <c r="C67" s="484"/>
      <c r="D67" s="484"/>
      <c r="E67" s="484"/>
      <c r="F67" s="484"/>
      <c r="G67" s="484"/>
      <c r="H67" s="484"/>
      <c r="I67" s="484"/>
      <c r="J67" s="484"/>
      <c r="K67" s="484"/>
      <c r="L67" s="485"/>
      <c r="M67" s="484"/>
      <c r="N67" s="484"/>
      <c r="O67" s="484"/>
      <c r="P67" s="484"/>
      <c r="Q67" s="484"/>
      <c r="R67" s="484"/>
      <c r="S67" s="484"/>
      <c r="T67" s="484"/>
      <c r="U67" s="484"/>
      <c r="V67" s="484"/>
      <c r="W67" s="483"/>
      <c r="AA67" s="68"/>
      <c r="AB67" s="68"/>
    </row>
    <row r="68" spans="1:28" ht="24" hidden="1">
      <c r="A68" s="703" t="s">
        <v>6898</v>
      </c>
      <c r="B68" s="13"/>
      <c r="C68" s="13"/>
      <c r="D68" s="13"/>
      <c r="E68" s="13"/>
      <c r="F68" s="13"/>
      <c r="G68" s="13"/>
      <c r="H68" s="13"/>
      <c r="I68" s="13"/>
      <c r="J68" s="13"/>
      <c r="K68" s="13"/>
      <c r="L68" s="472"/>
      <c r="M68" s="13"/>
      <c r="N68" s="13"/>
      <c r="O68" s="13"/>
      <c r="P68" s="13"/>
      <c r="Q68" s="13"/>
      <c r="R68" s="13"/>
      <c r="S68" s="13"/>
      <c r="T68" s="13"/>
      <c r="U68" s="13"/>
      <c r="V68" s="13"/>
      <c r="W68" s="16"/>
      <c r="AA68" s="68"/>
      <c r="AB68" s="68"/>
    </row>
    <row r="69" spans="1:28" hidden="1">
      <c r="A69" s="703" t="s">
        <v>6897</v>
      </c>
      <c r="B69" s="13"/>
      <c r="C69" s="13"/>
      <c r="D69" s="13"/>
      <c r="E69" s="13"/>
      <c r="F69" s="13"/>
      <c r="G69" s="13"/>
      <c r="H69" s="13"/>
      <c r="I69" s="13"/>
      <c r="J69" s="13"/>
      <c r="K69" s="13"/>
      <c r="L69" s="472"/>
      <c r="M69" s="13"/>
      <c r="N69" s="13"/>
      <c r="O69" s="13"/>
      <c r="P69" s="13"/>
      <c r="Q69" s="13"/>
      <c r="R69" s="13"/>
      <c r="S69" s="13"/>
      <c r="T69" s="13"/>
      <c r="U69" s="13"/>
      <c r="V69" s="13"/>
      <c r="W69" s="16"/>
      <c r="AA69" s="68"/>
      <c r="AB69" s="68"/>
    </row>
    <row r="70" spans="1:28" hidden="1">
      <c r="A70" s="703" t="s">
        <v>6896</v>
      </c>
      <c r="B70" s="13"/>
      <c r="C70" s="13"/>
      <c r="D70" s="13"/>
      <c r="E70" s="13"/>
      <c r="F70" s="13"/>
      <c r="G70" s="13"/>
      <c r="H70" s="13"/>
      <c r="I70" s="13"/>
      <c r="J70" s="13"/>
      <c r="K70" s="13"/>
      <c r="L70" s="472"/>
      <c r="M70" s="13"/>
      <c r="N70" s="13"/>
      <c r="O70" s="13"/>
      <c r="P70" s="13"/>
      <c r="Q70" s="13"/>
      <c r="R70" s="13"/>
      <c r="S70" s="13"/>
      <c r="T70" s="13"/>
      <c r="U70" s="13"/>
      <c r="V70" s="13"/>
      <c r="W70" s="16"/>
      <c r="AA70" s="68"/>
      <c r="AB70" s="68"/>
    </row>
    <row r="71" spans="1:28" hidden="1">
      <c r="A71" s="703" t="s">
        <v>6895</v>
      </c>
      <c r="B71" s="13"/>
      <c r="C71" s="13"/>
      <c r="D71" s="13"/>
      <c r="E71" s="13"/>
      <c r="F71" s="13"/>
      <c r="G71" s="13"/>
      <c r="H71" s="13"/>
      <c r="I71" s="13"/>
      <c r="J71" s="13"/>
      <c r="K71" s="13"/>
      <c r="L71" s="472"/>
      <c r="M71" s="13"/>
      <c r="N71" s="13"/>
      <c r="O71" s="13"/>
      <c r="P71" s="13"/>
      <c r="Q71" s="13"/>
      <c r="R71" s="13"/>
      <c r="S71" s="13"/>
      <c r="T71" s="13"/>
      <c r="U71" s="13"/>
      <c r="V71" s="13"/>
      <c r="W71" s="16"/>
      <c r="AA71" s="68"/>
      <c r="AB71" s="68"/>
    </row>
    <row r="72" spans="1:28" hidden="1">
      <c r="A72" s="703"/>
      <c r="B72" s="13"/>
      <c r="C72" s="13"/>
      <c r="D72" s="13"/>
      <c r="E72" s="13"/>
      <c r="F72" s="13"/>
      <c r="G72" s="13"/>
      <c r="H72" s="13"/>
      <c r="I72" s="13"/>
      <c r="J72" s="13"/>
      <c r="K72" s="13"/>
      <c r="L72" s="472"/>
      <c r="M72" s="13"/>
      <c r="N72" s="13"/>
      <c r="O72" s="13"/>
      <c r="P72" s="13"/>
      <c r="Q72" s="13"/>
      <c r="R72" s="13"/>
      <c r="S72" s="13"/>
      <c r="T72" s="13"/>
      <c r="U72" s="13"/>
      <c r="V72" s="13"/>
      <c r="W72" s="16"/>
      <c r="AA72" s="68"/>
      <c r="AB72" s="68"/>
    </row>
    <row r="73" spans="1:28">
      <c r="A73" s="704" t="s">
        <v>6894</v>
      </c>
      <c r="B73" s="482"/>
      <c r="C73" s="482"/>
      <c r="D73" s="482"/>
      <c r="E73" s="482"/>
      <c r="F73" s="482"/>
      <c r="G73" s="482"/>
      <c r="H73" s="482"/>
      <c r="I73" s="482"/>
      <c r="J73" s="482">
        <f>SUM(J74:J77)</f>
        <v>0</v>
      </c>
      <c r="K73" s="482">
        <f>SUM(K74:K77)</f>
        <v>0</v>
      </c>
      <c r="L73" s="479">
        <f>SUM(L74:L79)</f>
        <v>23590</v>
      </c>
      <c r="M73" s="478"/>
      <c r="N73" s="482"/>
      <c r="O73" s="482"/>
      <c r="P73" s="482"/>
      <c r="Q73" s="482"/>
      <c r="R73" s="482"/>
      <c r="S73" s="482"/>
      <c r="T73" s="482"/>
      <c r="U73" s="482"/>
      <c r="V73" s="482"/>
      <c r="W73" s="528">
        <f>SUM(W74:W79)</f>
        <v>0</v>
      </c>
      <c r="AA73" s="68"/>
      <c r="AB73" s="68"/>
    </row>
    <row r="74" spans="1:28" ht="24" hidden="1">
      <c r="A74" s="703" t="s">
        <v>6893</v>
      </c>
      <c r="B74" s="13"/>
      <c r="C74" s="13"/>
      <c r="D74" s="13"/>
      <c r="E74" s="13"/>
      <c r="F74" s="13"/>
      <c r="G74" s="13"/>
      <c r="H74" s="13"/>
      <c r="I74" s="13"/>
      <c r="J74" s="13"/>
      <c r="K74" s="13"/>
      <c r="L74" s="529"/>
      <c r="M74" s="503"/>
      <c r="N74" s="13"/>
      <c r="O74" s="13"/>
      <c r="P74" s="13"/>
      <c r="Q74" s="13"/>
      <c r="R74" s="13"/>
      <c r="S74" s="13"/>
      <c r="T74" s="13"/>
      <c r="U74" s="13"/>
      <c r="V74" s="13"/>
      <c r="W74" s="16"/>
      <c r="AA74" s="68"/>
      <c r="AB74" s="68"/>
    </row>
    <row r="75" spans="1:28" ht="24">
      <c r="A75" s="703" t="s">
        <v>6892</v>
      </c>
      <c r="B75" s="13"/>
      <c r="C75" s="13"/>
      <c r="D75" s="13"/>
      <c r="E75" s="13"/>
      <c r="F75" s="13"/>
      <c r="G75" s="13"/>
      <c r="H75" s="13"/>
      <c r="I75" s="13"/>
      <c r="J75" s="13"/>
      <c r="K75" s="13"/>
      <c r="L75" s="529">
        <v>17015</v>
      </c>
      <c r="M75" s="503"/>
      <c r="N75" s="13"/>
      <c r="O75" s="13"/>
      <c r="P75" s="13"/>
      <c r="Q75" s="13"/>
      <c r="R75" s="13"/>
      <c r="S75" s="13"/>
      <c r="T75" s="13"/>
      <c r="U75" s="13"/>
      <c r="V75" s="13"/>
      <c r="W75" s="16"/>
      <c r="AA75" s="68"/>
      <c r="AB75" s="68"/>
    </row>
    <row r="76" spans="1:28" ht="24" hidden="1">
      <c r="A76" s="703" t="s">
        <v>6891</v>
      </c>
      <c r="B76" s="13"/>
      <c r="C76" s="13"/>
      <c r="D76" s="13"/>
      <c r="E76" s="13"/>
      <c r="F76" s="13"/>
      <c r="G76" s="13"/>
      <c r="H76" s="13"/>
      <c r="I76" s="13"/>
      <c r="J76" s="13"/>
      <c r="K76" s="13"/>
      <c r="L76" s="472"/>
      <c r="M76" s="13"/>
      <c r="N76" s="13"/>
      <c r="O76" s="13"/>
      <c r="P76" s="13"/>
      <c r="Q76" s="13"/>
      <c r="R76" s="13"/>
      <c r="S76" s="13"/>
      <c r="T76" s="13"/>
      <c r="U76" s="13"/>
      <c r="V76" s="13"/>
      <c r="W76" s="16"/>
      <c r="AA76" s="68"/>
      <c r="AB76" s="68"/>
    </row>
    <row r="77" spans="1:28" hidden="1">
      <c r="A77" s="703" t="s">
        <v>6890</v>
      </c>
      <c r="B77" s="13"/>
      <c r="C77" s="13"/>
      <c r="D77" s="13"/>
      <c r="E77" s="13"/>
      <c r="F77" s="13"/>
      <c r="G77" s="13"/>
      <c r="H77" s="13"/>
      <c r="I77" s="13"/>
      <c r="J77" s="13"/>
      <c r="K77" s="13"/>
      <c r="L77" s="472"/>
      <c r="M77" s="13"/>
      <c r="N77" s="13"/>
      <c r="O77" s="13"/>
      <c r="P77" s="13"/>
      <c r="Q77" s="13"/>
      <c r="R77" s="13"/>
      <c r="S77" s="13"/>
      <c r="T77" s="13"/>
      <c r="U77" s="13"/>
      <c r="V77" s="13"/>
      <c r="W77" s="16"/>
      <c r="AA77" s="68"/>
      <c r="AB77" s="68"/>
    </row>
    <row r="78" spans="1:28" ht="24.75" thickBot="1">
      <c r="A78" s="703" t="s">
        <v>6889</v>
      </c>
      <c r="B78" s="13"/>
      <c r="C78" s="13"/>
      <c r="D78" s="13"/>
      <c r="E78" s="13"/>
      <c r="F78" s="13"/>
      <c r="G78" s="13"/>
      <c r="H78" s="13"/>
      <c r="I78" s="13"/>
      <c r="J78" s="13"/>
      <c r="K78" s="13"/>
      <c r="L78" s="472">
        <v>6575</v>
      </c>
      <c r="M78" s="13"/>
      <c r="N78" s="13"/>
      <c r="O78" s="13"/>
      <c r="P78" s="13"/>
      <c r="Q78" s="13"/>
      <c r="R78" s="13"/>
      <c r="S78" s="13"/>
      <c r="T78" s="13"/>
      <c r="U78" s="13"/>
      <c r="V78" s="13"/>
      <c r="W78" s="472"/>
      <c r="AA78" s="68"/>
      <c r="AB78" s="68"/>
    </row>
    <row r="79" spans="1:28" hidden="1">
      <c r="A79" s="15" t="s">
        <v>6888</v>
      </c>
      <c r="B79" s="13"/>
      <c r="C79" s="13"/>
      <c r="D79" s="13"/>
      <c r="E79" s="13"/>
      <c r="F79" s="13"/>
      <c r="G79" s="13"/>
      <c r="H79" s="13"/>
      <c r="I79" s="13"/>
      <c r="J79" s="13"/>
      <c r="K79" s="13"/>
      <c r="L79" s="472"/>
      <c r="M79" s="13"/>
      <c r="N79" s="13"/>
      <c r="O79" s="13"/>
      <c r="P79" s="13"/>
      <c r="Q79" s="13"/>
      <c r="R79" s="13"/>
      <c r="S79" s="13"/>
      <c r="T79" s="13"/>
      <c r="U79" s="13"/>
      <c r="V79" s="13"/>
      <c r="W79" s="16"/>
      <c r="AA79" s="68"/>
      <c r="AB79" s="68"/>
    </row>
    <row r="80" spans="1:28" hidden="1">
      <c r="A80" s="481" t="s">
        <v>6887</v>
      </c>
      <c r="B80" s="477"/>
      <c r="C80" s="477"/>
      <c r="D80" s="477"/>
      <c r="E80" s="477"/>
      <c r="F80" s="477"/>
      <c r="G80" s="477"/>
      <c r="H80" s="477"/>
      <c r="I80" s="477"/>
      <c r="J80" s="480">
        <f>SUM(J81:J85)</f>
        <v>0</v>
      </c>
      <c r="K80" s="477"/>
      <c r="L80" s="528">
        <f>SUM(L81:L83)</f>
        <v>0</v>
      </c>
      <c r="M80" s="477"/>
      <c r="N80" s="477"/>
      <c r="O80" s="477"/>
      <c r="P80" s="477"/>
      <c r="Q80" s="477"/>
      <c r="R80" s="477"/>
      <c r="S80" s="477"/>
      <c r="T80" s="477"/>
      <c r="U80" s="477"/>
      <c r="V80" s="477"/>
      <c r="W80" s="528">
        <f>SUM(W81:W83)</f>
        <v>0</v>
      </c>
      <c r="AA80" s="68"/>
      <c r="AB80" s="68"/>
    </row>
    <row r="81" spans="1:28" hidden="1">
      <c r="A81" s="15" t="s">
        <v>6886</v>
      </c>
      <c r="B81" s="13"/>
      <c r="C81" s="13"/>
      <c r="D81" s="13"/>
      <c r="E81" s="13"/>
      <c r="F81" s="13"/>
      <c r="G81" s="13"/>
      <c r="H81" s="13"/>
      <c r="I81" s="13"/>
      <c r="J81" s="13"/>
      <c r="K81" s="13"/>
      <c r="L81" s="472"/>
      <c r="M81" s="13"/>
      <c r="N81" s="13"/>
      <c r="O81" s="13"/>
      <c r="P81" s="13"/>
      <c r="Q81" s="13"/>
      <c r="R81" s="13"/>
      <c r="S81" s="13"/>
      <c r="T81" s="13"/>
      <c r="U81" s="13"/>
      <c r="V81" s="13"/>
      <c r="W81" s="16"/>
      <c r="AA81" s="68"/>
      <c r="AB81" s="68"/>
    </row>
    <row r="82" spans="1:28" hidden="1">
      <c r="A82" s="15" t="s">
        <v>6885</v>
      </c>
      <c r="B82" s="13"/>
      <c r="C82" s="13"/>
      <c r="D82" s="13"/>
      <c r="E82" s="13"/>
      <c r="F82" s="13"/>
      <c r="G82" s="13"/>
      <c r="H82" s="13"/>
      <c r="I82" s="13"/>
      <c r="J82" s="13"/>
      <c r="K82" s="13"/>
      <c r="L82" s="472"/>
      <c r="M82" s="13"/>
      <c r="N82" s="13"/>
      <c r="O82" s="13"/>
      <c r="P82" s="13"/>
      <c r="Q82" s="13"/>
      <c r="R82" s="13"/>
      <c r="S82" s="13"/>
      <c r="T82" s="13"/>
      <c r="U82" s="13"/>
      <c r="V82" s="13"/>
      <c r="W82" s="16"/>
      <c r="AA82" s="68"/>
      <c r="AB82" s="68"/>
    </row>
    <row r="83" spans="1:28" hidden="1">
      <c r="A83" s="15" t="s">
        <v>6884</v>
      </c>
      <c r="B83" s="13"/>
      <c r="C83" s="13"/>
      <c r="D83" s="13"/>
      <c r="E83" s="13"/>
      <c r="F83" s="13"/>
      <c r="G83" s="13"/>
      <c r="H83" s="13"/>
      <c r="I83" s="13"/>
      <c r="J83" s="13"/>
      <c r="K83" s="13"/>
      <c r="L83" s="472"/>
      <c r="M83" s="13"/>
      <c r="N83" s="13"/>
      <c r="O83" s="13"/>
      <c r="P83" s="13"/>
      <c r="Q83" s="13"/>
      <c r="R83" s="13"/>
      <c r="S83" s="13"/>
      <c r="T83" s="13"/>
      <c r="U83" s="13"/>
      <c r="V83" s="13"/>
      <c r="W83" s="16"/>
      <c r="AA83" s="68"/>
      <c r="AB83" s="68"/>
    </row>
    <row r="84" spans="1:28" hidden="1">
      <c r="A84" s="527" t="s">
        <v>6883</v>
      </c>
      <c r="B84" s="493"/>
      <c r="C84" s="493"/>
      <c r="D84" s="493"/>
      <c r="E84" s="493"/>
      <c r="F84" s="493"/>
      <c r="G84" s="493"/>
      <c r="H84" s="493"/>
      <c r="I84" s="493"/>
      <c r="J84" s="493"/>
      <c r="K84" s="493"/>
      <c r="L84" s="492">
        <f>L85</f>
        <v>0</v>
      </c>
      <c r="M84" s="493"/>
      <c r="N84" s="493"/>
      <c r="O84" s="493"/>
      <c r="P84" s="493"/>
      <c r="Q84" s="493"/>
      <c r="R84" s="493"/>
      <c r="S84" s="493"/>
      <c r="T84" s="493"/>
      <c r="U84" s="493"/>
      <c r="V84" s="493">
        <f>SUM(M84:U84)</f>
        <v>0</v>
      </c>
      <c r="W84" s="492">
        <f>W85</f>
        <v>0</v>
      </c>
      <c r="AA84" s="68"/>
      <c r="AB84" s="68"/>
    </row>
    <row r="85" spans="1:28" ht="13.5" hidden="1" thickBot="1">
      <c r="A85" s="15" t="s">
        <v>6882</v>
      </c>
      <c r="B85" s="13"/>
      <c r="C85" s="13"/>
      <c r="D85" s="13"/>
      <c r="E85" s="13"/>
      <c r="F85" s="13"/>
      <c r="G85" s="13"/>
      <c r="H85" s="13"/>
      <c r="I85" s="13"/>
      <c r="J85" s="13"/>
      <c r="K85" s="13"/>
      <c r="L85" s="472"/>
      <c r="M85" s="13"/>
      <c r="N85" s="13"/>
      <c r="O85" s="13"/>
      <c r="P85" s="13"/>
      <c r="Q85" s="13"/>
      <c r="R85" s="13"/>
      <c r="S85" s="13"/>
      <c r="T85" s="13"/>
      <c r="U85" s="13"/>
      <c r="V85" s="13"/>
      <c r="W85" s="472"/>
      <c r="AA85" s="68"/>
      <c r="AB85" s="68"/>
    </row>
    <row r="86" spans="1:28" ht="13.5" thickBot="1">
      <c r="A86" s="17" t="s">
        <v>23</v>
      </c>
      <c r="B86" s="471">
        <f>B10+B50+B73+B80+B84+B61</f>
        <v>70</v>
      </c>
      <c r="C86" s="470">
        <f t="shared" ref="C86:J86" si="13">C10+C50+C73+C80+C84</f>
        <v>0</v>
      </c>
      <c r="D86" s="470">
        <f t="shared" si="13"/>
        <v>58</v>
      </c>
      <c r="E86" s="470">
        <f t="shared" si="13"/>
        <v>0</v>
      </c>
      <c r="F86" s="470">
        <f t="shared" si="13"/>
        <v>0</v>
      </c>
      <c r="G86" s="470">
        <f t="shared" si="13"/>
        <v>0</v>
      </c>
      <c r="H86" s="470">
        <f t="shared" si="13"/>
        <v>0</v>
      </c>
      <c r="I86" s="470">
        <f t="shared" si="13"/>
        <v>0</v>
      </c>
      <c r="J86" s="470">
        <f t="shared" si="13"/>
        <v>0</v>
      </c>
      <c r="K86" s="470">
        <f>K10+K50+K73+K80+K84+K61</f>
        <v>128</v>
      </c>
      <c r="L86" s="469">
        <f>L10+L50+L73+L80+L84+L61</f>
        <v>5306653</v>
      </c>
      <c r="M86" s="471">
        <f t="shared" ref="M86:W86" si="14">M10+M50+M73+M80+M84</f>
        <v>43</v>
      </c>
      <c r="N86" s="470">
        <f t="shared" si="14"/>
        <v>0</v>
      </c>
      <c r="O86" s="470">
        <f t="shared" si="14"/>
        <v>58</v>
      </c>
      <c r="P86" s="470">
        <f t="shared" si="14"/>
        <v>0</v>
      </c>
      <c r="Q86" s="470">
        <f t="shared" si="14"/>
        <v>0</v>
      </c>
      <c r="R86" s="470">
        <f t="shared" si="14"/>
        <v>0</v>
      </c>
      <c r="S86" s="470">
        <f t="shared" si="14"/>
        <v>0</v>
      </c>
      <c r="T86" s="470">
        <f t="shared" si="14"/>
        <v>0</v>
      </c>
      <c r="U86" s="470">
        <f t="shared" si="14"/>
        <v>0</v>
      </c>
      <c r="V86" s="470">
        <f t="shared" si="14"/>
        <v>101</v>
      </c>
      <c r="W86" s="469">
        <f t="shared" si="14"/>
        <v>3979416.16</v>
      </c>
      <c r="X86" s="55"/>
      <c r="AA86" s="68"/>
      <c r="AB86" s="68"/>
    </row>
    <row r="87" spans="1:28" s="712" customFormat="1" ht="6">
      <c r="A87" s="2007"/>
      <c r="B87" s="2008"/>
      <c r="C87" s="2008"/>
      <c r="D87" s="2008"/>
      <c r="E87" s="2008"/>
      <c r="F87" s="2008"/>
      <c r="G87" s="2008"/>
      <c r="H87" s="2008"/>
      <c r="I87" s="2008"/>
      <c r="J87" s="2008"/>
      <c r="K87" s="2008"/>
      <c r="L87" s="2008"/>
      <c r="M87" s="2008"/>
      <c r="N87" s="2008"/>
      <c r="O87" s="2008"/>
      <c r="P87" s="2008"/>
      <c r="Q87" s="2008"/>
      <c r="R87" s="2008"/>
      <c r="S87" s="2008"/>
      <c r="T87" s="2008"/>
      <c r="U87" s="2008"/>
      <c r="V87" s="2008"/>
      <c r="W87" s="2009"/>
      <c r="X87" s="711"/>
    </row>
    <row r="88" spans="1:28" ht="15">
      <c r="A88" s="2004" t="s">
        <v>7178</v>
      </c>
      <c r="B88" s="2005"/>
      <c r="C88" s="2005"/>
      <c r="D88" s="2005"/>
      <c r="E88" s="2005"/>
      <c r="F88" s="2005"/>
      <c r="G88" s="2005"/>
      <c r="H88" s="2005"/>
      <c r="I88" s="2005"/>
      <c r="J88" s="2005"/>
      <c r="K88" s="2005"/>
      <c r="L88" s="2005"/>
      <c r="M88" s="2005"/>
      <c r="N88" s="2005"/>
      <c r="O88" s="2005"/>
      <c r="P88" s="2005"/>
      <c r="Q88" s="2005"/>
      <c r="R88" s="2005"/>
      <c r="S88" s="2005"/>
      <c r="T88" s="2005"/>
      <c r="U88" s="2005"/>
      <c r="V88" s="2005"/>
      <c r="W88" s="2006"/>
      <c r="Y88" s="68"/>
      <c r="Z88" s="68"/>
      <c r="AA88" s="68"/>
      <c r="AB88" s="68"/>
    </row>
    <row r="89" spans="1:28" s="710" customFormat="1" ht="8.25">
      <c r="A89" s="2010"/>
      <c r="B89" s="2011"/>
      <c r="C89" s="2011"/>
      <c r="D89" s="2011"/>
      <c r="E89" s="2011"/>
      <c r="F89" s="2011"/>
      <c r="G89" s="2011"/>
      <c r="H89" s="2011"/>
      <c r="I89" s="2011"/>
      <c r="J89" s="2011"/>
      <c r="K89" s="2011"/>
      <c r="L89" s="2011"/>
      <c r="M89" s="2011"/>
      <c r="N89" s="2011"/>
      <c r="O89" s="2011"/>
      <c r="P89" s="2011"/>
      <c r="Q89" s="2011"/>
      <c r="R89" s="2011"/>
      <c r="S89" s="2011"/>
      <c r="T89" s="2011"/>
      <c r="U89" s="2011"/>
      <c r="V89" s="2011"/>
      <c r="W89" s="2012"/>
      <c r="X89" s="709"/>
    </row>
    <row r="90" spans="1:28" ht="24">
      <c r="A90" s="708" t="s">
        <v>6909</v>
      </c>
      <c r="B90" s="482"/>
      <c r="C90" s="482"/>
      <c r="D90" s="482">
        <f t="shared" ref="D90:W90" si="15">SUM(D91:D93)</f>
        <v>2</v>
      </c>
      <c r="E90" s="482">
        <f t="shared" si="15"/>
        <v>0</v>
      </c>
      <c r="F90" s="482">
        <f t="shared" si="15"/>
        <v>0</v>
      </c>
      <c r="G90" s="482">
        <f t="shared" si="15"/>
        <v>0</v>
      </c>
      <c r="H90" s="482">
        <f t="shared" si="15"/>
        <v>0</v>
      </c>
      <c r="I90" s="482">
        <f t="shared" si="15"/>
        <v>0</v>
      </c>
      <c r="J90" s="482">
        <f t="shared" si="15"/>
        <v>0</v>
      </c>
      <c r="K90" s="482">
        <f t="shared" si="15"/>
        <v>2</v>
      </c>
      <c r="L90" s="474">
        <f t="shared" si="15"/>
        <v>99917</v>
      </c>
      <c r="M90" s="482">
        <f t="shared" si="15"/>
        <v>0</v>
      </c>
      <c r="N90" s="482">
        <f t="shared" si="15"/>
        <v>0</v>
      </c>
      <c r="O90" s="482">
        <f t="shared" si="15"/>
        <v>2</v>
      </c>
      <c r="P90" s="482">
        <f t="shared" si="15"/>
        <v>0</v>
      </c>
      <c r="Q90" s="482">
        <f t="shared" si="15"/>
        <v>0</v>
      </c>
      <c r="R90" s="482">
        <f t="shared" si="15"/>
        <v>0</v>
      </c>
      <c r="S90" s="482">
        <f t="shared" si="15"/>
        <v>0</v>
      </c>
      <c r="T90" s="482">
        <f t="shared" si="15"/>
        <v>0</v>
      </c>
      <c r="U90" s="482">
        <f t="shared" si="15"/>
        <v>0</v>
      </c>
      <c r="V90" s="482">
        <f t="shared" si="15"/>
        <v>2</v>
      </c>
      <c r="W90" s="474">
        <f t="shared" si="15"/>
        <v>84928</v>
      </c>
      <c r="Y90" s="490"/>
      <c r="AA90" s="68"/>
      <c r="AB90" s="68"/>
    </row>
    <row r="91" spans="1:28" ht="24">
      <c r="A91" s="703" t="s">
        <v>6908</v>
      </c>
      <c r="B91" s="13"/>
      <c r="C91" s="13"/>
      <c r="D91" s="13">
        <v>2</v>
      </c>
      <c r="E91" s="13"/>
      <c r="F91" s="13"/>
      <c r="G91" s="13"/>
      <c r="H91" s="13"/>
      <c r="I91" s="13"/>
      <c r="J91" s="13"/>
      <c r="K91" s="13">
        <f>SUM(B91:J91)</f>
        <v>2</v>
      </c>
      <c r="L91" s="472">
        <v>99917</v>
      </c>
      <c r="M91" s="13"/>
      <c r="N91" s="13"/>
      <c r="O91" s="13">
        <v>2</v>
      </c>
      <c r="P91" s="13"/>
      <c r="Q91" s="13"/>
      <c r="R91" s="13"/>
      <c r="S91" s="13"/>
      <c r="T91" s="13"/>
      <c r="U91" s="13"/>
      <c r="V91" s="13">
        <f>SUM(M91:U91)</f>
        <v>2</v>
      </c>
      <c r="W91" s="472">
        <v>84928</v>
      </c>
      <c r="Y91" s="489"/>
      <c r="AA91" s="68"/>
      <c r="AB91" s="68"/>
    </row>
    <row r="92" spans="1:28" ht="24" hidden="1">
      <c r="A92" s="703" t="s">
        <v>6907</v>
      </c>
      <c r="B92" s="13"/>
      <c r="C92" s="13"/>
      <c r="D92" s="13"/>
      <c r="E92" s="13"/>
      <c r="F92" s="13"/>
      <c r="G92" s="13"/>
      <c r="H92" s="13"/>
      <c r="I92" s="13"/>
      <c r="J92" s="13"/>
      <c r="K92" s="13"/>
      <c r="L92" s="472"/>
      <c r="M92" s="13"/>
      <c r="N92" s="13"/>
      <c r="O92" s="13"/>
      <c r="P92" s="13"/>
      <c r="Q92" s="13"/>
      <c r="R92" s="13"/>
      <c r="S92" s="13"/>
      <c r="T92" s="13"/>
      <c r="U92" s="13"/>
      <c r="V92" s="13"/>
      <c r="W92" s="472"/>
      <c r="Y92" s="489"/>
      <c r="AA92" s="68"/>
      <c r="AB92" s="68"/>
    </row>
    <row r="93" spans="1:28" ht="24" hidden="1">
      <c r="A93" s="703" t="s">
        <v>6906</v>
      </c>
      <c r="B93" s="13"/>
      <c r="C93" s="13"/>
      <c r="D93" s="13"/>
      <c r="E93" s="13"/>
      <c r="F93" s="13"/>
      <c r="G93" s="13"/>
      <c r="H93" s="13"/>
      <c r="I93" s="13"/>
      <c r="J93" s="13"/>
      <c r="K93" s="13"/>
      <c r="L93" s="472"/>
      <c r="M93" s="13"/>
      <c r="N93" s="13"/>
      <c r="O93" s="13"/>
      <c r="P93" s="13"/>
      <c r="Q93" s="13"/>
      <c r="R93" s="13"/>
      <c r="S93" s="13"/>
      <c r="T93" s="13"/>
      <c r="U93" s="13"/>
      <c r="V93" s="13"/>
      <c r="W93" s="472"/>
      <c r="Y93" s="489"/>
      <c r="AA93" s="68"/>
      <c r="AB93" s="68"/>
    </row>
    <row r="94" spans="1:28" hidden="1">
      <c r="A94" s="703"/>
      <c r="B94" s="13"/>
      <c r="C94" s="13"/>
      <c r="D94" s="13"/>
      <c r="E94" s="13"/>
      <c r="F94" s="13"/>
      <c r="G94" s="13"/>
      <c r="H94" s="13"/>
      <c r="I94" s="13"/>
      <c r="J94" s="13"/>
      <c r="K94" s="13"/>
      <c r="L94" s="472"/>
      <c r="M94" s="13"/>
      <c r="N94" s="13"/>
      <c r="O94" s="13"/>
      <c r="P94" s="13"/>
      <c r="Q94" s="13"/>
      <c r="R94" s="13"/>
      <c r="S94" s="13"/>
      <c r="T94" s="13"/>
      <c r="U94" s="13"/>
      <c r="V94" s="13"/>
      <c r="W94" s="472"/>
      <c r="Z94" s="531"/>
      <c r="AA94" s="68"/>
      <c r="AB94" s="68"/>
    </row>
    <row r="95" spans="1:28" hidden="1">
      <c r="A95" s="703"/>
      <c r="B95" s="13"/>
      <c r="C95" s="13"/>
      <c r="D95" s="13"/>
      <c r="E95" s="13"/>
      <c r="F95" s="13"/>
      <c r="G95" s="13"/>
      <c r="H95" s="13"/>
      <c r="I95" s="13"/>
      <c r="J95" s="13"/>
      <c r="K95" s="13"/>
      <c r="L95" s="472"/>
      <c r="M95" s="13"/>
      <c r="N95" s="13"/>
      <c r="O95" s="13"/>
      <c r="P95" s="13"/>
      <c r="Q95" s="13"/>
      <c r="R95" s="13"/>
      <c r="S95" s="13"/>
      <c r="T95" s="13"/>
      <c r="U95" s="13"/>
      <c r="V95" s="13"/>
      <c r="W95" s="16"/>
      <c r="AA95" s="68"/>
      <c r="AB95" s="68"/>
    </row>
    <row r="96" spans="1:28">
      <c r="A96" s="704" t="s">
        <v>6894</v>
      </c>
      <c r="B96" s="482"/>
      <c r="C96" s="482"/>
      <c r="D96" s="482"/>
      <c r="E96" s="482"/>
      <c r="F96" s="482"/>
      <c r="G96" s="482"/>
      <c r="H96" s="482"/>
      <c r="I96" s="482"/>
      <c r="J96" s="482">
        <f>SUM(J97:J100)</f>
        <v>0</v>
      </c>
      <c r="K96" s="482">
        <f>SUM(K97:K100)</f>
        <v>0</v>
      </c>
      <c r="L96" s="480">
        <f>SUM(L97:L102)</f>
        <v>10841248</v>
      </c>
      <c r="M96" s="535"/>
      <c r="N96" s="534"/>
      <c r="O96" s="534"/>
      <c r="P96" s="534"/>
      <c r="Q96" s="534"/>
      <c r="R96" s="534"/>
      <c r="S96" s="534"/>
      <c r="T96" s="534"/>
      <c r="U96" s="534"/>
      <c r="V96" s="534"/>
      <c r="W96" s="533">
        <f>SUM(W97:W102)</f>
        <v>10841248</v>
      </c>
      <c r="AA96" s="68"/>
      <c r="AB96" s="68"/>
    </row>
    <row r="97" spans="1:28" ht="24" hidden="1">
      <c r="A97" s="703" t="s">
        <v>6893</v>
      </c>
      <c r="B97" s="13"/>
      <c r="C97" s="13"/>
      <c r="D97" s="13"/>
      <c r="E97" s="13"/>
      <c r="F97" s="13"/>
      <c r="G97" s="13"/>
      <c r="H97" s="13"/>
      <c r="I97" s="13"/>
      <c r="J97" s="13"/>
      <c r="K97" s="13"/>
      <c r="L97" s="529"/>
      <c r="M97" s="503"/>
      <c r="N97" s="13"/>
      <c r="O97" s="13"/>
      <c r="P97" s="13"/>
      <c r="Q97" s="13"/>
      <c r="R97" s="13"/>
      <c r="S97" s="13"/>
      <c r="T97" s="13"/>
      <c r="U97" s="13"/>
      <c r="V97" s="13"/>
      <c r="W97" s="16"/>
      <c r="AA97" s="68"/>
      <c r="AB97" s="68"/>
    </row>
    <row r="98" spans="1:28" ht="24" hidden="1">
      <c r="A98" s="703" t="s">
        <v>6892</v>
      </c>
      <c r="B98" s="13"/>
      <c r="C98" s="13"/>
      <c r="D98" s="13"/>
      <c r="E98" s="13"/>
      <c r="F98" s="13"/>
      <c r="G98" s="13"/>
      <c r="H98" s="13"/>
      <c r="I98" s="13"/>
      <c r="J98" s="13"/>
      <c r="K98" s="13"/>
      <c r="L98" s="529"/>
      <c r="M98" s="503"/>
      <c r="N98" s="13"/>
      <c r="O98" s="13"/>
      <c r="P98" s="13"/>
      <c r="Q98" s="13"/>
      <c r="R98" s="13"/>
      <c r="S98" s="13"/>
      <c r="T98" s="13"/>
      <c r="U98" s="13"/>
      <c r="V98" s="13"/>
      <c r="W98" s="16"/>
      <c r="AA98" s="68"/>
      <c r="AB98" s="68"/>
    </row>
    <row r="99" spans="1:28" ht="24" hidden="1">
      <c r="A99" s="703" t="s">
        <v>6891</v>
      </c>
      <c r="B99" s="13"/>
      <c r="C99" s="13"/>
      <c r="D99" s="13"/>
      <c r="E99" s="13"/>
      <c r="F99" s="13"/>
      <c r="G99" s="13"/>
      <c r="H99" s="13"/>
      <c r="I99" s="13"/>
      <c r="J99" s="13"/>
      <c r="K99" s="13"/>
      <c r="L99" s="472"/>
      <c r="M99" s="13"/>
      <c r="N99" s="13"/>
      <c r="O99" s="13"/>
      <c r="P99" s="13"/>
      <c r="Q99" s="13"/>
      <c r="R99" s="13"/>
      <c r="S99" s="13"/>
      <c r="T99" s="13"/>
      <c r="U99" s="13"/>
      <c r="V99" s="13"/>
      <c r="W99" s="16"/>
      <c r="AA99" s="68"/>
      <c r="AB99" s="68"/>
    </row>
    <row r="100" spans="1:28" hidden="1">
      <c r="A100" s="703" t="s">
        <v>6890</v>
      </c>
      <c r="B100" s="13"/>
      <c r="C100" s="13"/>
      <c r="D100" s="13"/>
      <c r="E100" s="13"/>
      <c r="F100" s="13"/>
      <c r="G100" s="13"/>
      <c r="H100" s="13"/>
      <c r="I100" s="13"/>
      <c r="J100" s="13"/>
      <c r="K100" s="13"/>
      <c r="L100" s="472"/>
      <c r="M100" s="13"/>
      <c r="N100" s="13"/>
      <c r="O100" s="13"/>
      <c r="P100" s="13"/>
      <c r="Q100" s="13"/>
      <c r="R100" s="13"/>
      <c r="S100" s="13"/>
      <c r="T100" s="13"/>
      <c r="U100" s="13"/>
      <c r="V100" s="13"/>
      <c r="W100" s="16"/>
      <c r="AA100" s="68"/>
      <c r="AB100" s="68"/>
    </row>
    <row r="101" spans="1:28" ht="24.75" thickBot="1">
      <c r="A101" s="703" t="s">
        <v>6889</v>
      </c>
      <c r="B101" s="13"/>
      <c r="C101" s="13"/>
      <c r="D101" s="13"/>
      <c r="E101" s="13"/>
      <c r="F101" s="13"/>
      <c r="G101" s="13"/>
      <c r="H101" s="13"/>
      <c r="I101" s="13"/>
      <c r="J101" s="13"/>
      <c r="K101" s="13"/>
      <c r="L101" s="472">
        <v>10841248</v>
      </c>
      <c r="M101" s="13"/>
      <c r="N101" s="13"/>
      <c r="O101" s="13"/>
      <c r="P101" s="13"/>
      <c r="Q101" s="13"/>
      <c r="R101" s="13"/>
      <c r="S101" s="13"/>
      <c r="T101" s="13"/>
      <c r="U101" s="13"/>
      <c r="V101" s="13"/>
      <c r="W101" s="472">
        <v>10841248</v>
      </c>
      <c r="AA101" s="68"/>
      <c r="AB101" s="68"/>
    </row>
    <row r="102" spans="1:28" ht="24.75" hidden="1" thickBot="1">
      <c r="A102" s="703" t="s">
        <v>6888</v>
      </c>
      <c r="B102" s="13"/>
      <c r="C102" s="13"/>
      <c r="D102" s="13"/>
      <c r="E102" s="13"/>
      <c r="F102" s="13"/>
      <c r="G102" s="13"/>
      <c r="H102" s="13"/>
      <c r="I102" s="13"/>
      <c r="J102" s="13"/>
      <c r="K102" s="13"/>
      <c r="L102" s="472"/>
      <c r="M102" s="13"/>
      <c r="N102" s="13"/>
      <c r="O102" s="13"/>
      <c r="P102" s="13"/>
      <c r="Q102" s="13"/>
      <c r="R102" s="13"/>
      <c r="S102" s="13"/>
      <c r="T102" s="13"/>
      <c r="U102" s="13"/>
      <c r="V102" s="13"/>
      <c r="W102" s="16"/>
      <c r="AA102" s="68"/>
      <c r="AB102" s="68"/>
    </row>
    <row r="103" spans="1:28" ht="13.5" thickBot="1">
      <c r="A103" s="17" t="s">
        <v>23</v>
      </c>
      <c r="B103" s="471">
        <f t="shared" ref="B103:W103" si="16">B90+B96</f>
        <v>0</v>
      </c>
      <c r="C103" s="470">
        <f t="shared" si="16"/>
        <v>0</v>
      </c>
      <c r="D103" s="470">
        <f t="shared" si="16"/>
        <v>2</v>
      </c>
      <c r="E103" s="470">
        <f t="shared" si="16"/>
        <v>0</v>
      </c>
      <c r="F103" s="470">
        <f t="shared" si="16"/>
        <v>0</v>
      </c>
      <c r="G103" s="470">
        <f t="shared" si="16"/>
        <v>0</v>
      </c>
      <c r="H103" s="470">
        <f t="shared" si="16"/>
        <v>0</v>
      </c>
      <c r="I103" s="470">
        <f t="shared" si="16"/>
        <v>0</v>
      </c>
      <c r="J103" s="470">
        <f t="shared" si="16"/>
        <v>0</v>
      </c>
      <c r="K103" s="470">
        <f t="shared" si="16"/>
        <v>2</v>
      </c>
      <c r="L103" s="469">
        <f t="shared" si="16"/>
        <v>10941165</v>
      </c>
      <c r="M103" s="471">
        <f t="shared" si="16"/>
        <v>0</v>
      </c>
      <c r="N103" s="470">
        <f t="shared" si="16"/>
        <v>0</v>
      </c>
      <c r="O103" s="470">
        <f t="shared" si="16"/>
        <v>2</v>
      </c>
      <c r="P103" s="470">
        <f t="shared" si="16"/>
        <v>0</v>
      </c>
      <c r="Q103" s="470">
        <f t="shared" si="16"/>
        <v>0</v>
      </c>
      <c r="R103" s="470">
        <f t="shared" si="16"/>
        <v>0</v>
      </c>
      <c r="S103" s="470">
        <f t="shared" si="16"/>
        <v>0</v>
      </c>
      <c r="T103" s="470">
        <f t="shared" si="16"/>
        <v>0</v>
      </c>
      <c r="U103" s="470">
        <f t="shared" si="16"/>
        <v>0</v>
      </c>
      <c r="V103" s="470">
        <f t="shared" si="16"/>
        <v>2</v>
      </c>
      <c r="W103" s="469">
        <f t="shared" si="16"/>
        <v>10926176</v>
      </c>
      <c r="X103" s="55"/>
      <c r="AA103" s="68"/>
      <c r="AB103" s="68"/>
    </row>
    <row r="104" spans="1:28">
      <c r="A104" s="1" t="s">
        <v>273</v>
      </c>
      <c r="B104" s="2"/>
      <c r="C104" s="2"/>
      <c r="D104" s="2"/>
      <c r="E104" s="2"/>
      <c r="F104" s="2"/>
      <c r="G104" s="2"/>
      <c r="H104" s="2"/>
      <c r="I104" s="2"/>
      <c r="J104" s="2"/>
      <c r="K104" s="2"/>
      <c r="L104" s="2"/>
      <c r="M104" s="2"/>
      <c r="N104" s="2"/>
      <c r="O104" s="2"/>
      <c r="P104" s="6"/>
      <c r="Q104" s="52"/>
      <c r="R104"/>
      <c r="S104"/>
      <c r="T104" s="68"/>
      <c r="U104" s="68"/>
      <c r="V104" s="68"/>
      <c r="W104" s="68"/>
      <c r="X104" s="68"/>
      <c r="Y104" s="68"/>
      <c r="Z104" s="68"/>
      <c r="AA104" s="68"/>
      <c r="AB104" s="68"/>
    </row>
    <row r="105" spans="1:28">
      <c r="A105" s="11" t="s">
        <v>267</v>
      </c>
      <c r="L105" s="465"/>
      <c r="P105" s="68"/>
      <c r="Q105" s="52"/>
      <c r="R105"/>
      <c r="S105"/>
      <c r="T105"/>
      <c r="U105"/>
      <c r="V105" s="68"/>
      <c r="W105" s="526"/>
      <c r="X105" s="68"/>
      <c r="Y105" s="68"/>
      <c r="Z105" s="68"/>
      <c r="AA105" s="68"/>
      <c r="AB105" s="68"/>
    </row>
    <row r="106" spans="1:28">
      <c r="A106" s="11" t="s">
        <v>271</v>
      </c>
      <c r="P106" s="68"/>
      <c r="Q106" s="52"/>
      <c r="R106"/>
      <c r="S106"/>
      <c r="T106"/>
      <c r="U106"/>
      <c r="V106" s="68"/>
      <c r="W106" s="68"/>
      <c r="X106" s="68"/>
      <c r="Y106" s="68"/>
      <c r="Z106" s="68"/>
      <c r="AA106" s="68"/>
      <c r="AB106" s="68"/>
    </row>
    <row r="107" spans="1:28">
      <c r="A107" s="11" t="s">
        <v>278</v>
      </c>
    </row>
    <row r="109" spans="1:28">
      <c r="W109" s="465"/>
    </row>
  </sheetData>
  <mergeCells count="8">
    <mergeCell ref="A87:W87"/>
    <mergeCell ref="A88:W88"/>
    <mergeCell ref="A89:W89"/>
    <mergeCell ref="B5:L5"/>
    <mergeCell ref="M5:W5"/>
    <mergeCell ref="A7:W7"/>
    <mergeCell ref="A8:W8"/>
    <mergeCell ref="A9:W9"/>
  </mergeCells>
  <printOptions horizontalCentered="1"/>
  <pageMargins left="0.19685039370078741" right="0.19685039370078741" top="0.78740157480314965" bottom="0.78740157480314965" header="0.19685039370078741" footer="0.19685039370078741"/>
  <pageSetup paperSize="9" scale="93"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2060"/>
  </sheetPr>
  <dimension ref="A1:AA350"/>
  <sheetViews>
    <sheetView view="pageBreakPreview" zoomScaleNormal="90" zoomScaleSheetLayoutView="100" workbookViewId="0">
      <pane xSplit="1" ySplit="6" topLeftCell="B7" activePane="bottomRight" state="frozen"/>
      <selection activeCell="B8" sqref="B8"/>
      <selection pane="topRight" activeCell="B8" sqref="B8"/>
      <selection pane="bottomLeft" activeCell="B8" sqref="B8"/>
      <selection pane="bottomRight" activeCell="B8" sqref="B8"/>
    </sheetView>
  </sheetViews>
  <sheetFormatPr baseColWidth="10" defaultColWidth="11.42578125" defaultRowHeight="12"/>
  <cols>
    <col min="1" max="1" width="29.28515625" style="11" customWidth="1"/>
    <col min="2" max="3" width="5.42578125" style="11" bestFit="1" customWidth="1"/>
    <col min="4" max="4" width="7.5703125" style="11" bestFit="1" customWidth="1"/>
    <col min="5" max="7" width="5.42578125" style="11" bestFit="1" customWidth="1"/>
    <col min="8" max="8" width="7.5703125" style="11" bestFit="1" customWidth="1"/>
    <col min="9" max="9" width="3.140625" style="11" bestFit="1" customWidth="1"/>
    <col min="10" max="10" width="7.7109375" style="11" bestFit="1" customWidth="1"/>
    <col min="11" max="11" width="7.28515625" style="11" bestFit="1" customWidth="1"/>
    <col min="12" max="12" width="14.140625" style="11" bestFit="1" customWidth="1"/>
    <col min="13" max="14" width="5.42578125" style="11" bestFit="1" customWidth="1"/>
    <col min="15" max="15" width="7.5703125" style="11" bestFit="1" customWidth="1"/>
    <col min="16" max="18" width="5.42578125" style="11" bestFit="1" customWidth="1"/>
    <col min="19" max="19" width="7.5703125" style="11" bestFit="1" customWidth="1"/>
    <col min="20" max="20" width="3.140625" style="11" bestFit="1" customWidth="1"/>
    <col min="21" max="21" width="7.7109375" style="11" bestFit="1" customWidth="1"/>
    <col min="22" max="22" width="7.28515625" style="11" bestFit="1" customWidth="1"/>
    <col min="23" max="23" width="13.140625" style="11" bestFit="1" customWidth="1"/>
    <col min="24" max="24" width="1.7109375" style="52" customWidth="1"/>
    <col min="25" max="16384" width="11.42578125" style="68"/>
  </cols>
  <sheetData>
    <row r="1" spans="1:24" s="72" customFormat="1" ht="15.75">
      <c r="A1" s="186" t="s">
        <v>458</v>
      </c>
      <c r="B1" s="71"/>
      <c r="C1" s="71"/>
      <c r="D1" s="71"/>
      <c r="E1" s="71"/>
      <c r="F1" s="71"/>
      <c r="G1" s="71"/>
      <c r="H1" s="71"/>
      <c r="I1" s="71"/>
      <c r="J1" s="71"/>
      <c r="K1" s="71"/>
      <c r="L1" s="71"/>
      <c r="M1" s="71"/>
      <c r="N1" s="71"/>
      <c r="O1" s="71"/>
      <c r="P1" s="71"/>
      <c r="Q1" s="71"/>
      <c r="R1" s="71"/>
      <c r="S1" s="71"/>
      <c r="T1" s="71"/>
      <c r="U1" s="71"/>
      <c r="V1" s="71"/>
      <c r="W1" s="71"/>
      <c r="X1" s="73"/>
    </row>
    <row r="2" spans="1:24" s="72" customFormat="1" ht="15.75">
      <c r="A2" s="186" t="s">
        <v>382</v>
      </c>
      <c r="B2" s="71"/>
      <c r="C2" s="71"/>
      <c r="D2" s="71"/>
      <c r="E2" s="71"/>
      <c r="F2" s="71"/>
      <c r="G2" s="71"/>
      <c r="H2" s="71"/>
      <c r="I2" s="71"/>
      <c r="J2" s="71"/>
      <c r="K2" s="71"/>
      <c r="L2" s="71"/>
      <c r="M2" s="71"/>
      <c r="N2" s="71"/>
      <c r="O2" s="71"/>
      <c r="P2" s="71"/>
      <c r="Q2" s="71"/>
      <c r="R2" s="71"/>
      <c r="S2" s="71"/>
      <c r="T2" s="71"/>
      <c r="U2" s="71"/>
      <c r="V2" s="71"/>
      <c r="W2" s="71"/>
      <c r="X2" s="73"/>
    </row>
    <row r="3" spans="1:24" s="56" customFormat="1" ht="15.75">
      <c r="A3" s="187" t="s">
        <v>1654</v>
      </c>
      <c r="X3" s="51"/>
    </row>
    <row r="4" spans="1:24" ht="13.5" thickBot="1">
      <c r="A4" s="187" t="s">
        <v>7065</v>
      </c>
      <c r="L4" s="12"/>
      <c r="W4" s="12"/>
    </row>
    <row r="5" spans="1:24" s="41" customFormat="1" ht="11.25">
      <c r="A5" s="120" t="s">
        <v>10</v>
      </c>
      <c r="B5" s="2001" t="s">
        <v>456</v>
      </c>
      <c r="C5" s="2002"/>
      <c r="D5" s="2002"/>
      <c r="E5" s="2002"/>
      <c r="F5" s="2002"/>
      <c r="G5" s="2002"/>
      <c r="H5" s="2002"/>
      <c r="I5" s="2002"/>
      <c r="J5" s="2002"/>
      <c r="K5" s="2002"/>
      <c r="L5" s="2003"/>
      <c r="M5" s="2001" t="s">
        <v>457</v>
      </c>
      <c r="N5" s="2002"/>
      <c r="O5" s="2002"/>
      <c r="P5" s="2002"/>
      <c r="Q5" s="2002"/>
      <c r="R5" s="2002"/>
      <c r="S5" s="2002"/>
      <c r="T5" s="2002"/>
      <c r="U5" s="2002"/>
      <c r="V5" s="2002"/>
      <c r="W5" s="2003"/>
      <c r="X5" s="53"/>
    </row>
    <row r="6" spans="1:24" s="42" customFormat="1" ht="96.75">
      <c r="A6" s="121" t="s">
        <v>9</v>
      </c>
      <c r="B6" s="122" t="s">
        <v>310</v>
      </c>
      <c r="C6" s="122" t="s">
        <v>118</v>
      </c>
      <c r="D6" s="123" t="s">
        <v>266</v>
      </c>
      <c r="E6" s="123" t="s">
        <v>259</v>
      </c>
      <c r="F6" s="123" t="s">
        <v>268</v>
      </c>
      <c r="G6" s="123" t="s">
        <v>269</v>
      </c>
      <c r="H6" s="123" t="s">
        <v>270</v>
      </c>
      <c r="I6" s="123" t="s">
        <v>277</v>
      </c>
      <c r="J6" s="124" t="s">
        <v>272</v>
      </c>
      <c r="K6" s="125" t="s">
        <v>274</v>
      </c>
      <c r="L6" s="126" t="s">
        <v>276</v>
      </c>
      <c r="M6" s="122" t="s">
        <v>310</v>
      </c>
      <c r="N6" s="122" t="s">
        <v>118</v>
      </c>
      <c r="O6" s="123" t="s">
        <v>266</v>
      </c>
      <c r="P6" s="123" t="s">
        <v>259</v>
      </c>
      <c r="Q6" s="123" t="s">
        <v>268</v>
      </c>
      <c r="R6" s="123" t="s">
        <v>269</v>
      </c>
      <c r="S6" s="123" t="s">
        <v>270</v>
      </c>
      <c r="T6" s="123" t="s">
        <v>277</v>
      </c>
      <c r="U6" s="124" t="s">
        <v>272</v>
      </c>
      <c r="V6" s="125" t="s">
        <v>274</v>
      </c>
      <c r="W6" s="126" t="s">
        <v>275</v>
      </c>
      <c r="X6" s="54"/>
    </row>
    <row r="7" spans="1:24" s="712" customFormat="1" ht="6">
      <c r="A7" s="2007"/>
      <c r="B7" s="2008"/>
      <c r="C7" s="2008"/>
      <c r="D7" s="2008"/>
      <c r="E7" s="2008"/>
      <c r="F7" s="2008"/>
      <c r="G7" s="2008"/>
      <c r="H7" s="2008"/>
      <c r="I7" s="2008"/>
      <c r="J7" s="2008"/>
      <c r="K7" s="2008"/>
      <c r="L7" s="2008"/>
      <c r="M7" s="2008"/>
      <c r="N7" s="2008"/>
      <c r="O7" s="2008"/>
      <c r="P7" s="2008"/>
      <c r="Q7" s="2008"/>
      <c r="R7" s="2008"/>
      <c r="S7" s="2008"/>
      <c r="T7" s="2008"/>
      <c r="U7" s="2008"/>
      <c r="V7" s="2008"/>
      <c r="W7" s="2009"/>
      <c r="X7" s="711"/>
    </row>
    <row r="8" spans="1:24" ht="15">
      <c r="A8" s="2004" t="s">
        <v>7176</v>
      </c>
      <c r="B8" s="2005"/>
      <c r="C8" s="2005"/>
      <c r="D8" s="2005"/>
      <c r="E8" s="2005"/>
      <c r="F8" s="2005"/>
      <c r="G8" s="2005"/>
      <c r="H8" s="2005"/>
      <c r="I8" s="2005"/>
      <c r="J8" s="2005"/>
      <c r="K8" s="2005"/>
      <c r="L8" s="2005"/>
      <c r="M8" s="2005"/>
      <c r="N8" s="2005"/>
      <c r="O8" s="2005"/>
      <c r="P8" s="2005"/>
      <c r="Q8" s="2005"/>
      <c r="R8" s="2005"/>
      <c r="S8" s="2005"/>
      <c r="T8" s="2005"/>
      <c r="U8" s="2005"/>
      <c r="V8" s="2005"/>
      <c r="W8" s="2006"/>
    </row>
    <row r="9" spans="1:24" s="710" customFormat="1" ht="8.25">
      <c r="A9" s="2010"/>
      <c r="B9" s="2011"/>
      <c r="C9" s="2011"/>
      <c r="D9" s="2011"/>
      <c r="E9" s="2011"/>
      <c r="F9" s="2011"/>
      <c r="G9" s="2011"/>
      <c r="H9" s="2011"/>
      <c r="I9" s="2011"/>
      <c r="J9" s="2011"/>
      <c r="K9" s="2011"/>
      <c r="L9" s="2011"/>
      <c r="M9" s="2011"/>
      <c r="N9" s="2011"/>
      <c r="O9" s="2011"/>
      <c r="P9" s="2011"/>
      <c r="Q9" s="2011"/>
      <c r="R9" s="2011"/>
      <c r="S9" s="2011"/>
      <c r="T9" s="2011"/>
      <c r="U9" s="2011"/>
      <c r="V9" s="2011"/>
      <c r="W9" s="2012"/>
      <c r="X9" s="709"/>
    </row>
    <row r="10" spans="1:24">
      <c r="A10" s="704" t="s">
        <v>48</v>
      </c>
      <c r="B10" s="482">
        <f t="shared" ref="B10:W10" si="0">B11+B20+B27+B34+B42+B46</f>
        <v>3770</v>
      </c>
      <c r="C10" s="482">
        <f t="shared" si="0"/>
        <v>35</v>
      </c>
      <c r="D10" s="482">
        <f t="shared" si="0"/>
        <v>0</v>
      </c>
      <c r="E10" s="482">
        <f t="shared" si="0"/>
        <v>0</v>
      </c>
      <c r="F10" s="482">
        <f t="shared" si="0"/>
        <v>0</v>
      </c>
      <c r="G10" s="482">
        <f t="shared" si="0"/>
        <v>0</v>
      </c>
      <c r="H10" s="482">
        <f t="shared" si="0"/>
        <v>0</v>
      </c>
      <c r="I10" s="482">
        <f t="shared" si="0"/>
        <v>0</v>
      </c>
      <c r="J10" s="482">
        <f t="shared" si="0"/>
        <v>0</v>
      </c>
      <c r="K10" s="482">
        <f t="shared" si="0"/>
        <v>3805</v>
      </c>
      <c r="L10" s="474">
        <f t="shared" si="0"/>
        <v>113236622.2</v>
      </c>
      <c r="M10" s="482">
        <f t="shared" si="0"/>
        <v>3836</v>
      </c>
      <c r="N10" s="482">
        <f t="shared" si="0"/>
        <v>36</v>
      </c>
      <c r="O10" s="482">
        <f t="shared" si="0"/>
        <v>0</v>
      </c>
      <c r="P10" s="482">
        <f t="shared" si="0"/>
        <v>0</v>
      </c>
      <c r="Q10" s="482">
        <f t="shared" si="0"/>
        <v>0</v>
      </c>
      <c r="R10" s="482">
        <f t="shared" si="0"/>
        <v>0</v>
      </c>
      <c r="S10" s="482">
        <f t="shared" si="0"/>
        <v>0</v>
      </c>
      <c r="T10" s="482">
        <f t="shared" si="0"/>
        <v>0</v>
      </c>
      <c r="U10" s="482">
        <f t="shared" si="0"/>
        <v>0</v>
      </c>
      <c r="V10" s="482">
        <f t="shared" si="0"/>
        <v>3872</v>
      </c>
      <c r="W10" s="474">
        <f t="shared" si="0"/>
        <v>115674952.57828571</v>
      </c>
      <c r="X10" s="55"/>
    </row>
    <row r="11" spans="1:24">
      <c r="A11" s="705" t="s">
        <v>7</v>
      </c>
      <c r="B11" s="484">
        <f t="shared" ref="B11:W11" si="1">SUM(B12:B19)</f>
        <v>37</v>
      </c>
      <c r="C11" s="484">
        <f t="shared" si="1"/>
        <v>0</v>
      </c>
      <c r="D11" s="484">
        <f t="shared" si="1"/>
        <v>0</v>
      </c>
      <c r="E11" s="484">
        <f t="shared" si="1"/>
        <v>0</v>
      </c>
      <c r="F11" s="484">
        <f t="shared" si="1"/>
        <v>0</v>
      </c>
      <c r="G11" s="484">
        <f t="shared" si="1"/>
        <v>0</v>
      </c>
      <c r="H11" s="484">
        <f t="shared" si="1"/>
        <v>0</v>
      </c>
      <c r="I11" s="484">
        <f t="shared" si="1"/>
        <v>0</v>
      </c>
      <c r="J11" s="484">
        <f t="shared" si="1"/>
        <v>0</v>
      </c>
      <c r="K11" s="484">
        <f t="shared" si="1"/>
        <v>37</v>
      </c>
      <c r="L11" s="485">
        <f t="shared" si="1"/>
        <v>1338656.44</v>
      </c>
      <c r="M11" s="484">
        <f t="shared" si="1"/>
        <v>37</v>
      </c>
      <c r="N11" s="484">
        <f t="shared" si="1"/>
        <v>0</v>
      </c>
      <c r="O11" s="484">
        <f t="shared" si="1"/>
        <v>0</v>
      </c>
      <c r="P11" s="484">
        <f t="shared" si="1"/>
        <v>0</v>
      </c>
      <c r="Q11" s="484">
        <f t="shared" si="1"/>
        <v>0</v>
      </c>
      <c r="R11" s="484">
        <f t="shared" si="1"/>
        <v>0</v>
      </c>
      <c r="S11" s="484">
        <f t="shared" si="1"/>
        <v>0</v>
      </c>
      <c r="T11" s="484">
        <f t="shared" si="1"/>
        <v>0</v>
      </c>
      <c r="U11" s="484">
        <f t="shared" si="1"/>
        <v>0</v>
      </c>
      <c r="V11" s="484">
        <f t="shared" si="1"/>
        <v>37</v>
      </c>
      <c r="W11" s="485">
        <f t="shared" si="1"/>
        <v>1329533.4399999999</v>
      </c>
    </row>
    <row r="12" spans="1:24" hidden="1">
      <c r="A12" s="703" t="s">
        <v>3</v>
      </c>
      <c r="B12" s="13"/>
      <c r="C12" s="13"/>
      <c r="D12" s="13"/>
      <c r="E12" s="13"/>
      <c r="F12" s="13"/>
      <c r="G12" s="13"/>
      <c r="H12" s="13"/>
      <c r="I12" s="13"/>
      <c r="J12" s="13"/>
      <c r="K12" s="13"/>
      <c r="L12" s="16"/>
      <c r="M12" s="13"/>
      <c r="N12" s="13"/>
      <c r="O12" s="13"/>
      <c r="P12" s="13"/>
      <c r="Q12" s="13"/>
      <c r="R12" s="13"/>
      <c r="S12" s="13"/>
      <c r="T12" s="13"/>
      <c r="U12" s="13"/>
      <c r="V12" s="13"/>
      <c r="W12" s="472"/>
    </row>
    <row r="13" spans="1:24" hidden="1">
      <c r="A13" s="703" t="s">
        <v>7062</v>
      </c>
      <c r="B13" s="13"/>
      <c r="C13" s="13"/>
      <c r="D13" s="13"/>
      <c r="E13" s="13"/>
      <c r="F13" s="13"/>
      <c r="G13" s="13"/>
      <c r="H13" s="13"/>
      <c r="I13" s="13"/>
      <c r="J13" s="13"/>
      <c r="K13" s="13"/>
      <c r="L13" s="16"/>
      <c r="M13" s="13"/>
      <c r="N13" s="13"/>
      <c r="O13" s="13"/>
      <c r="P13" s="13"/>
      <c r="Q13" s="13"/>
      <c r="R13" s="13"/>
      <c r="S13" s="13"/>
      <c r="T13" s="13"/>
      <c r="U13" s="13"/>
      <c r="V13" s="13"/>
      <c r="W13" s="472"/>
    </row>
    <row r="14" spans="1:24" hidden="1">
      <c r="A14" s="703" t="s">
        <v>7061</v>
      </c>
      <c r="B14" s="13"/>
      <c r="C14" s="13"/>
      <c r="D14" s="13"/>
      <c r="E14" s="13"/>
      <c r="F14" s="13"/>
      <c r="G14" s="13"/>
      <c r="H14" s="13"/>
      <c r="I14" s="13"/>
      <c r="J14" s="13"/>
      <c r="K14" s="13"/>
      <c r="L14" s="16">
        <v>0</v>
      </c>
      <c r="M14" s="13"/>
      <c r="N14" s="13"/>
      <c r="O14" s="13"/>
      <c r="P14" s="13"/>
      <c r="Q14" s="13"/>
      <c r="R14" s="13"/>
      <c r="S14" s="13"/>
      <c r="T14" s="13"/>
      <c r="U14" s="13"/>
      <c r="V14" s="13"/>
      <c r="W14" s="472"/>
    </row>
    <row r="15" spans="1:24" hidden="1">
      <c r="A15" s="703" t="s">
        <v>7060</v>
      </c>
      <c r="B15" s="13"/>
      <c r="C15" s="13"/>
      <c r="D15" s="13"/>
      <c r="E15" s="13"/>
      <c r="F15" s="13"/>
      <c r="G15" s="13"/>
      <c r="H15" s="13"/>
      <c r="I15" s="13"/>
      <c r="J15" s="13"/>
      <c r="K15" s="13"/>
      <c r="L15" s="472">
        <v>0</v>
      </c>
      <c r="M15" s="13"/>
      <c r="N15" s="13"/>
      <c r="O15" s="13"/>
      <c r="P15" s="13"/>
      <c r="Q15" s="13"/>
      <c r="R15" s="13"/>
      <c r="S15" s="13"/>
      <c r="T15" s="13"/>
      <c r="U15" s="13"/>
      <c r="V15" s="13"/>
      <c r="W15" s="472"/>
    </row>
    <row r="16" spans="1:24">
      <c r="A16" s="703" t="s">
        <v>7059</v>
      </c>
      <c r="B16" s="13">
        <v>3</v>
      </c>
      <c r="C16" s="13"/>
      <c r="D16" s="13"/>
      <c r="E16" s="13"/>
      <c r="F16" s="13"/>
      <c r="G16" s="13"/>
      <c r="H16" s="13"/>
      <c r="I16" s="13"/>
      <c r="J16" s="13"/>
      <c r="K16" s="13">
        <f>SUM(B16:J16)</f>
        <v>3</v>
      </c>
      <c r="L16" s="472">
        <v>110036.63999999998</v>
      </c>
      <c r="M16" s="13">
        <v>3</v>
      </c>
      <c r="N16" s="13"/>
      <c r="O16" s="13"/>
      <c r="P16" s="13"/>
      <c r="Q16" s="13"/>
      <c r="R16" s="13"/>
      <c r="S16" s="13"/>
      <c r="T16" s="13"/>
      <c r="U16" s="13"/>
      <c r="V16" s="13">
        <f>SUM(M16:U16)</f>
        <v>3</v>
      </c>
      <c r="W16" s="472">
        <v>109236.36</v>
      </c>
    </row>
    <row r="17" spans="1:24">
      <c r="A17" s="703" t="s">
        <v>7058</v>
      </c>
      <c r="B17" s="13">
        <v>24</v>
      </c>
      <c r="C17" s="13"/>
      <c r="D17" s="13"/>
      <c r="E17" s="13"/>
      <c r="F17" s="13"/>
      <c r="G17" s="13"/>
      <c r="H17" s="13"/>
      <c r="I17" s="13"/>
      <c r="J17" s="13"/>
      <c r="K17" s="13">
        <f>SUM(B17:J17)</f>
        <v>24</v>
      </c>
      <c r="L17" s="472">
        <v>872900.15999999992</v>
      </c>
      <c r="M17" s="13">
        <v>24</v>
      </c>
      <c r="N17" s="13"/>
      <c r="O17" s="13"/>
      <c r="P17" s="13"/>
      <c r="Q17" s="13"/>
      <c r="R17" s="13"/>
      <c r="S17" s="13"/>
      <c r="T17" s="13"/>
      <c r="U17" s="13"/>
      <c r="V17" s="13">
        <f>SUM(M17:U17)</f>
        <v>24</v>
      </c>
      <c r="W17" s="472">
        <v>866970.24</v>
      </c>
    </row>
    <row r="18" spans="1:24">
      <c r="A18" s="703" t="s">
        <v>7057</v>
      </c>
      <c r="B18" s="13">
        <v>3</v>
      </c>
      <c r="C18" s="13"/>
      <c r="D18" s="13"/>
      <c r="E18" s="13"/>
      <c r="F18" s="13"/>
      <c r="G18" s="13"/>
      <c r="H18" s="13"/>
      <c r="I18" s="13"/>
      <c r="J18" s="13"/>
      <c r="K18" s="13">
        <f>SUM(B18:J18)</f>
        <v>3</v>
      </c>
      <c r="L18" s="472">
        <v>107794.19999999998</v>
      </c>
      <c r="M18" s="13">
        <v>3</v>
      </c>
      <c r="N18" s="13"/>
      <c r="O18" s="13"/>
      <c r="P18" s="13"/>
      <c r="Q18" s="13"/>
      <c r="R18" s="13"/>
      <c r="S18" s="13"/>
      <c r="T18" s="13"/>
      <c r="U18" s="13"/>
      <c r="V18" s="13">
        <f>SUM(M18:U18)</f>
        <v>3</v>
      </c>
      <c r="W18" s="472">
        <v>106887.36</v>
      </c>
      <c r="X18" s="55"/>
    </row>
    <row r="19" spans="1:24">
      <c r="A19" s="703" t="s">
        <v>12</v>
      </c>
      <c r="B19" s="13">
        <v>7</v>
      </c>
      <c r="C19" s="13"/>
      <c r="D19" s="13"/>
      <c r="E19" s="13"/>
      <c r="F19" s="13"/>
      <c r="G19" s="13"/>
      <c r="H19" s="13"/>
      <c r="I19" s="13"/>
      <c r="J19" s="13"/>
      <c r="K19" s="13">
        <f>SUM(B19:J19)</f>
        <v>7</v>
      </c>
      <c r="L19" s="472">
        <v>247925.44</v>
      </c>
      <c r="M19" s="13">
        <v>7</v>
      </c>
      <c r="N19" s="13"/>
      <c r="O19" s="13"/>
      <c r="P19" s="13"/>
      <c r="Q19" s="13"/>
      <c r="R19" s="13"/>
      <c r="S19" s="13"/>
      <c r="T19" s="13"/>
      <c r="U19" s="13"/>
      <c r="V19" s="13">
        <f>SUM(M19:U19)</f>
        <v>7</v>
      </c>
      <c r="W19" s="472">
        <v>246439.47999999998</v>
      </c>
    </row>
    <row r="20" spans="1:24">
      <c r="A20" s="705" t="s">
        <v>4</v>
      </c>
      <c r="B20" s="484">
        <f t="shared" ref="B20:W20" si="2">SUM(B21:B26)</f>
        <v>411</v>
      </c>
      <c r="C20" s="484">
        <f t="shared" si="2"/>
        <v>0</v>
      </c>
      <c r="D20" s="484">
        <f t="shared" si="2"/>
        <v>0</v>
      </c>
      <c r="E20" s="484">
        <f t="shared" si="2"/>
        <v>0</v>
      </c>
      <c r="F20" s="484">
        <f t="shared" si="2"/>
        <v>0</v>
      </c>
      <c r="G20" s="484">
        <f t="shared" si="2"/>
        <v>0</v>
      </c>
      <c r="H20" s="484">
        <f t="shared" si="2"/>
        <v>0</v>
      </c>
      <c r="I20" s="484">
        <f t="shared" si="2"/>
        <v>0</v>
      </c>
      <c r="J20" s="484">
        <f t="shared" si="2"/>
        <v>0</v>
      </c>
      <c r="K20" s="484">
        <f t="shared" si="2"/>
        <v>411</v>
      </c>
      <c r="L20" s="485">
        <f t="shared" si="2"/>
        <v>13003818.960000001</v>
      </c>
      <c r="M20" s="484">
        <f t="shared" si="2"/>
        <v>434</v>
      </c>
      <c r="N20" s="484">
        <f t="shared" si="2"/>
        <v>0</v>
      </c>
      <c r="O20" s="484">
        <f t="shared" si="2"/>
        <v>0</v>
      </c>
      <c r="P20" s="484">
        <f t="shared" si="2"/>
        <v>0</v>
      </c>
      <c r="Q20" s="484">
        <f t="shared" si="2"/>
        <v>0</v>
      </c>
      <c r="R20" s="484">
        <f t="shared" si="2"/>
        <v>0</v>
      </c>
      <c r="S20" s="484">
        <f t="shared" si="2"/>
        <v>0</v>
      </c>
      <c r="T20" s="484">
        <f t="shared" si="2"/>
        <v>0</v>
      </c>
      <c r="U20" s="484">
        <f t="shared" si="2"/>
        <v>0</v>
      </c>
      <c r="V20" s="484">
        <f t="shared" si="2"/>
        <v>434</v>
      </c>
      <c r="W20" s="485">
        <f t="shared" si="2"/>
        <v>13596722.119999999</v>
      </c>
    </row>
    <row r="21" spans="1:24">
      <c r="A21" s="703" t="s">
        <v>13</v>
      </c>
      <c r="B21" s="13">
        <v>41</v>
      </c>
      <c r="C21" s="13"/>
      <c r="D21" s="13"/>
      <c r="E21" s="13"/>
      <c r="F21" s="13"/>
      <c r="G21" s="13"/>
      <c r="H21" s="13"/>
      <c r="I21" s="13"/>
      <c r="J21" s="13"/>
      <c r="K21" s="13">
        <f t="shared" ref="K21:K26" si="3">SUM(B21:J21)</f>
        <v>41</v>
      </c>
      <c r="L21" s="472">
        <v>1344736.04</v>
      </c>
      <c r="M21" s="13">
        <v>41</v>
      </c>
      <c r="N21" s="13"/>
      <c r="O21" s="13"/>
      <c r="P21" s="13"/>
      <c r="Q21" s="13"/>
      <c r="R21" s="13"/>
      <c r="S21" s="13"/>
      <c r="T21" s="13"/>
      <c r="U21" s="13"/>
      <c r="V21" s="13">
        <f t="shared" ref="V21:V26" si="4">SUM(M21:U21)</f>
        <v>41</v>
      </c>
      <c r="W21" s="472">
        <v>1338566.3599999999</v>
      </c>
    </row>
    <row r="22" spans="1:24">
      <c r="A22" s="703" t="s">
        <v>6978</v>
      </c>
      <c r="B22" s="13">
        <v>35</v>
      </c>
      <c r="C22" s="13"/>
      <c r="D22" s="13"/>
      <c r="E22" s="13"/>
      <c r="F22" s="13"/>
      <c r="G22" s="13"/>
      <c r="H22" s="13"/>
      <c r="I22" s="13"/>
      <c r="J22" s="13"/>
      <c r="K22" s="13">
        <f t="shared" si="3"/>
        <v>35</v>
      </c>
      <c r="L22" s="472">
        <v>1129998.8</v>
      </c>
      <c r="M22" s="13">
        <v>35</v>
      </c>
      <c r="N22" s="13"/>
      <c r="O22" s="13"/>
      <c r="P22" s="13"/>
      <c r="Q22" s="13"/>
      <c r="R22" s="13"/>
      <c r="S22" s="13"/>
      <c r="T22" s="13"/>
      <c r="U22" s="13"/>
      <c r="V22" s="13">
        <f t="shared" si="4"/>
        <v>35</v>
      </c>
      <c r="W22" s="472">
        <v>1117529</v>
      </c>
    </row>
    <row r="23" spans="1:24">
      <c r="A23" s="703" t="s">
        <v>6977</v>
      </c>
      <c r="B23" s="13">
        <v>74</v>
      </c>
      <c r="C23" s="13"/>
      <c r="D23" s="13"/>
      <c r="E23" s="13"/>
      <c r="F23" s="13"/>
      <c r="G23" s="13"/>
      <c r="H23" s="13"/>
      <c r="I23" s="13"/>
      <c r="J23" s="13"/>
      <c r="K23" s="13">
        <f t="shared" si="3"/>
        <v>74</v>
      </c>
      <c r="L23" s="472">
        <v>2356346.48</v>
      </c>
      <c r="M23" s="13">
        <v>74</v>
      </c>
      <c r="N23" s="13"/>
      <c r="O23" s="13"/>
      <c r="P23" s="13"/>
      <c r="Q23" s="13"/>
      <c r="R23" s="13"/>
      <c r="S23" s="13"/>
      <c r="T23" s="13"/>
      <c r="U23" s="13"/>
      <c r="V23" s="13">
        <f t="shared" si="4"/>
        <v>74</v>
      </c>
      <c r="W23" s="472">
        <v>2342493.6800000002</v>
      </c>
      <c r="X23" s="55"/>
    </row>
    <row r="24" spans="1:24">
      <c r="A24" s="703" t="s">
        <v>6976</v>
      </c>
      <c r="B24" s="13">
        <v>137</v>
      </c>
      <c r="C24" s="13"/>
      <c r="D24" s="13"/>
      <c r="E24" s="13"/>
      <c r="F24" s="13"/>
      <c r="G24" s="13"/>
      <c r="H24" s="13"/>
      <c r="I24" s="13"/>
      <c r="J24" s="13"/>
      <c r="K24" s="13">
        <f t="shared" si="3"/>
        <v>137</v>
      </c>
      <c r="L24" s="472">
        <v>4318859.24</v>
      </c>
      <c r="M24" s="13">
        <v>141</v>
      </c>
      <c r="N24" s="13"/>
      <c r="O24" s="13"/>
      <c r="P24" s="13"/>
      <c r="Q24" s="13"/>
      <c r="R24" s="13"/>
      <c r="S24" s="13"/>
      <c r="T24" s="13"/>
      <c r="U24" s="13"/>
      <c r="V24" s="13">
        <f t="shared" si="4"/>
        <v>141</v>
      </c>
      <c r="W24" s="472">
        <v>4384491.72</v>
      </c>
    </row>
    <row r="25" spans="1:24">
      <c r="A25" s="703" t="s">
        <v>14</v>
      </c>
      <c r="B25" s="13">
        <v>74</v>
      </c>
      <c r="C25" s="13"/>
      <c r="D25" s="13"/>
      <c r="E25" s="13"/>
      <c r="F25" s="13"/>
      <c r="G25" s="13"/>
      <c r="H25" s="13"/>
      <c r="I25" s="13"/>
      <c r="J25" s="13"/>
      <c r="K25" s="13">
        <f t="shared" si="3"/>
        <v>74</v>
      </c>
      <c r="L25" s="472">
        <v>2309362.4000000004</v>
      </c>
      <c r="M25" s="13">
        <v>75</v>
      </c>
      <c r="N25" s="13"/>
      <c r="O25" s="13"/>
      <c r="P25" s="13"/>
      <c r="Q25" s="13"/>
      <c r="R25" s="13"/>
      <c r="S25" s="13"/>
      <c r="T25" s="13"/>
      <c r="U25" s="13"/>
      <c r="V25" s="13">
        <f t="shared" si="4"/>
        <v>75</v>
      </c>
      <c r="W25" s="472">
        <v>2314790.7599999998</v>
      </c>
    </row>
    <row r="26" spans="1:24">
      <c r="A26" s="703" t="s">
        <v>6975</v>
      </c>
      <c r="B26" s="13">
        <v>50</v>
      </c>
      <c r="C26" s="13"/>
      <c r="D26" s="13"/>
      <c r="E26" s="13"/>
      <c r="F26" s="13"/>
      <c r="G26" s="13"/>
      <c r="H26" s="13"/>
      <c r="I26" s="13"/>
      <c r="J26" s="13"/>
      <c r="K26" s="13">
        <f t="shared" si="3"/>
        <v>50</v>
      </c>
      <c r="L26" s="472">
        <v>1544516</v>
      </c>
      <c r="M26" s="13">
        <v>68</v>
      </c>
      <c r="N26" s="13"/>
      <c r="O26" s="13"/>
      <c r="P26" s="13"/>
      <c r="Q26" s="13"/>
      <c r="R26" s="13"/>
      <c r="S26" s="13"/>
      <c r="T26" s="13"/>
      <c r="U26" s="13"/>
      <c r="V26" s="13">
        <f t="shared" si="4"/>
        <v>68</v>
      </c>
      <c r="W26" s="472">
        <v>2098850.6</v>
      </c>
    </row>
    <row r="27" spans="1:24">
      <c r="A27" s="705" t="s">
        <v>5</v>
      </c>
      <c r="B27" s="484">
        <f t="shared" ref="B27:W27" si="5">SUM(B28:B33)</f>
        <v>2063</v>
      </c>
      <c r="C27" s="484">
        <f t="shared" si="5"/>
        <v>0</v>
      </c>
      <c r="D27" s="484">
        <f t="shared" si="5"/>
        <v>0</v>
      </c>
      <c r="E27" s="484">
        <f t="shared" si="5"/>
        <v>0</v>
      </c>
      <c r="F27" s="484">
        <f t="shared" si="5"/>
        <v>0</v>
      </c>
      <c r="G27" s="484">
        <f t="shared" si="5"/>
        <v>0</v>
      </c>
      <c r="H27" s="484">
        <f t="shared" si="5"/>
        <v>0</v>
      </c>
      <c r="I27" s="484">
        <f t="shared" si="5"/>
        <v>0</v>
      </c>
      <c r="J27" s="484">
        <f t="shared" si="5"/>
        <v>0</v>
      </c>
      <c r="K27" s="484">
        <f t="shared" si="5"/>
        <v>2063</v>
      </c>
      <c r="L27" s="485">
        <f t="shared" si="5"/>
        <v>62412821.840000004</v>
      </c>
      <c r="M27" s="484">
        <f t="shared" si="5"/>
        <v>2090</v>
      </c>
      <c r="N27" s="484">
        <f t="shared" si="5"/>
        <v>0</v>
      </c>
      <c r="O27" s="484">
        <f t="shared" si="5"/>
        <v>0</v>
      </c>
      <c r="P27" s="484">
        <f t="shared" si="5"/>
        <v>0</v>
      </c>
      <c r="Q27" s="484">
        <f t="shared" si="5"/>
        <v>0</v>
      </c>
      <c r="R27" s="484">
        <f t="shared" si="5"/>
        <v>0</v>
      </c>
      <c r="S27" s="484">
        <f t="shared" si="5"/>
        <v>0</v>
      </c>
      <c r="T27" s="484">
        <f t="shared" si="5"/>
        <v>0</v>
      </c>
      <c r="U27" s="484">
        <f t="shared" si="5"/>
        <v>0</v>
      </c>
      <c r="V27" s="484">
        <f t="shared" si="5"/>
        <v>2090</v>
      </c>
      <c r="W27" s="485">
        <f t="shared" si="5"/>
        <v>62496963.199999988</v>
      </c>
    </row>
    <row r="28" spans="1:24">
      <c r="A28" s="703" t="s">
        <v>15</v>
      </c>
      <c r="B28" s="13">
        <v>1049</v>
      </c>
      <c r="C28" s="13"/>
      <c r="D28" s="13"/>
      <c r="E28" s="13"/>
      <c r="F28" s="13"/>
      <c r="G28" s="13"/>
      <c r="H28" s="13"/>
      <c r="I28" s="13"/>
      <c r="J28" s="13"/>
      <c r="K28" s="13">
        <f t="shared" ref="K28:K33" si="6">SUM(B28:J28)</f>
        <v>1049</v>
      </c>
      <c r="L28" s="472">
        <v>31913768.960000001</v>
      </c>
      <c r="M28" s="13">
        <v>1069</v>
      </c>
      <c r="N28" s="13"/>
      <c r="O28" s="13"/>
      <c r="P28" s="13"/>
      <c r="Q28" s="13"/>
      <c r="R28" s="13"/>
      <c r="S28" s="13"/>
      <c r="T28" s="13"/>
      <c r="U28" s="13"/>
      <c r="V28" s="13">
        <f t="shared" ref="V28:V33" si="7">SUM(M28:U28)</f>
        <v>1069</v>
      </c>
      <c r="W28" s="472">
        <v>32236678.479999997</v>
      </c>
      <c r="X28" s="55"/>
    </row>
    <row r="29" spans="1:24">
      <c r="A29" s="703" t="s">
        <v>7056</v>
      </c>
      <c r="B29" s="13">
        <v>155</v>
      </c>
      <c r="C29" s="13"/>
      <c r="D29" s="13"/>
      <c r="E29" s="13"/>
      <c r="F29" s="13"/>
      <c r="G29" s="13"/>
      <c r="H29" s="13"/>
      <c r="I29" s="13"/>
      <c r="J29" s="13"/>
      <c r="K29" s="13">
        <f t="shared" si="6"/>
        <v>155</v>
      </c>
      <c r="L29" s="472">
        <v>4700356.3999999994</v>
      </c>
      <c r="M29" s="13">
        <v>158</v>
      </c>
      <c r="N29" s="13"/>
      <c r="O29" s="13"/>
      <c r="P29" s="13"/>
      <c r="Q29" s="13"/>
      <c r="R29" s="13"/>
      <c r="S29" s="13"/>
      <c r="T29" s="13"/>
      <c r="U29" s="13"/>
      <c r="V29" s="13">
        <f t="shared" si="7"/>
        <v>158</v>
      </c>
      <c r="W29" s="472">
        <v>4740442.4000000004</v>
      </c>
    </row>
    <row r="30" spans="1:24">
      <c r="A30" s="703" t="s">
        <v>6972</v>
      </c>
      <c r="B30" s="13">
        <v>190</v>
      </c>
      <c r="C30" s="13"/>
      <c r="D30" s="13"/>
      <c r="E30" s="13"/>
      <c r="F30" s="13"/>
      <c r="G30" s="13"/>
      <c r="H30" s="13"/>
      <c r="I30" s="13"/>
      <c r="J30" s="13"/>
      <c r="K30" s="13">
        <f t="shared" si="6"/>
        <v>190</v>
      </c>
      <c r="L30" s="472">
        <v>5743031.2000000002</v>
      </c>
      <c r="M30" s="13">
        <v>191</v>
      </c>
      <c r="N30" s="13"/>
      <c r="O30" s="13"/>
      <c r="P30" s="13"/>
      <c r="Q30" s="13"/>
      <c r="R30" s="13"/>
      <c r="S30" s="13"/>
      <c r="T30" s="13"/>
      <c r="U30" s="13"/>
      <c r="V30" s="13">
        <f t="shared" si="7"/>
        <v>191</v>
      </c>
      <c r="W30" s="472">
        <v>5707064.7199999997</v>
      </c>
    </row>
    <row r="31" spans="1:24">
      <c r="A31" s="703" t="s">
        <v>6971</v>
      </c>
      <c r="B31" s="13">
        <v>142</v>
      </c>
      <c r="C31" s="13"/>
      <c r="D31" s="13"/>
      <c r="E31" s="13"/>
      <c r="F31" s="13"/>
      <c r="G31" s="13"/>
      <c r="H31" s="13"/>
      <c r="I31" s="13"/>
      <c r="J31" s="13"/>
      <c r="K31" s="13">
        <f t="shared" si="6"/>
        <v>142</v>
      </c>
      <c r="L31" s="472">
        <v>4278272.5599999996</v>
      </c>
      <c r="M31" s="13">
        <v>144</v>
      </c>
      <c r="N31" s="13"/>
      <c r="O31" s="13"/>
      <c r="P31" s="13"/>
      <c r="Q31" s="13"/>
      <c r="R31" s="13"/>
      <c r="S31" s="13"/>
      <c r="T31" s="13"/>
      <c r="U31" s="13"/>
      <c r="V31" s="13">
        <f t="shared" si="7"/>
        <v>144</v>
      </c>
      <c r="W31" s="472">
        <v>4285739.5199999996</v>
      </c>
    </row>
    <row r="32" spans="1:24">
      <c r="A32" s="703" t="s">
        <v>16</v>
      </c>
      <c r="B32" s="13">
        <v>48</v>
      </c>
      <c r="C32" s="13"/>
      <c r="D32" s="13"/>
      <c r="E32" s="13"/>
      <c r="F32" s="13"/>
      <c r="G32" s="13"/>
      <c r="H32" s="13"/>
      <c r="I32" s="13"/>
      <c r="J32" s="13"/>
      <c r="K32" s="13">
        <f t="shared" si="6"/>
        <v>48</v>
      </c>
      <c r="L32" s="472">
        <v>1441459.2</v>
      </c>
      <c r="M32" s="13">
        <v>48</v>
      </c>
      <c r="N32" s="13"/>
      <c r="O32" s="13"/>
      <c r="P32" s="13"/>
      <c r="Q32" s="13"/>
      <c r="R32" s="13"/>
      <c r="S32" s="13"/>
      <c r="T32" s="13"/>
      <c r="U32" s="13"/>
      <c r="V32" s="13">
        <f t="shared" si="7"/>
        <v>48</v>
      </c>
      <c r="W32" s="472">
        <v>1425377.28</v>
      </c>
    </row>
    <row r="33" spans="1:23">
      <c r="A33" s="703" t="s">
        <v>6970</v>
      </c>
      <c r="B33" s="13">
        <v>479</v>
      </c>
      <c r="C33" s="13"/>
      <c r="D33" s="13"/>
      <c r="E33" s="13"/>
      <c r="F33" s="13"/>
      <c r="G33" s="13"/>
      <c r="H33" s="13"/>
      <c r="I33" s="13"/>
      <c r="J33" s="13"/>
      <c r="K33" s="13">
        <f t="shared" si="6"/>
        <v>479</v>
      </c>
      <c r="L33" s="472">
        <v>14335933.52</v>
      </c>
      <c r="M33" s="13">
        <v>480</v>
      </c>
      <c r="N33" s="13"/>
      <c r="O33" s="13"/>
      <c r="P33" s="13"/>
      <c r="Q33" s="13"/>
      <c r="R33" s="13"/>
      <c r="S33" s="13"/>
      <c r="T33" s="13"/>
      <c r="U33" s="13"/>
      <c r="V33" s="13">
        <f t="shared" si="7"/>
        <v>480</v>
      </c>
      <c r="W33" s="472">
        <v>14101660.799999999</v>
      </c>
    </row>
    <row r="34" spans="1:23">
      <c r="A34" s="705" t="s">
        <v>6</v>
      </c>
      <c r="B34" s="484">
        <f t="shared" ref="B34:W34" si="8">SUM(B35:B40)</f>
        <v>1259</v>
      </c>
      <c r="C34" s="484">
        <f t="shared" si="8"/>
        <v>0</v>
      </c>
      <c r="D34" s="484">
        <f t="shared" si="8"/>
        <v>0</v>
      </c>
      <c r="E34" s="484">
        <f t="shared" si="8"/>
        <v>0</v>
      </c>
      <c r="F34" s="484">
        <f t="shared" si="8"/>
        <v>0</v>
      </c>
      <c r="G34" s="484">
        <f t="shared" si="8"/>
        <v>0</v>
      </c>
      <c r="H34" s="484">
        <f t="shared" si="8"/>
        <v>0</v>
      </c>
      <c r="I34" s="484">
        <f t="shared" si="8"/>
        <v>0</v>
      </c>
      <c r="J34" s="484">
        <f t="shared" si="8"/>
        <v>0</v>
      </c>
      <c r="K34" s="484">
        <f t="shared" si="8"/>
        <v>1259</v>
      </c>
      <c r="L34" s="485">
        <f t="shared" si="8"/>
        <v>35884075.160000004</v>
      </c>
      <c r="M34" s="484">
        <f t="shared" si="8"/>
        <v>1275</v>
      </c>
      <c r="N34" s="484">
        <f t="shared" si="8"/>
        <v>0</v>
      </c>
      <c r="O34" s="484">
        <f t="shared" si="8"/>
        <v>0</v>
      </c>
      <c r="P34" s="484">
        <f t="shared" si="8"/>
        <v>0</v>
      </c>
      <c r="Q34" s="484">
        <f t="shared" si="8"/>
        <v>0</v>
      </c>
      <c r="R34" s="484">
        <f t="shared" si="8"/>
        <v>0</v>
      </c>
      <c r="S34" s="484">
        <f t="shared" si="8"/>
        <v>0</v>
      </c>
      <c r="T34" s="484">
        <f t="shared" si="8"/>
        <v>0</v>
      </c>
      <c r="U34" s="484">
        <f t="shared" si="8"/>
        <v>0</v>
      </c>
      <c r="V34" s="484">
        <f t="shared" si="8"/>
        <v>1275</v>
      </c>
      <c r="W34" s="485">
        <f t="shared" si="8"/>
        <v>37628337</v>
      </c>
    </row>
    <row r="35" spans="1:23">
      <c r="A35" s="703" t="s">
        <v>17</v>
      </c>
      <c r="B35" s="13">
        <v>623</v>
      </c>
      <c r="C35" s="13"/>
      <c r="D35" s="13"/>
      <c r="E35" s="13"/>
      <c r="F35" s="13"/>
      <c r="G35" s="13"/>
      <c r="H35" s="13"/>
      <c r="I35" s="13"/>
      <c r="J35" s="13"/>
      <c r="K35" s="13">
        <f t="shared" ref="K35:K40" si="9">SUM(B35:J35)</f>
        <v>623</v>
      </c>
      <c r="L35" s="472">
        <v>21239619.600000001</v>
      </c>
      <c r="M35" s="13">
        <v>633</v>
      </c>
      <c r="N35" s="13"/>
      <c r="O35" s="13"/>
      <c r="P35" s="13"/>
      <c r="Q35" s="13"/>
      <c r="R35" s="13"/>
      <c r="S35" s="13"/>
      <c r="T35" s="13"/>
      <c r="U35" s="13"/>
      <c r="V35" s="13">
        <f t="shared" ref="V35:V40" si="10">SUM(M35:U35)</f>
        <v>633</v>
      </c>
      <c r="W35" s="472">
        <v>18894923.399999999</v>
      </c>
    </row>
    <row r="36" spans="1:23">
      <c r="A36" s="703" t="s">
        <v>6969</v>
      </c>
      <c r="B36" s="13">
        <v>67</v>
      </c>
      <c r="C36" s="13"/>
      <c r="D36" s="13"/>
      <c r="E36" s="13"/>
      <c r="F36" s="13"/>
      <c r="G36" s="13"/>
      <c r="H36" s="13"/>
      <c r="I36" s="13"/>
      <c r="J36" s="13"/>
      <c r="K36" s="13">
        <f t="shared" si="9"/>
        <v>67</v>
      </c>
      <c r="L36" s="472">
        <v>2071807.7999999998</v>
      </c>
      <c r="M36" s="13">
        <v>67</v>
      </c>
      <c r="N36" s="13"/>
      <c r="O36" s="13"/>
      <c r="P36" s="13"/>
      <c r="Q36" s="13"/>
      <c r="R36" s="13"/>
      <c r="S36" s="13"/>
      <c r="T36" s="13"/>
      <c r="U36" s="13"/>
      <c r="V36" s="13">
        <f t="shared" si="10"/>
        <v>67</v>
      </c>
      <c r="W36" s="472">
        <v>1985689.7199999997</v>
      </c>
    </row>
    <row r="37" spans="1:23">
      <c r="A37" s="703" t="s">
        <v>6968</v>
      </c>
      <c r="B37" s="13">
        <v>107</v>
      </c>
      <c r="C37" s="13"/>
      <c r="D37" s="13"/>
      <c r="E37" s="13"/>
      <c r="F37" s="13"/>
      <c r="G37" s="13"/>
      <c r="H37" s="13"/>
      <c r="I37" s="13"/>
      <c r="J37" s="13"/>
      <c r="K37" s="13">
        <f t="shared" si="9"/>
        <v>107</v>
      </c>
      <c r="L37" s="472">
        <v>3261737.8</v>
      </c>
      <c r="M37" s="13">
        <v>108</v>
      </c>
      <c r="N37" s="13"/>
      <c r="O37" s="13"/>
      <c r="P37" s="13"/>
      <c r="Q37" s="13"/>
      <c r="R37" s="13"/>
      <c r="S37" s="13"/>
      <c r="T37" s="13"/>
      <c r="U37" s="13"/>
      <c r="V37" s="13">
        <f t="shared" si="10"/>
        <v>108</v>
      </c>
      <c r="W37" s="472">
        <v>3185701.92</v>
      </c>
    </row>
    <row r="38" spans="1:23">
      <c r="A38" s="703" t="s">
        <v>6967</v>
      </c>
      <c r="B38" s="13">
        <v>144</v>
      </c>
      <c r="C38" s="13"/>
      <c r="D38" s="13"/>
      <c r="E38" s="13"/>
      <c r="F38" s="13"/>
      <c r="G38" s="13"/>
      <c r="H38" s="13"/>
      <c r="I38" s="13"/>
      <c r="J38" s="13"/>
      <c r="K38" s="13">
        <f t="shared" si="9"/>
        <v>144</v>
      </c>
      <c r="L38" s="472">
        <v>5338603.4000000004</v>
      </c>
      <c r="M38" s="13">
        <v>145</v>
      </c>
      <c r="N38" s="13"/>
      <c r="O38" s="13"/>
      <c r="P38" s="13"/>
      <c r="Q38" s="13"/>
      <c r="R38" s="13"/>
      <c r="S38" s="13"/>
      <c r="T38" s="13"/>
      <c r="U38" s="13"/>
      <c r="V38" s="13">
        <f t="shared" si="10"/>
        <v>145</v>
      </c>
      <c r="W38" s="472">
        <v>4259456.2</v>
      </c>
    </row>
    <row r="39" spans="1:23">
      <c r="A39" s="703" t="s">
        <v>18</v>
      </c>
      <c r="B39" s="13">
        <v>2</v>
      </c>
      <c r="C39" s="13"/>
      <c r="D39" s="13"/>
      <c r="E39" s="13"/>
      <c r="F39" s="13"/>
      <c r="G39" s="13"/>
      <c r="H39" s="13"/>
      <c r="I39" s="13"/>
      <c r="J39" s="13"/>
      <c r="K39" s="13">
        <f t="shared" si="9"/>
        <v>2</v>
      </c>
      <c r="L39" s="472">
        <v>832306.72</v>
      </c>
      <c r="M39" s="13">
        <v>2</v>
      </c>
      <c r="N39" s="13"/>
      <c r="O39" s="13"/>
      <c r="P39" s="13"/>
      <c r="Q39" s="13"/>
      <c r="R39" s="13"/>
      <c r="S39" s="13"/>
      <c r="T39" s="13"/>
      <c r="U39" s="13"/>
      <c r="V39" s="13">
        <f t="shared" si="10"/>
        <v>2</v>
      </c>
      <c r="W39" s="472">
        <v>58269.68</v>
      </c>
    </row>
    <row r="40" spans="1:23">
      <c r="A40" s="703" t="s">
        <v>6966</v>
      </c>
      <c r="B40" s="13">
        <v>316</v>
      </c>
      <c r="C40" s="13"/>
      <c r="D40" s="13"/>
      <c r="E40" s="13"/>
      <c r="F40" s="13"/>
      <c r="G40" s="13"/>
      <c r="H40" s="13"/>
      <c r="I40" s="13"/>
      <c r="J40" s="13"/>
      <c r="K40" s="13">
        <f t="shared" si="9"/>
        <v>316</v>
      </c>
      <c r="L40" s="472">
        <v>3139999.8400000003</v>
      </c>
      <c r="M40" s="13">
        <v>320</v>
      </c>
      <c r="N40" s="13"/>
      <c r="O40" s="13"/>
      <c r="P40" s="13"/>
      <c r="Q40" s="13"/>
      <c r="R40" s="13"/>
      <c r="S40" s="13"/>
      <c r="T40" s="13"/>
      <c r="U40" s="13"/>
      <c r="V40" s="13">
        <f t="shared" si="10"/>
        <v>320</v>
      </c>
      <c r="W40" s="472">
        <v>9244296.0800000001</v>
      </c>
    </row>
    <row r="41" spans="1:23" hidden="1">
      <c r="A41" s="703" t="s">
        <v>7055</v>
      </c>
      <c r="B41" s="13"/>
      <c r="C41" s="13"/>
      <c r="D41" s="13"/>
      <c r="E41" s="13"/>
      <c r="F41" s="13"/>
      <c r="G41" s="13"/>
      <c r="H41" s="13"/>
      <c r="I41" s="13"/>
      <c r="J41" s="13"/>
      <c r="K41" s="13"/>
      <c r="L41" s="16"/>
      <c r="M41" s="13"/>
      <c r="N41" s="13"/>
      <c r="O41" s="13"/>
      <c r="P41" s="13"/>
      <c r="Q41" s="13"/>
      <c r="R41" s="13"/>
      <c r="S41" s="13"/>
      <c r="T41" s="13"/>
      <c r="U41" s="13"/>
      <c r="V41" s="13"/>
      <c r="W41" s="472"/>
    </row>
    <row r="42" spans="1:23">
      <c r="A42" s="705" t="s">
        <v>7064</v>
      </c>
      <c r="B42" s="484">
        <f t="shared" ref="B42:W42" si="11">SUM(B43:B44)</f>
        <v>0</v>
      </c>
      <c r="C42" s="484">
        <f t="shared" si="11"/>
        <v>35</v>
      </c>
      <c r="D42" s="484">
        <f t="shared" si="11"/>
        <v>0</v>
      </c>
      <c r="E42" s="484">
        <f t="shared" si="11"/>
        <v>0</v>
      </c>
      <c r="F42" s="484">
        <f t="shared" si="11"/>
        <v>0</v>
      </c>
      <c r="G42" s="484">
        <f t="shared" si="11"/>
        <v>0</v>
      </c>
      <c r="H42" s="484">
        <f t="shared" si="11"/>
        <v>0</v>
      </c>
      <c r="I42" s="484">
        <f t="shared" si="11"/>
        <v>0</v>
      </c>
      <c r="J42" s="484">
        <f t="shared" si="11"/>
        <v>0</v>
      </c>
      <c r="K42" s="484">
        <f t="shared" si="11"/>
        <v>35</v>
      </c>
      <c r="L42" s="485">
        <f t="shared" si="11"/>
        <v>597249.79999999993</v>
      </c>
      <c r="M42" s="484">
        <f t="shared" si="11"/>
        <v>0</v>
      </c>
      <c r="N42" s="484">
        <f t="shared" si="11"/>
        <v>36</v>
      </c>
      <c r="O42" s="484">
        <f t="shared" si="11"/>
        <v>0</v>
      </c>
      <c r="P42" s="484">
        <f t="shared" si="11"/>
        <v>0</v>
      </c>
      <c r="Q42" s="484">
        <f t="shared" si="11"/>
        <v>0</v>
      </c>
      <c r="R42" s="484">
        <f t="shared" si="11"/>
        <v>0</v>
      </c>
      <c r="S42" s="484">
        <f t="shared" si="11"/>
        <v>0</v>
      </c>
      <c r="T42" s="484">
        <f t="shared" si="11"/>
        <v>0</v>
      </c>
      <c r="U42" s="484">
        <f t="shared" si="11"/>
        <v>0</v>
      </c>
      <c r="V42" s="484">
        <f t="shared" si="11"/>
        <v>36</v>
      </c>
      <c r="W42" s="485">
        <f t="shared" si="11"/>
        <v>623396.81828571425</v>
      </c>
    </row>
    <row r="43" spans="1:23" hidden="1">
      <c r="A43" s="703" t="s">
        <v>7053</v>
      </c>
      <c r="B43" s="13">
        <v>0</v>
      </c>
      <c r="C43" s="13"/>
      <c r="D43" s="13"/>
      <c r="E43" s="13"/>
      <c r="F43" s="13"/>
      <c r="G43" s="13"/>
      <c r="H43" s="13"/>
      <c r="I43" s="13"/>
      <c r="J43" s="13"/>
      <c r="K43" s="13">
        <f>SUM(B43:J43)</f>
        <v>0</v>
      </c>
      <c r="L43" s="472"/>
      <c r="M43" s="13"/>
      <c r="N43" s="13"/>
      <c r="O43" s="13"/>
      <c r="P43" s="13"/>
      <c r="Q43" s="13"/>
      <c r="R43" s="13"/>
      <c r="S43" s="13"/>
      <c r="T43" s="13"/>
      <c r="U43" s="13"/>
      <c r="V43" s="13">
        <f>SUM(M43:U43)</f>
        <v>0</v>
      </c>
      <c r="W43" s="472"/>
    </row>
    <row r="44" spans="1:23">
      <c r="A44" s="703" t="s">
        <v>57</v>
      </c>
      <c r="B44" s="13">
        <v>0</v>
      </c>
      <c r="C44" s="13">
        <v>35</v>
      </c>
      <c r="D44" s="13"/>
      <c r="E44" s="13"/>
      <c r="F44" s="13"/>
      <c r="G44" s="13"/>
      <c r="H44" s="13"/>
      <c r="I44" s="13"/>
      <c r="J44" s="13"/>
      <c r="K44" s="13">
        <f>SUM(B44:J44)</f>
        <v>35</v>
      </c>
      <c r="L44" s="472">
        <v>597249.79999999993</v>
      </c>
      <c r="M44" s="13"/>
      <c r="N44" s="13">
        <v>36</v>
      </c>
      <c r="O44" s="13"/>
      <c r="P44" s="13"/>
      <c r="Q44" s="13"/>
      <c r="R44" s="13"/>
      <c r="S44" s="13"/>
      <c r="T44" s="13"/>
      <c r="U44" s="13"/>
      <c r="V44" s="13">
        <f>SUM(M44:U44)</f>
        <v>36</v>
      </c>
      <c r="W44" s="472">
        <v>623396.81828571425</v>
      </c>
    </row>
    <row r="45" spans="1:23" hidden="1">
      <c r="A45" s="703"/>
      <c r="B45" s="13"/>
      <c r="C45" s="13"/>
      <c r="D45" s="13"/>
      <c r="E45" s="13"/>
      <c r="F45" s="13"/>
      <c r="G45" s="13"/>
      <c r="H45" s="13"/>
      <c r="I45" s="13"/>
      <c r="J45" s="13"/>
      <c r="K45" s="13">
        <f>SUM(B45:J45)</f>
        <v>0</v>
      </c>
      <c r="L45" s="16"/>
      <c r="M45" s="13"/>
      <c r="N45" s="13"/>
      <c r="O45" s="13"/>
      <c r="P45" s="13"/>
      <c r="Q45" s="13"/>
      <c r="R45" s="13"/>
      <c r="S45" s="13"/>
      <c r="T45" s="13"/>
      <c r="U45" s="13"/>
      <c r="V45" s="13">
        <f>SUM(M45:U45)</f>
        <v>0</v>
      </c>
      <c r="W45" s="472"/>
    </row>
    <row r="46" spans="1:23" hidden="1">
      <c r="A46" s="705" t="s">
        <v>7052</v>
      </c>
      <c r="B46" s="484"/>
      <c r="C46" s="484"/>
      <c r="D46" s="484"/>
      <c r="E46" s="484"/>
      <c r="F46" s="484"/>
      <c r="G46" s="484"/>
      <c r="H46" s="484"/>
      <c r="I46" s="484"/>
      <c r="J46" s="484"/>
      <c r="K46" s="484"/>
      <c r="L46" s="483"/>
      <c r="M46" s="484"/>
      <c r="N46" s="484"/>
      <c r="O46" s="484"/>
      <c r="P46" s="484"/>
      <c r="Q46" s="484"/>
      <c r="R46" s="484"/>
      <c r="S46" s="484"/>
      <c r="T46" s="484"/>
      <c r="U46" s="484"/>
      <c r="V46" s="484"/>
      <c r="W46" s="485"/>
    </row>
    <row r="47" spans="1:23" hidden="1">
      <c r="A47" s="703" t="s">
        <v>7051</v>
      </c>
      <c r="B47" s="13"/>
      <c r="C47" s="13"/>
      <c r="D47" s="13"/>
      <c r="E47" s="13"/>
      <c r="F47" s="13"/>
      <c r="G47" s="13"/>
      <c r="H47" s="13"/>
      <c r="I47" s="13"/>
      <c r="J47" s="13"/>
      <c r="K47" s="13">
        <f>SUM(B47:J47)</f>
        <v>0</v>
      </c>
      <c r="L47" s="16"/>
      <c r="M47" s="13"/>
      <c r="N47" s="13"/>
      <c r="O47" s="13"/>
      <c r="P47" s="13"/>
      <c r="Q47" s="13"/>
      <c r="R47" s="13"/>
      <c r="S47" s="13"/>
      <c r="T47" s="13"/>
      <c r="U47" s="13"/>
      <c r="V47" s="13">
        <f>SUM(M47:U47)</f>
        <v>0</v>
      </c>
      <c r="W47" s="472"/>
    </row>
    <row r="48" spans="1:23" hidden="1">
      <c r="A48" s="703" t="s">
        <v>7050</v>
      </c>
      <c r="B48" s="13"/>
      <c r="C48" s="13"/>
      <c r="D48" s="13"/>
      <c r="E48" s="13"/>
      <c r="F48" s="13"/>
      <c r="G48" s="13"/>
      <c r="H48" s="13"/>
      <c r="I48" s="13"/>
      <c r="J48" s="13"/>
      <c r="K48" s="13">
        <f>SUM(B48:J48)</f>
        <v>0</v>
      </c>
      <c r="L48" s="16"/>
      <c r="M48" s="13"/>
      <c r="N48" s="13"/>
      <c r="O48" s="13"/>
      <c r="P48" s="13"/>
      <c r="Q48" s="13"/>
      <c r="R48" s="13"/>
      <c r="S48" s="13"/>
      <c r="T48" s="13"/>
      <c r="U48" s="13"/>
      <c r="V48" s="13">
        <f>SUM(M48:U48)</f>
        <v>0</v>
      </c>
      <c r="W48" s="472"/>
    </row>
    <row r="49" spans="1:23" hidden="1">
      <c r="A49" s="703" t="s">
        <v>7049</v>
      </c>
      <c r="B49" s="13"/>
      <c r="C49" s="13"/>
      <c r="D49" s="13"/>
      <c r="E49" s="13"/>
      <c r="F49" s="13"/>
      <c r="G49" s="13"/>
      <c r="H49" s="13"/>
      <c r="I49" s="13"/>
      <c r="J49" s="13"/>
      <c r="K49" s="13">
        <f>SUM(B49:J49)</f>
        <v>0</v>
      </c>
      <c r="L49" s="16"/>
      <c r="M49" s="13"/>
      <c r="N49" s="13"/>
      <c r="O49" s="13"/>
      <c r="P49" s="13"/>
      <c r="Q49" s="13"/>
      <c r="R49" s="13"/>
      <c r="S49" s="13"/>
      <c r="T49" s="13"/>
      <c r="U49" s="13"/>
      <c r="V49" s="13">
        <f>SUM(M49:U49)</f>
        <v>0</v>
      </c>
      <c r="W49" s="472"/>
    </row>
    <row r="50" spans="1:23">
      <c r="A50" s="704" t="s">
        <v>51</v>
      </c>
      <c r="B50" s="482">
        <f t="shared" ref="B50:W50" si="12">SUM(B51:B66)</f>
        <v>153</v>
      </c>
      <c r="C50" s="482">
        <f t="shared" si="12"/>
        <v>0</v>
      </c>
      <c r="D50" s="482">
        <f t="shared" si="12"/>
        <v>0</v>
      </c>
      <c r="E50" s="482">
        <f t="shared" si="12"/>
        <v>0</v>
      </c>
      <c r="F50" s="482">
        <f t="shared" si="12"/>
        <v>0</v>
      </c>
      <c r="G50" s="482">
        <f t="shared" si="12"/>
        <v>0</v>
      </c>
      <c r="H50" s="482">
        <f t="shared" si="12"/>
        <v>0</v>
      </c>
      <c r="I50" s="482">
        <f t="shared" si="12"/>
        <v>0</v>
      </c>
      <c r="J50" s="482">
        <f t="shared" si="12"/>
        <v>0</v>
      </c>
      <c r="K50" s="482">
        <f t="shared" si="12"/>
        <v>153</v>
      </c>
      <c r="L50" s="474">
        <f t="shared" si="12"/>
        <v>3517844.7600000002</v>
      </c>
      <c r="M50" s="482">
        <f t="shared" si="12"/>
        <v>155</v>
      </c>
      <c r="N50" s="482">
        <f t="shared" si="12"/>
        <v>0</v>
      </c>
      <c r="O50" s="482">
        <f t="shared" si="12"/>
        <v>0</v>
      </c>
      <c r="P50" s="482">
        <f t="shared" si="12"/>
        <v>0</v>
      </c>
      <c r="Q50" s="482">
        <f t="shared" si="12"/>
        <v>0</v>
      </c>
      <c r="R50" s="482">
        <f t="shared" si="12"/>
        <v>0</v>
      </c>
      <c r="S50" s="482">
        <f t="shared" si="12"/>
        <v>0</v>
      </c>
      <c r="T50" s="482">
        <f t="shared" si="12"/>
        <v>0</v>
      </c>
      <c r="U50" s="482">
        <f t="shared" si="12"/>
        <v>0</v>
      </c>
      <c r="V50" s="482">
        <f t="shared" si="12"/>
        <v>155</v>
      </c>
      <c r="W50" s="474">
        <f t="shared" si="12"/>
        <v>3722243.5999999996</v>
      </c>
    </row>
    <row r="51" spans="1:23" ht="14.25" hidden="1">
      <c r="A51" s="706" t="s">
        <v>7048</v>
      </c>
      <c r="B51" s="13">
        <v>0</v>
      </c>
      <c r="C51" s="13"/>
      <c r="D51" s="13"/>
      <c r="E51" s="13"/>
      <c r="F51" s="13"/>
      <c r="G51" s="13"/>
      <c r="H51" s="13"/>
      <c r="I51" s="13"/>
      <c r="J51" s="13"/>
      <c r="K51" s="13">
        <f t="shared" ref="K51:K66" si="13">SUM(B51:J51)</f>
        <v>0</v>
      </c>
      <c r="L51" s="472"/>
      <c r="M51" s="13"/>
      <c r="N51" s="13"/>
      <c r="O51" s="13"/>
      <c r="P51" s="13"/>
      <c r="Q51" s="13"/>
      <c r="R51" s="13"/>
      <c r="S51" s="13"/>
      <c r="T51" s="13"/>
      <c r="U51" s="13"/>
      <c r="V51" s="13">
        <f t="shared" ref="V51:V66" si="14">SUM(M51:U51)</f>
        <v>0</v>
      </c>
      <c r="W51" s="472"/>
    </row>
    <row r="52" spans="1:23" ht="14.25">
      <c r="A52" s="706" t="s">
        <v>7047</v>
      </c>
      <c r="B52" s="13">
        <v>10</v>
      </c>
      <c r="C52" s="13"/>
      <c r="D52" s="13"/>
      <c r="E52" s="13"/>
      <c r="F52" s="13"/>
      <c r="G52" s="13"/>
      <c r="H52" s="13"/>
      <c r="I52" s="13"/>
      <c r="J52" s="13"/>
      <c r="K52" s="13">
        <f t="shared" si="13"/>
        <v>10</v>
      </c>
      <c r="L52" s="472">
        <v>379652.8</v>
      </c>
      <c r="M52" s="13">
        <v>10</v>
      </c>
      <c r="N52" s="13"/>
      <c r="O52" s="13"/>
      <c r="P52" s="13"/>
      <c r="Q52" s="13"/>
      <c r="R52" s="13"/>
      <c r="S52" s="13"/>
      <c r="T52" s="13"/>
      <c r="U52" s="13"/>
      <c r="V52" s="13">
        <f t="shared" si="14"/>
        <v>10</v>
      </c>
      <c r="W52" s="472">
        <v>341214.39999999997</v>
      </c>
    </row>
    <row r="53" spans="1:23" ht="14.25">
      <c r="A53" s="706" t="s">
        <v>7046</v>
      </c>
      <c r="B53" s="13">
        <v>2</v>
      </c>
      <c r="C53" s="13"/>
      <c r="D53" s="13"/>
      <c r="E53" s="13"/>
      <c r="F53" s="13"/>
      <c r="G53" s="13"/>
      <c r="H53" s="13"/>
      <c r="I53" s="13"/>
      <c r="J53" s="13"/>
      <c r="K53" s="13">
        <f t="shared" si="13"/>
        <v>2</v>
      </c>
      <c r="L53" s="472">
        <v>69209.600000000006</v>
      </c>
      <c r="M53" s="13">
        <v>2</v>
      </c>
      <c r="N53" s="13"/>
      <c r="O53" s="13"/>
      <c r="P53" s="13"/>
      <c r="Q53" s="13"/>
      <c r="R53" s="13"/>
      <c r="S53" s="13"/>
      <c r="T53" s="13"/>
      <c r="U53" s="13"/>
      <c r="V53" s="13">
        <f t="shared" si="14"/>
        <v>2</v>
      </c>
      <c r="W53" s="472">
        <v>82963.520000000004</v>
      </c>
    </row>
    <row r="54" spans="1:23" ht="14.25">
      <c r="A54" s="706" t="s">
        <v>7045</v>
      </c>
      <c r="B54" s="13">
        <v>10</v>
      </c>
      <c r="C54" s="13"/>
      <c r="D54" s="13"/>
      <c r="E54" s="13"/>
      <c r="F54" s="13"/>
      <c r="G54" s="13"/>
      <c r="H54" s="13"/>
      <c r="I54" s="13"/>
      <c r="J54" s="13"/>
      <c r="K54" s="13">
        <f t="shared" si="13"/>
        <v>10</v>
      </c>
      <c r="L54" s="472">
        <v>312443.2</v>
      </c>
      <c r="M54" s="13">
        <v>10</v>
      </c>
      <c r="N54" s="13"/>
      <c r="O54" s="13"/>
      <c r="P54" s="13"/>
      <c r="Q54" s="13"/>
      <c r="R54" s="13"/>
      <c r="S54" s="13"/>
      <c r="T54" s="13"/>
      <c r="U54" s="13"/>
      <c r="V54" s="13">
        <f t="shared" si="14"/>
        <v>10</v>
      </c>
      <c r="W54" s="472">
        <v>313613.19999999995</v>
      </c>
    </row>
    <row r="55" spans="1:23" ht="14.25">
      <c r="A55" s="706" t="s">
        <v>7044</v>
      </c>
      <c r="B55" s="13">
        <v>1</v>
      </c>
      <c r="C55" s="13"/>
      <c r="D55" s="13"/>
      <c r="E55" s="13"/>
      <c r="F55" s="13"/>
      <c r="G55" s="13"/>
      <c r="H55" s="13"/>
      <c r="I55" s="13"/>
      <c r="J55" s="13"/>
      <c r="K55" s="13">
        <f t="shared" si="13"/>
        <v>1</v>
      </c>
      <c r="L55" s="472">
        <v>28723.96</v>
      </c>
      <c r="M55" s="13">
        <v>1</v>
      </c>
      <c r="N55" s="13"/>
      <c r="O55" s="13"/>
      <c r="P55" s="13"/>
      <c r="Q55" s="13"/>
      <c r="R55" s="13"/>
      <c r="S55" s="13"/>
      <c r="T55" s="13"/>
      <c r="U55" s="13"/>
      <c r="V55" s="13">
        <f t="shared" si="14"/>
        <v>1</v>
      </c>
      <c r="W55" s="472">
        <v>37801.600000000006</v>
      </c>
    </row>
    <row r="56" spans="1:23" ht="14.25">
      <c r="A56" s="706" t="s">
        <v>7043</v>
      </c>
      <c r="B56" s="13">
        <v>72</v>
      </c>
      <c r="C56" s="13"/>
      <c r="D56" s="13"/>
      <c r="E56" s="13"/>
      <c r="F56" s="13"/>
      <c r="G56" s="13"/>
      <c r="H56" s="13"/>
      <c r="I56" s="13"/>
      <c r="J56" s="13"/>
      <c r="K56" s="13">
        <f t="shared" si="13"/>
        <v>72</v>
      </c>
      <c r="L56" s="472">
        <v>1886659.2000000002</v>
      </c>
      <c r="M56" s="13">
        <v>72</v>
      </c>
      <c r="N56" s="13"/>
      <c r="O56" s="13"/>
      <c r="P56" s="13"/>
      <c r="Q56" s="13"/>
      <c r="R56" s="13"/>
      <c r="S56" s="13"/>
      <c r="T56" s="13"/>
      <c r="U56" s="13"/>
      <c r="V56" s="13">
        <f t="shared" si="14"/>
        <v>72</v>
      </c>
      <c r="W56" s="472">
        <v>2059286.4</v>
      </c>
    </row>
    <row r="57" spans="1:23" hidden="1">
      <c r="A57" s="703" t="s">
        <v>7012</v>
      </c>
      <c r="B57" s="13"/>
      <c r="C57" s="13"/>
      <c r="D57" s="13"/>
      <c r="E57" s="13"/>
      <c r="F57" s="13"/>
      <c r="G57" s="13"/>
      <c r="H57" s="13"/>
      <c r="I57" s="13"/>
      <c r="J57" s="13"/>
      <c r="K57" s="13">
        <f t="shared" si="13"/>
        <v>0</v>
      </c>
      <c r="L57" s="472"/>
      <c r="M57" s="13"/>
      <c r="N57" s="13"/>
      <c r="O57" s="13"/>
      <c r="P57" s="13"/>
      <c r="Q57" s="13"/>
      <c r="R57" s="13"/>
      <c r="S57" s="13"/>
      <c r="T57" s="13"/>
      <c r="U57" s="13"/>
      <c r="V57" s="13">
        <f t="shared" si="14"/>
        <v>0</v>
      </c>
      <c r="W57" s="472"/>
    </row>
    <row r="58" spans="1:23" hidden="1">
      <c r="A58" s="703" t="s">
        <v>7011</v>
      </c>
      <c r="B58" s="13"/>
      <c r="C58" s="13"/>
      <c r="D58" s="13"/>
      <c r="E58" s="13"/>
      <c r="F58" s="13"/>
      <c r="G58" s="13"/>
      <c r="H58" s="13"/>
      <c r="I58" s="13"/>
      <c r="J58" s="13"/>
      <c r="K58" s="13">
        <f t="shared" si="13"/>
        <v>0</v>
      </c>
      <c r="L58" s="472"/>
      <c r="M58" s="13"/>
      <c r="N58" s="13"/>
      <c r="O58" s="13"/>
      <c r="P58" s="13"/>
      <c r="Q58" s="13"/>
      <c r="R58" s="13"/>
      <c r="S58" s="13"/>
      <c r="T58" s="13"/>
      <c r="U58" s="13"/>
      <c r="V58" s="13">
        <f t="shared" si="14"/>
        <v>0</v>
      </c>
      <c r="W58" s="472"/>
    </row>
    <row r="59" spans="1:23" hidden="1">
      <c r="A59" s="703" t="s">
        <v>7042</v>
      </c>
      <c r="B59" s="13"/>
      <c r="C59" s="13"/>
      <c r="D59" s="13"/>
      <c r="E59" s="13"/>
      <c r="F59" s="13"/>
      <c r="G59" s="13"/>
      <c r="H59" s="13"/>
      <c r="I59" s="13"/>
      <c r="J59" s="13"/>
      <c r="K59" s="13">
        <f t="shared" si="13"/>
        <v>0</v>
      </c>
      <c r="L59" s="472"/>
      <c r="M59" s="13"/>
      <c r="N59" s="13"/>
      <c r="O59" s="13"/>
      <c r="P59" s="13"/>
      <c r="Q59" s="13"/>
      <c r="R59" s="13"/>
      <c r="S59" s="13"/>
      <c r="T59" s="13"/>
      <c r="U59" s="13"/>
      <c r="V59" s="13">
        <f t="shared" si="14"/>
        <v>0</v>
      </c>
      <c r="W59" s="472"/>
    </row>
    <row r="60" spans="1:23" hidden="1">
      <c r="A60" s="703" t="s">
        <v>7041</v>
      </c>
      <c r="B60" s="13"/>
      <c r="C60" s="13"/>
      <c r="D60" s="13"/>
      <c r="E60" s="13"/>
      <c r="F60" s="13"/>
      <c r="G60" s="13"/>
      <c r="H60" s="13"/>
      <c r="I60" s="13"/>
      <c r="J60" s="13"/>
      <c r="K60" s="13">
        <f t="shared" si="13"/>
        <v>0</v>
      </c>
      <c r="L60" s="472"/>
      <c r="M60" s="13"/>
      <c r="N60" s="13"/>
      <c r="O60" s="13"/>
      <c r="P60" s="13"/>
      <c r="Q60" s="13"/>
      <c r="R60" s="13"/>
      <c r="S60" s="13"/>
      <c r="T60" s="13"/>
      <c r="U60" s="13"/>
      <c r="V60" s="13">
        <f t="shared" si="14"/>
        <v>0</v>
      </c>
      <c r="W60" s="472"/>
    </row>
    <row r="61" spans="1:23" hidden="1">
      <c r="A61" s="703" t="s">
        <v>7040</v>
      </c>
      <c r="B61" s="13"/>
      <c r="C61" s="13"/>
      <c r="D61" s="13"/>
      <c r="E61" s="13"/>
      <c r="F61" s="13"/>
      <c r="G61" s="13"/>
      <c r="H61" s="13"/>
      <c r="I61" s="13"/>
      <c r="J61" s="13"/>
      <c r="K61" s="13">
        <f t="shared" si="13"/>
        <v>0</v>
      </c>
      <c r="L61" s="472"/>
      <c r="M61" s="13"/>
      <c r="N61" s="13"/>
      <c r="O61" s="13"/>
      <c r="P61" s="13"/>
      <c r="Q61" s="13"/>
      <c r="R61" s="13"/>
      <c r="S61" s="13"/>
      <c r="T61" s="13"/>
      <c r="U61" s="13"/>
      <c r="V61" s="13">
        <f t="shared" si="14"/>
        <v>0</v>
      </c>
      <c r="W61" s="472"/>
    </row>
    <row r="62" spans="1:23" hidden="1">
      <c r="A62" s="703" t="s">
        <v>7039</v>
      </c>
      <c r="B62" s="13"/>
      <c r="C62" s="13"/>
      <c r="D62" s="13"/>
      <c r="E62" s="13"/>
      <c r="F62" s="13"/>
      <c r="G62" s="13"/>
      <c r="H62" s="13"/>
      <c r="I62" s="13"/>
      <c r="J62" s="13"/>
      <c r="K62" s="13">
        <f t="shared" si="13"/>
        <v>0</v>
      </c>
      <c r="L62" s="472"/>
      <c r="M62" s="13"/>
      <c r="N62" s="13"/>
      <c r="O62" s="13"/>
      <c r="P62" s="13"/>
      <c r="Q62" s="13"/>
      <c r="R62" s="13"/>
      <c r="S62" s="13"/>
      <c r="T62" s="13"/>
      <c r="U62" s="13"/>
      <c r="V62" s="13">
        <f t="shared" si="14"/>
        <v>0</v>
      </c>
      <c r="W62" s="472"/>
    </row>
    <row r="63" spans="1:23">
      <c r="A63" s="703" t="s">
        <v>7038</v>
      </c>
      <c r="B63" s="13">
        <v>11</v>
      </c>
      <c r="C63" s="13"/>
      <c r="D63" s="13"/>
      <c r="E63" s="13"/>
      <c r="F63" s="13"/>
      <c r="G63" s="13"/>
      <c r="H63" s="13"/>
      <c r="I63" s="13"/>
      <c r="J63" s="13"/>
      <c r="K63" s="13">
        <f t="shared" si="13"/>
        <v>11</v>
      </c>
      <c r="L63" s="472">
        <v>160252.40000000002</v>
      </c>
      <c r="M63" s="13">
        <v>15</v>
      </c>
      <c r="N63" s="13"/>
      <c r="O63" s="13"/>
      <c r="P63" s="13"/>
      <c r="Q63" s="13"/>
      <c r="R63" s="13"/>
      <c r="S63" s="13"/>
      <c r="T63" s="13"/>
      <c r="U63" s="13"/>
      <c r="V63" s="13">
        <f t="shared" si="14"/>
        <v>15</v>
      </c>
      <c r="W63" s="472">
        <v>255715.8</v>
      </c>
    </row>
    <row r="64" spans="1:23">
      <c r="A64" s="703" t="s">
        <v>7037</v>
      </c>
      <c r="B64" s="13"/>
      <c r="C64" s="13"/>
      <c r="D64" s="13"/>
      <c r="E64" s="13"/>
      <c r="F64" s="13"/>
      <c r="G64" s="13"/>
      <c r="H64" s="13"/>
      <c r="I64" s="13"/>
      <c r="J64" s="13"/>
      <c r="K64" s="13">
        <f t="shared" si="13"/>
        <v>0</v>
      </c>
      <c r="L64" s="472"/>
      <c r="M64" s="13">
        <v>11</v>
      </c>
      <c r="N64" s="13"/>
      <c r="O64" s="13"/>
      <c r="P64" s="13"/>
      <c r="Q64" s="13"/>
      <c r="R64" s="13"/>
      <c r="S64" s="13"/>
      <c r="T64" s="13"/>
      <c r="U64" s="13"/>
      <c r="V64" s="13">
        <f t="shared" si="14"/>
        <v>11</v>
      </c>
      <c r="W64" s="472">
        <v>147465.56</v>
      </c>
    </row>
    <row r="65" spans="1:23">
      <c r="A65" s="703" t="s">
        <v>7036</v>
      </c>
      <c r="B65" s="13">
        <v>13</v>
      </c>
      <c r="C65" s="13"/>
      <c r="D65" s="13"/>
      <c r="E65" s="13"/>
      <c r="F65" s="13"/>
      <c r="G65" s="13"/>
      <c r="H65" s="13"/>
      <c r="I65" s="13"/>
      <c r="J65" s="13"/>
      <c r="K65" s="13">
        <f t="shared" si="13"/>
        <v>13</v>
      </c>
      <c r="L65" s="472">
        <v>189205.12</v>
      </c>
      <c r="M65" s="13">
        <v>34</v>
      </c>
      <c r="N65" s="13"/>
      <c r="O65" s="13"/>
      <c r="P65" s="13"/>
      <c r="Q65" s="13"/>
      <c r="R65" s="13"/>
      <c r="S65" s="13"/>
      <c r="T65" s="13"/>
      <c r="U65" s="13"/>
      <c r="V65" s="13">
        <f t="shared" si="14"/>
        <v>34</v>
      </c>
      <c r="W65" s="472">
        <v>484183.12</v>
      </c>
    </row>
    <row r="66" spans="1:23">
      <c r="A66" s="703" t="s">
        <v>7035</v>
      </c>
      <c r="B66" s="13">
        <v>34</v>
      </c>
      <c r="C66" s="13"/>
      <c r="D66" s="13"/>
      <c r="E66" s="13"/>
      <c r="F66" s="13"/>
      <c r="G66" s="13"/>
      <c r="H66" s="13"/>
      <c r="I66" s="13"/>
      <c r="J66" s="13"/>
      <c r="K66" s="13">
        <f t="shared" si="13"/>
        <v>34</v>
      </c>
      <c r="L66" s="472">
        <v>491698.48</v>
      </c>
      <c r="M66" s="13"/>
      <c r="N66" s="13"/>
      <c r="O66" s="13"/>
      <c r="P66" s="13"/>
      <c r="Q66" s="13"/>
      <c r="R66" s="13"/>
      <c r="S66" s="13"/>
      <c r="T66" s="13"/>
      <c r="U66" s="13"/>
      <c r="V66" s="13">
        <f t="shared" si="14"/>
        <v>0</v>
      </c>
      <c r="W66" s="472"/>
    </row>
    <row r="67" spans="1:23">
      <c r="A67" s="704" t="s">
        <v>54</v>
      </c>
      <c r="B67" s="482">
        <f t="shared" ref="B67:W67" si="15">SUM(B68:B78)</f>
        <v>239</v>
      </c>
      <c r="C67" s="482">
        <f t="shared" si="15"/>
        <v>0</v>
      </c>
      <c r="D67" s="482">
        <f t="shared" si="15"/>
        <v>0</v>
      </c>
      <c r="E67" s="482">
        <f t="shared" si="15"/>
        <v>0</v>
      </c>
      <c r="F67" s="482">
        <f t="shared" si="15"/>
        <v>0</v>
      </c>
      <c r="G67" s="482">
        <f t="shared" si="15"/>
        <v>0</v>
      </c>
      <c r="H67" s="482">
        <f t="shared" si="15"/>
        <v>0</v>
      </c>
      <c r="I67" s="482">
        <f t="shared" si="15"/>
        <v>0</v>
      </c>
      <c r="J67" s="482">
        <f t="shared" si="15"/>
        <v>0</v>
      </c>
      <c r="K67" s="482">
        <f t="shared" si="15"/>
        <v>239</v>
      </c>
      <c r="L67" s="474">
        <f t="shared" si="15"/>
        <v>3386907.4400000004</v>
      </c>
      <c r="M67" s="482">
        <f t="shared" si="15"/>
        <v>341</v>
      </c>
      <c r="N67" s="482">
        <f t="shared" si="15"/>
        <v>0</v>
      </c>
      <c r="O67" s="482">
        <f t="shared" si="15"/>
        <v>0</v>
      </c>
      <c r="P67" s="482">
        <f t="shared" si="15"/>
        <v>0</v>
      </c>
      <c r="Q67" s="482">
        <f t="shared" si="15"/>
        <v>0</v>
      </c>
      <c r="R67" s="482">
        <f t="shared" si="15"/>
        <v>0</v>
      </c>
      <c r="S67" s="482">
        <f t="shared" si="15"/>
        <v>0</v>
      </c>
      <c r="T67" s="482">
        <f t="shared" si="15"/>
        <v>0</v>
      </c>
      <c r="U67" s="482">
        <f t="shared" si="15"/>
        <v>0</v>
      </c>
      <c r="V67" s="482">
        <f t="shared" si="15"/>
        <v>341</v>
      </c>
      <c r="W67" s="474">
        <f t="shared" si="15"/>
        <v>4933009.16</v>
      </c>
    </row>
    <row r="68" spans="1:23">
      <c r="A68" s="703" t="s">
        <v>7034</v>
      </c>
      <c r="B68" s="13">
        <v>61</v>
      </c>
      <c r="C68" s="13"/>
      <c r="D68" s="13"/>
      <c r="E68" s="13"/>
      <c r="F68" s="13"/>
      <c r="G68" s="13"/>
      <c r="H68" s="13"/>
      <c r="I68" s="13"/>
      <c r="J68" s="13"/>
      <c r="K68" s="13">
        <f t="shared" ref="K68:K78" si="16">SUM(B68:J68)</f>
        <v>61</v>
      </c>
      <c r="L68" s="472">
        <v>1039910.92</v>
      </c>
      <c r="M68" s="13">
        <v>88</v>
      </c>
      <c r="N68" s="13"/>
      <c r="O68" s="13"/>
      <c r="P68" s="13"/>
      <c r="Q68" s="13"/>
      <c r="R68" s="13"/>
      <c r="S68" s="13"/>
      <c r="T68" s="13"/>
      <c r="U68" s="13"/>
      <c r="V68" s="13">
        <f t="shared" ref="V68:V78" si="17">SUM(M68:U68)</f>
        <v>88</v>
      </c>
      <c r="W68" s="472">
        <v>1500199.3599999999</v>
      </c>
    </row>
    <row r="69" spans="1:23">
      <c r="A69" s="703" t="s">
        <v>7033</v>
      </c>
      <c r="B69" s="13">
        <v>58</v>
      </c>
      <c r="C69" s="13"/>
      <c r="D69" s="13"/>
      <c r="E69" s="13"/>
      <c r="F69" s="13"/>
      <c r="G69" s="13"/>
      <c r="H69" s="13"/>
      <c r="I69" s="13"/>
      <c r="J69" s="13"/>
      <c r="K69" s="13">
        <f t="shared" si="16"/>
        <v>58</v>
      </c>
      <c r="L69" s="472">
        <v>777545.67999999993</v>
      </c>
      <c r="M69" s="13">
        <v>89</v>
      </c>
      <c r="N69" s="13"/>
      <c r="O69" s="13"/>
      <c r="P69" s="13"/>
      <c r="Q69" s="13"/>
      <c r="R69" s="13"/>
      <c r="S69" s="13"/>
      <c r="T69" s="13"/>
      <c r="U69" s="13"/>
      <c r="V69" s="13">
        <f t="shared" si="17"/>
        <v>89</v>
      </c>
      <c r="W69" s="472">
        <v>1193130.44</v>
      </c>
    </row>
    <row r="70" spans="1:23">
      <c r="A70" s="703" t="s">
        <v>7032</v>
      </c>
      <c r="B70" s="13">
        <v>8</v>
      </c>
      <c r="C70" s="13"/>
      <c r="D70" s="13"/>
      <c r="E70" s="13"/>
      <c r="F70" s="13"/>
      <c r="G70" s="13"/>
      <c r="H70" s="13"/>
      <c r="I70" s="13"/>
      <c r="J70" s="13"/>
      <c r="K70" s="13">
        <f t="shared" si="16"/>
        <v>8</v>
      </c>
      <c r="L70" s="472">
        <v>93017.599999999991</v>
      </c>
      <c r="M70" s="13">
        <v>9</v>
      </c>
      <c r="N70" s="13"/>
      <c r="O70" s="13"/>
      <c r="P70" s="13"/>
      <c r="Q70" s="13"/>
      <c r="R70" s="13"/>
      <c r="S70" s="13"/>
      <c r="T70" s="13"/>
      <c r="U70" s="13"/>
      <c r="V70" s="13">
        <f t="shared" si="17"/>
        <v>9</v>
      </c>
      <c r="W70" s="472">
        <v>104644.79999999999</v>
      </c>
    </row>
    <row r="71" spans="1:23">
      <c r="A71" s="703" t="s">
        <v>7027</v>
      </c>
      <c r="B71" s="13">
        <v>9</v>
      </c>
      <c r="C71" s="13"/>
      <c r="D71" s="13"/>
      <c r="E71" s="13"/>
      <c r="F71" s="13"/>
      <c r="G71" s="13"/>
      <c r="H71" s="13"/>
      <c r="I71" s="13"/>
      <c r="J71" s="13"/>
      <c r="K71" s="13">
        <f t="shared" si="16"/>
        <v>9</v>
      </c>
      <c r="L71" s="472">
        <v>83196</v>
      </c>
      <c r="M71" s="13">
        <v>15</v>
      </c>
      <c r="N71" s="13"/>
      <c r="O71" s="13"/>
      <c r="P71" s="13"/>
      <c r="Q71" s="13"/>
      <c r="R71" s="13"/>
      <c r="S71" s="13"/>
      <c r="T71" s="13"/>
      <c r="U71" s="13"/>
      <c r="V71" s="13">
        <f t="shared" si="17"/>
        <v>15</v>
      </c>
      <c r="W71" s="472">
        <v>138660</v>
      </c>
    </row>
    <row r="72" spans="1:23" hidden="1">
      <c r="A72" s="703" t="s">
        <v>7026</v>
      </c>
      <c r="B72" s="13"/>
      <c r="C72" s="13"/>
      <c r="D72" s="13"/>
      <c r="E72" s="13"/>
      <c r="F72" s="13"/>
      <c r="G72" s="13"/>
      <c r="H72" s="13"/>
      <c r="I72" s="13"/>
      <c r="J72" s="13"/>
      <c r="K72" s="13">
        <f t="shared" si="16"/>
        <v>0</v>
      </c>
      <c r="L72" s="472"/>
      <c r="M72" s="13"/>
      <c r="N72" s="13"/>
      <c r="O72" s="13"/>
      <c r="P72" s="13"/>
      <c r="Q72" s="13"/>
      <c r="R72" s="13"/>
      <c r="S72" s="13"/>
      <c r="T72" s="13"/>
      <c r="U72" s="13"/>
      <c r="V72" s="13">
        <f t="shared" si="17"/>
        <v>0</v>
      </c>
      <c r="W72" s="472"/>
    </row>
    <row r="73" spans="1:23">
      <c r="A73" s="703" t="s">
        <v>7025</v>
      </c>
      <c r="B73" s="13">
        <v>60</v>
      </c>
      <c r="C73" s="13"/>
      <c r="D73" s="13"/>
      <c r="E73" s="13"/>
      <c r="F73" s="13"/>
      <c r="G73" s="13"/>
      <c r="H73" s="13"/>
      <c r="I73" s="13"/>
      <c r="J73" s="13"/>
      <c r="K73" s="13">
        <f t="shared" si="16"/>
        <v>60</v>
      </c>
      <c r="L73" s="472">
        <v>877091.99999999988</v>
      </c>
      <c r="M73" s="13">
        <v>91</v>
      </c>
      <c r="N73" s="13"/>
      <c r="O73" s="13"/>
      <c r="P73" s="13"/>
      <c r="Q73" s="13"/>
      <c r="R73" s="13"/>
      <c r="S73" s="13"/>
      <c r="T73" s="13"/>
      <c r="U73" s="13"/>
      <c r="V73" s="13">
        <f t="shared" si="17"/>
        <v>91</v>
      </c>
      <c r="W73" s="472">
        <v>1330256.2</v>
      </c>
    </row>
    <row r="74" spans="1:23">
      <c r="A74" s="703" t="s">
        <v>7024</v>
      </c>
      <c r="B74" s="13">
        <v>10</v>
      </c>
      <c r="C74" s="13"/>
      <c r="D74" s="13"/>
      <c r="E74" s="13"/>
      <c r="F74" s="13"/>
      <c r="G74" s="13"/>
      <c r="H74" s="13"/>
      <c r="I74" s="13"/>
      <c r="J74" s="13"/>
      <c r="K74" s="13">
        <f t="shared" si="16"/>
        <v>10</v>
      </c>
      <c r="L74" s="472">
        <v>144094</v>
      </c>
      <c r="M74" s="13">
        <v>22</v>
      </c>
      <c r="N74" s="13"/>
      <c r="O74" s="13"/>
      <c r="P74" s="13"/>
      <c r="Q74" s="13"/>
      <c r="R74" s="13"/>
      <c r="S74" s="13"/>
      <c r="T74" s="13"/>
      <c r="U74" s="13"/>
      <c r="V74" s="13">
        <f t="shared" si="17"/>
        <v>22</v>
      </c>
      <c r="W74" s="472">
        <v>317006.80000000005</v>
      </c>
    </row>
    <row r="75" spans="1:23">
      <c r="A75" s="703" t="s">
        <v>7023</v>
      </c>
      <c r="B75" s="13">
        <v>11</v>
      </c>
      <c r="C75" s="13"/>
      <c r="D75" s="13"/>
      <c r="E75" s="13"/>
      <c r="F75" s="13"/>
      <c r="G75" s="13"/>
      <c r="H75" s="13"/>
      <c r="I75" s="13"/>
      <c r="J75" s="13"/>
      <c r="K75" s="13">
        <f t="shared" si="16"/>
        <v>11</v>
      </c>
      <c r="L75" s="472">
        <v>156512.84</v>
      </c>
      <c r="M75" s="13">
        <v>19</v>
      </c>
      <c r="N75" s="13"/>
      <c r="O75" s="13"/>
      <c r="P75" s="13"/>
      <c r="Q75" s="13"/>
      <c r="R75" s="13"/>
      <c r="S75" s="13"/>
      <c r="T75" s="13"/>
      <c r="U75" s="13"/>
      <c r="V75" s="13">
        <f t="shared" si="17"/>
        <v>19</v>
      </c>
      <c r="W75" s="472">
        <v>270340.36</v>
      </c>
    </row>
    <row r="76" spans="1:23">
      <c r="A76" s="703" t="s">
        <v>7022</v>
      </c>
      <c r="B76" s="13">
        <v>8</v>
      </c>
      <c r="C76" s="13"/>
      <c r="D76" s="13"/>
      <c r="E76" s="13"/>
      <c r="F76" s="13"/>
      <c r="G76" s="13"/>
      <c r="H76" s="13"/>
      <c r="I76" s="13"/>
      <c r="J76" s="13"/>
      <c r="K76" s="13">
        <f t="shared" si="16"/>
        <v>8</v>
      </c>
      <c r="L76" s="472">
        <v>78771.200000000012</v>
      </c>
      <c r="M76" s="13">
        <v>8</v>
      </c>
      <c r="N76" s="13"/>
      <c r="O76" s="13"/>
      <c r="P76" s="13"/>
      <c r="Q76" s="13"/>
      <c r="R76" s="13"/>
      <c r="S76" s="13"/>
      <c r="T76" s="13"/>
      <c r="U76" s="13"/>
      <c r="V76" s="13">
        <f t="shared" si="17"/>
        <v>8</v>
      </c>
      <c r="W76" s="472">
        <v>78771.200000000012</v>
      </c>
    </row>
    <row r="77" spans="1:23">
      <c r="A77" s="703" t="s">
        <v>7021</v>
      </c>
      <c r="B77" s="13">
        <v>9</v>
      </c>
      <c r="C77" s="13"/>
      <c r="D77" s="13"/>
      <c r="E77" s="13"/>
      <c r="F77" s="13"/>
      <c r="G77" s="13"/>
      <c r="H77" s="13"/>
      <c r="I77" s="13"/>
      <c r="J77" s="13"/>
      <c r="K77" s="13">
        <f t="shared" si="16"/>
        <v>9</v>
      </c>
      <c r="L77" s="472">
        <v>88099.199999999997</v>
      </c>
      <c r="M77" s="13"/>
      <c r="N77" s="13"/>
      <c r="O77" s="13"/>
      <c r="P77" s="13"/>
      <c r="Q77" s="13"/>
      <c r="R77" s="13"/>
      <c r="S77" s="13"/>
      <c r="T77" s="13"/>
      <c r="U77" s="13"/>
      <c r="V77" s="13">
        <f t="shared" si="17"/>
        <v>0</v>
      </c>
      <c r="W77" s="472"/>
    </row>
    <row r="78" spans="1:23">
      <c r="A78" s="703" t="s">
        <v>7020</v>
      </c>
      <c r="B78" s="13">
        <v>5</v>
      </c>
      <c r="C78" s="13"/>
      <c r="D78" s="13"/>
      <c r="E78" s="13"/>
      <c r="F78" s="13"/>
      <c r="G78" s="13"/>
      <c r="H78" s="13"/>
      <c r="I78" s="13"/>
      <c r="J78" s="13"/>
      <c r="K78" s="13">
        <f t="shared" si="16"/>
        <v>5</v>
      </c>
      <c r="L78" s="472">
        <v>48667.999999999993</v>
      </c>
      <c r="M78" s="13"/>
      <c r="N78" s="13"/>
      <c r="O78" s="13"/>
      <c r="P78" s="13"/>
      <c r="Q78" s="13"/>
      <c r="R78" s="13"/>
      <c r="S78" s="13"/>
      <c r="T78" s="13"/>
      <c r="U78" s="13"/>
      <c r="V78" s="13">
        <f t="shared" si="17"/>
        <v>0</v>
      </c>
      <c r="W78" s="472"/>
    </row>
    <row r="79" spans="1:23">
      <c r="A79" s="704" t="s">
        <v>7019</v>
      </c>
      <c r="B79" s="482">
        <f t="shared" ref="B79:W79" si="18">B80+B87+B94+B100+B106+B112+B118+B124+B130+B136+B142+B148+B154+B160+B166+B173+B176+B180+B187+B194</f>
        <v>2333</v>
      </c>
      <c r="C79" s="482">
        <f t="shared" si="18"/>
        <v>0</v>
      </c>
      <c r="D79" s="482">
        <f t="shared" si="18"/>
        <v>0</v>
      </c>
      <c r="E79" s="482">
        <f t="shared" si="18"/>
        <v>0</v>
      </c>
      <c r="F79" s="482">
        <f t="shared" si="18"/>
        <v>0</v>
      </c>
      <c r="G79" s="482">
        <f t="shared" si="18"/>
        <v>0</v>
      </c>
      <c r="H79" s="482">
        <f t="shared" si="18"/>
        <v>0</v>
      </c>
      <c r="I79" s="482">
        <f t="shared" si="18"/>
        <v>0</v>
      </c>
      <c r="J79" s="482">
        <f t="shared" si="18"/>
        <v>0</v>
      </c>
      <c r="K79" s="482">
        <f t="shared" si="18"/>
        <v>2333</v>
      </c>
      <c r="L79" s="474">
        <f t="shared" si="18"/>
        <v>139606236.03830263</v>
      </c>
      <c r="M79" s="482">
        <f t="shared" si="18"/>
        <v>2394</v>
      </c>
      <c r="N79" s="482">
        <f t="shared" si="18"/>
        <v>0</v>
      </c>
      <c r="O79" s="482">
        <f t="shared" si="18"/>
        <v>0</v>
      </c>
      <c r="P79" s="482">
        <f t="shared" si="18"/>
        <v>0</v>
      </c>
      <c r="Q79" s="482">
        <f t="shared" si="18"/>
        <v>0</v>
      </c>
      <c r="R79" s="482">
        <f t="shared" si="18"/>
        <v>0</v>
      </c>
      <c r="S79" s="482">
        <f t="shared" si="18"/>
        <v>0</v>
      </c>
      <c r="T79" s="482">
        <f t="shared" si="18"/>
        <v>0</v>
      </c>
      <c r="U79" s="482">
        <f t="shared" si="18"/>
        <v>0</v>
      </c>
      <c r="V79" s="482">
        <f t="shared" si="18"/>
        <v>2394</v>
      </c>
      <c r="W79" s="474">
        <f t="shared" si="18"/>
        <v>118671909.44803341</v>
      </c>
    </row>
    <row r="80" spans="1:23">
      <c r="A80" s="705" t="s">
        <v>7018</v>
      </c>
      <c r="B80" s="484">
        <f t="shared" ref="B80:W80" si="19">SUM(B81:B86)</f>
        <v>250</v>
      </c>
      <c r="C80" s="484">
        <f t="shared" si="19"/>
        <v>0</v>
      </c>
      <c r="D80" s="484">
        <f t="shared" si="19"/>
        <v>0</v>
      </c>
      <c r="E80" s="484">
        <f t="shared" si="19"/>
        <v>0</v>
      </c>
      <c r="F80" s="484">
        <f t="shared" si="19"/>
        <v>0</v>
      </c>
      <c r="G80" s="484">
        <f t="shared" si="19"/>
        <v>0</v>
      </c>
      <c r="H80" s="484">
        <f t="shared" si="19"/>
        <v>0</v>
      </c>
      <c r="I80" s="484">
        <f t="shared" si="19"/>
        <v>0</v>
      </c>
      <c r="J80" s="484">
        <f t="shared" si="19"/>
        <v>0</v>
      </c>
      <c r="K80" s="484">
        <f t="shared" si="19"/>
        <v>250</v>
      </c>
      <c r="L80" s="485">
        <f t="shared" si="19"/>
        <v>22531584.130815938</v>
      </c>
      <c r="M80" s="484">
        <f t="shared" si="19"/>
        <v>241</v>
      </c>
      <c r="N80" s="484">
        <f t="shared" si="19"/>
        <v>0</v>
      </c>
      <c r="O80" s="484">
        <f t="shared" si="19"/>
        <v>0</v>
      </c>
      <c r="P80" s="484">
        <f t="shared" si="19"/>
        <v>0</v>
      </c>
      <c r="Q80" s="484">
        <f t="shared" si="19"/>
        <v>0</v>
      </c>
      <c r="R80" s="484">
        <f t="shared" si="19"/>
        <v>0</v>
      </c>
      <c r="S80" s="484">
        <f t="shared" si="19"/>
        <v>0</v>
      </c>
      <c r="T80" s="484">
        <f t="shared" si="19"/>
        <v>0</v>
      </c>
      <c r="U80" s="484">
        <f t="shared" si="19"/>
        <v>0</v>
      </c>
      <c r="V80" s="484">
        <f t="shared" si="19"/>
        <v>241</v>
      </c>
      <c r="W80" s="485">
        <f t="shared" si="19"/>
        <v>17562400</v>
      </c>
    </row>
    <row r="81" spans="1:23">
      <c r="A81" s="703" t="s">
        <v>7001</v>
      </c>
      <c r="B81" s="13">
        <v>12</v>
      </c>
      <c r="C81" s="13"/>
      <c r="D81" s="13"/>
      <c r="E81" s="13"/>
      <c r="F81" s="13"/>
      <c r="G81" s="13"/>
      <c r="H81" s="13"/>
      <c r="I81" s="13"/>
      <c r="J81" s="13"/>
      <c r="K81" s="13">
        <f t="shared" ref="K81:K86" si="20">SUM(B81:J81)</f>
        <v>12</v>
      </c>
      <c r="L81" s="472">
        <v>1257696.48</v>
      </c>
      <c r="M81" s="13">
        <v>12</v>
      </c>
      <c r="N81" s="13"/>
      <c r="O81" s="13"/>
      <c r="P81" s="13"/>
      <c r="Q81" s="13"/>
      <c r="R81" s="13"/>
      <c r="S81" s="13"/>
      <c r="T81" s="13"/>
      <c r="U81" s="13"/>
      <c r="V81" s="13">
        <f t="shared" ref="V81:V86" si="21">SUM(M81:U81)</f>
        <v>12</v>
      </c>
      <c r="W81" s="472">
        <v>1058304</v>
      </c>
    </row>
    <row r="82" spans="1:23">
      <c r="A82" s="703" t="s">
        <v>7000</v>
      </c>
      <c r="B82" s="13">
        <v>17</v>
      </c>
      <c r="C82" s="13"/>
      <c r="D82" s="13"/>
      <c r="E82" s="13"/>
      <c r="F82" s="13"/>
      <c r="G82" s="13"/>
      <c r="H82" s="13"/>
      <c r="I82" s="13"/>
      <c r="J82" s="13"/>
      <c r="K82" s="13">
        <f t="shared" si="20"/>
        <v>17</v>
      </c>
      <c r="L82" s="472">
        <v>1711388.3</v>
      </c>
      <c r="M82" s="13">
        <v>17</v>
      </c>
      <c r="N82" s="13"/>
      <c r="O82" s="13"/>
      <c r="P82" s="13"/>
      <c r="Q82" s="13"/>
      <c r="R82" s="13"/>
      <c r="S82" s="13"/>
      <c r="T82" s="13"/>
      <c r="U82" s="13"/>
      <c r="V82" s="13">
        <f t="shared" si="21"/>
        <v>17</v>
      </c>
      <c r="W82" s="472">
        <v>1409504</v>
      </c>
    </row>
    <row r="83" spans="1:23">
      <c r="A83" s="703" t="s">
        <v>6999</v>
      </c>
      <c r="B83" s="13">
        <v>58</v>
      </c>
      <c r="C83" s="13"/>
      <c r="D83" s="13"/>
      <c r="E83" s="13"/>
      <c r="F83" s="13"/>
      <c r="G83" s="13"/>
      <c r="H83" s="13"/>
      <c r="I83" s="13"/>
      <c r="J83" s="13"/>
      <c r="K83" s="13">
        <f t="shared" si="20"/>
        <v>58</v>
      </c>
      <c r="L83" s="472">
        <v>5547435.4825806459</v>
      </c>
      <c r="M83" s="13">
        <v>58</v>
      </c>
      <c r="N83" s="13"/>
      <c r="O83" s="13"/>
      <c r="P83" s="13"/>
      <c r="Q83" s="13"/>
      <c r="R83" s="13"/>
      <c r="S83" s="13"/>
      <c r="T83" s="13"/>
      <c r="U83" s="13"/>
      <c r="V83" s="13">
        <f t="shared" si="21"/>
        <v>58</v>
      </c>
      <c r="W83" s="472">
        <v>4467856</v>
      </c>
    </row>
    <row r="84" spans="1:23">
      <c r="A84" s="703" t="s">
        <v>6998</v>
      </c>
      <c r="B84" s="13">
        <v>52</v>
      </c>
      <c r="C84" s="13"/>
      <c r="D84" s="13"/>
      <c r="E84" s="13"/>
      <c r="F84" s="13"/>
      <c r="G84" s="13"/>
      <c r="H84" s="13"/>
      <c r="I84" s="13"/>
      <c r="J84" s="13"/>
      <c r="K84" s="13">
        <f t="shared" si="20"/>
        <v>52</v>
      </c>
      <c r="L84" s="472">
        <v>4808385.3082352942</v>
      </c>
      <c r="M84" s="13">
        <v>52</v>
      </c>
      <c r="N84" s="13"/>
      <c r="O84" s="13"/>
      <c r="P84" s="13"/>
      <c r="Q84" s="13"/>
      <c r="R84" s="13"/>
      <c r="S84" s="13"/>
      <c r="T84" s="13"/>
      <c r="U84" s="13"/>
      <c r="V84" s="13">
        <f t="shared" si="21"/>
        <v>52</v>
      </c>
      <c r="W84" s="472">
        <v>3753568</v>
      </c>
    </row>
    <row r="85" spans="1:23">
      <c r="A85" s="703" t="s">
        <v>6997</v>
      </c>
      <c r="B85" s="13">
        <v>71</v>
      </c>
      <c r="C85" s="13"/>
      <c r="D85" s="13"/>
      <c r="E85" s="13"/>
      <c r="F85" s="13"/>
      <c r="G85" s="13"/>
      <c r="H85" s="13"/>
      <c r="I85" s="13"/>
      <c r="J85" s="13"/>
      <c r="K85" s="13">
        <f t="shared" si="20"/>
        <v>71</v>
      </c>
      <c r="L85" s="472">
        <v>6100757.3600000003</v>
      </c>
      <c r="M85" s="13">
        <v>72</v>
      </c>
      <c r="N85" s="13"/>
      <c r="O85" s="13"/>
      <c r="P85" s="13"/>
      <c r="Q85" s="13"/>
      <c r="R85" s="13"/>
      <c r="S85" s="13"/>
      <c r="T85" s="13"/>
      <c r="U85" s="13"/>
      <c r="V85" s="13">
        <f t="shared" si="21"/>
        <v>72</v>
      </c>
      <c r="W85" s="472">
        <v>4851648</v>
      </c>
    </row>
    <row r="86" spans="1:23">
      <c r="A86" s="703" t="s">
        <v>7017</v>
      </c>
      <c r="B86" s="13">
        <v>40</v>
      </c>
      <c r="C86" s="13"/>
      <c r="D86" s="13"/>
      <c r="E86" s="13"/>
      <c r="F86" s="13"/>
      <c r="G86" s="13"/>
      <c r="H86" s="13"/>
      <c r="I86" s="13"/>
      <c r="J86" s="13"/>
      <c r="K86" s="13">
        <f t="shared" si="20"/>
        <v>40</v>
      </c>
      <c r="L86" s="16">
        <v>3105921.2</v>
      </c>
      <c r="M86" s="13">
        <v>30</v>
      </c>
      <c r="N86" s="13"/>
      <c r="O86" s="13"/>
      <c r="P86" s="13"/>
      <c r="Q86" s="13"/>
      <c r="R86" s="13"/>
      <c r="S86" s="13"/>
      <c r="T86" s="13"/>
      <c r="U86" s="13"/>
      <c r="V86" s="13">
        <f t="shared" si="21"/>
        <v>30</v>
      </c>
      <c r="W86" s="472">
        <v>2021520</v>
      </c>
    </row>
    <row r="87" spans="1:23" ht="24">
      <c r="A87" s="705" t="s">
        <v>7016</v>
      </c>
      <c r="B87" s="484">
        <f t="shared" ref="B87:K87" si="22">SUM(B88:B92)</f>
        <v>1062</v>
      </c>
      <c r="C87" s="484">
        <f t="shared" si="22"/>
        <v>0</v>
      </c>
      <c r="D87" s="484">
        <f t="shared" si="22"/>
        <v>0</v>
      </c>
      <c r="E87" s="484">
        <f t="shared" si="22"/>
        <v>0</v>
      </c>
      <c r="F87" s="484">
        <f t="shared" si="22"/>
        <v>0</v>
      </c>
      <c r="G87" s="484">
        <f t="shared" si="22"/>
        <v>0</v>
      </c>
      <c r="H87" s="484">
        <f t="shared" si="22"/>
        <v>0</v>
      </c>
      <c r="I87" s="484">
        <f t="shared" si="22"/>
        <v>0</v>
      </c>
      <c r="J87" s="484">
        <f t="shared" si="22"/>
        <v>0</v>
      </c>
      <c r="K87" s="484">
        <f t="shared" si="22"/>
        <v>1062</v>
      </c>
      <c r="L87" s="485">
        <f>SUM(L88:L93)</f>
        <v>81118203.832115844</v>
      </c>
      <c r="M87" s="484">
        <f t="shared" ref="M87:V87" si="23">SUM(M88:M92)</f>
        <v>184</v>
      </c>
      <c r="N87" s="484">
        <f t="shared" si="23"/>
        <v>0</v>
      </c>
      <c r="O87" s="484">
        <f t="shared" si="23"/>
        <v>0</v>
      </c>
      <c r="P87" s="484">
        <f t="shared" si="23"/>
        <v>0</v>
      </c>
      <c r="Q87" s="484">
        <f t="shared" si="23"/>
        <v>0</v>
      </c>
      <c r="R87" s="484">
        <f t="shared" si="23"/>
        <v>0</v>
      </c>
      <c r="S87" s="484">
        <f t="shared" si="23"/>
        <v>0</v>
      </c>
      <c r="T87" s="484">
        <f t="shared" si="23"/>
        <v>0</v>
      </c>
      <c r="U87" s="484">
        <f t="shared" si="23"/>
        <v>0</v>
      </c>
      <c r="V87" s="484">
        <f t="shared" si="23"/>
        <v>184</v>
      </c>
      <c r="W87" s="485">
        <f>SUM(W88:W93)</f>
        <v>27040813.448033411</v>
      </c>
    </row>
    <row r="88" spans="1:23">
      <c r="A88" s="703" t="s">
        <v>7015</v>
      </c>
      <c r="B88" s="13">
        <v>94</v>
      </c>
      <c r="C88" s="13"/>
      <c r="D88" s="13"/>
      <c r="E88" s="13"/>
      <c r="F88" s="13"/>
      <c r="G88" s="13"/>
      <c r="H88" s="13"/>
      <c r="I88" s="13"/>
      <c r="J88" s="13"/>
      <c r="K88" s="13">
        <f>SUM(B88:J88)</f>
        <v>94</v>
      </c>
      <c r="L88" s="472">
        <v>6666483.7600000007</v>
      </c>
      <c r="M88" s="13">
        <v>24</v>
      </c>
      <c r="N88" s="13"/>
      <c r="O88" s="13"/>
      <c r="P88" s="13"/>
      <c r="Q88" s="13"/>
      <c r="R88" s="13"/>
      <c r="S88" s="13"/>
      <c r="T88" s="13"/>
      <c r="U88" s="13"/>
      <c r="V88" s="13">
        <f>SUM(M88:U88)</f>
        <v>24</v>
      </c>
      <c r="W88" s="472">
        <v>1311648</v>
      </c>
    </row>
    <row r="89" spans="1:23">
      <c r="A89" s="703" t="s">
        <v>7014</v>
      </c>
      <c r="B89" s="13">
        <v>131</v>
      </c>
      <c r="C89" s="13"/>
      <c r="D89" s="13"/>
      <c r="E89" s="13"/>
      <c r="F89" s="13"/>
      <c r="G89" s="13"/>
      <c r="H89" s="13"/>
      <c r="I89" s="13"/>
      <c r="J89" s="13"/>
      <c r="K89" s="13">
        <f>SUM(B89:J89)</f>
        <v>131</v>
      </c>
      <c r="L89" s="472">
        <v>8779606.2325745281</v>
      </c>
      <c r="M89" s="13">
        <v>23</v>
      </c>
      <c r="N89" s="13"/>
      <c r="O89" s="13"/>
      <c r="P89" s="13"/>
      <c r="Q89" s="13"/>
      <c r="R89" s="13"/>
      <c r="S89" s="13"/>
      <c r="T89" s="13"/>
      <c r="U89" s="13"/>
      <c r="V89" s="13">
        <f>SUM(M89:U89)</f>
        <v>23</v>
      </c>
      <c r="W89" s="472">
        <v>1170608</v>
      </c>
    </row>
    <row r="90" spans="1:23">
      <c r="A90" s="703" t="s">
        <v>7013</v>
      </c>
      <c r="B90" s="13">
        <v>351</v>
      </c>
      <c r="C90" s="13"/>
      <c r="D90" s="13"/>
      <c r="E90" s="13"/>
      <c r="F90" s="13"/>
      <c r="G90" s="13"/>
      <c r="H90" s="13"/>
      <c r="I90" s="13"/>
      <c r="J90" s="13"/>
      <c r="K90" s="13">
        <f>SUM(B90:J90)</f>
        <v>351</v>
      </c>
      <c r="L90" s="472">
        <v>22429669.277457982</v>
      </c>
      <c r="M90" s="13">
        <v>56</v>
      </c>
      <c r="N90" s="13"/>
      <c r="O90" s="13"/>
      <c r="P90" s="13"/>
      <c r="Q90" s="13"/>
      <c r="R90" s="13"/>
      <c r="S90" s="13"/>
      <c r="T90" s="13"/>
      <c r="U90" s="13"/>
      <c r="V90" s="13">
        <f>SUM(M90:U90)</f>
        <v>56</v>
      </c>
      <c r="W90" s="472">
        <v>2676800</v>
      </c>
    </row>
    <row r="91" spans="1:23">
      <c r="A91" s="703" t="s">
        <v>7012</v>
      </c>
      <c r="B91" s="13">
        <v>330</v>
      </c>
      <c r="C91" s="13"/>
      <c r="D91" s="13"/>
      <c r="E91" s="13"/>
      <c r="F91" s="13"/>
      <c r="G91" s="13"/>
      <c r="H91" s="13"/>
      <c r="I91" s="13"/>
      <c r="J91" s="13"/>
      <c r="K91" s="13">
        <f>SUM(B91:J91)</f>
        <v>330</v>
      </c>
      <c r="L91" s="472">
        <v>19963972.668749999</v>
      </c>
      <c r="M91" s="13">
        <v>50</v>
      </c>
      <c r="N91" s="13"/>
      <c r="O91" s="13"/>
      <c r="P91" s="13"/>
      <c r="Q91" s="13"/>
      <c r="R91" s="13"/>
      <c r="S91" s="13"/>
      <c r="T91" s="13"/>
      <c r="U91" s="13"/>
      <c r="V91" s="13">
        <f>SUM(M91:U91)</f>
        <v>50</v>
      </c>
      <c r="W91" s="472">
        <v>2246000</v>
      </c>
    </row>
    <row r="92" spans="1:23">
      <c r="A92" s="703" t="s">
        <v>7011</v>
      </c>
      <c r="B92" s="13">
        <v>156</v>
      </c>
      <c r="C92" s="13"/>
      <c r="D92" s="13"/>
      <c r="E92" s="13"/>
      <c r="F92" s="13"/>
      <c r="G92" s="13"/>
      <c r="H92" s="13"/>
      <c r="I92" s="13"/>
      <c r="J92" s="13"/>
      <c r="K92" s="13">
        <f>SUM(B92:J92)</f>
        <v>156</v>
      </c>
      <c r="L92" s="472">
        <v>8747468.7733333316</v>
      </c>
      <c r="M92" s="13">
        <v>31</v>
      </c>
      <c r="N92" s="13"/>
      <c r="O92" s="13"/>
      <c r="P92" s="13"/>
      <c r="Q92" s="13"/>
      <c r="R92" s="13"/>
      <c r="S92" s="13"/>
      <c r="T92" s="13"/>
      <c r="U92" s="13"/>
      <c r="V92" s="13">
        <f>SUM(M92:U92)</f>
        <v>31</v>
      </c>
      <c r="W92" s="472">
        <v>1274968</v>
      </c>
    </row>
    <row r="93" spans="1:23">
      <c r="A93" s="703" t="s">
        <v>7010</v>
      </c>
      <c r="B93" s="13"/>
      <c r="C93" s="13"/>
      <c r="D93" s="13"/>
      <c r="E93" s="13"/>
      <c r="F93" s="13"/>
      <c r="G93" s="13"/>
      <c r="H93" s="13"/>
      <c r="I93" s="13"/>
      <c r="J93" s="13"/>
      <c r="K93" s="13"/>
      <c r="L93" s="472">
        <f>8051693.12+6479310</f>
        <v>14531003.120000001</v>
      </c>
      <c r="M93" s="13"/>
      <c r="N93" s="13"/>
      <c r="O93" s="13"/>
      <c r="P93" s="13"/>
      <c r="Q93" s="13"/>
      <c r="R93" s="13"/>
      <c r="S93" s="13"/>
      <c r="T93" s="13"/>
      <c r="U93" s="13"/>
      <c r="V93" s="13"/>
      <c r="W93" s="472">
        <f>10526502.8146333+7816886.63340011+17400</f>
        <v>18360789.448033411</v>
      </c>
    </row>
    <row r="94" spans="1:23">
      <c r="A94" s="705" t="s">
        <v>7009</v>
      </c>
      <c r="B94" s="484">
        <f t="shared" ref="B94:W94" si="24">SUM(B95:B99)</f>
        <v>0</v>
      </c>
      <c r="C94" s="484">
        <f t="shared" si="24"/>
        <v>0</v>
      </c>
      <c r="D94" s="484">
        <f t="shared" si="24"/>
        <v>0</v>
      </c>
      <c r="E94" s="484">
        <f t="shared" si="24"/>
        <v>0</v>
      </c>
      <c r="F94" s="484">
        <f t="shared" si="24"/>
        <v>0</v>
      </c>
      <c r="G94" s="484">
        <f t="shared" si="24"/>
        <v>0</v>
      </c>
      <c r="H94" s="484">
        <f t="shared" si="24"/>
        <v>0</v>
      </c>
      <c r="I94" s="484">
        <f t="shared" si="24"/>
        <v>0</v>
      </c>
      <c r="J94" s="484">
        <f t="shared" si="24"/>
        <v>0</v>
      </c>
      <c r="K94" s="484">
        <f t="shared" si="24"/>
        <v>0</v>
      </c>
      <c r="L94" s="485">
        <f t="shared" si="24"/>
        <v>0</v>
      </c>
      <c r="M94" s="484">
        <f t="shared" si="24"/>
        <v>704</v>
      </c>
      <c r="N94" s="484">
        <f t="shared" si="24"/>
        <v>0</v>
      </c>
      <c r="O94" s="484">
        <f t="shared" si="24"/>
        <v>0</v>
      </c>
      <c r="P94" s="484">
        <f t="shared" si="24"/>
        <v>0</v>
      </c>
      <c r="Q94" s="484">
        <f t="shared" si="24"/>
        <v>0</v>
      </c>
      <c r="R94" s="484">
        <f t="shared" si="24"/>
        <v>0</v>
      </c>
      <c r="S94" s="484">
        <f t="shared" si="24"/>
        <v>0</v>
      </c>
      <c r="T94" s="484">
        <f t="shared" si="24"/>
        <v>0</v>
      </c>
      <c r="U94" s="484">
        <f t="shared" si="24"/>
        <v>0</v>
      </c>
      <c r="V94" s="484">
        <f t="shared" si="24"/>
        <v>704</v>
      </c>
      <c r="W94" s="485">
        <f t="shared" si="24"/>
        <v>33116456</v>
      </c>
    </row>
    <row r="95" spans="1:23">
      <c r="A95" s="703" t="s">
        <v>7008</v>
      </c>
      <c r="B95" s="13"/>
      <c r="C95" s="13"/>
      <c r="D95" s="13"/>
      <c r="E95" s="13"/>
      <c r="F95" s="13"/>
      <c r="G95" s="13"/>
      <c r="H95" s="13"/>
      <c r="I95" s="13"/>
      <c r="J95" s="13"/>
      <c r="K95" s="13">
        <f>SUM(B95:J95)</f>
        <v>0</v>
      </c>
      <c r="L95" s="472"/>
      <c r="M95" s="13">
        <v>60</v>
      </c>
      <c r="N95" s="13"/>
      <c r="O95" s="13"/>
      <c r="P95" s="13"/>
      <c r="Q95" s="13"/>
      <c r="R95" s="13"/>
      <c r="S95" s="13"/>
      <c r="T95" s="13"/>
      <c r="U95" s="13"/>
      <c r="V95" s="13">
        <f>SUM(M95:U95)</f>
        <v>60</v>
      </c>
      <c r="W95" s="472">
        <v>3279120</v>
      </c>
    </row>
    <row r="96" spans="1:23">
      <c r="A96" s="703" t="s">
        <v>7007</v>
      </c>
      <c r="B96" s="13"/>
      <c r="C96" s="13"/>
      <c r="D96" s="13"/>
      <c r="E96" s="13"/>
      <c r="F96" s="13"/>
      <c r="G96" s="13"/>
      <c r="H96" s="13"/>
      <c r="I96" s="13"/>
      <c r="J96" s="13"/>
      <c r="K96" s="13">
        <f>SUM(B96:J96)</f>
        <v>0</v>
      </c>
      <c r="L96" s="472"/>
      <c r="M96" s="13">
        <v>83</v>
      </c>
      <c r="N96" s="13"/>
      <c r="O96" s="13"/>
      <c r="P96" s="13"/>
      <c r="Q96" s="13"/>
      <c r="R96" s="13"/>
      <c r="S96" s="13"/>
      <c r="T96" s="13"/>
      <c r="U96" s="13"/>
      <c r="V96" s="13">
        <f>SUM(M96:U96)</f>
        <v>83</v>
      </c>
      <c r="W96" s="472">
        <v>4224368</v>
      </c>
    </row>
    <row r="97" spans="1:23">
      <c r="A97" s="703" t="s">
        <v>7006</v>
      </c>
      <c r="B97" s="13"/>
      <c r="C97" s="13"/>
      <c r="D97" s="13"/>
      <c r="E97" s="13"/>
      <c r="F97" s="13"/>
      <c r="G97" s="13"/>
      <c r="H97" s="13"/>
      <c r="I97" s="13"/>
      <c r="J97" s="13"/>
      <c r="K97" s="13">
        <f>SUM(B97:J97)</f>
        <v>0</v>
      </c>
      <c r="L97" s="472"/>
      <c r="M97" s="13">
        <v>250</v>
      </c>
      <c r="N97" s="13"/>
      <c r="O97" s="13"/>
      <c r="P97" s="13"/>
      <c r="Q97" s="13"/>
      <c r="R97" s="13"/>
      <c r="S97" s="13"/>
      <c r="T97" s="13"/>
      <c r="U97" s="13"/>
      <c r="V97" s="13">
        <f>SUM(M97:U97)</f>
        <v>250</v>
      </c>
      <c r="W97" s="472">
        <v>11950000</v>
      </c>
    </row>
    <row r="98" spans="1:23">
      <c r="A98" s="703" t="s">
        <v>7005</v>
      </c>
      <c r="B98" s="13"/>
      <c r="C98" s="13"/>
      <c r="D98" s="13"/>
      <c r="E98" s="13"/>
      <c r="F98" s="13"/>
      <c r="G98" s="13"/>
      <c r="H98" s="13"/>
      <c r="I98" s="13"/>
      <c r="J98" s="13"/>
      <c r="K98" s="13">
        <f>SUM(B98:J98)</f>
        <v>0</v>
      </c>
      <c r="L98" s="472"/>
      <c r="M98" s="13">
        <v>230</v>
      </c>
      <c r="N98" s="13"/>
      <c r="O98" s="13"/>
      <c r="P98" s="13"/>
      <c r="Q98" s="13"/>
      <c r="R98" s="13"/>
      <c r="S98" s="13"/>
      <c r="T98" s="13"/>
      <c r="U98" s="13"/>
      <c r="V98" s="13">
        <f>SUM(M98:U98)</f>
        <v>230</v>
      </c>
      <c r="W98" s="472">
        <v>10331600</v>
      </c>
    </row>
    <row r="99" spans="1:23">
      <c r="A99" s="703" t="s">
        <v>7004</v>
      </c>
      <c r="B99" s="13"/>
      <c r="C99" s="13"/>
      <c r="D99" s="13"/>
      <c r="E99" s="13"/>
      <c r="F99" s="13"/>
      <c r="G99" s="13"/>
      <c r="H99" s="13"/>
      <c r="I99" s="13"/>
      <c r="J99" s="13"/>
      <c r="K99" s="13">
        <f>SUM(B99:J99)</f>
        <v>0</v>
      </c>
      <c r="L99" s="472"/>
      <c r="M99" s="13">
        <v>81</v>
      </c>
      <c r="N99" s="13"/>
      <c r="O99" s="13"/>
      <c r="P99" s="13"/>
      <c r="Q99" s="13"/>
      <c r="R99" s="13"/>
      <c r="S99" s="13"/>
      <c r="T99" s="13"/>
      <c r="U99" s="13"/>
      <c r="V99" s="13">
        <f>SUM(M99:U99)</f>
        <v>81</v>
      </c>
      <c r="W99" s="472">
        <v>3331368</v>
      </c>
    </row>
    <row r="100" spans="1:23">
      <c r="A100" s="705" t="s">
        <v>7003</v>
      </c>
      <c r="B100" s="484">
        <f t="shared" ref="B100:W100" si="25">SUM(B101:B105)</f>
        <v>0</v>
      </c>
      <c r="C100" s="484">
        <f t="shared" si="25"/>
        <v>0</v>
      </c>
      <c r="D100" s="484">
        <f t="shared" si="25"/>
        <v>0</v>
      </c>
      <c r="E100" s="484">
        <f t="shared" si="25"/>
        <v>0</v>
      </c>
      <c r="F100" s="484">
        <f t="shared" si="25"/>
        <v>0</v>
      </c>
      <c r="G100" s="484">
        <f t="shared" si="25"/>
        <v>0</v>
      </c>
      <c r="H100" s="484">
        <f t="shared" si="25"/>
        <v>0</v>
      </c>
      <c r="I100" s="484">
        <f t="shared" si="25"/>
        <v>0</v>
      </c>
      <c r="J100" s="484">
        <f t="shared" si="25"/>
        <v>0</v>
      </c>
      <c r="K100" s="484">
        <f t="shared" si="25"/>
        <v>0</v>
      </c>
      <c r="L100" s="485">
        <f t="shared" si="25"/>
        <v>0</v>
      </c>
      <c r="M100" s="484">
        <f t="shared" si="25"/>
        <v>46</v>
      </c>
      <c r="N100" s="484">
        <f t="shared" si="25"/>
        <v>0</v>
      </c>
      <c r="O100" s="484">
        <f t="shared" si="25"/>
        <v>0</v>
      </c>
      <c r="P100" s="484">
        <f t="shared" si="25"/>
        <v>0</v>
      </c>
      <c r="Q100" s="484">
        <f t="shared" si="25"/>
        <v>0</v>
      </c>
      <c r="R100" s="484">
        <f t="shared" si="25"/>
        <v>0</v>
      </c>
      <c r="S100" s="484">
        <f t="shared" si="25"/>
        <v>0</v>
      </c>
      <c r="T100" s="484">
        <f t="shared" si="25"/>
        <v>0</v>
      </c>
      <c r="U100" s="484">
        <f t="shared" si="25"/>
        <v>0</v>
      </c>
      <c r="V100" s="484">
        <f t="shared" si="25"/>
        <v>46</v>
      </c>
      <c r="W100" s="485">
        <f t="shared" si="25"/>
        <v>2167744</v>
      </c>
    </row>
    <row r="101" spans="1:23">
      <c r="A101" s="703" t="s">
        <v>6985</v>
      </c>
      <c r="B101" s="13"/>
      <c r="C101" s="13"/>
      <c r="D101" s="13"/>
      <c r="E101" s="13"/>
      <c r="F101" s="13"/>
      <c r="G101" s="13"/>
      <c r="H101" s="13"/>
      <c r="I101" s="13"/>
      <c r="J101" s="13"/>
      <c r="K101" s="13">
        <f>SUM(B101:J101)</f>
        <v>0</v>
      </c>
      <c r="L101" s="472"/>
      <c r="M101" s="13">
        <v>4</v>
      </c>
      <c r="N101" s="13"/>
      <c r="O101" s="13"/>
      <c r="P101" s="13"/>
      <c r="Q101" s="13"/>
      <c r="R101" s="13"/>
      <c r="S101" s="13"/>
      <c r="T101" s="13"/>
      <c r="U101" s="13"/>
      <c r="V101" s="13">
        <f>SUM(M101:U101)</f>
        <v>4</v>
      </c>
      <c r="W101" s="472">
        <v>218608</v>
      </c>
    </row>
    <row r="102" spans="1:23">
      <c r="A102" s="703" t="s">
        <v>6984</v>
      </c>
      <c r="B102" s="13"/>
      <c r="C102" s="13"/>
      <c r="D102" s="13"/>
      <c r="E102" s="13"/>
      <c r="F102" s="13"/>
      <c r="G102" s="13"/>
      <c r="H102" s="13"/>
      <c r="I102" s="13"/>
      <c r="J102" s="13"/>
      <c r="K102" s="13">
        <f>SUM(B102:J102)</f>
        <v>0</v>
      </c>
      <c r="L102" s="472"/>
      <c r="M102" s="13">
        <v>8</v>
      </c>
      <c r="N102" s="13"/>
      <c r="O102" s="13"/>
      <c r="P102" s="13"/>
      <c r="Q102" s="13"/>
      <c r="R102" s="13"/>
      <c r="S102" s="13"/>
      <c r="T102" s="13"/>
      <c r="U102" s="13"/>
      <c r="V102" s="13">
        <f>SUM(M102:U102)</f>
        <v>8</v>
      </c>
      <c r="W102" s="472">
        <v>407168</v>
      </c>
    </row>
    <row r="103" spans="1:23">
      <c r="A103" s="703" t="s">
        <v>6983</v>
      </c>
      <c r="B103" s="13"/>
      <c r="C103" s="13"/>
      <c r="D103" s="13"/>
      <c r="E103" s="13"/>
      <c r="F103" s="13"/>
      <c r="G103" s="13"/>
      <c r="H103" s="13"/>
      <c r="I103" s="13"/>
      <c r="J103" s="13"/>
      <c r="K103" s="13">
        <f>SUM(B103:J103)</f>
        <v>0</v>
      </c>
      <c r="L103" s="472"/>
      <c r="M103" s="13">
        <v>13</v>
      </c>
      <c r="N103" s="13"/>
      <c r="O103" s="13"/>
      <c r="P103" s="13"/>
      <c r="Q103" s="13"/>
      <c r="R103" s="13"/>
      <c r="S103" s="13"/>
      <c r="T103" s="13"/>
      <c r="U103" s="13"/>
      <c r="V103" s="13">
        <f>SUM(M103:U103)</f>
        <v>13</v>
      </c>
      <c r="W103" s="472">
        <v>621400</v>
      </c>
    </row>
    <row r="104" spans="1:23">
      <c r="A104" s="703" t="s">
        <v>6982</v>
      </c>
      <c r="B104" s="13"/>
      <c r="C104" s="13"/>
      <c r="D104" s="13"/>
      <c r="E104" s="13"/>
      <c r="F104" s="13"/>
      <c r="G104" s="13"/>
      <c r="H104" s="13"/>
      <c r="I104" s="13"/>
      <c r="J104" s="13"/>
      <c r="K104" s="13">
        <f>SUM(B104:J104)</f>
        <v>0</v>
      </c>
      <c r="L104" s="472"/>
      <c r="M104" s="13">
        <v>15</v>
      </c>
      <c r="N104" s="13"/>
      <c r="O104" s="13"/>
      <c r="P104" s="13"/>
      <c r="Q104" s="13"/>
      <c r="R104" s="13"/>
      <c r="S104" s="13"/>
      <c r="T104" s="13"/>
      <c r="U104" s="13"/>
      <c r="V104" s="13">
        <f>SUM(M104:U104)</f>
        <v>15</v>
      </c>
      <c r="W104" s="472">
        <v>673800</v>
      </c>
    </row>
    <row r="105" spans="1:23">
      <c r="A105" s="703" t="s">
        <v>6981</v>
      </c>
      <c r="B105" s="13"/>
      <c r="C105" s="13"/>
      <c r="D105" s="13"/>
      <c r="E105" s="13"/>
      <c r="F105" s="13"/>
      <c r="G105" s="13"/>
      <c r="H105" s="13"/>
      <c r="I105" s="13"/>
      <c r="J105" s="13"/>
      <c r="K105" s="13">
        <f>SUM(B105:J105)</f>
        <v>0</v>
      </c>
      <c r="L105" s="472"/>
      <c r="M105" s="13">
        <v>6</v>
      </c>
      <c r="N105" s="13"/>
      <c r="O105" s="13"/>
      <c r="P105" s="13"/>
      <c r="Q105" s="13"/>
      <c r="R105" s="13"/>
      <c r="S105" s="13"/>
      <c r="T105" s="13"/>
      <c r="U105" s="13"/>
      <c r="V105" s="13">
        <f>SUM(M105:U105)</f>
        <v>6</v>
      </c>
      <c r="W105" s="472">
        <v>246768</v>
      </c>
    </row>
    <row r="106" spans="1:23">
      <c r="A106" s="705" t="s">
        <v>2879</v>
      </c>
      <c r="B106" s="484">
        <f t="shared" ref="B106:W106" si="26">SUM(B107:B111)</f>
        <v>0</v>
      </c>
      <c r="C106" s="484">
        <f t="shared" si="26"/>
        <v>0</v>
      </c>
      <c r="D106" s="484">
        <f t="shared" si="26"/>
        <v>0</v>
      </c>
      <c r="E106" s="484">
        <f t="shared" si="26"/>
        <v>0</v>
      </c>
      <c r="F106" s="484">
        <f t="shared" si="26"/>
        <v>0</v>
      </c>
      <c r="G106" s="484">
        <f t="shared" si="26"/>
        <v>0</v>
      </c>
      <c r="H106" s="484">
        <f t="shared" si="26"/>
        <v>0</v>
      </c>
      <c r="I106" s="484">
        <f t="shared" si="26"/>
        <v>0</v>
      </c>
      <c r="J106" s="484">
        <f t="shared" si="26"/>
        <v>0</v>
      </c>
      <c r="K106" s="484">
        <f t="shared" si="26"/>
        <v>0</v>
      </c>
      <c r="L106" s="485">
        <f t="shared" si="26"/>
        <v>0</v>
      </c>
      <c r="M106" s="484">
        <f t="shared" si="26"/>
        <v>47</v>
      </c>
      <c r="N106" s="484">
        <f t="shared" si="26"/>
        <v>0</v>
      </c>
      <c r="O106" s="484">
        <f t="shared" si="26"/>
        <v>0</v>
      </c>
      <c r="P106" s="484">
        <f t="shared" si="26"/>
        <v>0</v>
      </c>
      <c r="Q106" s="484">
        <f t="shared" si="26"/>
        <v>0</v>
      </c>
      <c r="R106" s="484">
        <f t="shared" si="26"/>
        <v>0</v>
      </c>
      <c r="S106" s="484">
        <f t="shared" si="26"/>
        <v>0</v>
      </c>
      <c r="T106" s="484">
        <f t="shared" si="26"/>
        <v>0</v>
      </c>
      <c r="U106" s="484">
        <f t="shared" si="26"/>
        <v>0</v>
      </c>
      <c r="V106" s="484">
        <f t="shared" si="26"/>
        <v>47</v>
      </c>
      <c r="W106" s="485">
        <f t="shared" si="26"/>
        <v>2117996</v>
      </c>
    </row>
    <row r="107" spans="1:23">
      <c r="A107" s="703" t="s">
        <v>6985</v>
      </c>
      <c r="B107" s="13"/>
      <c r="C107" s="13"/>
      <c r="D107" s="13"/>
      <c r="E107" s="13"/>
      <c r="F107" s="13"/>
      <c r="G107" s="13"/>
      <c r="H107" s="13"/>
      <c r="I107" s="13"/>
      <c r="J107" s="13"/>
      <c r="K107" s="13">
        <f>SUM(B107:J107)</f>
        <v>0</v>
      </c>
      <c r="L107" s="472"/>
      <c r="M107" s="13">
        <v>3</v>
      </c>
      <c r="N107" s="13"/>
      <c r="O107" s="13"/>
      <c r="P107" s="13"/>
      <c r="Q107" s="13"/>
      <c r="R107" s="13"/>
      <c r="S107" s="13"/>
      <c r="T107" s="13"/>
      <c r="U107" s="13"/>
      <c r="V107" s="13">
        <f>SUM(M107:U107)</f>
        <v>3</v>
      </c>
      <c r="W107" s="472">
        <v>163956</v>
      </c>
    </row>
    <row r="108" spans="1:23">
      <c r="A108" s="703" t="s">
        <v>6984</v>
      </c>
      <c r="B108" s="13"/>
      <c r="C108" s="13"/>
      <c r="D108" s="13"/>
      <c r="E108" s="13"/>
      <c r="F108" s="13"/>
      <c r="G108" s="13"/>
      <c r="H108" s="13"/>
      <c r="I108" s="13"/>
      <c r="J108" s="13"/>
      <c r="K108" s="13">
        <f>SUM(B108:J108)</f>
        <v>0</v>
      </c>
      <c r="L108" s="472"/>
      <c r="M108" s="13">
        <v>3</v>
      </c>
      <c r="N108" s="13"/>
      <c r="O108" s="13"/>
      <c r="P108" s="13"/>
      <c r="Q108" s="13"/>
      <c r="R108" s="13"/>
      <c r="S108" s="13"/>
      <c r="T108" s="13"/>
      <c r="U108" s="13"/>
      <c r="V108" s="13">
        <f>SUM(M108:U108)</f>
        <v>3</v>
      </c>
      <c r="W108" s="472">
        <v>152688</v>
      </c>
    </row>
    <row r="109" spans="1:23">
      <c r="A109" s="703" t="s">
        <v>6983</v>
      </c>
      <c r="B109" s="13"/>
      <c r="C109" s="13"/>
      <c r="D109" s="13"/>
      <c r="E109" s="13"/>
      <c r="F109" s="13"/>
      <c r="G109" s="13"/>
      <c r="H109" s="13"/>
      <c r="I109" s="13"/>
      <c r="J109" s="13"/>
      <c r="K109" s="13">
        <f>SUM(B109:J109)</f>
        <v>0</v>
      </c>
      <c r="L109" s="472"/>
      <c r="M109" s="13">
        <v>11</v>
      </c>
      <c r="N109" s="13"/>
      <c r="O109" s="13"/>
      <c r="P109" s="13"/>
      <c r="Q109" s="13"/>
      <c r="R109" s="13"/>
      <c r="S109" s="13"/>
      <c r="T109" s="13"/>
      <c r="U109" s="13"/>
      <c r="V109" s="13">
        <f>SUM(M109:U109)</f>
        <v>11</v>
      </c>
      <c r="W109" s="472">
        <v>525800</v>
      </c>
    </row>
    <row r="110" spans="1:23">
      <c r="A110" s="703" t="s">
        <v>6982</v>
      </c>
      <c r="B110" s="13"/>
      <c r="C110" s="13"/>
      <c r="D110" s="13"/>
      <c r="E110" s="13"/>
      <c r="F110" s="13"/>
      <c r="G110" s="13"/>
      <c r="H110" s="13"/>
      <c r="I110" s="13"/>
      <c r="J110" s="13"/>
      <c r="K110" s="13">
        <f>SUM(B110:J110)</f>
        <v>0</v>
      </c>
      <c r="L110" s="472"/>
      <c r="M110" s="13">
        <v>11</v>
      </c>
      <c r="N110" s="13"/>
      <c r="O110" s="13"/>
      <c r="P110" s="13"/>
      <c r="Q110" s="13"/>
      <c r="R110" s="13"/>
      <c r="S110" s="13"/>
      <c r="T110" s="13"/>
      <c r="U110" s="13"/>
      <c r="V110" s="13">
        <f>SUM(M110:U110)</f>
        <v>11</v>
      </c>
      <c r="W110" s="472">
        <v>494120</v>
      </c>
    </row>
    <row r="111" spans="1:23">
      <c r="A111" s="703" t="s">
        <v>6981</v>
      </c>
      <c r="B111" s="13"/>
      <c r="C111" s="13"/>
      <c r="D111" s="13"/>
      <c r="E111" s="13"/>
      <c r="F111" s="13"/>
      <c r="G111" s="13"/>
      <c r="H111" s="13"/>
      <c r="I111" s="13"/>
      <c r="J111" s="13"/>
      <c r="K111" s="13">
        <f>SUM(B111:J111)</f>
        <v>0</v>
      </c>
      <c r="L111" s="472"/>
      <c r="M111" s="13">
        <f>6+13</f>
        <v>19</v>
      </c>
      <c r="N111" s="13"/>
      <c r="O111" s="13"/>
      <c r="P111" s="13"/>
      <c r="Q111" s="13"/>
      <c r="R111" s="13"/>
      <c r="S111" s="13"/>
      <c r="T111" s="13"/>
      <c r="U111" s="13"/>
      <c r="V111" s="13">
        <f>SUM(M111:U111)</f>
        <v>19</v>
      </c>
      <c r="W111" s="472">
        <f>246768+534664</f>
        <v>781432</v>
      </c>
    </row>
    <row r="112" spans="1:23">
      <c r="A112" s="705" t="s">
        <v>7002</v>
      </c>
      <c r="B112" s="484">
        <f t="shared" ref="B112:W112" si="27">SUM(B113:B117)</f>
        <v>0</v>
      </c>
      <c r="C112" s="484">
        <f t="shared" si="27"/>
        <v>0</v>
      </c>
      <c r="D112" s="484">
        <f t="shared" si="27"/>
        <v>0</v>
      </c>
      <c r="E112" s="484">
        <f t="shared" si="27"/>
        <v>0</v>
      </c>
      <c r="F112" s="484">
        <f t="shared" si="27"/>
        <v>0</v>
      </c>
      <c r="G112" s="484">
        <f t="shared" si="27"/>
        <v>0</v>
      </c>
      <c r="H112" s="484">
        <f t="shared" si="27"/>
        <v>0</v>
      </c>
      <c r="I112" s="484">
        <f t="shared" si="27"/>
        <v>0</v>
      </c>
      <c r="J112" s="484">
        <f t="shared" si="27"/>
        <v>0</v>
      </c>
      <c r="K112" s="484">
        <f t="shared" si="27"/>
        <v>0</v>
      </c>
      <c r="L112" s="485">
        <f t="shared" si="27"/>
        <v>0</v>
      </c>
      <c r="M112" s="484">
        <f t="shared" si="27"/>
        <v>100</v>
      </c>
      <c r="N112" s="484">
        <f t="shared" si="27"/>
        <v>0</v>
      </c>
      <c r="O112" s="484">
        <f t="shared" si="27"/>
        <v>0</v>
      </c>
      <c r="P112" s="484">
        <f t="shared" si="27"/>
        <v>0</v>
      </c>
      <c r="Q112" s="484">
        <f t="shared" si="27"/>
        <v>0</v>
      </c>
      <c r="R112" s="484">
        <f t="shared" si="27"/>
        <v>0</v>
      </c>
      <c r="S112" s="484">
        <f t="shared" si="27"/>
        <v>0</v>
      </c>
      <c r="T112" s="484">
        <f t="shared" si="27"/>
        <v>0</v>
      </c>
      <c r="U112" s="484">
        <f t="shared" si="27"/>
        <v>0</v>
      </c>
      <c r="V112" s="484">
        <f t="shared" si="27"/>
        <v>100</v>
      </c>
      <c r="W112" s="485">
        <f t="shared" si="27"/>
        <v>4539292</v>
      </c>
    </row>
    <row r="113" spans="1:23">
      <c r="A113" s="703" t="s">
        <v>7001</v>
      </c>
      <c r="B113" s="13"/>
      <c r="C113" s="13"/>
      <c r="D113" s="13"/>
      <c r="E113" s="13"/>
      <c r="F113" s="13"/>
      <c r="G113" s="13"/>
      <c r="H113" s="13"/>
      <c r="I113" s="13"/>
      <c r="J113" s="13"/>
      <c r="K113" s="13">
        <f>SUM(B113:J113)</f>
        <v>0</v>
      </c>
      <c r="L113" s="472"/>
      <c r="M113" s="13">
        <v>3</v>
      </c>
      <c r="N113" s="13"/>
      <c r="O113" s="13"/>
      <c r="P113" s="13"/>
      <c r="Q113" s="13"/>
      <c r="R113" s="13"/>
      <c r="S113" s="13"/>
      <c r="T113" s="13"/>
      <c r="U113" s="13"/>
      <c r="V113" s="13">
        <f>SUM(M113:U113)</f>
        <v>3</v>
      </c>
      <c r="W113" s="472">
        <v>163956</v>
      </c>
    </row>
    <row r="114" spans="1:23">
      <c r="A114" s="703" t="s">
        <v>7000</v>
      </c>
      <c r="B114" s="13"/>
      <c r="C114" s="13"/>
      <c r="D114" s="13"/>
      <c r="E114" s="13"/>
      <c r="F114" s="13"/>
      <c r="G114" s="13"/>
      <c r="H114" s="13"/>
      <c r="I114" s="13"/>
      <c r="J114" s="13"/>
      <c r="K114" s="13">
        <f>SUM(B114:J114)</f>
        <v>0</v>
      </c>
      <c r="L114" s="472"/>
      <c r="M114" s="13">
        <v>14</v>
      </c>
      <c r="N114" s="13"/>
      <c r="O114" s="13"/>
      <c r="P114" s="13"/>
      <c r="Q114" s="13"/>
      <c r="R114" s="13"/>
      <c r="S114" s="13"/>
      <c r="T114" s="13"/>
      <c r="U114" s="13"/>
      <c r="V114" s="13">
        <f>SUM(M114:U114)</f>
        <v>14</v>
      </c>
      <c r="W114" s="472">
        <v>712544</v>
      </c>
    </row>
    <row r="115" spans="1:23">
      <c r="A115" s="703" t="s">
        <v>6999</v>
      </c>
      <c r="B115" s="13"/>
      <c r="C115" s="13"/>
      <c r="D115" s="13"/>
      <c r="E115" s="13"/>
      <c r="F115" s="13"/>
      <c r="G115" s="13"/>
      <c r="H115" s="13"/>
      <c r="I115" s="13"/>
      <c r="J115" s="13"/>
      <c r="K115" s="13">
        <f>SUM(B115:J115)</f>
        <v>0</v>
      </c>
      <c r="L115" s="472"/>
      <c r="M115" s="13">
        <v>22</v>
      </c>
      <c r="N115" s="13"/>
      <c r="O115" s="13"/>
      <c r="P115" s="13"/>
      <c r="Q115" s="13"/>
      <c r="R115" s="13"/>
      <c r="S115" s="13"/>
      <c r="T115" s="13"/>
      <c r="U115" s="13"/>
      <c r="V115" s="13">
        <f>SUM(M115:U115)</f>
        <v>22</v>
      </c>
      <c r="W115" s="472">
        <v>1051600</v>
      </c>
    </row>
    <row r="116" spans="1:23">
      <c r="A116" s="703" t="s">
        <v>6998</v>
      </c>
      <c r="B116" s="13"/>
      <c r="C116" s="13"/>
      <c r="D116" s="13"/>
      <c r="E116" s="13"/>
      <c r="F116" s="13"/>
      <c r="G116" s="13"/>
      <c r="H116" s="13"/>
      <c r="I116" s="13"/>
      <c r="J116" s="13"/>
      <c r="K116" s="13">
        <f>SUM(B116:J116)</f>
        <v>0</v>
      </c>
      <c r="L116" s="472"/>
      <c r="M116" s="13">
        <v>27</v>
      </c>
      <c r="N116" s="13"/>
      <c r="O116" s="13"/>
      <c r="P116" s="13"/>
      <c r="Q116" s="13"/>
      <c r="R116" s="13"/>
      <c r="S116" s="13"/>
      <c r="T116" s="13"/>
      <c r="U116" s="13"/>
      <c r="V116" s="13">
        <f>SUM(M116:U116)</f>
        <v>27</v>
      </c>
      <c r="W116" s="472">
        <v>1212840</v>
      </c>
    </row>
    <row r="117" spans="1:23">
      <c r="A117" s="703" t="s">
        <v>6997</v>
      </c>
      <c r="B117" s="13"/>
      <c r="C117" s="13"/>
      <c r="D117" s="13"/>
      <c r="E117" s="13"/>
      <c r="F117" s="13"/>
      <c r="G117" s="13"/>
      <c r="H117" s="13"/>
      <c r="I117" s="13"/>
      <c r="J117" s="13"/>
      <c r="K117" s="13">
        <f>SUM(B117:J117)</f>
        <v>0</v>
      </c>
      <c r="L117" s="472"/>
      <c r="M117" s="13">
        <v>34</v>
      </c>
      <c r="N117" s="13"/>
      <c r="O117" s="13"/>
      <c r="P117" s="13"/>
      <c r="Q117" s="13"/>
      <c r="R117" s="13"/>
      <c r="S117" s="13"/>
      <c r="T117" s="13"/>
      <c r="U117" s="13"/>
      <c r="V117" s="13">
        <f>SUM(M117:U117)</f>
        <v>34</v>
      </c>
      <c r="W117" s="472">
        <v>1398352</v>
      </c>
    </row>
    <row r="118" spans="1:23" hidden="1">
      <c r="A118" s="705" t="s">
        <v>6996</v>
      </c>
      <c r="B118" s="484">
        <f t="shared" ref="B118:W118" si="28">SUM(B119:B123)</f>
        <v>0</v>
      </c>
      <c r="C118" s="484">
        <f t="shared" si="28"/>
        <v>0</v>
      </c>
      <c r="D118" s="484">
        <f t="shared" si="28"/>
        <v>0</v>
      </c>
      <c r="E118" s="484">
        <f t="shared" si="28"/>
        <v>0</v>
      </c>
      <c r="F118" s="484">
        <f t="shared" si="28"/>
        <v>0</v>
      </c>
      <c r="G118" s="484">
        <f t="shared" si="28"/>
        <v>0</v>
      </c>
      <c r="H118" s="484">
        <f t="shared" si="28"/>
        <v>0</v>
      </c>
      <c r="I118" s="484">
        <f t="shared" si="28"/>
        <v>0</v>
      </c>
      <c r="J118" s="484">
        <f t="shared" si="28"/>
        <v>0</v>
      </c>
      <c r="K118" s="484">
        <f t="shared" si="28"/>
        <v>0</v>
      </c>
      <c r="L118" s="485">
        <f t="shared" si="28"/>
        <v>0</v>
      </c>
      <c r="M118" s="484">
        <f t="shared" si="28"/>
        <v>0</v>
      </c>
      <c r="N118" s="484">
        <f t="shared" si="28"/>
        <v>0</v>
      </c>
      <c r="O118" s="484">
        <f t="shared" si="28"/>
        <v>0</v>
      </c>
      <c r="P118" s="484">
        <f t="shared" si="28"/>
        <v>0</v>
      </c>
      <c r="Q118" s="484">
        <f t="shared" si="28"/>
        <v>0</v>
      </c>
      <c r="R118" s="484">
        <f t="shared" si="28"/>
        <v>0</v>
      </c>
      <c r="S118" s="484">
        <f t="shared" si="28"/>
        <v>0</v>
      </c>
      <c r="T118" s="484">
        <f t="shared" si="28"/>
        <v>0</v>
      </c>
      <c r="U118" s="484">
        <f t="shared" si="28"/>
        <v>0</v>
      </c>
      <c r="V118" s="484">
        <f t="shared" si="28"/>
        <v>0</v>
      </c>
      <c r="W118" s="485">
        <f t="shared" si="28"/>
        <v>0</v>
      </c>
    </row>
    <row r="119" spans="1:23" hidden="1">
      <c r="A119" s="703" t="s">
        <v>6989</v>
      </c>
      <c r="B119" s="13"/>
      <c r="C119" s="13"/>
      <c r="D119" s="13"/>
      <c r="E119" s="13"/>
      <c r="F119" s="13"/>
      <c r="G119" s="13"/>
      <c r="H119" s="13"/>
      <c r="I119" s="13"/>
      <c r="J119" s="13"/>
      <c r="K119" s="13">
        <f>SUM(B119:J119)</f>
        <v>0</v>
      </c>
      <c r="L119" s="472"/>
      <c r="M119" s="13"/>
      <c r="N119" s="13"/>
      <c r="O119" s="13"/>
      <c r="P119" s="13"/>
      <c r="Q119" s="13"/>
      <c r="R119" s="13"/>
      <c r="S119" s="13"/>
      <c r="T119" s="13"/>
      <c r="U119" s="13"/>
      <c r="V119" s="13">
        <f>SUM(M119:U119)</f>
        <v>0</v>
      </c>
      <c r="W119" s="472"/>
    </row>
    <row r="120" spans="1:23" hidden="1">
      <c r="A120" s="703" t="s">
        <v>6988</v>
      </c>
      <c r="B120" s="13"/>
      <c r="C120" s="13"/>
      <c r="D120" s="13"/>
      <c r="E120" s="13"/>
      <c r="F120" s="13"/>
      <c r="G120" s="13"/>
      <c r="H120" s="13"/>
      <c r="I120" s="13"/>
      <c r="J120" s="13"/>
      <c r="K120" s="13">
        <f>SUM(B120:J120)</f>
        <v>0</v>
      </c>
      <c r="L120" s="472"/>
      <c r="M120" s="13"/>
      <c r="N120" s="13"/>
      <c r="O120" s="13"/>
      <c r="P120" s="13"/>
      <c r="Q120" s="13"/>
      <c r="R120" s="13"/>
      <c r="S120" s="13"/>
      <c r="T120" s="13"/>
      <c r="U120" s="13"/>
      <c r="V120" s="13">
        <f>SUM(M120:U120)</f>
        <v>0</v>
      </c>
      <c r="W120" s="472"/>
    </row>
    <row r="121" spans="1:23" hidden="1">
      <c r="A121" s="703" t="s">
        <v>6986</v>
      </c>
      <c r="B121" s="13"/>
      <c r="C121" s="13"/>
      <c r="D121" s="13"/>
      <c r="E121" s="13"/>
      <c r="F121" s="13"/>
      <c r="G121" s="13"/>
      <c r="H121" s="13"/>
      <c r="I121" s="13"/>
      <c r="J121" s="13"/>
      <c r="K121" s="13">
        <f>SUM(B121:J121)</f>
        <v>0</v>
      </c>
      <c r="L121" s="472"/>
      <c r="M121" s="13"/>
      <c r="N121" s="13"/>
      <c r="O121" s="13"/>
      <c r="P121" s="13"/>
      <c r="Q121" s="13"/>
      <c r="R121" s="13"/>
      <c r="S121" s="13"/>
      <c r="T121" s="13"/>
      <c r="U121" s="13"/>
      <c r="V121" s="13">
        <f>SUM(M121:U121)</f>
        <v>0</v>
      </c>
      <c r="W121" s="472"/>
    </row>
    <row r="122" spans="1:23" hidden="1">
      <c r="A122" s="703" t="s">
        <v>6985</v>
      </c>
      <c r="B122" s="13"/>
      <c r="C122" s="13"/>
      <c r="D122" s="13"/>
      <c r="E122" s="13"/>
      <c r="F122" s="13"/>
      <c r="G122" s="13"/>
      <c r="H122" s="13"/>
      <c r="I122" s="13"/>
      <c r="J122" s="13"/>
      <c r="K122" s="13">
        <f>SUM(B122:J122)</f>
        <v>0</v>
      </c>
      <c r="L122" s="472"/>
      <c r="M122" s="13"/>
      <c r="N122" s="13"/>
      <c r="O122" s="13"/>
      <c r="P122" s="13"/>
      <c r="Q122" s="13"/>
      <c r="R122" s="13"/>
      <c r="S122" s="13"/>
      <c r="T122" s="13"/>
      <c r="U122" s="13"/>
      <c r="V122" s="13">
        <f>SUM(M122:U122)</f>
        <v>0</v>
      </c>
      <c r="W122" s="472"/>
    </row>
    <row r="123" spans="1:23" hidden="1">
      <c r="A123" s="703" t="s">
        <v>6984</v>
      </c>
      <c r="B123" s="13"/>
      <c r="C123" s="13"/>
      <c r="D123" s="13"/>
      <c r="E123" s="13"/>
      <c r="F123" s="13"/>
      <c r="G123" s="13"/>
      <c r="H123" s="13"/>
      <c r="I123" s="13"/>
      <c r="J123" s="13"/>
      <c r="K123" s="13">
        <f>SUM(B123:J123)</f>
        <v>0</v>
      </c>
      <c r="L123" s="472"/>
      <c r="M123" s="13"/>
      <c r="N123" s="13"/>
      <c r="O123" s="13"/>
      <c r="P123" s="13"/>
      <c r="Q123" s="13"/>
      <c r="R123" s="13"/>
      <c r="S123" s="13"/>
      <c r="T123" s="13"/>
      <c r="U123" s="13"/>
      <c r="V123" s="13">
        <f>SUM(M123:U123)</f>
        <v>0</v>
      </c>
      <c r="W123" s="472"/>
    </row>
    <row r="124" spans="1:23" hidden="1">
      <c r="A124" s="705" t="s">
        <v>2097</v>
      </c>
      <c r="B124" s="484">
        <f t="shared" ref="B124:W124" si="29">SUM(B125:B129)</f>
        <v>0</v>
      </c>
      <c r="C124" s="484">
        <f t="shared" si="29"/>
        <v>0</v>
      </c>
      <c r="D124" s="484">
        <f t="shared" si="29"/>
        <v>0</v>
      </c>
      <c r="E124" s="484">
        <f t="shared" si="29"/>
        <v>0</v>
      </c>
      <c r="F124" s="484">
        <f t="shared" si="29"/>
        <v>0</v>
      </c>
      <c r="G124" s="484">
        <f t="shared" si="29"/>
        <v>0</v>
      </c>
      <c r="H124" s="484">
        <f t="shared" si="29"/>
        <v>0</v>
      </c>
      <c r="I124" s="484">
        <f t="shared" si="29"/>
        <v>0</v>
      </c>
      <c r="J124" s="484">
        <f t="shared" si="29"/>
        <v>0</v>
      </c>
      <c r="K124" s="484">
        <f t="shared" si="29"/>
        <v>0</v>
      </c>
      <c r="L124" s="485">
        <f t="shared" si="29"/>
        <v>0</v>
      </c>
      <c r="M124" s="484">
        <f t="shared" si="29"/>
        <v>0</v>
      </c>
      <c r="N124" s="484">
        <f t="shared" si="29"/>
        <v>0</v>
      </c>
      <c r="O124" s="484">
        <f t="shared" si="29"/>
        <v>0</v>
      </c>
      <c r="P124" s="484">
        <f t="shared" si="29"/>
        <v>0</v>
      </c>
      <c r="Q124" s="484">
        <f t="shared" si="29"/>
        <v>0</v>
      </c>
      <c r="R124" s="484">
        <f t="shared" si="29"/>
        <v>0</v>
      </c>
      <c r="S124" s="484">
        <f t="shared" si="29"/>
        <v>0</v>
      </c>
      <c r="T124" s="484">
        <f t="shared" si="29"/>
        <v>0</v>
      </c>
      <c r="U124" s="484">
        <f t="shared" si="29"/>
        <v>0</v>
      </c>
      <c r="V124" s="484">
        <f t="shared" si="29"/>
        <v>0</v>
      </c>
      <c r="W124" s="485">
        <f t="shared" si="29"/>
        <v>0</v>
      </c>
    </row>
    <row r="125" spans="1:23" hidden="1">
      <c r="A125" s="703" t="s">
        <v>6989</v>
      </c>
      <c r="B125" s="13"/>
      <c r="C125" s="13"/>
      <c r="D125" s="13"/>
      <c r="E125" s="13"/>
      <c r="F125" s="13"/>
      <c r="G125" s="13"/>
      <c r="H125" s="13"/>
      <c r="I125" s="13"/>
      <c r="J125" s="13"/>
      <c r="K125" s="13">
        <f>SUM(B125:J125)</f>
        <v>0</v>
      </c>
      <c r="L125" s="472"/>
      <c r="M125" s="13"/>
      <c r="N125" s="13"/>
      <c r="O125" s="13"/>
      <c r="P125" s="13"/>
      <c r="Q125" s="13"/>
      <c r="R125" s="13"/>
      <c r="S125" s="13"/>
      <c r="T125" s="13"/>
      <c r="U125" s="13"/>
      <c r="V125" s="13">
        <f>SUM(M125:U125)</f>
        <v>0</v>
      </c>
      <c r="W125" s="472"/>
    </row>
    <row r="126" spans="1:23" hidden="1">
      <c r="A126" s="703" t="s">
        <v>6988</v>
      </c>
      <c r="B126" s="13"/>
      <c r="C126" s="13"/>
      <c r="D126" s="13"/>
      <c r="E126" s="13"/>
      <c r="F126" s="13"/>
      <c r="G126" s="13"/>
      <c r="H126" s="13"/>
      <c r="I126" s="13"/>
      <c r="J126" s="13"/>
      <c r="K126" s="13">
        <f>SUM(B126:J126)</f>
        <v>0</v>
      </c>
      <c r="L126" s="472"/>
      <c r="M126" s="13"/>
      <c r="N126" s="13"/>
      <c r="O126" s="13"/>
      <c r="P126" s="13"/>
      <c r="Q126" s="13"/>
      <c r="R126" s="13"/>
      <c r="S126" s="13"/>
      <c r="T126" s="13"/>
      <c r="U126" s="13"/>
      <c r="V126" s="13">
        <f>SUM(M126:U126)</f>
        <v>0</v>
      </c>
      <c r="W126" s="472"/>
    </row>
    <row r="127" spans="1:23" hidden="1">
      <c r="A127" s="703" t="s">
        <v>6986</v>
      </c>
      <c r="B127" s="13"/>
      <c r="C127" s="13"/>
      <c r="D127" s="13"/>
      <c r="E127" s="13"/>
      <c r="F127" s="13"/>
      <c r="G127" s="13"/>
      <c r="H127" s="13"/>
      <c r="I127" s="13"/>
      <c r="J127" s="13"/>
      <c r="K127" s="13">
        <f>SUM(B127:J127)</f>
        <v>0</v>
      </c>
      <c r="L127" s="472"/>
      <c r="M127" s="13"/>
      <c r="N127" s="13"/>
      <c r="O127" s="13"/>
      <c r="P127" s="13"/>
      <c r="Q127" s="13"/>
      <c r="R127" s="13"/>
      <c r="S127" s="13"/>
      <c r="T127" s="13"/>
      <c r="U127" s="13"/>
      <c r="V127" s="13">
        <f>SUM(M127:U127)</f>
        <v>0</v>
      </c>
      <c r="W127" s="472"/>
    </row>
    <row r="128" spans="1:23" hidden="1">
      <c r="A128" s="703" t="s">
        <v>6985</v>
      </c>
      <c r="B128" s="13"/>
      <c r="C128" s="13"/>
      <c r="D128" s="13"/>
      <c r="E128" s="13"/>
      <c r="F128" s="13"/>
      <c r="G128" s="13"/>
      <c r="H128" s="13"/>
      <c r="I128" s="13"/>
      <c r="J128" s="13"/>
      <c r="K128" s="13">
        <f>SUM(B128:J128)</f>
        <v>0</v>
      </c>
      <c r="L128" s="472"/>
      <c r="M128" s="13"/>
      <c r="N128" s="13"/>
      <c r="O128" s="13"/>
      <c r="P128" s="13"/>
      <c r="Q128" s="13"/>
      <c r="R128" s="13"/>
      <c r="S128" s="13"/>
      <c r="T128" s="13"/>
      <c r="U128" s="13"/>
      <c r="V128" s="13">
        <f>SUM(M128:U128)</f>
        <v>0</v>
      </c>
      <c r="W128" s="472"/>
    </row>
    <row r="129" spans="1:23" hidden="1">
      <c r="A129" s="703" t="s">
        <v>6984</v>
      </c>
      <c r="B129" s="13"/>
      <c r="C129" s="13"/>
      <c r="D129" s="13"/>
      <c r="E129" s="13"/>
      <c r="F129" s="13"/>
      <c r="G129" s="13"/>
      <c r="H129" s="13"/>
      <c r="I129" s="13"/>
      <c r="J129" s="13"/>
      <c r="K129" s="13">
        <f>SUM(B129:J129)</f>
        <v>0</v>
      </c>
      <c r="L129" s="472"/>
      <c r="M129" s="13"/>
      <c r="N129" s="13"/>
      <c r="O129" s="13"/>
      <c r="P129" s="13"/>
      <c r="Q129" s="13"/>
      <c r="R129" s="13"/>
      <c r="S129" s="13"/>
      <c r="T129" s="13"/>
      <c r="U129" s="13"/>
      <c r="V129" s="13">
        <f>SUM(M129:U129)</f>
        <v>0</v>
      </c>
      <c r="W129" s="472"/>
    </row>
    <row r="130" spans="1:23" hidden="1">
      <c r="A130" s="705" t="s">
        <v>6995</v>
      </c>
      <c r="B130" s="484">
        <f t="shared" ref="B130:W130" si="30">SUM(B131:B135)</f>
        <v>0</v>
      </c>
      <c r="C130" s="484">
        <f t="shared" si="30"/>
        <v>0</v>
      </c>
      <c r="D130" s="484">
        <f t="shared" si="30"/>
        <v>0</v>
      </c>
      <c r="E130" s="484">
        <f t="shared" si="30"/>
        <v>0</v>
      </c>
      <c r="F130" s="484">
        <f t="shared" si="30"/>
        <v>0</v>
      </c>
      <c r="G130" s="484">
        <f t="shared" si="30"/>
        <v>0</v>
      </c>
      <c r="H130" s="484">
        <f t="shared" si="30"/>
        <v>0</v>
      </c>
      <c r="I130" s="484">
        <f t="shared" si="30"/>
        <v>0</v>
      </c>
      <c r="J130" s="484">
        <f t="shared" si="30"/>
        <v>0</v>
      </c>
      <c r="K130" s="484">
        <f t="shared" si="30"/>
        <v>0</v>
      </c>
      <c r="L130" s="485">
        <f t="shared" si="30"/>
        <v>0</v>
      </c>
      <c r="M130" s="484">
        <f t="shared" si="30"/>
        <v>0</v>
      </c>
      <c r="N130" s="484">
        <f t="shared" si="30"/>
        <v>0</v>
      </c>
      <c r="O130" s="484">
        <f t="shared" si="30"/>
        <v>0</v>
      </c>
      <c r="P130" s="484">
        <f t="shared" si="30"/>
        <v>0</v>
      </c>
      <c r="Q130" s="484">
        <f t="shared" si="30"/>
        <v>0</v>
      </c>
      <c r="R130" s="484">
        <f t="shared" si="30"/>
        <v>0</v>
      </c>
      <c r="S130" s="484">
        <f t="shared" si="30"/>
        <v>0</v>
      </c>
      <c r="T130" s="484">
        <f t="shared" si="30"/>
        <v>0</v>
      </c>
      <c r="U130" s="484">
        <f t="shared" si="30"/>
        <v>0</v>
      </c>
      <c r="V130" s="484">
        <f t="shared" si="30"/>
        <v>0</v>
      </c>
      <c r="W130" s="485">
        <f t="shared" si="30"/>
        <v>0</v>
      </c>
    </row>
    <row r="131" spans="1:23" hidden="1">
      <c r="A131" s="703" t="s">
        <v>6989</v>
      </c>
      <c r="B131" s="13"/>
      <c r="C131" s="13"/>
      <c r="D131" s="13"/>
      <c r="E131" s="13"/>
      <c r="F131" s="13"/>
      <c r="G131" s="13"/>
      <c r="H131" s="13"/>
      <c r="I131" s="13"/>
      <c r="J131" s="13"/>
      <c r="K131" s="13">
        <f>SUM(B131:J131)</f>
        <v>0</v>
      </c>
      <c r="L131" s="472"/>
      <c r="M131" s="13"/>
      <c r="N131" s="13"/>
      <c r="O131" s="13"/>
      <c r="P131" s="13"/>
      <c r="Q131" s="13"/>
      <c r="R131" s="13"/>
      <c r="S131" s="13"/>
      <c r="T131" s="13"/>
      <c r="U131" s="13"/>
      <c r="V131" s="13">
        <f>SUM(M131:U131)</f>
        <v>0</v>
      </c>
      <c r="W131" s="472"/>
    </row>
    <row r="132" spans="1:23" hidden="1">
      <c r="A132" s="703" t="s">
        <v>6988</v>
      </c>
      <c r="B132" s="13"/>
      <c r="C132" s="13"/>
      <c r="D132" s="13"/>
      <c r="E132" s="13"/>
      <c r="F132" s="13"/>
      <c r="G132" s="13"/>
      <c r="H132" s="13"/>
      <c r="I132" s="13"/>
      <c r="J132" s="13"/>
      <c r="K132" s="13">
        <f>SUM(B132:J132)</f>
        <v>0</v>
      </c>
      <c r="L132" s="16"/>
      <c r="M132" s="13"/>
      <c r="N132" s="13"/>
      <c r="O132" s="13"/>
      <c r="P132" s="13"/>
      <c r="Q132" s="13"/>
      <c r="R132" s="13"/>
      <c r="S132" s="13"/>
      <c r="T132" s="13"/>
      <c r="U132" s="13"/>
      <c r="V132" s="13">
        <f>SUM(M132:U132)</f>
        <v>0</v>
      </c>
      <c r="W132" s="472"/>
    </row>
    <row r="133" spans="1:23" hidden="1">
      <c r="A133" s="703" t="s">
        <v>6986</v>
      </c>
      <c r="B133" s="13"/>
      <c r="C133" s="13"/>
      <c r="D133" s="13"/>
      <c r="E133" s="13"/>
      <c r="F133" s="13"/>
      <c r="G133" s="13"/>
      <c r="H133" s="13"/>
      <c r="I133" s="13"/>
      <c r="J133" s="13"/>
      <c r="K133" s="13">
        <f>SUM(B133:J133)</f>
        <v>0</v>
      </c>
      <c r="L133" s="16"/>
      <c r="M133" s="13"/>
      <c r="N133" s="13"/>
      <c r="O133" s="13"/>
      <c r="P133" s="13"/>
      <c r="Q133" s="13"/>
      <c r="R133" s="13"/>
      <c r="S133" s="13"/>
      <c r="T133" s="13"/>
      <c r="U133" s="13"/>
      <c r="V133" s="13">
        <f>SUM(M133:U133)</f>
        <v>0</v>
      </c>
      <c r="W133" s="472"/>
    </row>
    <row r="134" spans="1:23" hidden="1">
      <c r="A134" s="703" t="s">
        <v>6985</v>
      </c>
      <c r="B134" s="13"/>
      <c r="C134" s="13"/>
      <c r="D134" s="13"/>
      <c r="E134" s="13"/>
      <c r="F134" s="13"/>
      <c r="G134" s="13"/>
      <c r="H134" s="13"/>
      <c r="I134" s="13"/>
      <c r="J134" s="13"/>
      <c r="K134" s="13">
        <f>SUM(B134:J134)</f>
        <v>0</v>
      </c>
      <c r="L134" s="16"/>
      <c r="M134" s="13"/>
      <c r="N134" s="13"/>
      <c r="O134" s="13"/>
      <c r="P134" s="13"/>
      <c r="Q134" s="13"/>
      <c r="R134" s="13"/>
      <c r="S134" s="13"/>
      <c r="T134" s="13"/>
      <c r="U134" s="13"/>
      <c r="V134" s="13">
        <f>SUM(M134:U134)</f>
        <v>0</v>
      </c>
      <c r="W134" s="472"/>
    </row>
    <row r="135" spans="1:23" hidden="1">
      <c r="A135" s="703" t="s">
        <v>6984</v>
      </c>
      <c r="B135" s="13"/>
      <c r="C135" s="13"/>
      <c r="D135" s="13"/>
      <c r="E135" s="13"/>
      <c r="F135" s="13"/>
      <c r="G135" s="13"/>
      <c r="H135" s="13"/>
      <c r="I135" s="13"/>
      <c r="J135" s="13"/>
      <c r="K135" s="13">
        <f>SUM(B135:J135)</f>
        <v>0</v>
      </c>
      <c r="L135" s="16"/>
      <c r="M135" s="13"/>
      <c r="N135" s="13"/>
      <c r="O135" s="13"/>
      <c r="P135" s="13"/>
      <c r="Q135" s="13"/>
      <c r="R135" s="13"/>
      <c r="S135" s="13"/>
      <c r="T135" s="13"/>
      <c r="U135" s="13"/>
      <c r="V135" s="13">
        <f>SUM(M135:U135)</f>
        <v>0</v>
      </c>
      <c r="W135" s="472"/>
    </row>
    <row r="136" spans="1:23" hidden="1">
      <c r="A136" s="705" t="s">
        <v>6994</v>
      </c>
      <c r="B136" s="484">
        <f t="shared" ref="B136:W136" si="31">SUM(B137:B141)</f>
        <v>0</v>
      </c>
      <c r="C136" s="484">
        <f t="shared" si="31"/>
        <v>0</v>
      </c>
      <c r="D136" s="484">
        <f t="shared" si="31"/>
        <v>0</v>
      </c>
      <c r="E136" s="484">
        <f t="shared" si="31"/>
        <v>0</v>
      </c>
      <c r="F136" s="484">
        <f t="shared" si="31"/>
        <v>0</v>
      </c>
      <c r="G136" s="484">
        <f t="shared" si="31"/>
        <v>0</v>
      </c>
      <c r="H136" s="484">
        <f t="shared" si="31"/>
        <v>0</v>
      </c>
      <c r="I136" s="484">
        <f t="shared" si="31"/>
        <v>0</v>
      </c>
      <c r="J136" s="484">
        <f t="shared" si="31"/>
        <v>0</v>
      </c>
      <c r="K136" s="484">
        <f t="shared" si="31"/>
        <v>0</v>
      </c>
      <c r="L136" s="485">
        <f t="shared" si="31"/>
        <v>0</v>
      </c>
      <c r="M136" s="484">
        <f t="shared" si="31"/>
        <v>0</v>
      </c>
      <c r="N136" s="484">
        <f t="shared" si="31"/>
        <v>0</v>
      </c>
      <c r="O136" s="484">
        <f t="shared" si="31"/>
        <v>0</v>
      </c>
      <c r="P136" s="484">
        <f t="shared" si="31"/>
        <v>0</v>
      </c>
      <c r="Q136" s="484">
        <f t="shared" si="31"/>
        <v>0</v>
      </c>
      <c r="R136" s="484">
        <f t="shared" si="31"/>
        <v>0</v>
      </c>
      <c r="S136" s="484">
        <f t="shared" si="31"/>
        <v>0</v>
      </c>
      <c r="T136" s="484">
        <f t="shared" si="31"/>
        <v>0</v>
      </c>
      <c r="U136" s="484">
        <f t="shared" si="31"/>
        <v>0</v>
      </c>
      <c r="V136" s="484">
        <f t="shared" si="31"/>
        <v>0</v>
      </c>
      <c r="W136" s="485">
        <f t="shared" si="31"/>
        <v>0</v>
      </c>
    </row>
    <row r="137" spans="1:23" hidden="1">
      <c r="A137" s="703" t="s">
        <v>6989</v>
      </c>
      <c r="B137" s="13"/>
      <c r="C137" s="13"/>
      <c r="D137" s="13"/>
      <c r="E137" s="13"/>
      <c r="F137" s="13"/>
      <c r="G137" s="13"/>
      <c r="H137" s="13"/>
      <c r="I137" s="13"/>
      <c r="J137" s="13"/>
      <c r="K137" s="13">
        <f>SUM(B137:J137)</f>
        <v>0</v>
      </c>
      <c r="L137" s="472"/>
      <c r="M137" s="13"/>
      <c r="N137" s="13"/>
      <c r="O137" s="13"/>
      <c r="P137" s="13"/>
      <c r="Q137" s="13"/>
      <c r="R137" s="13"/>
      <c r="S137" s="13"/>
      <c r="T137" s="13"/>
      <c r="U137" s="13"/>
      <c r="V137" s="13">
        <f>SUM(M137:U137)</f>
        <v>0</v>
      </c>
      <c r="W137" s="472"/>
    </row>
    <row r="138" spans="1:23" hidden="1">
      <c r="A138" s="703" t="s">
        <v>6988</v>
      </c>
      <c r="B138" s="13"/>
      <c r="C138" s="13"/>
      <c r="D138" s="13"/>
      <c r="E138" s="13"/>
      <c r="F138" s="13"/>
      <c r="G138" s="13"/>
      <c r="H138" s="13"/>
      <c r="I138" s="13"/>
      <c r="J138" s="13"/>
      <c r="K138" s="13">
        <f>SUM(B138:J138)</f>
        <v>0</v>
      </c>
      <c r="L138" s="472"/>
      <c r="M138" s="13"/>
      <c r="N138" s="13"/>
      <c r="O138" s="13"/>
      <c r="P138" s="13"/>
      <c r="Q138" s="13"/>
      <c r="R138" s="13"/>
      <c r="S138" s="13"/>
      <c r="T138" s="13"/>
      <c r="U138" s="13"/>
      <c r="V138" s="13">
        <f>SUM(M138:U138)</f>
        <v>0</v>
      </c>
      <c r="W138" s="472"/>
    </row>
    <row r="139" spans="1:23" hidden="1">
      <c r="A139" s="703" t="s">
        <v>6986</v>
      </c>
      <c r="B139" s="13"/>
      <c r="C139" s="13"/>
      <c r="D139" s="13"/>
      <c r="E139" s="13"/>
      <c r="F139" s="13"/>
      <c r="G139" s="13"/>
      <c r="H139" s="13"/>
      <c r="I139" s="13"/>
      <c r="J139" s="13"/>
      <c r="K139" s="13">
        <f>SUM(B139:J139)</f>
        <v>0</v>
      </c>
      <c r="L139" s="472"/>
      <c r="M139" s="13"/>
      <c r="N139" s="13"/>
      <c r="O139" s="13"/>
      <c r="P139" s="13"/>
      <c r="Q139" s="13"/>
      <c r="R139" s="13"/>
      <c r="S139" s="13"/>
      <c r="T139" s="13"/>
      <c r="U139" s="13"/>
      <c r="V139" s="13">
        <f>SUM(M139:U139)</f>
        <v>0</v>
      </c>
      <c r="W139" s="472"/>
    </row>
    <row r="140" spans="1:23" hidden="1">
      <c r="A140" s="703" t="s">
        <v>6985</v>
      </c>
      <c r="B140" s="13"/>
      <c r="C140" s="13"/>
      <c r="D140" s="13"/>
      <c r="E140" s="13"/>
      <c r="F140" s="13"/>
      <c r="G140" s="13"/>
      <c r="H140" s="13"/>
      <c r="I140" s="13"/>
      <c r="J140" s="13"/>
      <c r="K140" s="13">
        <f>SUM(B140:J140)</f>
        <v>0</v>
      </c>
      <c r="L140" s="472"/>
      <c r="M140" s="13"/>
      <c r="N140" s="13"/>
      <c r="O140" s="13"/>
      <c r="P140" s="13"/>
      <c r="Q140" s="13"/>
      <c r="R140" s="13"/>
      <c r="S140" s="13"/>
      <c r="T140" s="13"/>
      <c r="U140" s="13"/>
      <c r="V140" s="13">
        <f>SUM(M140:U140)</f>
        <v>0</v>
      </c>
      <c r="W140" s="472"/>
    </row>
    <row r="141" spans="1:23" hidden="1">
      <c r="A141" s="703" t="s">
        <v>6984</v>
      </c>
      <c r="B141" s="13"/>
      <c r="C141" s="13"/>
      <c r="D141" s="13"/>
      <c r="E141" s="13"/>
      <c r="F141" s="13"/>
      <c r="G141" s="13"/>
      <c r="H141" s="13"/>
      <c r="I141" s="13"/>
      <c r="J141" s="13"/>
      <c r="K141" s="13">
        <f>SUM(B141:J141)</f>
        <v>0</v>
      </c>
      <c r="L141" s="472"/>
      <c r="M141" s="13"/>
      <c r="N141" s="13"/>
      <c r="O141" s="13"/>
      <c r="P141" s="13"/>
      <c r="Q141" s="13"/>
      <c r="R141" s="13"/>
      <c r="S141" s="13"/>
      <c r="T141" s="13"/>
      <c r="U141" s="13"/>
      <c r="V141" s="13">
        <f>SUM(M141:U141)</f>
        <v>0</v>
      </c>
      <c r="W141" s="472"/>
    </row>
    <row r="142" spans="1:23" hidden="1">
      <c r="A142" s="705" t="s">
        <v>6993</v>
      </c>
      <c r="B142" s="484">
        <f t="shared" ref="B142:W142" si="32">SUM(B143:B147)</f>
        <v>0</v>
      </c>
      <c r="C142" s="484">
        <f t="shared" si="32"/>
        <v>0</v>
      </c>
      <c r="D142" s="484">
        <f t="shared" si="32"/>
        <v>0</v>
      </c>
      <c r="E142" s="484">
        <f t="shared" si="32"/>
        <v>0</v>
      </c>
      <c r="F142" s="484">
        <f t="shared" si="32"/>
        <v>0</v>
      </c>
      <c r="G142" s="484">
        <f t="shared" si="32"/>
        <v>0</v>
      </c>
      <c r="H142" s="484">
        <f t="shared" si="32"/>
        <v>0</v>
      </c>
      <c r="I142" s="484">
        <f t="shared" si="32"/>
        <v>0</v>
      </c>
      <c r="J142" s="484">
        <f t="shared" si="32"/>
        <v>0</v>
      </c>
      <c r="K142" s="484">
        <f t="shared" si="32"/>
        <v>0</v>
      </c>
      <c r="L142" s="485">
        <f t="shared" si="32"/>
        <v>0</v>
      </c>
      <c r="M142" s="484">
        <f t="shared" si="32"/>
        <v>0</v>
      </c>
      <c r="N142" s="484">
        <f t="shared" si="32"/>
        <v>0</v>
      </c>
      <c r="O142" s="484">
        <f t="shared" si="32"/>
        <v>0</v>
      </c>
      <c r="P142" s="484">
        <f t="shared" si="32"/>
        <v>0</v>
      </c>
      <c r="Q142" s="484">
        <f t="shared" si="32"/>
        <v>0</v>
      </c>
      <c r="R142" s="484">
        <f t="shared" si="32"/>
        <v>0</v>
      </c>
      <c r="S142" s="484">
        <f t="shared" si="32"/>
        <v>0</v>
      </c>
      <c r="T142" s="484">
        <f t="shared" si="32"/>
        <v>0</v>
      </c>
      <c r="U142" s="484">
        <f t="shared" si="32"/>
        <v>0</v>
      </c>
      <c r="V142" s="484">
        <f t="shared" si="32"/>
        <v>0</v>
      </c>
      <c r="W142" s="485">
        <f t="shared" si="32"/>
        <v>0</v>
      </c>
    </row>
    <row r="143" spans="1:23" hidden="1">
      <c r="A143" s="703" t="s">
        <v>6989</v>
      </c>
      <c r="B143" s="13"/>
      <c r="C143" s="13"/>
      <c r="D143" s="13"/>
      <c r="E143" s="13"/>
      <c r="F143" s="13"/>
      <c r="G143" s="13"/>
      <c r="H143" s="13"/>
      <c r="I143" s="13"/>
      <c r="J143" s="13"/>
      <c r="K143" s="13">
        <f>SUM(B143:J143)</f>
        <v>0</v>
      </c>
      <c r="L143" s="472"/>
      <c r="M143" s="13"/>
      <c r="N143" s="13"/>
      <c r="O143" s="13"/>
      <c r="P143" s="13"/>
      <c r="Q143" s="13"/>
      <c r="R143" s="13"/>
      <c r="S143" s="13"/>
      <c r="T143" s="13"/>
      <c r="U143" s="13"/>
      <c r="V143" s="13">
        <f>SUM(M143:U143)</f>
        <v>0</v>
      </c>
      <c r="W143" s="472"/>
    </row>
    <row r="144" spans="1:23" hidden="1">
      <c r="A144" s="703" t="s">
        <v>6988</v>
      </c>
      <c r="B144" s="13"/>
      <c r="C144" s="13"/>
      <c r="D144" s="13"/>
      <c r="E144" s="13"/>
      <c r="F144" s="13"/>
      <c r="G144" s="13"/>
      <c r="H144" s="13"/>
      <c r="I144" s="13"/>
      <c r="J144" s="13"/>
      <c r="K144" s="13">
        <f>SUM(B144:J144)</f>
        <v>0</v>
      </c>
      <c r="L144" s="472"/>
      <c r="M144" s="13"/>
      <c r="N144" s="13"/>
      <c r="O144" s="13"/>
      <c r="P144" s="13"/>
      <c r="Q144" s="13"/>
      <c r="R144" s="13"/>
      <c r="S144" s="13"/>
      <c r="T144" s="13"/>
      <c r="U144" s="13"/>
      <c r="V144" s="13">
        <f>SUM(M144:U144)</f>
        <v>0</v>
      </c>
      <c r="W144" s="472"/>
    </row>
    <row r="145" spans="1:23" hidden="1">
      <c r="A145" s="703" t="s">
        <v>6986</v>
      </c>
      <c r="B145" s="13"/>
      <c r="C145" s="13"/>
      <c r="D145" s="13"/>
      <c r="E145" s="13"/>
      <c r="F145" s="13"/>
      <c r="G145" s="13"/>
      <c r="H145" s="13"/>
      <c r="I145" s="13"/>
      <c r="J145" s="13"/>
      <c r="K145" s="13">
        <f>SUM(B145:J145)</f>
        <v>0</v>
      </c>
      <c r="L145" s="472"/>
      <c r="M145" s="13"/>
      <c r="N145" s="13"/>
      <c r="O145" s="13"/>
      <c r="P145" s="13"/>
      <c r="Q145" s="13"/>
      <c r="R145" s="13"/>
      <c r="S145" s="13"/>
      <c r="T145" s="13"/>
      <c r="U145" s="13"/>
      <c r="V145" s="13">
        <f>SUM(M145:U145)</f>
        <v>0</v>
      </c>
      <c r="W145" s="472"/>
    </row>
    <row r="146" spans="1:23" hidden="1">
      <c r="A146" s="703" t="s">
        <v>6985</v>
      </c>
      <c r="B146" s="13"/>
      <c r="C146" s="13"/>
      <c r="D146" s="13"/>
      <c r="E146" s="13"/>
      <c r="F146" s="13"/>
      <c r="G146" s="13"/>
      <c r="H146" s="13"/>
      <c r="I146" s="13"/>
      <c r="J146" s="13"/>
      <c r="K146" s="13">
        <f>SUM(B146:J146)</f>
        <v>0</v>
      </c>
      <c r="L146" s="472"/>
      <c r="M146" s="13"/>
      <c r="N146" s="13"/>
      <c r="O146" s="13"/>
      <c r="P146" s="13"/>
      <c r="Q146" s="13"/>
      <c r="R146" s="13"/>
      <c r="S146" s="13"/>
      <c r="T146" s="13"/>
      <c r="U146" s="13"/>
      <c r="V146" s="13">
        <f>SUM(M146:U146)</f>
        <v>0</v>
      </c>
      <c r="W146" s="472"/>
    </row>
    <row r="147" spans="1:23" hidden="1">
      <c r="A147" s="703" t="s">
        <v>6984</v>
      </c>
      <c r="B147" s="13"/>
      <c r="C147" s="13"/>
      <c r="D147" s="13"/>
      <c r="E147" s="13"/>
      <c r="F147" s="13"/>
      <c r="G147" s="13"/>
      <c r="H147" s="13"/>
      <c r="I147" s="13"/>
      <c r="J147" s="13"/>
      <c r="K147" s="13">
        <f>SUM(B147:J147)</f>
        <v>0</v>
      </c>
      <c r="L147" s="472"/>
      <c r="M147" s="13"/>
      <c r="N147" s="13"/>
      <c r="O147" s="13"/>
      <c r="P147" s="13"/>
      <c r="Q147" s="13"/>
      <c r="R147" s="13"/>
      <c r="S147" s="13"/>
      <c r="T147" s="13"/>
      <c r="U147" s="13"/>
      <c r="V147" s="13">
        <f>SUM(M147:U147)</f>
        <v>0</v>
      </c>
      <c r="W147" s="472"/>
    </row>
    <row r="148" spans="1:23" hidden="1">
      <c r="A148" s="705" t="s">
        <v>6992</v>
      </c>
      <c r="B148" s="484">
        <f t="shared" ref="B148:W148" si="33">SUM(B149:B153)</f>
        <v>0</v>
      </c>
      <c r="C148" s="484">
        <f t="shared" si="33"/>
        <v>0</v>
      </c>
      <c r="D148" s="484">
        <f t="shared" si="33"/>
        <v>0</v>
      </c>
      <c r="E148" s="484">
        <f t="shared" si="33"/>
        <v>0</v>
      </c>
      <c r="F148" s="484">
        <f t="shared" si="33"/>
        <v>0</v>
      </c>
      <c r="G148" s="484">
        <f t="shared" si="33"/>
        <v>0</v>
      </c>
      <c r="H148" s="484">
        <f t="shared" si="33"/>
        <v>0</v>
      </c>
      <c r="I148" s="484">
        <f t="shared" si="33"/>
        <v>0</v>
      </c>
      <c r="J148" s="484">
        <f t="shared" si="33"/>
        <v>0</v>
      </c>
      <c r="K148" s="484">
        <f t="shared" si="33"/>
        <v>0</v>
      </c>
      <c r="L148" s="485">
        <f t="shared" si="33"/>
        <v>0</v>
      </c>
      <c r="M148" s="484">
        <f t="shared" si="33"/>
        <v>0</v>
      </c>
      <c r="N148" s="484">
        <f t="shared" si="33"/>
        <v>0</v>
      </c>
      <c r="O148" s="484">
        <f t="shared" si="33"/>
        <v>0</v>
      </c>
      <c r="P148" s="484">
        <f t="shared" si="33"/>
        <v>0</v>
      </c>
      <c r="Q148" s="484">
        <f t="shared" si="33"/>
        <v>0</v>
      </c>
      <c r="R148" s="484">
        <f t="shared" si="33"/>
        <v>0</v>
      </c>
      <c r="S148" s="484">
        <f t="shared" si="33"/>
        <v>0</v>
      </c>
      <c r="T148" s="484">
        <f t="shared" si="33"/>
        <v>0</v>
      </c>
      <c r="U148" s="484">
        <f t="shared" si="33"/>
        <v>0</v>
      </c>
      <c r="V148" s="484">
        <f t="shared" si="33"/>
        <v>0</v>
      </c>
      <c r="W148" s="485">
        <f t="shared" si="33"/>
        <v>0</v>
      </c>
    </row>
    <row r="149" spans="1:23" hidden="1">
      <c r="A149" s="703" t="s">
        <v>6989</v>
      </c>
      <c r="B149" s="13"/>
      <c r="C149" s="13"/>
      <c r="D149" s="13"/>
      <c r="E149" s="13"/>
      <c r="F149" s="13"/>
      <c r="G149" s="13"/>
      <c r="H149" s="13"/>
      <c r="I149" s="13"/>
      <c r="J149" s="13"/>
      <c r="K149" s="13">
        <f>SUM(B149:J149)</f>
        <v>0</v>
      </c>
      <c r="L149" s="472"/>
      <c r="M149" s="13"/>
      <c r="N149" s="13"/>
      <c r="O149" s="13"/>
      <c r="P149" s="13"/>
      <c r="Q149" s="13"/>
      <c r="R149" s="13"/>
      <c r="S149" s="13"/>
      <c r="T149" s="13"/>
      <c r="U149" s="13"/>
      <c r="V149" s="13">
        <f>SUM(M149:U149)</f>
        <v>0</v>
      </c>
      <c r="W149" s="472"/>
    </row>
    <row r="150" spans="1:23" hidden="1">
      <c r="A150" s="703" t="s">
        <v>6988</v>
      </c>
      <c r="B150" s="13"/>
      <c r="C150" s="13"/>
      <c r="D150" s="13"/>
      <c r="E150" s="13"/>
      <c r="F150" s="13"/>
      <c r="G150" s="13"/>
      <c r="H150" s="13"/>
      <c r="I150" s="13"/>
      <c r="J150" s="13"/>
      <c r="K150" s="13">
        <f>SUM(B150:J150)</f>
        <v>0</v>
      </c>
      <c r="L150" s="472"/>
      <c r="M150" s="13"/>
      <c r="N150" s="13"/>
      <c r="O150" s="13"/>
      <c r="P150" s="13"/>
      <c r="Q150" s="13"/>
      <c r="R150" s="13"/>
      <c r="S150" s="13"/>
      <c r="T150" s="13"/>
      <c r="U150" s="13"/>
      <c r="V150" s="13">
        <f>SUM(M150:U150)</f>
        <v>0</v>
      </c>
      <c r="W150" s="472"/>
    </row>
    <row r="151" spans="1:23" hidden="1">
      <c r="A151" s="703" t="s">
        <v>6986</v>
      </c>
      <c r="B151" s="13"/>
      <c r="C151" s="13"/>
      <c r="D151" s="13"/>
      <c r="E151" s="13"/>
      <c r="F151" s="13"/>
      <c r="G151" s="13"/>
      <c r="H151" s="13"/>
      <c r="I151" s="13"/>
      <c r="J151" s="13"/>
      <c r="K151" s="13">
        <f>SUM(B151:J151)</f>
        <v>0</v>
      </c>
      <c r="L151" s="472"/>
      <c r="M151" s="13"/>
      <c r="N151" s="13"/>
      <c r="O151" s="13"/>
      <c r="P151" s="13"/>
      <c r="Q151" s="13"/>
      <c r="R151" s="13"/>
      <c r="S151" s="13"/>
      <c r="T151" s="13"/>
      <c r="U151" s="13"/>
      <c r="V151" s="13">
        <f>SUM(M151:U151)</f>
        <v>0</v>
      </c>
      <c r="W151" s="472"/>
    </row>
    <row r="152" spans="1:23" hidden="1">
      <c r="A152" s="703" t="s">
        <v>6985</v>
      </c>
      <c r="B152" s="13"/>
      <c r="C152" s="13"/>
      <c r="D152" s="13"/>
      <c r="E152" s="13"/>
      <c r="F152" s="13"/>
      <c r="G152" s="13"/>
      <c r="H152" s="13"/>
      <c r="I152" s="13"/>
      <c r="J152" s="13"/>
      <c r="K152" s="13">
        <f>SUM(B152:J152)</f>
        <v>0</v>
      </c>
      <c r="L152" s="472"/>
      <c r="M152" s="13"/>
      <c r="N152" s="13"/>
      <c r="O152" s="13"/>
      <c r="P152" s="13"/>
      <c r="Q152" s="13"/>
      <c r="R152" s="13"/>
      <c r="S152" s="13"/>
      <c r="T152" s="13"/>
      <c r="U152" s="13"/>
      <c r="V152" s="13">
        <f>SUM(M152:U152)</f>
        <v>0</v>
      </c>
      <c r="W152" s="472"/>
    </row>
    <row r="153" spans="1:23" hidden="1">
      <c r="A153" s="703" t="s">
        <v>6984</v>
      </c>
      <c r="B153" s="13"/>
      <c r="C153" s="13"/>
      <c r="D153" s="13"/>
      <c r="E153" s="13"/>
      <c r="F153" s="13"/>
      <c r="G153" s="13"/>
      <c r="H153" s="13"/>
      <c r="I153" s="13"/>
      <c r="J153" s="13"/>
      <c r="K153" s="13">
        <f>SUM(B153:J153)</f>
        <v>0</v>
      </c>
      <c r="L153" s="472"/>
      <c r="M153" s="13"/>
      <c r="N153" s="13"/>
      <c r="O153" s="13"/>
      <c r="P153" s="13"/>
      <c r="Q153" s="13"/>
      <c r="R153" s="13"/>
      <c r="S153" s="13"/>
      <c r="T153" s="13"/>
      <c r="U153" s="13"/>
      <c r="V153" s="13">
        <f>SUM(M153:U153)</f>
        <v>0</v>
      </c>
      <c r="W153" s="472"/>
    </row>
    <row r="154" spans="1:23" hidden="1">
      <c r="A154" s="705" t="s">
        <v>6991</v>
      </c>
      <c r="B154" s="484">
        <f t="shared" ref="B154:W154" si="34">SUM(B155:B159)</f>
        <v>0</v>
      </c>
      <c r="C154" s="484">
        <f t="shared" si="34"/>
        <v>0</v>
      </c>
      <c r="D154" s="484">
        <f t="shared" si="34"/>
        <v>0</v>
      </c>
      <c r="E154" s="484">
        <f t="shared" si="34"/>
        <v>0</v>
      </c>
      <c r="F154" s="484">
        <f t="shared" si="34"/>
        <v>0</v>
      </c>
      <c r="G154" s="484">
        <f t="shared" si="34"/>
        <v>0</v>
      </c>
      <c r="H154" s="484">
        <f t="shared" si="34"/>
        <v>0</v>
      </c>
      <c r="I154" s="484">
        <f t="shared" si="34"/>
        <v>0</v>
      </c>
      <c r="J154" s="484">
        <f t="shared" si="34"/>
        <v>0</v>
      </c>
      <c r="K154" s="484">
        <f t="shared" si="34"/>
        <v>0</v>
      </c>
      <c r="L154" s="485">
        <f t="shared" si="34"/>
        <v>0</v>
      </c>
      <c r="M154" s="484">
        <f t="shared" si="34"/>
        <v>0</v>
      </c>
      <c r="N154" s="484">
        <f t="shared" si="34"/>
        <v>0</v>
      </c>
      <c r="O154" s="484">
        <f t="shared" si="34"/>
        <v>0</v>
      </c>
      <c r="P154" s="484">
        <f t="shared" si="34"/>
        <v>0</v>
      </c>
      <c r="Q154" s="484">
        <f t="shared" si="34"/>
        <v>0</v>
      </c>
      <c r="R154" s="484">
        <f t="shared" si="34"/>
        <v>0</v>
      </c>
      <c r="S154" s="484">
        <f t="shared" si="34"/>
        <v>0</v>
      </c>
      <c r="T154" s="484">
        <f t="shared" si="34"/>
        <v>0</v>
      </c>
      <c r="U154" s="484">
        <f t="shared" si="34"/>
        <v>0</v>
      </c>
      <c r="V154" s="484">
        <f t="shared" si="34"/>
        <v>0</v>
      </c>
      <c r="W154" s="485">
        <f t="shared" si="34"/>
        <v>0</v>
      </c>
    </row>
    <row r="155" spans="1:23" hidden="1">
      <c r="A155" s="703" t="s">
        <v>6989</v>
      </c>
      <c r="B155" s="13"/>
      <c r="C155" s="13"/>
      <c r="D155" s="13"/>
      <c r="E155" s="13"/>
      <c r="F155" s="13"/>
      <c r="G155" s="13"/>
      <c r="H155" s="13"/>
      <c r="I155" s="13"/>
      <c r="J155" s="13"/>
      <c r="K155" s="13">
        <f>SUM(B155:J155)</f>
        <v>0</v>
      </c>
      <c r="L155" s="16"/>
      <c r="M155" s="13"/>
      <c r="N155" s="13"/>
      <c r="O155" s="13"/>
      <c r="P155" s="13"/>
      <c r="Q155" s="13"/>
      <c r="R155" s="13"/>
      <c r="S155" s="13"/>
      <c r="T155" s="13"/>
      <c r="U155" s="13"/>
      <c r="V155" s="13">
        <f>SUM(M155:U155)</f>
        <v>0</v>
      </c>
      <c r="W155" s="472"/>
    </row>
    <row r="156" spans="1:23" hidden="1">
      <c r="A156" s="703" t="s">
        <v>6988</v>
      </c>
      <c r="B156" s="13"/>
      <c r="C156" s="13"/>
      <c r="D156" s="13"/>
      <c r="E156" s="13"/>
      <c r="F156" s="13"/>
      <c r="G156" s="13"/>
      <c r="H156" s="13"/>
      <c r="I156" s="13"/>
      <c r="J156" s="13"/>
      <c r="K156" s="13">
        <f>SUM(B156:J156)</f>
        <v>0</v>
      </c>
      <c r="L156" s="16"/>
      <c r="M156" s="13"/>
      <c r="N156" s="13"/>
      <c r="O156" s="13"/>
      <c r="P156" s="13"/>
      <c r="Q156" s="13"/>
      <c r="R156" s="13"/>
      <c r="S156" s="13"/>
      <c r="T156" s="13"/>
      <c r="U156" s="13"/>
      <c r="V156" s="13">
        <f>SUM(M156:U156)</f>
        <v>0</v>
      </c>
      <c r="W156" s="472"/>
    </row>
    <row r="157" spans="1:23" hidden="1">
      <c r="A157" s="703" t="s">
        <v>6986</v>
      </c>
      <c r="B157" s="13"/>
      <c r="C157" s="13"/>
      <c r="D157" s="13"/>
      <c r="E157" s="13"/>
      <c r="F157" s="13"/>
      <c r="G157" s="13"/>
      <c r="H157" s="13"/>
      <c r="I157" s="13"/>
      <c r="J157" s="13"/>
      <c r="K157" s="13">
        <f>SUM(B157:J157)</f>
        <v>0</v>
      </c>
      <c r="L157" s="16"/>
      <c r="M157" s="13"/>
      <c r="N157" s="13"/>
      <c r="O157" s="13"/>
      <c r="P157" s="13"/>
      <c r="Q157" s="13"/>
      <c r="R157" s="13"/>
      <c r="S157" s="13"/>
      <c r="T157" s="13"/>
      <c r="U157" s="13"/>
      <c r="V157" s="13">
        <f>SUM(M157:U157)</f>
        <v>0</v>
      </c>
      <c r="W157" s="472"/>
    </row>
    <row r="158" spans="1:23" hidden="1">
      <c r="A158" s="703" t="s">
        <v>6985</v>
      </c>
      <c r="B158" s="13"/>
      <c r="C158" s="13"/>
      <c r="D158" s="13"/>
      <c r="E158" s="13"/>
      <c r="F158" s="13"/>
      <c r="G158" s="13"/>
      <c r="H158" s="13"/>
      <c r="I158" s="13"/>
      <c r="J158" s="13"/>
      <c r="K158" s="13">
        <f>SUM(B158:J158)</f>
        <v>0</v>
      </c>
      <c r="L158" s="16"/>
      <c r="M158" s="13"/>
      <c r="N158" s="13"/>
      <c r="O158" s="13"/>
      <c r="P158" s="13"/>
      <c r="Q158" s="13"/>
      <c r="R158" s="13"/>
      <c r="S158" s="13"/>
      <c r="T158" s="13"/>
      <c r="U158" s="13"/>
      <c r="V158" s="13">
        <f>SUM(M158:U158)</f>
        <v>0</v>
      </c>
      <c r="W158" s="472"/>
    </row>
    <row r="159" spans="1:23" hidden="1">
      <c r="A159" s="703" t="s">
        <v>6984</v>
      </c>
      <c r="B159" s="13"/>
      <c r="C159" s="13"/>
      <c r="D159" s="13"/>
      <c r="E159" s="13"/>
      <c r="F159" s="13"/>
      <c r="G159" s="13"/>
      <c r="H159" s="13"/>
      <c r="I159" s="13"/>
      <c r="J159" s="13"/>
      <c r="K159" s="13">
        <f>SUM(B159:J159)</f>
        <v>0</v>
      </c>
      <c r="L159" s="472"/>
      <c r="M159" s="13"/>
      <c r="N159" s="13"/>
      <c r="O159" s="13"/>
      <c r="P159" s="13"/>
      <c r="Q159" s="13"/>
      <c r="R159" s="13"/>
      <c r="S159" s="13"/>
      <c r="T159" s="13"/>
      <c r="U159" s="13"/>
      <c r="V159" s="13">
        <f>SUM(M159:U159)</f>
        <v>0</v>
      </c>
      <c r="W159" s="472"/>
    </row>
    <row r="160" spans="1:23" ht="24" hidden="1">
      <c r="A160" s="705" t="s">
        <v>6990</v>
      </c>
      <c r="B160" s="484">
        <f t="shared" ref="B160:W160" si="35">SUM(B161:B165)</f>
        <v>0</v>
      </c>
      <c r="C160" s="484">
        <f t="shared" si="35"/>
        <v>0</v>
      </c>
      <c r="D160" s="484">
        <f t="shared" si="35"/>
        <v>0</v>
      </c>
      <c r="E160" s="484">
        <f t="shared" si="35"/>
        <v>0</v>
      </c>
      <c r="F160" s="484">
        <f t="shared" si="35"/>
        <v>0</v>
      </c>
      <c r="G160" s="484">
        <f t="shared" si="35"/>
        <v>0</v>
      </c>
      <c r="H160" s="484">
        <f t="shared" si="35"/>
        <v>0</v>
      </c>
      <c r="I160" s="484">
        <f t="shared" si="35"/>
        <v>0</v>
      </c>
      <c r="J160" s="484">
        <f t="shared" si="35"/>
        <v>0</v>
      </c>
      <c r="K160" s="484">
        <f t="shared" si="35"/>
        <v>0</v>
      </c>
      <c r="L160" s="485">
        <f t="shared" si="35"/>
        <v>0</v>
      </c>
      <c r="M160" s="484">
        <f t="shared" si="35"/>
        <v>0</v>
      </c>
      <c r="N160" s="484">
        <f t="shared" si="35"/>
        <v>0</v>
      </c>
      <c r="O160" s="484">
        <f t="shared" si="35"/>
        <v>0</v>
      </c>
      <c r="P160" s="484">
        <f t="shared" si="35"/>
        <v>0</v>
      </c>
      <c r="Q160" s="484">
        <f t="shared" si="35"/>
        <v>0</v>
      </c>
      <c r="R160" s="484">
        <f t="shared" si="35"/>
        <v>0</v>
      </c>
      <c r="S160" s="484">
        <f t="shared" si="35"/>
        <v>0</v>
      </c>
      <c r="T160" s="484">
        <f t="shared" si="35"/>
        <v>0</v>
      </c>
      <c r="U160" s="484">
        <f t="shared" si="35"/>
        <v>0</v>
      </c>
      <c r="V160" s="484">
        <f t="shared" si="35"/>
        <v>0</v>
      </c>
      <c r="W160" s="485">
        <f t="shared" si="35"/>
        <v>0</v>
      </c>
    </row>
    <row r="161" spans="1:23" hidden="1">
      <c r="A161" s="703" t="s">
        <v>6989</v>
      </c>
      <c r="B161" s="13"/>
      <c r="C161" s="13"/>
      <c r="D161" s="13"/>
      <c r="E161" s="13"/>
      <c r="F161" s="13"/>
      <c r="G161" s="13"/>
      <c r="H161" s="13"/>
      <c r="I161" s="13"/>
      <c r="J161" s="13"/>
      <c r="K161" s="13">
        <f>SUM(B161:J161)</f>
        <v>0</v>
      </c>
      <c r="L161" s="472"/>
      <c r="M161" s="13"/>
      <c r="N161" s="13"/>
      <c r="O161" s="13"/>
      <c r="P161" s="13"/>
      <c r="Q161" s="13"/>
      <c r="R161" s="13"/>
      <c r="S161" s="13"/>
      <c r="T161" s="13"/>
      <c r="U161" s="13"/>
      <c r="V161" s="13">
        <f>SUM(M161:U161)</f>
        <v>0</v>
      </c>
      <c r="W161" s="472"/>
    </row>
    <row r="162" spans="1:23" hidden="1">
      <c r="A162" s="703" t="s">
        <v>6988</v>
      </c>
      <c r="B162" s="13"/>
      <c r="C162" s="13"/>
      <c r="D162" s="13"/>
      <c r="E162" s="13"/>
      <c r="F162" s="13"/>
      <c r="G162" s="13"/>
      <c r="H162" s="13"/>
      <c r="I162" s="13"/>
      <c r="J162" s="13"/>
      <c r="K162" s="13">
        <f>SUM(B162:J162)</f>
        <v>0</v>
      </c>
      <c r="L162" s="472"/>
      <c r="M162" s="13"/>
      <c r="N162" s="13"/>
      <c r="O162" s="13"/>
      <c r="P162" s="13"/>
      <c r="Q162" s="13"/>
      <c r="R162" s="13"/>
      <c r="S162" s="13"/>
      <c r="T162" s="13"/>
      <c r="U162" s="13"/>
      <c r="V162" s="13">
        <f>SUM(M162:U162)</f>
        <v>0</v>
      </c>
      <c r="W162" s="472"/>
    </row>
    <row r="163" spans="1:23" hidden="1">
      <c r="A163" s="703" t="s">
        <v>6986</v>
      </c>
      <c r="B163" s="13"/>
      <c r="C163" s="13"/>
      <c r="D163" s="13"/>
      <c r="E163" s="13"/>
      <c r="F163" s="13"/>
      <c r="G163" s="13"/>
      <c r="H163" s="13"/>
      <c r="I163" s="13"/>
      <c r="J163" s="13"/>
      <c r="K163" s="13">
        <f>SUM(B163:J163)</f>
        <v>0</v>
      </c>
      <c r="L163" s="472"/>
      <c r="M163" s="13"/>
      <c r="N163" s="13"/>
      <c r="O163" s="13"/>
      <c r="P163" s="13"/>
      <c r="Q163" s="13"/>
      <c r="R163" s="13"/>
      <c r="S163" s="13"/>
      <c r="T163" s="13"/>
      <c r="U163" s="13"/>
      <c r="V163" s="13">
        <f>SUM(M163:U163)</f>
        <v>0</v>
      </c>
      <c r="W163" s="472"/>
    </row>
    <row r="164" spans="1:23" hidden="1">
      <c r="A164" s="703" t="s">
        <v>6985</v>
      </c>
      <c r="B164" s="13"/>
      <c r="C164" s="13"/>
      <c r="D164" s="13"/>
      <c r="E164" s="13"/>
      <c r="F164" s="13"/>
      <c r="G164" s="13"/>
      <c r="H164" s="13"/>
      <c r="I164" s="13"/>
      <c r="J164" s="13"/>
      <c r="K164" s="13">
        <f>SUM(B164:J164)</f>
        <v>0</v>
      </c>
      <c r="L164" s="472"/>
      <c r="M164" s="13"/>
      <c r="N164" s="13"/>
      <c r="O164" s="13"/>
      <c r="P164" s="13"/>
      <c r="Q164" s="13"/>
      <c r="R164" s="13"/>
      <c r="S164" s="13"/>
      <c r="T164" s="13"/>
      <c r="U164" s="13"/>
      <c r="V164" s="13">
        <f>SUM(M164:U164)</f>
        <v>0</v>
      </c>
      <c r="W164" s="472"/>
    </row>
    <row r="165" spans="1:23" hidden="1">
      <c r="A165" s="703" t="s">
        <v>6984</v>
      </c>
      <c r="B165" s="13"/>
      <c r="C165" s="13"/>
      <c r="D165" s="13"/>
      <c r="E165" s="13"/>
      <c r="F165" s="13"/>
      <c r="G165" s="13"/>
      <c r="H165" s="13"/>
      <c r="I165" s="13"/>
      <c r="J165" s="13"/>
      <c r="K165" s="13">
        <f>SUM(B165:J165)</f>
        <v>0</v>
      </c>
      <c r="L165" s="541"/>
      <c r="M165" s="13"/>
      <c r="N165" s="13"/>
      <c r="O165" s="13"/>
      <c r="P165" s="13"/>
      <c r="Q165" s="13"/>
      <c r="R165" s="13"/>
      <c r="S165" s="13"/>
      <c r="T165" s="13"/>
      <c r="U165" s="13"/>
      <c r="V165" s="13">
        <f>SUM(M165:U165)</f>
        <v>0</v>
      </c>
      <c r="W165" s="472"/>
    </row>
    <row r="166" spans="1:23" ht="36" hidden="1">
      <c r="A166" s="705" t="s">
        <v>6987</v>
      </c>
      <c r="B166" s="484">
        <f t="shared" ref="B166:W166" si="36">SUM(B167:B172)</f>
        <v>0</v>
      </c>
      <c r="C166" s="484">
        <f t="shared" si="36"/>
        <v>0</v>
      </c>
      <c r="D166" s="484">
        <f t="shared" si="36"/>
        <v>0</v>
      </c>
      <c r="E166" s="484">
        <f t="shared" si="36"/>
        <v>0</v>
      </c>
      <c r="F166" s="484">
        <f t="shared" si="36"/>
        <v>0</v>
      </c>
      <c r="G166" s="484">
        <f t="shared" si="36"/>
        <v>0</v>
      </c>
      <c r="H166" s="484">
        <f t="shared" si="36"/>
        <v>0</v>
      </c>
      <c r="I166" s="484">
        <f t="shared" si="36"/>
        <v>0</v>
      </c>
      <c r="J166" s="484">
        <f t="shared" si="36"/>
        <v>0</v>
      </c>
      <c r="K166" s="484">
        <f t="shared" si="36"/>
        <v>0</v>
      </c>
      <c r="L166" s="485">
        <f t="shared" si="36"/>
        <v>0</v>
      </c>
      <c r="M166" s="484">
        <f t="shared" si="36"/>
        <v>0</v>
      </c>
      <c r="N166" s="484">
        <f t="shared" si="36"/>
        <v>0</v>
      </c>
      <c r="O166" s="484">
        <f t="shared" si="36"/>
        <v>0</v>
      </c>
      <c r="P166" s="484">
        <f t="shared" si="36"/>
        <v>0</v>
      </c>
      <c r="Q166" s="484">
        <f t="shared" si="36"/>
        <v>0</v>
      </c>
      <c r="R166" s="484">
        <f t="shared" si="36"/>
        <v>0</v>
      </c>
      <c r="S166" s="484">
        <f t="shared" si="36"/>
        <v>0</v>
      </c>
      <c r="T166" s="484">
        <f t="shared" si="36"/>
        <v>0</v>
      </c>
      <c r="U166" s="484">
        <f t="shared" si="36"/>
        <v>0</v>
      </c>
      <c r="V166" s="484">
        <f t="shared" si="36"/>
        <v>0</v>
      </c>
      <c r="W166" s="485">
        <f t="shared" si="36"/>
        <v>0</v>
      </c>
    </row>
    <row r="167" spans="1:23" hidden="1">
      <c r="A167" s="703" t="s">
        <v>6986</v>
      </c>
      <c r="B167" s="13"/>
      <c r="C167" s="13"/>
      <c r="D167" s="13"/>
      <c r="E167" s="13"/>
      <c r="F167" s="13"/>
      <c r="G167" s="13"/>
      <c r="H167" s="13"/>
      <c r="I167" s="13"/>
      <c r="J167" s="13"/>
      <c r="K167" s="13">
        <f t="shared" ref="K167:K172" si="37">SUM(B167:J167)</f>
        <v>0</v>
      </c>
      <c r="L167" s="472"/>
      <c r="M167" s="13"/>
      <c r="N167" s="13"/>
      <c r="O167" s="13"/>
      <c r="P167" s="13"/>
      <c r="Q167" s="13"/>
      <c r="R167" s="13"/>
      <c r="S167" s="13"/>
      <c r="T167" s="13"/>
      <c r="U167" s="13"/>
      <c r="V167" s="13">
        <f t="shared" ref="V167:V172" si="38">SUM(M167:U167)</f>
        <v>0</v>
      </c>
      <c r="W167" s="472"/>
    </row>
    <row r="168" spans="1:23" hidden="1">
      <c r="A168" s="703" t="s">
        <v>6985</v>
      </c>
      <c r="B168" s="13"/>
      <c r="C168" s="13"/>
      <c r="D168" s="13"/>
      <c r="E168" s="13"/>
      <c r="F168" s="13"/>
      <c r="G168" s="13"/>
      <c r="H168" s="13"/>
      <c r="I168" s="13"/>
      <c r="J168" s="13"/>
      <c r="K168" s="13">
        <f t="shared" si="37"/>
        <v>0</v>
      </c>
      <c r="L168" s="472"/>
      <c r="M168" s="13"/>
      <c r="N168" s="13"/>
      <c r="O168" s="13"/>
      <c r="P168" s="13"/>
      <c r="Q168" s="13"/>
      <c r="R168" s="13"/>
      <c r="S168" s="13"/>
      <c r="T168" s="13"/>
      <c r="U168" s="13"/>
      <c r="V168" s="13">
        <f t="shared" si="38"/>
        <v>0</v>
      </c>
      <c r="W168" s="472"/>
    </row>
    <row r="169" spans="1:23" hidden="1">
      <c r="A169" s="703" t="s">
        <v>6984</v>
      </c>
      <c r="B169" s="13"/>
      <c r="C169" s="13"/>
      <c r="D169" s="13"/>
      <c r="E169" s="13"/>
      <c r="F169" s="13"/>
      <c r="G169" s="13"/>
      <c r="H169" s="13"/>
      <c r="I169" s="13"/>
      <c r="J169" s="13"/>
      <c r="K169" s="13">
        <f t="shared" si="37"/>
        <v>0</v>
      </c>
      <c r="L169" s="472"/>
      <c r="M169" s="13"/>
      <c r="N169" s="13"/>
      <c r="O169" s="13"/>
      <c r="P169" s="13"/>
      <c r="Q169" s="13"/>
      <c r="R169" s="13"/>
      <c r="S169" s="13"/>
      <c r="T169" s="13"/>
      <c r="U169" s="13"/>
      <c r="V169" s="13">
        <f t="shared" si="38"/>
        <v>0</v>
      </c>
      <c r="W169" s="472"/>
    </row>
    <row r="170" spans="1:23" hidden="1">
      <c r="A170" s="703" t="s">
        <v>6983</v>
      </c>
      <c r="B170" s="13"/>
      <c r="C170" s="13"/>
      <c r="D170" s="13"/>
      <c r="E170" s="13"/>
      <c r="F170" s="13"/>
      <c r="G170" s="13"/>
      <c r="H170" s="13"/>
      <c r="I170" s="13"/>
      <c r="J170" s="13"/>
      <c r="K170" s="13">
        <f t="shared" si="37"/>
        <v>0</v>
      </c>
      <c r="L170" s="472"/>
      <c r="M170" s="13"/>
      <c r="N170" s="13"/>
      <c r="O170" s="13"/>
      <c r="P170" s="13"/>
      <c r="Q170" s="13"/>
      <c r="R170" s="13"/>
      <c r="S170" s="13"/>
      <c r="T170" s="13"/>
      <c r="U170" s="13"/>
      <c r="V170" s="13">
        <f t="shared" si="38"/>
        <v>0</v>
      </c>
      <c r="W170" s="472"/>
    </row>
    <row r="171" spans="1:23" hidden="1">
      <c r="A171" s="703" t="s">
        <v>6982</v>
      </c>
      <c r="B171" s="13"/>
      <c r="C171" s="13"/>
      <c r="D171" s="13"/>
      <c r="E171" s="13"/>
      <c r="F171" s="13"/>
      <c r="G171" s="13"/>
      <c r="H171" s="13"/>
      <c r="I171" s="13"/>
      <c r="J171" s="13"/>
      <c r="K171" s="13">
        <f t="shared" si="37"/>
        <v>0</v>
      </c>
      <c r="L171" s="472"/>
      <c r="M171" s="13"/>
      <c r="N171" s="13"/>
      <c r="O171" s="13"/>
      <c r="P171" s="13"/>
      <c r="Q171" s="13"/>
      <c r="R171" s="13"/>
      <c r="S171" s="13"/>
      <c r="T171" s="13"/>
      <c r="U171" s="13"/>
      <c r="V171" s="13">
        <f t="shared" si="38"/>
        <v>0</v>
      </c>
      <c r="W171" s="472"/>
    </row>
    <row r="172" spans="1:23" hidden="1">
      <c r="A172" s="703" t="s">
        <v>6981</v>
      </c>
      <c r="B172" s="13"/>
      <c r="C172" s="13"/>
      <c r="D172" s="13"/>
      <c r="E172" s="13"/>
      <c r="F172" s="13"/>
      <c r="G172" s="13"/>
      <c r="H172" s="13"/>
      <c r="I172" s="13"/>
      <c r="J172" s="13"/>
      <c r="K172" s="13">
        <f t="shared" si="37"/>
        <v>0</v>
      </c>
      <c r="L172" s="472"/>
      <c r="M172" s="13"/>
      <c r="N172" s="13"/>
      <c r="O172" s="13"/>
      <c r="P172" s="13"/>
      <c r="Q172" s="13"/>
      <c r="R172" s="13"/>
      <c r="S172" s="13"/>
      <c r="T172" s="13"/>
      <c r="U172" s="13"/>
      <c r="V172" s="13">
        <f t="shared" si="38"/>
        <v>0</v>
      </c>
      <c r="W172" s="472"/>
    </row>
    <row r="173" spans="1:23">
      <c r="A173" s="705" t="s">
        <v>58</v>
      </c>
      <c r="B173" s="484">
        <f t="shared" ref="B173:W173" si="39">SUM(B174:B175)</f>
        <v>68</v>
      </c>
      <c r="C173" s="484">
        <f t="shared" si="39"/>
        <v>0</v>
      </c>
      <c r="D173" s="484">
        <f t="shared" si="39"/>
        <v>0</v>
      </c>
      <c r="E173" s="484">
        <f t="shared" si="39"/>
        <v>0</v>
      </c>
      <c r="F173" s="484">
        <f t="shared" si="39"/>
        <v>0</v>
      </c>
      <c r="G173" s="484">
        <f t="shared" si="39"/>
        <v>0</v>
      </c>
      <c r="H173" s="484">
        <f t="shared" si="39"/>
        <v>0</v>
      </c>
      <c r="I173" s="484">
        <f t="shared" si="39"/>
        <v>0</v>
      </c>
      <c r="J173" s="484">
        <f t="shared" si="39"/>
        <v>0</v>
      </c>
      <c r="K173" s="484">
        <f t="shared" si="39"/>
        <v>68</v>
      </c>
      <c r="L173" s="485">
        <f t="shared" si="39"/>
        <v>5280066.04</v>
      </c>
      <c r="M173" s="484">
        <f t="shared" si="39"/>
        <v>100</v>
      </c>
      <c r="N173" s="484">
        <f t="shared" si="39"/>
        <v>0</v>
      </c>
      <c r="O173" s="484">
        <f t="shared" si="39"/>
        <v>0</v>
      </c>
      <c r="P173" s="484">
        <f t="shared" si="39"/>
        <v>0</v>
      </c>
      <c r="Q173" s="484">
        <f t="shared" si="39"/>
        <v>0</v>
      </c>
      <c r="R173" s="484">
        <f t="shared" si="39"/>
        <v>0</v>
      </c>
      <c r="S173" s="484">
        <f t="shared" si="39"/>
        <v>0</v>
      </c>
      <c r="T173" s="484">
        <f t="shared" si="39"/>
        <v>0</v>
      </c>
      <c r="U173" s="484">
        <f t="shared" si="39"/>
        <v>0</v>
      </c>
      <c r="V173" s="484">
        <f t="shared" si="39"/>
        <v>100</v>
      </c>
      <c r="W173" s="485">
        <f t="shared" si="39"/>
        <v>6607120</v>
      </c>
    </row>
    <row r="174" spans="1:23">
      <c r="A174" s="703" t="s">
        <v>6980</v>
      </c>
      <c r="B174" s="13">
        <v>68</v>
      </c>
      <c r="C174" s="13"/>
      <c r="D174" s="13"/>
      <c r="E174" s="13"/>
      <c r="F174" s="13"/>
      <c r="G174" s="13"/>
      <c r="H174" s="13"/>
      <c r="I174" s="13"/>
      <c r="J174" s="13"/>
      <c r="K174" s="13">
        <f>SUM(B174:J174)</f>
        <v>68</v>
      </c>
      <c r="L174" s="472">
        <v>5280066.04</v>
      </c>
      <c r="M174" s="13">
        <v>95</v>
      </c>
      <c r="N174" s="13"/>
      <c r="O174" s="13"/>
      <c r="P174" s="13"/>
      <c r="Q174" s="13"/>
      <c r="R174" s="13"/>
      <c r="S174" s="13"/>
      <c r="T174" s="13"/>
      <c r="U174" s="13"/>
      <c r="V174" s="13">
        <f>SUM(M174:U174)</f>
        <v>95</v>
      </c>
      <c r="W174" s="472">
        <v>6401480</v>
      </c>
    </row>
    <row r="175" spans="1:23">
      <c r="A175" s="703" t="s">
        <v>6979</v>
      </c>
      <c r="B175" s="13"/>
      <c r="C175" s="13"/>
      <c r="D175" s="13"/>
      <c r="E175" s="13"/>
      <c r="F175" s="13"/>
      <c r="G175" s="13"/>
      <c r="H175" s="13"/>
      <c r="I175" s="13"/>
      <c r="J175" s="13"/>
      <c r="K175" s="13">
        <f>SUM(B175:J175)</f>
        <v>0</v>
      </c>
      <c r="L175" s="472"/>
      <c r="M175" s="13">
        <v>5</v>
      </c>
      <c r="N175" s="13"/>
      <c r="O175" s="13"/>
      <c r="P175" s="13"/>
      <c r="Q175" s="13"/>
      <c r="R175" s="13"/>
      <c r="S175" s="13"/>
      <c r="T175" s="13"/>
      <c r="U175" s="13"/>
      <c r="V175" s="13">
        <f>SUM(M175:U175)</f>
        <v>5</v>
      </c>
      <c r="W175" s="472">
        <v>205640</v>
      </c>
    </row>
    <row r="176" spans="1:23" hidden="1">
      <c r="A176" s="705" t="s">
        <v>6912</v>
      </c>
      <c r="B176" s="484">
        <f t="shared" ref="B176:W176" si="40">SUM(B177:B178)</f>
        <v>0</v>
      </c>
      <c r="C176" s="484">
        <f t="shared" si="40"/>
        <v>0</v>
      </c>
      <c r="D176" s="484">
        <f t="shared" si="40"/>
        <v>0</v>
      </c>
      <c r="E176" s="484">
        <f t="shared" si="40"/>
        <v>0</v>
      </c>
      <c r="F176" s="484">
        <f t="shared" si="40"/>
        <v>0</v>
      </c>
      <c r="G176" s="484">
        <f t="shared" si="40"/>
        <v>0</v>
      </c>
      <c r="H176" s="484">
        <f t="shared" si="40"/>
        <v>0</v>
      </c>
      <c r="I176" s="484">
        <f t="shared" si="40"/>
        <v>0</v>
      </c>
      <c r="J176" s="484">
        <f t="shared" si="40"/>
        <v>0</v>
      </c>
      <c r="K176" s="484">
        <f t="shared" si="40"/>
        <v>0</v>
      </c>
      <c r="L176" s="485">
        <f t="shared" si="40"/>
        <v>0</v>
      </c>
      <c r="M176" s="484">
        <f t="shared" si="40"/>
        <v>0</v>
      </c>
      <c r="N176" s="484">
        <f t="shared" si="40"/>
        <v>0</v>
      </c>
      <c r="O176" s="484">
        <f t="shared" si="40"/>
        <v>0</v>
      </c>
      <c r="P176" s="484">
        <f t="shared" si="40"/>
        <v>0</v>
      </c>
      <c r="Q176" s="484">
        <f t="shared" si="40"/>
        <v>0</v>
      </c>
      <c r="R176" s="484">
        <f t="shared" si="40"/>
        <v>0</v>
      </c>
      <c r="S176" s="484">
        <f t="shared" si="40"/>
        <v>0</v>
      </c>
      <c r="T176" s="484">
        <f t="shared" si="40"/>
        <v>0</v>
      </c>
      <c r="U176" s="484">
        <f t="shared" si="40"/>
        <v>0</v>
      </c>
      <c r="V176" s="484">
        <f t="shared" si="40"/>
        <v>0</v>
      </c>
      <c r="W176" s="485">
        <f t="shared" si="40"/>
        <v>0</v>
      </c>
    </row>
    <row r="177" spans="1:23" hidden="1">
      <c r="A177" s="703" t="s">
        <v>6911</v>
      </c>
      <c r="B177" s="13"/>
      <c r="C177" s="13"/>
      <c r="D177" s="13"/>
      <c r="E177" s="13"/>
      <c r="F177" s="13"/>
      <c r="G177" s="13"/>
      <c r="H177" s="13"/>
      <c r="I177" s="13"/>
      <c r="J177" s="13"/>
      <c r="K177" s="13">
        <f>SUM(B177:J177)</f>
        <v>0</v>
      </c>
      <c r="L177" s="472"/>
      <c r="M177" s="13"/>
      <c r="N177" s="13"/>
      <c r="O177" s="13"/>
      <c r="P177" s="13"/>
      <c r="Q177" s="13"/>
      <c r="R177" s="13"/>
      <c r="S177" s="13"/>
      <c r="T177" s="13"/>
      <c r="U177" s="13"/>
      <c r="V177" s="13">
        <f>SUM(M177:U177)</f>
        <v>0</v>
      </c>
      <c r="W177" s="472"/>
    </row>
    <row r="178" spans="1:23" hidden="1">
      <c r="A178" s="703" t="s">
        <v>6910</v>
      </c>
      <c r="B178" s="13"/>
      <c r="C178" s="13"/>
      <c r="D178" s="13"/>
      <c r="E178" s="13"/>
      <c r="F178" s="13"/>
      <c r="G178" s="13"/>
      <c r="H178" s="13"/>
      <c r="I178" s="13"/>
      <c r="J178" s="13"/>
      <c r="K178" s="13">
        <f>SUM(B178:J178)</f>
        <v>0</v>
      </c>
      <c r="L178" s="472"/>
      <c r="M178" s="13"/>
      <c r="N178" s="13"/>
      <c r="O178" s="13"/>
      <c r="P178" s="13"/>
      <c r="Q178" s="13"/>
      <c r="R178" s="13"/>
      <c r="S178" s="13"/>
      <c r="T178" s="13"/>
      <c r="U178" s="13"/>
      <c r="V178" s="13">
        <f>SUM(M178:U178)</f>
        <v>0</v>
      </c>
      <c r="W178" s="472"/>
    </row>
    <row r="179" spans="1:23" ht="24">
      <c r="A179" s="705" t="s">
        <v>50</v>
      </c>
      <c r="B179" s="484">
        <f t="shared" ref="B179:W179" si="41">B180+B187+B194</f>
        <v>953</v>
      </c>
      <c r="C179" s="484">
        <f t="shared" si="41"/>
        <v>0</v>
      </c>
      <c r="D179" s="484">
        <f t="shared" si="41"/>
        <v>0</v>
      </c>
      <c r="E179" s="484">
        <f t="shared" si="41"/>
        <v>0</v>
      </c>
      <c r="F179" s="484">
        <f t="shared" si="41"/>
        <v>0</v>
      </c>
      <c r="G179" s="484">
        <f t="shared" si="41"/>
        <v>0</v>
      </c>
      <c r="H179" s="484">
        <f t="shared" si="41"/>
        <v>0</v>
      </c>
      <c r="I179" s="484">
        <f t="shared" si="41"/>
        <v>0</v>
      </c>
      <c r="J179" s="484">
        <f t="shared" si="41"/>
        <v>0</v>
      </c>
      <c r="K179" s="484">
        <f t="shared" si="41"/>
        <v>953</v>
      </c>
      <c r="L179" s="485">
        <f t="shared" si="41"/>
        <v>30676382.035370857</v>
      </c>
      <c r="M179" s="484">
        <f t="shared" si="41"/>
        <v>972</v>
      </c>
      <c r="N179" s="484">
        <f t="shared" si="41"/>
        <v>0</v>
      </c>
      <c r="O179" s="484">
        <f t="shared" si="41"/>
        <v>0</v>
      </c>
      <c r="P179" s="484">
        <f t="shared" si="41"/>
        <v>0</v>
      </c>
      <c r="Q179" s="484">
        <f t="shared" si="41"/>
        <v>0</v>
      </c>
      <c r="R179" s="484">
        <f t="shared" si="41"/>
        <v>0</v>
      </c>
      <c r="S179" s="484">
        <f t="shared" si="41"/>
        <v>0</v>
      </c>
      <c r="T179" s="484">
        <f t="shared" si="41"/>
        <v>0</v>
      </c>
      <c r="U179" s="484">
        <f t="shared" si="41"/>
        <v>0</v>
      </c>
      <c r="V179" s="484">
        <f t="shared" si="41"/>
        <v>972</v>
      </c>
      <c r="W179" s="485">
        <f t="shared" si="41"/>
        <v>25520088</v>
      </c>
    </row>
    <row r="180" spans="1:23">
      <c r="A180" s="705" t="s">
        <v>4</v>
      </c>
      <c r="B180" s="484">
        <f t="shared" ref="B180:W180" si="42">SUM(B181:B186)</f>
        <v>41</v>
      </c>
      <c r="C180" s="484">
        <f t="shared" si="42"/>
        <v>0</v>
      </c>
      <c r="D180" s="484">
        <f t="shared" si="42"/>
        <v>0</v>
      </c>
      <c r="E180" s="484">
        <f t="shared" si="42"/>
        <v>0</v>
      </c>
      <c r="F180" s="484">
        <f t="shared" si="42"/>
        <v>0</v>
      </c>
      <c r="G180" s="484">
        <f t="shared" si="42"/>
        <v>0</v>
      </c>
      <c r="H180" s="484">
        <f t="shared" si="42"/>
        <v>0</v>
      </c>
      <c r="I180" s="484">
        <f t="shared" si="42"/>
        <v>0</v>
      </c>
      <c r="J180" s="484">
        <f t="shared" si="42"/>
        <v>0</v>
      </c>
      <c r="K180" s="484">
        <f t="shared" si="42"/>
        <v>41</v>
      </c>
      <c r="L180" s="485">
        <f t="shared" si="42"/>
        <v>1445540.24</v>
      </c>
      <c r="M180" s="484">
        <f t="shared" si="42"/>
        <v>42</v>
      </c>
      <c r="N180" s="484">
        <f t="shared" si="42"/>
        <v>0</v>
      </c>
      <c r="O180" s="484">
        <f t="shared" si="42"/>
        <v>0</v>
      </c>
      <c r="P180" s="484">
        <f t="shared" si="42"/>
        <v>0</v>
      </c>
      <c r="Q180" s="484">
        <f t="shared" si="42"/>
        <v>0</v>
      </c>
      <c r="R180" s="484">
        <f t="shared" si="42"/>
        <v>0</v>
      </c>
      <c r="S180" s="484">
        <f t="shared" si="42"/>
        <v>0</v>
      </c>
      <c r="T180" s="484">
        <f t="shared" si="42"/>
        <v>0</v>
      </c>
      <c r="U180" s="484">
        <f t="shared" si="42"/>
        <v>0</v>
      </c>
      <c r="V180" s="484">
        <f t="shared" si="42"/>
        <v>42</v>
      </c>
      <c r="W180" s="485">
        <f t="shared" si="42"/>
        <v>1251732</v>
      </c>
    </row>
    <row r="181" spans="1:23">
      <c r="A181" s="703" t="s">
        <v>13</v>
      </c>
      <c r="B181" s="13">
        <v>3</v>
      </c>
      <c r="C181" s="13"/>
      <c r="D181" s="13"/>
      <c r="E181" s="13"/>
      <c r="F181" s="13"/>
      <c r="G181" s="13"/>
      <c r="H181" s="13"/>
      <c r="I181" s="13"/>
      <c r="J181" s="13"/>
      <c r="K181" s="13">
        <f t="shared" ref="K181:K186" si="43">SUM(B181:J181)</f>
        <v>3</v>
      </c>
      <c r="L181" s="472">
        <v>110321.04000000001</v>
      </c>
      <c r="M181" s="13">
        <v>3</v>
      </c>
      <c r="N181" s="13"/>
      <c r="O181" s="13"/>
      <c r="P181" s="13"/>
      <c r="Q181" s="13"/>
      <c r="R181" s="13"/>
      <c r="S181" s="13"/>
      <c r="T181" s="13"/>
      <c r="U181" s="13"/>
      <c r="V181" s="13">
        <f t="shared" ref="V181:V186" si="44">SUM(M181:U181)</f>
        <v>3</v>
      </c>
      <c r="W181" s="472">
        <v>93468</v>
      </c>
    </row>
    <row r="182" spans="1:23">
      <c r="A182" s="703" t="s">
        <v>6978</v>
      </c>
      <c r="B182" s="13">
        <v>5</v>
      </c>
      <c r="C182" s="13"/>
      <c r="D182" s="13"/>
      <c r="E182" s="13"/>
      <c r="F182" s="13"/>
      <c r="G182" s="13"/>
      <c r="H182" s="13"/>
      <c r="I182" s="13"/>
      <c r="J182" s="13"/>
      <c r="K182" s="13">
        <f t="shared" si="43"/>
        <v>5</v>
      </c>
      <c r="L182" s="472">
        <v>183208.4</v>
      </c>
      <c r="M182" s="13">
        <v>5</v>
      </c>
      <c r="N182" s="13"/>
      <c r="O182" s="13"/>
      <c r="P182" s="13"/>
      <c r="Q182" s="13"/>
      <c r="R182" s="13"/>
      <c r="S182" s="13"/>
      <c r="T182" s="13"/>
      <c r="U182" s="13"/>
      <c r="V182" s="13">
        <f t="shared" si="44"/>
        <v>5</v>
      </c>
      <c r="W182" s="472">
        <v>155120</v>
      </c>
    </row>
    <row r="183" spans="1:23">
      <c r="A183" s="703" t="s">
        <v>6977</v>
      </c>
      <c r="B183" s="13">
        <v>8</v>
      </c>
      <c r="C183" s="13"/>
      <c r="D183" s="13"/>
      <c r="E183" s="13"/>
      <c r="F183" s="13"/>
      <c r="G183" s="13"/>
      <c r="H183" s="13"/>
      <c r="I183" s="13"/>
      <c r="J183" s="13"/>
      <c r="K183" s="13">
        <f t="shared" si="43"/>
        <v>8</v>
      </c>
      <c r="L183" s="472">
        <v>287373.44</v>
      </c>
      <c r="M183" s="13">
        <v>8</v>
      </c>
      <c r="N183" s="13"/>
      <c r="O183" s="13"/>
      <c r="P183" s="13"/>
      <c r="Q183" s="13"/>
      <c r="R183" s="13"/>
      <c r="S183" s="13"/>
      <c r="T183" s="13"/>
      <c r="U183" s="13"/>
      <c r="V183" s="13">
        <f t="shared" si="44"/>
        <v>8</v>
      </c>
      <c r="W183" s="472">
        <v>242432</v>
      </c>
    </row>
    <row r="184" spans="1:23">
      <c r="A184" s="703" t="s">
        <v>6976</v>
      </c>
      <c r="B184" s="13">
        <v>5</v>
      </c>
      <c r="C184" s="13"/>
      <c r="D184" s="13"/>
      <c r="E184" s="13"/>
      <c r="F184" s="13"/>
      <c r="G184" s="13"/>
      <c r="H184" s="13"/>
      <c r="I184" s="13"/>
      <c r="J184" s="13"/>
      <c r="K184" s="13">
        <f t="shared" si="43"/>
        <v>5</v>
      </c>
      <c r="L184" s="472">
        <v>174641.6</v>
      </c>
      <c r="M184" s="13">
        <v>6</v>
      </c>
      <c r="N184" s="13"/>
      <c r="O184" s="13"/>
      <c r="P184" s="13"/>
      <c r="Q184" s="13"/>
      <c r="R184" s="13"/>
      <c r="S184" s="13"/>
      <c r="T184" s="13"/>
      <c r="U184" s="13"/>
      <c r="V184" s="13">
        <f t="shared" si="44"/>
        <v>6</v>
      </c>
      <c r="W184" s="472">
        <v>177576</v>
      </c>
    </row>
    <row r="185" spans="1:23">
      <c r="A185" s="703" t="s">
        <v>14</v>
      </c>
      <c r="B185" s="13">
        <v>8</v>
      </c>
      <c r="C185" s="13"/>
      <c r="D185" s="13"/>
      <c r="E185" s="13"/>
      <c r="F185" s="13"/>
      <c r="G185" s="13"/>
      <c r="H185" s="13"/>
      <c r="I185" s="13"/>
      <c r="J185" s="13"/>
      <c r="K185" s="13">
        <f t="shared" si="43"/>
        <v>8</v>
      </c>
      <c r="L185" s="472">
        <v>281208.08</v>
      </c>
      <c r="M185" s="13">
        <v>8</v>
      </c>
      <c r="N185" s="13"/>
      <c r="O185" s="13"/>
      <c r="P185" s="13"/>
      <c r="Q185" s="13"/>
      <c r="R185" s="13"/>
      <c r="S185" s="13"/>
      <c r="T185" s="13"/>
      <c r="U185" s="13"/>
      <c r="V185" s="13">
        <f t="shared" si="44"/>
        <v>8</v>
      </c>
      <c r="W185" s="472">
        <v>236480</v>
      </c>
    </row>
    <row r="186" spans="1:23">
      <c r="A186" s="703" t="s">
        <v>6975</v>
      </c>
      <c r="B186" s="13">
        <v>12</v>
      </c>
      <c r="C186" s="13"/>
      <c r="D186" s="13"/>
      <c r="E186" s="13"/>
      <c r="F186" s="13"/>
      <c r="G186" s="13"/>
      <c r="H186" s="13"/>
      <c r="I186" s="13"/>
      <c r="J186" s="13"/>
      <c r="K186" s="13">
        <f t="shared" si="43"/>
        <v>12</v>
      </c>
      <c r="L186" s="472">
        <v>408787.68</v>
      </c>
      <c r="M186" s="13">
        <v>12</v>
      </c>
      <c r="N186" s="13"/>
      <c r="O186" s="13"/>
      <c r="P186" s="13"/>
      <c r="Q186" s="13"/>
      <c r="R186" s="13"/>
      <c r="S186" s="13"/>
      <c r="T186" s="13"/>
      <c r="U186" s="13"/>
      <c r="V186" s="13">
        <f t="shared" si="44"/>
        <v>12</v>
      </c>
      <c r="W186" s="472">
        <v>346656</v>
      </c>
    </row>
    <row r="187" spans="1:23">
      <c r="A187" s="705" t="s">
        <v>5</v>
      </c>
      <c r="B187" s="484">
        <f t="shared" ref="B187:W187" si="45">SUM(B188:B193)</f>
        <v>500</v>
      </c>
      <c r="C187" s="484">
        <f t="shared" si="45"/>
        <v>0</v>
      </c>
      <c r="D187" s="484">
        <f t="shared" si="45"/>
        <v>0</v>
      </c>
      <c r="E187" s="484">
        <f t="shared" si="45"/>
        <v>0</v>
      </c>
      <c r="F187" s="484">
        <f t="shared" si="45"/>
        <v>0</v>
      </c>
      <c r="G187" s="484">
        <f t="shared" si="45"/>
        <v>0</v>
      </c>
      <c r="H187" s="484">
        <f t="shared" si="45"/>
        <v>0</v>
      </c>
      <c r="I187" s="484">
        <f t="shared" si="45"/>
        <v>0</v>
      </c>
      <c r="J187" s="484">
        <f t="shared" si="45"/>
        <v>0</v>
      </c>
      <c r="K187" s="484">
        <f t="shared" si="45"/>
        <v>500</v>
      </c>
      <c r="L187" s="485">
        <f t="shared" si="45"/>
        <v>16176187.258704193</v>
      </c>
      <c r="M187" s="484">
        <f t="shared" si="45"/>
        <v>512</v>
      </c>
      <c r="N187" s="484">
        <f t="shared" si="45"/>
        <v>0</v>
      </c>
      <c r="O187" s="484">
        <f t="shared" si="45"/>
        <v>0</v>
      </c>
      <c r="P187" s="484">
        <f t="shared" si="45"/>
        <v>0</v>
      </c>
      <c r="Q187" s="484">
        <f t="shared" si="45"/>
        <v>0</v>
      </c>
      <c r="R187" s="484">
        <f t="shared" si="45"/>
        <v>0</v>
      </c>
      <c r="S187" s="484">
        <f t="shared" si="45"/>
        <v>0</v>
      </c>
      <c r="T187" s="484">
        <f t="shared" si="45"/>
        <v>0</v>
      </c>
      <c r="U187" s="484">
        <f t="shared" si="45"/>
        <v>0</v>
      </c>
      <c r="V187" s="484">
        <f t="shared" si="45"/>
        <v>512</v>
      </c>
      <c r="W187" s="485">
        <f t="shared" si="45"/>
        <v>13461932</v>
      </c>
    </row>
    <row r="188" spans="1:23">
      <c r="A188" s="703" t="s">
        <v>6974</v>
      </c>
      <c r="B188" s="13">
        <v>76</v>
      </c>
      <c r="C188" s="13"/>
      <c r="D188" s="13"/>
      <c r="E188" s="13"/>
      <c r="F188" s="13"/>
      <c r="G188" s="13"/>
      <c r="H188" s="13"/>
      <c r="I188" s="13"/>
      <c r="J188" s="13"/>
      <c r="K188" s="13">
        <f t="shared" ref="K188:K193" si="46">SUM(B188:J188)</f>
        <v>76</v>
      </c>
      <c r="L188" s="472">
        <v>2504162.407804878</v>
      </c>
      <c r="M188" s="13">
        <v>81</v>
      </c>
      <c r="N188" s="13"/>
      <c r="O188" s="13"/>
      <c r="P188" s="13"/>
      <c r="Q188" s="13"/>
      <c r="R188" s="13"/>
      <c r="S188" s="13"/>
      <c r="T188" s="13"/>
      <c r="U188" s="13"/>
      <c r="V188" s="13">
        <f t="shared" ref="V188:V193" si="47">SUM(M188:U188)</f>
        <v>81</v>
      </c>
      <c r="W188" s="472">
        <v>2165940</v>
      </c>
    </row>
    <row r="189" spans="1:23">
      <c r="A189" s="703" t="s">
        <v>6973</v>
      </c>
      <c r="B189" s="13">
        <v>84</v>
      </c>
      <c r="C189" s="13"/>
      <c r="D189" s="13"/>
      <c r="E189" s="13"/>
      <c r="F189" s="13"/>
      <c r="G189" s="13"/>
      <c r="H189" s="13"/>
      <c r="I189" s="13"/>
      <c r="J189" s="13"/>
      <c r="K189" s="13">
        <f t="shared" si="46"/>
        <v>84</v>
      </c>
      <c r="L189" s="472">
        <v>2746132.293333333</v>
      </c>
      <c r="M189" s="13">
        <v>88</v>
      </c>
      <c r="N189" s="13"/>
      <c r="O189" s="13"/>
      <c r="P189" s="13"/>
      <c r="Q189" s="13"/>
      <c r="R189" s="13"/>
      <c r="S189" s="13"/>
      <c r="T189" s="13"/>
      <c r="U189" s="13"/>
      <c r="V189" s="13">
        <f t="shared" si="47"/>
        <v>88</v>
      </c>
      <c r="W189" s="472">
        <v>2334112</v>
      </c>
    </row>
    <row r="190" spans="1:23">
      <c r="A190" s="703" t="s">
        <v>6972</v>
      </c>
      <c r="B190" s="13">
        <v>155</v>
      </c>
      <c r="C190" s="13"/>
      <c r="D190" s="13"/>
      <c r="E190" s="13"/>
      <c r="F190" s="13"/>
      <c r="G190" s="13"/>
      <c r="H190" s="13"/>
      <c r="I190" s="13"/>
      <c r="J190" s="13"/>
      <c r="K190" s="13">
        <f t="shared" si="46"/>
        <v>155</v>
      </c>
      <c r="L190" s="472">
        <v>5018985.0527272727</v>
      </c>
      <c r="M190" s="13">
        <v>158</v>
      </c>
      <c r="N190" s="13"/>
      <c r="O190" s="13"/>
      <c r="P190" s="13"/>
      <c r="Q190" s="13"/>
      <c r="R190" s="13"/>
      <c r="S190" s="13"/>
      <c r="T190" s="13"/>
      <c r="U190" s="13"/>
      <c r="V190" s="13">
        <f t="shared" si="47"/>
        <v>158</v>
      </c>
      <c r="W190" s="472">
        <v>4156664</v>
      </c>
    </row>
    <row r="191" spans="1:23">
      <c r="A191" s="703" t="s">
        <v>6971</v>
      </c>
      <c r="B191" s="13">
        <v>96</v>
      </c>
      <c r="C191" s="13"/>
      <c r="D191" s="13"/>
      <c r="E191" s="13"/>
      <c r="F191" s="13"/>
      <c r="G191" s="13"/>
      <c r="H191" s="13"/>
      <c r="I191" s="13"/>
      <c r="J191" s="13"/>
      <c r="K191" s="13">
        <f t="shared" si="46"/>
        <v>96</v>
      </c>
      <c r="L191" s="472">
        <v>3070528.4748387099</v>
      </c>
      <c r="M191" s="13">
        <v>96</v>
      </c>
      <c r="N191" s="13"/>
      <c r="O191" s="13"/>
      <c r="P191" s="13"/>
      <c r="Q191" s="13"/>
      <c r="R191" s="13"/>
      <c r="S191" s="13"/>
      <c r="T191" s="13"/>
      <c r="U191" s="13"/>
      <c r="V191" s="13">
        <f t="shared" si="47"/>
        <v>96</v>
      </c>
      <c r="W191" s="472">
        <v>2504832</v>
      </c>
    </row>
    <row r="192" spans="1:23">
      <c r="A192" s="703" t="s">
        <v>16</v>
      </c>
      <c r="B192" s="13">
        <v>23</v>
      </c>
      <c r="C192" s="13"/>
      <c r="D192" s="13"/>
      <c r="E192" s="13"/>
      <c r="F192" s="13"/>
      <c r="G192" s="13"/>
      <c r="H192" s="13"/>
      <c r="I192" s="13"/>
      <c r="J192" s="13"/>
      <c r="K192" s="13">
        <f t="shared" si="46"/>
        <v>23</v>
      </c>
      <c r="L192" s="472">
        <v>731822.51</v>
      </c>
      <c r="M192" s="13">
        <v>23</v>
      </c>
      <c r="N192" s="13"/>
      <c r="O192" s="13"/>
      <c r="P192" s="13"/>
      <c r="Q192" s="13"/>
      <c r="R192" s="13"/>
      <c r="S192" s="13"/>
      <c r="T192" s="13"/>
      <c r="U192" s="13"/>
      <c r="V192" s="13">
        <f t="shared" si="47"/>
        <v>23</v>
      </c>
      <c r="W192" s="472">
        <v>596528</v>
      </c>
    </row>
    <row r="193" spans="1:23">
      <c r="A193" s="703" t="s">
        <v>6970</v>
      </c>
      <c r="B193" s="13">
        <v>66</v>
      </c>
      <c r="C193" s="13"/>
      <c r="D193" s="13"/>
      <c r="E193" s="13"/>
      <c r="F193" s="13"/>
      <c r="G193" s="13"/>
      <c r="H193" s="13"/>
      <c r="I193" s="13"/>
      <c r="J193" s="13"/>
      <c r="K193" s="13">
        <f t="shared" si="46"/>
        <v>66</v>
      </c>
      <c r="L193" s="472">
        <v>2104556.52</v>
      </c>
      <c r="M193" s="13">
        <v>66</v>
      </c>
      <c r="N193" s="13"/>
      <c r="O193" s="13"/>
      <c r="P193" s="13"/>
      <c r="Q193" s="13"/>
      <c r="R193" s="13"/>
      <c r="S193" s="13"/>
      <c r="T193" s="13"/>
      <c r="U193" s="13"/>
      <c r="V193" s="13">
        <f t="shared" si="47"/>
        <v>66</v>
      </c>
      <c r="W193" s="472">
        <v>1703856</v>
      </c>
    </row>
    <row r="194" spans="1:23">
      <c r="A194" s="705" t="s">
        <v>6</v>
      </c>
      <c r="B194" s="484">
        <f t="shared" ref="B194:W194" si="48">SUM(B195:B200)</f>
        <v>412</v>
      </c>
      <c r="C194" s="484">
        <f t="shared" si="48"/>
        <v>0</v>
      </c>
      <c r="D194" s="484">
        <f t="shared" si="48"/>
        <v>0</v>
      </c>
      <c r="E194" s="484">
        <f t="shared" si="48"/>
        <v>0</v>
      </c>
      <c r="F194" s="484">
        <f t="shared" si="48"/>
        <v>0</v>
      </c>
      <c r="G194" s="484">
        <f t="shared" si="48"/>
        <v>0</v>
      </c>
      <c r="H194" s="484">
        <f t="shared" si="48"/>
        <v>0</v>
      </c>
      <c r="I194" s="484">
        <f t="shared" si="48"/>
        <v>0</v>
      </c>
      <c r="J194" s="484">
        <f t="shared" si="48"/>
        <v>0</v>
      </c>
      <c r="K194" s="484">
        <f t="shared" si="48"/>
        <v>412</v>
      </c>
      <c r="L194" s="485">
        <f t="shared" si="48"/>
        <v>13054654.536666667</v>
      </c>
      <c r="M194" s="484">
        <f t="shared" si="48"/>
        <v>418</v>
      </c>
      <c r="N194" s="484">
        <f t="shared" si="48"/>
        <v>0</v>
      </c>
      <c r="O194" s="484">
        <f t="shared" si="48"/>
        <v>0</v>
      </c>
      <c r="P194" s="484">
        <f t="shared" si="48"/>
        <v>0</v>
      </c>
      <c r="Q194" s="484">
        <f t="shared" si="48"/>
        <v>0</v>
      </c>
      <c r="R194" s="484">
        <f t="shared" si="48"/>
        <v>0</v>
      </c>
      <c r="S194" s="484">
        <f t="shared" si="48"/>
        <v>0</v>
      </c>
      <c r="T194" s="484">
        <f t="shared" si="48"/>
        <v>0</v>
      </c>
      <c r="U194" s="484">
        <f t="shared" si="48"/>
        <v>0</v>
      </c>
      <c r="V194" s="484">
        <f t="shared" si="48"/>
        <v>418</v>
      </c>
      <c r="W194" s="485">
        <f t="shared" si="48"/>
        <v>10806424</v>
      </c>
    </row>
    <row r="195" spans="1:23">
      <c r="A195" s="703" t="s">
        <v>17</v>
      </c>
      <c r="B195" s="13">
        <v>211</v>
      </c>
      <c r="C195" s="13"/>
      <c r="D195" s="13"/>
      <c r="E195" s="13"/>
      <c r="F195" s="13"/>
      <c r="G195" s="13"/>
      <c r="H195" s="13"/>
      <c r="I195" s="13"/>
      <c r="J195" s="13"/>
      <c r="K195" s="13">
        <f t="shared" ref="K195:K200" si="49">SUM(B195:J195)</f>
        <v>211</v>
      </c>
      <c r="L195" s="472">
        <v>6748015.6166666662</v>
      </c>
      <c r="M195" s="13">
        <v>216</v>
      </c>
      <c r="N195" s="13"/>
      <c r="O195" s="13"/>
      <c r="P195" s="13"/>
      <c r="Q195" s="13"/>
      <c r="R195" s="13"/>
      <c r="S195" s="13"/>
      <c r="T195" s="13"/>
      <c r="U195" s="13"/>
      <c r="V195" s="13">
        <f t="shared" ref="V195:V200" si="50">SUM(M195:U195)</f>
        <v>216</v>
      </c>
      <c r="W195" s="472">
        <v>5622912</v>
      </c>
    </row>
    <row r="196" spans="1:23">
      <c r="A196" s="703" t="s">
        <v>6969</v>
      </c>
      <c r="B196" s="13">
        <v>17</v>
      </c>
      <c r="C196" s="13"/>
      <c r="D196" s="13"/>
      <c r="E196" s="13"/>
      <c r="F196" s="13"/>
      <c r="G196" s="13"/>
      <c r="H196" s="13"/>
      <c r="I196" s="13"/>
      <c r="J196" s="13"/>
      <c r="K196" s="13">
        <f t="shared" si="49"/>
        <v>17</v>
      </c>
      <c r="L196" s="472">
        <v>525652.91999999993</v>
      </c>
      <c r="M196" s="13">
        <v>17</v>
      </c>
      <c r="N196" s="13"/>
      <c r="O196" s="13"/>
      <c r="P196" s="13"/>
      <c r="Q196" s="13"/>
      <c r="R196" s="13"/>
      <c r="S196" s="13"/>
      <c r="T196" s="13"/>
      <c r="U196" s="13"/>
      <c r="V196" s="13">
        <f t="shared" si="50"/>
        <v>17</v>
      </c>
      <c r="W196" s="472">
        <v>440708</v>
      </c>
    </row>
    <row r="197" spans="1:23">
      <c r="A197" s="703" t="s">
        <v>6968</v>
      </c>
      <c r="B197" s="13">
        <v>52</v>
      </c>
      <c r="C197" s="13"/>
      <c r="D197" s="13"/>
      <c r="E197" s="13"/>
      <c r="F197" s="13"/>
      <c r="G197" s="13"/>
      <c r="H197" s="13"/>
      <c r="I197" s="13"/>
      <c r="J197" s="13"/>
      <c r="K197" s="13">
        <f t="shared" si="49"/>
        <v>52</v>
      </c>
      <c r="L197" s="472">
        <v>1661224.2400000002</v>
      </c>
      <c r="M197" s="13">
        <v>52</v>
      </c>
      <c r="N197" s="13"/>
      <c r="O197" s="13"/>
      <c r="P197" s="13"/>
      <c r="Q197" s="13"/>
      <c r="R197" s="13"/>
      <c r="S197" s="13"/>
      <c r="T197" s="13"/>
      <c r="U197" s="13"/>
      <c r="V197" s="13">
        <f t="shared" si="50"/>
        <v>52</v>
      </c>
      <c r="W197" s="472">
        <v>1342432</v>
      </c>
    </row>
    <row r="198" spans="1:23">
      <c r="A198" s="703" t="s">
        <v>6967</v>
      </c>
      <c r="B198" s="13">
        <v>45</v>
      </c>
      <c r="C198" s="13"/>
      <c r="D198" s="13"/>
      <c r="E198" s="13"/>
      <c r="F198" s="13"/>
      <c r="G198" s="13"/>
      <c r="H198" s="13"/>
      <c r="I198" s="13"/>
      <c r="J198" s="13"/>
      <c r="K198" s="13">
        <f t="shared" si="49"/>
        <v>45</v>
      </c>
      <c r="L198" s="472">
        <v>1410870.6</v>
      </c>
      <c r="M198" s="13">
        <v>46</v>
      </c>
      <c r="N198" s="13"/>
      <c r="O198" s="13"/>
      <c r="P198" s="13"/>
      <c r="Q198" s="13"/>
      <c r="R198" s="13"/>
      <c r="S198" s="13"/>
      <c r="T198" s="13"/>
      <c r="U198" s="13"/>
      <c r="V198" s="13">
        <f t="shared" si="50"/>
        <v>46</v>
      </c>
      <c r="W198" s="472">
        <v>1182568</v>
      </c>
    </row>
    <row r="199" spans="1:23" hidden="1">
      <c r="A199" s="703" t="s">
        <v>18</v>
      </c>
      <c r="B199" s="13">
        <v>0</v>
      </c>
      <c r="C199" s="13"/>
      <c r="D199" s="13"/>
      <c r="E199" s="13"/>
      <c r="F199" s="13"/>
      <c r="G199" s="13"/>
      <c r="H199" s="13"/>
      <c r="I199" s="13"/>
      <c r="J199" s="13"/>
      <c r="K199" s="13">
        <f t="shared" si="49"/>
        <v>0</v>
      </c>
      <c r="L199" s="472">
        <v>0</v>
      </c>
      <c r="M199" s="13">
        <v>0</v>
      </c>
      <c r="N199" s="13"/>
      <c r="O199" s="13"/>
      <c r="P199" s="13"/>
      <c r="Q199" s="13"/>
      <c r="R199" s="13"/>
      <c r="S199" s="13"/>
      <c r="T199" s="13"/>
      <c r="U199" s="13"/>
      <c r="V199" s="13">
        <f t="shared" si="50"/>
        <v>0</v>
      </c>
      <c r="W199" s="472">
        <v>0</v>
      </c>
    </row>
    <row r="200" spans="1:23">
      <c r="A200" s="703" t="s">
        <v>6966</v>
      </c>
      <c r="B200" s="13">
        <v>87</v>
      </c>
      <c r="C200" s="13"/>
      <c r="D200" s="13"/>
      <c r="E200" s="13"/>
      <c r="F200" s="13"/>
      <c r="G200" s="13"/>
      <c r="H200" s="13"/>
      <c r="I200" s="13"/>
      <c r="J200" s="13"/>
      <c r="K200" s="13">
        <f t="shared" si="49"/>
        <v>87</v>
      </c>
      <c r="L200" s="472">
        <v>2708891.16</v>
      </c>
      <c r="M200" s="13">
        <v>87</v>
      </c>
      <c r="N200" s="13"/>
      <c r="O200" s="13"/>
      <c r="P200" s="13"/>
      <c r="Q200" s="13"/>
      <c r="R200" s="13"/>
      <c r="S200" s="13"/>
      <c r="T200" s="13"/>
      <c r="U200" s="13"/>
      <c r="V200" s="13">
        <f t="shared" si="50"/>
        <v>87</v>
      </c>
      <c r="W200" s="472">
        <v>2217804</v>
      </c>
    </row>
    <row r="201" spans="1:23">
      <c r="A201" s="704" t="s">
        <v>6965</v>
      </c>
      <c r="B201" s="482"/>
      <c r="C201" s="482"/>
      <c r="D201" s="482"/>
      <c r="E201" s="482"/>
      <c r="F201" s="482"/>
      <c r="G201" s="482"/>
      <c r="H201" s="482"/>
      <c r="I201" s="482"/>
      <c r="J201" s="482">
        <f>SUM(J202:J206)</f>
        <v>112</v>
      </c>
      <c r="K201" s="482">
        <f>SUM(K202:K206)</f>
        <v>112</v>
      </c>
      <c r="L201" s="474">
        <f>SUM(L202:L206)</f>
        <v>20683351.6928</v>
      </c>
      <c r="M201" s="482">
        <f t="shared" ref="M201:T201" si="51">SUM(M202:M203)</f>
        <v>0</v>
      </c>
      <c r="N201" s="482">
        <f t="shared" si="51"/>
        <v>0</v>
      </c>
      <c r="O201" s="482">
        <f t="shared" si="51"/>
        <v>0</v>
      </c>
      <c r="P201" s="482">
        <f t="shared" si="51"/>
        <v>0</v>
      </c>
      <c r="Q201" s="482">
        <f t="shared" si="51"/>
        <v>0</v>
      </c>
      <c r="R201" s="482">
        <f t="shared" si="51"/>
        <v>0</v>
      </c>
      <c r="S201" s="482">
        <f t="shared" si="51"/>
        <v>0</v>
      </c>
      <c r="T201" s="482">
        <f t="shared" si="51"/>
        <v>0</v>
      </c>
      <c r="U201" s="482">
        <f>SUM(U202:U206)</f>
        <v>304</v>
      </c>
      <c r="V201" s="482">
        <f>SUM(V202:V206)</f>
        <v>304</v>
      </c>
      <c r="W201" s="474">
        <f>SUM(W202:W206)</f>
        <v>27917741.392926756</v>
      </c>
    </row>
    <row r="202" spans="1:23">
      <c r="A202" s="703" t="s">
        <v>6964</v>
      </c>
      <c r="B202" s="13"/>
      <c r="C202" s="13"/>
      <c r="D202" s="13"/>
      <c r="E202" s="13"/>
      <c r="F202" s="13"/>
      <c r="G202" s="13"/>
      <c r="H202" s="13"/>
      <c r="I202" s="13"/>
      <c r="J202" s="13">
        <v>47</v>
      </c>
      <c r="K202" s="13">
        <f>SUM(B202:J202)</f>
        <v>47</v>
      </c>
      <c r="L202" s="472">
        <v>13223417.692799998</v>
      </c>
      <c r="M202" s="13"/>
      <c r="N202" s="13"/>
      <c r="O202" s="13"/>
      <c r="P202" s="13"/>
      <c r="Q202" s="13"/>
      <c r="R202" s="13"/>
      <c r="S202" s="13"/>
      <c r="T202" s="13"/>
      <c r="U202" s="13">
        <v>41</v>
      </c>
      <c r="V202" s="13">
        <f>SUM(M202:U202)</f>
        <v>41</v>
      </c>
      <c r="W202" s="472">
        <v>15675285.744743995</v>
      </c>
    </row>
    <row r="203" spans="1:23">
      <c r="A203" s="703" t="s">
        <v>6963</v>
      </c>
      <c r="B203" s="13"/>
      <c r="C203" s="13"/>
      <c r="D203" s="13"/>
      <c r="E203" s="13"/>
      <c r="F203" s="13"/>
      <c r="G203" s="13"/>
      <c r="H203" s="13"/>
      <c r="I203" s="13"/>
      <c r="J203" s="13"/>
      <c r="K203" s="13">
        <f>SUM(B203:J203)</f>
        <v>0</v>
      </c>
      <c r="L203" s="472"/>
      <c r="M203" s="13"/>
      <c r="N203" s="13"/>
      <c r="O203" s="13"/>
      <c r="P203" s="13"/>
      <c r="Q203" s="13"/>
      <c r="R203" s="13"/>
      <c r="S203" s="13"/>
      <c r="T203" s="13"/>
      <c r="U203" s="13">
        <v>236</v>
      </c>
      <c r="V203" s="13">
        <f>SUM(M203:U203)</f>
        <v>236</v>
      </c>
      <c r="W203" s="472">
        <v>5537780.7507887604</v>
      </c>
    </row>
    <row r="204" spans="1:23">
      <c r="A204" s="703" t="s">
        <v>6962</v>
      </c>
      <c r="B204" s="13"/>
      <c r="C204" s="13"/>
      <c r="D204" s="13"/>
      <c r="E204" s="13"/>
      <c r="F204" s="13"/>
      <c r="G204" s="13"/>
      <c r="H204" s="13"/>
      <c r="I204" s="13"/>
      <c r="J204" s="13"/>
      <c r="K204" s="13">
        <f>SUM(B204:J204)</f>
        <v>0</v>
      </c>
      <c r="L204" s="472"/>
      <c r="M204" s="13"/>
      <c r="N204" s="13"/>
      <c r="O204" s="13"/>
      <c r="P204" s="13"/>
      <c r="Q204" s="13"/>
      <c r="R204" s="13"/>
      <c r="S204" s="13"/>
      <c r="T204" s="13"/>
      <c r="U204" s="13">
        <v>8</v>
      </c>
      <c r="V204" s="13">
        <f>SUM(M204:U204)</f>
        <v>8</v>
      </c>
      <c r="W204" s="472">
        <v>409887.04403400002</v>
      </c>
    </row>
    <row r="205" spans="1:23">
      <c r="A205" s="703" t="s">
        <v>6961</v>
      </c>
      <c r="B205" s="13"/>
      <c r="C205" s="13"/>
      <c r="D205" s="13"/>
      <c r="E205" s="13"/>
      <c r="F205" s="13"/>
      <c r="G205" s="13"/>
      <c r="H205" s="13"/>
      <c r="I205" s="13"/>
      <c r="J205" s="13">
        <v>65</v>
      </c>
      <c r="K205" s="13">
        <f>SUM(B205:J205)</f>
        <v>65</v>
      </c>
      <c r="L205" s="472">
        <v>7459934</v>
      </c>
      <c r="M205" s="13"/>
      <c r="N205" s="13"/>
      <c r="O205" s="13"/>
      <c r="P205" s="13"/>
      <c r="Q205" s="13"/>
      <c r="R205" s="13"/>
      <c r="S205" s="13"/>
      <c r="T205" s="13"/>
      <c r="U205" s="13">
        <v>19</v>
      </c>
      <c r="V205" s="13">
        <f>SUM(M205:U205)</f>
        <v>19</v>
      </c>
      <c r="W205" s="472">
        <v>6294787.853360001</v>
      </c>
    </row>
    <row r="206" spans="1:23" hidden="1">
      <c r="A206" s="703" t="s">
        <v>6960</v>
      </c>
      <c r="B206" s="13"/>
      <c r="C206" s="13"/>
      <c r="D206" s="13"/>
      <c r="E206" s="13"/>
      <c r="F206" s="13"/>
      <c r="G206" s="13"/>
      <c r="H206" s="13"/>
      <c r="I206" s="13"/>
      <c r="J206" s="13"/>
      <c r="K206" s="13">
        <f>SUM(B206:J206)</f>
        <v>0</v>
      </c>
      <c r="L206" s="16"/>
      <c r="M206" s="13"/>
      <c r="N206" s="13"/>
      <c r="O206" s="13"/>
      <c r="P206" s="13"/>
      <c r="Q206" s="13"/>
      <c r="R206" s="13"/>
      <c r="S206" s="13"/>
      <c r="T206" s="13"/>
      <c r="U206" s="13"/>
      <c r="V206" s="13">
        <f>SUM(M206:U206)</f>
        <v>0</v>
      </c>
      <c r="W206" s="472"/>
    </row>
    <row r="207" spans="1:23">
      <c r="A207" s="704" t="s">
        <v>56</v>
      </c>
      <c r="B207" s="482"/>
      <c r="C207" s="482"/>
      <c r="D207" s="482"/>
      <c r="E207" s="482"/>
      <c r="F207" s="482"/>
      <c r="G207" s="482"/>
      <c r="H207" s="482"/>
      <c r="I207" s="482"/>
      <c r="J207" s="482">
        <f>J208+J217+J226+J241+J246+J250+J254+J258+J262</f>
        <v>56228</v>
      </c>
      <c r="K207" s="482">
        <f>K208+K217+K226+K241+K246+K250+K254+K258+K262</f>
        <v>56228</v>
      </c>
      <c r="L207" s="474">
        <f t="shared" ref="L207:T207" si="52">L208+L217+L226+L241+L246+L250+L254+L258+L262+L266+L271+L275+L278</f>
        <v>1299854438</v>
      </c>
      <c r="M207" s="482">
        <f t="shared" si="52"/>
        <v>0</v>
      </c>
      <c r="N207" s="482">
        <f t="shared" si="52"/>
        <v>0</v>
      </c>
      <c r="O207" s="482">
        <f t="shared" si="52"/>
        <v>0</v>
      </c>
      <c r="P207" s="482">
        <f t="shared" si="52"/>
        <v>0</v>
      </c>
      <c r="Q207" s="482">
        <f t="shared" si="52"/>
        <v>0</v>
      </c>
      <c r="R207" s="482">
        <f t="shared" si="52"/>
        <v>0</v>
      </c>
      <c r="S207" s="482">
        <f t="shared" si="52"/>
        <v>0</v>
      </c>
      <c r="T207" s="482">
        <f t="shared" si="52"/>
        <v>0</v>
      </c>
      <c r="U207" s="480">
        <f>U208+U217+U226+U241+U246+U250+U254+U258+U262</f>
        <v>56456</v>
      </c>
      <c r="V207" s="480">
        <f>V208+V217+V226+V241+V246+V250+V254+V258+V262</f>
        <v>56456</v>
      </c>
      <c r="W207" s="474">
        <f>W208+W217+W226+W241+W246+W250+W254+W258+W262+W266+W271+W275+W278</f>
        <v>1332170927.7</v>
      </c>
    </row>
    <row r="208" spans="1:23">
      <c r="A208" s="705" t="s">
        <v>6959</v>
      </c>
      <c r="B208" s="484"/>
      <c r="C208" s="484"/>
      <c r="D208" s="484"/>
      <c r="E208" s="484"/>
      <c r="F208" s="484"/>
      <c r="G208" s="484"/>
      <c r="H208" s="484"/>
      <c r="I208" s="484"/>
      <c r="J208" s="484">
        <f t="shared" ref="J208:W208" si="53">SUM(J209:J216)</f>
        <v>6904</v>
      </c>
      <c r="K208" s="484">
        <f t="shared" si="53"/>
        <v>6904</v>
      </c>
      <c r="L208" s="485">
        <f t="shared" si="53"/>
        <v>460308676</v>
      </c>
      <c r="M208" s="484">
        <f t="shared" si="53"/>
        <v>0</v>
      </c>
      <c r="N208" s="484">
        <f t="shared" si="53"/>
        <v>0</v>
      </c>
      <c r="O208" s="484">
        <f t="shared" si="53"/>
        <v>0</v>
      </c>
      <c r="P208" s="484">
        <f t="shared" si="53"/>
        <v>0</v>
      </c>
      <c r="Q208" s="484">
        <f t="shared" si="53"/>
        <v>0</v>
      </c>
      <c r="R208" s="484">
        <f t="shared" si="53"/>
        <v>0</v>
      </c>
      <c r="S208" s="484">
        <f t="shared" si="53"/>
        <v>0</v>
      </c>
      <c r="T208" s="484">
        <f t="shared" si="53"/>
        <v>0</v>
      </c>
      <c r="U208" s="484">
        <f t="shared" si="53"/>
        <v>7050</v>
      </c>
      <c r="V208" s="484">
        <f t="shared" si="53"/>
        <v>7050</v>
      </c>
      <c r="W208" s="485">
        <f t="shared" si="53"/>
        <v>475928628</v>
      </c>
    </row>
    <row r="209" spans="1:23">
      <c r="A209" s="703" t="s">
        <v>6958</v>
      </c>
      <c r="B209" s="13"/>
      <c r="C209" s="13"/>
      <c r="D209" s="13"/>
      <c r="E209" s="13"/>
      <c r="F209" s="13"/>
      <c r="G209" s="13"/>
      <c r="H209" s="13"/>
      <c r="I209" s="13"/>
      <c r="J209" s="13">
        <v>14</v>
      </c>
      <c r="K209" s="13">
        <f t="shared" ref="K209:K216" si="54">SUM(B209:J209)</f>
        <v>14</v>
      </c>
      <c r="L209" s="472">
        <v>2277464</v>
      </c>
      <c r="M209" s="13"/>
      <c r="N209" s="13"/>
      <c r="O209" s="13"/>
      <c r="P209" s="13"/>
      <c r="Q209" s="13"/>
      <c r="R209" s="13"/>
      <c r="S209" s="13"/>
      <c r="T209" s="13"/>
      <c r="U209" s="13">
        <v>15</v>
      </c>
      <c r="V209" s="13">
        <f t="shared" ref="V209:V216" si="55">SUM(M209:U209)</f>
        <v>15</v>
      </c>
      <c r="W209" s="472">
        <v>2425740</v>
      </c>
    </row>
    <row r="210" spans="1:23">
      <c r="A210" s="703" t="s">
        <v>6957</v>
      </c>
      <c r="B210" s="13"/>
      <c r="C210" s="13"/>
      <c r="D210" s="13"/>
      <c r="E210" s="13"/>
      <c r="F210" s="13"/>
      <c r="G210" s="13"/>
      <c r="H210" s="13"/>
      <c r="I210" s="13"/>
      <c r="J210" s="13">
        <v>87</v>
      </c>
      <c r="K210" s="13">
        <f t="shared" si="54"/>
        <v>87</v>
      </c>
      <c r="L210" s="472">
        <v>12679728</v>
      </c>
      <c r="M210" s="13"/>
      <c r="N210" s="13"/>
      <c r="O210" s="13"/>
      <c r="P210" s="13"/>
      <c r="Q210" s="13"/>
      <c r="R210" s="13"/>
      <c r="S210" s="13"/>
      <c r="T210" s="13"/>
      <c r="U210" s="13">
        <v>88</v>
      </c>
      <c r="V210" s="13">
        <f t="shared" si="55"/>
        <v>88</v>
      </c>
      <c r="W210" s="472">
        <v>13211272</v>
      </c>
    </row>
    <row r="211" spans="1:23">
      <c r="A211" s="703" t="s">
        <v>6953</v>
      </c>
      <c r="B211" s="13"/>
      <c r="C211" s="13"/>
      <c r="D211" s="13"/>
      <c r="E211" s="13"/>
      <c r="F211" s="13"/>
      <c r="G211" s="13"/>
      <c r="H211" s="13"/>
      <c r="I211" s="13"/>
      <c r="J211" s="13">
        <v>741</v>
      </c>
      <c r="K211" s="13">
        <f t="shared" si="54"/>
        <v>741</v>
      </c>
      <c r="L211" s="472">
        <v>88860720</v>
      </c>
      <c r="M211" s="13"/>
      <c r="N211" s="13"/>
      <c r="O211" s="13"/>
      <c r="P211" s="13"/>
      <c r="Q211" s="13"/>
      <c r="R211" s="13"/>
      <c r="S211" s="13"/>
      <c r="T211" s="13"/>
      <c r="U211" s="13">
        <v>752</v>
      </c>
      <c r="V211" s="13">
        <f t="shared" si="55"/>
        <v>752</v>
      </c>
      <c r="W211" s="472">
        <v>90499640</v>
      </c>
    </row>
    <row r="212" spans="1:23">
      <c r="A212" s="703" t="s">
        <v>6952</v>
      </c>
      <c r="B212" s="13"/>
      <c r="C212" s="13"/>
      <c r="D212" s="13"/>
      <c r="E212" s="13"/>
      <c r="F212" s="13"/>
      <c r="G212" s="13"/>
      <c r="H212" s="13"/>
      <c r="I212" s="13"/>
      <c r="J212" s="13">
        <v>1173</v>
      </c>
      <c r="K212" s="13">
        <f t="shared" si="54"/>
        <v>1173</v>
      </c>
      <c r="L212" s="472">
        <v>99409404</v>
      </c>
      <c r="M212" s="13"/>
      <c r="N212" s="13"/>
      <c r="O212" s="13"/>
      <c r="P212" s="13"/>
      <c r="Q212" s="13"/>
      <c r="R212" s="13"/>
      <c r="S212" s="13"/>
      <c r="T212" s="13"/>
      <c r="U212" s="13">
        <v>1152</v>
      </c>
      <c r="V212" s="13">
        <f t="shared" si="55"/>
        <v>1152</v>
      </c>
      <c r="W212" s="472">
        <v>98506896</v>
      </c>
    </row>
    <row r="213" spans="1:23">
      <c r="A213" s="703" t="s">
        <v>6951</v>
      </c>
      <c r="B213" s="13"/>
      <c r="C213" s="13"/>
      <c r="D213" s="13"/>
      <c r="E213" s="13"/>
      <c r="F213" s="13"/>
      <c r="G213" s="13"/>
      <c r="H213" s="13"/>
      <c r="I213" s="13"/>
      <c r="J213" s="13">
        <v>1306</v>
      </c>
      <c r="K213" s="13">
        <f t="shared" si="54"/>
        <v>1306</v>
      </c>
      <c r="L213" s="472">
        <v>80512288</v>
      </c>
      <c r="M213" s="13"/>
      <c r="N213" s="13"/>
      <c r="O213" s="13"/>
      <c r="P213" s="13"/>
      <c r="Q213" s="13"/>
      <c r="R213" s="13"/>
      <c r="S213" s="13"/>
      <c r="T213" s="13"/>
      <c r="U213" s="13">
        <v>1306</v>
      </c>
      <c r="V213" s="13">
        <f t="shared" si="55"/>
        <v>1306</v>
      </c>
      <c r="W213" s="472">
        <v>85193488</v>
      </c>
    </row>
    <row r="214" spans="1:23">
      <c r="A214" s="703" t="s">
        <v>6950</v>
      </c>
      <c r="B214" s="13"/>
      <c r="C214" s="13"/>
      <c r="D214" s="13"/>
      <c r="E214" s="13"/>
      <c r="F214" s="13"/>
      <c r="G214" s="13"/>
      <c r="H214" s="13"/>
      <c r="I214" s="13"/>
      <c r="J214" s="13">
        <v>1376</v>
      </c>
      <c r="K214" s="13">
        <f t="shared" si="54"/>
        <v>1376</v>
      </c>
      <c r="L214" s="472">
        <v>73285760</v>
      </c>
      <c r="M214" s="13"/>
      <c r="N214" s="13"/>
      <c r="O214" s="13"/>
      <c r="P214" s="13"/>
      <c r="Q214" s="13"/>
      <c r="R214" s="13"/>
      <c r="S214" s="13"/>
      <c r="T214" s="13"/>
      <c r="U214" s="13">
        <v>1456</v>
      </c>
      <c r="V214" s="13">
        <f t="shared" si="55"/>
        <v>1456</v>
      </c>
      <c r="W214" s="472">
        <v>78003160</v>
      </c>
    </row>
    <row r="215" spans="1:23">
      <c r="A215" s="703" t="s">
        <v>6949</v>
      </c>
      <c r="B215" s="13"/>
      <c r="C215" s="13"/>
      <c r="D215" s="13"/>
      <c r="E215" s="13"/>
      <c r="F215" s="13"/>
      <c r="G215" s="13"/>
      <c r="H215" s="13"/>
      <c r="I215" s="13"/>
      <c r="J215" s="13">
        <v>1412</v>
      </c>
      <c r="K215" s="13">
        <f t="shared" si="54"/>
        <v>1412</v>
      </c>
      <c r="L215" s="472">
        <v>67629152</v>
      </c>
      <c r="M215" s="13"/>
      <c r="N215" s="13"/>
      <c r="O215" s="13"/>
      <c r="P215" s="13"/>
      <c r="Q215" s="13"/>
      <c r="R215" s="13"/>
      <c r="S215" s="13"/>
      <c r="T215" s="13"/>
      <c r="U215" s="13">
        <v>1428</v>
      </c>
      <c r="V215" s="13">
        <f t="shared" si="55"/>
        <v>1428</v>
      </c>
      <c r="W215" s="472">
        <v>69577488</v>
      </c>
    </row>
    <row r="216" spans="1:23">
      <c r="A216" s="703" t="s">
        <v>6948</v>
      </c>
      <c r="B216" s="13"/>
      <c r="C216" s="13"/>
      <c r="D216" s="13"/>
      <c r="E216" s="13"/>
      <c r="F216" s="13"/>
      <c r="G216" s="13"/>
      <c r="H216" s="13"/>
      <c r="I216" s="13"/>
      <c r="J216" s="13">
        <v>795</v>
      </c>
      <c r="K216" s="13">
        <f t="shared" si="54"/>
        <v>795</v>
      </c>
      <c r="L216" s="472">
        <v>35654160</v>
      </c>
      <c r="M216" s="13"/>
      <c r="N216" s="13"/>
      <c r="O216" s="13"/>
      <c r="P216" s="13"/>
      <c r="Q216" s="13"/>
      <c r="R216" s="13"/>
      <c r="S216" s="13"/>
      <c r="T216" s="13"/>
      <c r="U216" s="13">
        <v>853</v>
      </c>
      <c r="V216" s="13">
        <f t="shared" si="55"/>
        <v>853</v>
      </c>
      <c r="W216" s="472">
        <v>38510944</v>
      </c>
    </row>
    <row r="217" spans="1:23">
      <c r="A217" s="705" t="s">
        <v>6956</v>
      </c>
      <c r="B217" s="484"/>
      <c r="C217" s="484"/>
      <c r="D217" s="484"/>
      <c r="E217" s="484"/>
      <c r="F217" s="484"/>
      <c r="G217" s="484"/>
      <c r="H217" s="484"/>
      <c r="I217" s="484"/>
      <c r="J217" s="484">
        <f t="shared" ref="J217:W217" si="56">SUM(J218:J225)</f>
        <v>14795</v>
      </c>
      <c r="K217" s="484">
        <f t="shared" si="56"/>
        <v>14795</v>
      </c>
      <c r="L217" s="485">
        <f t="shared" si="56"/>
        <v>626650364</v>
      </c>
      <c r="M217" s="484">
        <f t="shared" si="56"/>
        <v>0</v>
      </c>
      <c r="N217" s="484">
        <f t="shared" si="56"/>
        <v>0</v>
      </c>
      <c r="O217" s="484">
        <f t="shared" si="56"/>
        <v>0</v>
      </c>
      <c r="P217" s="484">
        <f t="shared" si="56"/>
        <v>0</v>
      </c>
      <c r="Q217" s="484">
        <f t="shared" si="56"/>
        <v>0</v>
      </c>
      <c r="R217" s="484">
        <f t="shared" si="56"/>
        <v>0</v>
      </c>
      <c r="S217" s="484">
        <f t="shared" si="56"/>
        <v>0</v>
      </c>
      <c r="T217" s="484">
        <f t="shared" si="56"/>
        <v>0</v>
      </c>
      <c r="U217" s="484">
        <f t="shared" si="56"/>
        <v>14897</v>
      </c>
      <c r="V217" s="484">
        <f t="shared" si="56"/>
        <v>14897</v>
      </c>
      <c r="W217" s="485">
        <f t="shared" si="56"/>
        <v>655389608</v>
      </c>
    </row>
    <row r="218" spans="1:23">
      <c r="A218" s="703" t="s">
        <v>6955</v>
      </c>
      <c r="B218" s="13"/>
      <c r="C218" s="13"/>
      <c r="D218" s="13"/>
      <c r="E218" s="13"/>
      <c r="F218" s="13"/>
      <c r="G218" s="13"/>
      <c r="H218" s="13"/>
      <c r="I218" s="13"/>
      <c r="J218" s="13">
        <v>168</v>
      </c>
      <c r="K218" s="13">
        <f t="shared" ref="K218:K225" si="57">SUM(B218:J218)</f>
        <v>168</v>
      </c>
      <c r="L218" s="472">
        <v>8873088</v>
      </c>
      <c r="M218" s="13"/>
      <c r="N218" s="13"/>
      <c r="O218" s="13"/>
      <c r="P218" s="13"/>
      <c r="Q218" s="13"/>
      <c r="R218" s="13"/>
      <c r="S218" s="13"/>
      <c r="T218" s="13"/>
      <c r="U218" s="13">
        <v>181</v>
      </c>
      <c r="V218" s="13">
        <f t="shared" ref="V218:V225" si="58">SUM(M218:U218)</f>
        <v>181</v>
      </c>
      <c r="W218" s="472">
        <v>9930496</v>
      </c>
    </row>
    <row r="219" spans="1:23">
      <c r="A219" s="703" t="s">
        <v>6947</v>
      </c>
      <c r="B219" s="13"/>
      <c r="C219" s="13"/>
      <c r="D219" s="13"/>
      <c r="E219" s="13"/>
      <c r="F219" s="13"/>
      <c r="G219" s="13"/>
      <c r="H219" s="13"/>
      <c r="I219" s="13"/>
      <c r="J219" s="13">
        <v>518</v>
      </c>
      <c r="K219" s="13">
        <f t="shared" si="57"/>
        <v>518</v>
      </c>
      <c r="L219" s="472">
        <v>26693576</v>
      </c>
      <c r="M219" s="13"/>
      <c r="N219" s="13"/>
      <c r="O219" s="13"/>
      <c r="P219" s="13"/>
      <c r="Q219" s="13"/>
      <c r="R219" s="13"/>
      <c r="S219" s="13"/>
      <c r="T219" s="13"/>
      <c r="U219" s="13">
        <v>524</v>
      </c>
      <c r="V219" s="13">
        <f t="shared" si="58"/>
        <v>524</v>
      </c>
      <c r="W219" s="472">
        <v>28088768</v>
      </c>
    </row>
    <row r="220" spans="1:23">
      <c r="A220" s="703" t="s">
        <v>6946</v>
      </c>
      <c r="B220" s="13"/>
      <c r="C220" s="13"/>
      <c r="D220" s="13"/>
      <c r="E220" s="13"/>
      <c r="F220" s="13"/>
      <c r="G220" s="13"/>
      <c r="H220" s="13"/>
      <c r="I220" s="13"/>
      <c r="J220" s="13">
        <v>1535</v>
      </c>
      <c r="K220" s="13">
        <f t="shared" si="57"/>
        <v>1535</v>
      </c>
      <c r="L220" s="472">
        <v>72120440</v>
      </c>
      <c r="M220" s="13"/>
      <c r="N220" s="13"/>
      <c r="O220" s="13"/>
      <c r="P220" s="13"/>
      <c r="Q220" s="13"/>
      <c r="R220" s="13"/>
      <c r="S220" s="13"/>
      <c r="T220" s="13"/>
      <c r="U220" s="13">
        <v>1604</v>
      </c>
      <c r="V220" s="13">
        <f t="shared" si="58"/>
        <v>1604</v>
      </c>
      <c r="W220" s="472">
        <v>77009336</v>
      </c>
    </row>
    <row r="221" spans="1:23">
      <c r="A221" s="703" t="s">
        <v>6945</v>
      </c>
      <c r="B221" s="13"/>
      <c r="C221" s="13"/>
      <c r="D221" s="13"/>
      <c r="E221" s="13"/>
      <c r="F221" s="13"/>
      <c r="G221" s="13"/>
      <c r="H221" s="13"/>
      <c r="I221" s="13"/>
      <c r="J221" s="13">
        <v>2034</v>
      </c>
      <c r="K221" s="13">
        <f t="shared" si="57"/>
        <v>2034</v>
      </c>
      <c r="L221" s="472">
        <v>88145424</v>
      </c>
      <c r="M221" s="13"/>
      <c r="N221" s="13"/>
      <c r="O221" s="13"/>
      <c r="P221" s="13"/>
      <c r="Q221" s="13"/>
      <c r="R221" s="13"/>
      <c r="S221" s="13"/>
      <c r="T221" s="13"/>
      <c r="U221" s="13">
        <v>2061</v>
      </c>
      <c r="V221" s="13">
        <f t="shared" si="58"/>
        <v>2061</v>
      </c>
      <c r="W221" s="472">
        <v>92216496</v>
      </c>
    </row>
    <row r="222" spans="1:23">
      <c r="A222" s="703" t="s">
        <v>6944</v>
      </c>
      <c r="B222" s="13"/>
      <c r="C222" s="13"/>
      <c r="D222" s="13"/>
      <c r="E222" s="13"/>
      <c r="F222" s="13"/>
      <c r="G222" s="13"/>
      <c r="H222" s="13"/>
      <c r="I222" s="13"/>
      <c r="J222" s="13">
        <v>2713</v>
      </c>
      <c r="K222" s="13">
        <f t="shared" si="57"/>
        <v>2713</v>
      </c>
      <c r="L222" s="472">
        <v>113533624</v>
      </c>
      <c r="M222" s="13"/>
      <c r="N222" s="13"/>
      <c r="O222" s="13"/>
      <c r="P222" s="13"/>
      <c r="Q222" s="13"/>
      <c r="R222" s="13"/>
      <c r="S222" s="13"/>
      <c r="T222" s="13"/>
      <c r="U222" s="13">
        <v>2678</v>
      </c>
      <c r="V222" s="13">
        <f t="shared" si="58"/>
        <v>2678</v>
      </c>
      <c r="W222" s="472">
        <v>116674544</v>
      </c>
    </row>
    <row r="223" spans="1:23">
      <c r="A223" s="703" t="s">
        <v>6943</v>
      </c>
      <c r="B223" s="13"/>
      <c r="C223" s="13"/>
      <c r="D223" s="13"/>
      <c r="E223" s="13"/>
      <c r="F223" s="13"/>
      <c r="G223" s="13"/>
      <c r="H223" s="13"/>
      <c r="I223" s="13"/>
      <c r="J223" s="13">
        <v>2810</v>
      </c>
      <c r="K223" s="13">
        <f t="shared" si="57"/>
        <v>2810</v>
      </c>
      <c r="L223" s="472">
        <v>115535960</v>
      </c>
      <c r="M223" s="13"/>
      <c r="N223" s="13"/>
      <c r="O223" s="13"/>
      <c r="P223" s="13"/>
      <c r="Q223" s="13"/>
      <c r="R223" s="13"/>
      <c r="S223" s="13"/>
      <c r="T223" s="13"/>
      <c r="U223" s="13">
        <v>2831</v>
      </c>
      <c r="V223" s="13">
        <f t="shared" si="58"/>
        <v>2831</v>
      </c>
      <c r="W223" s="472">
        <v>120296996</v>
      </c>
    </row>
    <row r="224" spans="1:23">
      <c r="A224" s="703" t="s">
        <v>6942</v>
      </c>
      <c r="B224" s="13"/>
      <c r="C224" s="13"/>
      <c r="D224" s="13"/>
      <c r="E224" s="13"/>
      <c r="F224" s="13"/>
      <c r="G224" s="13"/>
      <c r="H224" s="13"/>
      <c r="I224" s="13"/>
      <c r="J224" s="13">
        <v>2651</v>
      </c>
      <c r="K224" s="13">
        <f t="shared" si="57"/>
        <v>2651</v>
      </c>
      <c r="L224" s="472">
        <v>107789660</v>
      </c>
      <c r="M224" s="13"/>
      <c r="N224" s="13"/>
      <c r="O224" s="13"/>
      <c r="P224" s="13"/>
      <c r="Q224" s="13"/>
      <c r="R224" s="13"/>
      <c r="S224" s="13"/>
      <c r="T224" s="13"/>
      <c r="U224" s="13">
        <v>2697</v>
      </c>
      <c r="V224" s="13">
        <f t="shared" si="58"/>
        <v>2697</v>
      </c>
      <c r="W224" s="472">
        <v>114094020</v>
      </c>
    </row>
    <row r="225" spans="1:23">
      <c r="A225" s="703" t="s">
        <v>6941</v>
      </c>
      <c r="B225" s="13"/>
      <c r="C225" s="13"/>
      <c r="D225" s="13"/>
      <c r="E225" s="13"/>
      <c r="F225" s="13"/>
      <c r="G225" s="13"/>
      <c r="H225" s="13"/>
      <c r="I225" s="13"/>
      <c r="J225" s="13">
        <v>2366</v>
      </c>
      <c r="K225" s="13">
        <f t="shared" si="57"/>
        <v>2366</v>
      </c>
      <c r="L225" s="472">
        <v>93958592</v>
      </c>
      <c r="M225" s="13"/>
      <c r="N225" s="13"/>
      <c r="O225" s="13"/>
      <c r="P225" s="13"/>
      <c r="Q225" s="13"/>
      <c r="R225" s="13"/>
      <c r="S225" s="13"/>
      <c r="T225" s="13"/>
      <c r="U225" s="13">
        <v>2321</v>
      </c>
      <c r="V225" s="13">
        <f t="shared" si="58"/>
        <v>2321</v>
      </c>
      <c r="W225" s="472">
        <v>97078952</v>
      </c>
    </row>
    <row r="226" spans="1:23" ht="24">
      <c r="A226" s="705" t="s">
        <v>6954</v>
      </c>
      <c r="B226" s="484"/>
      <c r="C226" s="484"/>
      <c r="D226" s="484"/>
      <c r="E226" s="484"/>
      <c r="F226" s="484"/>
      <c r="G226" s="484"/>
      <c r="H226" s="484"/>
      <c r="I226" s="484"/>
      <c r="J226" s="484">
        <f t="shared" ref="J226:W226" si="59">SUM(J227:J239)</f>
        <v>429</v>
      </c>
      <c r="K226" s="484">
        <f t="shared" si="59"/>
        <v>429</v>
      </c>
      <c r="L226" s="485">
        <f t="shared" si="59"/>
        <v>25658664</v>
      </c>
      <c r="M226" s="484">
        <f t="shared" si="59"/>
        <v>0</v>
      </c>
      <c r="N226" s="484">
        <f t="shared" si="59"/>
        <v>0</v>
      </c>
      <c r="O226" s="484">
        <f t="shared" si="59"/>
        <v>0</v>
      </c>
      <c r="P226" s="484">
        <f t="shared" si="59"/>
        <v>0</v>
      </c>
      <c r="Q226" s="484">
        <f t="shared" si="59"/>
        <v>0</v>
      </c>
      <c r="R226" s="484">
        <f t="shared" si="59"/>
        <v>0</v>
      </c>
      <c r="S226" s="484">
        <f t="shared" si="59"/>
        <v>0</v>
      </c>
      <c r="T226" s="484">
        <f t="shared" si="59"/>
        <v>0</v>
      </c>
      <c r="U226" s="484">
        <f t="shared" si="59"/>
        <v>409</v>
      </c>
      <c r="V226" s="484">
        <f t="shared" si="59"/>
        <v>409</v>
      </c>
      <c r="W226" s="485">
        <f t="shared" si="59"/>
        <v>20209120</v>
      </c>
    </row>
    <row r="227" spans="1:23">
      <c r="A227" s="703" t="s">
        <v>6953</v>
      </c>
      <c r="B227" s="13"/>
      <c r="C227" s="13"/>
      <c r="D227" s="13"/>
      <c r="E227" s="13"/>
      <c r="F227" s="13"/>
      <c r="G227" s="13"/>
      <c r="H227" s="13"/>
      <c r="I227" s="13"/>
      <c r="J227" s="13">
        <v>2</v>
      </c>
      <c r="K227" s="13">
        <f t="shared" ref="K227:K232" si="60">SUM(B227:J227)</f>
        <v>2</v>
      </c>
      <c r="L227" s="472">
        <v>232640</v>
      </c>
      <c r="M227" s="13"/>
      <c r="N227" s="13"/>
      <c r="O227" s="13"/>
      <c r="P227" s="13"/>
      <c r="Q227" s="13"/>
      <c r="R227" s="13"/>
      <c r="S227" s="13"/>
      <c r="T227" s="13"/>
      <c r="U227" s="13">
        <v>2</v>
      </c>
      <c r="V227" s="13">
        <f t="shared" ref="V227:V239" si="61">SUM(M227:U227)</f>
        <v>2</v>
      </c>
      <c r="W227" s="472">
        <v>743840</v>
      </c>
    </row>
    <row r="228" spans="1:23">
      <c r="A228" s="703" t="s">
        <v>6952</v>
      </c>
      <c r="B228" s="13"/>
      <c r="C228" s="13"/>
      <c r="D228" s="13"/>
      <c r="E228" s="13"/>
      <c r="F228" s="13"/>
      <c r="G228" s="13"/>
      <c r="H228" s="13"/>
      <c r="I228" s="13"/>
      <c r="J228" s="13">
        <v>7</v>
      </c>
      <c r="K228" s="13">
        <f t="shared" si="60"/>
        <v>7</v>
      </c>
      <c r="L228" s="472">
        <v>593236</v>
      </c>
      <c r="M228" s="13"/>
      <c r="N228" s="13"/>
      <c r="O228" s="13"/>
      <c r="P228" s="13"/>
      <c r="Q228" s="13"/>
      <c r="R228" s="13"/>
      <c r="S228" s="13"/>
      <c r="T228" s="13"/>
      <c r="U228" s="13">
        <v>7</v>
      </c>
      <c r="V228" s="13">
        <f t="shared" si="61"/>
        <v>7</v>
      </c>
      <c r="W228" s="472">
        <v>949636</v>
      </c>
    </row>
    <row r="229" spans="1:23">
      <c r="A229" s="703" t="s">
        <v>6951</v>
      </c>
      <c r="B229" s="13"/>
      <c r="C229" s="13"/>
      <c r="D229" s="13"/>
      <c r="E229" s="13"/>
      <c r="F229" s="13"/>
      <c r="G229" s="13"/>
      <c r="H229" s="13"/>
      <c r="I229" s="13"/>
      <c r="J229" s="13">
        <v>28</v>
      </c>
      <c r="K229" s="13">
        <f t="shared" si="60"/>
        <v>28</v>
      </c>
      <c r="L229" s="472">
        <v>2028544</v>
      </c>
      <c r="M229" s="13"/>
      <c r="N229" s="13"/>
      <c r="O229" s="13"/>
      <c r="P229" s="13"/>
      <c r="Q229" s="13"/>
      <c r="R229" s="13"/>
      <c r="S229" s="13"/>
      <c r="T229" s="13"/>
      <c r="U229" s="13">
        <v>28</v>
      </c>
      <c r="V229" s="13">
        <f t="shared" si="61"/>
        <v>28</v>
      </c>
      <c r="W229" s="472">
        <v>1510144</v>
      </c>
    </row>
    <row r="230" spans="1:23">
      <c r="A230" s="703" t="s">
        <v>6950</v>
      </c>
      <c r="B230" s="13"/>
      <c r="C230" s="13"/>
      <c r="D230" s="13"/>
      <c r="E230" s="13"/>
      <c r="F230" s="13"/>
      <c r="G230" s="13"/>
      <c r="H230" s="13"/>
      <c r="I230" s="13"/>
      <c r="J230" s="13">
        <v>15</v>
      </c>
      <c r="K230" s="13">
        <f t="shared" si="60"/>
        <v>15</v>
      </c>
      <c r="L230" s="472">
        <v>987900</v>
      </c>
      <c r="M230" s="13"/>
      <c r="N230" s="13"/>
      <c r="O230" s="13"/>
      <c r="P230" s="13"/>
      <c r="Q230" s="13"/>
      <c r="R230" s="13"/>
      <c r="S230" s="13"/>
      <c r="T230" s="13"/>
      <c r="U230" s="13">
        <v>14</v>
      </c>
      <c r="V230" s="13">
        <f t="shared" si="61"/>
        <v>14</v>
      </c>
      <c r="W230" s="472">
        <v>695240</v>
      </c>
    </row>
    <row r="231" spans="1:23">
      <c r="A231" s="703" t="s">
        <v>6949</v>
      </c>
      <c r="B231" s="13"/>
      <c r="C231" s="13"/>
      <c r="D231" s="13"/>
      <c r="E231" s="13"/>
      <c r="F231" s="13"/>
      <c r="G231" s="13"/>
      <c r="H231" s="13"/>
      <c r="I231" s="13"/>
      <c r="J231" s="13">
        <v>11</v>
      </c>
      <c r="K231" s="13">
        <f t="shared" si="60"/>
        <v>11</v>
      </c>
      <c r="L231" s="472">
        <v>665456</v>
      </c>
      <c r="M231" s="13"/>
      <c r="N231" s="13"/>
      <c r="O231" s="13"/>
      <c r="P231" s="13"/>
      <c r="Q231" s="13"/>
      <c r="R231" s="13"/>
      <c r="S231" s="13"/>
      <c r="T231" s="13"/>
      <c r="U231" s="13">
        <v>11</v>
      </c>
      <c r="V231" s="13">
        <f t="shared" si="61"/>
        <v>11</v>
      </c>
      <c r="W231" s="472">
        <v>438656</v>
      </c>
    </row>
    <row r="232" spans="1:23">
      <c r="A232" s="703" t="s">
        <v>6948</v>
      </c>
      <c r="B232" s="13"/>
      <c r="C232" s="13"/>
      <c r="D232" s="13"/>
      <c r="E232" s="13"/>
      <c r="F232" s="13"/>
      <c r="G232" s="13"/>
      <c r="H232" s="13"/>
      <c r="I232" s="13"/>
      <c r="J232" s="13">
        <v>27</v>
      </c>
      <c r="K232" s="13">
        <f t="shared" si="60"/>
        <v>27</v>
      </c>
      <c r="L232" s="472">
        <v>1615896</v>
      </c>
      <c r="M232" s="13"/>
      <c r="N232" s="13"/>
      <c r="O232" s="13"/>
      <c r="P232" s="13"/>
      <c r="Q232" s="13"/>
      <c r="R232" s="13"/>
      <c r="S232" s="13"/>
      <c r="T232" s="13"/>
      <c r="U232" s="13">
        <v>25</v>
      </c>
      <c r="V232" s="13">
        <f t="shared" si="61"/>
        <v>25</v>
      </c>
      <c r="W232" s="472">
        <v>783400</v>
      </c>
    </row>
    <row r="233" spans="1:23" hidden="1">
      <c r="A233" s="703" t="s">
        <v>6947</v>
      </c>
      <c r="B233" s="13"/>
      <c r="C233" s="13"/>
      <c r="D233" s="13"/>
      <c r="E233" s="13"/>
      <c r="F233" s="13"/>
      <c r="G233" s="13"/>
      <c r="H233" s="13"/>
      <c r="I233" s="13"/>
      <c r="J233" s="13"/>
      <c r="K233" s="13"/>
      <c r="L233" s="472"/>
      <c r="M233" s="13"/>
      <c r="N233" s="13"/>
      <c r="O233" s="13"/>
      <c r="P233" s="13"/>
      <c r="Q233" s="13"/>
      <c r="R233" s="13"/>
      <c r="S233" s="13"/>
      <c r="T233" s="13"/>
      <c r="U233" s="13"/>
      <c r="V233" s="13">
        <f t="shared" si="61"/>
        <v>0</v>
      </c>
      <c r="W233" s="472"/>
    </row>
    <row r="234" spans="1:23">
      <c r="A234" s="703" t="s">
        <v>6946</v>
      </c>
      <c r="B234" s="13"/>
      <c r="C234" s="13"/>
      <c r="D234" s="13"/>
      <c r="E234" s="13"/>
      <c r="F234" s="13"/>
      <c r="G234" s="13"/>
      <c r="H234" s="13"/>
      <c r="I234" s="13"/>
      <c r="J234" s="13"/>
      <c r="K234" s="13"/>
      <c r="L234" s="472"/>
      <c r="M234" s="13"/>
      <c r="N234" s="13"/>
      <c r="O234" s="13"/>
      <c r="P234" s="13"/>
      <c r="Q234" s="13"/>
      <c r="R234" s="13"/>
      <c r="S234" s="13"/>
      <c r="T234" s="13"/>
      <c r="U234" s="13">
        <v>2</v>
      </c>
      <c r="V234" s="13">
        <f t="shared" si="61"/>
        <v>2</v>
      </c>
      <c r="W234" s="472">
        <v>869168</v>
      </c>
    </row>
    <row r="235" spans="1:23">
      <c r="A235" s="703" t="s">
        <v>6945</v>
      </c>
      <c r="B235" s="13"/>
      <c r="C235" s="13"/>
      <c r="D235" s="13"/>
      <c r="E235" s="13"/>
      <c r="F235" s="13"/>
      <c r="G235" s="13"/>
      <c r="H235" s="13"/>
      <c r="I235" s="13"/>
      <c r="J235" s="13">
        <v>21</v>
      </c>
      <c r="K235" s="13">
        <f>SUM(B235:J235)</f>
        <v>21</v>
      </c>
      <c r="L235" s="472">
        <v>1262856</v>
      </c>
      <c r="M235" s="13"/>
      <c r="N235" s="13"/>
      <c r="O235" s="13"/>
      <c r="P235" s="13"/>
      <c r="Q235" s="13"/>
      <c r="R235" s="13"/>
      <c r="S235" s="13"/>
      <c r="T235" s="13"/>
      <c r="U235" s="13">
        <v>19</v>
      </c>
      <c r="V235" s="13">
        <f t="shared" si="61"/>
        <v>19</v>
      </c>
      <c r="W235" s="472">
        <v>1369384</v>
      </c>
    </row>
    <row r="236" spans="1:23">
      <c r="A236" s="703" t="s">
        <v>6944</v>
      </c>
      <c r="B236" s="13"/>
      <c r="C236" s="13"/>
      <c r="D236" s="13"/>
      <c r="E236" s="13"/>
      <c r="F236" s="13"/>
      <c r="G236" s="13"/>
      <c r="H236" s="13"/>
      <c r="I236" s="13"/>
      <c r="J236" s="13">
        <v>37</v>
      </c>
      <c r="K236" s="13">
        <f>SUM(B236:J236)</f>
        <v>37</v>
      </c>
      <c r="L236" s="472">
        <v>2169976</v>
      </c>
      <c r="M236" s="13"/>
      <c r="N236" s="13"/>
      <c r="O236" s="13"/>
      <c r="P236" s="13"/>
      <c r="Q236" s="13"/>
      <c r="R236" s="13"/>
      <c r="S236" s="13"/>
      <c r="T236" s="13"/>
      <c r="U236" s="13">
        <v>31</v>
      </c>
      <c r="V236" s="13">
        <f t="shared" si="61"/>
        <v>31</v>
      </c>
      <c r="W236" s="472">
        <v>2239288</v>
      </c>
    </row>
    <row r="237" spans="1:23">
      <c r="A237" s="703" t="s">
        <v>6943</v>
      </c>
      <c r="B237" s="13"/>
      <c r="C237" s="13"/>
      <c r="D237" s="13"/>
      <c r="E237" s="13"/>
      <c r="F237" s="13"/>
      <c r="G237" s="13"/>
      <c r="H237" s="13"/>
      <c r="I237" s="13"/>
      <c r="J237" s="13">
        <v>46</v>
      </c>
      <c r="K237" s="13">
        <f>SUM(B237:J237)</f>
        <v>46</v>
      </c>
      <c r="L237" s="472">
        <v>2664136</v>
      </c>
      <c r="M237" s="13"/>
      <c r="N237" s="13"/>
      <c r="O237" s="13"/>
      <c r="P237" s="13"/>
      <c r="Q237" s="13"/>
      <c r="R237" s="13"/>
      <c r="S237" s="13"/>
      <c r="T237" s="13"/>
      <c r="U237" s="13">
        <v>42</v>
      </c>
      <c r="V237" s="13">
        <f t="shared" si="61"/>
        <v>42</v>
      </c>
      <c r="W237" s="472">
        <v>2302872</v>
      </c>
    </row>
    <row r="238" spans="1:23">
      <c r="A238" s="703" t="s">
        <v>6942</v>
      </c>
      <c r="B238" s="13"/>
      <c r="C238" s="13"/>
      <c r="D238" s="13"/>
      <c r="E238" s="13"/>
      <c r="F238" s="13"/>
      <c r="G238" s="13"/>
      <c r="H238" s="13"/>
      <c r="I238" s="13"/>
      <c r="J238" s="13">
        <v>48</v>
      </c>
      <c r="K238" s="13">
        <f>SUM(B238:J238)</f>
        <v>48</v>
      </c>
      <c r="L238" s="472">
        <v>2758080</v>
      </c>
      <c r="M238" s="13"/>
      <c r="N238" s="13"/>
      <c r="O238" s="13"/>
      <c r="P238" s="13"/>
      <c r="Q238" s="13"/>
      <c r="R238" s="13"/>
      <c r="S238" s="13"/>
      <c r="T238" s="13"/>
      <c r="U238" s="13">
        <v>47</v>
      </c>
      <c r="V238" s="13">
        <f t="shared" si="61"/>
        <v>47</v>
      </c>
      <c r="W238" s="472">
        <v>1825820</v>
      </c>
    </row>
    <row r="239" spans="1:23">
      <c r="A239" s="703" t="s">
        <v>6941</v>
      </c>
      <c r="B239" s="13"/>
      <c r="C239" s="13"/>
      <c r="D239" s="13"/>
      <c r="E239" s="13"/>
      <c r="F239" s="13"/>
      <c r="G239" s="13"/>
      <c r="H239" s="13"/>
      <c r="I239" s="13"/>
      <c r="J239" s="13">
        <v>187</v>
      </c>
      <c r="K239" s="13">
        <f>SUM(B239:J239)</f>
        <v>187</v>
      </c>
      <c r="L239" s="472">
        <v>10679944</v>
      </c>
      <c r="M239" s="13"/>
      <c r="N239" s="13"/>
      <c r="O239" s="13"/>
      <c r="P239" s="13"/>
      <c r="Q239" s="13"/>
      <c r="R239" s="13"/>
      <c r="S239" s="13"/>
      <c r="T239" s="13"/>
      <c r="U239" s="13">
        <v>181</v>
      </c>
      <c r="V239" s="13">
        <f t="shared" si="61"/>
        <v>181</v>
      </c>
      <c r="W239" s="472">
        <v>6481672</v>
      </c>
    </row>
    <row r="240" spans="1:23">
      <c r="A240" s="707" t="s">
        <v>6940</v>
      </c>
      <c r="B240" s="493"/>
      <c r="C240" s="493"/>
      <c r="D240" s="493"/>
      <c r="E240" s="493"/>
      <c r="F240" s="493"/>
      <c r="G240" s="493"/>
      <c r="H240" s="493"/>
      <c r="I240" s="493"/>
      <c r="J240" s="493">
        <f>J241+J246+J250+J254+J258+J262</f>
        <v>34100</v>
      </c>
      <c r="K240" s="493">
        <f>K241+K246+K250+K254+K258+K262</f>
        <v>34100</v>
      </c>
      <c r="L240" s="492">
        <f t="shared" ref="L240:T240" si="62">L241+L246+L250+L254+L258+L262+L266+L271+L275+L278</f>
        <v>187236734</v>
      </c>
      <c r="M240" s="493">
        <f t="shared" si="62"/>
        <v>0</v>
      </c>
      <c r="N240" s="493">
        <f t="shared" si="62"/>
        <v>0</v>
      </c>
      <c r="O240" s="493">
        <f t="shared" si="62"/>
        <v>0</v>
      </c>
      <c r="P240" s="493">
        <f t="shared" si="62"/>
        <v>0</v>
      </c>
      <c r="Q240" s="493">
        <f t="shared" si="62"/>
        <v>0</v>
      </c>
      <c r="R240" s="493">
        <f t="shared" si="62"/>
        <v>0</v>
      </c>
      <c r="S240" s="493">
        <f t="shared" si="62"/>
        <v>0</v>
      </c>
      <c r="T240" s="493">
        <f t="shared" si="62"/>
        <v>0</v>
      </c>
      <c r="U240" s="493">
        <f>U241+U246+U250+U254+U258+U262</f>
        <v>34100</v>
      </c>
      <c r="V240" s="493">
        <f>V241+V246+V250+V254+V258+V262</f>
        <v>34100</v>
      </c>
      <c r="W240" s="492">
        <f>W241+W246+W250+W254+W258+W262+W266+W271+W275+W278</f>
        <v>180643571.70000002</v>
      </c>
    </row>
    <row r="241" spans="1:23">
      <c r="A241" s="705" t="s">
        <v>6939</v>
      </c>
      <c r="B241" s="484"/>
      <c r="C241" s="484"/>
      <c r="D241" s="484"/>
      <c r="E241" s="484"/>
      <c r="F241" s="484"/>
      <c r="G241" s="484"/>
      <c r="H241" s="484"/>
      <c r="I241" s="484"/>
      <c r="J241" s="484">
        <f t="shared" ref="J241:W241" si="63">SUM(J242:J245)</f>
        <v>31030</v>
      </c>
      <c r="K241" s="484">
        <f t="shared" si="63"/>
        <v>31030</v>
      </c>
      <c r="L241" s="485">
        <f t="shared" si="63"/>
        <v>145886021</v>
      </c>
      <c r="M241" s="484">
        <f t="shared" si="63"/>
        <v>0</v>
      </c>
      <c r="N241" s="484">
        <f t="shared" si="63"/>
        <v>0</v>
      </c>
      <c r="O241" s="484">
        <f t="shared" si="63"/>
        <v>0</v>
      </c>
      <c r="P241" s="484">
        <f t="shared" si="63"/>
        <v>0</v>
      </c>
      <c r="Q241" s="484">
        <f t="shared" si="63"/>
        <v>0</v>
      </c>
      <c r="R241" s="484">
        <f t="shared" si="63"/>
        <v>0</v>
      </c>
      <c r="S241" s="484">
        <f t="shared" si="63"/>
        <v>0</v>
      </c>
      <c r="T241" s="484">
        <f t="shared" si="63"/>
        <v>0</v>
      </c>
      <c r="U241" s="484">
        <f t="shared" si="63"/>
        <v>31025</v>
      </c>
      <c r="V241" s="484">
        <f t="shared" si="63"/>
        <v>31025</v>
      </c>
      <c r="W241" s="485">
        <f t="shared" si="63"/>
        <v>145468361.05000001</v>
      </c>
    </row>
    <row r="242" spans="1:23">
      <c r="A242" s="703" t="s">
        <v>6923</v>
      </c>
      <c r="B242" s="13"/>
      <c r="C242" s="13"/>
      <c r="D242" s="13"/>
      <c r="E242" s="13"/>
      <c r="F242" s="13"/>
      <c r="G242" s="13"/>
      <c r="H242" s="13"/>
      <c r="I242" s="13"/>
      <c r="J242" s="13">
        <v>1641</v>
      </c>
      <c r="K242" s="13">
        <f>SUM(B242:J242)</f>
        <v>1641</v>
      </c>
      <c r="L242" s="472">
        <v>7187580</v>
      </c>
      <c r="M242" s="13"/>
      <c r="N242" s="13"/>
      <c r="O242" s="13"/>
      <c r="P242" s="13"/>
      <c r="Q242" s="13"/>
      <c r="R242" s="13"/>
      <c r="S242" s="13"/>
      <c r="T242" s="13"/>
      <c r="U242" s="13">
        <v>1649</v>
      </c>
      <c r="V242" s="13">
        <f>SUM(M242:U242)</f>
        <v>1649</v>
      </c>
      <c r="W242" s="472">
        <v>7222620</v>
      </c>
    </row>
    <row r="243" spans="1:23">
      <c r="A243" s="703" t="s">
        <v>6925</v>
      </c>
      <c r="B243" s="13"/>
      <c r="C243" s="13"/>
      <c r="D243" s="13"/>
      <c r="E243" s="13"/>
      <c r="F243" s="13"/>
      <c r="G243" s="13"/>
      <c r="H243" s="13"/>
      <c r="I243" s="13"/>
      <c r="J243" s="13">
        <v>5185</v>
      </c>
      <c r="K243" s="13">
        <f>SUM(B243:J243)</f>
        <v>5185</v>
      </c>
      <c r="L243" s="472">
        <v>20470380</v>
      </c>
      <c r="M243" s="13"/>
      <c r="N243" s="13"/>
      <c r="O243" s="13"/>
      <c r="P243" s="13"/>
      <c r="Q243" s="13"/>
      <c r="R243" s="13"/>
      <c r="S243" s="13"/>
      <c r="T243" s="13"/>
      <c r="U243" s="13">
        <v>5182</v>
      </c>
      <c r="V243" s="13">
        <f>SUM(M243:U243)</f>
        <v>5182</v>
      </c>
      <c r="W243" s="472">
        <v>20458536</v>
      </c>
    </row>
    <row r="244" spans="1:23">
      <c r="A244" s="703" t="s">
        <v>6927</v>
      </c>
      <c r="B244" s="13"/>
      <c r="C244" s="13"/>
      <c r="D244" s="13"/>
      <c r="E244" s="13"/>
      <c r="F244" s="13"/>
      <c r="G244" s="13"/>
      <c r="H244" s="13"/>
      <c r="I244" s="13"/>
      <c r="J244" s="13">
        <v>8748</v>
      </c>
      <c r="K244" s="13">
        <f>SUM(B244:J244)</f>
        <v>8748</v>
      </c>
      <c r="L244" s="472">
        <v>30652992</v>
      </c>
      <c r="M244" s="13"/>
      <c r="N244" s="13"/>
      <c r="O244" s="13"/>
      <c r="P244" s="13"/>
      <c r="Q244" s="13"/>
      <c r="R244" s="13"/>
      <c r="S244" s="13"/>
      <c r="T244" s="13"/>
      <c r="U244" s="13">
        <v>8736</v>
      </c>
      <c r="V244" s="13">
        <f>SUM(M244:U244)</f>
        <v>8736</v>
      </c>
      <c r="W244" s="472">
        <v>30610944</v>
      </c>
    </row>
    <row r="245" spans="1:23">
      <c r="A245" s="703" t="s">
        <v>6929</v>
      </c>
      <c r="B245" s="13"/>
      <c r="C245" s="13"/>
      <c r="D245" s="13"/>
      <c r="E245" s="13"/>
      <c r="F245" s="13"/>
      <c r="G245" s="13"/>
      <c r="H245" s="13"/>
      <c r="I245" s="13"/>
      <c r="J245" s="13">
        <v>15456</v>
      </c>
      <c r="K245" s="13">
        <f>SUM(B245:J245)</f>
        <v>15456</v>
      </c>
      <c r="L245" s="472">
        <f>47480832+40094237</f>
        <v>87575069</v>
      </c>
      <c r="M245" s="13"/>
      <c r="N245" s="13"/>
      <c r="O245" s="13"/>
      <c r="P245" s="13"/>
      <c r="Q245" s="13"/>
      <c r="R245" s="13"/>
      <c r="S245" s="13"/>
      <c r="T245" s="13"/>
      <c r="U245" s="13">
        <v>15458</v>
      </c>
      <c r="V245" s="13">
        <f>SUM(M245:U245)</f>
        <v>15458</v>
      </c>
      <c r="W245" s="472">
        <f>46376261.05+40800000</f>
        <v>87176261.049999997</v>
      </c>
    </row>
    <row r="246" spans="1:23">
      <c r="A246" s="705" t="s">
        <v>6938</v>
      </c>
      <c r="B246" s="484"/>
      <c r="C246" s="484"/>
      <c r="D246" s="484"/>
      <c r="E246" s="484"/>
      <c r="F246" s="484"/>
      <c r="G246" s="484"/>
      <c r="H246" s="484"/>
      <c r="I246" s="484"/>
      <c r="J246" s="484">
        <f t="shared" ref="J246:W246" si="64">SUM(J247:J249)</f>
        <v>2239</v>
      </c>
      <c r="K246" s="484">
        <f t="shared" si="64"/>
        <v>2239</v>
      </c>
      <c r="L246" s="485">
        <f t="shared" si="64"/>
        <v>13812204</v>
      </c>
      <c r="M246" s="484">
        <f t="shared" si="64"/>
        <v>0</v>
      </c>
      <c r="N246" s="484">
        <f t="shared" si="64"/>
        <v>0</v>
      </c>
      <c r="O246" s="484">
        <f t="shared" si="64"/>
        <v>0</v>
      </c>
      <c r="P246" s="484">
        <f t="shared" si="64"/>
        <v>0</v>
      </c>
      <c r="Q246" s="484">
        <f t="shared" si="64"/>
        <v>0</v>
      </c>
      <c r="R246" s="484">
        <f t="shared" si="64"/>
        <v>0</v>
      </c>
      <c r="S246" s="484">
        <f t="shared" si="64"/>
        <v>0</v>
      </c>
      <c r="T246" s="484">
        <f t="shared" si="64"/>
        <v>0</v>
      </c>
      <c r="U246" s="484">
        <f t="shared" si="64"/>
        <v>2044</v>
      </c>
      <c r="V246" s="484">
        <f t="shared" si="64"/>
        <v>2044</v>
      </c>
      <c r="W246" s="485">
        <f t="shared" si="64"/>
        <v>12714684</v>
      </c>
    </row>
    <row r="247" spans="1:23">
      <c r="A247" s="703" t="s">
        <v>6933</v>
      </c>
      <c r="B247" s="13"/>
      <c r="C247" s="13"/>
      <c r="D247" s="13"/>
      <c r="E247" s="13"/>
      <c r="F247" s="13"/>
      <c r="G247" s="13"/>
      <c r="H247" s="13"/>
      <c r="I247" s="13"/>
      <c r="J247" s="13">
        <v>1023</v>
      </c>
      <c r="K247" s="13">
        <f>SUM(B247:J247)</f>
        <v>1023</v>
      </c>
      <c r="L247" s="472">
        <v>6727248</v>
      </c>
      <c r="M247" s="13"/>
      <c r="N247" s="13"/>
      <c r="O247" s="13"/>
      <c r="P247" s="13"/>
      <c r="Q247" s="13"/>
      <c r="R247" s="13"/>
      <c r="S247" s="13"/>
      <c r="T247" s="13"/>
      <c r="U247" s="13">
        <v>1063</v>
      </c>
      <c r="V247" s="13">
        <f>SUM(M247:U247)</f>
        <v>1063</v>
      </c>
      <c r="W247" s="472">
        <v>6990288</v>
      </c>
    </row>
    <row r="248" spans="1:23">
      <c r="A248" s="703" t="s">
        <v>6932</v>
      </c>
      <c r="B248" s="13"/>
      <c r="C248" s="13"/>
      <c r="D248" s="13"/>
      <c r="E248" s="13"/>
      <c r="F248" s="13"/>
      <c r="G248" s="13"/>
      <c r="H248" s="13"/>
      <c r="I248" s="13"/>
      <c r="J248" s="13">
        <v>1051</v>
      </c>
      <c r="K248" s="13">
        <f>SUM(B248:J248)</f>
        <v>1051</v>
      </c>
      <c r="L248" s="472">
        <v>6217716</v>
      </c>
      <c r="M248" s="13"/>
      <c r="N248" s="13"/>
      <c r="O248" s="13"/>
      <c r="P248" s="13"/>
      <c r="Q248" s="13"/>
      <c r="R248" s="13"/>
      <c r="S248" s="13"/>
      <c r="T248" s="13"/>
      <c r="U248" s="13">
        <v>861</v>
      </c>
      <c r="V248" s="13">
        <f>SUM(M248:U248)</f>
        <v>861</v>
      </c>
      <c r="W248" s="472">
        <v>5093676</v>
      </c>
    </row>
    <row r="249" spans="1:23">
      <c r="A249" s="703" t="s">
        <v>6931</v>
      </c>
      <c r="B249" s="13"/>
      <c r="C249" s="13"/>
      <c r="D249" s="13"/>
      <c r="E249" s="13"/>
      <c r="F249" s="13"/>
      <c r="G249" s="13"/>
      <c r="H249" s="13"/>
      <c r="I249" s="13"/>
      <c r="J249" s="13">
        <v>165</v>
      </c>
      <c r="K249" s="13">
        <f>SUM(B249:J249)</f>
        <v>165</v>
      </c>
      <c r="L249" s="472">
        <v>867240</v>
      </c>
      <c r="M249" s="13"/>
      <c r="N249" s="13"/>
      <c r="O249" s="13"/>
      <c r="P249" s="13"/>
      <c r="Q249" s="13"/>
      <c r="R249" s="13"/>
      <c r="S249" s="13"/>
      <c r="T249" s="13"/>
      <c r="U249" s="13">
        <v>120</v>
      </c>
      <c r="V249" s="13">
        <f>SUM(M249:U249)</f>
        <v>120</v>
      </c>
      <c r="W249" s="472">
        <v>630720</v>
      </c>
    </row>
    <row r="250" spans="1:23">
      <c r="A250" s="705" t="s">
        <v>6937</v>
      </c>
      <c r="B250" s="484"/>
      <c r="C250" s="484"/>
      <c r="D250" s="484"/>
      <c r="E250" s="484"/>
      <c r="F250" s="484"/>
      <c r="G250" s="484"/>
      <c r="H250" s="484"/>
      <c r="I250" s="484"/>
      <c r="J250" s="484">
        <f t="shared" ref="J250:W250" si="65">SUM(J251:J253)</f>
        <v>738</v>
      </c>
      <c r="K250" s="484">
        <f t="shared" si="65"/>
        <v>738</v>
      </c>
      <c r="L250" s="485">
        <f t="shared" si="65"/>
        <v>5301072</v>
      </c>
      <c r="M250" s="484">
        <f t="shared" si="65"/>
        <v>0</v>
      </c>
      <c r="N250" s="484">
        <f t="shared" si="65"/>
        <v>0</v>
      </c>
      <c r="O250" s="484">
        <f t="shared" si="65"/>
        <v>0</v>
      </c>
      <c r="P250" s="484">
        <f t="shared" si="65"/>
        <v>0</v>
      </c>
      <c r="Q250" s="484">
        <f t="shared" si="65"/>
        <v>0</v>
      </c>
      <c r="R250" s="484">
        <f t="shared" si="65"/>
        <v>0</v>
      </c>
      <c r="S250" s="484">
        <f t="shared" si="65"/>
        <v>0</v>
      </c>
      <c r="T250" s="484">
        <f t="shared" si="65"/>
        <v>0</v>
      </c>
      <c r="U250" s="484">
        <f t="shared" si="65"/>
        <v>930</v>
      </c>
      <c r="V250" s="484">
        <f t="shared" si="65"/>
        <v>930</v>
      </c>
      <c r="W250" s="485">
        <f t="shared" si="65"/>
        <v>6520320</v>
      </c>
    </row>
    <row r="251" spans="1:23">
      <c r="A251" s="703" t="s">
        <v>6933</v>
      </c>
      <c r="B251" s="13"/>
      <c r="C251" s="13"/>
      <c r="D251" s="13"/>
      <c r="E251" s="13"/>
      <c r="F251" s="13"/>
      <c r="G251" s="13"/>
      <c r="H251" s="13"/>
      <c r="I251" s="13"/>
      <c r="J251" s="13">
        <v>696</v>
      </c>
      <c r="K251" s="13">
        <f>SUM(B251:J251)</f>
        <v>696</v>
      </c>
      <c r="L251" s="472">
        <v>5027904</v>
      </c>
      <c r="M251" s="13"/>
      <c r="N251" s="13"/>
      <c r="O251" s="13"/>
      <c r="P251" s="13"/>
      <c r="Q251" s="13"/>
      <c r="R251" s="13"/>
      <c r="S251" s="13"/>
      <c r="T251" s="13"/>
      <c r="U251" s="13">
        <v>685</v>
      </c>
      <c r="V251" s="13">
        <f>SUM(M251:U251)</f>
        <v>685</v>
      </c>
      <c r="W251" s="472">
        <v>4948440</v>
      </c>
    </row>
    <row r="252" spans="1:23">
      <c r="A252" s="703" t="s">
        <v>6932</v>
      </c>
      <c r="B252" s="13"/>
      <c r="C252" s="13"/>
      <c r="D252" s="13"/>
      <c r="E252" s="13"/>
      <c r="F252" s="13"/>
      <c r="G252" s="13"/>
      <c r="H252" s="13"/>
      <c r="I252" s="13"/>
      <c r="J252" s="13">
        <v>42</v>
      </c>
      <c r="K252" s="13">
        <f>SUM(B252:J252)</f>
        <v>42</v>
      </c>
      <c r="L252" s="472">
        <v>273168</v>
      </c>
      <c r="M252" s="13"/>
      <c r="N252" s="13"/>
      <c r="O252" s="13"/>
      <c r="P252" s="13"/>
      <c r="Q252" s="13"/>
      <c r="R252" s="13"/>
      <c r="S252" s="13"/>
      <c r="T252" s="13"/>
      <c r="U252" s="13">
        <v>215</v>
      </c>
      <c r="V252" s="13">
        <f>SUM(M252:U252)</f>
        <v>215</v>
      </c>
      <c r="W252" s="472">
        <v>1398360</v>
      </c>
    </row>
    <row r="253" spans="1:23">
      <c r="A253" s="703" t="s">
        <v>6931</v>
      </c>
      <c r="B253" s="13"/>
      <c r="C253" s="13"/>
      <c r="D253" s="13"/>
      <c r="E253" s="13"/>
      <c r="F253" s="13"/>
      <c r="G253" s="13"/>
      <c r="H253" s="13"/>
      <c r="I253" s="13"/>
      <c r="J253" s="13"/>
      <c r="K253" s="13">
        <f>SUM(B253:J253)</f>
        <v>0</v>
      </c>
      <c r="L253" s="472"/>
      <c r="M253" s="13"/>
      <c r="N253" s="13"/>
      <c r="O253" s="13"/>
      <c r="P253" s="13"/>
      <c r="Q253" s="13"/>
      <c r="R253" s="13"/>
      <c r="S253" s="13"/>
      <c r="T253" s="13"/>
      <c r="U253" s="13">
        <v>30</v>
      </c>
      <c r="V253" s="13">
        <f>SUM(M253:U253)</f>
        <v>30</v>
      </c>
      <c r="W253" s="472">
        <v>173520</v>
      </c>
    </row>
    <row r="254" spans="1:23">
      <c r="A254" s="705" t="s">
        <v>6936</v>
      </c>
      <c r="B254" s="484"/>
      <c r="C254" s="484"/>
      <c r="D254" s="484"/>
      <c r="E254" s="484"/>
      <c r="F254" s="484"/>
      <c r="G254" s="484"/>
      <c r="H254" s="484"/>
      <c r="I254" s="484"/>
      <c r="J254" s="484">
        <f t="shared" ref="J254:W254" si="66">SUM(J255:J257)</f>
        <v>93</v>
      </c>
      <c r="K254" s="484">
        <f t="shared" si="66"/>
        <v>93</v>
      </c>
      <c r="L254" s="485">
        <f t="shared" si="66"/>
        <v>738792</v>
      </c>
      <c r="M254" s="484">
        <f t="shared" si="66"/>
        <v>0</v>
      </c>
      <c r="N254" s="484">
        <f t="shared" si="66"/>
        <v>0</v>
      </c>
      <c r="O254" s="484">
        <f t="shared" si="66"/>
        <v>0</v>
      </c>
      <c r="P254" s="484">
        <f t="shared" si="66"/>
        <v>0</v>
      </c>
      <c r="Q254" s="484">
        <f t="shared" si="66"/>
        <v>0</v>
      </c>
      <c r="R254" s="484">
        <f t="shared" si="66"/>
        <v>0</v>
      </c>
      <c r="S254" s="484">
        <f t="shared" si="66"/>
        <v>0</v>
      </c>
      <c r="T254" s="484">
        <f t="shared" si="66"/>
        <v>0</v>
      </c>
      <c r="U254" s="484">
        <f t="shared" si="66"/>
        <v>71</v>
      </c>
      <c r="V254" s="484">
        <f t="shared" si="66"/>
        <v>71</v>
      </c>
      <c r="W254" s="485">
        <f t="shared" si="66"/>
        <v>523632</v>
      </c>
    </row>
    <row r="255" spans="1:23">
      <c r="A255" s="703" t="s">
        <v>6933</v>
      </c>
      <c r="B255" s="13"/>
      <c r="C255" s="13"/>
      <c r="D255" s="13"/>
      <c r="E255" s="13"/>
      <c r="F255" s="13"/>
      <c r="G255" s="13"/>
      <c r="H255" s="13"/>
      <c r="I255" s="13"/>
      <c r="J255" s="13">
        <v>93</v>
      </c>
      <c r="K255" s="13">
        <f>SUM(B255:J255)</f>
        <v>93</v>
      </c>
      <c r="L255" s="472">
        <v>738792</v>
      </c>
      <c r="M255" s="13"/>
      <c r="N255" s="13"/>
      <c r="O255" s="13"/>
      <c r="P255" s="13"/>
      <c r="Q255" s="13"/>
      <c r="R255" s="13"/>
      <c r="S255" s="13"/>
      <c r="T255" s="13"/>
      <c r="U255" s="13">
        <v>35</v>
      </c>
      <c r="V255" s="13">
        <f>SUM(M255:U255)</f>
        <v>35</v>
      </c>
      <c r="W255" s="472">
        <v>278040</v>
      </c>
    </row>
    <row r="256" spans="1:23">
      <c r="A256" s="703" t="s">
        <v>6932</v>
      </c>
      <c r="B256" s="13"/>
      <c r="C256" s="13"/>
      <c r="D256" s="13"/>
      <c r="E256" s="13"/>
      <c r="F256" s="13"/>
      <c r="G256" s="13"/>
      <c r="H256" s="13"/>
      <c r="I256" s="13"/>
      <c r="J256" s="13"/>
      <c r="K256" s="13">
        <f>SUM(B256:J256)</f>
        <v>0</v>
      </c>
      <c r="L256" s="472"/>
      <c r="M256" s="13"/>
      <c r="N256" s="13"/>
      <c r="O256" s="13"/>
      <c r="P256" s="13"/>
      <c r="Q256" s="13"/>
      <c r="R256" s="13"/>
      <c r="S256" s="13"/>
      <c r="T256" s="13"/>
      <c r="U256" s="13">
        <v>21</v>
      </c>
      <c r="V256" s="13">
        <f>SUM(M256:U256)</f>
        <v>21</v>
      </c>
      <c r="W256" s="472">
        <v>150192</v>
      </c>
    </row>
    <row r="257" spans="1:23">
      <c r="A257" s="703" t="s">
        <v>6931</v>
      </c>
      <c r="B257" s="13"/>
      <c r="C257" s="13"/>
      <c r="D257" s="13"/>
      <c r="E257" s="13"/>
      <c r="F257" s="13"/>
      <c r="G257" s="13"/>
      <c r="H257" s="13"/>
      <c r="I257" s="13"/>
      <c r="J257" s="13"/>
      <c r="K257" s="13">
        <f>SUM(B257:J257)</f>
        <v>0</v>
      </c>
      <c r="L257" s="472"/>
      <c r="M257" s="13"/>
      <c r="N257" s="13"/>
      <c r="O257" s="13"/>
      <c r="P257" s="13"/>
      <c r="Q257" s="13"/>
      <c r="R257" s="13"/>
      <c r="S257" s="13"/>
      <c r="T257" s="13"/>
      <c r="U257" s="13">
        <v>15</v>
      </c>
      <c r="V257" s="13">
        <f>SUM(M257:U257)</f>
        <v>15</v>
      </c>
      <c r="W257" s="472">
        <v>95400</v>
      </c>
    </row>
    <row r="258" spans="1:23">
      <c r="A258" s="705" t="s">
        <v>6935</v>
      </c>
      <c r="B258" s="484"/>
      <c r="C258" s="484"/>
      <c r="D258" s="484"/>
      <c r="E258" s="484"/>
      <c r="F258" s="484"/>
      <c r="G258" s="484"/>
      <c r="H258" s="484"/>
      <c r="I258" s="484"/>
      <c r="J258" s="484">
        <f t="shared" ref="J258:W258" si="67">SUM(J259:J261)</f>
        <v>0</v>
      </c>
      <c r="K258" s="484">
        <f t="shared" si="67"/>
        <v>0</v>
      </c>
      <c r="L258" s="485">
        <f t="shared" si="67"/>
        <v>0</v>
      </c>
      <c r="M258" s="484">
        <f t="shared" si="67"/>
        <v>0</v>
      </c>
      <c r="N258" s="484">
        <f t="shared" si="67"/>
        <v>0</v>
      </c>
      <c r="O258" s="484">
        <f t="shared" si="67"/>
        <v>0</v>
      </c>
      <c r="P258" s="484">
        <f t="shared" si="67"/>
        <v>0</v>
      </c>
      <c r="Q258" s="484">
        <f t="shared" si="67"/>
        <v>0</v>
      </c>
      <c r="R258" s="484">
        <f t="shared" si="67"/>
        <v>0</v>
      </c>
      <c r="S258" s="484">
        <f t="shared" si="67"/>
        <v>0</v>
      </c>
      <c r="T258" s="484">
        <f t="shared" si="67"/>
        <v>0</v>
      </c>
      <c r="U258" s="484">
        <f t="shared" si="67"/>
        <v>28</v>
      </c>
      <c r="V258" s="484">
        <f t="shared" si="67"/>
        <v>28</v>
      </c>
      <c r="W258" s="485">
        <f t="shared" si="67"/>
        <v>244944</v>
      </c>
    </row>
    <row r="259" spans="1:23">
      <c r="A259" s="703" t="s">
        <v>6933</v>
      </c>
      <c r="B259" s="13"/>
      <c r="C259" s="13"/>
      <c r="D259" s="13"/>
      <c r="E259" s="13"/>
      <c r="F259" s="13"/>
      <c r="G259" s="13"/>
      <c r="H259" s="13"/>
      <c r="I259" s="13"/>
      <c r="J259" s="13"/>
      <c r="K259" s="13">
        <f>SUM(B259:J259)</f>
        <v>0</v>
      </c>
      <c r="L259" s="472"/>
      <c r="M259" s="13"/>
      <c r="N259" s="13"/>
      <c r="O259" s="13"/>
      <c r="P259" s="13"/>
      <c r="Q259" s="13"/>
      <c r="R259" s="13"/>
      <c r="S259" s="13"/>
      <c r="T259" s="13"/>
      <c r="U259" s="13">
        <v>28</v>
      </c>
      <c r="V259" s="13">
        <f>SUM(M259:U259)</f>
        <v>28</v>
      </c>
      <c r="W259" s="472">
        <v>244944</v>
      </c>
    </row>
    <row r="260" spans="1:23" hidden="1">
      <c r="A260" s="703" t="s">
        <v>6932</v>
      </c>
      <c r="B260" s="13"/>
      <c r="C260" s="13"/>
      <c r="D260" s="13"/>
      <c r="E260" s="13"/>
      <c r="F260" s="13"/>
      <c r="G260" s="13"/>
      <c r="H260" s="13"/>
      <c r="I260" s="13"/>
      <c r="J260" s="13"/>
      <c r="K260" s="13">
        <f>SUM(B260:J260)</f>
        <v>0</v>
      </c>
      <c r="L260" s="472"/>
      <c r="M260" s="13"/>
      <c r="N260" s="13"/>
      <c r="O260" s="13"/>
      <c r="P260" s="13"/>
      <c r="Q260" s="13"/>
      <c r="R260" s="13"/>
      <c r="S260" s="13"/>
      <c r="T260" s="13"/>
      <c r="U260" s="13"/>
      <c r="V260" s="13">
        <f>SUM(M260:U260)</f>
        <v>0</v>
      </c>
      <c r="W260" s="472"/>
    </row>
    <row r="261" spans="1:23" hidden="1">
      <c r="A261" s="703" t="s">
        <v>6931</v>
      </c>
      <c r="B261" s="13"/>
      <c r="C261" s="13"/>
      <c r="D261" s="13"/>
      <c r="E261" s="13"/>
      <c r="F261" s="13"/>
      <c r="G261" s="13"/>
      <c r="H261" s="13"/>
      <c r="I261" s="13"/>
      <c r="J261" s="13"/>
      <c r="K261" s="13">
        <f>SUM(B261:J261)</f>
        <v>0</v>
      </c>
      <c r="L261" s="472"/>
      <c r="M261" s="13"/>
      <c r="N261" s="13"/>
      <c r="O261" s="13"/>
      <c r="P261" s="13"/>
      <c r="Q261" s="13"/>
      <c r="R261" s="13"/>
      <c r="S261" s="13"/>
      <c r="T261" s="13"/>
      <c r="U261" s="13"/>
      <c r="V261" s="13">
        <f>SUM(M261:U261)</f>
        <v>0</v>
      </c>
      <c r="W261" s="472"/>
    </row>
    <row r="262" spans="1:23">
      <c r="A262" s="705" t="s">
        <v>6934</v>
      </c>
      <c r="B262" s="484"/>
      <c r="C262" s="484"/>
      <c r="D262" s="484"/>
      <c r="E262" s="484"/>
      <c r="F262" s="484"/>
      <c r="G262" s="484"/>
      <c r="H262" s="484"/>
      <c r="I262" s="484"/>
      <c r="J262" s="484">
        <f t="shared" ref="J262:W262" si="68">SUM(J263:J265)</f>
        <v>0</v>
      </c>
      <c r="K262" s="484">
        <f t="shared" si="68"/>
        <v>0</v>
      </c>
      <c r="L262" s="485">
        <f t="shared" si="68"/>
        <v>0</v>
      </c>
      <c r="M262" s="484">
        <f t="shared" si="68"/>
        <v>0</v>
      </c>
      <c r="N262" s="484">
        <f t="shared" si="68"/>
        <v>0</v>
      </c>
      <c r="O262" s="484">
        <f t="shared" si="68"/>
        <v>0</v>
      </c>
      <c r="P262" s="484">
        <f t="shared" si="68"/>
        <v>0</v>
      </c>
      <c r="Q262" s="484">
        <f t="shared" si="68"/>
        <v>0</v>
      </c>
      <c r="R262" s="484">
        <f t="shared" si="68"/>
        <v>0</v>
      </c>
      <c r="S262" s="484">
        <f t="shared" si="68"/>
        <v>0</v>
      </c>
      <c r="T262" s="484">
        <f t="shared" si="68"/>
        <v>0</v>
      </c>
      <c r="U262" s="484">
        <f t="shared" si="68"/>
        <v>2</v>
      </c>
      <c r="V262" s="484">
        <f t="shared" si="68"/>
        <v>2</v>
      </c>
      <c r="W262" s="485">
        <f t="shared" si="68"/>
        <v>19248</v>
      </c>
    </row>
    <row r="263" spans="1:23">
      <c r="A263" s="703" t="s">
        <v>6933</v>
      </c>
      <c r="B263" s="13"/>
      <c r="C263" s="13"/>
      <c r="D263" s="13"/>
      <c r="E263" s="13"/>
      <c r="F263" s="13"/>
      <c r="G263" s="13"/>
      <c r="H263" s="13"/>
      <c r="I263" s="13"/>
      <c r="J263" s="13"/>
      <c r="K263" s="13">
        <f>SUM(B263:J263)</f>
        <v>0</v>
      </c>
      <c r="L263" s="472"/>
      <c r="M263" s="13"/>
      <c r="N263" s="13"/>
      <c r="O263" s="13"/>
      <c r="P263" s="13"/>
      <c r="Q263" s="13"/>
      <c r="R263" s="13"/>
      <c r="S263" s="13"/>
      <c r="T263" s="13"/>
      <c r="U263" s="13">
        <v>2</v>
      </c>
      <c r="V263" s="13">
        <f>SUM(M263:U263)</f>
        <v>2</v>
      </c>
      <c r="W263" s="472">
        <v>19248</v>
      </c>
    </row>
    <row r="264" spans="1:23" hidden="1">
      <c r="A264" s="703" t="s">
        <v>6932</v>
      </c>
      <c r="B264" s="13"/>
      <c r="C264" s="13"/>
      <c r="D264" s="13"/>
      <c r="E264" s="13"/>
      <c r="F264" s="13"/>
      <c r="G264" s="13"/>
      <c r="H264" s="13"/>
      <c r="I264" s="13"/>
      <c r="J264" s="13"/>
      <c r="K264" s="13">
        <f>SUM(B264:J264)</f>
        <v>0</v>
      </c>
      <c r="L264" s="472"/>
      <c r="M264" s="13"/>
      <c r="N264" s="13"/>
      <c r="O264" s="13"/>
      <c r="P264" s="13"/>
      <c r="Q264" s="13"/>
      <c r="R264" s="13"/>
      <c r="S264" s="13"/>
      <c r="T264" s="13"/>
      <c r="U264" s="13"/>
      <c r="V264" s="13">
        <f>SUM(M264:U264)</f>
        <v>0</v>
      </c>
      <c r="W264" s="472"/>
    </row>
    <row r="265" spans="1:23" hidden="1">
      <c r="A265" s="703" t="s">
        <v>6931</v>
      </c>
      <c r="B265" s="13"/>
      <c r="C265" s="13"/>
      <c r="D265" s="13"/>
      <c r="E265" s="13"/>
      <c r="F265" s="13"/>
      <c r="G265" s="13"/>
      <c r="H265" s="13"/>
      <c r="I265" s="13"/>
      <c r="J265" s="13"/>
      <c r="K265" s="13">
        <f>SUM(B265:J265)</f>
        <v>0</v>
      </c>
      <c r="L265" s="472"/>
      <c r="M265" s="13"/>
      <c r="N265" s="13"/>
      <c r="O265" s="13"/>
      <c r="P265" s="13"/>
      <c r="Q265" s="13"/>
      <c r="R265" s="13"/>
      <c r="S265" s="13"/>
      <c r="T265" s="13"/>
      <c r="U265" s="13"/>
      <c r="V265" s="13">
        <f>SUM(M265:U265)</f>
        <v>0</v>
      </c>
      <c r="W265" s="472"/>
    </row>
    <row r="266" spans="1:23" ht="24">
      <c r="A266" s="705" t="s">
        <v>6930</v>
      </c>
      <c r="B266" s="484"/>
      <c r="C266" s="484"/>
      <c r="D266" s="484"/>
      <c r="E266" s="484"/>
      <c r="F266" s="484"/>
      <c r="G266" s="484"/>
      <c r="H266" s="484"/>
      <c r="I266" s="484"/>
      <c r="J266" s="484">
        <f t="shared" ref="J266:W266" si="69">SUM(J267:J270)</f>
        <v>8515</v>
      </c>
      <c r="K266" s="484">
        <f t="shared" si="69"/>
        <v>8515</v>
      </c>
      <c r="L266" s="485">
        <f t="shared" si="69"/>
        <v>15717734.587129092</v>
      </c>
      <c r="M266" s="484">
        <f t="shared" si="69"/>
        <v>0</v>
      </c>
      <c r="N266" s="484">
        <f t="shared" si="69"/>
        <v>0</v>
      </c>
      <c r="O266" s="484">
        <f t="shared" si="69"/>
        <v>0</v>
      </c>
      <c r="P266" s="484">
        <f t="shared" si="69"/>
        <v>0</v>
      </c>
      <c r="Q266" s="484">
        <f t="shared" si="69"/>
        <v>0</v>
      </c>
      <c r="R266" s="484">
        <f t="shared" si="69"/>
        <v>0</v>
      </c>
      <c r="S266" s="484">
        <f t="shared" si="69"/>
        <v>0</v>
      </c>
      <c r="T266" s="484">
        <f t="shared" si="69"/>
        <v>0</v>
      </c>
      <c r="U266" s="484">
        <f t="shared" si="69"/>
        <v>6817</v>
      </c>
      <c r="V266" s="484">
        <f t="shared" si="69"/>
        <v>6817</v>
      </c>
      <c r="W266" s="485">
        <f t="shared" si="69"/>
        <v>15152382.650000002</v>
      </c>
    </row>
    <row r="267" spans="1:23">
      <c r="A267" s="703" t="s">
        <v>6923</v>
      </c>
      <c r="B267" s="13"/>
      <c r="C267" s="13"/>
      <c r="D267" s="13"/>
      <c r="E267" s="13"/>
      <c r="F267" s="13"/>
      <c r="G267" s="13"/>
      <c r="H267" s="13"/>
      <c r="I267" s="13"/>
      <c r="J267" s="13">
        <v>430</v>
      </c>
      <c r="K267" s="13">
        <f>SUM(B267:J267)</f>
        <v>430</v>
      </c>
      <c r="L267" s="472">
        <v>940936.71911918325</v>
      </c>
      <c r="M267" s="13"/>
      <c r="N267" s="13"/>
      <c r="O267" s="13"/>
      <c r="P267" s="13"/>
      <c r="Q267" s="13"/>
      <c r="R267" s="13"/>
      <c r="S267" s="13"/>
      <c r="T267" s="13"/>
      <c r="U267" s="13">
        <v>1</v>
      </c>
      <c r="V267" s="13">
        <f>SUM(M267:U267)</f>
        <v>1</v>
      </c>
      <c r="W267" s="472">
        <v>1354.0213862042283</v>
      </c>
    </row>
    <row r="268" spans="1:23">
      <c r="A268" s="703" t="s">
        <v>6925</v>
      </c>
      <c r="B268" s="13"/>
      <c r="C268" s="13"/>
      <c r="D268" s="13"/>
      <c r="E268" s="13"/>
      <c r="F268" s="13"/>
      <c r="G268" s="13"/>
      <c r="H268" s="13"/>
      <c r="I268" s="13"/>
      <c r="J268" s="13">
        <v>3488</v>
      </c>
      <c r="K268" s="13">
        <f>SUM(B268:J268)</f>
        <v>3488</v>
      </c>
      <c r="L268" s="472">
        <v>6885301.7860666094</v>
      </c>
      <c r="M268" s="13"/>
      <c r="N268" s="13"/>
      <c r="O268" s="13"/>
      <c r="P268" s="13"/>
      <c r="Q268" s="13"/>
      <c r="R268" s="13"/>
      <c r="S268" s="13"/>
      <c r="T268" s="13"/>
      <c r="U268" s="13">
        <v>346</v>
      </c>
      <c r="V268" s="13">
        <f>SUM(M268:U268)</f>
        <v>346</v>
      </c>
      <c r="W268" s="472">
        <v>722520.65026910999</v>
      </c>
    </row>
    <row r="269" spans="1:23">
      <c r="A269" s="703" t="s">
        <v>6927</v>
      </c>
      <c r="B269" s="13"/>
      <c r="C269" s="13"/>
      <c r="D269" s="13"/>
      <c r="E269" s="13"/>
      <c r="F269" s="13"/>
      <c r="G269" s="13"/>
      <c r="H269" s="13"/>
      <c r="I269" s="13"/>
      <c r="J269" s="13">
        <v>3843</v>
      </c>
      <c r="K269" s="13">
        <f>SUM(B269:J269)</f>
        <v>3843</v>
      </c>
      <c r="L269" s="472">
        <v>6733770.4614289785</v>
      </c>
      <c r="M269" s="13"/>
      <c r="N269" s="13"/>
      <c r="O269" s="13"/>
      <c r="P269" s="13"/>
      <c r="Q269" s="13"/>
      <c r="R269" s="13"/>
      <c r="S269" s="13"/>
      <c r="T269" s="13"/>
      <c r="U269" s="13">
        <v>4228</v>
      </c>
      <c r="V269" s="13">
        <f>SUM(M269:U269)</f>
        <v>4228</v>
      </c>
      <c r="W269" s="472">
        <v>7831659.6978052566</v>
      </c>
    </row>
    <row r="270" spans="1:23">
      <c r="A270" s="703" t="s">
        <v>6929</v>
      </c>
      <c r="B270" s="13"/>
      <c r="C270" s="13"/>
      <c r="D270" s="13"/>
      <c r="E270" s="13"/>
      <c r="F270" s="13"/>
      <c r="G270" s="13"/>
      <c r="H270" s="13"/>
      <c r="I270" s="13"/>
      <c r="J270" s="13">
        <v>754</v>
      </c>
      <c r="K270" s="13">
        <f>SUM(B270:J270)</f>
        <v>754</v>
      </c>
      <c r="L270" s="472">
        <v>1157725.6205143197</v>
      </c>
      <c r="M270" s="13"/>
      <c r="N270" s="13"/>
      <c r="O270" s="13"/>
      <c r="P270" s="13"/>
      <c r="Q270" s="13"/>
      <c r="R270" s="13"/>
      <c r="S270" s="13"/>
      <c r="T270" s="13"/>
      <c r="U270" s="13">
        <v>2242</v>
      </c>
      <c r="V270" s="13">
        <f>SUM(M270:U270)</f>
        <v>2242</v>
      </c>
      <c r="W270" s="472">
        <v>6596848.2805394307</v>
      </c>
    </row>
    <row r="271" spans="1:23" ht="24">
      <c r="A271" s="705" t="s">
        <v>6928</v>
      </c>
      <c r="B271" s="484"/>
      <c r="C271" s="484"/>
      <c r="D271" s="484"/>
      <c r="E271" s="484"/>
      <c r="F271" s="484"/>
      <c r="G271" s="484"/>
      <c r="H271" s="484"/>
      <c r="I271" s="484"/>
      <c r="J271" s="484">
        <f t="shared" ref="J271:W271" si="70">SUM(J272:J274)</f>
        <v>1741</v>
      </c>
      <c r="K271" s="484">
        <f t="shared" si="70"/>
        <v>1741</v>
      </c>
      <c r="L271" s="485">
        <f t="shared" si="70"/>
        <v>5780910.4128709063</v>
      </c>
      <c r="M271" s="484">
        <f t="shared" si="70"/>
        <v>0</v>
      </c>
      <c r="N271" s="484">
        <f t="shared" si="70"/>
        <v>0</v>
      </c>
      <c r="O271" s="484">
        <f t="shared" si="70"/>
        <v>0</v>
      </c>
      <c r="P271" s="484">
        <f t="shared" si="70"/>
        <v>0</v>
      </c>
      <c r="Q271" s="484">
        <f t="shared" si="70"/>
        <v>0</v>
      </c>
      <c r="R271" s="484">
        <f t="shared" si="70"/>
        <v>0</v>
      </c>
      <c r="S271" s="484">
        <f t="shared" si="70"/>
        <v>0</v>
      </c>
      <c r="T271" s="484">
        <f t="shared" si="70"/>
        <v>0</v>
      </c>
      <c r="U271" s="484">
        <f t="shared" si="70"/>
        <v>0</v>
      </c>
      <c r="V271" s="484">
        <f t="shared" si="70"/>
        <v>0</v>
      </c>
      <c r="W271" s="485">
        <f t="shared" si="70"/>
        <v>0</v>
      </c>
    </row>
    <row r="272" spans="1:23">
      <c r="A272" s="703" t="s">
        <v>6923</v>
      </c>
      <c r="B272" s="13"/>
      <c r="C272" s="13"/>
      <c r="D272" s="13"/>
      <c r="E272" s="13"/>
      <c r="F272" s="13"/>
      <c r="G272" s="13"/>
      <c r="H272" s="13"/>
      <c r="I272" s="13"/>
      <c r="J272" s="13">
        <v>1210</v>
      </c>
      <c r="K272" s="13">
        <f>SUM(B272:J272)</f>
        <v>1210</v>
      </c>
      <c r="L272" s="472">
        <v>4212194.762955253</v>
      </c>
      <c r="M272" s="13"/>
      <c r="N272" s="13"/>
      <c r="O272" s="13"/>
      <c r="P272" s="13"/>
      <c r="Q272" s="13"/>
      <c r="R272" s="13"/>
      <c r="S272" s="13"/>
      <c r="T272" s="13"/>
      <c r="U272" s="13"/>
      <c r="V272" s="13">
        <f>SUM(M272:U272)</f>
        <v>0</v>
      </c>
      <c r="W272" s="472"/>
    </row>
    <row r="273" spans="1:23">
      <c r="A273" s="703" t="s">
        <v>6925</v>
      </c>
      <c r="B273" s="13"/>
      <c r="C273" s="13"/>
      <c r="D273" s="13"/>
      <c r="E273" s="13"/>
      <c r="F273" s="13"/>
      <c r="G273" s="13"/>
      <c r="H273" s="13"/>
      <c r="I273" s="13"/>
      <c r="J273" s="13">
        <v>496</v>
      </c>
      <c r="K273" s="13">
        <f>SUM(B273:J273)</f>
        <v>496</v>
      </c>
      <c r="L273" s="472">
        <v>1477402.3508907114</v>
      </c>
      <c r="M273" s="13"/>
      <c r="N273" s="13"/>
      <c r="O273" s="13"/>
      <c r="P273" s="13"/>
      <c r="Q273" s="13"/>
      <c r="R273" s="13"/>
      <c r="S273" s="13"/>
      <c r="T273" s="13"/>
      <c r="U273" s="13"/>
      <c r="V273" s="13">
        <f>SUM(M273:U273)</f>
        <v>0</v>
      </c>
      <c r="W273" s="472"/>
    </row>
    <row r="274" spans="1:23">
      <c r="A274" s="703" t="s">
        <v>6927</v>
      </c>
      <c r="B274" s="13"/>
      <c r="C274" s="13"/>
      <c r="D274" s="13"/>
      <c r="E274" s="13"/>
      <c r="F274" s="13"/>
      <c r="G274" s="13"/>
      <c r="H274" s="13"/>
      <c r="I274" s="13"/>
      <c r="J274" s="13">
        <v>35</v>
      </c>
      <c r="K274" s="13">
        <f>SUM(B274:J274)</f>
        <v>35</v>
      </c>
      <c r="L274" s="472">
        <v>91313.299024940949</v>
      </c>
      <c r="M274" s="13"/>
      <c r="N274" s="13"/>
      <c r="O274" s="13"/>
      <c r="P274" s="13"/>
      <c r="Q274" s="13"/>
      <c r="R274" s="13"/>
      <c r="S274" s="13"/>
      <c r="T274" s="13"/>
      <c r="U274" s="13"/>
      <c r="V274" s="13">
        <f>SUM(M274:U274)</f>
        <v>0</v>
      </c>
      <c r="W274" s="472"/>
    </row>
    <row r="275" spans="1:23" ht="24" hidden="1">
      <c r="A275" s="705" t="s">
        <v>6926</v>
      </c>
      <c r="B275" s="484"/>
      <c r="C275" s="484"/>
      <c r="D275" s="484"/>
      <c r="E275" s="484"/>
      <c r="F275" s="484"/>
      <c r="G275" s="484"/>
      <c r="H275" s="484"/>
      <c r="I275" s="484"/>
      <c r="J275" s="484">
        <f t="shared" ref="J275:W275" si="71">SUM(J276:J277)</f>
        <v>0</v>
      </c>
      <c r="K275" s="484">
        <f t="shared" si="71"/>
        <v>0</v>
      </c>
      <c r="L275" s="485">
        <f t="shared" si="71"/>
        <v>0</v>
      </c>
      <c r="M275" s="484">
        <f t="shared" si="71"/>
        <v>0</v>
      </c>
      <c r="N275" s="484">
        <f t="shared" si="71"/>
        <v>0</v>
      </c>
      <c r="O275" s="484">
        <f t="shared" si="71"/>
        <v>0</v>
      </c>
      <c r="P275" s="484">
        <f t="shared" si="71"/>
        <v>0</v>
      </c>
      <c r="Q275" s="484">
        <f t="shared" si="71"/>
        <v>0</v>
      </c>
      <c r="R275" s="484">
        <f t="shared" si="71"/>
        <v>0</v>
      </c>
      <c r="S275" s="484">
        <f t="shared" si="71"/>
        <v>0</v>
      </c>
      <c r="T275" s="484">
        <f t="shared" si="71"/>
        <v>0</v>
      </c>
      <c r="U275" s="484">
        <f t="shared" si="71"/>
        <v>0</v>
      </c>
      <c r="V275" s="484">
        <f t="shared" si="71"/>
        <v>0</v>
      </c>
      <c r="W275" s="485">
        <f t="shared" si="71"/>
        <v>0</v>
      </c>
    </row>
    <row r="276" spans="1:23" hidden="1">
      <c r="A276" s="703" t="s">
        <v>6923</v>
      </c>
      <c r="B276" s="13"/>
      <c r="C276" s="13"/>
      <c r="D276" s="13"/>
      <c r="E276" s="13"/>
      <c r="F276" s="13"/>
      <c r="G276" s="13"/>
      <c r="H276" s="13"/>
      <c r="I276" s="13"/>
      <c r="J276" s="13"/>
      <c r="K276" s="13">
        <f>SUM(B276:J276)</f>
        <v>0</v>
      </c>
      <c r="L276" s="472"/>
      <c r="M276" s="13"/>
      <c r="N276" s="13"/>
      <c r="O276" s="13"/>
      <c r="P276" s="13"/>
      <c r="Q276" s="13"/>
      <c r="R276" s="13"/>
      <c r="S276" s="13"/>
      <c r="T276" s="13"/>
      <c r="U276" s="13"/>
      <c r="V276" s="13">
        <f>SUM(M276:U276)</f>
        <v>0</v>
      </c>
      <c r="W276" s="472"/>
    </row>
    <row r="277" spans="1:23" hidden="1">
      <c r="A277" s="703" t="s">
        <v>6925</v>
      </c>
      <c r="B277" s="13"/>
      <c r="C277" s="13"/>
      <c r="D277" s="13"/>
      <c r="E277" s="13"/>
      <c r="F277" s="13"/>
      <c r="G277" s="13"/>
      <c r="H277" s="13"/>
      <c r="I277" s="13"/>
      <c r="J277" s="13">
        <v>0</v>
      </c>
      <c r="K277" s="13">
        <f>SUM(B277:J277)</f>
        <v>0</v>
      </c>
      <c r="L277" s="472"/>
      <c r="M277" s="13"/>
      <c r="N277" s="13"/>
      <c r="O277" s="13"/>
      <c r="P277" s="13"/>
      <c r="Q277" s="13"/>
      <c r="R277" s="13"/>
      <c r="S277" s="13"/>
      <c r="T277" s="13"/>
      <c r="U277" s="13"/>
      <c r="V277" s="13">
        <f>SUM(M277:U277)</f>
        <v>0</v>
      </c>
      <c r="W277" s="472"/>
    </row>
    <row r="278" spans="1:23" ht="24" hidden="1">
      <c r="A278" s="705" t="s">
        <v>6924</v>
      </c>
      <c r="B278" s="484"/>
      <c r="C278" s="484"/>
      <c r="D278" s="484"/>
      <c r="E278" s="484"/>
      <c r="F278" s="484"/>
      <c r="G278" s="484"/>
      <c r="H278" s="484"/>
      <c r="I278" s="484"/>
      <c r="J278" s="484">
        <f>J279</f>
        <v>0</v>
      </c>
      <c r="K278" s="484"/>
      <c r="L278" s="485"/>
      <c r="M278" s="484"/>
      <c r="N278" s="484"/>
      <c r="O278" s="484"/>
      <c r="P278" s="484"/>
      <c r="Q278" s="484"/>
      <c r="R278" s="484"/>
      <c r="S278" s="484"/>
      <c r="T278" s="484"/>
      <c r="U278" s="484">
        <f>U279</f>
        <v>0</v>
      </c>
      <c r="V278" s="484">
        <f>V279</f>
        <v>0</v>
      </c>
      <c r="W278" s="485">
        <f>W279</f>
        <v>0</v>
      </c>
    </row>
    <row r="279" spans="1:23" hidden="1">
      <c r="A279" s="703" t="s">
        <v>6923</v>
      </c>
      <c r="B279" s="13"/>
      <c r="C279" s="13"/>
      <c r="D279" s="13"/>
      <c r="E279" s="13"/>
      <c r="F279" s="13"/>
      <c r="G279" s="13"/>
      <c r="H279" s="13"/>
      <c r="I279" s="13"/>
      <c r="J279" s="13">
        <v>0</v>
      </c>
      <c r="K279" s="13">
        <f>SUM(B279:J279)</f>
        <v>0</v>
      </c>
      <c r="L279" s="472"/>
      <c r="M279" s="13"/>
      <c r="N279" s="13"/>
      <c r="O279" s="13"/>
      <c r="P279" s="13"/>
      <c r="Q279" s="13"/>
      <c r="R279" s="13"/>
      <c r="S279" s="13"/>
      <c r="T279" s="13"/>
      <c r="U279" s="13"/>
      <c r="V279" s="13">
        <f>SUM(M279:U279)</f>
        <v>0</v>
      </c>
      <c r="W279" s="472"/>
    </row>
    <row r="280" spans="1:23">
      <c r="A280" s="704" t="s">
        <v>24</v>
      </c>
      <c r="B280" s="482">
        <f>B291</f>
        <v>0</v>
      </c>
      <c r="C280" s="482"/>
      <c r="D280" s="482"/>
      <c r="E280" s="482"/>
      <c r="F280" s="482"/>
      <c r="G280" s="482"/>
      <c r="H280" s="482"/>
      <c r="I280" s="482">
        <f>I281+I287+I291</f>
        <v>79</v>
      </c>
      <c r="J280" s="482">
        <f>J281+J287</f>
        <v>2109</v>
      </c>
      <c r="K280" s="482">
        <f>K281+K287+K291</f>
        <v>2188</v>
      </c>
      <c r="L280" s="474">
        <f>L281+L287+L291</f>
        <v>5689781</v>
      </c>
      <c r="M280" s="482">
        <f>M281+M287+M291</f>
        <v>0</v>
      </c>
      <c r="N280" s="482">
        <f t="shared" ref="N280:S280" si="72">N281+N287</f>
        <v>0</v>
      </c>
      <c r="O280" s="482">
        <f t="shared" si="72"/>
        <v>0</v>
      </c>
      <c r="P280" s="482">
        <f t="shared" si="72"/>
        <v>0</v>
      </c>
      <c r="Q280" s="482">
        <f t="shared" si="72"/>
        <v>0</v>
      </c>
      <c r="R280" s="482">
        <f t="shared" si="72"/>
        <v>0</v>
      </c>
      <c r="S280" s="482">
        <f t="shared" si="72"/>
        <v>0</v>
      </c>
      <c r="T280" s="482">
        <f>T281+T287+T291</f>
        <v>87</v>
      </c>
      <c r="U280" s="482">
        <f>U281+U287</f>
        <v>1362</v>
      </c>
      <c r="V280" s="482">
        <f>V281+V287+V291</f>
        <v>1449</v>
      </c>
      <c r="W280" s="474">
        <f>W281+W287+W291</f>
        <v>3435010.56</v>
      </c>
    </row>
    <row r="281" spans="1:23">
      <c r="A281" s="705" t="s">
        <v>6922</v>
      </c>
      <c r="B281" s="484"/>
      <c r="C281" s="484"/>
      <c r="D281" s="484"/>
      <c r="E281" s="484"/>
      <c r="F281" s="484"/>
      <c r="G281" s="484"/>
      <c r="H281" s="484"/>
      <c r="I281" s="484"/>
      <c r="J281" s="484">
        <f t="shared" ref="J281:W281" si="73">SUM(J282:J286)</f>
        <v>1405</v>
      </c>
      <c r="K281" s="484">
        <f t="shared" si="73"/>
        <v>1405</v>
      </c>
      <c r="L281" s="485">
        <f t="shared" si="73"/>
        <v>3557256</v>
      </c>
      <c r="M281" s="484">
        <f t="shared" si="73"/>
        <v>0</v>
      </c>
      <c r="N281" s="484">
        <f t="shared" si="73"/>
        <v>0</v>
      </c>
      <c r="O281" s="484">
        <f t="shared" si="73"/>
        <v>0</v>
      </c>
      <c r="P281" s="484">
        <f t="shared" si="73"/>
        <v>0</v>
      </c>
      <c r="Q281" s="484">
        <f t="shared" si="73"/>
        <v>0</v>
      </c>
      <c r="R281" s="484">
        <f t="shared" si="73"/>
        <v>0</v>
      </c>
      <c r="S281" s="484">
        <f t="shared" si="73"/>
        <v>0</v>
      </c>
      <c r="T281" s="484">
        <f t="shared" si="73"/>
        <v>0</v>
      </c>
      <c r="U281" s="484">
        <f t="shared" si="73"/>
        <v>1362</v>
      </c>
      <c r="V281" s="484">
        <f t="shared" si="73"/>
        <v>1362</v>
      </c>
      <c r="W281" s="485">
        <f t="shared" si="73"/>
        <v>3417610.56</v>
      </c>
    </row>
    <row r="282" spans="1:23">
      <c r="A282" s="703" t="s">
        <v>6921</v>
      </c>
      <c r="B282" s="13"/>
      <c r="C282" s="13"/>
      <c r="D282" s="13"/>
      <c r="E282" s="13"/>
      <c r="F282" s="13"/>
      <c r="G282" s="13"/>
      <c r="H282" s="13"/>
      <c r="I282" s="13"/>
      <c r="J282" s="13">
        <v>290</v>
      </c>
      <c r="K282" s="13">
        <f>SUM(B282:J282)</f>
        <v>290</v>
      </c>
      <c r="L282" s="472">
        <v>1150488</v>
      </c>
      <c r="M282" s="13"/>
      <c r="N282" s="13"/>
      <c r="O282" s="13"/>
      <c r="P282" s="13"/>
      <c r="Q282" s="13"/>
      <c r="R282" s="13"/>
      <c r="S282" s="13"/>
      <c r="T282" s="13"/>
      <c r="U282" s="13">
        <v>266</v>
      </c>
      <c r="V282" s="13">
        <f>SUM(M282:U282)</f>
        <v>266</v>
      </c>
      <c r="W282" s="472">
        <v>1055275.2</v>
      </c>
    </row>
    <row r="283" spans="1:23">
      <c r="A283" s="703" t="s">
        <v>6920</v>
      </c>
      <c r="B283" s="13"/>
      <c r="C283" s="13"/>
      <c r="D283" s="13"/>
      <c r="E283" s="13"/>
      <c r="F283" s="13"/>
      <c r="G283" s="13"/>
      <c r="H283" s="13"/>
      <c r="I283" s="13"/>
      <c r="J283" s="13">
        <v>270</v>
      </c>
      <c r="K283" s="13">
        <f>SUM(B283:J283)</f>
        <v>270</v>
      </c>
      <c r="L283" s="472">
        <v>714096</v>
      </c>
      <c r="M283" s="13"/>
      <c r="N283" s="13"/>
      <c r="O283" s="13"/>
      <c r="P283" s="13"/>
      <c r="Q283" s="13"/>
      <c r="R283" s="13"/>
      <c r="S283" s="13"/>
      <c r="T283" s="13"/>
      <c r="U283" s="13">
        <v>277</v>
      </c>
      <c r="V283" s="13">
        <f>SUM(M283:U283)</f>
        <v>277</v>
      </c>
      <c r="W283" s="472">
        <v>732609.60000000009</v>
      </c>
    </row>
    <row r="284" spans="1:23">
      <c r="A284" s="703" t="s">
        <v>6919</v>
      </c>
      <c r="B284" s="13"/>
      <c r="C284" s="13"/>
      <c r="D284" s="13"/>
      <c r="E284" s="13"/>
      <c r="F284" s="13"/>
      <c r="G284" s="13"/>
      <c r="H284" s="13"/>
      <c r="I284" s="13"/>
      <c r="J284" s="13">
        <v>290</v>
      </c>
      <c r="K284" s="13">
        <f>SUM(B284:J284)</f>
        <v>290</v>
      </c>
      <c r="L284" s="472">
        <v>690292.8</v>
      </c>
      <c r="M284" s="13"/>
      <c r="N284" s="13"/>
      <c r="O284" s="13"/>
      <c r="P284" s="13"/>
      <c r="Q284" s="13"/>
      <c r="R284" s="13"/>
      <c r="S284" s="13"/>
      <c r="T284" s="13"/>
      <c r="U284" s="13">
        <v>260</v>
      </c>
      <c r="V284" s="13">
        <f>SUM(M284:U284)</f>
        <v>260</v>
      </c>
      <c r="W284" s="472">
        <v>618883.20000000007</v>
      </c>
    </row>
    <row r="285" spans="1:23">
      <c r="A285" s="703" t="s">
        <v>6918</v>
      </c>
      <c r="B285" s="13"/>
      <c r="C285" s="13"/>
      <c r="D285" s="13"/>
      <c r="E285" s="13"/>
      <c r="F285" s="13"/>
      <c r="G285" s="13"/>
      <c r="H285" s="13"/>
      <c r="I285" s="13"/>
      <c r="J285" s="13">
        <v>255</v>
      </c>
      <c r="K285" s="13">
        <f>SUM(B285:J285)</f>
        <v>255</v>
      </c>
      <c r="L285" s="472">
        <v>539539.20000000007</v>
      </c>
      <c r="M285" s="13"/>
      <c r="N285" s="13"/>
      <c r="O285" s="13"/>
      <c r="P285" s="13"/>
      <c r="Q285" s="13"/>
      <c r="R285" s="13"/>
      <c r="S285" s="13"/>
      <c r="T285" s="13"/>
      <c r="U285" s="13">
        <v>259</v>
      </c>
      <c r="V285" s="13">
        <f>SUM(M285:U285)</f>
        <v>259</v>
      </c>
      <c r="W285" s="472">
        <v>548002.56000000006</v>
      </c>
    </row>
    <row r="286" spans="1:23">
      <c r="A286" s="703" t="s">
        <v>6917</v>
      </c>
      <c r="B286" s="13"/>
      <c r="C286" s="13"/>
      <c r="D286" s="13"/>
      <c r="E286" s="13"/>
      <c r="F286" s="13"/>
      <c r="G286" s="13"/>
      <c r="H286" s="13"/>
      <c r="I286" s="13"/>
      <c r="J286" s="13">
        <v>300</v>
      </c>
      <c r="K286" s="13">
        <f>SUM(B286:J286)</f>
        <v>300</v>
      </c>
      <c r="L286" s="472">
        <v>462840</v>
      </c>
      <c r="M286" s="13"/>
      <c r="N286" s="13"/>
      <c r="O286" s="13"/>
      <c r="P286" s="13"/>
      <c r="Q286" s="13"/>
      <c r="R286" s="13"/>
      <c r="S286" s="13"/>
      <c r="T286" s="13"/>
      <c r="U286" s="13">
        <v>300</v>
      </c>
      <c r="V286" s="13">
        <f>SUM(M286:U286)</f>
        <v>300</v>
      </c>
      <c r="W286" s="472">
        <v>462840</v>
      </c>
    </row>
    <row r="287" spans="1:23">
      <c r="A287" s="705" t="s">
        <v>6916</v>
      </c>
      <c r="B287" s="484"/>
      <c r="C287" s="484"/>
      <c r="D287" s="484"/>
      <c r="E287" s="484"/>
      <c r="F287" s="484"/>
      <c r="G287" s="484"/>
      <c r="H287" s="484"/>
      <c r="I287" s="484"/>
      <c r="J287" s="484">
        <f t="shared" ref="J287:W287" si="74">SUM(J288:J290)</f>
        <v>704</v>
      </c>
      <c r="K287" s="484">
        <f t="shared" si="74"/>
        <v>704</v>
      </c>
      <c r="L287" s="485">
        <f t="shared" si="74"/>
        <v>2116724.9999999995</v>
      </c>
      <c r="M287" s="484">
        <f t="shared" si="74"/>
        <v>0</v>
      </c>
      <c r="N287" s="484">
        <f t="shared" si="74"/>
        <v>0</v>
      </c>
      <c r="O287" s="484">
        <f t="shared" si="74"/>
        <v>0</v>
      </c>
      <c r="P287" s="484">
        <f t="shared" si="74"/>
        <v>0</v>
      </c>
      <c r="Q287" s="484">
        <f t="shared" si="74"/>
        <v>0</v>
      </c>
      <c r="R287" s="484">
        <f t="shared" si="74"/>
        <v>0</v>
      </c>
      <c r="S287" s="484">
        <f t="shared" si="74"/>
        <v>0</v>
      </c>
      <c r="T287" s="484">
        <f t="shared" si="74"/>
        <v>0</v>
      </c>
      <c r="U287" s="484">
        <f t="shared" si="74"/>
        <v>0</v>
      </c>
      <c r="V287" s="484">
        <f t="shared" si="74"/>
        <v>0</v>
      </c>
      <c r="W287" s="485">
        <f t="shared" si="74"/>
        <v>0</v>
      </c>
    </row>
    <row r="288" spans="1:23">
      <c r="A288" s="703" t="s">
        <v>6915</v>
      </c>
      <c r="B288" s="13"/>
      <c r="C288" s="13"/>
      <c r="D288" s="13"/>
      <c r="E288" s="13"/>
      <c r="F288" s="13"/>
      <c r="G288" s="13"/>
      <c r="H288" s="13"/>
      <c r="I288" s="13"/>
      <c r="J288" s="13">
        <v>330</v>
      </c>
      <c r="K288" s="13">
        <f>SUM(B288:J288)</f>
        <v>330</v>
      </c>
      <c r="L288" s="472">
        <f>(J288*296.4*12)+162856.2</f>
        <v>1336600.1999999997</v>
      </c>
      <c r="M288" s="13"/>
      <c r="N288" s="13"/>
      <c r="O288" s="13"/>
      <c r="P288" s="13"/>
      <c r="Q288" s="13"/>
      <c r="R288" s="13"/>
      <c r="S288" s="13"/>
      <c r="T288" s="13"/>
      <c r="U288" s="13"/>
      <c r="V288" s="13">
        <f>SUM(M288:U288)</f>
        <v>0</v>
      </c>
      <c r="W288" s="472"/>
    </row>
    <row r="289" spans="1:23">
      <c r="A289" s="703" t="s">
        <v>6914</v>
      </c>
      <c r="B289" s="13"/>
      <c r="C289" s="13"/>
      <c r="D289" s="13"/>
      <c r="E289" s="13"/>
      <c r="F289" s="13"/>
      <c r="G289" s="13"/>
      <c r="H289" s="13"/>
      <c r="I289" s="13"/>
      <c r="J289" s="13">
        <v>194</v>
      </c>
      <c r="K289" s="13">
        <f>SUM(B289:J289)</f>
        <v>194</v>
      </c>
      <c r="L289" s="472">
        <f>J289*197.6*12</f>
        <v>460012.80000000005</v>
      </c>
      <c r="M289" s="13"/>
      <c r="N289" s="13"/>
      <c r="O289" s="13"/>
      <c r="P289" s="13"/>
      <c r="Q289" s="13"/>
      <c r="R289" s="13"/>
      <c r="S289" s="13"/>
      <c r="T289" s="13"/>
      <c r="U289" s="13"/>
      <c r="V289" s="13">
        <f>SUM(M289:U289)</f>
        <v>0</v>
      </c>
      <c r="W289" s="472"/>
    </row>
    <row r="290" spans="1:23">
      <c r="A290" s="703" t="s">
        <v>6913</v>
      </c>
      <c r="B290" s="13"/>
      <c r="C290" s="13"/>
      <c r="D290" s="13"/>
      <c r="E290" s="13"/>
      <c r="F290" s="13"/>
      <c r="G290" s="13"/>
      <c r="H290" s="13"/>
      <c r="I290" s="13"/>
      <c r="J290" s="13">
        <v>180</v>
      </c>
      <c r="K290" s="13">
        <f>SUM(B290:J290)</f>
        <v>180</v>
      </c>
      <c r="L290" s="472">
        <f>J290*148.2*12</f>
        <v>320111.99999999994</v>
      </c>
      <c r="M290" s="13"/>
      <c r="N290" s="13"/>
      <c r="O290" s="13"/>
      <c r="P290" s="13"/>
      <c r="Q290" s="13"/>
      <c r="R290" s="13"/>
      <c r="S290" s="13"/>
      <c r="T290" s="13"/>
      <c r="U290" s="13"/>
      <c r="V290" s="13">
        <f>SUM(M290:U290)</f>
        <v>0</v>
      </c>
      <c r="W290" s="472"/>
    </row>
    <row r="291" spans="1:23">
      <c r="A291" s="705" t="s">
        <v>6912</v>
      </c>
      <c r="B291" s="484">
        <f t="shared" ref="B291:W291" si="75">SUM(B292:B293)</f>
        <v>0</v>
      </c>
      <c r="C291" s="484">
        <f t="shared" si="75"/>
        <v>0</v>
      </c>
      <c r="D291" s="484">
        <f t="shared" si="75"/>
        <v>0</v>
      </c>
      <c r="E291" s="484">
        <f t="shared" si="75"/>
        <v>0</v>
      </c>
      <c r="F291" s="484">
        <f t="shared" si="75"/>
        <v>0</v>
      </c>
      <c r="G291" s="484">
        <f t="shared" si="75"/>
        <v>0</v>
      </c>
      <c r="H291" s="484">
        <f t="shared" si="75"/>
        <v>0</v>
      </c>
      <c r="I291" s="484">
        <f t="shared" si="75"/>
        <v>79</v>
      </c>
      <c r="J291" s="484">
        <f t="shared" si="75"/>
        <v>0</v>
      </c>
      <c r="K291" s="484">
        <f t="shared" si="75"/>
        <v>79</v>
      </c>
      <c r="L291" s="485">
        <f t="shared" si="75"/>
        <v>15800</v>
      </c>
      <c r="M291" s="484">
        <f t="shared" si="75"/>
        <v>0</v>
      </c>
      <c r="N291" s="484">
        <f t="shared" si="75"/>
        <v>0</v>
      </c>
      <c r="O291" s="484">
        <f t="shared" si="75"/>
        <v>0</v>
      </c>
      <c r="P291" s="484">
        <f t="shared" si="75"/>
        <v>0</v>
      </c>
      <c r="Q291" s="484">
        <f t="shared" si="75"/>
        <v>0</v>
      </c>
      <c r="R291" s="484">
        <f t="shared" si="75"/>
        <v>0</v>
      </c>
      <c r="S291" s="484">
        <f t="shared" si="75"/>
        <v>0</v>
      </c>
      <c r="T291" s="484">
        <f t="shared" si="75"/>
        <v>87</v>
      </c>
      <c r="U291" s="484">
        <f t="shared" si="75"/>
        <v>0</v>
      </c>
      <c r="V291" s="484">
        <f t="shared" si="75"/>
        <v>87</v>
      </c>
      <c r="W291" s="485">
        <f t="shared" si="75"/>
        <v>17400</v>
      </c>
    </row>
    <row r="292" spans="1:23">
      <c r="A292" s="703" t="s">
        <v>6911</v>
      </c>
      <c r="B292" s="13"/>
      <c r="C292" s="13"/>
      <c r="D292" s="13"/>
      <c r="E292" s="13"/>
      <c r="F292" s="13"/>
      <c r="G292" s="13"/>
      <c r="H292" s="13"/>
      <c r="I292" s="13">
        <v>79</v>
      </c>
      <c r="J292" s="13"/>
      <c r="K292" s="13">
        <f>SUM(B292:J292)</f>
        <v>79</v>
      </c>
      <c r="L292" s="472">
        <v>15800</v>
      </c>
      <c r="M292" s="13"/>
      <c r="N292" s="13"/>
      <c r="O292" s="13"/>
      <c r="P292" s="13"/>
      <c r="Q292" s="13"/>
      <c r="R292" s="13"/>
      <c r="S292" s="13"/>
      <c r="T292" s="13">
        <v>87</v>
      </c>
      <c r="U292" s="13"/>
      <c r="V292" s="13">
        <f>SUM(M292:U292)</f>
        <v>87</v>
      </c>
      <c r="W292" s="472">
        <v>17400</v>
      </c>
    </row>
    <row r="293" spans="1:23" hidden="1">
      <c r="A293" s="703" t="s">
        <v>6910</v>
      </c>
      <c r="B293" s="13"/>
      <c r="C293" s="13"/>
      <c r="D293" s="13"/>
      <c r="E293" s="13"/>
      <c r="F293" s="13"/>
      <c r="G293" s="13"/>
      <c r="H293" s="13"/>
      <c r="I293" s="13"/>
      <c r="J293" s="13"/>
      <c r="K293" s="13">
        <f>SUM(B293:J293)</f>
        <v>0</v>
      </c>
      <c r="L293" s="472"/>
      <c r="M293" s="13"/>
      <c r="N293" s="13"/>
      <c r="O293" s="13"/>
      <c r="P293" s="13"/>
      <c r="Q293" s="13"/>
      <c r="R293" s="13"/>
      <c r="S293" s="13"/>
      <c r="T293" s="13"/>
      <c r="U293" s="13"/>
      <c r="V293" s="13">
        <f>SUM(M293:U293)</f>
        <v>0</v>
      </c>
      <c r="W293" s="472"/>
    </row>
    <row r="294" spans="1:23" ht="24">
      <c r="A294" s="704" t="s">
        <v>6909</v>
      </c>
      <c r="B294" s="482"/>
      <c r="C294" s="482"/>
      <c r="D294" s="482">
        <f t="shared" ref="D294:W294" si="76">SUM(D295:D297)</f>
        <v>65</v>
      </c>
      <c r="E294" s="482">
        <f t="shared" si="76"/>
        <v>0</v>
      </c>
      <c r="F294" s="482">
        <f t="shared" si="76"/>
        <v>0</v>
      </c>
      <c r="G294" s="482">
        <f t="shared" si="76"/>
        <v>0</v>
      </c>
      <c r="H294" s="482">
        <f t="shared" si="76"/>
        <v>0</v>
      </c>
      <c r="I294" s="482">
        <f t="shared" si="76"/>
        <v>0</v>
      </c>
      <c r="J294" s="482">
        <f t="shared" si="76"/>
        <v>0</v>
      </c>
      <c r="K294" s="482">
        <f t="shared" si="76"/>
        <v>65</v>
      </c>
      <c r="L294" s="474">
        <f t="shared" si="76"/>
        <v>1195877.68</v>
      </c>
      <c r="M294" s="482">
        <f t="shared" si="76"/>
        <v>0</v>
      </c>
      <c r="N294" s="482">
        <f t="shared" si="76"/>
        <v>0</v>
      </c>
      <c r="O294" s="482">
        <f t="shared" si="76"/>
        <v>65</v>
      </c>
      <c r="P294" s="482">
        <f t="shared" si="76"/>
        <v>0</v>
      </c>
      <c r="Q294" s="482">
        <f t="shared" si="76"/>
        <v>0</v>
      </c>
      <c r="R294" s="482">
        <f t="shared" si="76"/>
        <v>0</v>
      </c>
      <c r="S294" s="482">
        <f t="shared" si="76"/>
        <v>0</v>
      </c>
      <c r="T294" s="482">
        <f t="shared" si="76"/>
        <v>0</v>
      </c>
      <c r="U294" s="482">
        <f t="shared" si="76"/>
        <v>0</v>
      </c>
      <c r="V294" s="482">
        <f t="shared" si="76"/>
        <v>65</v>
      </c>
      <c r="W294" s="474">
        <f t="shared" si="76"/>
        <v>1016495.6799999999</v>
      </c>
    </row>
    <row r="295" spans="1:23" ht="24">
      <c r="A295" s="703" t="s">
        <v>6908</v>
      </c>
      <c r="B295" s="13"/>
      <c r="C295" s="13"/>
      <c r="D295" s="13">
        <v>15</v>
      </c>
      <c r="E295" s="13"/>
      <c r="F295" s="13"/>
      <c r="G295" s="13"/>
      <c r="H295" s="13"/>
      <c r="I295" s="13"/>
      <c r="J295" s="13"/>
      <c r="K295" s="13">
        <f>SUM(B295:J295)</f>
        <v>15</v>
      </c>
      <c r="L295" s="472">
        <f>400773+134701</f>
        <v>535474</v>
      </c>
      <c r="M295" s="13"/>
      <c r="N295" s="13"/>
      <c r="O295" s="13">
        <v>15</v>
      </c>
      <c r="P295" s="13"/>
      <c r="Q295" s="13"/>
      <c r="R295" s="13"/>
      <c r="S295" s="13"/>
      <c r="T295" s="13"/>
      <c r="U295" s="13"/>
      <c r="V295" s="13">
        <f>SUM(M295:U295)</f>
        <v>15</v>
      </c>
      <c r="W295" s="472">
        <f>400773-44681</f>
        <v>356092</v>
      </c>
    </row>
    <row r="296" spans="1:23" ht="24">
      <c r="A296" s="703" t="s">
        <v>6907</v>
      </c>
      <c r="B296" s="13"/>
      <c r="C296" s="13"/>
      <c r="D296" s="13">
        <v>25</v>
      </c>
      <c r="E296" s="13"/>
      <c r="F296" s="13"/>
      <c r="G296" s="13"/>
      <c r="H296" s="13"/>
      <c r="I296" s="13"/>
      <c r="J296" s="13"/>
      <c r="K296" s="13">
        <f>SUM(B296:J296)</f>
        <v>25</v>
      </c>
      <c r="L296" s="472">
        <v>336715.68</v>
      </c>
      <c r="M296" s="13"/>
      <c r="N296" s="13"/>
      <c r="O296" s="13">
        <v>25</v>
      </c>
      <c r="P296" s="13"/>
      <c r="Q296" s="13"/>
      <c r="R296" s="13"/>
      <c r="S296" s="13"/>
      <c r="T296" s="13"/>
      <c r="U296" s="13"/>
      <c r="V296" s="13">
        <f>SUM(M296:U296)</f>
        <v>25</v>
      </c>
      <c r="W296" s="472">
        <v>336715.68</v>
      </c>
    </row>
    <row r="297" spans="1:23" ht="24">
      <c r="A297" s="703" t="s">
        <v>6906</v>
      </c>
      <c r="B297" s="13"/>
      <c r="C297" s="13"/>
      <c r="D297" s="13">
        <v>25</v>
      </c>
      <c r="E297" s="13"/>
      <c r="F297" s="13"/>
      <c r="G297" s="13"/>
      <c r="H297" s="13"/>
      <c r="I297" s="13"/>
      <c r="J297" s="13"/>
      <c r="K297" s="13">
        <f>SUM(B297:J297)</f>
        <v>25</v>
      </c>
      <c r="L297" s="472">
        <v>323688</v>
      </c>
      <c r="M297" s="13"/>
      <c r="N297" s="13"/>
      <c r="O297" s="13">
        <v>25</v>
      </c>
      <c r="P297" s="13"/>
      <c r="Q297" s="13"/>
      <c r="R297" s="13"/>
      <c r="S297" s="13"/>
      <c r="T297" s="13"/>
      <c r="U297" s="13"/>
      <c r="V297" s="13">
        <f>SUM(M297:U297)</f>
        <v>25</v>
      </c>
      <c r="W297" s="472">
        <v>323688</v>
      </c>
    </row>
    <row r="298" spans="1:23" hidden="1">
      <c r="A298" s="703"/>
      <c r="B298" s="13"/>
      <c r="C298" s="13"/>
      <c r="D298" s="13"/>
      <c r="E298" s="13"/>
      <c r="F298" s="13"/>
      <c r="G298" s="13"/>
      <c r="H298" s="13"/>
      <c r="I298" s="13"/>
      <c r="J298" s="13"/>
      <c r="K298" s="13"/>
      <c r="L298" s="472"/>
      <c r="M298" s="13"/>
      <c r="N298" s="13"/>
      <c r="O298" s="13"/>
      <c r="P298" s="13"/>
      <c r="Q298" s="13"/>
      <c r="R298" s="13"/>
      <c r="S298" s="13"/>
      <c r="T298" s="13"/>
      <c r="U298" s="13"/>
      <c r="V298" s="13"/>
      <c r="W298" s="472"/>
    </row>
    <row r="299" spans="1:23" ht="24" hidden="1">
      <c r="A299" s="704" t="s">
        <v>6905</v>
      </c>
      <c r="B299" s="477"/>
      <c r="C299" s="477"/>
      <c r="D299" s="477"/>
      <c r="E299" s="477"/>
      <c r="F299" s="477"/>
      <c r="G299" s="477"/>
      <c r="H299" s="477"/>
      <c r="I299" s="477"/>
      <c r="J299" s="477"/>
      <c r="K299" s="477"/>
      <c r="L299" s="488"/>
      <c r="M299" s="477"/>
      <c r="N299" s="477"/>
      <c r="O299" s="477"/>
      <c r="P299" s="477"/>
      <c r="Q299" s="477"/>
      <c r="R299" s="477"/>
      <c r="S299" s="477"/>
      <c r="T299" s="477"/>
      <c r="U299" s="477"/>
      <c r="V299" s="477"/>
      <c r="W299" s="487"/>
    </row>
    <row r="300" spans="1:23" hidden="1">
      <c r="A300" s="703" t="s">
        <v>6904</v>
      </c>
      <c r="B300" s="13"/>
      <c r="C300" s="13"/>
      <c r="D300" s="13"/>
      <c r="E300" s="13"/>
      <c r="F300" s="13"/>
      <c r="G300" s="13"/>
      <c r="H300" s="13"/>
      <c r="I300" s="13"/>
      <c r="J300" s="13"/>
      <c r="K300" s="13"/>
      <c r="L300" s="472"/>
      <c r="M300" s="13"/>
      <c r="N300" s="13"/>
      <c r="O300" s="13"/>
      <c r="P300" s="13"/>
      <c r="Q300" s="13"/>
      <c r="R300" s="13"/>
      <c r="S300" s="13"/>
      <c r="T300" s="13"/>
      <c r="U300" s="13"/>
      <c r="V300" s="13"/>
      <c r="W300" s="16"/>
    </row>
    <row r="301" spans="1:23" hidden="1">
      <c r="A301" s="703"/>
      <c r="B301" s="13"/>
      <c r="C301" s="13"/>
      <c r="D301" s="13"/>
      <c r="E301" s="13"/>
      <c r="F301" s="13"/>
      <c r="G301" s="13"/>
      <c r="H301" s="13"/>
      <c r="I301" s="13"/>
      <c r="J301" s="13"/>
      <c r="K301" s="13"/>
      <c r="L301" s="472"/>
      <c r="M301" s="13"/>
      <c r="N301" s="13"/>
      <c r="O301" s="13"/>
      <c r="P301" s="13"/>
      <c r="Q301" s="13"/>
      <c r="R301" s="13"/>
      <c r="S301" s="13"/>
      <c r="T301" s="13"/>
      <c r="U301" s="13"/>
      <c r="V301" s="13"/>
      <c r="W301" s="16"/>
    </row>
    <row r="302" spans="1:23" hidden="1">
      <c r="A302" s="705" t="s">
        <v>6903</v>
      </c>
      <c r="B302" s="484"/>
      <c r="C302" s="484"/>
      <c r="D302" s="484"/>
      <c r="E302" s="484"/>
      <c r="F302" s="484"/>
      <c r="G302" s="484"/>
      <c r="H302" s="484"/>
      <c r="I302" s="484"/>
      <c r="J302" s="484"/>
      <c r="K302" s="484"/>
      <c r="L302" s="485"/>
      <c r="M302" s="484"/>
      <c r="N302" s="484"/>
      <c r="O302" s="484"/>
      <c r="P302" s="484"/>
      <c r="Q302" s="484"/>
      <c r="R302" s="484"/>
      <c r="S302" s="484"/>
      <c r="T302" s="484"/>
      <c r="U302" s="484"/>
      <c r="V302" s="484"/>
      <c r="W302" s="483"/>
    </row>
    <row r="303" spans="1:23" hidden="1">
      <c r="A303" s="703" t="s">
        <v>6902</v>
      </c>
      <c r="B303" s="13"/>
      <c r="C303" s="13"/>
      <c r="D303" s="13"/>
      <c r="E303" s="13"/>
      <c r="F303" s="13"/>
      <c r="G303" s="13"/>
      <c r="H303" s="13"/>
      <c r="I303" s="13"/>
      <c r="J303" s="13"/>
      <c r="K303" s="13"/>
      <c r="L303" s="472"/>
      <c r="M303" s="13"/>
      <c r="N303" s="13"/>
      <c r="O303" s="13"/>
      <c r="P303" s="13"/>
      <c r="Q303" s="13"/>
      <c r="R303" s="13"/>
      <c r="S303" s="13"/>
      <c r="T303" s="13"/>
      <c r="U303" s="13"/>
      <c r="V303" s="13"/>
      <c r="W303" s="16"/>
    </row>
    <row r="304" spans="1:23" hidden="1">
      <c r="A304" s="703"/>
      <c r="B304" s="13"/>
      <c r="C304" s="13"/>
      <c r="D304" s="13"/>
      <c r="E304" s="13"/>
      <c r="F304" s="13"/>
      <c r="G304" s="13"/>
      <c r="H304" s="13"/>
      <c r="I304" s="13"/>
      <c r="J304" s="13"/>
      <c r="K304" s="13"/>
      <c r="L304" s="472"/>
      <c r="M304" s="13"/>
      <c r="N304" s="13"/>
      <c r="O304" s="13"/>
      <c r="P304" s="13"/>
      <c r="Q304" s="13"/>
      <c r="R304" s="13"/>
      <c r="S304" s="13"/>
      <c r="T304" s="13"/>
      <c r="U304" s="13"/>
      <c r="V304" s="13"/>
      <c r="W304" s="16"/>
    </row>
    <row r="305" spans="1:23" hidden="1">
      <c r="A305" s="705" t="s">
        <v>6901</v>
      </c>
      <c r="B305" s="484"/>
      <c r="C305" s="484"/>
      <c r="D305" s="484"/>
      <c r="E305" s="484"/>
      <c r="F305" s="484"/>
      <c r="G305" s="484"/>
      <c r="H305" s="484"/>
      <c r="I305" s="484"/>
      <c r="J305" s="484"/>
      <c r="K305" s="484"/>
      <c r="L305" s="485"/>
      <c r="M305" s="484"/>
      <c r="N305" s="484"/>
      <c r="O305" s="484"/>
      <c r="P305" s="484"/>
      <c r="Q305" s="484"/>
      <c r="R305" s="484"/>
      <c r="S305" s="484"/>
      <c r="T305" s="484"/>
      <c r="U305" s="484"/>
      <c r="V305" s="484"/>
      <c r="W305" s="483"/>
    </row>
    <row r="306" spans="1:23" hidden="1">
      <c r="A306" s="703" t="s">
        <v>6901</v>
      </c>
      <c r="B306" s="13"/>
      <c r="C306" s="13"/>
      <c r="D306" s="13"/>
      <c r="E306" s="13"/>
      <c r="F306" s="13"/>
      <c r="G306" s="13"/>
      <c r="H306" s="13"/>
      <c r="I306" s="13"/>
      <c r="J306" s="13"/>
      <c r="K306" s="13"/>
      <c r="L306" s="472"/>
      <c r="M306" s="13"/>
      <c r="N306" s="13"/>
      <c r="O306" s="13"/>
      <c r="P306" s="13"/>
      <c r="Q306" s="13"/>
      <c r="R306" s="13"/>
      <c r="S306" s="13"/>
      <c r="T306" s="13"/>
      <c r="U306" s="13"/>
      <c r="V306" s="13"/>
      <c r="W306" s="16"/>
    </row>
    <row r="307" spans="1:23" hidden="1">
      <c r="A307" s="703"/>
      <c r="B307" s="13"/>
      <c r="C307" s="13"/>
      <c r="D307" s="13"/>
      <c r="E307" s="13"/>
      <c r="F307" s="13"/>
      <c r="G307" s="13"/>
      <c r="H307" s="13"/>
      <c r="I307" s="13"/>
      <c r="J307" s="13"/>
      <c r="K307" s="13"/>
      <c r="L307" s="472"/>
      <c r="M307" s="13"/>
      <c r="N307" s="13"/>
      <c r="O307" s="13"/>
      <c r="P307" s="13"/>
      <c r="Q307" s="13"/>
      <c r="R307" s="13"/>
      <c r="S307" s="13"/>
      <c r="T307" s="13"/>
      <c r="U307" s="13"/>
      <c r="V307" s="13"/>
      <c r="W307" s="16"/>
    </row>
    <row r="308" spans="1:23" hidden="1">
      <c r="A308" s="705" t="s">
        <v>6900</v>
      </c>
      <c r="B308" s="484"/>
      <c r="C308" s="484"/>
      <c r="D308" s="484"/>
      <c r="E308" s="484"/>
      <c r="F308" s="484"/>
      <c r="G308" s="484"/>
      <c r="H308" s="484"/>
      <c r="I308" s="484"/>
      <c r="J308" s="484"/>
      <c r="K308" s="484"/>
      <c r="L308" s="485"/>
      <c r="M308" s="484"/>
      <c r="N308" s="484"/>
      <c r="O308" s="484"/>
      <c r="P308" s="484"/>
      <c r="Q308" s="484"/>
      <c r="R308" s="484"/>
      <c r="S308" s="484"/>
      <c r="T308" s="484"/>
      <c r="U308" s="484"/>
      <c r="V308" s="484"/>
      <c r="W308" s="483"/>
    </row>
    <row r="309" spans="1:23" hidden="1">
      <c r="A309" s="703" t="s">
        <v>6900</v>
      </c>
      <c r="B309" s="13"/>
      <c r="C309" s="13"/>
      <c r="D309" s="13"/>
      <c r="E309" s="13"/>
      <c r="F309" s="13"/>
      <c r="G309" s="13"/>
      <c r="H309" s="13"/>
      <c r="I309" s="13"/>
      <c r="J309" s="13"/>
      <c r="K309" s="13"/>
      <c r="L309" s="472"/>
      <c r="M309" s="13"/>
      <c r="N309" s="13"/>
      <c r="O309" s="13"/>
      <c r="P309" s="13"/>
      <c r="Q309" s="13"/>
      <c r="R309" s="13"/>
      <c r="S309" s="13"/>
      <c r="T309" s="13"/>
      <c r="U309" s="13"/>
      <c r="V309" s="13"/>
      <c r="W309" s="16"/>
    </row>
    <row r="310" spans="1:23" hidden="1">
      <c r="A310" s="703"/>
      <c r="B310" s="13"/>
      <c r="C310" s="13"/>
      <c r="D310" s="13"/>
      <c r="E310" s="13"/>
      <c r="F310" s="13"/>
      <c r="G310" s="13"/>
      <c r="H310" s="13"/>
      <c r="I310" s="13"/>
      <c r="J310" s="13"/>
      <c r="K310" s="13"/>
      <c r="L310" s="472"/>
      <c r="M310" s="13"/>
      <c r="N310" s="13"/>
      <c r="O310" s="13"/>
      <c r="P310" s="13"/>
      <c r="Q310" s="13"/>
      <c r="R310" s="13"/>
      <c r="S310" s="13"/>
      <c r="T310" s="13"/>
      <c r="U310" s="13"/>
      <c r="V310" s="13"/>
      <c r="W310" s="16"/>
    </row>
    <row r="311" spans="1:23" hidden="1">
      <c r="A311" s="705" t="s">
        <v>6899</v>
      </c>
      <c r="B311" s="484"/>
      <c r="C311" s="484"/>
      <c r="D311" s="484"/>
      <c r="E311" s="484"/>
      <c r="F311" s="484"/>
      <c r="G311" s="484"/>
      <c r="H311" s="484"/>
      <c r="I311" s="484"/>
      <c r="J311" s="484"/>
      <c r="K311" s="484"/>
      <c r="L311" s="485"/>
      <c r="M311" s="484"/>
      <c r="N311" s="484"/>
      <c r="O311" s="484"/>
      <c r="P311" s="484"/>
      <c r="Q311" s="484"/>
      <c r="R311" s="484"/>
      <c r="S311" s="484"/>
      <c r="T311" s="484"/>
      <c r="U311" s="484"/>
      <c r="V311" s="484"/>
      <c r="W311" s="483"/>
    </row>
    <row r="312" spans="1:23" ht="24" hidden="1">
      <c r="A312" s="703" t="s">
        <v>6898</v>
      </c>
      <c r="B312" s="13"/>
      <c r="C312" s="13"/>
      <c r="D312" s="13"/>
      <c r="E312" s="13"/>
      <c r="F312" s="13"/>
      <c r="G312" s="13"/>
      <c r="H312" s="13"/>
      <c r="I312" s="13"/>
      <c r="J312" s="13"/>
      <c r="K312" s="13"/>
      <c r="L312" s="472"/>
      <c r="M312" s="13"/>
      <c r="N312" s="13"/>
      <c r="O312" s="13"/>
      <c r="P312" s="13"/>
      <c r="Q312" s="13"/>
      <c r="R312" s="13"/>
      <c r="S312" s="13"/>
      <c r="T312" s="13"/>
      <c r="U312" s="13"/>
      <c r="V312" s="13"/>
      <c r="W312" s="16"/>
    </row>
    <row r="313" spans="1:23" hidden="1">
      <c r="A313" s="703" t="s">
        <v>6897</v>
      </c>
      <c r="B313" s="13"/>
      <c r="C313" s="13"/>
      <c r="D313" s="13"/>
      <c r="E313" s="13"/>
      <c r="F313" s="13"/>
      <c r="G313" s="13"/>
      <c r="H313" s="13"/>
      <c r="I313" s="13"/>
      <c r="J313" s="13"/>
      <c r="K313" s="13"/>
      <c r="L313" s="472"/>
      <c r="M313" s="13"/>
      <c r="N313" s="13"/>
      <c r="O313" s="13"/>
      <c r="P313" s="13"/>
      <c r="Q313" s="13"/>
      <c r="R313" s="13"/>
      <c r="S313" s="13"/>
      <c r="T313" s="13"/>
      <c r="U313" s="13"/>
      <c r="V313" s="13"/>
      <c r="W313" s="16"/>
    </row>
    <row r="314" spans="1:23" hidden="1">
      <c r="A314" s="703" t="s">
        <v>6896</v>
      </c>
      <c r="B314" s="13"/>
      <c r="C314" s="13"/>
      <c r="D314" s="13"/>
      <c r="E314" s="13"/>
      <c r="F314" s="13"/>
      <c r="G314" s="13"/>
      <c r="H314" s="13"/>
      <c r="I314" s="13"/>
      <c r="J314" s="13"/>
      <c r="K314" s="13"/>
      <c r="L314" s="472"/>
      <c r="M314" s="13"/>
      <c r="N314" s="13"/>
      <c r="O314" s="13"/>
      <c r="P314" s="13"/>
      <c r="Q314" s="13"/>
      <c r="R314" s="13"/>
      <c r="S314" s="13"/>
      <c r="T314" s="13"/>
      <c r="U314" s="13"/>
      <c r="V314" s="13"/>
      <c r="W314" s="16"/>
    </row>
    <row r="315" spans="1:23" hidden="1">
      <c r="A315" s="703" t="s">
        <v>6895</v>
      </c>
      <c r="B315" s="13"/>
      <c r="C315" s="13"/>
      <c r="D315" s="13"/>
      <c r="E315" s="13"/>
      <c r="F315" s="13"/>
      <c r="G315" s="13"/>
      <c r="H315" s="13"/>
      <c r="I315" s="13"/>
      <c r="J315" s="13"/>
      <c r="K315" s="13"/>
      <c r="L315" s="472"/>
      <c r="M315" s="13"/>
      <c r="N315" s="13"/>
      <c r="O315" s="13"/>
      <c r="P315" s="13"/>
      <c r="Q315" s="13"/>
      <c r="R315" s="13"/>
      <c r="S315" s="13"/>
      <c r="T315" s="13"/>
      <c r="U315" s="13"/>
      <c r="V315" s="13"/>
      <c r="W315" s="16"/>
    </row>
    <row r="316" spans="1:23" hidden="1">
      <c r="A316" s="703"/>
      <c r="B316" s="13"/>
      <c r="C316" s="13"/>
      <c r="D316" s="13"/>
      <c r="E316" s="13"/>
      <c r="F316" s="13"/>
      <c r="G316" s="13"/>
      <c r="H316" s="13"/>
      <c r="I316" s="13"/>
      <c r="J316" s="13"/>
      <c r="K316" s="13"/>
      <c r="L316" s="472"/>
      <c r="M316" s="13"/>
      <c r="N316" s="13"/>
      <c r="O316" s="13"/>
      <c r="P316" s="13"/>
      <c r="Q316" s="13"/>
      <c r="R316" s="13"/>
      <c r="S316" s="13"/>
      <c r="T316" s="13"/>
      <c r="U316" s="13"/>
      <c r="V316" s="13"/>
      <c r="W316" s="16"/>
    </row>
    <row r="317" spans="1:23">
      <c r="A317" s="704" t="s">
        <v>6894</v>
      </c>
      <c r="B317" s="482"/>
      <c r="C317" s="482"/>
      <c r="D317" s="482"/>
      <c r="E317" s="482"/>
      <c r="F317" s="482"/>
      <c r="G317" s="482"/>
      <c r="H317" s="482"/>
      <c r="I317" s="482"/>
      <c r="J317" s="482">
        <f>SUM(J318:J321)</f>
        <v>780</v>
      </c>
      <c r="K317" s="482">
        <f>SUM(K318:K321)</f>
        <v>982</v>
      </c>
      <c r="L317" s="479">
        <f>SUM(L318:L323)</f>
        <v>33097615.309999999</v>
      </c>
      <c r="M317" s="478"/>
      <c r="N317" s="482"/>
      <c r="O317" s="482"/>
      <c r="P317" s="482"/>
      <c r="Q317" s="482"/>
      <c r="R317" s="482"/>
      <c r="S317" s="482"/>
      <c r="T317" s="482"/>
      <c r="U317" s="482"/>
      <c r="V317" s="482"/>
      <c r="W317" s="474">
        <f>SUM(W318:W323)</f>
        <v>129820.69</v>
      </c>
    </row>
    <row r="318" spans="1:23" ht="24" hidden="1">
      <c r="A318" s="703" t="s">
        <v>6893</v>
      </c>
      <c r="B318" s="13"/>
      <c r="C318" s="13"/>
      <c r="D318" s="13"/>
      <c r="E318" s="13"/>
      <c r="F318" s="13"/>
      <c r="G318" s="13"/>
      <c r="H318" s="13"/>
      <c r="I318" s="13"/>
      <c r="J318" s="13"/>
      <c r="K318" s="13"/>
      <c r="L318" s="529"/>
      <c r="M318" s="503"/>
      <c r="N318" s="13"/>
      <c r="O318" s="13"/>
      <c r="P318" s="13"/>
      <c r="Q318" s="13"/>
      <c r="R318" s="13"/>
      <c r="S318" s="13"/>
      <c r="T318" s="13"/>
      <c r="U318" s="13"/>
      <c r="V318" s="13"/>
      <c r="W318" s="16"/>
    </row>
    <row r="319" spans="1:23" ht="24">
      <c r="A319" s="703" t="s">
        <v>6892</v>
      </c>
      <c r="B319" s="13"/>
      <c r="C319" s="13"/>
      <c r="D319" s="13"/>
      <c r="E319" s="13"/>
      <c r="F319" s="13"/>
      <c r="G319" s="13"/>
      <c r="H319" s="13"/>
      <c r="I319" s="13"/>
      <c r="J319" s="13"/>
      <c r="K319" s="13"/>
      <c r="L319" s="529">
        <v>2780360.03</v>
      </c>
      <c r="M319" s="503"/>
      <c r="N319" s="13"/>
      <c r="O319" s="13"/>
      <c r="P319" s="13"/>
      <c r="Q319" s="13"/>
      <c r="R319" s="13"/>
      <c r="S319" s="13"/>
      <c r="T319" s="13"/>
      <c r="U319" s="13"/>
      <c r="V319" s="13"/>
      <c r="W319" s="16"/>
    </row>
    <row r="320" spans="1:23" ht="24">
      <c r="A320" s="703" t="s">
        <v>6891</v>
      </c>
      <c r="B320" s="13">
        <f>87+3+112</f>
        <v>202</v>
      </c>
      <c r="C320" s="13"/>
      <c r="D320" s="13"/>
      <c r="E320" s="13"/>
      <c r="F320" s="13"/>
      <c r="G320" s="13"/>
      <c r="H320" s="13"/>
      <c r="I320" s="13"/>
      <c r="J320" s="13">
        <v>780</v>
      </c>
      <c r="K320" s="13">
        <f>SUM(B320:J320)</f>
        <v>982</v>
      </c>
      <c r="L320" s="472">
        <v>6890681.2799999993</v>
      </c>
      <c r="M320" s="13"/>
      <c r="N320" s="13"/>
      <c r="O320" s="13"/>
      <c r="P320" s="13"/>
      <c r="Q320" s="13"/>
      <c r="R320" s="13"/>
      <c r="S320" s="13"/>
      <c r="T320" s="13"/>
      <c r="U320" s="13"/>
      <c r="V320" s="13"/>
      <c r="W320" s="16"/>
    </row>
    <row r="321" spans="1:27" hidden="1">
      <c r="A321" s="703" t="s">
        <v>6890</v>
      </c>
      <c r="B321" s="13"/>
      <c r="C321" s="13"/>
      <c r="D321" s="13"/>
      <c r="E321" s="13"/>
      <c r="F321" s="13"/>
      <c r="G321" s="13"/>
      <c r="H321" s="13"/>
      <c r="I321" s="13"/>
      <c r="J321" s="13"/>
      <c r="K321" s="13">
        <f>SUM(B321:J321)</f>
        <v>0</v>
      </c>
      <c r="L321" s="472"/>
      <c r="M321" s="13"/>
      <c r="N321" s="13"/>
      <c r="O321" s="13"/>
      <c r="P321" s="13"/>
      <c r="Q321" s="13"/>
      <c r="R321" s="13"/>
      <c r="S321" s="13"/>
      <c r="T321" s="13"/>
      <c r="U321" s="13"/>
      <c r="V321" s="13"/>
      <c r="W321" s="16"/>
    </row>
    <row r="322" spans="1:27" ht="24">
      <c r="A322" s="703" t="s">
        <v>6889</v>
      </c>
      <c r="B322" s="13">
        <v>88</v>
      </c>
      <c r="C322" s="13"/>
      <c r="D322" s="13"/>
      <c r="E322" s="13"/>
      <c r="F322" s="13"/>
      <c r="G322" s="13"/>
      <c r="H322" s="13"/>
      <c r="I322" s="13"/>
      <c r="J322" s="13"/>
      <c r="K322" s="13"/>
      <c r="L322" s="472">
        <v>1826334</v>
      </c>
      <c r="M322" s="13"/>
      <c r="N322" s="13"/>
      <c r="O322" s="13"/>
      <c r="P322" s="13"/>
      <c r="Q322" s="13"/>
      <c r="R322" s="13"/>
      <c r="S322" s="13"/>
      <c r="T322" s="13"/>
      <c r="U322" s="13"/>
      <c r="V322" s="13"/>
      <c r="W322" s="472">
        <v>129820.69</v>
      </c>
    </row>
    <row r="323" spans="1:27" ht="24">
      <c r="A323" s="703" t="s">
        <v>6888</v>
      </c>
      <c r="B323" s="13"/>
      <c r="C323" s="13"/>
      <c r="D323" s="13"/>
      <c r="E323" s="13"/>
      <c r="F323" s="13"/>
      <c r="G323" s="13"/>
      <c r="H323" s="13"/>
      <c r="I323" s="13"/>
      <c r="J323" s="13"/>
      <c r="K323" s="13"/>
      <c r="L323" s="472">
        <v>21600240</v>
      </c>
      <c r="M323" s="13"/>
      <c r="N323" s="13"/>
      <c r="O323" s="13"/>
      <c r="P323" s="13"/>
      <c r="Q323" s="13"/>
      <c r="R323" s="13"/>
      <c r="S323" s="13"/>
      <c r="T323" s="13"/>
      <c r="U323" s="13"/>
      <c r="V323" s="13"/>
      <c r="W323" s="16"/>
    </row>
    <row r="324" spans="1:27">
      <c r="A324" s="704" t="s">
        <v>6887</v>
      </c>
      <c r="B324" s="482"/>
      <c r="C324" s="482"/>
      <c r="D324" s="482"/>
      <c r="E324" s="482"/>
      <c r="F324" s="482"/>
      <c r="G324" s="482"/>
      <c r="H324" s="482"/>
      <c r="I324" s="482"/>
      <c r="J324" s="482">
        <f>SUM(J325:J327)</f>
        <v>0</v>
      </c>
      <c r="K324" s="482"/>
      <c r="L324" s="479">
        <f>SUM(L325:L327)</f>
        <v>0</v>
      </c>
      <c r="M324" s="478"/>
      <c r="N324" s="482"/>
      <c r="O324" s="482"/>
      <c r="P324" s="482"/>
      <c r="Q324" s="482"/>
      <c r="R324" s="482"/>
      <c r="S324" s="482"/>
      <c r="T324" s="482"/>
      <c r="U324" s="482"/>
      <c r="V324" s="482"/>
      <c r="W324" s="474"/>
    </row>
    <row r="325" spans="1:27">
      <c r="A325" s="703" t="s">
        <v>6886</v>
      </c>
      <c r="B325" s="13"/>
      <c r="C325" s="13"/>
      <c r="D325" s="13"/>
      <c r="E325" s="13"/>
      <c r="F325" s="13"/>
      <c r="G325" s="13"/>
      <c r="H325" s="13"/>
      <c r="I325" s="13"/>
      <c r="J325" s="13"/>
      <c r="K325" s="13"/>
      <c r="L325" s="472"/>
      <c r="M325" s="13"/>
      <c r="N325" s="13"/>
      <c r="O325" s="13"/>
      <c r="P325" s="13"/>
      <c r="Q325" s="13"/>
      <c r="R325" s="13"/>
      <c r="S325" s="13"/>
      <c r="T325" s="13"/>
      <c r="U325" s="13"/>
      <c r="V325" s="13"/>
      <c r="W325" s="16"/>
    </row>
    <row r="326" spans="1:27">
      <c r="A326" s="703" t="s">
        <v>6885</v>
      </c>
      <c r="B326" s="13"/>
      <c r="C326" s="13"/>
      <c r="D326" s="13"/>
      <c r="E326" s="13"/>
      <c r="F326" s="13"/>
      <c r="G326" s="13"/>
      <c r="H326" s="13"/>
      <c r="I326" s="13"/>
      <c r="J326" s="13"/>
      <c r="K326" s="13"/>
      <c r="L326" s="472"/>
      <c r="M326" s="13"/>
      <c r="N326" s="13"/>
      <c r="O326" s="13"/>
      <c r="P326" s="13"/>
      <c r="Q326" s="13"/>
      <c r="R326" s="13"/>
      <c r="S326" s="13"/>
      <c r="T326" s="13"/>
      <c r="U326" s="13"/>
      <c r="V326" s="13"/>
      <c r="W326" s="16"/>
    </row>
    <row r="327" spans="1:27">
      <c r="A327" s="703" t="s">
        <v>6884</v>
      </c>
      <c r="B327" s="13"/>
      <c r="C327" s="13"/>
      <c r="D327" s="13"/>
      <c r="E327" s="13"/>
      <c r="F327" s="13"/>
      <c r="G327" s="13"/>
      <c r="H327" s="13"/>
      <c r="I327" s="13"/>
      <c r="J327" s="13"/>
      <c r="K327" s="13"/>
      <c r="L327" s="472"/>
      <c r="M327" s="13"/>
      <c r="N327" s="13"/>
      <c r="O327" s="13"/>
      <c r="P327" s="13"/>
      <c r="Q327" s="13"/>
      <c r="R327" s="13"/>
      <c r="S327" s="13"/>
      <c r="T327" s="13"/>
      <c r="U327" s="13"/>
      <c r="V327" s="13"/>
      <c r="W327" s="16"/>
    </row>
    <row r="328" spans="1:27" ht="24">
      <c r="A328" s="704" t="s">
        <v>6883</v>
      </c>
      <c r="B328" s="482">
        <f t="shared" ref="B328:W328" si="77">B329</f>
        <v>6574</v>
      </c>
      <c r="C328" s="482">
        <f t="shared" si="77"/>
        <v>35</v>
      </c>
      <c r="D328" s="482">
        <f t="shared" si="77"/>
        <v>0</v>
      </c>
      <c r="E328" s="482">
        <f t="shared" si="77"/>
        <v>0</v>
      </c>
      <c r="F328" s="482">
        <f t="shared" si="77"/>
        <v>0</v>
      </c>
      <c r="G328" s="482">
        <f t="shared" si="77"/>
        <v>0</v>
      </c>
      <c r="H328" s="482">
        <f t="shared" si="77"/>
        <v>0</v>
      </c>
      <c r="I328" s="482">
        <f t="shared" si="77"/>
        <v>0</v>
      </c>
      <c r="J328" s="482">
        <f t="shared" si="77"/>
        <v>22355</v>
      </c>
      <c r="K328" s="482">
        <f t="shared" si="77"/>
        <v>0</v>
      </c>
      <c r="L328" s="479">
        <f t="shared" si="77"/>
        <v>107529286.19602001</v>
      </c>
      <c r="M328" s="478">
        <f t="shared" si="77"/>
        <v>6762</v>
      </c>
      <c r="N328" s="482">
        <f t="shared" si="77"/>
        <v>0</v>
      </c>
      <c r="O328" s="482">
        <f t="shared" si="77"/>
        <v>0</v>
      </c>
      <c r="P328" s="482">
        <f t="shared" si="77"/>
        <v>0</v>
      </c>
      <c r="Q328" s="482">
        <f t="shared" si="77"/>
        <v>0</v>
      </c>
      <c r="R328" s="482">
        <f t="shared" si="77"/>
        <v>0</v>
      </c>
      <c r="S328" s="482">
        <f t="shared" si="77"/>
        <v>0</v>
      </c>
      <c r="T328" s="482">
        <f t="shared" si="77"/>
        <v>0</v>
      </c>
      <c r="U328" s="482">
        <f t="shared" si="77"/>
        <v>22356</v>
      </c>
      <c r="V328" s="482">
        <f t="shared" si="77"/>
        <v>29118</v>
      </c>
      <c r="W328" s="474">
        <f t="shared" si="77"/>
        <v>109800427.430664</v>
      </c>
    </row>
    <row r="329" spans="1:27" ht="12.75" thickBot="1">
      <c r="A329" s="703" t="s">
        <v>6882</v>
      </c>
      <c r="B329" s="13">
        <f>3770+392+2412</f>
        <v>6574</v>
      </c>
      <c r="C329" s="13">
        <v>35</v>
      </c>
      <c r="D329" s="13"/>
      <c r="E329" s="13"/>
      <c r="F329" s="13"/>
      <c r="G329" s="13"/>
      <c r="H329" s="13"/>
      <c r="I329" s="13"/>
      <c r="J329" s="13">
        <v>22355</v>
      </c>
      <c r="K329" s="13"/>
      <c r="L329" s="472">
        <f>107333144.5+196141.69602</f>
        <v>107529286.19602001</v>
      </c>
      <c r="M329" s="13">
        <v>6762</v>
      </c>
      <c r="N329" s="13"/>
      <c r="O329" s="13"/>
      <c r="P329" s="13"/>
      <c r="Q329" s="13"/>
      <c r="R329" s="13"/>
      <c r="S329" s="13"/>
      <c r="T329" s="13"/>
      <c r="U329" s="13">
        <v>22356</v>
      </c>
      <c r="V329" s="13">
        <f>SUM(M329:U329)</f>
        <v>29118</v>
      </c>
      <c r="W329" s="472">
        <f>108050247.69768+1750179.732984</f>
        <v>109800427.430664</v>
      </c>
    </row>
    <row r="330" spans="1:27" ht="12.75" hidden="1" thickBot="1">
      <c r="A330" s="15"/>
      <c r="B330" s="13"/>
      <c r="C330" s="13"/>
      <c r="D330" s="13"/>
      <c r="E330" s="13"/>
      <c r="F330" s="13"/>
      <c r="G330" s="13"/>
      <c r="H330" s="13"/>
      <c r="I330" s="13"/>
      <c r="J330" s="13"/>
      <c r="K330" s="13"/>
      <c r="L330" s="472"/>
      <c r="M330" s="13"/>
      <c r="N330" s="13"/>
      <c r="O330" s="13"/>
      <c r="P330" s="13"/>
      <c r="Q330" s="13"/>
      <c r="R330" s="13"/>
      <c r="S330" s="13"/>
      <c r="T330" s="13"/>
      <c r="U330" s="13"/>
      <c r="V330" s="13"/>
      <c r="W330" s="16"/>
    </row>
    <row r="331" spans="1:27" ht="12.75" thickBot="1">
      <c r="A331" s="17" t="s">
        <v>23</v>
      </c>
      <c r="B331" s="19"/>
      <c r="C331" s="19"/>
      <c r="D331" s="19"/>
      <c r="E331" s="19"/>
      <c r="F331" s="19"/>
      <c r="G331" s="19"/>
      <c r="H331" s="19"/>
      <c r="I331" s="19"/>
      <c r="J331" s="19"/>
      <c r="K331" s="540">
        <f>K10+K50+K67+K79+K207+K280+K294</f>
        <v>65011</v>
      </c>
      <c r="L331" s="539">
        <f>L10+L50+L67+L79+L201+L207+L317+L328+L280+L294</f>
        <v>1727797960.3171227</v>
      </c>
      <c r="M331" s="19"/>
      <c r="N331" s="19"/>
      <c r="O331" s="19"/>
      <c r="P331" s="19"/>
      <c r="Q331" s="19"/>
      <c r="R331" s="19"/>
      <c r="S331" s="19"/>
      <c r="T331" s="19"/>
      <c r="U331" s="19"/>
      <c r="V331" s="540">
        <f>V10+V50+V67+V79+V207+V280+V294</f>
        <v>64732</v>
      </c>
      <c r="W331" s="539">
        <f>W10+W50+W67+W79+W201+W207+W317+W328+W280+W294</f>
        <v>1717472538.2399101</v>
      </c>
    </row>
    <row r="332" spans="1:27" s="712" customFormat="1" ht="6">
      <c r="A332" s="2007"/>
      <c r="B332" s="2008"/>
      <c r="C332" s="2008"/>
      <c r="D332" s="2008"/>
      <c r="E332" s="2008"/>
      <c r="F332" s="2008"/>
      <c r="G332" s="2008"/>
      <c r="H332" s="2008"/>
      <c r="I332" s="2008"/>
      <c r="J332" s="2008"/>
      <c r="K332" s="2008"/>
      <c r="L332" s="2008"/>
      <c r="M332" s="2008"/>
      <c r="N332" s="2008"/>
      <c r="O332" s="2008"/>
      <c r="P332" s="2008"/>
      <c r="Q332" s="2008"/>
      <c r="R332" s="2008"/>
      <c r="S332" s="2008"/>
      <c r="T332" s="2008"/>
      <c r="U332" s="2008"/>
      <c r="V332" s="2008"/>
      <c r="W332" s="2009"/>
      <c r="X332" s="711"/>
    </row>
    <row r="333" spans="1:27" ht="15">
      <c r="A333" s="2004" t="s">
        <v>7177</v>
      </c>
      <c r="B333" s="2005"/>
      <c r="C333" s="2005"/>
      <c r="D333" s="2005"/>
      <c r="E333" s="2005"/>
      <c r="F333" s="2005"/>
      <c r="G333" s="2005"/>
      <c r="H333" s="2005"/>
      <c r="I333" s="2005"/>
      <c r="J333" s="2005"/>
      <c r="K333" s="2005"/>
      <c r="L333" s="2005"/>
      <c r="M333" s="2005"/>
      <c r="N333" s="2005"/>
      <c r="O333" s="2005"/>
      <c r="P333" s="2005"/>
      <c r="Q333" s="2005"/>
      <c r="R333" s="2005"/>
      <c r="S333" s="2005"/>
      <c r="T333" s="2005"/>
      <c r="U333" s="2005"/>
      <c r="V333" s="2005"/>
      <c r="W333" s="2006"/>
    </row>
    <row r="334" spans="1:27" s="710" customFormat="1" ht="8.25">
      <c r="A334" s="2010"/>
      <c r="B334" s="2011"/>
      <c r="C334" s="2011"/>
      <c r="D334" s="2011"/>
      <c r="E334" s="2011"/>
      <c r="F334" s="2011"/>
      <c r="G334" s="2011"/>
      <c r="H334" s="2011"/>
      <c r="I334" s="2011"/>
      <c r="J334" s="2011"/>
      <c r="K334" s="2011"/>
      <c r="L334" s="2011"/>
      <c r="M334" s="2011"/>
      <c r="N334" s="2011"/>
      <c r="O334" s="2011"/>
      <c r="P334" s="2011"/>
      <c r="Q334" s="2011"/>
      <c r="R334" s="2011"/>
      <c r="S334" s="2011"/>
      <c r="T334" s="2011"/>
      <c r="U334" s="2011"/>
      <c r="V334" s="2011"/>
      <c r="W334" s="2012"/>
      <c r="X334" s="709"/>
    </row>
    <row r="335" spans="1:27">
      <c r="A335" s="481" t="s">
        <v>6909</v>
      </c>
      <c r="B335" s="482"/>
      <c r="C335" s="482"/>
      <c r="D335" s="482">
        <f t="shared" ref="D335:W335" si="78">SUM(D336:D338)</f>
        <v>153</v>
      </c>
      <c r="E335" s="482">
        <f t="shared" si="78"/>
        <v>0</v>
      </c>
      <c r="F335" s="482">
        <f t="shared" si="78"/>
        <v>0</v>
      </c>
      <c r="G335" s="482">
        <f t="shared" si="78"/>
        <v>0</v>
      </c>
      <c r="H335" s="482">
        <f t="shared" si="78"/>
        <v>0</v>
      </c>
      <c r="I335" s="482">
        <f t="shared" si="78"/>
        <v>0</v>
      </c>
      <c r="J335" s="482">
        <f t="shared" si="78"/>
        <v>0</v>
      </c>
      <c r="K335" s="482">
        <f t="shared" si="78"/>
        <v>153</v>
      </c>
      <c r="L335" s="474">
        <f t="shared" si="78"/>
        <v>2511426</v>
      </c>
      <c r="M335" s="482">
        <f t="shared" si="78"/>
        <v>0</v>
      </c>
      <c r="N335" s="482">
        <f t="shared" si="78"/>
        <v>0</v>
      </c>
      <c r="O335" s="482">
        <f t="shared" si="78"/>
        <v>153</v>
      </c>
      <c r="P335" s="482">
        <f t="shared" si="78"/>
        <v>0</v>
      </c>
      <c r="Q335" s="482">
        <f t="shared" si="78"/>
        <v>0</v>
      </c>
      <c r="R335" s="482">
        <f t="shared" si="78"/>
        <v>0</v>
      </c>
      <c r="S335" s="482">
        <f t="shared" si="78"/>
        <v>0</v>
      </c>
      <c r="T335" s="482">
        <f t="shared" si="78"/>
        <v>0</v>
      </c>
      <c r="U335" s="482">
        <f t="shared" si="78"/>
        <v>0</v>
      </c>
      <c r="V335" s="482">
        <f t="shared" si="78"/>
        <v>153</v>
      </c>
      <c r="W335" s="474">
        <f t="shared" si="78"/>
        <v>2134715</v>
      </c>
      <c r="X335" s="68"/>
    </row>
    <row r="336" spans="1:27">
      <c r="A336" s="15" t="s">
        <v>6908</v>
      </c>
      <c r="B336" s="13"/>
      <c r="C336" s="13"/>
      <c r="D336" s="13">
        <v>8</v>
      </c>
      <c r="E336" s="13"/>
      <c r="F336" s="13"/>
      <c r="G336" s="13"/>
      <c r="H336" s="13"/>
      <c r="I336" s="13"/>
      <c r="J336" s="13"/>
      <c r="K336" s="13">
        <f>SUM(B336:J336)</f>
        <v>8</v>
      </c>
      <c r="L336" s="472">
        <v>131316.39215686274</v>
      </c>
      <c r="M336" s="13"/>
      <c r="N336" s="13"/>
      <c r="O336" s="13">
        <v>8</v>
      </c>
      <c r="P336" s="13"/>
      <c r="Q336" s="13"/>
      <c r="R336" s="13"/>
      <c r="S336" s="13"/>
      <c r="T336" s="13"/>
      <c r="U336" s="13"/>
      <c r="V336" s="13">
        <f>SUM(M336:U336)</f>
        <v>8</v>
      </c>
      <c r="W336" s="472">
        <v>111619.08496732026</v>
      </c>
      <c r="X336" s="68"/>
      <c r="AA336" s="543"/>
    </row>
    <row r="337" spans="1:27">
      <c r="A337" s="15" t="s">
        <v>6907</v>
      </c>
      <c r="B337" s="13"/>
      <c r="C337" s="13"/>
      <c r="D337" s="13">
        <v>54</v>
      </c>
      <c r="E337" s="13"/>
      <c r="F337" s="13"/>
      <c r="G337" s="13"/>
      <c r="H337" s="13"/>
      <c r="I337" s="13"/>
      <c r="J337" s="13"/>
      <c r="K337" s="13">
        <f>SUM(B337:J337)</f>
        <v>54</v>
      </c>
      <c r="L337" s="472">
        <v>886385.64705882361</v>
      </c>
      <c r="M337" s="13"/>
      <c r="N337" s="13"/>
      <c r="O337" s="13">
        <v>54</v>
      </c>
      <c r="P337" s="13"/>
      <c r="Q337" s="13"/>
      <c r="R337" s="13"/>
      <c r="S337" s="13"/>
      <c r="T337" s="13"/>
      <c r="U337" s="13"/>
      <c r="V337" s="13">
        <f>SUM(M337:U337)</f>
        <v>54</v>
      </c>
      <c r="W337" s="472">
        <v>753428.82352941181</v>
      </c>
      <c r="X337" s="68"/>
      <c r="AA337" s="543"/>
    </row>
    <row r="338" spans="1:27" ht="12.75" thickBot="1">
      <c r="A338" s="15" t="s">
        <v>6906</v>
      </c>
      <c r="B338" s="13"/>
      <c r="C338" s="13"/>
      <c r="D338" s="13">
        <v>91</v>
      </c>
      <c r="E338" s="13"/>
      <c r="F338" s="13"/>
      <c r="G338" s="13"/>
      <c r="H338" s="13"/>
      <c r="I338" s="13"/>
      <c r="J338" s="13"/>
      <c r="K338" s="13">
        <f>SUM(B338:J338)</f>
        <v>91</v>
      </c>
      <c r="L338" s="472">
        <v>1493723.9607843137</v>
      </c>
      <c r="M338" s="13"/>
      <c r="N338" s="13"/>
      <c r="O338" s="13">
        <v>91</v>
      </c>
      <c r="P338" s="13"/>
      <c r="Q338" s="13"/>
      <c r="R338" s="13"/>
      <c r="S338" s="13"/>
      <c r="T338" s="13"/>
      <c r="U338" s="13"/>
      <c r="V338" s="13">
        <f>SUM(M338:U338)</f>
        <v>91</v>
      </c>
      <c r="W338" s="472">
        <v>1269667.0915032679</v>
      </c>
      <c r="X338" s="68"/>
      <c r="AA338" s="543"/>
    </row>
    <row r="339" spans="1:27" hidden="1">
      <c r="A339" s="15"/>
      <c r="B339" s="13"/>
      <c r="C339" s="13"/>
      <c r="D339" s="13"/>
      <c r="E339" s="13"/>
      <c r="F339" s="13"/>
      <c r="G339" s="13"/>
      <c r="H339" s="13"/>
      <c r="I339" s="13"/>
      <c r="J339" s="13"/>
      <c r="K339" s="13"/>
      <c r="L339" s="472"/>
      <c r="M339" s="13"/>
      <c r="N339" s="13"/>
      <c r="O339" s="13"/>
      <c r="P339" s="13"/>
      <c r="Q339" s="13"/>
      <c r="R339" s="13"/>
      <c r="S339" s="13"/>
      <c r="T339" s="13"/>
      <c r="U339" s="13"/>
      <c r="V339" s="13"/>
      <c r="W339" s="472"/>
      <c r="X339" s="68"/>
      <c r="AA339" s="542"/>
    </row>
    <row r="340" spans="1:27" ht="12.75" hidden="1" thickBot="1">
      <c r="A340" s="15"/>
      <c r="B340" s="13"/>
      <c r="C340" s="13"/>
      <c r="D340" s="13"/>
      <c r="E340" s="13"/>
      <c r="F340" s="13"/>
      <c r="G340" s="13"/>
      <c r="H340" s="13"/>
      <c r="I340" s="13"/>
      <c r="J340" s="13"/>
      <c r="K340" s="13"/>
      <c r="L340" s="472"/>
      <c r="M340" s="13"/>
      <c r="N340" s="13"/>
      <c r="O340" s="13"/>
      <c r="P340" s="13"/>
      <c r="Q340" s="13"/>
      <c r="R340" s="13"/>
      <c r="S340" s="13"/>
      <c r="T340" s="13"/>
      <c r="U340" s="13"/>
      <c r="V340" s="13"/>
      <c r="W340" s="16"/>
      <c r="X340" s="68"/>
    </row>
    <row r="341" spans="1:27" ht="12.75" thickBot="1">
      <c r="A341" s="17" t="s">
        <v>23</v>
      </c>
      <c r="B341" s="19"/>
      <c r="C341" s="19"/>
      <c r="D341" s="19">
        <f>D335</f>
        <v>153</v>
      </c>
      <c r="E341" s="19"/>
      <c r="F341" s="19"/>
      <c r="G341" s="19"/>
      <c r="H341" s="19"/>
      <c r="I341" s="19"/>
      <c r="J341" s="19"/>
      <c r="K341" s="540">
        <f>K335</f>
        <v>153</v>
      </c>
      <c r="L341" s="539">
        <f>L335</f>
        <v>2511426</v>
      </c>
      <c r="M341" s="19"/>
      <c r="N341" s="19"/>
      <c r="O341" s="19">
        <f>O335</f>
        <v>153</v>
      </c>
      <c r="P341" s="19"/>
      <c r="Q341" s="19"/>
      <c r="R341" s="19"/>
      <c r="S341" s="19"/>
      <c r="T341" s="19"/>
      <c r="U341" s="19"/>
      <c r="V341" s="540">
        <f>V335</f>
        <v>153</v>
      </c>
      <c r="W341" s="539">
        <f>W335</f>
        <v>2134715</v>
      </c>
      <c r="X341" s="68"/>
    </row>
    <row r="342" spans="1:27" ht="12.75">
      <c r="A342" s="1" t="s">
        <v>273</v>
      </c>
      <c r="B342" s="2"/>
      <c r="C342" s="2"/>
      <c r="D342" s="2"/>
      <c r="E342" s="2"/>
      <c r="F342" s="2"/>
      <c r="G342" s="2"/>
      <c r="H342" s="2"/>
      <c r="I342" s="2"/>
      <c r="J342" s="2"/>
      <c r="K342" s="2"/>
      <c r="L342" s="2"/>
      <c r="M342" s="2"/>
      <c r="N342" s="2"/>
      <c r="O342" s="2"/>
      <c r="P342" s="6"/>
      <c r="Q342" s="52"/>
      <c r="R342"/>
      <c r="S342"/>
      <c r="T342" s="68"/>
      <c r="U342" s="68"/>
      <c r="V342" s="68"/>
      <c r="W342" s="68"/>
      <c r="X342" s="68"/>
    </row>
    <row r="343" spans="1:27" ht="12.75">
      <c r="A343" s="11" t="s">
        <v>267</v>
      </c>
      <c r="P343" s="68"/>
      <c r="Q343" s="52"/>
      <c r="R343"/>
      <c r="S343"/>
      <c r="T343"/>
      <c r="U343"/>
      <c r="V343" s="68"/>
      <c r="W343" s="538"/>
      <c r="X343" s="68"/>
    </row>
    <row r="344" spans="1:27" ht="12.75">
      <c r="A344" s="11" t="s">
        <v>271</v>
      </c>
      <c r="L344" s="537"/>
      <c r="P344" s="68"/>
      <c r="Q344" s="52"/>
      <c r="R344"/>
      <c r="S344"/>
      <c r="T344"/>
      <c r="U344"/>
      <c r="V344" s="68"/>
      <c r="W344" s="68"/>
      <c r="X344" s="68"/>
    </row>
    <row r="345" spans="1:27">
      <c r="A345" s="11" t="s">
        <v>278</v>
      </c>
      <c r="W345" s="536"/>
    </row>
    <row r="346" spans="1:27">
      <c r="K346" s="461"/>
      <c r="L346" s="461"/>
    </row>
    <row r="348" spans="1:27">
      <c r="L348" s="536"/>
      <c r="W348" s="536"/>
    </row>
    <row r="350" spans="1:27">
      <c r="W350" s="461"/>
    </row>
  </sheetData>
  <mergeCells count="8">
    <mergeCell ref="A334:W334"/>
    <mergeCell ref="B5:L5"/>
    <mergeCell ref="M5:W5"/>
    <mergeCell ref="A7:W7"/>
    <mergeCell ref="A8:W8"/>
    <mergeCell ref="A9:W9"/>
    <mergeCell ref="A332:W332"/>
    <mergeCell ref="A333:W333"/>
  </mergeCells>
  <printOptions horizontalCentered="1"/>
  <pageMargins left="0.19685039370078741" right="0.19685039370078741" top="0.78740157480314965" bottom="0.78740157480314965" header="0.19685039370078741" footer="0.19685039370078741"/>
  <pageSetup paperSize="9" scale="82" fitToHeight="15"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2060"/>
  </sheetPr>
  <dimension ref="A1:AB378"/>
  <sheetViews>
    <sheetView view="pageBreakPreview" zoomScaleNormal="100" zoomScaleSheetLayoutView="100" workbookViewId="0">
      <selection activeCell="B8" sqref="B8"/>
    </sheetView>
  </sheetViews>
  <sheetFormatPr baseColWidth="10" defaultColWidth="11.42578125" defaultRowHeight="12.75"/>
  <cols>
    <col min="1" max="1" width="29.28515625" style="11" customWidth="1"/>
    <col min="2" max="2" width="6.5703125" style="11" bestFit="1" customWidth="1"/>
    <col min="3" max="3" width="5.140625" style="11" bestFit="1" customWidth="1"/>
    <col min="4" max="4" width="7.28515625" style="11" bestFit="1" customWidth="1"/>
    <col min="5" max="9" width="5.140625" style="11" bestFit="1" customWidth="1"/>
    <col min="10" max="11" width="7.5703125" style="11" bestFit="1" customWidth="1"/>
    <col min="12" max="12" width="13.42578125" style="11" bestFit="1" customWidth="1"/>
    <col min="13" max="13" width="6.5703125" style="11" bestFit="1" customWidth="1"/>
    <col min="14" max="14" width="5.140625" style="11" bestFit="1" customWidth="1"/>
    <col min="15" max="15" width="7.28515625" style="11" bestFit="1" customWidth="1"/>
    <col min="16" max="20" width="5.140625" style="11" bestFit="1" customWidth="1"/>
    <col min="21" max="22" width="7.5703125" style="11" bestFit="1" customWidth="1"/>
    <col min="23" max="23" width="13.42578125" style="11" bestFit="1" customWidth="1"/>
    <col min="24" max="24" width="1.7109375" style="52" customWidth="1"/>
    <col min="25" max="28" width="10.7109375" customWidth="1"/>
    <col min="29" max="16384" width="11.42578125" style="68"/>
  </cols>
  <sheetData>
    <row r="1" spans="1:28" s="72" customFormat="1" ht="15.75">
      <c r="A1" s="186" t="s">
        <v>458</v>
      </c>
      <c r="B1" s="71"/>
      <c r="C1" s="71"/>
      <c r="D1" s="71"/>
      <c r="E1" s="71"/>
      <c r="F1" s="71"/>
      <c r="G1" s="71"/>
      <c r="H1" s="71"/>
      <c r="I1" s="71"/>
      <c r="J1" s="71"/>
      <c r="K1" s="71"/>
      <c r="L1" s="71"/>
      <c r="M1" s="71"/>
      <c r="N1" s="71"/>
      <c r="O1" s="71"/>
      <c r="P1" s="71"/>
      <c r="Q1" s="71"/>
      <c r="R1" s="71"/>
      <c r="S1" s="71"/>
      <c r="T1" s="71"/>
      <c r="U1" s="71"/>
      <c r="V1" s="71"/>
      <c r="W1" s="71"/>
      <c r="X1" s="73"/>
    </row>
    <row r="2" spans="1:28" s="72" customFormat="1" ht="15.75">
      <c r="A2" s="186" t="s">
        <v>382</v>
      </c>
      <c r="B2" s="71"/>
      <c r="C2" s="71"/>
      <c r="D2" s="71"/>
      <c r="E2" s="71"/>
      <c r="F2" s="71"/>
      <c r="G2" s="71"/>
      <c r="H2" s="71"/>
      <c r="I2" s="71"/>
      <c r="J2" s="71"/>
      <c r="K2" s="71"/>
      <c r="L2" s="71"/>
      <c r="M2" s="71"/>
      <c r="N2" s="71"/>
      <c r="O2" s="71"/>
      <c r="P2" s="71"/>
      <c r="Q2" s="71"/>
      <c r="R2" s="71"/>
      <c r="S2" s="71"/>
      <c r="T2" s="71"/>
      <c r="U2" s="71"/>
      <c r="V2" s="71"/>
      <c r="W2" s="71"/>
      <c r="X2" s="73"/>
    </row>
    <row r="3" spans="1:28" s="56" customFormat="1" ht="15.75">
      <c r="A3" s="187" t="s">
        <v>1654</v>
      </c>
      <c r="X3" s="51"/>
    </row>
    <row r="4" spans="1:28" ht="13.5" thickBot="1">
      <c r="A4" s="187" t="s">
        <v>3624</v>
      </c>
      <c r="L4" s="12"/>
      <c r="W4" s="12"/>
    </row>
    <row r="5" spans="1:28" s="41" customFormat="1" ht="11.25">
      <c r="A5" s="120" t="s">
        <v>10</v>
      </c>
      <c r="B5" s="2001" t="s">
        <v>456</v>
      </c>
      <c r="C5" s="2002"/>
      <c r="D5" s="2002"/>
      <c r="E5" s="2002"/>
      <c r="F5" s="2002"/>
      <c r="G5" s="2002"/>
      <c r="H5" s="2002"/>
      <c r="I5" s="2002"/>
      <c r="J5" s="2002"/>
      <c r="K5" s="2002"/>
      <c r="L5" s="2003"/>
      <c r="M5" s="2001" t="s">
        <v>457</v>
      </c>
      <c r="N5" s="2002"/>
      <c r="O5" s="2002"/>
      <c r="P5" s="2002"/>
      <c r="Q5" s="2002"/>
      <c r="R5" s="2002"/>
      <c r="S5" s="2002"/>
      <c r="T5" s="2002"/>
      <c r="U5" s="2002"/>
      <c r="V5" s="2002"/>
      <c r="W5" s="2003"/>
      <c r="X5" s="53"/>
    </row>
    <row r="6" spans="1:28" s="42" customFormat="1" ht="98.25">
      <c r="A6" s="121" t="s">
        <v>9</v>
      </c>
      <c r="B6" s="122" t="s">
        <v>310</v>
      </c>
      <c r="C6" s="122" t="s">
        <v>118</v>
      </c>
      <c r="D6" s="123" t="s">
        <v>266</v>
      </c>
      <c r="E6" s="123" t="s">
        <v>259</v>
      </c>
      <c r="F6" s="123" t="s">
        <v>268</v>
      </c>
      <c r="G6" s="123" t="s">
        <v>269</v>
      </c>
      <c r="H6" s="123" t="s">
        <v>270</v>
      </c>
      <c r="I6" s="123" t="s">
        <v>277</v>
      </c>
      <c r="J6" s="124" t="s">
        <v>272</v>
      </c>
      <c r="K6" s="125" t="s">
        <v>274</v>
      </c>
      <c r="L6" s="126" t="s">
        <v>276</v>
      </c>
      <c r="M6" s="122" t="s">
        <v>310</v>
      </c>
      <c r="N6" s="122" t="s">
        <v>118</v>
      </c>
      <c r="O6" s="123" t="s">
        <v>266</v>
      </c>
      <c r="P6" s="123" t="s">
        <v>259</v>
      </c>
      <c r="Q6" s="123" t="s">
        <v>268</v>
      </c>
      <c r="R6" s="123" t="s">
        <v>269</v>
      </c>
      <c r="S6" s="123" t="s">
        <v>270</v>
      </c>
      <c r="T6" s="123" t="s">
        <v>277</v>
      </c>
      <c r="U6" s="124" t="s">
        <v>272</v>
      </c>
      <c r="V6" s="125" t="s">
        <v>274</v>
      </c>
      <c r="W6" s="126" t="s">
        <v>275</v>
      </c>
      <c r="X6" s="54"/>
    </row>
    <row r="7" spans="1:28" s="712" customFormat="1" ht="6">
      <c r="A7" s="2007"/>
      <c r="B7" s="2008"/>
      <c r="C7" s="2008"/>
      <c r="D7" s="2008"/>
      <c r="E7" s="2008"/>
      <c r="F7" s="2008"/>
      <c r="G7" s="2008"/>
      <c r="H7" s="2008"/>
      <c r="I7" s="2008"/>
      <c r="J7" s="2008"/>
      <c r="K7" s="2008"/>
      <c r="L7" s="2008"/>
      <c r="M7" s="2008"/>
      <c r="N7" s="2008"/>
      <c r="O7" s="2008"/>
      <c r="P7" s="2008"/>
      <c r="Q7" s="2008"/>
      <c r="R7" s="2008"/>
      <c r="S7" s="2008"/>
      <c r="T7" s="2008"/>
      <c r="U7" s="2008"/>
      <c r="V7" s="2008"/>
      <c r="W7" s="2009"/>
      <c r="X7" s="711"/>
    </row>
    <row r="8" spans="1:28" ht="15">
      <c r="A8" s="2004" t="s">
        <v>7176</v>
      </c>
      <c r="B8" s="2005"/>
      <c r="C8" s="2005"/>
      <c r="D8" s="2005"/>
      <c r="E8" s="2005"/>
      <c r="F8" s="2005"/>
      <c r="G8" s="2005"/>
      <c r="H8" s="2005"/>
      <c r="I8" s="2005"/>
      <c r="J8" s="2005"/>
      <c r="K8" s="2005"/>
      <c r="L8" s="2005"/>
      <c r="M8" s="2005"/>
      <c r="N8" s="2005"/>
      <c r="O8" s="2005"/>
      <c r="P8" s="2005"/>
      <c r="Q8" s="2005"/>
      <c r="R8" s="2005"/>
      <c r="S8" s="2005"/>
      <c r="T8" s="2005"/>
      <c r="U8" s="2005"/>
      <c r="V8" s="2005"/>
      <c r="W8" s="2006"/>
      <c r="Y8" s="68"/>
      <c r="Z8" s="68"/>
      <c r="AA8" s="68"/>
      <c r="AB8" s="68"/>
    </row>
    <row r="9" spans="1:28" s="710" customFormat="1" ht="8.25">
      <c r="A9" s="2010"/>
      <c r="B9" s="2011"/>
      <c r="C9" s="2011"/>
      <c r="D9" s="2011"/>
      <c r="E9" s="2011"/>
      <c r="F9" s="2011"/>
      <c r="G9" s="2011"/>
      <c r="H9" s="2011"/>
      <c r="I9" s="2011"/>
      <c r="J9" s="2011"/>
      <c r="K9" s="2011"/>
      <c r="L9" s="2011"/>
      <c r="M9" s="2011"/>
      <c r="N9" s="2011"/>
      <c r="O9" s="2011"/>
      <c r="P9" s="2011"/>
      <c r="Q9" s="2011"/>
      <c r="R9" s="2011"/>
      <c r="S9" s="2011"/>
      <c r="T9" s="2011"/>
      <c r="U9" s="2011"/>
      <c r="V9" s="2011"/>
      <c r="W9" s="2012"/>
      <c r="X9" s="709"/>
    </row>
    <row r="10" spans="1:28">
      <c r="A10" s="704" t="s">
        <v>48</v>
      </c>
      <c r="B10" s="482">
        <f t="shared" ref="B10:W10" si="0">B11+B20+B27+B34+B42+B46</f>
        <v>2889</v>
      </c>
      <c r="C10" s="482">
        <f t="shared" si="0"/>
        <v>0</v>
      </c>
      <c r="D10" s="482">
        <f t="shared" si="0"/>
        <v>0</v>
      </c>
      <c r="E10" s="482">
        <f t="shared" si="0"/>
        <v>0</v>
      </c>
      <c r="F10" s="482">
        <f t="shared" si="0"/>
        <v>0</v>
      </c>
      <c r="G10" s="482">
        <f t="shared" si="0"/>
        <v>0</v>
      </c>
      <c r="H10" s="482">
        <f t="shared" si="0"/>
        <v>0</v>
      </c>
      <c r="I10" s="482">
        <f t="shared" si="0"/>
        <v>0</v>
      </c>
      <c r="J10" s="482">
        <f t="shared" si="0"/>
        <v>0</v>
      </c>
      <c r="K10" s="482">
        <f t="shared" si="0"/>
        <v>2889</v>
      </c>
      <c r="L10" s="474">
        <f t="shared" si="0"/>
        <v>85604716.000099123</v>
      </c>
      <c r="M10" s="482">
        <f t="shared" si="0"/>
        <v>2889</v>
      </c>
      <c r="N10" s="482">
        <f t="shared" si="0"/>
        <v>0</v>
      </c>
      <c r="O10" s="482">
        <f t="shared" si="0"/>
        <v>0</v>
      </c>
      <c r="P10" s="482">
        <f t="shared" si="0"/>
        <v>0</v>
      </c>
      <c r="Q10" s="482">
        <f t="shared" si="0"/>
        <v>0</v>
      </c>
      <c r="R10" s="482">
        <f t="shared" si="0"/>
        <v>0</v>
      </c>
      <c r="S10" s="482">
        <f t="shared" si="0"/>
        <v>0</v>
      </c>
      <c r="T10" s="482">
        <f t="shared" si="0"/>
        <v>0</v>
      </c>
      <c r="U10" s="482">
        <f t="shared" si="0"/>
        <v>0</v>
      </c>
      <c r="V10" s="482">
        <f t="shared" si="0"/>
        <v>2889</v>
      </c>
      <c r="W10" s="474">
        <f t="shared" si="0"/>
        <v>86047631.999999955</v>
      </c>
      <c r="X10" s="55"/>
      <c r="AA10" s="68"/>
      <c r="AB10" s="68"/>
    </row>
    <row r="11" spans="1:28">
      <c r="A11" s="705" t="s">
        <v>7</v>
      </c>
      <c r="B11" s="484">
        <f t="shared" ref="B11:W11" si="1">SUM(B12:B19)</f>
        <v>11</v>
      </c>
      <c r="C11" s="484">
        <f t="shared" si="1"/>
        <v>0</v>
      </c>
      <c r="D11" s="484">
        <f t="shared" si="1"/>
        <v>0</v>
      </c>
      <c r="E11" s="484">
        <f t="shared" si="1"/>
        <v>0</v>
      </c>
      <c r="F11" s="484">
        <f t="shared" si="1"/>
        <v>0</v>
      </c>
      <c r="G11" s="484">
        <f t="shared" si="1"/>
        <v>0</v>
      </c>
      <c r="H11" s="484">
        <f t="shared" si="1"/>
        <v>0</v>
      </c>
      <c r="I11" s="484">
        <f t="shared" si="1"/>
        <v>0</v>
      </c>
      <c r="J11" s="484">
        <f t="shared" si="1"/>
        <v>0</v>
      </c>
      <c r="K11" s="484">
        <f t="shared" si="1"/>
        <v>11</v>
      </c>
      <c r="L11" s="485">
        <f t="shared" si="1"/>
        <v>409369.04000000004</v>
      </c>
      <c r="M11" s="484">
        <f t="shared" si="1"/>
        <v>11</v>
      </c>
      <c r="N11" s="484">
        <f t="shared" si="1"/>
        <v>0</v>
      </c>
      <c r="O11" s="484">
        <f t="shared" si="1"/>
        <v>0</v>
      </c>
      <c r="P11" s="484">
        <f t="shared" si="1"/>
        <v>0</v>
      </c>
      <c r="Q11" s="484">
        <f t="shared" si="1"/>
        <v>0</v>
      </c>
      <c r="R11" s="484">
        <f t="shared" si="1"/>
        <v>0</v>
      </c>
      <c r="S11" s="484">
        <f t="shared" si="1"/>
        <v>0</v>
      </c>
      <c r="T11" s="484">
        <f t="shared" si="1"/>
        <v>0</v>
      </c>
      <c r="U11" s="484">
        <f t="shared" si="1"/>
        <v>0</v>
      </c>
      <c r="V11" s="484">
        <f t="shared" si="1"/>
        <v>11</v>
      </c>
      <c r="W11" s="485">
        <f t="shared" si="1"/>
        <v>382174.88</v>
      </c>
      <c r="AA11" s="68"/>
      <c r="AB11" s="68"/>
    </row>
    <row r="12" spans="1:28" hidden="1">
      <c r="A12" s="703" t="s">
        <v>3</v>
      </c>
      <c r="B12" s="13"/>
      <c r="C12" s="13"/>
      <c r="D12" s="13"/>
      <c r="E12" s="13"/>
      <c r="F12" s="13"/>
      <c r="G12" s="13"/>
      <c r="H12" s="13"/>
      <c r="I12" s="13"/>
      <c r="J12" s="13"/>
      <c r="K12" s="13"/>
      <c r="L12" s="16"/>
      <c r="M12" s="13"/>
      <c r="N12" s="13"/>
      <c r="O12" s="13"/>
      <c r="P12" s="13"/>
      <c r="Q12" s="13"/>
      <c r="R12" s="13"/>
      <c r="S12" s="13"/>
      <c r="T12" s="13"/>
      <c r="U12" s="13"/>
      <c r="V12" s="13"/>
      <c r="W12" s="472"/>
      <c r="AA12" s="68"/>
      <c r="AB12" s="68"/>
    </row>
    <row r="13" spans="1:28" hidden="1">
      <c r="A13" s="703" t="s">
        <v>7062</v>
      </c>
      <c r="B13" s="13"/>
      <c r="C13" s="13"/>
      <c r="D13" s="13"/>
      <c r="E13" s="13"/>
      <c r="F13" s="13"/>
      <c r="G13" s="13"/>
      <c r="H13" s="13"/>
      <c r="I13" s="13"/>
      <c r="J13" s="13"/>
      <c r="K13" s="13"/>
      <c r="L13" s="16"/>
      <c r="M13" s="13"/>
      <c r="N13" s="13"/>
      <c r="O13" s="13"/>
      <c r="P13" s="13"/>
      <c r="Q13" s="13"/>
      <c r="R13" s="13"/>
      <c r="S13" s="13"/>
      <c r="T13" s="13"/>
      <c r="U13" s="13"/>
      <c r="V13" s="13"/>
      <c r="W13" s="472"/>
      <c r="AA13" s="68"/>
      <c r="AB13" s="68"/>
    </row>
    <row r="14" spans="1:28" hidden="1">
      <c r="A14" s="703" t="s">
        <v>7061</v>
      </c>
      <c r="B14" s="13"/>
      <c r="C14" s="13"/>
      <c r="D14" s="13"/>
      <c r="E14" s="13"/>
      <c r="F14" s="13"/>
      <c r="G14" s="13"/>
      <c r="H14" s="13"/>
      <c r="I14" s="13"/>
      <c r="J14" s="13"/>
      <c r="K14" s="13"/>
      <c r="L14" s="16"/>
      <c r="M14" s="13"/>
      <c r="N14" s="13"/>
      <c r="O14" s="13"/>
      <c r="P14" s="13"/>
      <c r="Q14" s="13"/>
      <c r="R14" s="13"/>
      <c r="S14" s="13"/>
      <c r="T14" s="13"/>
      <c r="U14" s="13"/>
      <c r="V14" s="13"/>
      <c r="W14" s="472"/>
      <c r="AA14" s="68"/>
      <c r="AB14" s="68"/>
    </row>
    <row r="15" spans="1:28">
      <c r="A15" s="703" t="s">
        <v>7060</v>
      </c>
      <c r="B15" s="13">
        <v>8</v>
      </c>
      <c r="C15" s="13"/>
      <c r="D15" s="13"/>
      <c r="E15" s="13"/>
      <c r="F15" s="13"/>
      <c r="G15" s="13"/>
      <c r="H15" s="13"/>
      <c r="I15" s="13"/>
      <c r="J15" s="13"/>
      <c r="K15" s="13">
        <f>SUM(B15:J15)</f>
        <v>8</v>
      </c>
      <c r="L15" s="472">
        <v>298483.52</v>
      </c>
      <c r="M15" s="13">
        <v>8</v>
      </c>
      <c r="N15" s="13"/>
      <c r="O15" s="13"/>
      <c r="P15" s="13"/>
      <c r="Q15" s="13"/>
      <c r="R15" s="13"/>
      <c r="S15" s="13"/>
      <c r="T15" s="13"/>
      <c r="U15" s="13"/>
      <c r="V15" s="13">
        <f>SUM(M15:U15)</f>
        <v>8</v>
      </c>
      <c r="W15" s="472">
        <v>276623.83999999997</v>
      </c>
      <c r="AA15" s="68"/>
      <c r="AB15" s="68"/>
    </row>
    <row r="16" spans="1:28">
      <c r="A16" s="703" t="s">
        <v>7059</v>
      </c>
      <c r="B16" s="13">
        <v>3</v>
      </c>
      <c r="C16" s="13"/>
      <c r="D16" s="13"/>
      <c r="E16" s="13"/>
      <c r="F16" s="13"/>
      <c r="G16" s="13"/>
      <c r="H16" s="13"/>
      <c r="I16" s="13"/>
      <c r="J16" s="13"/>
      <c r="K16" s="13">
        <f>SUM(B16:J16)</f>
        <v>3</v>
      </c>
      <c r="L16" s="472">
        <v>110885.51999999999</v>
      </c>
      <c r="M16" s="13">
        <v>3</v>
      </c>
      <c r="N16" s="13"/>
      <c r="O16" s="13"/>
      <c r="P16" s="13"/>
      <c r="Q16" s="13"/>
      <c r="R16" s="13"/>
      <c r="S16" s="13"/>
      <c r="T16" s="13"/>
      <c r="U16" s="13"/>
      <c r="V16" s="13">
        <f>SUM(M16:U16)</f>
        <v>3</v>
      </c>
      <c r="W16" s="472">
        <v>105551.04000000001</v>
      </c>
      <c r="AA16" s="68"/>
      <c r="AB16" s="68"/>
    </row>
    <row r="17" spans="1:28" hidden="1">
      <c r="A17" s="703" t="s">
        <v>7058</v>
      </c>
      <c r="B17" s="13"/>
      <c r="C17" s="13"/>
      <c r="D17" s="13"/>
      <c r="E17" s="13"/>
      <c r="F17" s="13"/>
      <c r="G17" s="13"/>
      <c r="H17" s="13"/>
      <c r="I17" s="13"/>
      <c r="J17" s="13"/>
      <c r="K17" s="13"/>
      <c r="L17" s="472"/>
      <c r="M17" s="13"/>
      <c r="N17" s="13"/>
      <c r="O17" s="13"/>
      <c r="P17" s="13"/>
      <c r="Q17" s="13"/>
      <c r="R17" s="13"/>
      <c r="S17" s="13"/>
      <c r="T17" s="13"/>
      <c r="U17" s="13"/>
      <c r="V17" s="13"/>
      <c r="W17" s="472"/>
      <c r="AA17" s="68"/>
      <c r="AB17" s="68"/>
    </row>
    <row r="18" spans="1:28" hidden="1">
      <c r="A18" s="703" t="s">
        <v>7057</v>
      </c>
      <c r="B18" s="13"/>
      <c r="C18" s="13"/>
      <c r="D18" s="13"/>
      <c r="E18" s="13"/>
      <c r="F18" s="13"/>
      <c r="G18" s="13"/>
      <c r="H18" s="13"/>
      <c r="I18" s="13"/>
      <c r="J18" s="13"/>
      <c r="K18" s="13"/>
      <c r="L18" s="472"/>
      <c r="M18" s="13"/>
      <c r="N18" s="13"/>
      <c r="O18" s="13"/>
      <c r="P18" s="13"/>
      <c r="Q18" s="13"/>
      <c r="R18" s="13"/>
      <c r="S18" s="13"/>
      <c r="T18" s="13"/>
      <c r="U18" s="13"/>
      <c r="V18" s="13"/>
      <c r="W18" s="472"/>
      <c r="X18" s="55"/>
      <c r="AA18" s="68"/>
      <c r="AB18" s="68"/>
    </row>
    <row r="19" spans="1:28" hidden="1">
      <c r="A19" s="703" t="s">
        <v>12</v>
      </c>
      <c r="B19" s="13"/>
      <c r="C19" s="13"/>
      <c r="D19" s="13"/>
      <c r="E19" s="13"/>
      <c r="F19" s="13"/>
      <c r="G19" s="13"/>
      <c r="H19" s="13"/>
      <c r="I19" s="13"/>
      <c r="J19" s="13"/>
      <c r="K19" s="13"/>
      <c r="L19" s="472"/>
      <c r="M19" s="13"/>
      <c r="N19" s="13"/>
      <c r="O19" s="13"/>
      <c r="P19" s="13"/>
      <c r="Q19" s="13"/>
      <c r="R19" s="13"/>
      <c r="S19" s="13"/>
      <c r="T19" s="13"/>
      <c r="U19" s="13"/>
      <c r="V19" s="13"/>
      <c r="W19" s="472"/>
      <c r="AA19" s="68"/>
      <c r="AB19" s="68"/>
    </row>
    <row r="20" spans="1:28">
      <c r="A20" s="705" t="s">
        <v>4</v>
      </c>
      <c r="B20" s="484">
        <f t="shared" ref="B20:W20" si="2">SUM(B21:B26)</f>
        <v>247</v>
      </c>
      <c r="C20" s="484">
        <f t="shared" si="2"/>
        <v>0</v>
      </c>
      <c r="D20" s="484">
        <f t="shared" si="2"/>
        <v>0</v>
      </c>
      <c r="E20" s="484">
        <f t="shared" si="2"/>
        <v>0</v>
      </c>
      <c r="F20" s="484">
        <f t="shared" si="2"/>
        <v>0</v>
      </c>
      <c r="G20" s="484">
        <f t="shared" si="2"/>
        <v>0</v>
      </c>
      <c r="H20" s="484">
        <f t="shared" si="2"/>
        <v>0</v>
      </c>
      <c r="I20" s="484">
        <f t="shared" si="2"/>
        <v>0</v>
      </c>
      <c r="J20" s="484">
        <f t="shared" si="2"/>
        <v>0</v>
      </c>
      <c r="K20" s="484">
        <f t="shared" si="2"/>
        <v>247</v>
      </c>
      <c r="L20" s="485">
        <f t="shared" si="2"/>
        <v>8012298.0145143522</v>
      </c>
      <c r="M20" s="484">
        <f t="shared" si="2"/>
        <v>247</v>
      </c>
      <c r="N20" s="484">
        <f t="shared" si="2"/>
        <v>0</v>
      </c>
      <c r="O20" s="484">
        <f t="shared" si="2"/>
        <v>0</v>
      </c>
      <c r="P20" s="484">
        <f t="shared" si="2"/>
        <v>0</v>
      </c>
      <c r="Q20" s="484">
        <f t="shared" si="2"/>
        <v>0</v>
      </c>
      <c r="R20" s="484">
        <f t="shared" si="2"/>
        <v>0</v>
      </c>
      <c r="S20" s="484">
        <f t="shared" si="2"/>
        <v>0</v>
      </c>
      <c r="T20" s="484">
        <f t="shared" si="2"/>
        <v>0</v>
      </c>
      <c r="U20" s="484">
        <f t="shared" si="2"/>
        <v>0</v>
      </c>
      <c r="V20" s="484">
        <f t="shared" si="2"/>
        <v>247</v>
      </c>
      <c r="W20" s="485">
        <f t="shared" si="2"/>
        <v>7750163.8000000007</v>
      </c>
      <c r="AA20" s="68"/>
      <c r="AB20" s="68"/>
    </row>
    <row r="21" spans="1:28">
      <c r="A21" s="703" t="s">
        <v>13</v>
      </c>
      <c r="B21" s="13">
        <v>63</v>
      </c>
      <c r="C21" s="13"/>
      <c r="D21" s="13"/>
      <c r="E21" s="13"/>
      <c r="F21" s="13"/>
      <c r="G21" s="13"/>
      <c r="H21" s="13"/>
      <c r="I21" s="13"/>
      <c r="J21" s="13"/>
      <c r="K21" s="13">
        <f t="shared" ref="K21:K26" si="3">SUM(B21:J21)</f>
        <v>63</v>
      </c>
      <c r="L21" s="472">
        <v>2095755.48</v>
      </c>
      <c r="M21" s="13">
        <v>63</v>
      </c>
      <c r="N21" s="13"/>
      <c r="O21" s="13"/>
      <c r="P21" s="13"/>
      <c r="Q21" s="13"/>
      <c r="R21" s="13"/>
      <c r="S21" s="13"/>
      <c r="T21" s="13"/>
      <c r="U21" s="13"/>
      <c r="V21" s="13">
        <f t="shared" ref="V21:V26" si="4">SUM(M21:U21)</f>
        <v>63</v>
      </c>
      <c r="W21" s="472">
        <v>2035167.72</v>
      </c>
      <c r="AA21" s="68"/>
      <c r="AB21" s="68"/>
    </row>
    <row r="22" spans="1:28">
      <c r="A22" s="703" t="s">
        <v>6978</v>
      </c>
      <c r="B22" s="13">
        <v>30</v>
      </c>
      <c r="C22" s="13"/>
      <c r="D22" s="13"/>
      <c r="E22" s="13"/>
      <c r="F22" s="13"/>
      <c r="G22" s="13"/>
      <c r="H22" s="13"/>
      <c r="I22" s="13"/>
      <c r="J22" s="13"/>
      <c r="K22" s="13">
        <f t="shared" si="3"/>
        <v>30</v>
      </c>
      <c r="L22" s="472">
        <v>982340.39999999991</v>
      </c>
      <c r="M22" s="13">
        <v>30</v>
      </c>
      <c r="N22" s="13"/>
      <c r="O22" s="13"/>
      <c r="P22" s="13"/>
      <c r="Q22" s="13"/>
      <c r="R22" s="13"/>
      <c r="S22" s="13"/>
      <c r="T22" s="13"/>
      <c r="U22" s="13"/>
      <c r="V22" s="13">
        <f t="shared" si="4"/>
        <v>30</v>
      </c>
      <c r="W22" s="472">
        <v>950294.04000000015</v>
      </c>
      <c r="AA22" s="68"/>
      <c r="AB22" s="68"/>
    </row>
    <row r="23" spans="1:28">
      <c r="A23" s="703" t="s">
        <v>6977</v>
      </c>
      <c r="B23" s="13">
        <v>66</v>
      </c>
      <c r="C23" s="13"/>
      <c r="D23" s="13"/>
      <c r="E23" s="13"/>
      <c r="F23" s="13"/>
      <c r="G23" s="13"/>
      <c r="H23" s="13"/>
      <c r="I23" s="13"/>
      <c r="J23" s="13"/>
      <c r="K23" s="13">
        <f t="shared" si="3"/>
        <v>66</v>
      </c>
      <c r="L23" s="472">
        <v>2132779.44</v>
      </c>
      <c r="M23" s="13">
        <v>66</v>
      </c>
      <c r="N23" s="13"/>
      <c r="O23" s="13"/>
      <c r="P23" s="13"/>
      <c r="Q23" s="13"/>
      <c r="R23" s="13"/>
      <c r="S23" s="13"/>
      <c r="T23" s="13"/>
      <c r="U23" s="13"/>
      <c r="V23" s="13">
        <f t="shared" si="4"/>
        <v>66</v>
      </c>
      <c r="W23" s="472">
        <v>2065102.56</v>
      </c>
      <c r="X23" s="55"/>
      <c r="AA23" s="68"/>
      <c r="AB23" s="68"/>
    </row>
    <row r="24" spans="1:28">
      <c r="A24" s="703" t="s">
        <v>6976</v>
      </c>
      <c r="B24" s="13">
        <v>48</v>
      </c>
      <c r="C24" s="13"/>
      <c r="D24" s="13"/>
      <c r="E24" s="13"/>
      <c r="F24" s="13"/>
      <c r="G24" s="13"/>
      <c r="H24" s="13"/>
      <c r="I24" s="13"/>
      <c r="J24" s="13"/>
      <c r="K24" s="13">
        <f t="shared" si="3"/>
        <v>48</v>
      </c>
      <c r="L24" s="472">
        <v>1536124.7999999998</v>
      </c>
      <c r="M24" s="13">
        <v>48</v>
      </c>
      <c r="N24" s="13"/>
      <c r="O24" s="13"/>
      <c r="P24" s="13"/>
      <c r="Q24" s="13"/>
      <c r="R24" s="13"/>
      <c r="S24" s="13"/>
      <c r="T24" s="13"/>
      <c r="U24" s="13"/>
      <c r="V24" s="13">
        <f t="shared" si="4"/>
        <v>48</v>
      </c>
      <c r="W24" s="472">
        <v>1479423.6000000003</v>
      </c>
      <c r="AA24" s="68"/>
      <c r="AB24" s="68"/>
    </row>
    <row r="25" spans="1:28">
      <c r="A25" s="703" t="s">
        <v>14</v>
      </c>
      <c r="B25" s="13">
        <v>20</v>
      </c>
      <c r="C25" s="13"/>
      <c r="D25" s="13"/>
      <c r="E25" s="13"/>
      <c r="F25" s="13"/>
      <c r="G25" s="13"/>
      <c r="H25" s="13"/>
      <c r="I25" s="13"/>
      <c r="J25" s="13"/>
      <c r="K25" s="13">
        <f t="shared" si="3"/>
        <v>20</v>
      </c>
      <c r="L25" s="472">
        <v>634110.30588235287</v>
      </c>
      <c r="M25" s="13">
        <v>20</v>
      </c>
      <c r="N25" s="13"/>
      <c r="O25" s="13"/>
      <c r="P25" s="13"/>
      <c r="Q25" s="13"/>
      <c r="R25" s="13"/>
      <c r="S25" s="13"/>
      <c r="T25" s="13"/>
      <c r="U25" s="13"/>
      <c r="V25" s="13">
        <f t="shared" si="4"/>
        <v>20</v>
      </c>
      <c r="W25" s="472">
        <v>613730.83999999985</v>
      </c>
      <c r="AA25" s="68"/>
      <c r="AB25" s="68"/>
    </row>
    <row r="26" spans="1:28">
      <c r="A26" s="703" t="s">
        <v>6975</v>
      </c>
      <c r="B26" s="13">
        <v>20</v>
      </c>
      <c r="C26" s="13"/>
      <c r="D26" s="13"/>
      <c r="E26" s="13"/>
      <c r="F26" s="13"/>
      <c r="G26" s="13"/>
      <c r="H26" s="13"/>
      <c r="I26" s="13"/>
      <c r="J26" s="13"/>
      <c r="K26" s="13">
        <f t="shared" si="3"/>
        <v>20</v>
      </c>
      <c r="L26" s="472">
        <v>631187.58863200003</v>
      </c>
      <c r="M26" s="13">
        <v>20</v>
      </c>
      <c r="N26" s="13"/>
      <c r="O26" s="13"/>
      <c r="P26" s="13"/>
      <c r="Q26" s="13"/>
      <c r="R26" s="13"/>
      <c r="S26" s="13"/>
      <c r="T26" s="13"/>
      <c r="U26" s="13"/>
      <c r="V26" s="13">
        <f t="shared" si="4"/>
        <v>20</v>
      </c>
      <c r="W26" s="472">
        <v>606445.04</v>
      </c>
      <c r="AA26" s="68"/>
      <c r="AB26" s="68"/>
    </row>
    <row r="27" spans="1:28">
      <c r="A27" s="705" t="s">
        <v>5</v>
      </c>
      <c r="B27" s="484">
        <f t="shared" ref="B27:W27" si="5">SUM(B28:B33)</f>
        <v>1366</v>
      </c>
      <c r="C27" s="484">
        <f t="shared" si="5"/>
        <v>0</v>
      </c>
      <c r="D27" s="484">
        <f t="shared" si="5"/>
        <v>0</v>
      </c>
      <c r="E27" s="484">
        <f t="shared" si="5"/>
        <v>0</v>
      </c>
      <c r="F27" s="484">
        <f t="shared" si="5"/>
        <v>0</v>
      </c>
      <c r="G27" s="484">
        <f t="shared" si="5"/>
        <v>0</v>
      </c>
      <c r="H27" s="484">
        <f t="shared" si="5"/>
        <v>0</v>
      </c>
      <c r="I27" s="484">
        <f t="shared" si="5"/>
        <v>0</v>
      </c>
      <c r="J27" s="484">
        <f t="shared" si="5"/>
        <v>0</v>
      </c>
      <c r="K27" s="484">
        <f t="shared" si="5"/>
        <v>1366</v>
      </c>
      <c r="L27" s="485">
        <f t="shared" si="5"/>
        <v>40175251.785484768</v>
      </c>
      <c r="M27" s="484">
        <f t="shared" si="5"/>
        <v>1366</v>
      </c>
      <c r="N27" s="484">
        <f t="shared" si="5"/>
        <v>0</v>
      </c>
      <c r="O27" s="484">
        <f t="shared" si="5"/>
        <v>0</v>
      </c>
      <c r="P27" s="484">
        <f t="shared" si="5"/>
        <v>0</v>
      </c>
      <c r="Q27" s="484">
        <f t="shared" si="5"/>
        <v>0</v>
      </c>
      <c r="R27" s="484">
        <f t="shared" si="5"/>
        <v>0</v>
      </c>
      <c r="S27" s="484">
        <f t="shared" si="5"/>
        <v>0</v>
      </c>
      <c r="T27" s="484">
        <f t="shared" si="5"/>
        <v>0</v>
      </c>
      <c r="U27" s="484">
        <f t="shared" si="5"/>
        <v>0</v>
      </c>
      <c r="V27" s="484">
        <f t="shared" si="5"/>
        <v>1366</v>
      </c>
      <c r="W27" s="485">
        <f t="shared" si="5"/>
        <v>40582603.719999984</v>
      </c>
      <c r="AA27" s="68"/>
      <c r="AB27" s="68"/>
    </row>
    <row r="28" spans="1:28">
      <c r="A28" s="703" t="s">
        <v>15</v>
      </c>
      <c r="B28" s="13">
        <v>400</v>
      </c>
      <c r="C28" s="13"/>
      <c r="D28" s="13"/>
      <c r="E28" s="13"/>
      <c r="F28" s="13"/>
      <c r="G28" s="13"/>
      <c r="H28" s="13"/>
      <c r="I28" s="13"/>
      <c r="J28" s="13"/>
      <c r="K28" s="13">
        <f t="shared" ref="K28:K33" si="6">SUM(B28:J28)</f>
        <v>400</v>
      </c>
      <c r="L28" s="472">
        <v>11843910.825484762</v>
      </c>
      <c r="M28" s="13">
        <v>400</v>
      </c>
      <c r="N28" s="13"/>
      <c r="O28" s="13"/>
      <c r="P28" s="13"/>
      <c r="Q28" s="13"/>
      <c r="R28" s="13"/>
      <c r="S28" s="13"/>
      <c r="T28" s="13"/>
      <c r="U28" s="13"/>
      <c r="V28" s="13">
        <f t="shared" ref="V28:V33" si="7">SUM(M28:U28)</f>
        <v>400</v>
      </c>
      <c r="W28" s="472">
        <v>11960191.359999994</v>
      </c>
      <c r="X28" s="55"/>
      <c r="AA28" s="68"/>
      <c r="AB28" s="68"/>
    </row>
    <row r="29" spans="1:28">
      <c r="A29" s="703" t="s">
        <v>7056</v>
      </c>
      <c r="B29" s="13">
        <v>244</v>
      </c>
      <c r="C29" s="13"/>
      <c r="D29" s="13"/>
      <c r="E29" s="13"/>
      <c r="F29" s="13"/>
      <c r="G29" s="13"/>
      <c r="H29" s="13"/>
      <c r="I29" s="13"/>
      <c r="J29" s="13"/>
      <c r="K29" s="13">
        <f t="shared" si="6"/>
        <v>244</v>
      </c>
      <c r="L29" s="472">
        <v>7194105.7599999998</v>
      </c>
      <c r="M29" s="13">
        <v>244</v>
      </c>
      <c r="N29" s="13"/>
      <c r="O29" s="13"/>
      <c r="P29" s="13"/>
      <c r="Q29" s="13"/>
      <c r="R29" s="13"/>
      <c r="S29" s="13"/>
      <c r="T29" s="13"/>
      <c r="U29" s="13"/>
      <c r="V29" s="13">
        <f t="shared" si="7"/>
        <v>244</v>
      </c>
      <c r="W29" s="472">
        <v>7261324.3599999994</v>
      </c>
      <c r="AA29" s="68"/>
      <c r="AB29" s="68"/>
    </row>
    <row r="30" spans="1:28">
      <c r="A30" s="703" t="s">
        <v>6972</v>
      </c>
      <c r="B30" s="13">
        <v>293</v>
      </c>
      <c r="C30" s="13"/>
      <c r="D30" s="13"/>
      <c r="E30" s="13"/>
      <c r="F30" s="13"/>
      <c r="G30" s="13"/>
      <c r="H30" s="13"/>
      <c r="I30" s="13"/>
      <c r="J30" s="13"/>
      <c r="K30" s="13">
        <f t="shared" si="6"/>
        <v>293</v>
      </c>
      <c r="L30" s="472">
        <v>8610238.6400000006</v>
      </c>
      <c r="M30" s="13">
        <v>293</v>
      </c>
      <c r="N30" s="13"/>
      <c r="O30" s="13"/>
      <c r="P30" s="13"/>
      <c r="Q30" s="13"/>
      <c r="R30" s="13"/>
      <c r="S30" s="13"/>
      <c r="T30" s="13"/>
      <c r="U30" s="13"/>
      <c r="V30" s="13">
        <f t="shared" si="7"/>
        <v>293</v>
      </c>
      <c r="W30" s="472">
        <v>8683049.2399999965</v>
      </c>
      <c r="AA30" s="68"/>
      <c r="AB30" s="68"/>
    </row>
    <row r="31" spans="1:28">
      <c r="A31" s="703" t="s">
        <v>6971</v>
      </c>
      <c r="B31" s="13">
        <v>182</v>
      </c>
      <c r="C31" s="13"/>
      <c r="D31" s="13"/>
      <c r="E31" s="13"/>
      <c r="F31" s="13"/>
      <c r="G31" s="13"/>
      <c r="H31" s="13"/>
      <c r="I31" s="13"/>
      <c r="J31" s="13"/>
      <c r="K31" s="13">
        <f t="shared" si="6"/>
        <v>182</v>
      </c>
      <c r="L31" s="472">
        <v>5330605.28</v>
      </c>
      <c r="M31" s="13">
        <v>182</v>
      </c>
      <c r="N31" s="13"/>
      <c r="O31" s="13"/>
      <c r="P31" s="13"/>
      <c r="Q31" s="13"/>
      <c r="R31" s="13"/>
      <c r="S31" s="13"/>
      <c r="T31" s="13"/>
      <c r="U31" s="13"/>
      <c r="V31" s="13">
        <f t="shared" si="7"/>
        <v>182</v>
      </c>
      <c r="W31" s="472">
        <v>5391756.3200000012</v>
      </c>
      <c r="AA31" s="68"/>
      <c r="AB31" s="68"/>
    </row>
    <row r="32" spans="1:28">
      <c r="A32" s="703" t="s">
        <v>16</v>
      </c>
      <c r="B32" s="13">
        <v>104</v>
      </c>
      <c r="C32" s="13"/>
      <c r="D32" s="13"/>
      <c r="E32" s="13"/>
      <c r="F32" s="13"/>
      <c r="G32" s="13"/>
      <c r="H32" s="13"/>
      <c r="I32" s="13"/>
      <c r="J32" s="13"/>
      <c r="K32" s="13">
        <f t="shared" si="6"/>
        <v>104</v>
      </c>
      <c r="L32" s="472">
        <v>3035926.4</v>
      </c>
      <c r="M32" s="13">
        <v>104</v>
      </c>
      <c r="N32" s="13"/>
      <c r="O32" s="13"/>
      <c r="P32" s="13"/>
      <c r="Q32" s="13"/>
      <c r="R32" s="13"/>
      <c r="S32" s="13"/>
      <c r="T32" s="13"/>
      <c r="U32" s="13"/>
      <c r="V32" s="13">
        <f t="shared" si="7"/>
        <v>104</v>
      </c>
      <c r="W32" s="472">
        <v>3073182.92</v>
      </c>
      <c r="AA32" s="68"/>
      <c r="AB32" s="68"/>
    </row>
    <row r="33" spans="1:28">
      <c r="A33" s="703" t="s">
        <v>6970</v>
      </c>
      <c r="B33" s="13">
        <v>143</v>
      </c>
      <c r="C33" s="13"/>
      <c r="D33" s="13"/>
      <c r="E33" s="13"/>
      <c r="F33" s="13"/>
      <c r="G33" s="13"/>
      <c r="H33" s="13"/>
      <c r="I33" s="13"/>
      <c r="J33" s="13"/>
      <c r="K33" s="13">
        <f t="shared" si="6"/>
        <v>143</v>
      </c>
      <c r="L33" s="472">
        <v>4160464.88</v>
      </c>
      <c r="M33" s="13">
        <v>143</v>
      </c>
      <c r="N33" s="13"/>
      <c r="O33" s="13"/>
      <c r="P33" s="13"/>
      <c r="Q33" s="13"/>
      <c r="R33" s="13"/>
      <c r="S33" s="13"/>
      <c r="T33" s="13"/>
      <c r="U33" s="13"/>
      <c r="V33" s="13">
        <f t="shared" si="7"/>
        <v>143</v>
      </c>
      <c r="W33" s="472">
        <v>4213099.5199999996</v>
      </c>
      <c r="AA33" s="68"/>
      <c r="AB33" s="68"/>
    </row>
    <row r="34" spans="1:28">
      <c r="A34" s="705" t="s">
        <v>6</v>
      </c>
      <c r="B34" s="484">
        <f t="shared" ref="B34:W34" si="8">SUM(B35:B40)</f>
        <v>1256</v>
      </c>
      <c r="C34" s="484">
        <f t="shared" si="8"/>
        <v>0</v>
      </c>
      <c r="D34" s="484">
        <f t="shared" si="8"/>
        <v>0</v>
      </c>
      <c r="E34" s="484">
        <f t="shared" si="8"/>
        <v>0</v>
      </c>
      <c r="F34" s="484">
        <f t="shared" si="8"/>
        <v>0</v>
      </c>
      <c r="G34" s="484">
        <f t="shared" si="8"/>
        <v>0</v>
      </c>
      <c r="H34" s="484">
        <f t="shared" si="8"/>
        <v>0</v>
      </c>
      <c r="I34" s="484">
        <f t="shared" si="8"/>
        <v>0</v>
      </c>
      <c r="J34" s="484">
        <f t="shared" si="8"/>
        <v>0</v>
      </c>
      <c r="K34" s="484">
        <f t="shared" si="8"/>
        <v>1256</v>
      </c>
      <c r="L34" s="485">
        <f t="shared" si="8"/>
        <v>36593181.560099997</v>
      </c>
      <c r="M34" s="484">
        <f t="shared" si="8"/>
        <v>1256</v>
      </c>
      <c r="N34" s="484">
        <f t="shared" si="8"/>
        <v>0</v>
      </c>
      <c r="O34" s="484">
        <f t="shared" si="8"/>
        <v>0</v>
      </c>
      <c r="P34" s="484">
        <f t="shared" si="8"/>
        <v>0</v>
      </c>
      <c r="Q34" s="484">
        <f t="shared" si="8"/>
        <v>0</v>
      </c>
      <c r="R34" s="484">
        <f t="shared" si="8"/>
        <v>0</v>
      </c>
      <c r="S34" s="484">
        <f t="shared" si="8"/>
        <v>0</v>
      </c>
      <c r="T34" s="484">
        <f t="shared" si="8"/>
        <v>0</v>
      </c>
      <c r="U34" s="484">
        <f t="shared" si="8"/>
        <v>0</v>
      </c>
      <c r="V34" s="484">
        <f t="shared" si="8"/>
        <v>1256</v>
      </c>
      <c r="W34" s="485">
        <f t="shared" si="8"/>
        <v>36914200.039999969</v>
      </c>
      <c r="AA34" s="68"/>
      <c r="AB34" s="68"/>
    </row>
    <row r="35" spans="1:28">
      <c r="A35" s="703" t="s">
        <v>17</v>
      </c>
      <c r="B35" s="13">
        <v>219</v>
      </c>
      <c r="C35" s="13"/>
      <c r="D35" s="13"/>
      <c r="E35" s="13"/>
      <c r="F35" s="13"/>
      <c r="G35" s="13"/>
      <c r="H35" s="13"/>
      <c r="I35" s="13"/>
      <c r="J35" s="13"/>
      <c r="K35" s="13">
        <f t="shared" ref="K35:K40" si="9">SUM(B35:J35)</f>
        <v>219</v>
      </c>
      <c r="L35" s="472">
        <v>6415324.6799999997</v>
      </c>
      <c r="M35" s="13">
        <v>219</v>
      </c>
      <c r="N35" s="13"/>
      <c r="O35" s="13"/>
      <c r="P35" s="13"/>
      <c r="Q35" s="13"/>
      <c r="R35" s="13"/>
      <c r="S35" s="13"/>
      <c r="T35" s="13"/>
      <c r="U35" s="13"/>
      <c r="V35" s="13">
        <f t="shared" ref="V35:V40" si="10">SUM(M35:U35)</f>
        <v>219</v>
      </c>
      <c r="W35" s="472">
        <v>6485301.3599999994</v>
      </c>
      <c r="AA35" s="68"/>
      <c r="AB35" s="68"/>
    </row>
    <row r="36" spans="1:28">
      <c r="A36" s="703" t="s">
        <v>6969</v>
      </c>
      <c r="B36" s="13">
        <v>305</v>
      </c>
      <c r="C36" s="13"/>
      <c r="D36" s="13"/>
      <c r="E36" s="13"/>
      <c r="F36" s="13"/>
      <c r="G36" s="13"/>
      <c r="H36" s="13"/>
      <c r="I36" s="13"/>
      <c r="J36" s="13"/>
      <c r="K36" s="13">
        <f t="shared" si="9"/>
        <v>305</v>
      </c>
      <c r="L36" s="472">
        <v>8904499.3999999985</v>
      </c>
      <c r="M36" s="13">
        <v>305</v>
      </c>
      <c r="N36" s="13"/>
      <c r="O36" s="13"/>
      <c r="P36" s="13"/>
      <c r="Q36" s="13"/>
      <c r="R36" s="13"/>
      <c r="S36" s="13"/>
      <c r="T36" s="13"/>
      <c r="U36" s="13"/>
      <c r="V36" s="13">
        <f t="shared" si="10"/>
        <v>305</v>
      </c>
      <c r="W36" s="472">
        <v>8989901.8400000073</v>
      </c>
      <c r="AA36" s="68"/>
      <c r="AB36" s="68"/>
    </row>
    <row r="37" spans="1:28">
      <c r="A37" s="703" t="s">
        <v>6968</v>
      </c>
      <c r="B37" s="13">
        <v>566</v>
      </c>
      <c r="C37" s="13"/>
      <c r="D37" s="13"/>
      <c r="E37" s="13"/>
      <c r="F37" s="13"/>
      <c r="G37" s="13"/>
      <c r="H37" s="13"/>
      <c r="I37" s="13"/>
      <c r="J37" s="13"/>
      <c r="K37" s="13">
        <f t="shared" si="9"/>
        <v>566</v>
      </c>
      <c r="L37" s="472">
        <v>16468992.559999999</v>
      </c>
      <c r="M37" s="13">
        <v>566</v>
      </c>
      <c r="N37" s="13"/>
      <c r="O37" s="13"/>
      <c r="P37" s="13"/>
      <c r="Q37" s="13"/>
      <c r="R37" s="13"/>
      <c r="S37" s="13"/>
      <c r="T37" s="13"/>
      <c r="U37" s="13"/>
      <c r="V37" s="13">
        <f t="shared" si="10"/>
        <v>566</v>
      </c>
      <c r="W37" s="472">
        <v>16597301.599999959</v>
      </c>
      <c r="AA37" s="68"/>
      <c r="AB37" s="68"/>
    </row>
    <row r="38" spans="1:28">
      <c r="A38" s="703" t="s">
        <v>6967</v>
      </c>
      <c r="B38" s="13">
        <v>66</v>
      </c>
      <c r="C38" s="13"/>
      <c r="D38" s="13"/>
      <c r="E38" s="13"/>
      <c r="F38" s="13"/>
      <c r="G38" s="13"/>
      <c r="H38" s="13"/>
      <c r="I38" s="13"/>
      <c r="J38" s="13"/>
      <c r="K38" s="13">
        <f t="shared" si="9"/>
        <v>66</v>
      </c>
      <c r="L38" s="472">
        <v>1913981.52</v>
      </c>
      <c r="M38" s="13">
        <v>66</v>
      </c>
      <c r="N38" s="13"/>
      <c r="O38" s="13"/>
      <c r="P38" s="13"/>
      <c r="Q38" s="13"/>
      <c r="R38" s="13"/>
      <c r="S38" s="13"/>
      <c r="T38" s="13"/>
      <c r="U38" s="13"/>
      <c r="V38" s="13">
        <f t="shared" si="10"/>
        <v>66</v>
      </c>
      <c r="W38" s="472">
        <v>1934382.72</v>
      </c>
      <c r="AA38" s="68"/>
      <c r="AB38" s="68"/>
    </row>
    <row r="39" spans="1:28">
      <c r="A39" s="703" t="s">
        <v>18</v>
      </c>
      <c r="B39" s="13">
        <v>100</v>
      </c>
      <c r="C39" s="13"/>
      <c r="D39" s="13"/>
      <c r="E39" s="13"/>
      <c r="F39" s="13"/>
      <c r="G39" s="13"/>
      <c r="H39" s="13"/>
      <c r="I39" s="13"/>
      <c r="J39" s="13"/>
      <c r="K39" s="13">
        <f t="shared" si="9"/>
        <v>100</v>
      </c>
      <c r="L39" s="472">
        <v>2890383.4000999997</v>
      </c>
      <c r="M39" s="13">
        <v>100</v>
      </c>
      <c r="N39" s="13"/>
      <c r="O39" s="13"/>
      <c r="P39" s="13"/>
      <c r="Q39" s="13"/>
      <c r="R39" s="13"/>
      <c r="S39" s="13"/>
      <c r="T39" s="13"/>
      <c r="U39" s="13"/>
      <c r="V39" s="13">
        <f t="shared" si="10"/>
        <v>100</v>
      </c>
      <c r="W39" s="472">
        <v>2907312.52</v>
      </c>
      <c r="AA39" s="68"/>
      <c r="AB39" s="68"/>
    </row>
    <row r="40" spans="1:28" hidden="1">
      <c r="A40" s="703" t="s">
        <v>6966</v>
      </c>
      <c r="B40" s="13">
        <v>0</v>
      </c>
      <c r="C40" s="13"/>
      <c r="D40" s="13"/>
      <c r="E40" s="13"/>
      <c r="F40" s="13"/>
      <c r="G40" s="13"/>
      <c r="H40" s="13"/>
      <c r="I40" s="13"/>
      <c r="J40" s="13"/>
      <c r="K40" s="13">
        <f t="shared" si="9"/>
        <v>0</v>
      </c>
      <c r="L40" s="472"/>
      <c r="M40" s="13">
        <v>0</v>
      </c>
      <c r="N40" s="13"/>
      <c r="O40" s="13"/>
      <c r="P40" s="13"/>
      <c r="Q40" s="13"/>
      <c r="R40" s="13"/>
      <c r="S40" s="13"/>
      <c r="T40" s="13"/>
      <c r="U40" s="13"/>
      <c r="V40" s="13">
        <f t="shared" si="10"/>
        <v>0</v>
      </c>
      <c r="W40" s="472">
        <v>0</v>
      </c>
      <c r="AA40" s="68"/>
      <c r="AB40" s="68"/>
    </row>
    <row r="41" spans="1:28" hidden="1">
      <c r="A41" s="703" t="s">
        <v>7055</v>
      </c>
      <c r="B41" s="13"/>
      <c r="C41" s="13"/>
      <c r="D41" s="13"/>
      <c r="E41" s="13"/>
      <c r="F41" s="13"/>
      <c r="G41" s="13"/>
      <c r="H41" s="13"/>
      <c r="I41" s="13"/>
      <c r="J41" s="13"/>
      <c r="K41" s="13"/>
      <c r="L41" s="16"/>
      <c r="M41" s="13"/>
      <c r="N41" s="13"/>
      <c r="O41" s="13"/>
      <c r="P41" s="13"/>
      <c r="Q41" s="13"/>
      <c r="R41" s="13"/>
      <c r="S41" s="13"/>
      <c r="T41" s="13"/>
      <c r="U41" s="13"/>
      <c r="V41" s="13"/>
      <c r="W41" s="472"/>
      <c r="AA41" s="68"/>
      <c r="AB41" s="68"/>
    </row>
    <row r="42" spans="1:28">
      <c r="A42" s="705" t="s">
        <v>7064</v>
      </c>
      <c r="B42" s="484">
        <f t="shared" ref="B42:W42" si="11">SUM(B43:B44)</f>
        <v>9</v>
      </c>
      <c r="C42" s="484">
        <f t="shared" si="11"/>
        <v>0</v>
      </c>
      <c r="D42" s="484">
        <f t="shared" si="11"/>
        <v>0</v>
      </c>
      <c r="E42" s="484">
        <f t="shared" si="11"/>
        <v>0</v>
      </c>
      <c r="F42" s="484">
        <f t="shared" si="11"/>
        <v>0</v>
      </c>
      <c r="G42" s="484">
        <f t="shared" si="11"/>
        <v>0</v>
      </c>
      <c r="H42" s="484">
        <f t="shared" si="11"/>
        <v>0</v>
      </c>
      <c r="I42" s="484">
        <f t="shared" si="11"/>
        <v>0</v>
      </c>
      <c r="J42" s="484">
        <f t="shared" si="11"/>
        <v>0</v>
      </c>
      <c r="K42" s="484">
        <f t="shared" si="11"/>
        <v>9</v>
      </c>
      <c r="L42" s="485">
        <f t="shared" si="11"/>
        <v>414615.6</v>
      </c>
      <c r="M42" s="484">
        <f t="shared" si="11"/>
        <v>9</v>
      </c>
      <c r="N42" s="484">
        <f t="shared" si="11"/>
        <v>0</v>
      </c>
      <c r="O42" s="484">
        <f t="shared" si="11"/>
        <v>0</v>
      </c>
      <c r="P42" s="484">
        <f t="shared" si="11"/>
        <v>0</v>
      </c>
      <c r="Q42" s="484">
        <f t="shared" si="11"/>
        <v>0</v>
      </c>
      <c r="R42" s="484">
        <f t="shared" si="11"/>
        <v>0</v>
      </c>
      <c r="S42" s="484">
        <f t="shared" si="11"/>
        <v>0</v>
      </c>
      <c r="T42" s="484">
        <f t="shared" si="11"/>
        <v>0</v>
      </c>
      <c r="U42" s="484">
        <f t="shared" si="11"/>
        <v>0</v>
      </c>
      <c r="V42" s="484">
        <f t="shared" si="11"/>
        <v>9</v>
      </c>
      <c r="W42" s="485">
        <f t="shared" si="11"/>
        <v>418489.55999999994</v>
      </c>
      <c r="AA42" s="68"/>
      <c r="AB42" s="68"/>
    </row>
    <row r="43" spans="1:28">
      <c r="A43" s="703" t="s">
        <v>7053</v>
      </c>
      <c r="B43" s="13">
        <v>9</v>
      </c>
      <c r="C43" s="13"/>
      <c r="D43" s="13"/>
      <c r="E43" s="13"/>
      <c r="F43" s="13"/>
      <c r="G43" s="13"/>
      <c r="H43" s="13"/>
      <c r="I43" s="13"/>
      <c r="J43" s="13"/>
      <c r="K43" s="13">
        <f>SUM(B43:J43)</f>
        <v>9</v>
      </c>
      <c r="L43" s="472">
        <v>414615.6</v>
      </c>
      <c r="M43" s="13">
        <v>9</v>
      </c>
      <c r="N43" s="13"/>
      <c r="O43" s="13"/>
      <c r="P43" s="13"/>
      <c r="Q43" s="13"/>
      <c r="R43" s="13"/>
      <c r="S43" s="13"/>
      <c r="T43" s="13"/>
      <c r="U43" s="13"/>
      <c r="V43" s="13">
        <f>SUM(M43:U43)</f>
        <v>9</v>
      </c>
      <c r="W43" s="472">
        <v>418489.55999999994</v>
      </c>
      <c r="AA43" s="68"/>
      <c r="AB43" s="68"/>
    </row>
    <row r="44" spans="1:28" hidden="1">
      <c r="A44" s="703" t="s">
        <v>57</v>
      </c>
      <c r="B44" s="13"/>
      <c r="C44" s="13"/>
      <c r="D44" s="13"/>
      <c r="E44" s="13"/>
      <c r="F44" s="13"/>
      <c r="G44" s="13"/>
      <c r="H44" s="13"/>
      <c r="I44" s="13"/>
      <c r="J44" s="13"/>
      <c r="K44" s="13"/>
      <c r="L44" s="472"/>
      <c r="M44" s="13"/>
      <c r="N44" s="13"/>
      <c r="O44" s="13"/>
      <c r="P44" s="13"/>
      <c r="Q44" s="13"/>
      <c r="R44" s="13"/>
      <c r="S44" s="13"/>
      <c r="T44" s="13"/>
      <c r="U44" s="13"/>
      <c r="V44" s="13">
        <f>SUM(M44:U44)</f>
        <v>0</v>
      </c>
      <c r="W44" s="472"/>
      <c r="AA44" s="68"/>
      <c r="AB44" s="68"/>
    </row>
    <row r="45" spans="1:28" hidden="1">
      <c r="A45" s="703"/>
      <c r="B45" s="13"/>
      <c r="C45" s="13"/>
      <c r="D45" s="13"/>
      <c r="E45" s="13"/>
      <c r="F45" s="13"/>
      <c r="G45" s="13"/>
      <c r="H45" s="13"/>
      <c r="I45" s="13"/>
      <c r="J45" s="13"/>
      <c r="K45" s="13"/>
      <c r="L45" s="16"/>
      <c r="M45" s="13"/>
      <c r="N45" s="13"/>
      <c r="O45" s="13"/>
      <c r="P45" s="13"/>
      <c r="Q45" s="13"/>
      <c r="R45" s="13"/>
      <c r="S45" s="13"/>
      <c r="T45" s="13"/>
      <c r="U45" s="13"/>
      <c r="V45" s="13">
        <f>SUM(M45:U45)</f>
        <v>0</v>
      </c>
      <c r="W45" s="472"/>
      <c r="AA45" s="68"/>
      <c r="AB45" s="68"/>
    </row>
    <row r="46" spans="1:28" hidden="1">
      <c r="A46" s="705" t="s">
        <v>7052</v>
      </c>
      <c r="B46" s="484"/>
      <c r="C46" s="484"/>
      <c r="D46" s="484"/>
      <c r="E46" s="484"/>
      <c r="F46" s="484"/>
      <c r="G46" s="484"/>
      <c r="H46" s="484"/>
      <c r="I46" s="484"/>
      <c r="J46" s="484"/>
      <c r="K46" s="484"/>
      <c r="L46" s="483"/>
      <c r="M46" s="484"/>
      <c r="N46" s="484"/>
      <c r="O46" s="484"/>
      <c r="P46" s="484"/>
      <c r="Q46" s="484"/>
      <c r="R46" s="484"/>
      <c r="S46" s="484"/>
      <c r="T46" s="484"/>
      <c r="U46" s="484"/>
      <c r="V46" s="484"/>
      <c r="W46" s="485"/>
      <c r="AA46" s="68"/>
      <c r="AB46" s="68"/>
    </row>
    <row r="47" spans="1:28" hidden="1">
      <c r="A47" s="703" t="s">
        <v>7051</v>
      </c>
      <c r="B47" s="13"/>
      <c r="C47" s="13"/>
      <c r="D47" s="13"/>
      <c r="E47" s="13"/>
      <c r="F47" s="13"/>
      <c r="G47" s="13"/>
      <c r="H47" s="13"/>
      <c r="I47" s="13"/>
      <c r="J47" s="13"/>
      <c r="K47" s="13">
        <f>SUM(B47:J47)</f>
        <v>0</v>
      </c>
      <c r="L47" s="16"/>
      <c r="M47" s="13"/>
      <c r="N47" s="13"/>
      <c r="O47" s="13"/>
      <c r="P47" s="13"/>
      <c r="Q47" s="13"/>
      <c r="R47" s="13"/>
      <c r="S47" s="13"/>
      <c r="T47" s="13"/>
      <c r="U47" s="13"/>
      <c r="V47" s="13">
        <f>SUM(M47:U47)</f>
        <v>0</v>
      </c>
      <c r="W47" s="472"/>
      <c r="AA47" s="68"/>
      <c r="AB47" s="68"/>
    </row>
    <row r="48" spans="1:28" hidden="1">
      <c r="A48" s="703" t="s">
        <v>7050</v>
      </c>
      <c r="B48" s="13"/>
      <c r="C48" s="13"/>
      <c r="D48" s="13"/>
      <c r="E48" s="13"/>
      <c r="F48" s="13"/>
      <c r="G48" s="13"/>
      <c r="H48" s="13"/>
      <c r="I48" s="13"/>
      <c r="J48" s="13"/>
      <c r="K48" s="13">
        <f>SUM(B48:J48)</f>
        <v>0</v>
      </c>
      <c r="L48" s="16"/>
      <c r="M48" s="13"/>
      <c r="N48" s="13"/>
      <c r="O48" s="13"/>
      <c r="P48" s="13"/>
      <c r="Q48" s="13"/>
      <c r="R48" s="13"/>
      <c r="S48" s="13"/>
      <c r="T48" s="13"/>
      <c r="U48" s="13"/>
      <c r="V48" s="13">
        <f>SUM(M48:U48)</f>
        <v>0</v>
      </c>
      <c r="W48" s="472"/>
      <c r="AA48" s="68"/>
      <c r="AB48" s="68"/>
    </row>
    <row r="49" spans="1:28" hidden="1">
      <c r="A49" s="703" t="s">
        <v>7049</v>
      </c>
      <c r="B49" s="13"/>
      <c r="C49" s="13"/>
      <c r="D49" s="13"/>
      <c r="E49" s="13"/>
      <c r="F49" s="13"/>
      <c r="G49" s="13"/>
      <c r="H49" s="13"/>
      <c r="I49" s="13"/>
      <c r="J49" s="13"/>
      <c r="K49" s="13">
        <f>SUM(B49:J49)</f>
        <v>0</v>
      </c>
      <c r="L49" s="16"/>
      <c r="M49" s="13"/>
      <c r="N49" s="13"/>
      <c r="O49" s="13"/>
      <c r="P49" s="13"/>
      <c r="Q49" s="13"/>
      <c r="R49" s="13"/>
      <c r="S49" s="13"/>
      <c r="T49" s="13"/>
      <c r="U49" s="13"/>
      <c r="V49" s="13">
        <f>SUM(M49:U49)</f>
        <v>0</v>
      </c>
      <c r="W49" s="472"/>
      <c r="AA49" s="68"/>
      <c r="AB49" s="68"/>
    </row>
    <row r="50" spans="1:28">
      <c r="A50" s="704" t="s">
        <v>51</v>
      </c>
      <c r="B50" s="482">
        <f t="shared" ref="B50:W50" si="12">SUM(B51:B66)</f>
        <v>728</v>
      </c>
      <c r="C50" s="482">
        <f t="shared" si="12"/>
        <v>0</v>
      </c>
      <c r="D50" s="482">
        <f t="shared" si="12"/>
        <v>0</v>
      </c>
      <c r="E50" s="482">
        <f t="shared" si="12"/>
        <v>0</v>
      </c>
      <c r="F50" s="482">
        <f t="shared" si="12"/>
        <v>0</v>
      </c>
      <c r="G50" s="482">
        <f t="shared" si="12"/>
        <v>0</v>
      </c>
      <c r="H50" s="482">
        <f t="shared" si="12"/>
        <v>0</v>
      </c>
      <c r="I50" s="482">
        <f t="shared" si="12"/>
        <v>0</v>
      </c>
      <c r="J50" s="482">
        <f t="shared" si="12"/>
        <v>0</v>
      </c>
      <c r="K50" s="482">
        <f t="shared" si="12"/>
        <v>728</v>
      </c>
      <c r="L50" s="474">
        <f t="shared" si="12"/>
        <v>16165881.719999997</v>
      </c>
      <c r="M50" s="482">
        <f t="shared" si="12"/>
        <v>728</v>
      </c>
      <c r="N50" s="482">
        <f t="shared" si="12"/>
        <v>0</v>
      </c>
      <c r="O50" s="482">
        <f t="shared" si="12"/>
        <v>0</v>
      </c>
      <c r="P50" s="482">
        <f t="shared" si="12"/>
        <v>0</v>
      </c>
      <c r="Q50" s="482">
        <f t="shared" si="12"/>
        <v>0</v>
      </c>
      <c r="R50" s="482">
        <f t="shared" si="12"/>
        <v>0</v>
      </c>
      <c r="S50" s="482">
        <f t="shared" si="12"/>
        <v>0</v>
      </c>
      <c r="T50" s="482">
        <f t="shared" si="12"/>
        <v>0</v>
      </c>
      <c r="U50" s="482">
        <f t="shared" si="12"/>
        <v>0</v>
      </c>
      <c r="V50" s="482">
        <f t="shared" si="12"/>
        <v>728</v>
      </c>
      <c r="W50" s="474">
        <f t="shared" si="12"/>
        <v>17915946.283524003</v>
      </c>
      <c r="AA50" s="68"/>
      <c r="AB50" s="68"/>
    </row>
    <row r="51" spans="1:28" ht="14.25">
      <c r="A51" s="706" t="s">
        <v>7048</v>
      </c>
      <c r="B51" s="545">
        <v>85</v>
      </c>
      <c r="C51" s="13"/>
      <c r="D51" s="13"/>
      <c r="E51" s="13"/>
      <c r="F51" s="13"/>
      <c r="G51" s="13"/>
      <c r="H51" s="13"/>
      <c r="I51" s="13"/>
      <c r="J51" s="13"/>
      <c r="K51" s="13">
        <f t="shared" ref="K51:K66" si="13">SUM(B51:J51)</f>
        <v>85</v>
      </c>
      <c r="L51" s="472">
        <v>2728330</v>
      </c>
      <c r="M51" s="13">
        <v>84</v>
      </c>
      <c r="N51" s="13"/>
      <c r="O51" s="13"/>
      <c r="P51" s="13"/>
      <c r="Q51" s="13"/>
      <c r="R51" s="13"/>
      <c r="S51" s="13"/>
      <c r="T51" s="13"/>
      <c r="U51" s="13"/>
      <c r="V51" s="13">
        <f t="shared" ref="V51:V66" si="14">SUM(M51:U51)</f>
        <v>84</v>
      </c>
      <c r="W51" s="472">
        <v>2696232</v>
      </c>
      <c r="AA51" s="68"/>
      <c r="AB51" s="68"/>
    </row>
    <row r="52" spans="1:28" ht="14.25" hidden="1">
      <c r="A52" s="706" t="s">
        <v>7047</v>
      </c>
      <c r="B52" s="545"/>
      <c r="C52" s="13"/>
      <c r="D52" s="13"/>
      <c r="E52" s="13"/>
      <c r="F52" s="13"/>
      <c r="G52" s="13"/>
      <c r="H52" s="13"/>
      <c r="I52" s="13"/>
      <c r="J52" s="13"/>
      <c r="K52" s="13">
        <f t="shared" si="13"/>
        <v>0</v>
      </c>
      <c r="L52" s="472"/>
      <c r="M52" s="13"/>
      <c r="N52" s="13"/>
      <c r="O52" s="13"/>
      <c r="P52" s="13"/>
      <c r="Q52" s="13"/>
      <c r="R52" s="13"/>
      <c r="S52" s="13"/>
      <c r="T52" s="13"/>
      <c r="U52" s="13"/>
      <c r="V52" s="13">
        <f t="shared" si="14"/>
        <v>0</v>
      </c>
      <c r="W52" s="472"/>
      <c r="AA52" s="68"/>
      <c r="AB52" s="68"/>
    </row>
    <row r="53" spans="1:28" ht="14.25">
      <c r="A53" s="706" t="s">
        <v>7046</v>
      </c>
      <c r="B53" s="545">
        <v>18</v>
      </c>
      <c r="C53" s="13"/>
      <c r="D53" s="13"/>
      <c r="E53" s="13"/>
      <c r="F53" s="13"/>
      <c r="G53" s="13"/>
      <c r="H53" s="13"/>
      <c r="I53" s="13"/>
      <c r="J53" s="13"/>
      <c r="K53" s="13">
        <f t="shared" si="13"/>
        <v>18</v>
      </c>
      <c r="L53" s="472">
        <v>510592.32</v>
      </c>
      <c r="M53" s="13">
        <v>18</v>
      </c>
      <c r="N53" s="13"/>
      <c r="O53" s="13"/>
      <c r="P53" s="13"/>
      <c r="Q53" s="13"/>
      <c r="R53" s="13"/>
      <c r="S53" s="13"/>
      <c r="T53" s="13"/>
      <c r="U53" s="13"/>
      <c r="V53" s="13">
        <f t="shared" si="14"/>
        <v>18</v>
      </c>
      <c r="W53" s="472">
        <v>510592.32</v>
      </c>
      <c r="AA53" s="68"/>
      <c r="AB53" s="68"/>
    </row>
    <row r="54" spans="1:28" ht="14.25" hidden="1">
      <c r="A54" s="706" t="s">
        <v>7045</v>
      </c>
      <c r="B54" s="545"/>
      <c r="C54" s="13"/>
      <c r="D54" s="13"/>
      <c r="E54" s="13"/>
      <c r="F54" s="13"/>
      <c r="G54" s="13"/>
      <c r="H54" s="13"/>
      <c r="I54" s="13"/>
      <c r="J54" s="13"/>
      <c r="K54" s="13">
        <f t="shared" si="13"/>
        <v>0</v>
      </c>
      <c r="L54" s="472"/>
      <c r="M54" s="13"/>
      <c r="N54" s="13"/>
      <c r="O54" s="13"/>
      <c r="P54" s="13"/>
      <c r="Q54" s="13"/>
      <c r="R54" s="13"/>
      <c r="S54" s="13"/>
      <c r="T54" s="13"/>
      <c r="U54" s="13"/>
      <c r="V54" s="13">
        <f t="shared" si="14"/>
        <v>0</v>
      </c>
      <c r="W54" s="472"/>
      <c r="AA54" s="68"/>
      <c r="AB54" s="68"/>
    </row>
    <row r="55" spans="1:28" ht="14.25">
      <c r="A55" s="706" t="s">
        <v>7044</v>
      </c>
      <c r="B55" s="545">
        <v>331</v>
      </c>
      <c r="C55" s="13"/>
      <c r="D55" s="13"/>
      <c r="E55" s="13"/>
      <c r="F55" s="13"/>
      <c r="G55" s="13"/>
      <c r="H55" s="13"/>
      <c r="I55" s="13"/>
      <c r="J55" s="13"/>
      <c r="K55" s="13">
        <f t="shared" si="13"/>
        <v>331</v>
      </c>
      <c r="L55" s="472">
        <v>8565750.3999999985</v>
      </c>
      <c r="M55" s="13">
        <v>489</v>
      </c>
      <c r="N55" s="13"/>
      <c r="O55" s="13"/>
      <c r="P55" s="13"/>
      <c r="Q55" s="13"/>
      <c r="R55" s="13"/>
      <c r="S55" s="13"/>
      <c r="T55" s="13"/>
      <c r="U55" s="13"/>
      <c r="V55" s="13">
        <f t="shared" si="14"/>
        <v>489</v>
      </c>
      <c r="W55" s="472">
        <v>12654537.6</v>
      </c>
      <c r="AA55" s="68"/>
      <c r="AB55" s="68"/>
    </row>
    <row r="56" spans="1:28" ht="14.25" hidden="1">
      <c r="A56" s="706" t="s">
        <v>7043</v>
      </c>
      <c r="B56" s="545"/>
      <c r="C56" s="13"/>
      <c r="D56" s="13"/>
      <c r="E56" s="13"/>
      <c r="F56" s="13"/>
      <c r="G56" s="13"/>
      <c r="H56" s="13"/>
      <c r="I56" s="13"/>
      <c r="J56" s="13"/>
      <c r="K56" s="13">
        <f t="shared" si="13"/>
        <v>0</v>
      </c>
      <c r="L56" s="472"/>
      <c r="M56" s="13"/>
      <c r="N56" s="13"/>
      <c r="O56" s="13"/>
      <c r="P56" s="13"/>
      <c r="Q56" s="13"/>
      <c r="R56" s="13"/>
      <c r="S56" s="13"/>
      <c r="T56" s="13"/>
      <c r="U56" s="13"/>
      <c r="V56" s="13">
        <f t="shared" si="14"/>
        <v>0</v>
      </c>
      <c r="W56" s="472"/>
      <c r="AA56" s="68"/>
      <c r="AB56" s="68"/>
    </row>
    <row r="57" spans="1:28" hidden="1">
      <c r="A57" s="703" t="s">
        <v>7012</v>
      </c>
      <c r="B57" s="545"/>
      <c r="C57" s="13"/>
      <c r="D57" s="13"/>
      <c r="E57" s="13"/>
      <c r="F57" s="13"/>
      <c r="G57" s="13"/>
      <c r="H57" s="13"/>
      <c r="I57" s="13"/>
      <c r="J57" s="13"/>
      <c r="K57" s="13">
        <f t="shared" si="13"/>
        <v>0</v>
      </c>
      <c r="L57" s="472"/>
      <c r="M57" s="13"/>
      <c r="N57" s="13"/>
      <c r="O57" s="13"/>
      <c r="P57" s="13"/>
      <c r="Q57" s="13"/>
      <c r="R57" s="13"/>
      <c r="S57" s="13"/>
      <c r="T57" s="13"/>
      <c r="U57" s="13"/>
      <c r="V57" s="13">
        <f t="shared" si="14"/>
        <v>0</v>
      </c>
      <c r="W57" s="472"/>
      <c r="AA57" s="68"/>
      <c r="AB57" s="68"/>
    </row>
    <row r="58" spans="1:28">
      <c r="A58" s="703" t="s">
        <v>7011</v>
      </c>
      <c r="B58" s="545"/>
      <c r="C58" s="13"/>
      <c r="D58" s="13"/>
      <c r="E58" s="13"/>
      <c r="F58" s="13"/>
      <c r="G58" s="13"/>
      <c r="H58" s="13"/>
      <c r="I58" s="13"/>
      <c r="J58" s="13"/>
      <c r="K58" s="13">
        <f t="shared" si="13"/>
        <v>0</v>
      </c>
      <c r="L58" s="472"/>
      <c r="M58" s="13">
        <v>1</v>
      </c>
      <c r="N58" s="13"/>
      <c r="O58" s="13"/>
      <c r="P58" s="13"/>
      <c r="Q58" s="13"/>
      <c r="R58" s="13"/>
      <c r="S58" s="13"/>
      <c r="T58" s="13"/>
      <c r="U58" s="13"/>
      <c r="V58" s="13">
        <f t="shared" si="14"/>
        <v>1</v>
      </c>
      <c r="W58" s="472">
        <v>16146.45</v>
      </c>
      <c r="AA58" s="68"/>
      <c r="AB58" s="68"/>
    </row>
    <row r="59" spans="1:28">
      <c r="A59" s="703" t="s">
        <v>7042</v>
      </c>
      <c r="B59" s="545">
        <v>1</v>
      </c>
      <c r="C59" s="13"/>
      <c r="D59" s="13"/>
      <c r="E59" s="13"/>
      <c r="F59" s="13"/>
      <c r="G59" s="13"/>
      <c r="H59" s="13"/>
      <c r="I59" s="13"/>
      <c r="J59" s="13"/>
      <c r="K59" s="13">
        <f t="shared" si="13"/>
        <v>1</v>
      </c>
      <c r="L59" s="472">
        <v>15970.839999999997</v>
      </c>
      <c r="M59" s="13">
        <v>1</v>
      </c>
      <c r="N59" s="13"/>
      <c r="O59" s="13"/>
      <c r="P59" s="13"/>
      <c r="Q59" s="13"/>
      <c r="R59" s="13"/>
      <c r="S59" s="13"/>
      <c r="T59" s="13"/>
      <c r="U59" s="13"/>
      <c r="V59" s="13">
        <f t="shared" si="14"/>
        <v>1</v>
      </c>
      <c r="W59" s="472">
        <v>15970.889999999996</v>
      </c>
      <c r="AA59" s="68"/>
      <c r="AB59" s="68"/>
    </row>
    <row r="60" spans="1:28" hidden="1">
      <c r="A60" s="703" t="s">
        <v>7041</v>
      </c>
      <c r="B60" s="545"/>
      <c r="C60" s="13"/>
      <c r="D60" s="13"/>
      <c r="E60" s="13"/>
      <c r="F60" s="13"/>
      <c r="G60" s="13"/>
      <c r="H60" s="13"/>
      <c r="I60" s="13"/>
      <c r="J60" s="13"/>
      <c r="K60" s="13">
        <f t="shared" si="13"/>
        <v>0</v>
      </c>
      <c r="L60" s="472"/>
      <c r="M60" s="13"/>
      <c r="N60" s="13"/>
      <c r="O60" s="13"/>
      <c r="P60" s="13"/>
      <c r="Q60" s="13"/>
      <c r="R60" s="13"/>
      <c r="S60" s="13"/>
      <c r="T60" s="13"/>
      <c r="U60" s="13"/>
      <c r="V60" s="13">
        <f t="shared" si="14"/>
        <v>0</v>
      </c>
      <c r="W60" s="472"/>
      <c r="AA60" s="68"/>
      <c r="AB60" s="68"/>
    </row>
    <row r="61" spans="1:28">
      <c r="A61" s="703" t="s">
        <v>7040</v>
      </c>
      <c r="B61" s="545">
        <v>255</v>
      </c>
      <c r="C61" s="13"/>
      <c r="D61" s="13"/>
      <c r="E61" s="13"/>
      <c r="F61" s="13"/>
      <c r="G61" s="13"/>
      <c r="H61" s="13"/>
      <c r="I61" s="13"/>
      <c r="J61" s="13"/>
      <c r="K61" s="13">
        <f t="shared" si="13"/>
        <v>255</v>
      </c>
      <c r="L61" s="472">
        <v>3866167.2</v>
      </c>
      <c r="M61" s="13">
        <v>97</v>
      </c>
      <c r="N61" s="13"/>
      <c r="O61" s="13"/>
      <c r="P61" s="13"/>
      <c r="Q61" s="13"/>
      <c r="R61" s="13"/>
      <c r="S61" s="13"/>
      <c r="T61" s="13"/>
      <c r="U61" s="13"/>
      <c r="V61" s="13">
        <f t="shared" si="14"/>
        <v>97</v>
      </c>
      <c r="W61" s="472">
        <v>1558181.0235240038</v>
      </c>
      <c r="AA61" s="68"/>
      <c r="AB61" s="68"/>
    </row>
    <row r="62" spans="1:28">
      <c r="A62" s="703" t="s">
        <v>7039</v>
      </c>
      <c r="B62" s="545">
        <v>4</v>
      </c>
      <c r="C62" s="13"/>
      <c r="D62" s="13"/>
      <c r="E62" s="13"/>
      <c r="F62" s="13"/>
      <c r="G62" s="13"/>
      <c r="H62" s="13"/>
      <c r="I62" s="13"/>
      <c r="J62" s="13"/>
      <c r="K62" s="13">
        <f t="shared" si="13"/>
        <v>4</v>
      </c>
      <c r="L62" s="472">
        <v>51601.600000000006</v>
      </c>
      <c r="M62" s="13">
        <v>4</v>
      </c>
      <c r="N62" s="13"/>
      <c r="O62" s="13"/>
      <c r="P62" s="13"/>
      <c r="Q62" s="13"/>
      <c r="R62" s="13"/>
      <c r="S62" s="13"/>
      <c r="T62" s="13"/>
      <c r="U62" s="13"/>
      <c r="V62" s="13">
        <f t="shared" si="14"/>
        <v>4</v>
      </c>
      <c r="W62" s="472">
        <v>51601.8</v>
      </c>
      <c r="AA62" s="68"/>
      <c r="AB62" s="68"/>
    </row>
    <row r="63" spans="1:28" hidden="1">
      <c r="A63" s="703" t="s">
        <v>7038</v>
      </c>
      <c r="B63" s="545"/>
      <c r="C63" s="13"/>
      <c r="D63" s="13"/>
      <c r="E63" s="13"/>
      <c r="F63" s="13"/>
      <c r="G63" s="13"/>
      <c r="H63" s="13"/>
      <c r="I63" s="13"/>
      <c r="J63" s="13"/>
      <c r="K63" s="13">
        <f t="shared" si="13"/>
        <v>0</v>
      </c>
      <c r="L63" s="472"/>
      <c r="M63" s="13"/>
      <c r="N63" s="13"/>
      <c r="O63" s="13"/>
      <c r="P63" s="13"/>
      <c r="Q63" s="13"/>
      <c r="R63" s="13"/>
      <c r="S63" s="13"/>
      <c r="T63" s="13"/>
      <c r="U63" s="13"/>
      <c r="V63" s="13">
        <f t="shared" si="14"/>
        <v>0</v>
      </c>
      <c r="W63" s="472"/>
      <c r="AA63" s="68"/>
      <c r="AB63" s="68"/>
    </row>
    <row r="64" spans="1:28">
      <c r="A64" s="703" t="s">
        <v>7037</v>
      </c>
      <c r="B64" s="545">
        <v>7</v>
      </c>
      <c r="C64" s="13"/>
      <c r="D64" s="13"/>
      <c r="E64" s="13"/>
      <c r="F64" s="13"/>
      <c r="G64" s="13"/>
      <c r="H64" s="13"/>
      <c r="I64" s="13"/>
      <c r="J64" s="13"/>
      <c r="K64" s="13">
        <f t="shared" si="13"/>
        <v>7</v>
      </c>
      <c r="L64" s="472">
        <v>86799.58</v>
      </c>
      <c r="M64" s="13">
        <v>7</v>
      </c>
      <c r="N64" s="13"/>
      <c r="O64" s="13"/>
      <c r="P64" s="13"/>
      <c r="Q64" s="13"/>
      <c r="R64" s="13"/>
      <c r="S64" s="13"/>
      <c r="T64" s="13"/>
      <c r="U64" s="13"/>
      <c r="V64" s="13">
        <f t="shared" si="14"/>
        <v>7</v>
      </c>
      <c r="W64" s="472">
        <v>86799.93</v>
      </c>
      <c r="AA64" s="68"/>
      <c r="AB64" s="68"/>
    </row>
    <row r="65" spans="1:28">
      <c r="A65" s="703" t="s">
        <v>7036</v>
      </c>
      <c r="B65" s="545">
        <v>7</v>
      </c>
      <c r="C65" s="13"/>
      <c r="D65" s="13"/>
      <c r="E65" s="13"/>
      <c r="F65" s="13"/>
      <c r="G65" s="13"/>
      <c r="H65" s="13"/>
      <c r="I65" s="13"/>
      <c r="J65" s="13"/>
      <c r="K65" s="13">
        <f t="shared" si="13"/>
        <v>7</v>
      </c>
      <c r="L65" s="472">
        <v>85214.92</v>
      </c>
      <c r="M65" s="13">
        <v>7</v>
      </c>
      <c r="N65" s="13"/>
      <c r="O65" s="13"/>
      <c r="P65" s="13"/>
      <c r="Q65" s="13"/>
      <c r="R65" s="13"/>
      <c r="S65" s="13"/>
      <c r="T65" s="13"/>
      <c r="U65" s="13"/>
      <c r="V65" s="13">
        <f t="shared" si="14"/>
        <v>7</v>
      </c>
      <c r="W65" s="472">
        <v>85215.26999999999</v>
      </c>
      <c r="AA65" s="68"/>
      <c r="AB65" s="68"/>
    </row>
    <row r="66" spans="1:28">
      <c r="A66" s="703" t="s">
        <v>7035</v>
      </c>
      <c r="B66" s="13">
        <v>20</v>
      </c>
      <c r="C66" s="13"/>
      <c r="D66" s="13"/>
      <c r="E66" s="13"/>
      <c r="F66" s="13"/>
      <c r="G66" s="13"/>
      <c r="H66" s="13"/>
      <c r="I66" s="13"/>
      <c r="J66" s="13"/>
      <c r="K66" s="13">
        <f t="shared" si="13"/>
        <v>20</v>
      </c>
      <c r="L66" s="472">
        <v>255454.86</v>
      </c>
      <c r="M66" s="13">
        <v>20</v>
      </c>
      <c r="N66" s="13"/>
      <c r="O66" s="13"/>
      <c r="P66" s="13"/>
      <c r="Q66" s="13"/>
      <c r="R66" s="13"/>
      <c r="S66" s="13"/>
      <c r="T66" s="13"/>
      <c r="U66" s="13"/>
      <c r="V66" s="13">
        <f t="shared" si="14"/>
        <v>20</v>
      </c>
      <c r="W66" s="472">
        <v>240669.00000000006</v>
      </c>
      <c r="AA66" s="68"/>
      <c r="AB66" s="68"/>
    </row>
    <row r="67" spans="1:28">
      <c r="A67" s="704" t="s">
        <v>54</v>
      </c>
      <c r="B67" s="482">
        <f t="shared" ref="B67:W67" si="15">SUM(B68:B78)</f>
        <v>7</v>
      </c>
      <c r="C67" s="482">
        <f t="shared" si="15"/>
        <v>0</v>
      </c>
      <c r="D67" s="482">
        <f t="shared" si="15"/>
        <v>0</v>
      </c>
      <c r="E67" s="482">
        <f t="shared" si="15"/>
        <v>0</v>
      </c>
      <c r="F67" s="482">
        <f t="shared" si="15"/>
        <v>0</v>
      </c>
      <c r="G67" s="482">
        <f t="shared" si="15"/>
        <v>0</v>
      </c>
      <c r="H67" s="482">
        <f t="shared" si="15"/>
        <v>0</v>
      </c>
      <c r="I67" s="482">
        <f t="shared" si="15"/>
        <v>0</v>
      </c>
      <c r="J67" s="482">
        <f t="shared" si="15"/>
        <v>0</v>
      </c>
      <c r="K67" s="482">
        <f t="shared" si="15"/>
        <v>7</v>
      </c>
      <c r="L67" s="474">
        <f t="shared" si="15"/>
        <v>103651.36000000002</v>
      </c>
      <c r="M67" s="482">
        <f t="shared" si="15"/>
        <v>7</v>
      </c>
      <c r="N67" s="482">
        <f t="shared" si="15"/>
        <v>0</v>
      </c>
      <c r="O67" s="482">
        <f t="shared" si="15"/>
        <v>0</v>
      </c>
      <c r="P67" s="482">
        <f t="shared" si="15"/>
        <v>0</v>
      </c>
      <c r="Q67" s="482">
        <f t="shared" si="15"/>
        <v>0</v>
      </c>
      <c r="R67" s="482">
        <f t="shared" si="15"/>
        <v>0</v>
      </c>
      <c r="S67" s="482">
        <f t="shared" si="15"/>
        <v>0</v>
      </c>
      <c r="T67" s="482">
        <f t="shared" si="15"/>
        <v>0</v>
      </c>
      <c r="U67" s="482">
        <f t="shared" si="15"/>
        <v>0</v>
      </c>
      <c r="V67" s="482">
        <f t="shared" si="15"/>
        <v>7</v>
      </c>
      <c r="W67" s="474">
        <f t="shared" si="15"/>
        <v>103651.71</v>
      </c>
      <c r="AA67" s="68"/>
      <c r="AB67" s="68"/>
    </row>
    <row r="68" spans="1:28">
      <c r="A68" s="703" t="s">
        <v>7034</v>
      </c>
      <c r="B68" s="13">
        <v>2</v>
      </c>
      <c r="C68" s="13"/>
      <c r="D68" s="13"/>
      <c r="E68" s="13"/>
      <c r="F68" s="13"/>
      <c r="G68" s="13"/>
      <c r="H68" s="13"/>
      <c r="I68" s="13"/>
      <c r="J68" s="13"/>
      <c r="K68" s="13">
        <f t="shared" ref="K68:K78" si="16">SUM(B68:J68)</f>
        <v>2</v>
      </c>
      <c r="L68" s="472">
        <v>33461.600000000006</v>
      </c>
      <c r="M68" s="13">
        <v>2</v>
      </c>
      <c r="N68" s="13"/>
      <c r="O68" s="13"/>
      <c r="P68" s="13"/>
      <c r="Q68" s="13"/>
      <c r="R68" s="13"/>
      <c r="S68" s="13"/>
      <c r="T68" s="13"/>
      <c r="U68" s="13"/>
      <c r="V68" s="13">
        <f t="shared" ref="V68:V78" si="17">SUM(M68:U68)</f>
        <v>2</v>
      </c>
      <c r="W68" s="472">
        <v>33461.699999999997</v>
      </c>
      <c r="AA68" s="68"/>
      <c r="AB68" s="68"/>
    </row>
    <row r="69" spans="1:28">
      <c r="A69" s="703" t="s">
        <v>7033</v>
      </c>
      <c r="B69" s="13">
        <v>3</v>
      </c>
      <c r="C69" s="13"/>
      <c r="D69" s="13"/>
      <c r="E69" s="13"/>
      <c r="F69" s="13"/>
      <c r="G69" s="13"/>
      <c r="H69" s="13"/>
      <c r="I69" s="13"/>
      <c r="J69" s="13"/>
      <c r="K69" s="13">
        <f t="shared" si="16"/>
        <v>3</v>
      </c>
      <c r="L69" s="472">
        <v>44760.72</v>
      </c>
      <c r="M69" s="13">
        <v>3</v>
      </c>
      <c r="N69" s="13"/>
      <c r="O69" s="13"/>
      <c r="P69" s="13"/>
      <c r="Q69" s="13"/>
      <c r="R69" s="13"/>
      <c r="S69" s="13"/>
      <c r="T69" s="13"/>
      <c r="U69" s="13"/>
      <c r="V69" s="13">
        <f t="shared" si="17"/>
        <v>3</v>
      </c>
      <c r="W69" s="472">
        <v>44760.87</v>
      </c>
      <c r="AA69" s="68"/>
      <c r="AB69" s="68"/>
    </row>
    <row r="70" spans="1:28">
      <c r="A70" s="703" t="s">
        <v>7032</v>
      </c>
      <c r="B70" s="13">
        <v>2</v>
      </c>
      <c r="C70" s="13"/>
      <c r="D70" s="13"/>
      <c r="E70" s="13"/>
      <c r="F70" s="13"/>
      <c r="G70" s="13"/>
      <c r="H70" s="13"/>
      <c r="I70" s="13"/>
      <c r="J70" s="13"/>
      <c r="K70" s="13">
        <f t="shared" si="16"/>
        <v>2</v>
      </c>
      <c r="L70" s="472">
        <v>25429.040000000001</v>
      </c>
      <c r="M70" s="13">
        <v>2</v>
      </c>
      <c r="N70" s="13"/>
      <c r="O70" s="13"/>
      <c r="P70" s="13"/>
      <c r="Q70" s="13"/>
      <c r="R70" s="13"/>
      <c r="S70" s="13"/>
      <c r="T70" s="13"/>
      <c r="U70" s="13"/>
      <c r="V70" s="13">
        <f t="shared" si="17"/>
        <v>2</v>
      </c>
      <c r="W70" s="472">
        <v>25429.14</v>
      </c>
      <c r="AA70" s="68"/>
      <c r="AB70" s="68"/>
    </row>
    <row r="71" spans="1:28" hidden="1">
      <c r="A71" s="703" t="s">
        <v>7027</v>
      </c>
      <c r="B71" s="13"/>
      <c r="C71" s="13"/>
      <c r="D71" s="13"/>
      <c r="E71" s="13"/>
      <c r="F71" s="13"/>
      <c r="G71" s="13"/>
      <c r="H71" s="13"/>
      <c r="I71" s="13"/>
      <c r="J71" s="13"/>
      <c r="K71" s="13">
        <f t="shared" si="16"/>
        <v>0</v>
      </c>
      <c r="L71" s="472"/>
      <c r="M71" s="13"/>
      <c r="N71" s="13"/>
      <c r="O71" s="13"/>
      <c r="P71" s="13"/>
      <c r="Q71" s="13"/>
      <c r="R71" s="13"/>
      <c r="S71" s="13"/>
      <c r="T71" s="13"/>
      <c r="U71" s="13"/>
      <c r="V71" s="13">
        <f t="shared" si="17"/>
        <v>0</v>
      </c>
      <c r="W71" s="472"/>
      <c r="AA71" s="68"/>
      <c r="AB71" s="68"/>
    </row>
    <row r="72" spans="1:28" hidden="1">
      <c r="A72" s="703" t="s">
        <v>7026</v>
      </c>
      <c r="B72" s="13"/>
      <c r="C72" s="13"/>
      <c r="D72" s="13"/>
      <c r="E72" s="13"/>
      <c r="F72" s="13"/>
      <c r="G72" s="13"/>
      <c r="H72" s="13"/>
      <c r="I72" s="13"/>
      <c r="J72" s="13"/>
      <c r="K72" s="13">
        <f t="shared" si="16"/>
        <v>0</v>
      </c>
      <c r="L72" s="472"/>
      <c r="M72" s="13"/>
      <c r="N72" s="13"/>
      <c r="O72" s="13"/>
      <c r="P72" s="13"/>
      <c r="Q72" s="13"/>
      <c r="R72" s="13"/>
      <c r="S72" s="13"/>
      <c r="T72" s="13"/>
      <c r="U72" s="13"/>
      <c r="V72" s="13">
        <f t="shared" si="17"/>
        <v>0</v>
      </c>
      <c r="W72" s="472"/>
      <c r="AA72" s="68"/>
      <c r="AB72" s="68"/>
    </row>
    <row r="73" spans="1:28" hidden="1">
      <c r="A73" s="703" t="s">
        <v>7025</v>
      </c>
      <c r="B73" s="13"/>
      <c r="C73" s="13"/>
      <c r="D73" s="13"/>
      <c r="E73" s="13"/>
      <c r="F73" s="13"/>
      <c r="G73" s="13"/>
      <c r="H73" s="13"/>
      <c r="I73" s="13"/>
      <c r="J73" s="13"/>
      <c r="K73" s="13">
        <f t="shared" si="16"/>
        <v>0</v>
      </c>
      <c r="L73" s="472"/>
      <c r="M73" s="13"/>
      <c r="N73" s="13"/>
      <c r="O73" s="13"/>
      <c r="P73" s="13"/>
      <c r="Q73" s="13"/>
      <c r="R73" s="13"/>
      <c r="S73" s="13"/>
      <c r="T73" s="13"/>
      <c r="U73" s="13"/>
      <c r="V73" s="13">
        <f t="shared" si="17"/>
        <v>0</v>
      </c>
      <c r="W73" s="472"/>
      <c r="AA73" s="68"/>
      <c r="AB73" s="68"/>
    </row>
    <row r="74" spans="1:28" hidden="1">
      <c r="A74" s="703" t="s">
        <v>7024</v>
      </c>
      <c r="B74" s="13"/>
      <c r="C74" s="13"/>
      <c r="D74" s="13"/>
      <c r="E74" s="13"/>
      <c r="F74" s="13"/>
      <c r="G74" s="13"/>
      <c r="H74" s="13"/>
      <c r="I74" s="13"/>
      <c r="J74" s="13"/>
      <c r="K74" s="13">
        <f t="shared" si="16"/>
        <v>0</v>
      </c>
      <c r="L74" s="472"/>
      <c r="M74" s="13"/>
      <c r="N74" s="13"/>
      <c r="O74" s="13"/>
      <c r="P74" s="13"/>
      <c r="Q74" s="13"/>
      <c r="R74" s="13"/>
      <c r="S74" s="13"/>
      <c r="T74" s="13"/>
      <c r="U74" s="13"/>
      <c r="V74" s="13">
        <f t="shared" si="17"/>
        <v>0</v>
      </c>
      <c r="W74" s="472"/>
      <c r="AA74" s="68"/>
      <c r="AB74" s="68"/>
    </row>
    <row r="75" spans="1:28" hidden="1">
      <c r="A75" s="703" t="s">
        <v>7023</v>
      </c>
      <c r="B75" s="13"/>
      <c r="C75" s="13"/>
      <c r="D75" s="13"/>
      <c r="E75" s="13"/>
      <c r="F75" s="13"/>
      <c r="G75" s="13"/>
      <c r="H75" s="13"/>
      <c r="I75" s="13"/>
      <c r="J75" s="13"/>
      <c r="K75" s="13">
        <f t="shared" si="16"/>
        <v>0</v>
      </c>
      <c r="L75" s="472"/>
      <c r="M75" s="13"/>
      <c r="N75" s="13"/>
      <c r="O75" s="13"/>
      <c r="P75" s="13"/>
      <c r="Q75" s="13"/>
      <c r="R75" s="13"/>
      <c r="S75" s="13"/>
      <c r="T75" s="13"/>
      <c r="U75" s="13"/>
      <c r="V75" s="13">
        <f t="shared" si="17"/>
        <v>0</v>
      </c>
      <c r="W75" s="472"/>
      <c r="AA75" s="68"/>
      <c r="AB75" s="68"/>
    </row>
    <row r="76" spans="1:28" hidden="1">
      <c r="A76" s="703" t="s">
        <v>7022</v>
      </c>
      <c r="B76" s="13"/>
      <c r="C76" s="13"/>
      <c r="D76" s="13"/>
      <c r="E76" s="13"/>
      <c r="F76" s="13"/>
      <c r="G76" s="13"/>
      <c r="H76" s="13"/>
      <c r="I76" s="13"/>
      <c r="J76" s="13"/>
      <c r="K76" s="13">
        <f t="shared" si="16"/>
        <v>0</v>
      </c>
      <c r="L76" s="472"/>
      <c r="M76" s="13"/>
      <c r="N76" s="13"/>
      <c r="O76" s="13"/>
      <c r="P76" s="13"/>
      <c r="Q76" s="13"/>
      <c r="R76" s="13"/>
      <c r="S76" s="13"/>
      <c r="T76" s="13"/>
      <c r="U76" s="13"/>
      <c r="V76" s="13">
        <f t="shared" si="17"/>
        <v>0</v>
      </c>
      <c r="W76" s="472"/>
      <c r="AA76" s="68"/>
      <c r="AB76" s="68"/>
    </row>
    <row r="77" spans="1:28" hidden="1">
      <c r="A77" s="703" t="s">
        <v>7021</v>
      </c>
      <c r="B77" s="13"/>
      <c r="C77" s="13"/>
      <c r="D77" s="13"/>
      <c r="E77" s="13"/>
      <c r="F77" s="13"/>
      <c r="G77" s="13"/>
      <c r="H77" s="13"/>
      <c r="I77" s="13"/>
      <c r="J77" s="13"/>
      <c r="K77" s="13">
        <f t="shared" si="16"/>
        <v>0</v>
      </c>
      <c r="L77" s="472"/>
      <c r="M77" s="13"/>
      <c r="N77" s="13"/>
      <c r="O77" s="13"/>
      <c r="P77" s="13"/>
      <c r="Q77" s="13"/>
      <c r="R77" s="13"/>
      <c r="S77" s="13"/>
      <c r="T77" s="13"/>
      <c r="U77" s="13"/>
      <c r="V77" s="13">
        <f t="shared" si="17"/>
        <v>0</v>
      </c>
      <c r="W77" s="472"/>
      <c r="AA77" s="68"/>
      <c r="AB77" s="68"/>
    </row>
    <row r="78" spans="1:28" hidden="1">
      <c r="A78" s="703" t="s">
        <v>7020</v>
      </c>
      <c r="B78" s="13"/>
      <c r="C78" s="13"/>
      <c r="D78" s="13"/>
      <c r="E78" s="13"/>
      <c r="F78" s="13"/>
      <c r="G78" s="13"/>
      <c r="H78" s="13"/>
      <c r="I78" s="13"/>
      <c r="J78" s="13"/>
      <c r="K78" s="13">
        <f t="shared" si="16"/>
        <v>0</v>
      </c>
      <c r="L78" s="472"/>
      <c r="M78" s="13"/>
      <c r="N78" s="13"/>
      <c r="O78" s="13"/>
      <c r="P78" s="13"/>
      <c r="Q78" s="13"/>
      <c r="R78" s="13"/>
      <c r="S78" s="13"/>
      <c r="T78" s="13"/>
      <c r="U78" s="13"/>
      <c r="V78" s="13">
        <f t="shared" si="17"/>
        <v>0</v>
      </c>
      <c r="W78" s="472"/>
      <c r="AA78" s="68"/>
      <c r="AB78" s="68"/>
    </row>
    <row r="79" spans="1:28">
      <c r="A79" s="704" t="s">
        <v>7031</v>
      </c>
      <c r="B79" s="482">
        <f t="shared" ref="B79:W79" si="18">SUM(B80:B90)</f>
        <v>43</v>
      </c>
      <c r="C79" s="482">
        <f t="shared" si="18"/>
        <v>0</v>
      </c>
      <c r="D79" s="482">
        <f t="shared" si="18"/>
        <v>0</v>
      </c>
      <c r="E79" s="482">
        <f t="shared" si="18"/>
        <v>0</v>
      </c>
      <c r="F79" s="482">
        <f t="shared" si="18"/>
        <v>0</v>
      </c>
      <c r="G79" s="482">
        <f t="shared" si="18"/>
        <v>0</v>
      </c>
      <c r="H79" s="482">
        <f t="shared" si="18"/>
        <v>0</v>
      </c>
      <c r="I79" s="482">
        <f t="shared" si="18"/>
        <v>0</v>
      </c>
      <c r="J79" s="482">
        <f t="shared" si="18"/>
        <v>0</v>
      </c>
      <c r="K79" s="482">
        <f t="shared" si="18"/>
        <v>43</v>
      </c>
      <c r="L79" s="474">
        <f t="shared" si="18"/>
        <v>925197.28</v>
      </c>
      <c r="M79" s="482">
        <f t="shared" si="18"/>
        <v>43</v>
      </c>
      <c r="N79" s="482">
        <f t="shared" si="18"/>
        <v>0</v>
      </c>
      <c r="O79" s="482">
        <f t="shared" si="18"/>
        <v>0</v>
      </c>
      <c r="P79" s="482">
        <f t="shared" si="18"/>
        <v>0</v>
      </c>
      <c r="Q79" s="482">
        <f t="shared" si="18"/>
        <v>0</v>
      </c>
      <c r="R79" s="482">
        <f t="shared" si="18"/>
        <v>0</v>
      </c>
      <c r="S79" s="482">
        <f t="shared" si="18"/>
        <v>0</v>
      </c>
      <c r="T79" s="482">
        <f t="shared" si="18"/>
        <v>0</v>
      </c>
      <c r="U79" s="482">
        <f t="shared" si="18"/>
        <v>0</v>
      </c>
      <c r="V79" s="482">
        <f t="shared" si="18"/>
        <v>43</v>
      </c>
      <c r="W79" s="474">
        <f t="shared" si="18"/>
        <v>1005457.6999999998</v>
      </c>
      <c r="AA79" s="68"/>
      <c r="AB79" s="68"/>
    </row>
    <row r="80" spans="1:28">
      <c r="A80" s="703" t="s">
        <v>7030</v>
      </c>
      <c r="B80" s="13">
        <v>11</v>
      </c>
      <c r="C80" s="13"/>
      <c r="D80" s="13"/>
      <c r="E80" s="13"/>
      <c r="F80" s="13"/>
      <c r="G80" s="13"/>
      <c r="H80" s="13"/>
      <c r="I80" s="13"/>
      <c r="J80" s="13"/>
      <c r="K80" s="13">
        <f t="shared" ref="K80:K90" si="19">SUM(B80:J80)</f>
        <v>11</v>
      </c>
      <c r="L80" s="472">
        <v>353078</v>
      </c>
      <c r="M80" s="13">
        <v>11</v>
      </c>
      <c r="N80" s="13"/>
      <c r="O80" s="13"/>
      <c r="P80" s="13"/>
      <c r="Q80" s="13"/>
      <c r="R80" s="13"/>
      <c r="S80" s="13"/>
      <c r="T80" s="13"/>
      <c r="U80" s="13"/>
      <c r="V80" s="13">
        <f t="shared" ref="V80:V90" si="20">SUM(M80:U80)</f>
        <v>11</v>
      </c>
      <c r="W80" s="472">
        <v>353078</v>
      </c>
      <c r="AA80" s="68"/>
      <c r="AB80" s="68"/>
    </row>
    <row r="81" spans="1:28">
      <c r="A81" s="703" t="s">
        <v>7029</v>
      </c>
      <c r="B81" s="13">
        <v>2</v>
      </c>
      <c r="C81" s="13"/>
      <c r="D81" s="13"/>
      <c r="E81" s="13"/>
      <c r="F81" s="13"/>
      <c r="G81" s="13"/>
      <c r="H81" s="13"/>
      <c r="I81" s="13"/>
      <c r="J81" s="13"/>
      <c r="K81" s="13">
        <f t="shared" si="19"/>
        <v>2</v>
      </c>
      <c r="L81" s="472">
        <v>56732.479999999996</v>
      </c>
      <c r="M81" s="13">
        <v>2</v>
      </c>
      <c r="N81" s="13"/>
      <c r="O81" s="13"/>
      <c r="P81" s="13"/>
      <c r="Q81" s="13"/>
      <c r="R81" s="13"/>
      <c r="S81" s="13"/>
      <c r="T81" s="13"/>
      <c r="U81" s="13"/>
      <c r="V81" s="13">
        <f t="shared" si="20"/>
        <v>2</v>
      </c>
      <c r="W81" s="472">
        <v>56732.479999999996</v>
      </c>
      <c r="AA81" s="68"/>
      <c r="AB81" s="68"/>
    </row>
    <row r="82" spans="1:28">
      <c r="A82" s="703" t="s">
        <v>7028</v>
      </c>
      <c r="B82" s="13">
        <v>9</v>
      </c>
      <c r="C82" s="13"/>
      <c r="D82" s="13"/>
      <c r="E82" s="13"/>
      <c r="F82" s="13"/>
      <c r="G82" s="13"/>
      <c r="H82" s="13"/>
      <c r="I82" s="13"/>
      <c r="J82" s="13"/>
      <c r="K82" s="13">
        <f t="shared" si="19"/>
        <v>9</v>
      </c>
      <c r="L82" s="472">
        <v>232905.59999999998</v>
      </c>
      <c r="M82" s="13">
        <v>16</v>
      </c>
      <c r="N82" s="13"/>
      <c r="O82" s="13"/>
      <c r="P82" s="13"/>
      <c r="Q82" s="13"/>
      <c r="R82" s="13"/>
      <c r="S82" s="13"/>
      <c r="T82" s="13"/>
      <c r="U82" s="13"/>
      <c r="V82" s="13">
        <f t="shared" si="20"/>
        <v>16</v>
      </c>
      <c r="W82" s="472">
        <v>414054.39999999997</v>
      </c>
      <c r="AA82" s="68"/>
      <c r="AB82" s="68"/>
    </row>
    <row r="83" spans="1:28" hidden="1">
      <c r="A83" s="703" t="s">
        <v>7027</v>
      </c>
      <c r="B83" s="13"/>
      <c r="C83" s="13"/>
      <c r="D83" s="13"/>
      <c r="E83" s="13"/>
      <c r="F83" s="13"/>
      <c r="G83" s="13"/>
      <c r="H83" s="13"/>
      <c r="I83" s="13"/>
      <c r="J83" s="13"/>
      <c r="K83" s="13">
        <f t="shared" si="19"/>
        <v>0</v>
      </c>
      <c r="L83" s="472"/>
      <c r="M83" s="13"/>
      <c r="N83" s="13"/>
      <c r="O83" s="13"/>
      <c r="P83" s="13"/>
      <c r="Q83" s="13"/>
      <c r="R83" s="13"/>
      <c r="S83" s="13"/>
      <c r="T83" s="13"/>
      <c r="U83" s="13"/>
      <c r="V83" s="13">
        <f t="shared" si="20"/>
        <v>0</v>
      </c>
      <c r="W83" s="472"/>
      <c r="AA83" s="68"/>
      <c r="AB83" s="68"/>
    </row>
    <row r="84" spans="1:28" hidden="1">
      <c r="A84" s="703" t="s">
        <v>7026</v>
      </c>
      <c r="B84" s="13"/>
      <c r="C84" s="13"/>
      <c r="D84" s="13"/>
      <c r="E84" s="13"/>
      <c r="F84" s="13"/>
      <c r="G84" s="13"/>
      <c r="H84" s="13"/>
      <c r="I84" s="13"/>
      <c r="J84" s="13"/>
      <c r="K84" s="13">
        <f t="shared" si="19"/>
        <v>0</v>
      </c>
      <c r="L84" s="472"/>
      <c r="M84" s="13"/>
      <c r="N84" s="13"/>
      <c r="O84" s="13"/>
      <c r="P84" s="13"/>
      <c r="Q84" s="13"/>
      <c r="R84" s="13"/>
      <c r="S84" s="13"/>
      <c r="T84" s="13"/>
      <c r="U84" s="13"/>
      <c r="V84" s="13">
        <f t="shared" si="20"/>
        <v>0</v>
      </c>
      <c r="W84" s="472"/>
      <c r="AA84" s="68"/>
      <c r="AB84" s="68"/>
    </row>
    <row r="85" spans="1:28" hidden="1">
      <c r="A85" s="703" t="s">
        <v>7025</v>
      </c>
      <c r="B85" s="13"/>
      <c r="C85" s="13"/>
      <c r="D85" s="13"/>
      <c r="E85" s="13"/>
      <c r="F85" s="13"/>
      <c r="G85" s="13"/>
      <c r="H85" s="13"/>
      <c r="I85" s="13"/>
      <c r="J85" s="13"/>
      <c r="K85" s="13">
        <f t="shared" si="19"/>
        <v>0</v>
      </c>
      <c r="L85" s="472"/>
      <c r="M85" s="13"/>
      <c r="N85" s="13"/>
      <c r="O85" s="13"/>
      <c r="P85" s="13"/>
      <c r="Q85" s="13"/>
      <c r="R85" s="13"/>
      <c r="S85" s="13"/>
      <c r="T85" s="13"/>
      <c r="U85" s="13"/>
      <c r="V85" s="13">
        <f t="shared" si="20"/>
        <v>0</v>
      </c>
      <c r="W85" s="472"/>
      <c r="AA85" s="68"/>
      <c r="AB85" s="68"/>
    </row>
    <row r="86" spans="1:28" hidden="1">
      <c r="A86" s="703" t="s">
        <v>7024</v>
      </c>
      <c r="B86" s="13"/>
      <c r="C86" s="13"/>
      <c r="D86" s="13"/>
      <c r="E86" s="13"/>
      <c r="F86" s="13"/>
      <c r="G86" s="13"/>
      <c r="H86" s="13"/>
      <c r="I86" s="13"/>
      <c r="J86" s="13"/>
      <c r="K86" s="13">
        <f t="shared" si="19"/>
        <v>0</v>
      </c>
      <c r="L86" s="472"/>
      <c r="M86" s="13"/>
      <c r="N86" s="13"/>
      <c r="O86" s="13"/>
      <c r="P86" s="13"/>
      <c r="Q86" s="13"/>
      <c r="R86" s="13"/>
      <c r="S86" s="13"/>
      <c r="T86" s="13"/>
      <c r="U86" s="13"/>
      <c r="V86" s="13">
        <f t="shared" si="20"/>
        <v>0</v>
      </c>
      <c r="W86" s="472"/>
      <c r="AA86" s="68"/>
      <c r="AB86" s="68"/>
    </row>
    <row r="87" spans="1:28">
      <c r="A87" s="703" t="s">
        <v>7023</v>
      </c>
      <c r="B87" s="13">
        <v>8</v>
      </c>
      <c r="C87" s="13"/>
      <c r="D87" s="13"/>
      <c r="E87" s="13"/>
      <c r="F87" s="13"/>
      <c r="G87" s="13"/>
      <c r="H87" s="13"/>
      <c r="I87" s="13"/>
      <c r="J87" s="13"/>
      <c r="K87" s="13">
        <f t="shared" si="19"/>
        <v>8</v>
      </c>
      <c r="L87" s="472">
        <v>121291.52000000002</v>
      </c>
      <c r="M87" s="13">
        <v>1</v>
      </c>
      <c r="N87" s="13"/>
      <c r="O87" s="13"/>
      <c r="P87" s="13"/>
      <c r="Q87" s="13"/>
      <c r="R87" s="13"/>
      <c r="S87" s="13"/>
      <c r="T87" s="13"/>
      <c r="U87" s="13"/>
      <c r="V87" s="13">
        <f t="shared" si="20"/>
        <v>1</v>
      </c>
      <c r="W87" s="472">
        <v>15161.490000000002</v>
      </c>
      <c r="AA87" s="68"/>
      <c r="AB87" s="68"/>
    </row>
    <row r="88" spans="1:28">
      <c r="A88" s="703" t="s">
        <v>7022</v>
      </c>
      <c r="B88" s="13">
        <v>5</v>
      </c>
      <c r="C88" s="13"/>
      <c r="D88" s="13"/>
      <c r="E88" s="13"/>
      <c r="F88" s="13"/>
      <c r="G88" s="13"/>
      <c r="H88" s="13"/>
      <c r="I88" s="13"/>
      <c r="J88" s="13"/>
      <c r="K88" s="13">
        <f t="shared" si="19"/>
        <v>5</v>
      </c>
      <c r="L88" s="472">
        <v>64502</v>
      </c>
      <c r="M88" s="13">
        <v>5</v>
      </c>
      <c r="N88" s="13"/>
      <c r="O88" s="13"/>
      <c r="P88" s="13"/>
      <c r="Q88" s="13"/>
      <c r="R88" s="13"/>
      <c r="S88" s="13"/>
      <c r="T88" s="13"/>
      <c r="U88" s="13"/>
      <c r="V88" s="13">
        <f t="shared" si="20"/>
        <v>5</v>
      </c>
      <c r="W88" s="472">
        <v>69743.250000000015</v>
      </c>
      <c r="AA88" s="68"/>
      <c r="AB88" s="68"/>
    </row>
    <row r="89" spans="1:28">
      <c r="A89" s="703" t="s">
        <v>7021</v>
      </c>
      <c r="B89" s="13">
        <v>3</v>
      </c>
      <c r="C89" s="13"/>
      <c r="D89" s="13"/>
      <c r="E89" s="13"/>
      <c r="F89" s="13"/>
      <c r="G89" s="13"/>
      <c r="H89" s="13"/>
      <c r="I89" s="13"/>
      <c r="J89" s="13"/>
      <c r="K89" s="13">
        <f t="shared" si="19"/>
        <v>3</v>
      </c>
      <c r="L89" s="472">
        <v>36520.68</v>
      </c>
      <c r="M89" s="13">
        <v>3</v>
      </c>
      <c r="N89" s="13"/>
      <c r="O89" s="13"/>
      <c r="P89" s="13"/>
      <c r="Q89" s="13"/>
      <c r="R89" s="13"/>
      <c r="S89" s="13"/>
      <c r="T89" s="13"/>
      <c r="U89" s="13"/>
      <c r="V89" s="13">
        <f t="shared" si="20"/>
        <v>3</v>
      </c>
      <c r="W89" s="472">
        <v>36520.829999999994</v>
      </c>
      <c r="AA89" s="68"/>
      <c r="AB89" s="68"/>
    </row>
    <row r="90" spans="1:28">
      <c r="A90" s="703" t="s">
        <v>7020</v>
      </c>
      <c r="B90" s="13">
        <v>5</v>
      </c>
      <c r="C90" s="13"/>
      <c r="D90" s="13"/>
      <c r="E90" s="13"/>
      <c r="F90" s="13"/>
      <c r="G90" s="13"/>
      <c r="H90" s="13"/>
      <c r="I90" s="13"/>
      <c r="J90" s="13"/>
      <c r="K90" s="13">
        <f t="shared" si="19"/>
        <v>5</v>
      </c>
      <c r="L90" s="472">
        <v>60167</v>
      </c>
      <c r="M90" s="13">
        <v>5</v>
      </c>
      <c r="N90" s="13"/>
      <c r="O90" s="13"/>
      <c r="P90" s="13"/>
      <c r="Q90" s="13"/>
      <c r="R90" s="13"/>
      <c r="S90" s="13"/>
      <c r="T90" s="13"/>
      <c r="U90" s="13"/>
      <c r="V90" s="13">
        <f t="shared" si="20"/>
        <v>5</v>
      </c>
      <c r="W90" s="472">
        <v>60167.25</v>
      </c>
      <c r="AA90" s="68"/>
      <c r="AB90" s="68"/>
    </row>
    <row r="91" spans="1:28">
      <c r="A91" s="704" t="s">
        <v>7019</v>
      </c>
      <c r="B91" s="482">
        <f t="shared" ref="B91:W91" si="21">B92+B99+B106+B112+B118+B124+B130+B136+B142+B148+B154+B160+B166+B172+B178+B185+B188+B192+B199+B206</f>
        <v>1483</v>
      </c>
      <c r="C91" s="482">
        <f t="shared" si="21"/>
        <v>0</v>
      </c>
      <c r="D91" s="482">
        <f t="shared" si="21"/>
        <v>0</v>
      </c>
      <c r="E91" s="482">
        <f t="shared" si="21"/>
        <v>0</v>
      </c>
      <c r="F91" s="482">
        <f t="shared" si="21"/>
        <v>0</v>
      </c>
      <c r="G91" s="482">
        <f t="shared" si="21"/>
        <v>0</v>
      </c>
      <c r="H91" s="482">
        <f t="shared" si="21"/>
        <v>0</v>
      </c>
      <c r="I91" s="482">
        <f t="shared" si="21"/>
        <v>0</v>
      </c>
      <c r="J91" s="482">
        <f t="shared" si="21"/>
        <v>0</v>
      </c>
      <c r="K91" s="482">
        <f t="shared" si="21"/>
        <v>1483</v>
      </c>
      <c r="L91" s="474">
        <f t="shared" si="21"/>
        <v>70811464.596000001</v>
      </c>
      <c r="M91" s="482">
        <f t="shared" si="21"/>
        <v>1483</v>
      </c>
      <c r="N91" s="482">
        <f t="shared" si="21"/>
        <v>0</v>
      </c>
      <c r="O91" s="482">
        <f t="shared" si="21"/>
        <v>0</v>
      </c>
      <c r="P91" s="482">
        <f t="shared" si="21"/>
        <v>0</v>
      </c>
      <c r="Q91" s="482">
        <f t="shared" si="21"/>
        <v>0</v>
      </c>
      <c r="R91" s="482">
        <f t="shared" si="21"/>
        <v>0</v>
      </c>
      <c r="S91" s="482">
        <f t="shared" si="21"/>
        <v>0</v>
      </c>
      <c r="T91" s="482">
        <f t="shared" si="21"/>
        <v>0</v>
      </c>
      <c r="U91" s="482">
        <f t="shared" si="21"/>
        <v>0</v>
      </c>
      <c r="V91" s="482">
        <f t="shared" si="21"/>
        <v>1483</v>
      </c>
      <c r="W91" s="474">
        <f t="shared" si="21"/>
        <v>71071008.996000007</v>
      </c>
      <c r="AA91" s="68"/>
      <c r="AB91" s="68"/>
    </row>
    <row r="92" spans="1:28">
      <c r="A92" s="705" t="s">
        <v>7018</v>
      </c>
      <c r="B92" s="484">
        <f t="shared" ref="B92:W92" si="22">SUM(B93:B98)</f>
        <v>216</v>
      </c>
      <c r="C92" s="484">
        <f t="shared" si="22"/>
        <v>0</v>
      </c>
      <c r="D92" s="484">
        <f t="shared" si="22"/>
        <v>0</v>
      </c>
      <c r="E92" s="484">
        <f t="shared" si="22"/>
        <v>0</v>
      </c>
      <c r="F92" s="484">
        <f t="shared" si="22"/>
        <v>0</v>
      </c>
      <c r="G92" s="484">
        <f t="shared" si="22"/>
        <v>0</v>
      </c>
      <c r="H92" s="484">
        <f t="shared" si="22"/>
        <v>0</v>
      </c>
      <c r="I92" s="484">
        <f t="shared" si="22"/>
        <v>0</v>
      </c>
      <c r="J92" s="484">
        <f t="shared" si="22"/>
        <v>0</v>
      </c>
      <c r="K92" s="484">
        <f t="shared" si="22"/>
        <v>216</v>
      </c>
      <c r="L92" s="485">
        <f t="shared" si="22"/>
        <v>17314946.184178017</v>
      </c>
      <c r="M92" s="484">
        <f t="shared" si="22"/>
        <v>216</v>
      </c>
      <c r="N92" s="484">
        <f t="shared" si="22"/>
        <v>0</v>
      </c>
      <c r="O92" s="484">
        <f t="shared" si="22"/>
        <v>0</v>
      </c>
      <c r="P92" s="484">
        <f t="shared" si="22"/>
        <v>0</v>
      </c>
      <c r="Q92" s="484">
        <f t="shared" si="22"/>
        <v>0</v>
      </c>
      <c r="R92" s="484">
        <f t="shared" si="22"/>
        <v>0</v>
      </c>
      <c r="S92" s="484">
        <f t="shared" si="22"/>
        <v>0</v>
      </c>
      <c r="T92" s="484">
        <f t="shared" si="22"/>
        <v>0</v>
      </c>
      <c r="U92" s="484">
        <f t="shared" si="22"/>
        <v>0</v>
      </c>
      <c r="V92" s="484">
        <f t="shared" si="22"/>
        <v>216</v>
      </c>
      <c r="W92" s="485">
        <f t="shared" si="22"/>
        <v>17314946.184178017</v>
      </c>
      <c r="AA92" s="68"/>
      <c r="AB92" s="68"/>
    </row>
    <row r="93" spans="1:28">
      <c r="A93" s="703" t="s">
        <v>7001</v>
      </c>
      <c r="B93" s="13">
        <v>41</v>
      </c>
      <c r="C93" s="13"/>
      <c r="D93" s="13"/>
      <c r="E93" s="13"/>
      <c r="F93" s="13"/>
      <c r="G93" s="13"/>
      <c r="H93" s="13"/>
      <c r="I93" s="13"/>
      <c r="J93" s="13"/>
      <c r="K93" s="13">
        <f t="shared" ref="K93:K98" si="23">SUM(B93:J93)</f>
        <v>41</v>
      </c>
      <c r="L93" s="472">
        <v>3898034.4145893455</v>
      </c>
      <c r="M93" s="13">
        <v>41</v>
      </c>
      <c r="N93" s="13"/>
      <c r="O93" s="13"/>
      <c r="P93" s="13"/>
      <c r="Q93" s="13"/>
      <c r="R93" s="13"/>
      <c r="S93" s="13"/>
      <c r="T93" s="13"/>
      <c r="U93" s="13"/>
      <c r="V93" s="13">
        <f t="shared" ref="V93:V98" si="24">SUM(M93:U93)</f>
        <v>41</v>
      </c>
      <c r="W93" s="472">
        <v>3898034.4145893455</v>
      </c>
      <c r="AA93" s="68"/>
      <c r="AB93" s="68"/>
    </row>
    <row r="94" spans="1:28">
      <c r="A94" s="703" t="s">
        <v>7000</v>
      </c>
      <c r="B94" s="13">
        <v>19</v>
      </c>
      <c r="C94" s="13"/>
      <c r="D94" s="13"/>
      <c r="E94" s="13"/>
      <c r="F94" s="13"/>
      <c r="G94" s="13"/>
      <c r="H94" s="13"/>
      <c r="I94" s="13"/>
      <c r="J94" s="13"/>
      <c r="K94" s="13">
        <f t="shared" si="23"/>
        <v>19</v>
      </c>
      <c r="L94" s="472">
        <v>1706086.19212677</v>
      </c>
      <c r="M94" s="13">
        <v>19</v>
      </c>
      <c r="N94" s="13"/>
      <c r="O94" s="13"/>
      <c r="P94" s="13"/>
      <c r="Q94" s="13"/>
      <c r="R94" s="13"/>
      <c r="S94" s="13"/>
      <c r="T94" s="13"/>
      <c r="U94" s="13"/>
      <c r="V94" s="13">
        <f t="shared" si="24"/>
        <v>19</v>
      </c>
      <c r="W94" s="472">
        <v>1706086.19212677</v>
      </c>
      <c r="AA94" s="68"/>
      <c r="AB94" s="68"/>
    </row>
    <row r="95" spans="1:28">
      <c r="A95" s="703" t="s">
        <v>6999</v>
      </c>
      <c r="B95" s="13">
        <v>11</v>
      </c>
      <c r="C95" s="13"/>
      <c r="D95" s="13"/>
      <c r="E95" s="13"/>
      <c r="F95" s="13"/>
      <c r="G95" s="13"/>
      <c r="H95" s="13"/>
      <c r="I95" s="13"/>
      <c r="J95" s="13"/>
      <c r="K95" s="13">
        <f t="shared" si="23"/>
        <v>11</v>
      </c>
      <c r="L95" s="472">
        <v>923054.11123128794</v>
      </c>
      <c r="M95" s="13">
        <v>11</v>
      </c>
      <c r="N95" s="13"/>
      <c r="O95" s="13"/>
      <c r="P95" s="13"/>
      <c r="Q95" s="13"/>
      <c r="R95" s="13"/>
      <c r="S95" s="13"/>
      <c r="T95" s="13"/>
      <c r="U95" s="13"/>
      <c r="V95" s="13">
        <f t="shared" si="24"/>
        <v>11</v>
      </c>
      <c r="W95" s="472">
        <v>923054.11123128794</v>
      </c>
      <c r="AA95" s="68"/>
      <c r="AB95" s="68"/>
    </row>
    <row r="96" spans="1:28">
      <c r="A96" s="703" t="s">
        <v>6998</v>
      </c>
      <c r="B96" s="13">
        <v>4</v>
      </c>
      <c r="C96" s="13"/>
      <c r="D96" s="13"/>
      <c r="E96" s="13"/>
      <c r="F96" s="13"/>
      <c r="G96" s="13"/>
      <c r="H96" s="13"/>
      <c r="I96" s="13"/>
      <c r="J96" s="13"/>
      <c r="K96" s="13">
        <f t="shared" si="23"/>
        <v>4</v>
      </c>
      <c r="L96" s="472">
        <v>316264.04044774105</v>
      </c>
      <c r="M96" s="13">
        <v>4</v>
      </c>
      <c r="N96" s="13"/>
      <c r="O96" s="13"/>
      <c r="P96" s="13"/>
      <c r="Q96" s="13"/>
      <c r="R96" s="13"/>
      <c r="S96" s="13"/>
      <c r="T96" s="13"/>
      <c r="U96" s="13"/>
      <c r="V96" s="13">
        <f t="shared" si="24"/>
        <v>4</v>
      </c>
      <c r="W96" s="472">
        <v>316264.04044774105</v>
      </c>
      <c r="AA96" s="68"/>
      <c r="AB96" s="68"/>
    </row>
    <row r="97" spans="1:28">
      <c r="A97" s="703" t="s">
        <v>6997</v>
      </c>
      <c r="B97" s="13">
        <v>101</v>
      </c>
      <c r="C97" s="13"/>
      <c r="D97" s="13"/>
      <c r="E97" s="13"/>
      <c r="F97" s="13"/>
      <c r="G97" s="13"/>
      <c r="H97" s="13"/>
      <c r="I97" s="13"/>
      <c r="J97" s="13"/>
      <c r="K97" s="13">
        <f t="shared" si="23"/>
        <v>101</v>
      </c>
      <c r="L97" s="472">
        <v>7500867.0213054614</v>
      </c>
      <c r="M97" s="13">
        <v>101</v>
      </c>
      <c r="N97" s="13"/>
      <c r="O97" s="13"/>
      <c r="P97" s="13"/>
      <c r="Q97" s="13"/>
      <c r="R97" s="13"/>
      <c r="S97" s="13"/>
      <c r="T97" s="13"/>
      <c r="U97" s="13"/>
      <c r="V97" s="13">
        <f t="shared" si="24"/>
        <v>101</v>
      </c>
      <c r="W97" s="472">
        <v>7500867.0213054614</v>
      </c>
      <c r="AA97" s="68"/>
      <c r="AB97" s="68"/>
    </row>
    <row r="98" spans="1:28">
      <c r="A98" s="703" t="s">
        <v>7017</v>
      </c>
      <c r="B98" s="13">
        <v>40</v>
      </c>
      <c r="C98" s="13"/>
      <c r="D98" s="13"/>
      <c r="E98" s="13"/>
      <c r="F98" s="13"/>
      <c r="G98" s="13"/>
      <c r="H98" s="13"/>
      <c r="I98" s="13"/>
      <c r="J98" s="13"/>
      <c r="K98" s="13">
        <f t="shared" si="23"/>
        <v>40</v>
      </c>
      <c r="L98" s="16">
        <v>2970640.4044774109</v>
      </c>
      <c r="M98" s="13">
        <v>40</v>
      </c>
      <c r="N98" s="13"/>
      <c r="O98" s="13"/>
      <c r="P98" s="13"/>
      <c r="Q98" s="13"/>
      <c r="R98" s="13"/>
      <c r="S98" s="13"/>
      <c r="T98" s="13"/>
      <c r="U98" s="13"/>
      <c r="V98" s="13">
        <f t="shared" si="24"/>
        <v>40</v>
      </c>
      <c r="W98" s="472">
        <v>2970640.4044774109</v>
      </c>
      <c r="AA98" s="68"/>
      <c r="AB98" s="68"/>
    </row>
    <row r="99" spans="1:28" ht="24">
      <c r="A99" s="705" t="s">
        <v>7016</v>
      </c>
      <c r="B99" s="484">
        <f t="shared" ref="B99:K99" si="25">SUM(B100:B104)</f>
        <v>139</v>
      </c>
      <c r="C99" s="484">
        <f t="shared" si="25"/>
        <v>0</v>
      </c>
      <c r="D99" s="484">
        <f t="shared" si="25"/>
        <v>0</v>
      </c>
      <c r="E99" s="484">
        <f t="shared" si="25"/>
        <v>0</v>
      </c>
      <c r="F99" s="484">
        <f t="shared" si="25"/>
        <v>0</v>
      </c>
      <c r="G99" s="484">
        <f t="shared" si="25"/>
        <v>0</v>
      </c>
      <c r="H99" s="484">
        <f t="shared" si="25"/>
        <v>0</v>
      </c>
      <c r="I99" s="484">
        <f t="shared" si="25"/>
        <v>0</v>
      </c>
      <c r="J99" s="484">
        <f t="shared" si="25"/>
        <v>0</v>
      </c>
      <c r="K99" s="484">
        <f t="shared" si="25"/>
        <v>139</v>
      </c>
      <c r="L99" s="485">
        <f>SUM(L100:L105)</f>
        <v>7312199.4055590015</v>
      </c>
      <c r="M99" s="484">
        <f t="shared" ref="M99:V99" si="26">SUM(M100:M104)</f>
        <v>139</v>
      </c>
      <c r="N99" s="484">
        <f t="shared" si="26"/>
        <v>0</v>
      </c>
      <c r="O99" s="484">
        <f t="shared" si="26"/>
        <v>0</v>
      </c>
      <c r="P99" s="484">
        <f t="shared" si="26"/>
        <v>0</v>
      </c>
      <c r="Q99" s="484">
        <f t="shared" si="26"/>
        <v>0</v>
      </c>
      <c r="R99" s="484">
        <f t="shared" si="26"/>
        <v>0</v>
      </c>
      <c r="S99" s="484">
        <f t="shared" si="26"/>
        <v>0</v>
      </c>
      <c r="T99" s="484">
        <f t="shared" si="26"/>
        <v>0</v>
      </c>
      <c r="U99" s="484">
        <f t="shared" si="26"/>
        <v>0</v>
      </c>
      <c r="V99" s="484">
        <f t="shared" si="26"/>
        <v>139</v>
      </c>
      <c r="W99" s="485">
        <f>SUM(W100:W105)</f>
        <v>7312199.4055590015</v>
      </c>
      <c r="AA99" s="68"/>
      <c r="AB99" s="68"/>
    </row>
    <row r="100" spans="1:28">
      <c r="A100" s="703" t="s">
        <v>7015</v>
      </c>
      <c r="B100" s="13">
        <v>8</v>
      </c>
      <c r="C100" s="13"/>
      <c r="D100" s="13"/>
      <c r="E100" s="13"/>
      <c r="F100" s="13"/>
      <c r="G100" s="13"/>
      <c r="H100" s="13"/>
      <c r="I100" s="13"/>
      <c r="J100" s="13"/>
      <c r="K100" s="13">
        <f>SUM(B100:J100)</f>
        <v>8</v>
      </c>
      <c r="L100" s="472">
        <v>492272.0808954821</v>
      </c>
      <c r="M100" s="13">
        <v>8</v>
      </c>
      <c r="N100" s="13"/>
      <c r="O100" s="13"/>
      <c r="P100" s="13"/>
      <c r="Q100" s="13"/>
      <c r="R100" s="13"/>
      <c r="S100" s="13"/>
      <c r="T100" s="13"/>
      <c r="U100" s="13"/>
      <c r="V100" s="13">
        <f>SUM(M100:U100)</f>
        <v>8</v>
      </c>
      <c r="W100" s="472">
        <v>492272.0808954821</v>
      </c>
      <c r="AA100" s="68"/>
      <c r="AB100" s="68"/>
    </row>
    <row r="101" spans="1:28">
      <c r="A101" s="703" t="s">
        <v>7014</v>
      </c>
      <c r="B101" s="13">
        <v>9</v>
      </c>
      <c r="C101" s="13"/>
      <c r="D101" s="13"/>
      <c r="E101" s="13"/>
      <c r="F101" s="13"/>
      <c r="G101" s="13"/>
      <c r="H101" s="13"/>
      <c r="I101" s="13"/>
      <c r="J101" s="13"/>
      <c r="K101" s="13">
        <f>SUM(B101:J101)</f>
        <v>9</v>
      </c>
      <c r="L101" s="472">
        <v>520002.09100741736</v>
      </c>
      <c r="M101" s="13">
        <v>9</v>
      </c>
      <c r="N101" s="13"/>
      <c r="O101" s="13"/>
      <c r="P101" s="13"/>
      <c r="Q101" s="13"/>
      <c r="R101" s="13"/>
      <c r="S101" s="13"/>
      <c r="T101" s="13"/>
      <c r="U101" s="13"/>
      <c r="V101" s="13">
        <f>SUM(M101:U101)</f>
        <v>9</v>
      </c>
      <c r="W101" s="472">
        <v>520002.09100741736</v>
      </c>
      <c r="AA101" s="68"/>
      <c r="AB101" s="68"/>
    </row>
    <row r="102" spans="1:28">
      <c r="A102" s="703" t="s">
        <v>7013</v>
      </c>
      <c r="B102" s="13">
        <v>26</v>
      </c>
      <c r="C102" s="13"/>
      <c r="D102" s="13"/>
      <c r="E102" s="13"/>
      <c r="F102" s="13"/>
      <c r="G102" s="13"/>
      <c r="H102" s="13"/>
      <c r="I102" s="13"/>
      <c r="J102" s="13"/>
      <c r="K102" s="13">
        <f>SUM(B102:J102)</f>
        <v>26</v>
      </c>
      <c r="L102" s="472">
        <v>1421732.2629103169</v>
      </c>
      <c r="M102" s="13">
        <v>26</v>
      </c>
      <c r="N102" s="13"/>
      <c r="O102" s="13"/>
      <c r="P102" s="13"/>
      <c r="Q102" s="13"/>
      <c r="R102" s="13"/>
      <c r="S102" s="13"/>
      <c r="T102" s="13"/>
      <c r="U102" s="13"/>
      <c r="V102" s="13">
        <f>SUM(M102:U102)</f>
        <v>26</v>
      </c>
      <c r="W102" s="472">
        <v>1421732.2629103169</v>
      </c>
      <c r="AA102" s="68"/>
      <c r="AB102" s="68"/>
    </row>
    <row r="103" spans="1:28">
      <c r="A103" s="703" t="s">
        <v>7012</v>
      </c>
      <c r="B103" s="13">
        <v>71</v>
      </c>
      <c r="C103" s="13"/>
      <c r="D103" s="13"/>
      <c r="E103" s="13"/>
      <c r="F103" s="13"/>
      <c r="G103" s="13"/>
      <c r="H103" s="13"/>
      <c r="I103" s="13"/>
      <c r="J103" s="13"/>
      <c r="K103" s="13">
        <f>SUM(B103:J103)</f>
        <v>71</v>
      </c>
      <c r="L103" s="472">
        <v>3677942.7179474039</v>
      </c>
      <c r="M103" s="13">
        <v>71</v>
      </c>
      <c r="N103" s="13"/>
      <c r="O103" s="13"/>
      <c r="P103" s="13"/>
      <c r="Q103" s="13"/>
      <c r="R103" s="13"/>
      <c r="S103" s="13"/>
      <c r="T103" s="13"/>
      <c r="U103" s="13"/>
      <c r="V103" s="13">
        <f>SUM(M103:U103)</f>
        <v>71</v>
      </c>
      <c r="W103" s="472">
        <v>3677942.7179474039</v>
      </c>
      <c r="AA103" s="68"/>
      <c r="AB103" s="68"/>
    </row>
    <row r="104" spans="1:28">
      <c r="A104" s="703" t="s">
        <v>7011</v>
      </c>
      <c r="B104" s="13">
        <v>25</v>
      </c>
      <c r="C104" s="13"/>
      <c r="D104" s="13"/>
      <c r="E104" s="13"/>
      <c r="F104" s="13"/>
      <c r="G104" s="13"/>
      <c r="H104" s="13"/>
      <c r="I104" s="13"/>
      <c r="J104" s="13"/>
      <c r="K104" s="13">
        <f>SUM(B104:J104)</f>
        <v>25</v>
      </c>
      <c r="L104" s="472">
        <v>1200250.2527983817</v>
      </c>
      <c r="M104" s="13">
        <v>25</v>
      </c>
      <c r="N104" s="13"/>
      <c r="O104" s="13"/>
      <c r="P104" s="13"/>
      <c r="Q104" s="13"/>
      <c r="R104" s="13"/>
      <c r="S104" s="13"/>
      <c r="T104" s="13"/>
      <c r="U104" s="13"/>
      <c r="V104" s="13">
        <f>SUM(M104:U104)</f>
        <v>25</v>
      </c>
      <c r="W104" s="472">
        <v>1200250.2527983817</v>
      </c>
      <c r="AA104" s="68"/>
      <c r="AB104" s="68"/>
    </row>
    <row r="105" spans="1:28" hidden="1">
      <c r="A105" s="703" t="s">
        <v>7010</v>
      </c>
      <c r="B105" s="13"/>
      <c r="C105" s="13"/>
      <c r="D105" s="13"/>
      <c r="E105" s="13"/>
      <c r="F105" s="13"/>
      <c r="G105" s="13"/>
      <c r="H105" s="13"/>
      <c r="I105" s="13"/>
      <c r="J105" s="13"/>
      <c r="K105" s="13"/>
      <c r="L105" s="472"/>
      <c r="M105" s="13"/>
      <c r="N105" s="13"/>
      <c r="O105" s="13"/>
      <c r="P105" s="13"/>
      <c r="Q105" s="13"/>
      <c r="R105" s="13"/>
      <c r="S105" s="13"/>
      <c r="T105" s="13"/>
      <c r="U105" s="13"/>
      <c r="V105" s="13"/>
      <c r="W105" s="472"/>
      <c r="AA105" s="68"/>
      <c r="AB105" s="68"/>
    </row>
    <row r="106" spans="1:28">
      <c r="A106" s="705" t="s">
        <v>7009</v>
      </c>
      <c r="B106" s="484">
        <f t="shared" ref="B106:W106" si="27">SUM(B107:B111)</f>
        <v>309</v>
      </c>
      <c r="C106" s="484">
        <f t="shared" si="27"/>
        <v>0</v>
      </c>
      <c r="D106" s="484">
        <f t="shared" si="27"/>
        <v>0</v>
      </c>
      <c r="E106" s="484">
        <f t="shared" si="27"/>
        <v>0</v>
      </c>
      <c r="F106" s="484">
        <f t="shared" si="27"/>
        <v>0</v>
      </c>
      <c r="G106" s="484">
        <f t="shared" si="27"/>
        <v>0</v>
      </c>
      <c r="H106" s="484">
        <f t="shared" si="27"/>
        <v>0</v>
      </c>
      <c r="I106" s="484">
        <f t="shared" si="27"/>
        <v>0</v>
      </c>
      <c r="J106" s="484">
        <f t="shared" si="27"/>
        <v>0</v>
      </c>
      <c r="K106" s="484">
        <f t="shared" si="27"/>
        <v>309</v>
      </c>
      <c r="L106" s="485">
        <f t="shared" si="27"/>
        <v>16518129.124587998</v>
      </c>
      <c r="M106" s="484">
        <f t="shared" si="27"/>
        <v>309</v>
      </c>
      <c r="N106" s="484">
        <f t="shared" si="27"/>
        <v>0</v>
      </c>
      <c r="O106" s="484">
        <f t="shared" si="27"/>
        <v>0</v>
      </c>
      <c r="P106" s="484">
        <f t="shared" si="27"/>
        <v>0</v>
      </c>
      <c r="Q106" s="484">
        <f t="shared" si="27"/>
        <v>0</v>
      </c>
      <c r="R106" s="484">
        <f t="shared" si="27"/>
        <v>0</v>
      </c>
      <c r="S106" s="484">
        <f t="shared" si="27"/>
        <v>0</v>
      </c>
      <c r="T106" s="484">
        <f t="shared" si="27"/>
        <v>0</v>
      </c>
      <c r="U106" s="484">
        <f t="shared" si="27"/>
        <v>0</v>
      </c>
      <c r="V106" s="484">
        <f t="shared" si="27"/>
        <v>309</v>
      </c>
      <c r="W106" s="485">
        <f t="shared" si="27"/>
        <v>16518129.124587998</v>
      </c>
      <c r="AA106" s="68"/>
      <c r="AB106" s="68"/>
    </row>
    <row r="107" spans="1:28">
      <c r="A107" s="703" t="s">
        <v>7008</v>
      </c>
      <c r="B107" s="13">
        <v>37</v>
      </c>
      <c r="C107" s="13"/>
      <c r="D107" s="13"/>
      <c r="E107" s="13"/>
      <c r="F107" s="13"/>
      <c r="G107" s="13"/>
      <c r="H107" s="13"/>
      <c r="I107" s="13"/>
      <c r="J107" s="13"/>
      <c r="K107" s="13">
        <f>SUM(B107:J107)</f>
        <v>37</v>
      </c>
      <c r="L107" s="472">
        <v>2276758.3741416046</v>
      </c>
      <c r="M107" s="13">
        <v>37</v>
      </c>
      <c r="N107" s="13"/>
      <c r="O107" s="13"/>
      <c r="P107" s="13"/>
      <c r="Q107" s="13"/>
      <c r="R107" s="13"/>
      <c r="S107" s="13"/>
      <c r="T107" s="13"/>
      <c r="U107" s="13"/>
      <c r="V107" s="13">
        <f>SUM(M107:U107)</f>
        <v>37</v>
      </c>
      <c r="W107" s="472">
        <v>2276758.3741416046</v>
      </c>
      <c r="AA107" s="68"/>
      <c r="AB107" s="68"/>
    </row>
    <row r="108" spans="1:28">
      <c r="A108" s="703" t="s">
        <v>7007</v>
      </c>
      <c r="B108" s="13">
        <v>27</v>
      </c>
      <c r="C108" s="13"/>
      <c r="D108" s="13"/>
      <c r="E108" s="13"/>
      <c r="F108" s="13"/>
      <c r="G108" s="13"/>
      <c r="H108" s="13"/>
      <c r="I108" s="13"/>
      <c r="J108" s="13"/>
      <c r="K108" s="13">
        <f>SUM(B108:J108)</f>
        <v>27</v>
      </c>
      <c r="L108" s="472">
        <v>1560006.2730222521</v>
      </c>
      <c r="M108" s="13">
        <v>27</v>
      </c>
      <c r="N108" s="13"/>
      <c r="O108" s="13"/>
      <c r="P108" s="13"/>
      <c r="Q108" s="13"/>
      <c r="R108" s="13"/>
      <c r="S108" s="13"/>
      <c r="T108" s="13"/>
      <c r="U108" s="13"/>
      <c r="V108" s="13">
        <f>SUM(M108:U108)</f>
        <v>27</v>
      </c>
      <c r="W108" s="472">
        <v>1560006.2730222521</v>
      </c>
      <c r="AA108" s="68"/>
      <c r="AB108" s="68"/>
    </row>
    <row r="109" spans="1:28">
      <c r="A109" s="703" t="s">
        <v>7006</v>
      </c>
      <c r="B109" s="13">
        <v>61</v>
      </c>
      <c r="C109" s="13"/>
      <c r="D109" s="13"/>
      <c r="E109" s="13"/>
      <c r="F109" s="13"/>
      <c r="G109" s="13"/>
      <c r="H109" s="13"/>
      <c r="I109" s="13"/>
      <c r="J109" s="13"/>
      <c r="K109" s="13">
        <f>SUM(B109:J109)</f>
        <v>61</v>
      </c>
      <c r="L109" s="472">
        <v>3335602.6168280514</v>
      </c>
      <c r="M109" s="13">
        <v>61</v>
      </c>
      <c r="N109" s="13"/>
      <c r="O109" s="13"/>
      <c r="P109" s="13"/>
      <c r="Q109" s="13"/>
      <c r="R109" s="13"/>
      <c r="S109" s="13"/>
      <c r="T109" s="13"/>
      <c r="U109" s="13"/>
      <c r="V109" s="13">
        <f>SUM(M109:U109)</f>
        <v>61</v>
      </c>
      <c r="W109" s="472">
        <v>3335602.6168280514</v>
      </c>
      <c r="AA109" s="68"/>
      <c r="AB109" s="68"/>
    </row>
    <row r="110" spans="1:28">
      <c r="A110" s="703" t="s">
        <v>7005</v>
      </c>
      <c r="B110" s="13">
        <v>135</v>
      </c>
      <c r="C110" s="13"/>
      <c r="D110" s="13"/>
      <c r="E110" s="13"/>
      <c r="F110" s="13"/>
      <c r="G110" s="13"/>
      <c r="H110" s="13"/>
      <c r="I110" s="13"/>
      <c r="J110" s="13"/>
      <c r="K110" s="13">
        <f>SUM(B110:J110)</f>
        <v>135</v>
      </c>
      <c r="L110" s="472">
        <v>6993271.3651112597</v>
      </c>
      <c r="M110" s="13">
        <v>135</v>
      </c>
      <c r="N110" s="13"/>
      <c r="O110" s="13"/>
      <c r="P110" s="13"/>
      <c r="Q110" s="13"/>
      <c r="R110" s="13"/>
      <c r="S110" s="13"/>
      <c r="T110" s="13"/>
      <c r="U110" s="13"/>
      <c r="V110" s="13">
        <f>SUM(M110:U110)</f>
        <v>135</v>
      </c>
      <c r="W110" s="472">
        <v>6993271.3651112597</v>
      </c>
      <c r="AA110" s="68"/>
      <c r="AB110" s="68"/>
    </row>
    <row r="111" spans="1:28">
      <c r="A111" s="703" t="s">
        <v>7004</v>
      </c>
      <c r="B111" s="13">
        <v>49</v>
      </c>
      <c r="C111" s="13"/>
      <c r="D111" s="13"/>
      <c r="E111" s="13"/>
      <c r="F111" s="13"/>
      <c r="G111" s="13"/>
      <c r="H111" s="13"/>
      <c r="I111" s="13"/>
      <c r="J111" s="13"/>
      <c r="K111" s="13">
        <f>SUM(B111:J111)</f>
        <v>49</v>
      </c>
      <c r="L111" s="472">
        <v>2352490.495484828</v>
      </c>
      <c r="M111" s="13">
        <v>49</v>
      </c>
      <c r="N111" s="13"/>
      <c r="O111" s="13"/>
      <c r="P111" s="13"/>
      <c r="Q111" s="13"/>
      <c r="R111" s="13"/>
      <c r="S111" s="13"/>
      <c r="T111" s="13"/>
      <c r="U111" s="13"/>
      <c r="V111" s="13">
        <f>SUM(M111:U111)</f>
        <v>49</v>
      </c>
      <c r="W111" s="472">
        <v>2352490.495484828</v>
      </c>
      <c r="AA111" s="68"/>
      <c r="AB111" s="68"/>
    </row>
    <row r="112" spans="1:28" hidden="1">
      <c r="A112" s="705" t="s">
        <v>7003</v>
      </c>
      <c r="B112" s="484">
        <f t="shared" ref="B112:W112" si="28">SUM(B113:B117)</f>
        <v>0</v>
      </c>
      <c r="C112" s="484">
        <f t="shared" si="28"/>
        <v>0</v>
      </c>
      <c r="D112" s="484">
        <f t="shared" si="28"/>
        <v>0</v>
      </c>
      <c r="E112" s="484">
        <f t="shared" si="28"/>
        <v>0</v>
      </c>
      <c r="F112" s="484">
        <f t="shared" si="28"/>
        <v>0</v>
      </c>
      <c r="G112" s="484">
        <f t="shared" si="28"/>
        <v>0</v>
      </c>
      <c r="H112" s="484">
        <f t="shared" si="28"/>
        <v>0</v>
      </c>
      <c r="I112" s="484">
        <f t="shared" si="28"/>
        <v>0</v>
      </c>
      <c r="J112" s="484">
        <f t="shared" si="28"/>
        <v>0</v>
      </c>
      <c r="K112" s="484">
        <f t="shared" si="28"/>
        <v>0</v>
      </c>
      <c r="L112" s="485">
        <f t="shared" si="28"/>
        <v>0</v>
      </c>
      <c r="M112" s="484">
        <f t="shared" si="28"/>
        <v>0</v>
      </c>
      <c r="N112" s="484">
        <f t="shared" si="28"/>
        <v>0</v>
      </c>
      <c r="O112" s="484">
        <f t="shared" si="28"/>
        <v>0</v>
      </c>
      <c r="P112" s="484">
        <f t="shared" si="28"/>
        <v>0</v>
      </c>
      <c r="Q112" s="484">
        <f t="shared" si="28"/>
        <v>0</v>
      </c>
      <c r="R112" s="484">
        <f t="shared" si="28"/>
        <v>0</v>
      </c>
      <c r="S112" s="484">
        <f t="shared" si="28"/>
        <v>0</v>
      </c>
      <c r="T112" s="484">
        <f t="shared" si="28"/>
        <v>0</v>
      </c>
      <c r="U112" s="484">
        <f t="shared" si="28"/>
        <v>0</v>
      </c>
      <c r="V112" s="484">
        <f t="shared" si="28"/>
        <v>0</v>
      </c>
      <c r="W112" s="485">
        <f t="shared" si="28"/>
        <v>0</v>
      </c>
      <c r="AA112" s="68"/>
      <c r="AB112" s="68"/>
    </row>
    <row r="113" spans="1:28" hidden="1">
      <c r="A113" s="703" t="s">
        <v>6985</v>
      </c>
      <c r="B113" s="13"/>
      <c r="C113" s="13"/>
      <c r="D113" s="13"/>
      <c r="E113" s="13"/>
      <c r="F113" s="13"/>
      <c r="G113" s="13"/>
      <c r="H113" s="13"/>
      <c r="I113" s="13"/>
      <c r="J113" s="13"/>
      <c r="K113" s="13">
        <f>SUM(B113:J113)</f>
        <v>0</v>
      </c>
      <c r="L113" s="472"/>
      <c r="M113" s="13"/>
      <c r="N113" s="13"/>
      <c r="O113" s="13"/>
      <c r="P113" s="13"/>
      <c r="Q113" s="13"/>
      <c r="R113" s="13"/>
      <c r="S113" s="13"/>
      <c r="T113" s="13"/>
      <c r="U113" s="13"/>
      <c r="V113" s="13">
        <f>SUM(M113:U113)</f>
        <v>0</v>
      </c>
      <c r="W113" s="472"/>
      <c r="AA113" s="68"/>
      <c r="AB113" s="68"/>
    </row>
    <row r="114" spans="1:28" hidden="1">
      <c r="A114" s="703" t="s">
        <v>6984</v>
      </c>
      <c r="B114" s="13"/>
      <c r="C114" s="13"/>
      <c r="D114" s="13"/>
      <c r="E114" s="13"/>
      <c r="F114" s="13"/>
      <c r="G114" s="13"/>
      <c r="H114" s="13"/>
      <c r="I114" s="13"/>
      <c r="J114" s="13"/>
      <c r="K114" s="13">
        <f>SUM(B114:J114)</f>
        <v>0</v>
      </c>
      <c r="L114" s="472"/>
      <c r="M114" s="13"/>
      <c r="N114" s="13"/>
      <c r="O114" s="13"/>
      <c r="P114" s="13"/>
      <c r="Q114" s="13"/>
      <c r="R114" s="13"/>
      <c r="S114" s="13"/>
      <c r="T114" s="13"/>
      <c r="U114" s="13"/>
      <c r="V114" s="13">
        <f>SUM(M114:U114)</f>
        <v>0</v>
      </c>
      <c r="W114" s="472"/>
      <c r="AA114" s="68"/>
      <c r="AB114" s="68"/>
    </row>
    <row r="115" spans="1:28" hidden="1">
      <c r="A115" s="703" t="s">
        <v>6983</v>
      </c>
      <c r="B115" s="13"/>
      <c r="C115" s="13"/>
      <c r="D115" s="13"/>
      <c r="E115" s="13"/>
      <c r="F115" s="13"/>
      <c r="G115" s="13"/>
      <c r="H115" s="13"/>
      <c r="I115" s="13"/>
      <c r="J115" s="13"/>
      <c r="K115" s="13">
        <f>SUM(B115:J115)</f>
        <v>0</v>
      </c>
      <c r="L115" s="472"/>
      <c r="M115" s="13"/>
      <c r="N115" s="13"/>
      <c r="O115" s="13"/>
      <c r="P115" s="13"/>
      <c r="Q115" s="13"/>
      <c r="R115" s="13"/>
      <c r="S115" s="13"/>
      <c r="T115" s="13"/>
      <c r="U115" s="13"/>
      <c r="V115" s="13">
        <f>SUM(M115:U115)</f>
        <v>0</v>
      </c>
      <c r="W115" s="472"/>
      <c r="AA115" s="68"/>
      <c r="AB115" s="68"/>
    </row>
    <row r="116" spans="1:28" hidden="1">
      <c r="A116" s="703" t="s">
        <v>6982</v>
      </c>
      <c r="B116" s="13"/>
      <c r="C116" s="13"/>
      <c r="D116" s="13"/>
      <c r="E116" s="13"/>
      <c r="F116" s="13"/>
      <c r="G116" s="13"/>
      <c r="H116" s="13"/>
      <c r="I116" s="13"/>
      <c r="J116" s="13"/>
      <c r="K116" s="13">
        <f>SUM(B116:J116)</f>
        <v>0</v>
      </c>
      <c r="L116" s="472"/>
      <c r="M116" s="13"/>
      <c r="N116" s="13"/>
      <c r="O116" s="13"/>
      <c r="P116" s="13"/>
      <c r="Q116" s="13"/>
      <c r="R116" s="13"/>
      <c r="S116" s="13"/>
      <c r="T116" s="13"/>
      <c r="U116" s="13"/>
      <c r="V116" s="13">
        <f>SUM(M116:U116)</f>
        <v>0</v>
      </c>
      <c r="W116" s="472"/>
      <c r="AA116" s="68"/>
      <c r="AB116" s="68"/>
    </row>
    <row r="117" spans="1:28" hidden="1">
      <c r="A117" s="703" t="s">
        <v>6981</v>
      </c>
      <c r="B117" s="13"/>
      <c r="C117" s="13"/>
      <c r="D117" s="13"/>
      <c r="E117" s="13"/>
      <c r="F117" s="13"/>
      <c r="G117" s="13"/>
      <c r="H117" s="13"/>
      <c r="I117" s="13"/>
      <c r="J117" s="13"/>
      <c r="K117" s="13">
        <f>SUM(B117:J117)</f>
        <v>0</v>
      </c>
      <c r="L117" s="472"/>
      <c r="M117" s="13"/>
      <c r="N117" s="13"/>
      <c r="O117" s="13"/>
      <c r="P117" s="13"/>
      <c r="Q117" s="13"/>
      <c r="R117" s="13"/>
      <c r="S117" s="13"/>
      <c r="T117" s="13"/>
      <c r="U117" s="13"/>
      <c r="V117" s="13">
        <f>SUM(M117:U117)</f>
        <v>0</v>
      </c>
      <c r="W117" s="472"/>
      <c r="AA117" s="68"/>
      <c r="AB117" s="68"/>
    </row>
    <row r="118" spans="1:28">
      <c r="A118" s="705" t="s">
        <v>2879</v>
      </c>
      <c r="B118" s="484">
        <f t="shared" ref="B118:W118" si="29">SUM(B119:B123)</f>
        <v>33</v>
      </c>
      <c r="C118" s="484">
        <f t="shared" si="29"/>
        <v>0</v>
      </c>
      <c r="D118" s="484">
        <f t="shared" si="29"/>
        <v>0</v>
      </c>
      <c r="E118" s="484">
        <f t="shared" si="29"/>
        <v>0</v>
      </c>
      <c r="F118" s="484">
        <f t="shared" si="29"/>
        <v>0</v>
      </c>
      <c r="G118" s="484">
        <f t="shared" si="29"/>
        <v>0</v>
      </c>
      <c r="H118" s="484">
        <f t="shared" si="29"/>
        <v>0</v>
      </c>
      <c r="I118" s="484">
        <f t="shared" si="29"/>
        <v>0</v>
      </c>
      <c r="J118" s="484">
        <f t="shared" si="29"/>
        <v>0</v>
      </c>
      <c r="K118" s="484">
        <f t="shared" si="29"/>
        <v>33</v>
      </c>
      <c r="L118" s="485">
        <f t="shared" si="29"/>
        <v>1759266.3336938638</v>
      </c>
      <c r="M118" s="484">
        <f t="shared" si="29"/>
        <v>33</v>
      </c>
      <c r="N118" s="484">
        <f t="shared" si="29"/>
        <v>0</v>
      </c>
      <c r="O118" s="484">
        <f t="shared" si="29"/>
        <v>0</v>
      </c>
      <c r="P118" s="484">
        <f t="shared" si="29"/>
        <v>0</v>
      </c>
      <c r="Q118" s="484">
        <f t="shared" si="29"/>
        <v>0</v>
      </c>
      <c r="R118" s="484">
        <f t="shared" si="29"/>
        <v>0</v>
      </c>
      <c r="S118" s="484">
        <f t="shared" si="29"/>
        <v>0</v>
      </c>
      <c r="T118" s="484">
        <f t="shared" si="29"/>
        <v>0</v>
      </c>
      <c r="U118" s="484">
        <f t="shared" si="29"/>
        <v>0</v>
      </c>
      <c r="V118" s="484">
        <f t="shared" si="29"/>
        <v>33</v>
      </c>
      <c r="W118" s="485">
        <f t="shared" si="29"/>
        <v>1759266.3336938638</v>
      </c>
      <c r="AA118" s="68"/>
      <c r="AB118" s="68"/>
    </row>
    <row r="119" spans="1:28">
      <c r="A119" s="703" t="s">
        <v>6985</v>
      </c>
      <c r="B119" s="13">
        <v>6</v>
      </c>
      <c r="C119" s="13"/>
      <c r="D119" s="13"/>
      <c r="E119" s="13"/>
      <c r="F119" s="13"/>
      <c r="G119" s="13"/>
      <c r="H119" s="13"/>
      <c r="I119" s="13"/>
      <c r="J119" s="13"/>
      <c r="K119" s="13">
        <f>SUM(B119:J119)</f>
        <v>6</v>
      </c>
      <c r="L119" s="472">
        <v>369204.06067161157</v>
      </c>
      <c r="M119" s="13">
        <v>6</v>
      </c>
      <c r="N119" s="13"/>
      <c r="O119" s="13"/>
      <c r="P119" s="13"/>
      <c r="Q119" s="13"/>
      <c r="R119" s="13"/>
      <c r="S119" s="13"/>
      <c r="T119" s="13"/>
      <c r="U119" s="13"/>
      <c r="V119" s="13">
        <f>SUM(M119:U119)</f>
        <v>6</v>
      </c>
      <c r="W119" s="472">
        <v>369204.06067161157</v>
      </c>
      <c r="AA119" s="68"/>
      <c r="AB119" s="68"/>
    </row>
    <row r="120" spans="1:28">
      <c r="A120" s="703" t="s">
        <v>6984</v>
      </c>
      <c r="B120" s="13">
        <v>6</v>
      </c>
      <c r="C120" s="13"/>
      <c r="D120" s="13"/>
      <c r="E120" s="13"/>
      <c r="F120" s="13"/>
      <c r="G120" s="13"/>
      <c r="H120" s="13"/>
      <c r="I120" s="13"/>
      <c r="J120" s="13"/>
      <c r="K120" s="13">
        <f>SUM(B120:J120)</f>
        <v>6</v>
      </c>
      <c r="L120" s="472">
        <v>346668.06067161157</v>
      </c>
      <c r="M120" s="13">
        <v>6</v>
      </c>
      <c r="N120" s="13"/>
      <c r="O120" s="13"/>
      <c r="P120" s="13"/>
      <c r="Q120" s="13"/>
      <c r="R120" s="13"/>
      <c r="S120" s="13"/>
      <c r="T120" s="13"/>
      <c r="U120" s="13"/>
      <c r="V120" s="13">
        <f>SUM(M120:U120)</f>
        <v>6</v>
      </c>
      <c r="W120" s="472">
        <v>346668.06067161157</v>
      </c>
      <c r="AA120" s="68"/>
      <c r="AB120" s="68"/>
    </row>
    <row r="121" spans="1:28">
      <c r="A121" s="703" t="s">
        <v>6983</v>
      </c>
      <c r="B121" s="13">
        <v>3</v>
      </c>
      <c r="C121" s="13"/>
      <c r="D121" s="13"/>
      <c r="E121" s="13"/>
      <c r="F121" s="13"/>
      <c r="G121" s="13"/>
      <c r="H121" s="13"/>
      <c r="I121" s="13"/>
      <c r="J121" s="13"/>
      <c r="K121" s="13">
        <f>SUM(B121:J121)</f>
        <v>3</v>
      </c>
      <c r="L121" s="472">
        <v>164046.03033580579</v>
      </c>
      <c r="M121" s="13">
        <v>3</v>
      </c>
      <c r="N121" s="13"/>
      <c r="O121" s="13"/>
      <c r="P121" s="13"/>
      <c r="Q121" s="13"/>
      <c r="R121" s="13"/>
      <c r="S121" s="13"/>
      <c r="T121" s="13"/>
      <c r="U121" s="13"/>
      <c r="V121" s="13">
        <f>SUM(M121:U121)</f>
        <v>3</v>
      </c>
      <c r="W121" s="472">
        <v>164046.03033580579</v>
      </c>
      <c r="AA121" s="68"/>
      <c r="AB121" s="68"/>
    </row>
    <row r="122" spans="1:28">
      <c r="A122" s="703" t="s">
        <v>6982</v>
      </c>
      <c r="B122" s="13">
        <v>4</v>
      </c>
      <c r="C122" s="13"/>
      <c r="D122" s="13"/>
      <c r="E122" s="13"/>
      <c r="F122" s="13"/>
      <c r="G122" s="13"/>
      <c r="H122" s="13"/>
      <c r="I122" s="13"/>
      <c r="J122" s="13"/>
      <c r="K122" s="13">
        <f>SUM(B122:J122)</f>
        <v>4</v>
      </c>
      <c r="L122" s="472">
        <v>207208.04044774105</v>
      </c>
      <c r="M122" s="13">
        <v>4</v>
      </c>
      <c r="N122" s="13"/>
      <c r="O122" s="13"/>
      <c r="P122" s="13"/>
      <c r="Q122" s="13"/>
      <c r="R122" s="13"/>
      <c r="S122" s="13"/>
      <c r="T122" s="13"/>
      <c r="U122" s="13"/>
      <c r="V122" s="13">
        <f>SUM(M122:U122)</f>
        <v>4</v>
      </c>
      <c r="W122" s="472">
        <v>207208.04044774105</v>
      </c>
      <c r="AA122" s="68"/>
      <c r="AB122" s="68"/>
    </row>
    <row r="123" spans="1:28">
      <c r="A123" s="703" t="s">
        <v>6981</v>
      </c>
      <c r="B123" s="13">
        <v>14</v>
      </c>
      <c r="C123" s="13"/>
      <c r="D123" s="13"/>
      <c r="E123" s="13"/>
      <c r="F123" s="13"/>
      <c r="G123" s="13"/>
      <c r="H123" s="13"/>
      <c r="I123" s="13"/>
      <c r="J123" s="13"/>
      <c r="K123" s="13">
        <f>SUM(B123:J123)</f>
        <v>14</v>
      </c>
      <c r="L123" s="472">
        <v>672140.14156709367</v>
      </c>
      <c r="M123" s="13">
        <v>14</v>
      </c>
      <c r="N123" s="13"/>
      <c r="O123" s="13"/>
      <c r="P123" s="13"/>
      <c r="Q123" s="13"/>
      <c r="R123" s="13"/>
      <c r="S123" s="13"/>
      <c r="T123" s="13"/>
      <c r="U123" s="13"/>
      <c r="V123" s="13">
        <f>SUM(M123:U123)</f>
        <v>14</v>
      </c>
      <c r="W123" s="472">
        <v>672140.14156709367</v>
      </c>
      <c r="AA123" s="68"/>
      <c r="AB123" s="68"/>
    </row>
    <row r="124" spans="1:28">
      <c r="A124" s="705" t="s">
        <v>7002</v>
      </c>
      <c r="B124" s="484">
        <f t="shared" ref="B124:W124" si="30">SUM(B125:B129)</f>
        <v>39</v>
      </c>
      <c r="C124" s="484">
        <f t="shared" si="30"/>
        <v>0</v>
      </c>
      <c r="D124" s="484">
        <f t="shared" si="30"/>
        <v>0</v>
      </c>
      <c r="E124" s="484">
        <f t="shared" si="30"/>
        <v>0</v>
      </c>
      <c r="F124" s="484">
        <f t="shared" si="30"/>
        <v>0</v>
      </c>
      <c r="G124" s="484">
        <f t="shared" si="30"/>
        <v>0</v>
      </c>
      <c r="H124" s="484">
        <f t="shared" si="30"/>
        <v>0</v>
      </c>
      <c r="I124" s="484">
        <f t="shared" si="30"/>
        <v>0</v>
      </c>
      <c r="J124" s="484">
        <f t="shared" si="30"/>
        <v>0</v>
      </c>
      <c r="K124" s="484">
        <f t="shared" si="30"/>
        <v>39</v>
      </c>
      <c r="L124" s="485">
        <f t="shared" si="30"/>
        <v>2046882.3943654755</v>
      </c>
      <c r="M124" s="484">
        <f t="shared" si="30"/>
        <v>39</v>
      </c>
      <c r="N124" s="484">
        <f t="shared" si="30"/>
        <v>0</v>
      </c>
      <c r="O124" s="484">
        <f t="shared" si="30"/>
        <v>0</v>
      </c>
      <c r="P124" s="484">
        <f t="shared" si="30"/>
        <v>0</v>
      </c>
      <c r="Q124" s="484">
        <f t="shared" si="30"/>
        <v>0</v>
      </c>
      <c r="R124" s="484">
        <f t="shared" si="30"/>
        <v>0</v>
      </c>
      <c r="S124" s="484">
        <f t="shared" si="30"/>
        <v>0</v>
      </c>
      <c r="T124" s="484">
        <f t="shared" si="30"/>
        <v>0</v>
      </c>
      <c r="U124" s="484">
        <f t="shared" si="30"/>
        <v>0</v>
      </c>
      <c r="V124" s="484">
        <f t="shared" si="30"/>
        <v>39</v>
      </c>
      <c r="W124" s="485">
        <f t="shared" si="30"/>
        <v>2046882.3943654755</v>
      </c>
      <c r="AA124" s="68"/>
      <c r="AB124" s="68"/>
    </row>
    <row r="125" spans="1:28">
      <c r="A125" s="703" t="s">
        <v>7001</v>
      </c>
      <c r="B125" s="13">
        <v>1</v>
      </c>
      <c r="C125" s="13"/>
      <c r="D125" s="13"/>
      <c r="E125" s="13"/>
      <c r="F125" s="13"/>
      <c r="G125" s="13"/>
      <c r="H125" s="13"/>
      <c r="I125" s="13"/>
      <c r="J125" s="13"/>
      <c r="K125" s="13">
        <f>SUM(B125:J125)</f>
        <v>1</v>
      </c>
      <c r="L125" s="472">
        <v>61534.010111935262</v>
      </c>
      <c r="M125" s="13">
        <v>1</v>
      </c>
      <c r="N125" s="13"/>
      <c r="O125" s="13"/>
      <c r="P125" s="13"/>
      <c r="Q125" s="13"/>
      <c r="R125" s="13"/>
      <c r="S125" s="13"/>
      <c r="T125" s="13"/>
      <c r="U125" s="13"/>
      <c r="V125" s="13">
        <f>SUM(M125:U125)</f>
        <v>1</v>
      </c>
      <c r="W125" s="472">
        <v>61534.010111935262</v>
      </c>
      <c r="AA125" s="68"/>
      <c r="AB125" s="68"/>
    </row>
    <row r="126" spans="1:28">
      <c r="A126" s="703" t="s">
        <v>7000</v>
      </c>
      <c r="B126" s="13">
        <v>1</v>
      </c>
      <c r="C126" s="13"/>
      <c r="D126" s="13"/>
      <c r="E126" s="13"/>
      <c r="F126" s="13"/>
      <c r="G126" s="13"/>
      <c r="H126" s="13"/>
      <c r="I126" s="13"/>
      <c r="J126" s="13"/>
      <c r="K126" s="13">
        <f>SUM(B126:J126)</f>
        <v>1</v>
      </c>
      <c r="L126" s="472">
        <v>57778.010111935262</v>
      </c>
      <c r="M126" s="13">
        <v>1</v>
      </c>
      <c r="N126" s="13"/>
      <c r="O126" s="13"/>
      <c r="P126" s="13"/>
      <c r="Q126" s="13"/>
      <c r="R126" s="13"/>
      <c r="S126" s="13"/>
      <c r="T126" s="13"/>
      <c r="U126" s="13"/>
      <c r="V126" s="13">
        <f>SUM(M126:U126)</f>
        <v>1</v>
      </c>
      <c r="W126" s="472">
        <v>57778.010111935262</v>
      </c>
      <c r="AA126" s="68"/>
      <c r="AB126" s="68"/>
    </row>
    <row r="127" spans="1:28">
      <c r="A127" s="703" t="s">
        <v>6999</v>
      </c>
      <c r="B127" s="13">
        <v>13</v>
      </c>
      <c r="C127" s="13"/>
      <c r="D127" s="13"/>
      <c r="E127" s="13"/>
      <c r="F127" s="13"/>
      <c r="G127" s="13"/>
      <c r="H127" s="13"/>
      <c r="I127" s="13"/>
      <c r="J127" s="13"/>
      <c r="K127" s="13">
        <f>SUM(B127:J127)</f>
        <v>13</v>
      </c>
      <c r="L127" s="472">
        <v>710866.13145515847</v>
      </c>
      <c r="M127" s="13">
        <v>13</v>
      </c>
      <c r="N127" s="13"/>
      <c r="O127" s="13"/>
      <c r="P127" s="13"/>
      <c r="Q127" s="13"/>
      <c r="R127" s="13"/>
      <c r="S127" s="13"/>
      <c r="T127" s="13"/>
      <c r="U127" s="13"/>
      <c r="V127" s="13">
        <f>SUM(M127:U127)</f>
        <v>13</v>
      </c>
      <c r="W127" s="472">
        <v>710866.13145515847</v>
      </c>
      <c r="AA127" s="68"/>
      <c r="AB127" s="68"/>
    </row>
    <row r="128" spans="1:28">
      <c r="A128" s="703" t="s">
        <v>6998</v>
      </c>
      <c r="B128" s="13">
        <v>17</v>
      </c>
      <c r="C128" s="13"/>
      <c r="D128" s="13"/>
      <c r="E128" s="13"/>
      <c r="F128" s="13"/>
      <c r="G128" s="13"/>
      <c r="H128" s="13"/>
      <c r="I128" s="13"/>
      <c r="J128" s="13"/>
      <c r="K128" s="13">
        <f>SUM(B128:J128)</f>
        <v>17</v>
      </c>
      <c r="L128" s="472">
        <v>880634.17190289963</v>
      </c>
      <c r="M128" s="13">
        <v>17</v>
      </c>
      <c r="N128" s="13"/>
      <c r="O128" s="13"/>
      <c r="P128" s="13"/>
      <c r="Q128" s="13"/>
      <c r="R128" s="13"/>
      <c r="S128" s="13"/>
      <c r="T128" s="13"/>
      <c r="U128" s="13"/>
      <c r="V128" s="13">
        <f>SUM(M128:U128)</f>
        <v>17</v>
      </c>
      <c r="W128" s="472">
        <v>880634.17190289963</v>
      </c>
      <c r="AA128" s="68"/>
      <c r="AB128" s="68"/>
    </row>
    <row r="129" spans="1:28">
      <c r="A129" s="703" t="s">
        <v>6997</v>
      </c>
      <c r="B129" s="13">
        <v>7</v>
      </c>
      <c r="C129" s="13"/>
      <c r="D129" s="13"/>
      <c r="E129" s="13"/>
      <c r="F129" s="13"/>
      <c r="G129" s="13"/>
      <c r="H129" s="13"/>
      <c r="I129" s="13"/>
      <c r="J129" s="13"/>
      <c r="K129" s="13">
        <f>SUM(B129:J129)</f>
        <v>7</v>
      </c>
      <c r="L129" s="472">
        <v>336070.07078354683</v>
      </c>
      <c r="M129" s="13">
        <v>7</v>
      </c>
      <c r="N129" s="13"/>
      <c r="O129" s="13"/>
      <c r="P129" s="13"/>
      <c r="Q129" s="13"/>
      <c r="R129" s="13"/>
      <c r="S129" s="13"/>
      <c r="T129" s="13"/>
      <c r="U129" s="13"/>
      <c r="V129" s="13">
        <f>SUM(M129:U129)</f>
        <v>7</v>
      </c>
      <c r="W129" s="472">
        <v>336070.07078354683</v>
      </c>
      <c r="AA129" s="68"/>
      <c r="AB129" s="68"/>
    </row>
    <row r="130" spans="1:28">
      <c r="A130" s="705" t="s">
        <v>6996</v>
      </c>
      <c r="B130" s="484">
        <f t="shared" ref="B130:W130" si="31">SUM(B131:B135)</f>
        <v>12</v>
      </c>
      <c r="C130" s="484">
        <f t="shared" si="31"/>
        <v>0</v>
      </c>
      <c r="D130" s="484">
        <f t="shared" si="31"/>
        <v>0</v>
      </c>
      <c r="E130" s="484">
        <f t="shared" si="31"/>
        <v>0</v>
      </c>
      <c r="F130" s="484">
        <f t="shared" si="31"/>
        <v>0</v>
      </c>
      <c r="G130" s="484">
        <f t="shared" si="31"/>
        <v>0</v>
      </c>
      <c r="H130" s="484">
        <f t="shared" si="31"/>
        <v>0</v>
      </c>
      <c r="I130" s="484">
        <f t="shared" si="31"/>
        <v>0</v>
      </c>
      <c r="J130" s="484">
        <f t="shared" si="31"/>
        <v>0</v>
      </c>
      <c r="K130" s="484">
        <f t="shared" si="31"/>
        <v>12</v>
      </c>
      <c r="L130" s="485">
        <f t="shared" si="31"/>
        <v>604632.12134322315</v>
      </c>
      <c r="M130" s="484">
        <f t="shared" si="31"/>
        <v>12</v>
      </c>
      <c r="N130" s="484">
        <f t="shared" si="31"/>
        <v>0</v>
      </c>
      <c r="O130" s="484">
        <f t="shared" si="31"/>
        <v>0</v>
      </c>
      <c r="P130" s="484">
        <f t="shared" si="31"/>
        <v>0</v>
      </c>
      <c r="Q130" s="484">
        <f t="shared" si="31"/>
        <v>0</v>
      </c>
      <c r="R130" s="484">
        <f t="shared" si="31"/>
        <v>0</v>
      </c>
      <c r="S130" s="484">
        <f t="shared" si="31"/>
        <v>0</v>
      </c>
      <c r="T130" s="484">
        <f t="shared" si="31"/>
        <v>0</v>
      </c>
      <c r="U130" s="484">
        <f t="shared" si="31"/>
        <v>0</v>
      </c>
      <c r="V130" s="484">
        <f t="shared" si="31"/>
        <v>12</v>
      </c>
      <c r="W130" s="485">
        <f t="shared" si="31"/>
        <v>604632.12134322315</v>
      </c>
      <c r="AA130" s="68"/>
      <c r="AB130" s="68"/>
    </row>
    <row r="131" spans="1:28" hidden="1">
      <c r="A131" s="703" t="s">
        <v>6989</v>
      </c>
      <c r="B131" s="13"/>
      <c r="C131" s="13"/>
      <c r="D131" s="13"/>
      <c r="E131" s="13"/>
      <c r="F131" s="13"/>
      <c r="G131" s="13"/>
      <c r="H131" s="13"/>
      <c r="I131" s="13"/>
      <c r="J131" s="13"/>
      <c r="K131" s="13">
        <f>SUM(B131:J131)</f>
        <v>0</v>
      </c>
      <c r="L131" s="472"/>
      <c r="M131" s="13"/>
      <c r="N131" s="13"/>
      <c r="O131" s="13"/>
      <c r="P131" s="13"/>
      <c r="Q131" s="13"/>
      <c r="R131" s="13"/>
      <c r="S131" s="13"/>
      <c r="T131" s="13"/>
      <c r="U131" s="13"/>
      <c r="V131" s="13">
        <f>SUM(M131:U131)</f>
        <v>0</v>
      </c>
      <c r="W131" s="472"/>
      <c r="AA131" s="68"/>
      <c r="AB131" s="68"/>
    </row>
    <row r="132" spans="1:28" hidden="1">
      <c r="A132" s="703" t="s">
        <v>6988</v>
      </c>
      <c r="B132" s="13"/>
      <c r="C132" s="13"/>
      <c r="D132" s="13"/>
      <c r="E132" s="13"/>
      <c r="F132" s="13"/>
      <c r="G132" s="13"/>
      <c r="H132" s="13"/>
      <c r="I132" s="13"/>
      <c r="J132" s="13"/>
      <c r="K132" s="13">
        <f>SUM(B132:J132)</f>
        <v>0</v>
      </c>
      <c r="L132" s="472"/>
      <c r="M132" s="13"/>
      <c r="N132" s="13"/>
      <c r="O132" s="13"/>
      <c r="P132" s="13"/>
      <c r="Q132" s="13"/>
      <c r="R132" s="13"/>
      <c r="S132" s="13"/>
      <c r="T132" s="13"/>
      <c r="U132" s="13"/>
      <c r="V132" s="13">
        <f>SUM(M132:U132)</f>
        <v>0</v>
      </c>
      <c r="W132" s="472"/>
      <c r="AA132" s="68"/>
      <c r="AB132" s="68"/>
    </row>
    <row r="133" spans="1:28">
      <c r="A133" s="703" t="s">
        <v>6986</v>
      </c>
      <c r="B133" s="13">
        <v>2</v>
      </c>
      <c r="C133" s="13"/>
      <c r="D133" s="13"/>
      <c r="E133" s="13"/>
      <c r="F133" s="13"/>
      <c r="G133" s="13"/>
      <c r="H133" s="13"/>
      <c r="I133" s="13"/>
      <c r="J133" s="13"/>
      <c r="K133" s="13">
        <f>SUM(B133:J133)</f>
        <v>2</v>
      </c>
      <c r="L133" s="472">
        <v>109364.02022387052</v>
      </c>
      <c r="M133" s="13">
        <v>2</v>
      </c>
      <c r="N133" s="13"/>
      <c r="O133" s="13"/>
      <c r="P133" s="13"/>
      <c r="Q133" s="13"/>
      <c r="R133" s="13"/>
      <c r="S133" s="13"/>
      <c r="T133" s="13"/>
      <c r="U133" s="13"/>
      <c r="V133" s="13">
        <f>SUM(M133:U133)</f>
        <v>2</v>
      </c>
      <c r="W133" s="472">
        <v>109364.02022387052</v>
      </c>
      <c r="AA133" s="68"/>
      <c r="AB133" s="68"/>
    </row>
    <row r="134" spans="1:28">
      <c r="A134" s="703" t="s">
        <v>6985</v>
      </c>
      <c r="B134" s="13">
        <v>4</v>
      </c>
      <c r="C134" s="13"/>
      <c r="D134" s="13"/>
      <c r="E134" s="13"/>
      <c r="F134" s="13"/>
      <c r="G134" s="13"/>
      <c r="H134" s="13"/>
      <c r="I134" s="13"/>
      <c r="J134" s="13"/>
      <c r="K134" s="13">
        <f>SUM(B134:J134)</f>
        <v>4</v>
      </c>
      <c r="L134" s="472">
        <v>207208.04044774105</v>
      </c>
      <c r="M134" s="13">
        <v>4</v>
      </c>
      <c r="N134" s="13"/>
      <c r="O134" s="13"/>
      <c r="P134" s="13"/>
      <c r="Q134" s="13"/>
      <c r="R134" s="13"/>
      <c r="S134" s="13"/>
      <c r="T134" s="13"/>
      <c r="U134" s="13"/>
      <c r="V134" s="13">
        <f>SUM(M134:U134)</f>
        <v>4</v>
      </c>
      <c r="W134" s="472">
        <v>207208.04044774105</v>
      </c>
      <c r="AA134" s="68"/>
      <c r="AB134" s="68"/>
    </row>
    <row r="135" spans="1:28">
      <c r="A135" s="703" t="s">
        <v>6984</v>
      </c>
      <c r="B135" s="13">
        <v>6</v>
      </c>
      <c r="C135" s="13"/>
      <c r="D135" s="13"/>
      <c r="E135" s="13"/>
      <c r="F135" s="13"/>
      <c r="G135" s="13"/>
      <c r="H135" s="13"/>
      <c r="I135" s="13"/>
      <c r="J135" s="13"/>
      <c r="K135" s="13">
        <f>SUM(B135:J135)</f>
        <v>6</v>
      </c>
      <c r="L135" s="472">
        <v>288060.06067161157</v>
      </c>
      <c r="M135" s="13">
        <v>6</v>
      </c>
      <c r="N135" s="13"/>
      <c r="O135" s="13"/>
      <c r="P135" s="13"/>
      <c r="Q135" s="13"/>
      <c r="R135" s="13"/>
      <c r="S135" s="13"/>
      <c r="T135" s="13"/>
      <c r="U135" s="13"/>
      <c r="V135" s="13">
        <f>SUM(M135:U135)</f>
        <v>6</v>
      </c>
      <c r="W135" s="472">
        <v>288060.06067161157</v>
      </c>
      <c r="AA135" s="68"/>
      <c r="AB135" s="68"/>
    </row>
    <row r="136" spans="1:28" hidden="1">
      <c r="A136" s="705" t="s">
        <v>2097</v>
      </c>
      <c r="B136" s="484">
        <f t="shared" ref="B136:W136" si="32">SUM(B137:B141)</f>
        <v>0</v>
      </c>
      <c r="C136" s="484">
        <f t="shared" si="32"/>
        <v>0</v>
      </c>
      <c r="D136" s="484">
        <f t="shared" si="32"/>
        <v>0</v>
      </c>
      <c r="E136" s="484">
        <f t="shared" si="32"/>
        <v>0</v>
      </c>
      <c r="F136" s="484">
        <f t="shared" si="32"/>
        <v>0</v>
      </c>
      <c r="G136" s="484">
        <f t="shared" si="32"/>
        <v>0</v>
      </c>
      <c r="H136" s="484">
        <f t="shared" si="32"/>
        <v>0</v>
      </c>
      <c r="I136" s="484">
        <f t="shared" si="32"/>
        <v>0</v>
      </c>
      <c r="J136" s="484">
        <f t="shared" si="32"/>
        <v>0</v>
      </c>
      <c r="K136" s="484">
        <f t="shared" si="32"/>
        <v>0</v>
      </c>
      <c r="L136" s="485">
        <f t="shared" si="32"/>
        <v>0</v>
      </c>
      <c r="M136" s="484">
        <f t="shared" si="32"/>
        <v>0</v>
      </c>
      <c r="N136" s="484">
        <f t="shared" si="32"/>
        <v>0</v>
      </c>
      <c r="O136" s="484">
        <f t="shared" si="32"/>
        <v>0</v>
      </c>
      <c r="P136" s="484">
        <f t="shared" si="32"/>
        <v>0</v>
      </c>
      <c r="Q136" s="484">
        <f t="shared" si="32"/>
        <v>0</v>
      </c>
      <c r="R136" s="484">
        <f t="shared" si="32"/>
        <v>0</v>
      </c>
      <c r="S136" s="484">
        <f t="shared" si="32"/>
        <v>0</v>
      </c>
      <c r="T136" s="484">
        <f t="shared" si="32"/>
        <v>0</v>
      </c>
      <c r="U136" s="484">
        <f t="shared" si="32"/>
        <v>0</v>
      </c>
      <c r="V136" s="484">
        <f t="shared" si="32"/>
        <v>0</v>
      </c>
      <c r="W136" s="485">
        <f t="shared" si="32"/>
        <v>0</v>
      </c>
      <c r="AA136" s="68"/>
      <c r="AB136" s="68"/>
    </row>
    <row r="137" spans="1:28" hidden="1">
      <c r="A137" s="703" t="s">
        <v>6989</v>
      </c>
      <c r="B137" s="13"/>
      <c r="C137" s="13"/>
      <c r="D137" s="13"/>
      <c r="E137" s="13"/>
      <c r="F137" s="13"/>
      <c r="G137" s="13"/>
      <c r="H137" s="13"/>
      <c r="I137" s="13"/>
      <c r="J137" s="13"/>
      <c r="K137" s="13">
        <f>SUM(B137:J137)</f>
        <v>0</v>
      </c>
      <c r="L137" s="472"/>
      <c r="M137" s="13"/>
      <c r="N137" s="13"/>
      <c r="O137" s="13"/>
      <c r="P137" s="13"/>
      <c r="Q137" s="13"/>
      <c r="R137" s="13"/>
      <c r="S137" s="13"/>
      <c r="T137" s="13"/>
      <c r="U137" s="13"/>
      <c r="V137" s="13">
        <f>SUM(M137:U137)</f>
        <v>0</v>
      </c>
      <c r="W137" s="472"/>
      <c r="AA137" s="68"/>
      <c r="AB137" s="68"/>
    </row>
    <row r="138" spans="1:28" hidden="1">
      <c r="A138" s="703" t="s">
        <v>6988</v>
      </c>
      <c r="B138" s="13"/>
      <c r="C138" s="13"/>
      <c r="D138" s="13"/>
      <c r="E138" s="13"/>
      <c r="F138" s="13"/>
      <c r="G138" s="13"/>
      <c r="H138" s="13"/>
      <c r="I138" s="13"/>
      <c r="J138" s="13"/>
      <c r="K138" s="13">
        <f>SUM(B138:J138)</f>
        <v>0</v>
      </c>
      <c r="L138" s="472"/>
      <c r="M138" s="13"/>
      <c r="N138" s="13"/>
      <c r="O138" s="13"/>
      <c r="P138" s="13"/>
      <c r="Q138" s="13"/>
      <c r="R138" s="13"/>
      <c r="S138" s="13"/>
      <c r="T138" s="13"/>
      <c r="U138" s="13"/>
      <c r="V138" s="13">
        <f>SUM(M138:U138)</f>
        <v>0</v>
      </c>
      <c r="W138" s="472"/>
      <c r="AA138" s="68"/>
      <c r="AB138" s="68"/>
    </row>
    <row r="139" spans="1:28" hidden="1">
      <c r="A139" s="703" t="s">
        <v>6986</v>
      </c>
      <c r="B139" s="13"/>
      <c r="C139" s="13"/>
      <c r="D139" s="13"/>
      <c r="E139" s="13"/>
      <c r="F139" s="13"/>
      <c r="G139" s="13"/>
      <c r="H139" s="13"/>
      <c r="I139" s="13"/>
      <c r="J139" s="13"/>
      <c r="K139" s="13">
        <f>SUM(B139:J139)</f>
        <v>0</v>
      </c>
      <c r="L139" s="472"/>
      <c r="M139" s="13"/>
      <c r="N139" s="13"/>
      <c r="O139" s="13"/>
      <c r="P139" s="13"/>
      <c r="Q139" s="13"/>
      <c r="R139" s="13"/>
      <c r="S139" s="13"/>
      <c r="T139" s="13"/>
      <c r="U139" s="13"/>
      <c r="V139" s="13">
        <f>SUM(M139:U139)</f>
        <v>0</v>
      </c>
      <c r="W139" s="472"/>
      <c r="AA139" s="68"/>
      <c r="AB139" s="68"/>
    </row>
    <row r="140" spans="1:28" hidden="1">
      <c r="A140" s="703" t="s">
        <v>6985</v>
      </c>
      <c r="B140" s="13"/>
      <c r="C140" s="13"/>
      <c r="D140" s="13"/>
      <c r="E140" s="13"/>
      <c r="F140" s="13"/>
      <c r="G140" s="13"/>
      <c r="H140" s="13"/>
      <c r="I140" s="13"/>
      <c r="J140" s="13"/>
      <c r="K140" s="13">
        <f>SUM(B140:J140)</f>
        <v>0</v>
      </c>
      <c r="L140" s="472"/>
      <c r="M140" s="13"/>
      <c r="N140" s="13"/>
      <c r="O140" s="13"/>
      <c r="P140" s="13"/>
      <c r="Q140" s="13"/>
      <c r="R140" s="13"/>
      <c r="S140" s="13"/>
      <c r="T140" s="13"/>
      <c r="U140" s="13"/>
      <c r="V140" s="13">
        <f>SUM(M140:U140)</f>
        <v>0</v>
      </c>
      <c r="W140" s="472"/>
      <c r="AA140" s="68"/>
      <c r="AB140" s="68"/>
    </row>
    <row r="141" spans="1:28" hidden="1">
      <c r="A141" s="703" t="s">
        <v>6984</v>
      </c>
      <c r="B141" s="13"/>
      <c r="C141" s="13"/>
      <c r="D141" s="13"/>
      <c r="E141" s="13"/>
      <c r="F141" s="13"/>
      <c r="G141" s="13"/>
      <c r="H141" s="13"/>
      <c r="I141" s="13"/>
      <c r="J141" s="13"/>
      <c r="K141" s="13">
        <f>SUM(B141:J141)</f>
        <v>0</v>
      </c>
      <c r="L141" s="472"/>
      <c r="M141" s="13"/>
      <c r="N141" s="13"/>
      <c r="O141" s="13"/>
      <c r="P141" s="13"/>
      <c r="Q141" s="13"/>
      <c r="R141" s="13"/>
      <c r="S141" s="13"/>
      <c r="T141" s="13"/>
      <c r="U141" s="13"/>
      <c r="V141" s="13">
        <f>SUM(M141:U141)</f>
        <v>0</v>
      </c>
      <c r="W141" s="472"/>
      <c r="AA141" s="68"/>
      <c r="AB141" s="68"/>
    </row>
    <row r="142" spans="1:28" hidden="1">
      <c r="A142" s="705" t="s">
        <v>6995</v>
      </c>
      <c r="B142" s="484">
        <f t="shared" ref="B142:W142" si="33">SUM(B143:B147)</f>
        <v>0</v>
      </c>
      <c r="C142" s="484">
        <f t="shared" si="33"/>
        <v>0</v>
      </c>
      <c r="D142" s="484">
        <f t="shared" si="33"/>
        <v>0</v>
      </c>
      <c r="E142" s="484">
        <f t="shared" si="33"/>
        <v>0</v>
      </c>
      <c r="F142" s="484">
        <f t="shared" si="33"/>
        <v>0</v>
      </c>
      <c r="G142" s="484">
        <f t="shared" si="33"/>
        <v>0</v>
      </c>
      <c r="H142" s="484">
        <f t="shared" si="33"/>
        <v>0</v>
      </c>
      <c r="I142" s="484">
        <f t="shared" si="33"/>
        <v>0</v>
      </c>
      <c r="J142" s="484">
        <f t="shared" si="33"/>
        <v>0</v>
      </c>
      <c r="K142" s="484">
        <f t="shared" si="33"/>
        <v>0</v>
      </c>
      <c r="L142" s="485">
        <f t="shared" si="33"/>
        <v>0</v>
      </c>
      <c r="M142" s="484">
        <f t="shared" si="33"/>
        <v>0</v>
      </c>
      <c r="N142" s="484">
        <f t="shared" si="33"/>
        <v>0</v>
      </c>
      <c r="O142" s="484">
        <f t="shared" si="33"/>
        <v>0</v>
      </c>
      <c r="P142" s="484">
        <f t="shared" si="33"/>
        <v>0</v>
      </c>
      <c r="Q142" s="484">
        <f t="shared" si="33"/>
        <v>0</v>
      </c>
      <c r="R142" s="484">
        <f t="shared" si="33"/>
        <v>0</v>
      </c>
      <c r="S142" s="484">
        <f t="shared" si="33"/>
        <v>0</v>
      </c>
      <c r="T142" s="484">
        <f t="shared" si="33"/>
        <v>0</v>
      </c>
      <c r="U142" s="484">
        <f t="shared" si="33"/>
        <v>0</v>
      </c>
      <c r="V142" s="484">
        <f t="shared" si="33"/>
        <v>0</v>
      </c>
      <c r="W142" s="485">
        <f t="shared" si="33"/>
        <v>0</v>
      </c>
      <c r="AA142" s="68"/>
      <c r="AB142" s="68"/>
    </row>
    <row r="143" spans="1:28" hidden="1">
      <c r="A143" s="703" t="s">
        <v>6989</v>
      </c>
      <c r="B143" s="13"/>
      <c r="C143" s="13"/>
      <c r="D143" s="13"/>
      <c r="E143" s="13"/>
      <c r="F143" s="13"/>
      <c r="G143" s="13"/>
      <c r="H143" s="13"/>
      <c r="I143" s="13"/>
      <c r="J143" s="13"/>
      <c r="K143" s="13">
        <f>SUM(B143:J143)</f>
        <v>0</v>
      </c>
      <c r="L143" s="472"/>
      <c r="M143" s="13"/>
      <c r="N143" s="13"/>
      <c r="O143" s="13"/>
      <c r="P143" s="13"/>
      <c r="Q143" s="13"/>
      <c r="R143" s="13"/>
      <c r="S143" s="13"/>
      <c r="T143" s="13"/>
      <c r="U143" s="13"/>
      <c r="V143" s="13">
        <f>SUM(M143:U143)</f>
        <v>0</v>
      </c>
      <c r="W143" s="472"/>
      <c r="AA143" s="68"/>
      <c r="AB143" s="68"/>
    </row>
    <row r="144" spans="1:28" hidden="1">
      <c r="A144" s="703" t="s">
        <v>6988</v>
      </c>
      <c r="B144" s="13"/>
      <c r="C144" s="13"/>
      <c r="D144" s="13"/>
      <c r="E144" s="13"/>
      <c r="F144" s="13"/>
      <c r="G144" s="13"/>
      <c r="H144" s="13"/>
      <c r="I144" s="13"/>
      <c r="J144" s="13"/>
      <c r="K144" s="13">
        <f>SUM(B144:J144)</f>
        <v>0</v>
      </c>
      <c r="L144" s="16"/>
      <c r="M144" s="13"/>
      <c r="N144" s="13"/>
      <c r="O144" s="13"/>
      <c r="P144" s="13"/>
      <c r="Q144" s="13"/>
      <c r="R144" s="13"/>
      <c r="S144" s="13"/>
      <c r="T144" s="13"/>
      <c r="U144" s="13"/>
      <c r="V144" s="13">
        <f>SUM(M144:U144)</f>
        <v>0</v>
      </c>
      <c r="W144" s="472"/>
      <c r="AA144" s="68"/>
      <c r="AB144" s="68"/>
    </row>
    <row r="145" spans="1:28" hidden="1">
      <c r="A145" s="703" t="s">
        <v>6986</v>
      </c>
      <c r="B145" s="13"/>
      <c r="C145" s="13"/>
      <c r="D145" s="13"/>
      <c r="E145" s="13"/>
      <c r="F145" s="13"/>
      <c r="G145" s="13"/>
      <c r="H145" s="13"/>
      <c r="I145" s="13"/>
      <c r="J145" s="13"/>
      <c r="K145" s="13">
        <f>SUM(B145:J145)</f>
        <v>0</v>
      </c>
      <c r="L145" s="16"/>
      <c r="M145" s="13"/>
      <c r="N145" s="13"/>
      <c r="O145" s="13"/>
      <c r="P145" s="13"/>
      <c r="Q145" s="13"/>
      <c r="R145" s="13"/>
      <c r="S145" s="13"/>
      <c r="T145" s="13"/>
      <c r="U145" s="13"/>
      <c r="V145" s="13">
        <f>SUM(M145:U145)</f>
        <v>0</v>
      </c>
      <c r="W145" s="472"/>
      <c r="AA145" s="68"/>
      <c r="AB145" s="68"/>
    </row>
    <row r="146" spans="1:28" hidden="1">
      <c r="A146" s="703" t="s">
        <v>6985</v>
      </c>
      <c r="B146" s="13"/>
      <c r="C146" s="13"/>
      <c r="D146" s="13"/>
      <c r="E146" s="13"/>
      <c r="F146" s="13"/>
      <c r="G146" s="13"/>
      <c r="H146" s="13"/>
      <c r="I146" s="13"/>
      <c r="J146" s="13"/>
      <c r="K146" s="13">
        <f>SUM(B146:J146)</f>
        <v>0</v>
      </c>
      <c r="L146" s="16"/>
      <c r="M146" s="13"/>
      <c r="N146" s="13"/>
      <c r="O146" s="13"/>
      <c r="P146" s="13"/>
      <c r="Q146" s="13"/>
      <c r="R146" s="13"/>
      <c r="S146" s="13"/>
      <c r="T146" s="13"/>
      <c r="U146" s="13"/>
      <c r="V146" s="13">
        <f>SUM(M146:U146)</f>
        <v>0</v>
      </c>
      <c r="W146" s="472"/>
      <c r="AA146" s="68"/>
      <c r="AB146" s="68"/>
    </row>
    <row r="147" spans="1:28" hidden="1">
      <c r="A147" s="703" t="s">
        <v>6984</v>
      </c>
      <c r="B147" s="13"/>
      <c r="C147" s="13"/>
      <c r="D147" s="13"/>
      <c r="E147" s="13"/>
      <c r="F147" s="13"/>
      <c r="G147" s="13"/>
      <c r="H147" s="13"/>
      <c r="I147" s="13"/>
      <c r="J147" s="13"/>
      <c r="K147" s="13">
        <f>SUM(B147:J147)</f>
        <v>0</v>
      </c>
      <c r="L147" s="16"/>
      <c r="M147" s="13"/>
      <c r="N147" s="13"/>
      <c r="O147" s="13"/>
      <c r="P147" s="13"/>
      <c r="Q147" s="13"/>
      <c r="R147" s="13"/>
      <c r="S147" s="13"/>
      <c r="T147" s="13"/>
      <c r="U147" s="13"/>
      <c r="V147" s="13">
        <f>SUM(M147:U147)</f>
        <v>0</v>
      </c>
      <c r="W147" s="472"/>
      <c r="AA147" s="68"/>
      <c r="AB147" s="68"/>
    </row>
    <row r="148" spans="1:28" hidden="1">
      <c r="A148" s="705" t="s">
        <v>6994</v>
      </c>
      <c r="B148" s="484">
        <f t="shared" ref="B148:W148" si="34">SUM(B149:B153)</f>
        <v>0</v>
      </c>
      <c r="C148" s="484">
        <f t="shared" si="34"/>
        <v>0</v>
      </c>
      <c r="D148" s="484">
        <f t="shared" si="34"/>
        <v>0</v>
      </c>
      <c r="E148" s="484">
        <f t="shared" si="34"/>
        <v>0</v>
      </c>
      <c r="F148" s="484">
        <f t="shared" si="34"/>
        <v>0</v>
      </c>
      <c r="G148" s="484">
        <f t="shared" si="34"/>
        <v>0</v>
      </c>
      <c r="H148" s="484">
        <f t="shared" si="34"/>
        <v>0</v>
      </c>
      <c r="I148" s="484">
        <f t="shared" si="34"/>
        <v>0</v>
      </c>
      <c r="J148" s="484">
        <f t="shared" si="34"/>
        <v>0</v>
      </c>
      <c r="K148" s="484">
        <f t="shared" si="34"/>
        <v>0</v>
      </c>
      <c r="L148" s="485">
        <f t="shared" si="34"/>
        <v>0</v>
      </c>
      <c r="M148" s="484">
        <f t="shared" si="34"/>
        <v>0</v>
      </c>
      <c r="N148" s="484">
        <f t="shared" si="34"/>
        <v>0</v>
      </c>
      <c r="O148" s="484">
        <f t="shared" si="34"/>
        <v>0</v>
      </c>
      <c r="P148" s="484">
        <f t="shared" si="34"/>
        <v>0</v>
      </c>
      <c r="Q148" s="484">
        <f t="shared" si="34"/>
        <v>0</v>
      </c>
      <c r="R148" s="484">
        <f t="shared" si="34"/>
        <v>0</v>
      </c>
      <c r="S148" s="484">
        <f t="shared" si="34"/>
        <v>0</v>
      </c>
      <c r="T148" s="484">
        <f t="shared" si="34"/>
        <v>0</v>
      </c>
      <c r="U148" s="484">
        <f t="shared" si="34"/>
        <v>0</v>
      </c>
      <c r="V148" s="484">
        <f t="shared" si="34"/>
        <v>0</v>
      </c>
      <c r="W148" s="485">
        <f t="shared" si="34"/>
        <v>0</v>
      </c>
      <c r="AA148" s="68"/>
      <c r="AB148" s="68"/>
    </row>
    <row r="149" spans="1:28" hidden="1">
      <c r="A149" s="703" t="s">
        <v>6989</v>
      </c>
      <c r="B149" s="13"/>
      <c r="C149" s="13"/>
      <c r="D149" s="13"/>
      <c r="E149" s="13"/>
      <c r="F149" s="13"/>
      <c r="G149" s="13"/>
      <c r="H149" s="13"/>
      <c r="I149" s="13"/>
      <c r="J149" s="13"/>
      <c r="K149" s="13">
        <f>SUM(B149:J149)</f>
        <v>0</v>
      </c>
      <c r="L149" s="472"/>
      <c r="M149" s="13"/>
      <c r="N149" s="13"/>
      <c r="O149" s="13"/>
      <c r="P149" s="13"/>
      <c r="Q149" s="13"/>
      <c r="R149" s="13"/>
      <c r="S149" s="13"/>
      <c r="T149" s="13"/>
      <c r="U149" s="13"/>
      <c r="V149" s="13">
        <f>SUM(M149:U149)</f>
        <v>0</v>
      </c>
      <c r="W149" s="472"/>
      <c r="AA149" s="68"/>
      <c r="AB149" s="68"/>
    </row>
    <row r="150" spans="1:28" hidden="1">
      <c r="A150" s="703" t="s">
        <v>6988</v>
      </c>
      <c r="B150" s="13"/>
      <c r="C150" s="13"/>
      <c r="D150" s="13"/>
      <c r="E150" s="13"/>
      <c r="F150" s="13"/>
      <c r="G150" s="13"/>
      <c r="H150" s="13"/>
      <c r="I150" s="13"/>
      <c r="J150" s="13"/>
      <c r="K150" s="13">
        <f>SUM(B150:J150)</f>
        <v>0</v>
      </c>
      <c r="L150" s="472"/>
      <c r="M150" s="13"/>
      <c r="N150" s="13"/>
      <c r="O150" s="13"/>
      <c r="P150" s="13"/>
      <c r="Q150" s="13"/>
      <c r="R150" s="13"/>
      <c r="S150" s="13"/>
      <c r="T150" s="13"/>
      <c r="U150" s="13"/>
      <c r="V150" s="13">
        <f>SUM(M150:U150)</f>
        <v>0</v>
      </c>
      <c r="W150" s="472"/>
      <c r="AA150" s="68"/>
      <c r="AB150" s="68"/>
    </row>
    <row r="151" spans="1:28" hidden="1">
      <c r="A151" s="703" t="s">
        <v>6986</v>
      </c>
      <c r="B151" s="13"/>
      <c r="C151" s="13"/>
      <c r="D151" s="13"/>
      <c r="E151" s="13"/>
      <c r="F151" s="13"/>
      <c r="G151" s="13"/>
      <c r="H151" s="13"/>
      <c r="I151" s="13"/>
      <c r="J151" s="13"/>
      <c r="K151" s="13">
        <f>SUM(B151:J151)</f>
        <v>0</v>
      </c>
      <c r="L151" s="472"/>
      <c r="M151" s="13"/>
      <c r="N151" s="13"/>
      <c r="O151" s="13"/>
      <c r="P151" s="13"/>
      <c r="Q151" s="13"/>
      <c r="R151" s="13"/>
      <c r="S151" s="13"/>
      <c r="T151" s="13"/>
      <c r="U151" s="13"/>
      <c r="V151" s="13">
        <f>SUM(M151:U151)</f>
        <v>0</v>
      </c>
      <c r="W151" s="472"/>
      <c r="AA151" s="68"/>
      <c r="AB151" s="68"/>
    </row>
    <row r="152" spans="1:28" hidden="1">
      <c r="A152" s="703" t="s">
        <v>6985</v>
      </c>
      <c r="B152" s="13"/>
      <c r="C152" s="13"/>
      <c r="D152" s="13"/>
      <c r="E152" s="13"/>
      <c r="F152" s="13"/>
      <c r="G152" s="13"/>
      <c r="H152" s="13"/>
      <c r="I152" s="13"/>
      <c r="J152" s="13"/>
      <c r="K152" s="13">
        <f>SUM(B152:J152)</f>
        <v>0</v>
      </c>
      <c r="L152" s="472"/>
      <c r="M152" s="13"/>
      <c r="N152" s="13"/>
      <c r="O152" s="13"/>
      <c r="P152" s="13"/>
      <c r="Q152" s="13"/>
      <c r="R152" s="13"/>
      <c r="S152" s="13"/>
      <c r="T152" s="13"/>
      <c r="U152" s="13"/>
      <c r="V152" s="13">
        <f>SUM(M152:U152)</f>
        <v>0</v>
      </c>
      <c r="W152" s="472"/>
      <c r="AA152" s="68"/>
      <c r="AB152" s="68"/>
    </row>
    <row r="153" spans="1:28" hidden="1">
      <c r="A153" s="703" t="s">
        <v>6984</v>
      </c>
      <c r="B153" s="13"/>
      <c r="C153" s="13"/>
      <c r="D153" s="13"/>
      <c r="E153" s="13"/>
      <c r="F153" s="13"/>
      <c r="G153" s="13"/>
      <c r="H153" s="13"/>
      <c r="I153" s="13"/>
      <c r="J153" s="13"/>
      <c r="K153" s="13">
        <f>SUM(B153:J153)</f>
        <v>0</v>
      </c>
      <c r="L153" s="472"/>
      <c r="M153" s="13"/>
      <c r="N153" s="13"/>
      <c r="O153" s="13"/>
      <c r="P153" s="13"/>
      <c r="Q153" s="13"/>
      <c r="R153" s="13"/>
      <c r="S153" s="13"/>
      <c r="T153" s="13"/>
      <c r="U153" s="13"/>
      <c r="V153" s="13">
        <f>SUM(M153:U153)</f>
        <v>0</v>
      </c>
      <c r="W153" s="472"/>
      <c r="AA153" s="68"/>
      <c r="AB153" s="68"/>
    </row>
    <row r="154" spans="1:28" hidden="1">
      <c r="A154" s="705" t="s">
        <v>6993</v>
      </c>
      <c r="B154" s="484">
        <f t="shared" ref="B154:W154" si="35">SUM(B155:B159)</f>
        <v>0</v>
      </c>
      <c r="C154" s="484">
        <f t="shared" si="35"/>
        <v>0</v>
      </c>
      <c r="D154" s="484">
        <f t="shared" si="35"/>
        <v>0</v>
      </c>
      <c r="E154" s="484">
        <f t="shared" si="35"/>
        <v>0</v>
      </c>
      <c r="F154" s="484">
        <f t="shared" si="35"/>
        <v>0</v>
      </c>
      <c r="G154" s="484">
        <f t="shared" si="35"/>
        <v>0</v>
      </c>
      <c r="H154" s="484">
        <f t="shared" si="35"/>
        <v>0</v>
      </c>
      <c r="I154" s="484">
        <f t="shared" si="35"/>
        <v>0</v>
      </c>
      <c r="J154" s="484">
        <f t="shared" si="35"/>
        <v>0</v>
      </c>
      <c r="K154" s="484">
        <f t="shared" si="35"/>
        <v>0</v>
      </c>
      <c r="L154" s="485">
        <f t="shared" si="35"/>
        <v>0</v>
      </c>
      <c r="M154" s="484">
        <f t="shared" si="35"/>
        <v>0</v>
      </c>
      <c r="N154" s="484">
        <f t="shared" si="35"/>
        <v>0</v>
      </c>
      <c r="O154" s="484">
        <f t="shared" si="35"/>
        <v>0</v>
      </c>
      <c r="P154" s="484">
        <f t="shared" si="35"/>
        <v>0</v>
      </c>
      <c r="Q154" s="484">
        <f t="shared" si="35"/>
        <v>0</v>
      </c>
      <c r="R154" s="484">
        <f t="shared" si="35"/>
        <v>0</v>
      </c>
      <c r="S154" s="484">
        <f t="shared" si="35"/>
        <v>0</v>
      </c>
      <c r="T154" s="484">
        <f t="shared" si="35"/>
        <v>0</v>
      </c>
      <c r="U154" s="484">
        <f t="shared" si="35"/>
        <v>0</v>
      </c>
      <c r="V154" s="484">
        <f t="shared" si="35"/>
        <v>0</v>
      </c>
      <c r="W154" s="485">
        <f t="shared" si="35"/>
        <v>0</v>
      </c>
      <c r="AA154" s="68"/>
      <c r="AB154" s="68"/>
    </row>
    <row r="155" spans="1:28" hidden="1">
      <c r="A155" s="703" t="s">
        <v>6989</v>
      </c>
      <c r="B155" s="13"/>
      <c r="C155" s="13"/>
      <c r="D155" s="13"/>
      <c r="E155" s="13"/>
      <c r="F155" s="13"/>
      <c r="G155" s="13"/>
      <c r="H155" s="13"/>
      <c r="I155" s="13"/>
      <c r="J155" s="13"/>
      <c r="K155" s="13">
        <f>SUM(B155:J155)</f>
        <v>0</v>
      </c>
      <c r="L155" s="472"/>
      <c r="M155" s="13"/>
      <c r="N155" s="13"/>
      <c r="O155" s="13"/>
      <c r="P155" s="13"/>
      <c r="Q155" s="13"/>
      <c r="R155" s="13"/>
      <c r="S155" s="13"/>
      <c r="T155" s="13"/>
      <c r="U155" s="13"/>
      <c r="V155" s="13">
        <f>SUM(M155:U155)</f>
        <v>0</v>
      </c>
      <c r="W155" s="472"/>
      <c r="AA155" s="68"/>
      <c r="AB155" s="68"/>
    </row>
    <row r="156" spans="1:28" hidden="1">
      <c r="A156" s="703" t="s">
        <v>6988</v>
      </c>
      <c r="B156" s="13"/>
      <c r="C156" s="13"/>
      <c r="D156" s="13"/>
      <c r="E156" s="13"/>
      <c r="F156" s="13"/>
      <c r="G156" s="13"/>
      <c r="H156" s="13"/>
      <c r="I156" s="13"/>
      <c r="J156" s="13"/>
      <c r="K156" s="13">
        <f>SUM(B156:J156)</f>
        <v>0</v>
      </c>
      <c r="L156" s="472"/>
      <c r="M156" s="13"/>
      <c r="N156" s="13"/>
      <c r="O156" s="13"/>
      <c r="P156" s="13"/>
      <c r="Q156" s="13"/>
      <c r="R156" s="13"/>
      <c r="S156" s="13"/>
      <c r="T156" s="13"/>
      <c r="U156" s="13"/>
      <c r="V156" s="13">
        <f>SUM(M156:U156)</f>
        <v>0</v>
      </c>
      <c r="W156" s="472"/>
      <c r="AA156" s="68"/>
      <c r="AB156" s="68"/>
    </row>
    <row r="157" spans="1:28" hidden="1">
      <c r="A157" s="703" t="s">
        <v>6986</v>
      </c>
      <c r="B157" s="13"/>
      <c r="C157" s="13"/>
      <c r="D157" s="13"/>
      <c r="E157" s="13"/>
      <c r="F157" s="13"/>
      <c r="G157" s="13"/>
      <c r="H157" s="13"/>
      <c r="I157" s="13"/>
      <c r="J157" s="13"/>
      <c r="K157" s="13">
        <f>SUM(B157:J157)</f>
        <v>0</v>
      </c>
      <c r="L157" s="472"/>
      <c r="M157" s="13"/>
      <c r="N157" s="13"/>
      <c r="O157" s="13"/>
      <c r="P157" s="13"/>
      <c r="Q157" s="13"/>
      <c r="R157" s="13"/>
      <c r="S157" s="13"/>
      <c r="T157" s="13"/>
      <c r="U157" s="13"/>
      <c r="V157" s="13">
        <f>SUM(M157:U157)</f>
        <v>0</v>
      </c>
      <c r="W157" s="472"/>
      <c r="AA157" s="68"/>
      <c r="AB157" s="68"/>
    </row>
    <row r="158" spans="1:28" hidden="1">
      <c r="A158" s="703" t="s">
        <v>6985</v>
      </c>
      <c r="B158" s="13"/>
      <c r="C158" s="13"/>
      <c r="D158" s="13"/>
      <c r="E158" s="13"/>
      <c r="F158" s="13"/>
      <c r="G158" s="13"/>
      <c r="H158" s="13"/>
      <c r="I158" s="13"/>
      <c r="J158" s="13"/>
      <c r="K158" s="13">
        <f>SUM(B158:J158)</f>
        <v>0</v>
      </c>
      <c r="L158" s="472"/>
      <c r="M158" s="13"/>
      <c r="N158" s="13"/>
      <c r="O158" s="13"/>
      <c r="P158" s="13"/>
      <c r="Q158" s="13"/>
      <c r="R158" s="13"/>
      <c r="S158" s="13"/>
      <c r="T158" s="13"/>
      <c r="U158" s="13"/>
      <c r="V158" s="13">
        <f>SUM(M158:U158)</f>
        <v>0</v>
      </c>
      <c r="W158" s="472"/>
      <c r="AA158" s="68"/>
      <c r="AB158" s="68"/>
    </row>
    <row r="159" spans="1:28" hidden="1">
      <c r="A159" s="703" t="s">
        <v>6984</v>
      </c>
      <c r="B159" s="13"/>
      <c r="C159" s="13"/>
      <c r="D159" s="13"/>
      <c r="E159" s="13"/>
      <c r="F159" s="13"/>
      <c r="G159" s="13"/>
      <c r="H159" s="13"/>
      <c r="I159" s="13"/>
      <c r="J159" s="13"/>
      <c r="K159" s="13">
        <f>SUM(B159:J159)</f>
        <v>0</v>
      </c>
      <c r="L159" s="472"/>
      <c r="M159" s="13"/>
      <c r="N159" s="13"/>
      <c r="O159" s="13"/>
      <c r="P159" s="13"/>
      <c r="Q159" s="13"/>
      <c r="R159" s="13"/>
      <c r="S159" s="13"/>
      <c r="T159" s="13"/>
      <c r="U159" s="13"/>
      <c r="V159" s="13">
        <f>SUM(M159:U159)</f>
        <v>0</v>
      </c>
      <c r="W159" s="472"/>
      <c r="AA159" s="68"/>
      <c r="AB159" s="68"/>
    </row>
    <row r="160" spans="1:28" hidden="1">
      <c r="A160" s="705" t="s">
        <v>6992</v>
      </c>
      <c r="B160" s="484">
        <f t="shared" ref="B160:W160" si="36">SUM(B161:B165)</f>
        <v>0</v>
      </c>
      <c r="C160" s="484">
        <f t="shared" si="36"/>
        <v>0</v>
      </c>
      <c r="D160" s="484">
        <f t="shared" si="36"/>
        <v>0</v>
      </c>
      <c r="E160" s="484">
        <f t="shared" si="36"/>
        <v>0</v>
      </c>
      <c r="F160" s="484">
        <f t="shared" si="36"/>
        <v>0</v>
      </c>
      <c r="G160" s="484">
        <f t="shared" si="36"/>
        <v>0</v>
      </c>
      <c r="H160" s="484">
        <f t="shared" si="36"/>
        <v>0</v>
      </c>
      <c r="I160" s="484">
        <f t="shared" si="36"/>
        <v>0</v>
      </c>
      <c r="J160" s="484">
        <f t="shared" si="36"/>
        <v>0</v>
      </c>
      <c r="K160" s="484">
        <f t="shared" si="36"/>
        <v>0</v>
      </c>
      <c r="L160" s="485">
        <f t="shared" si="36"/>
        <v>0</v>
      </c>
      <c r="M160" s="484">
        <f t="shared" si="36"/>
        <v>0</v>
      </c>
      <c r="N160" s="484">
        <f t="shared" si="36"/>
        <v>0</v>
      </c>
      <c r="O160" s="484">
        <f t="shared" si="36"/>
        <v>0</v>
      </c>
      <c r="P160" s="484">
        <f t="shared" si="36"/>
        <v>0</v>
      </c>
      <c r="Q160" s="484">
        <f t="shared" si="36"/>
        <v>0</v>
      </c>
      <c r="R160" s="484">
        <f t="shared" si="36"/>
        <v>0</v>
      </c>
      <c r="S160" s="484">
        <f t="shared" si="36"/>
        <v>0</v>
      </c>
      <c r="T160" s="484">
        <f t="shared" si="36"/>
        <v>0</v>
      </c>
      <c r="U160" s="484">
        <f t="shared" si="36"/>
        <v>0</v>
      </c>
      <c r="V160" s="484">
        <f t="shared" si="36"/>
        <v>0</v>
      </c>
      <c r="W160" s="485">
        <f t="shared" si="36"/>
        <v>0</v>
      </c>
      <c r="AA160" s="68"/>
      <c r="AB160" s="68"/>
    </row>
    <row r="161" spans="1:28" hidden="1">
      <c r="A161" s="703" t="s">
        <v>6989</v>
      </c>
      <c r="B161" s="13"/>
      <c r="C161" s="13"/>
      <c r="D161" s="13"/>
      <c r="E161" s="13"/>
      <c r="F161" s="13"/>
      <c r="G161" s="13"/>
      <c r="H161" s="13"/>
      <c r="I161" s="13"/>
      <c r="J161" s="13"/>
      <c r="K161" s="13">
        <f>SUM(B161:J161)</f>
        <v>0</v>
      </c>
      <c r="L161" s="472"/>
      <c r="M161" s="13"/>
      <c r="N161" s="13"/>
      <c r="O161" s="13"/>
      <c r="P161" s="13"/>
      <c r="Q161" s="13"/>
      <c r="R161" s="13"/>
      <c r="S161" s="13"/>
      <c r="T161" s="13"/>
      <c r="U161" s="13"/>
      <c r="V161" s="13">
        <f>SUM(M161:U161)</f>
        <v>0</v>
      </c>
      <c r="W161" s="472"/>
      <c r="AA161" s="68"/>
      <c r="AB161" s="68"/>
    </row>
    <row r="162" spans="1:28" hidden="1">
      <c r="A162" s="703" t="s">
        <v>6988</v>
      </c>
      <c r="B162" s="13"/>
      <c r="C162" s="13"/>
      <c r="D162" s="13"/>
      <c r="E162" s="13"/>
      <c r="F162" s="13"/>
      <c r="G162" s="13"/>
      <c r="H162" s="13"/>
      <c r="I162" s="13"/>
      <c r="J162" s="13"/>
      <c r="K162" s="13">
        <f>SUM(B162:J162)</f>
        <v>0</v>
      </c>
      <c r="L162" s="472"/>
      <c r="M162" s="13"/>
      <c r="N162" s="13"/>
      <c r="O162" s="13"/>
      <c r="P162" s="13"/>
      <c r="Q162" s="13"/>
      <c r="R162" s="13"/>
      <c r="S162" s="13"/>
      <c r="T162" s="13"/>
      <c r="U162" s="13"/>
      <c r="V162" s="13">
        <f>SUM(M162:U162)</f>
        <v>0</v>
      </c>
      <c r="W162" s="472"/>
      <c r="AA162" s="68"/>
      <c r="AB162" s="68"/>
    </row>
    <row r="163" spans="1:28" hidden="1">
      <c r="A163" s="703" t="s">
        <v>6986</v>
      </c>
      <c r="B163" s="13"/>
      <c r="C163" s="13"/>
      <c r="D163" s="13"/>
      <c r="E163" s="13"/>
      <c r="F163" s="13"/>
      <c r="G163" s="13"/>
      <c r="H163" s="13"/>
      <c r="I163" s="13"/>
      <c r="J163" s="13"/>
      <c r="K163" s="13">
        <f>SUM(B163:J163)</f>
        <v>0</v>
      </c>
      <c r="L163" s="472"/>
      <c r="M163" s="13"/>
      <c r="N163" s="13"/>
      <c r="O163" s="13"/>
      <c r="P163" s="13"/>
      <c r="Q163" s="13"/>
      <c r="R163" s="13"/>
      <c r="S163" s="13"/>
      <c r="T163" s="13"/>
      <c r="U163" s="13"/>
      <c r="V163" s="13">
        <f>SUM(M163:U163)</f>
        <v>0</v>
      </c>
      <c r="W163" s="472"/>
      <c r="AA163" s="68"/>
      <c r="AB163" s="68"/>
    </row>
    <row r="164" spans="1:28" hidden="1">
      <c r="A164" s="703" t="s">
        <v>6985</v>
      </c>
      <c r="B164" s="13"/>
      <c r="C164" s="13"/>
      <c r="D164" s="13"/>
      <c r="E164" s="13"/>
      <c r="F164" s="13"/>
      <c r="G164" s="13"/>
      <c r="H164" s="13"/>
      <c r="I164" s="13"/>
      <c r="J164" s="13"/>
      <c r="K164" s="13">
        <f>SUM(B164:J164)</f>
        <v>0</v>
      </c>
      <c r="L164" s="472"/>
      <c r="M164" s="13"/>
      <c r="N164" s="13"/>
      <c r="O164" s="13"/>
      <c r="P164" s="13"/>
      <c r="Q164" s="13"/>
      <c r="R164" s="13"/>
      <c r="S164" s="13"/>
      <c r="T164" s="13"/>
      <c r="U164" s="13"/>
      <c r="V164" s="13">
        <f>SUM(M164:U164)</f>
        <v>0</v>
      </c>
      <c r="W164" s="472"/>
      <c r="AA164" s="68"/>
      <c r="AB164" s="68"/>
    </row>
    <row r="165" spans="1:28" hidden="1">
      <c r="A165" s="703" t="s">
        <v>6984</v>
      </c>
      <c r="B165" s="13"/>
      <c r="C165" s="13"/>
      <c r="D165" s="13"/>
      <c r="E165" s="13"/>
      <c r="F165" s="13"/>
      <c r="G165" s="13"/>
      <c r="H165" s="13"/>
      <c r="I165" s="13"/>
      <c r="J165" s="13"/>
      <c r="K165" s="13">
        <f>SUM(B165:J165)</f>
        <v>0</v>
      </c>
      <c r="L165" s="472"/>
      <c r="M165" s="13"/>
      <c r="N165" s="13"/>
      <c r="O165" s="13"/>
      <c r="P165" s="13"/>
      <c r="Q165" s="13"/>
      <c r="R165" s="13"/>
      <c r="S165" s="13"/>
      <c r="T165" s="13"/>
      <c r="U165" s="13"/>
      <c r="V165" s="13">
        <f>SUM(M165:U165)</f>
        <v>0</v>
      </c>
      <c r="W165" s="472"/>
      <c r="AA165" s="68"/>
      <c r="AB165" s="68"/>
    </row>
    <row r="166" spans="1:28" hidden="1">
      <c r="A166" s="705" t="s">
        <v>6991</v>
      </c>
      <c r="B166" s="484">
        <f t="shared" ref="B166:W166" si="37">SUM(B167:B171)</f>
        <v>0</v>
      </c>
      <c r="C166" s="484">
        <f t="shared" si="37"/>
        <v>0</v>
      </c>
      <c r="D166" s="484">
        <f t="shared" si="37"/>
        <v>0</v>
      </c>
      <c r="E166" s="484">
        <f t="shared" si="37"/>
        <v>0</v>
      </c>
      <c r="F166" s="484">
        <f t="shared" si="37"/>
        <v>0</v>
      </c>
      <c r="G166" s="484">
        <f t="shared" si="37"/>
        <v>0</v>
      </c>
      <c r="H166" s="484">
        <f t="shared" si="37"/>
        <v>0</v>
      </c>
      <c r="I166" s="484">
        <f t="shared" si="37"/>
        <v>0</v>
      </c>
      <c r="J166" s="484">
        <f t="shared" si="37"/>
        <v>0</v>
      </c>
      <c r="K166" s="484">
        <f t="shared" si="37"/>
        <v>0</v>
      </c>
      <c r="L166" s="485">
        <f t="shared" si="37"/>
        <v>0</v>
      </c>
      <c r="M166" s="484">
        <f t="shared" si="37"/>
        <v>0</v>
      </c>
      <c r="N166" s="484">
        <f t="shared" si="37"/>
        <v>0</v>
      </c>
      <c r="O166" s="484">
        <f t="shared" si="37"/>
        <v>0</v>
      </c>
      <c r="P166" s="484">
        <f t="shared" si="37"/>
        <v>0</v>
      </c>
      <c r="Q166" s="484">
        <f t="shared" si="37"/>
        <v>0</v>
      </c>
      <c r="R166" s="484">
        <f t="shared" si="37"/>
        <v>0</v>
      </c>
      <c r="S166" s="484">
        <f t="shared" si="37"/>
        <v>0</v>
      </c>
      <c r="T166" s="484">
        <f t="shared" si="37"/>
        <v>0</v>
      </c>
      <c r="U166" s="484">
        <f t="shared" si="37"/>
        <v>0</v>
      </c>
      <c r="V166" s="484">
        <f t="shared" si="37"/>
        <v>0</v>
      </c>
      <c r="W166" s="485">
        <f t="shared" si="37"/>
        <v>0</v>
      </c>
      <c r="AA166" s="68"/>
      <c r="AB166" s="68"/>
    </row>
    <row r="167" spans="1:28" hidden="1">
      <c r="A167" s="703" t="s">
        <v>6989</v>
      </c>
      <c r="B167" s="13"/>
      <c r="C167" s="13"/>
      <c r="D167" s="13"/>
      <c r="E167" s="13"/>
      <c r="F167" s="13"/>
      <c r="G167" s="13"/>
      <c r="H167" s="13"/>
      <c r="I167" s="13"/>
      <c r="J167" s="13"/>
      <c r="K167" s="13">
        <f>SUM(B167:J167)</f>
        <v>0</v>
      </c>
      <c r="L167" s="16"/>
      <c r="M167" s="13"/>
      <c r="N167" s="13"/>
      <c r="O167" s="13"/>
      <c r="P167" s="13"/>
      <c r="Q167" s="13"/>
      <c r="R167" s="13"/>
      <c r="S167" s="13"/>
      <c r="T167" s="13"/>
      <c r="U167" s="13"/>
      <c r="V167" s="13">
        <f>SUM(M167:U167)</f>
        <v>0</v>
      </c>
      <c r="W167" s="472"/>
      <c r="AA167" s="68"/>
      <c r="AB167" s="68"/>
    </row>
    <row r="168" spans="1:28" hidden="1">
      <c r="A168" s="703" t="s">
        <v>6988</v>
      </c>
      <c r="B168" s="13"/>
      <c r="C168" s="13"/>
      <c r="D168" s="13"/>
      <c r="E168" s="13"/>
      <c r="F168" s="13"/>
      <c r="G168" s="13"/>
      <c r="H168" s="13"/>
      <c r="I168" s="13"/>
      <c r="J168" s="13"/>
      <c r="K168" s="13">
        <f>SUM(B168:J168)</f>
        <v>0</v>
      </c>
      <c r="L168" s="16"/>
      <c r="M168" s="13"/>
      <c r="N168" s="13"/>
      <c r="O168" s="13"/>
      <c r="P168" s="13"/>
      <c r="Q168" s="13"/>
      <c r="R168" s="13"/>
      <c r="S168" s="13"/>
      <c r="T168" s="13"/>
      <c r="U168" s="13"/>
      <c r="V168" s="13">
        <f>SUM(M168:U168)</f>
        <v>0</v>
      </c>
      <c r="W168" s="472"/>
      <c r="AA168" s="68"/>
      <c r="AB168" s="68"/>
    </row>
    <row r="169" spans="1:28" hidden="1">
      <c r="A169" s="703" t="s">
        <v>6986</v>
      </c>
      <c r="B169" s="13"/>
      <c r="C169" s="13"/>
      <c r="D169" s="13"/>
      <c r="E169" s="13"/>
      <c r="F169" s="13"/>
      <c r="G169" s="13"/>
      <c r="H169" s="13"/>
      <c r="I169" s="13"/>
      <c r="J169" s="13"/>
      <c r="K169" s="13">
        <f>SUM(B169:J169)</f>
        <v>0</v>
      </c>
      <c r="L169" s="16"/>
      <c r="M169" s="13"/>
      <c r="N169" s="13"/>
      <c r="O169" s="13"/>
      <c r="P169" s="13"/>
      <c r="Q169" s="13"/>
      <c r="R169" s="13"/>
      <c r="S169" s="13"/>
      <c r="T169" s="13"/>
      <c r="U169" s="13"/>
      <c r="V169" s="13">
        <f>SUM(M169:U169)</f>
        <v>0</v>
      </c>
      <c r="W169" s="472"/>
      <c r="AA169" s="68"/>
      <c r="AB169" s="68"/>
    </row>
    <row r="170" spans="1:28" hidden="1">
      <c r="A170" s="703" t="s">
        <v>6985</v>
      </c>
      <c r="B170" s="13"/>
      <c r="C170" s="13"/>
      <c r="D170" s="13"/>
      <c r="E170" s="13"/>
      <c r="F170" s="13"/>
      <c r="G170" s="13"/>
      <c r="H170" s="13"/>
      <c r="I170" s="13"/>
      <c r="J170" s="13"/>
      <c r="K170" s="13">
        <f>SUM(B170:J170)</f>
        <v>0</v>
      </c>
      <c r="L170" s="16"/>
      <c r="M170" s="13"/>
      <c r="N170" s="13"/>
      <c r="O170" s="13"/>
      <c r="P170" s="13"/>
      <c r="Q170" s="13"/>
      <c r="R170" s="13"/>
      <c r="S170" s="13"/>
      <c r="T170" s="13"/>
      <c r="U170" s="13"/>
      <c r="V170" s="13">
        <f>SUM(M170:U170)</f>
        <v>0</v>
      </c>
      <c r="W170" s="472"/>
      <c r="AA170" s="68"/>
      <c r="AB170" s="68"/>
    </row>
    <row r="171" spans="1:28" hidden="1">
      <c r="A171" s="703" t="s">
        <v>6984</v>
      </c>
      <c r="B171" s="13"/>
      <c r="C171" s="13"/>
      <c r="D171" s="13"/>
      <c r="E171" s="13"/>
      <c r="F171" s="13"/>
      <c r="G171" s="13"/>
      <c r="H171" s="13"/>
      <c r="I171" s="13"/>
      <c r="J171" s="13"/>
      <c r="K171" s="13">
        <f>SUM(B171:J171)</f>
        <v>0</v>
      </c>
      <c r="L171" s="472"/>
      <c r="M171" s="13"/>
      <c r="N171" s="13"/>
      <c r="O171" s="13"/>
      <c r="P171" s="13"/>
      <c r="Q171" s="13"/>
      <c r="R171" s="13"/>
      <c r="S171" s="13"/>
      <c r="T171" s="13"/>
      <c r="U171" s="13"/>
      <c r="V171" s="13">
        <f>SUM(M171:U171)</f>
        <v>0</v>
      </c>
      <c r="W171" s="472"/>
      <c r="AA171" s="68"/>
      <c r="AB171" s="68"/>
    </row>
    <row r="172" spans="1:28" ht="24" hidden="1">
      <c r="A172" s="705" t="s">
        <v>6990</v>
      </c>
      <c r="B172" s="484">
        <f t="shared" ref="B172:W172" si="38">SUM(B173:B177)</f>
        <v>0</v>
      </c>
      <c r="C172" s="484">
        <f t="shared" si="38"/>
        <v>0</v>
      </c>
      <c r="D172" s="484">
        <f t="shared" si="38"/>
        <v>0</v>
      </c>
      <c r="E172" s="484">
        <f t="shared" si="38"/>
        <v>0</v>
      </c>
      <c r="F172" s="484">
        <f t="shared" si="38"/>
        <v>0</v>
      </c>
      <c r="G172" s="484">
        <f t="shared" si="38"/>
        <v>0</v>
      </c>
      <c r="H172" s="484">
        <f t="shared" si="38"/>
        <v>0</v>
      </c>
      <c r="I172" s="484">
        <f t="shared" si="38"/>
        <v>0</v>
      </c>
      <c r="J172" s="484">
        <f t="shared" si="38"/>
        <v>0</v>
      </c>
      <c r="K172" s="484">
        <f t="shared" si="38"/>
        <v>0</v>
      </c>
      <c r="L172" s="485">
        <f t="shared" si="38"/>
        <v>0</v>
      </c>
      <c r="M172" s="484">
        <f t="shared" si="38"/>
        <v>0</v>
      </c>
      <c r="N172" s="484">
        <f t="shared" si="38"/>
        <v>0</v>
      </c>
      <c r="O172" s="484">
        <f t="shared" si="38"/>
        <v>0</v>
      </c>
      <c r="P172" s="484">
        <f t="shared" si="38"/>
        <v>0</v>
      </c>
      <c r="Q172" s="484">
        <f t="shared" si="38"/>
        <v>0</v>
      </c>
      <c r="R172" s="484">
        <f t="shared" si="38"/>
        <v>0</v>
      </c>
      <c r="S172" s="484">
        <f t="shared" si="38"/>
        <v>0</v>
      </c>
      <c r="T172" s="484">
        <f t="shared" si="38"/>
        <v>0</v>
      </c>
      <c r="U172" s="484">
        <f t="shared" si="38"/>
        <v>0</v>
      </c>
      <c r="V172" s="484">
        <f t="shared" si="38"/>
        <v>0</v>
      </c>
      <c r="W172" s="485">
        <f t="shared" si="38"/>
        <v>0</v>
      </c>
      <c r="AA172" s="68"/>
      <c r="AB172" s="68"/>
    </row>
    <row r="173" spans="1:28" hidden="1">
      <c r="A173" s="703" t="s">
        <v>6989</v>
      </c>
      <c r="B173" s="13"/>
      <c r="C173" s="13"/>
      <c r="D173" s="13"/>
      <c r="E173" s="13"/>
      <c r="F173" s="13"/>
      <c r="G173" s="13"/>
      <c r="H173" s="13"/>
      <c r="I173" s="13"/>
      <c r="J173" s="13"/>
      <c r="K173" s="13">
        <f>SUM(B173:J173)</f>
        <v>0</v>
      </c>
      <c r="L173" s="472"/>
      <c r="M173" s="13"/>
      <c r="N173" s="13"/>
      <c r="O173" s="13"/>
      <c r="P173" s="13"/>
      <c r="Q173" s="13"/>
      <c r="R173" s="13"/>
      <c r="S173" s="13"/>
      <c r="T173" s="13"/>
      <c r="U173" s="13"/>
      <c r="V173" s="13">
        <f>SUM(M173:U173)</f>
        <v>0</v>
      </c>
      <c r="W173" s="472"/>
      <c r="AA173" s="68"/>
      <c r="AB173" s="68"/>
    </row>
    <row r="174" spans="1:28" hidden="1">
      <c r="A174" s="703" t="s">
        <v>6988</v>
      </c>
      <c r="B174" s="13"/>
      <c r="C174" s="13"/>
      <c r="D174" s="13"/>
      <c r="E174" s="13"/>
      <c r="F174" s="13"/>
      <c r="G174" s="13"/>
      <c r="H174" s="13"/>
      <c r="I174" s="13"/>
      <c r="J174" s="13"/>
      <c r="K174" s="13">
        <f>SUM(B174:J174)</f>
        <v>0</v>
      </c>
      <c r="L174" s="472"/>
      <c r="M174" s="13"/>
      <c r="N174" s="13"/>
      <c r="O174" s="13"/>
      <c r="P174" s="13"/>
      <c r="Q174" s="13"/>
      <c r="R174" s="13"/>
      <c r="S174" s="13"/>
      <c r="T174" s="13"/>
      <c r="U174" s="13"/>
      <c r="V174" s="13">
        <f>SUM(M174:U174)</f>
        <v>0</v>
      </c>
      <c r="W174" s="472"/>
      <c r="AA174" s="68"/>
      <c r="AB174" s="68"/>
    </row>
    <row r="175" spans="1:28" hidden="1">
      <c r="A175" s="703" t="s">
        <v>6986</v>
      </c>
      <c r="B175" s="13"/>
      <c r="C175" s="13"/>
      <c r="D175" s="13"/>
      <c r="E175" s="13"/>
      <c r="F175" s="13"/>
      <c r="G175" s="13"/>
      <c r="H175" s="13"/>
      <c r="I175" s="13"/>
      <c r="J175" s="13"/>
      <c r="K175" s="13">
        <f>SUM(B175:J175)</f>
        <v>0</v>
      </c>
      <c r="L175" s="472"/>
      <c r="M175" s="13"/>
      <c r="N175" s="13"/>
      <c r="O175" s="13"/>
      <c r="P175" s="13"/>
      <c r="Q175" s="13"/>
      <c r="R175" s="13"/>
      <c r="S175" s="13"/>
      <c r="T175" s="13"/>
      <c r="U175" s="13"/>
      <c r="V175" s="13">
        <f>SUM(M175:U175)</f>
        <v>0</v>
      </c>
      <c r="W175" s="472"/>
      <c r="AA175" s="68"/>
      <c r="AB175" s="68"/>
    </row>
    <row r="176" spans="1:28" hidden="1">
      <c r="A176" s="703" t="s">
        <v>6985</v>
      </c>
      <c r="B176" s="13"/>
      <c r="C176" s="13"/>
      <c r="D176" s="13"/>
      <c r="E176" s="13"/>
      <c r="F176" s="13"/>
      <c r="G176" s="13"/>
      <c r="H176" s="13"/>
      <c r="I176" s="13"/>
      <c r="J176" s="13"/>
      <c r="K176" s="13">
        <f>SUM(B176:J176)</f>
        <v>0</v>
      </c>
      <c r="L176" s="472"/>
      <c r="M176" s="13"/>
      <c r="N176" s="13"/>
      <c r="O176" s="13"/>
      <c r="P176" s="13"/>
      <c r="Q176" s="13"/>
      <c r="R176" s="13"/>
      <c r="S176" s="13"/>
      <c r="T176" s="13"/>
      <c r="U176" s="13"/>
      <c r="V176" s="13">
        <f>SUM(M176:U176)</f>
        <v>0</v>
      </c>
      <c r="W176" s="472"/>
      <c r="AA176" s="68"/>
      <c r="AB176" s="68"/>
    </row>
    <row r="177" spans="1:28" hidden="1">
      <c r="A177" s="703" t="s">
        <v>6984</v>
      </c>
      <c r="B177" s="13"/>
      <c r="C177" s="13"/>
      <c r="D177" s="13"/>
      <c r="E177" s="13"/>
      <c r="F177" s="13"/>
      <c r="G177" s="13"/>
      <c r="H177" s="13"/>
      <c r="I177" s="13"/>
      <c r="J177" s="13"/>
      <c r="K177" s="13">
        <f>SUM(B177:J177)</f>
        <v>0</v>
      </c>
      <c r="L177" s="541"/>
      <c r="M177" s="13"/>
      <c r="N177" s="13"/>
      <c r="O177" s="13"/>
      <c r="P177" s="13"/>
      <c r="Q177" s="13"/>
      <c r="R177" s="13"/>
      <c r="S177" s="13"/>
      <c r="T177" s="13"/>
      <c r="U177" s="13"/>
      <c r="V177" s="13">
        <f>SUM(M177:U177)</f>
        <v>0</v>
      </c>
      <c r="W177" s="472"/>
      <c r="AA177" s="68"/>
      <c r="AB177" s="68"/>
    </row>
    <row r="178" spans="1:28" ht="36" hidden="1">
      <c r="A178" s="705" t="s">
        <v>6987</v>
      </c>
      <c r="B178" s="484">
        <f t="shared" ref="B178:W178" si="39">SUM(B179:B184)</f>
        <v>0</v>
      </c>
      <c r="C178" s="484">
        <f t="shared" si="39"/>
        <v>0</v>
      </c>
      <c r="D178" s="484">
        <f t="shared" si="39"/>
        <v>0</v>
      </c>
      <c r="E178" s="484">
        <f t="shared" si="39"/>
        <v>0</v>
      </c>
      <c r="F178" s="484">
        <f t="shared" si="39"/>
        <v>0</v>
      </c>
      <c r="G178" s="484">
        <f t="shared" si="39"/>
        <v>0</v>
      </c>
      <c r="H178" s="484">
        <f t="shared" si="39"/>
        <v>0</v>
      </c>
      <c r="I178" s="484">
        <f t="shared" si="39"/>
        <v>0</v>
      </c>
      <c r="J178" s="484">
        <f t="shared" si="39"/>
        <v>0</v>
      </c>
      <c r="K178" s="484">
        <f t="shared" si="39"/>
        <v>0</v>
      </c>
      <c r="L178" s="485">
        <f t="shared" si="39"/>
        <v>0</v>
      </c>
      <c r="M178" s="484">
        <f t="shared" si="39"/>
        <v>0</v>
      </c>
      <c r="N178" s="484">
        <f t="shared" si="39"/>
        <v>0</v>
      </c>
      <c r="O178" s="484">
        <f t="shared" si="39"/>
        <v>0</v>
      </c>
      <c r="P178" s="484">
        <f t="shared" si="39"/>
        <v>0</v>
      </c>
      <c r="Q178" s="484">
        <f t="shared" si="39"/>
        <v>0</v>
      </c>
      <c r="R178" s="484">
        <f t="shared" si="39"/>
        <v>0</v>
      </c>
      <c r="S178" s="484">
        <f t="shared" si="39"/>
        <v>0</v>
      </c>
      <c r="T178" s="484">
        <f t="shared" si="39"/>
        <v>0</v>
      </c>
      <c r="U178" s="484">
        <f t="shared" si="39"/>
        <v>0</v>
      </c>
      <c r="V178" s="484">
        <f t="shared" si="39"/>
        <v>0</v>
      </c>
      <c r="W178" s="485">
        <f t="shared" si="39"/>
        <v>0</v>
      </c>
      <c r="AA178" s="68"/>
      <c r="AB178" s="68"/>
    </row>
    <row r="179" spans="1:28" hidden="1">
      <c r="A179" s="703" t="s">
        <v>6986</v>
      </c>
      <c r="B179" s="13"/>
      <c r="C179" s="13"/>
      <c r="D179" s="13"/>
      <c r="E179" s="13"/>
      <c r="F179" s="13"/>
      <c r="G179" s="13"/>
      <c r="H179" s="13"/>
      <c r="I179" s="13"/>
      <c r="J179" s="13"/>
      <c r="K179" s="13">
        <f t="shared" ref="K179:K184" si="40">SUM(B179:J179)</f>
        <v>0</v>
      </c>
      <c r="L179" s="472"/>
      <c r="M179" s="13"/>
      <c r="N179" s="13"/>
      <c r="O179" s="13"/>
      <c r="P179" s="13"/>
      <c r="Q179" s="13"/>
      <c r="R179" s="13"/>
      <c r="S179" s="13"/>
      <c r="T179" s="13"/>
      <c r="U179" s="13"/>
      <c r="V179" s="13">
        <f t="shared" ref="V179:V184" si="41">SUM(M179:U179)</f>
        <v>0</v>
      </c>
      <c r="W179" s="472"/>
      <c r="AA179" s="68"/>
      <c r="AB179" s="68"/>
    </row>
    <row r="180" spans="1:28" hidden="1">
      <c r="A180" s="703" t="s">
        <v>6985</v>
      </c>
      <c r="B180" s="13"/>
      <c r="C180" s="13"/>
      <c r="D180" s="13"/>
      <c r="E180" s="13"/>
      <c r="F180" s="13"/>
      <c r="G180" s="13"/>
      <c r="H180" s="13"/>
      <c r="I180" s="13"/>
      <c r="J180" s="13"/>
      <c r="K180" s="13">
        <f t="shared" si="40"/>
        <v>0</v>
      </c>
      <c r="L180" s="472"/>
      <c r="M180" s="13"/>
      <c r="N180" s="13"/>
      <c r="O180" s="13"/>
      <c r="P180" s="13"/>
      <c r="Q180" s="13"/>
      <c r="R180" s="13"/>
      <c r="S180" s="13"/>
      <c r="T180" s="13"/>
      <c r="U180" s="13"/>
      <c r="V180" s="13">
        <f t="shared" si="41"/>
        <v>0</v>
      </c>
      <c r="W180" s="472"/>
      <c r="AA180" s="68"/>
      <c r="AB180" s="68"/>
    </row>
    <row r="181" spans="1:28" hidden="1">
      <c r="A181" s="703" t="s">
        <v>6984</v>
      </c>
      <c r="B181" s="13"/>
      <c r="C181" s="13"/>
      <c r="D181" s="13"/>
      <c r="E181" s="13"/>
      <c r="F181" s="13"/>
      <c r="G181" s="13"/>
      <c r="H181" s="13"/>
      <c r="I181" s="13"/>
      <c r="J181" s="13"/>
      <c r="K181" s="13">
        <f t="shared" si="40"/>
        <v>0</v>
      </c>
      <c r="L181" s="472"/>
      <c r="M181" s="13"/>
      <c r="N181" s="13"/>
      <c r="O181" s="13"/>
      <c r="P181" s="13"/>
      <c r="Q181" s="13"/>
      <c r="R181" s="13"/>
      <c r="S181" s="13"/>
      <c r="T181" s="13"/>
      <c r="U181" s="13"/>
      <c r="V181" s="13">
        <f t="shared" si="41"/>
        <v>0</v>
      </c>
      <c r="W181" s="472"/>
      <c r="AA181" s="68"/>
      <c r="AB181" s="68"/>
    </row>
    <row r="182" spans="1:28" hidden="1">
      <c r="A182" s="703" t="s">
        <v>6983</v>
      </c>
      <c r="B182" s="13"/>
      <c r="C182" s="13"/>
      <c r="D182" s="13"/>
      <c r="E182" s="13"/>
      <c r="F182" s="13"/>
      <c r="G182" s="13"/>
      <c r="H182" s="13"/>
      <c r="I182" s="13"/>
      <c r="J182" s="13"/>
      <c r="K182" s="13">
        <f t="shared" si="40"/>
        <v>0</v>
      </c>
      <c r="L182" s="472"/>
      <c r="M182" s="13"/>
      <c r="N182" s="13"/>
      <c r="O182" s="13"/>
      <c r="P182" s="13"/>
      <c r="Q182" s="13"/>
      <c r="R182" s="13"/>
      <c r="S182" s="13"/>
      <c r="T182" s="13"/>
      <c r="U182" s="13"/>
      <c r="V182" s="13">
        <f t="shared" si="41"/>
        <v>0</v>
      </c>
      <c r="W182" s="472"/>
      <c r="AA182" s="68"/>
      <c r="AB182" s="68"/>
    </row>
    <row r="183" spans="1:28" hidden="1">
      <c r="A183" s="703" t="s">
        <v>6982</v>
      </c>
      <c r="B183" s="13"/>
      <c r="C183" s="13"/>
      <c r="D183" s="13"/>
      <c r="E183" s="13"/>
      <c r="F183" s="13"/>
      <c r="G183" s="13"/>
      <c r="H183" s="13"/>
      <c r="I183" s="13"/>
      <c r="J183" s="13"/>
      <c r="K183" s="13">
        <f t="shared" si="40"/>
        <v>0</v>
      </c>
      <c r="L183" s="472"/>
      <c r="M183" s="13"/>
      <c r="N183" s="13"/>
      <c r="O183" s="13"/>
      <c r="P183" s="13"/>
      <c r="Q183" s="13"/>
      <c r="R183" s="13"/>
      <c r="S183" s="13"/>
      <c r="T183" s="13"/>
      <c r="U183" s="13"/>
      <c r="V183" s="13">
        <f t="shared" si="41"/>
        <v>0</v>
      </c>
      <c r="W183" s="472"/>
      <c r="AA183" s="68"/>
      <c r="AB183" s="68"/>
    </row>
    <row r="184" spans="1:28" hidden="1">
      <c r="A184" s="703" t="s">
        <v>6981</v>
      </c>
      <c r="B184" s="13"/>
      <c r="C184" s="13"/>
      <c r="D184" s="13"/>
      <c r="E184" s="13"/>
      <c r="F184" s="13"/>
      <c r="G184" s="13"/>
      <c r="H184" s="13"/>
      <c r="I184" s="13"/>
      <c r="J184" s="13"/>
      <c r="K184" s="13">
        <f t="shared" si="40"/>
        <v>0</v>
      </c>
      <c r="L184" s="472"/>
      <c r="M184" s="13"/>
      <c r="N184" s="13"/>
      <c r="O184" s="13"/>
      <c r="P184" s="13"/>
      <c r="Q184" s="13"/>
      <c r="R184" s="13"/>
      <c r="S184" s="13"/>
      <c r="T184" s="13"/>
      <c r="U184" s="13"/>
      <c r="V184" s="13">
        <f t="shared" si="41"/>
        <v>0</v>
      </c>
      <c r="W184" s="472"/>
      <c r="AA184" s="68"/>
      <c r="AB184" s="68"/>
    </row>
    <row r="185" spans="1:28">
      <c r="A185" s="705" t="s">
        <v>58</v>
      </c>
      <c r="B185" s="484">
        <f t="shared" ref="B185:W185" si="42">SUM(B186:B187)</f>
        <v>42</v>
      </c>
      <c r="C185" s="484">
        <f t="shared" si="42"/>
        <v>0</v>
      </c>
      <c r="D185" s="484">
        <f t="shared" si="42"/>
        <v>0</v>
      </c>
      <c r="E185" s="484">
        <f t="shared" si="42"/>
        <v>0</v>
      </c>
      <c r="F185" s="484">
        <f t="shared" si="42"/>
        <v>0</v>
      </c>
      <c r="G185" s="484">
        <f t="shared" si="42"/>
        <v>0</v>
      </c>
      <c r="H185" s="484">
        <f t="shared" si="42"/>
        <v>0</v>
      </c>
      <c r="I185" s="484">
        <f t="shared" si="42"/>
        <v>0</v>
      </c>
      <c r="J185" s="484">
        <f t="shared" si="42"/>
        <v>0</v>
      </c>
      <c r="K185" s="484">
        <f t="shared" si="42"/>
        <v>42</v>
      </c>
      <c r="L185" s="485">
        <f t="shared" si="42"/>
        <v>2620308.4247012809</v>
      </c>
      <c r="M185" s="484">
        <f t="shared" si="42"/>
        <v>42</v>
      </c>
      <c r="N185" s="484">
        <f t="shared" si="42"/>
        <v>0</v>
      </c>
      <c r="O185" s="484">
        <f t="shared" si="42"/>
        <v>0</v>
      </c>
      <c r="P185" s="484">
        <f t="shared" si="42"/>
        <v>0</v>
      </c>
      <c r="Q185" s="484">
        <f t="shared" si="42"/>
        <v>0</v>
      </c>
      <c r="R185" s="484">
        <f t="shared" si="42"/>
        <v>0</v>
      </c>
      <c r="S185" s="484">
        <f t="shared" si="42"/>
        <v>0</v>
      </c>
      <c r="T185" s="484">
        <f t="shared" si="42"/>
        <v>0</v>
      </c>
      <c r="U185" s="484">
        <f t="shared" si="42"/>
        <v>0</v>
      </c>
      <c r="V185" s="484">
        <f t="shared" si="42"/>
        <v>42</v>
      </c>
      <c r="W185" s="485">
        <f t="shared" si="42"/>
        <v>2620308.4247012809</v>
      </c>
      <c r="AA185" s="68"/>
      <c r="AB185" s="68"/>
    </row>
    <row r="186" spans="1:28">
      <c r="A186" s="703" t="s">
        <v>6980</v>
      </c>
      <c r="B186" s="13">
        <v>23</v>
      </c>
      <c r="C186" s="13"/>
      <c r="D186" s="13"/>
      <c r="E186" s="13"/>
      <c r="F186" s="13"/>
      <c r="G186" s="13"/>
      <c r="H186" s="13"/>
      <c r="I186" s="13"/>
      <c r="J186" s="13"/>
      <c r="K186" s="13">
        <f>SUM(B186:J186)</f>
        <v>23</v>
      </c>
      <c r="L186" s="472">
        <v>1708118.2325745109</v>
      </c>
      <c r="M186" s="13">
        <v>23</v>
      </c>
      <c r="N186" s="13"/>
      <c r="O186" s="13"/>
      <c r="P186" s="13"/>
      <c r="Q186" s="13"/>
      <c r="R186" s="13"/>
      <c r="S186" s="13"/>
      <c r="T186" s="13"/>
      <c r="U186" s="13"/>
      <c r="V186" s="13">
        <f>SUM(M186:U186)</f>
        <v>23</v>
      </c>
      <c r="W186" s="472">
        <v>1708118.2325745109</v>
      </c>
      <c r="AA186" s="68"/>
      <c r="AB186" s="68"/>
    </row>
    <row r="187" spans="1:28">
      <c r="A187" s="703" t="s">
        <v>6979</v>
      </c>
      <c r="B187" s="13">
        <v>19</v>
      </c>
      <c r="C187" s="13"/>
      <c r="D187" s="13"/>
      <c r="E187" s="13"/>
      <c r="F187" s="13"/>
      <c r="G187" s="13"/>
      <c r="H187" s="13"/>
      <c r="I187" s="13"/>
      <c r="J187" s="13"/>
      <c r="K187" s="13">
        <f>SUM(B187:J187)</f>
        <v>19</v>
      </c>
      <c r="L187" s="472">
        <v>912190.19212677004</v>
      </c>
      <c r="M187" s="13">
        <v>19</v>
      </c>
      <c r="N187" s="13"/>
      <c r="O187" s="13"/>
      <c r="P187" s="13"/>
      <c r="Q187" s="13"/>
      <c r="R187" s="13"/>
      <c r="S187" s="13"/>
      <c r="T187" s="13"/>
      <c r="U187" s="13"/>
      <c r="V187" s="13">
        <f>SUM(M187:U187)</f>
        <v>19</v>
      </c>
      <c r="W187" s="472">
        <v>912190.19212677004</v>
      </c>
      <c r="AA187" s="68"/>
      <c r="AB187" s="68"/>
    </row>
    <row r="188" spans="1:28" hidden="1">
      <c r="A188" s="705" t="s">
        <v>6912</v>
      </c>
      <c r="B188" s="484">
        <f t="shared" ref="B188:W188" si="43">SUM(B189:B190)</f>
        <v>0</v>
      </c>
      <c r="C188" s="484">
        <f t="shared" si="43"/>
        <v>0</v>
      </c>
      <c r="D188" s="484">
        <f t="shared" si="43"/>
        <v>0</v>
      </c>
      <c r="E188" s="484">
        <f t="shared" si="43"/>
        <v>0</v>
      </c>
      <c r="F188" s="484">
        <f t="shared" si="43"/>
        <v>0</v>
      </c>
      <c r="G188" s="484">
        <f t="shared" si="43"/>
        <v>0</v>
      </c>
      <c r="H188" s="484">
        <f t="shared" si="43"/>
        <v>0</v>
      </c>
      <c r="I188" s="484">
        <f t="shared" si="43"/>
        <v>0</v>
      </c>
      <c r="J188" s="484">
        <f t="shared" si="43"/>
        <v>0</v>
      </c>
      <c r="K188" s="484">
        <f t="shared" si="43"/>
        <v>0</v>
      </c>
      <c r="L188" s="485">
        <f t="shared" si="43"/>
        <v>0</v>
      </c>
      <c r="M188" s="484">
        <f t="shared" si="43"/>
        <v>0</v>
      </c>
      <c r="N188" s="484">
        <f t="shared" si="43"/>
        <v>0</v>
      </c>
      <c r="O188" s="484">
        <f t="shared" si="43"/>
        <v>0</v>
      </c>
      <c r="P188" s="484">
        <f t="shared" si="43"/>
        <v>0</v>
      </c>
      <c r="Q188" s="484">
        <f t="shared" si="43"/>
        <v>0</v>
      </c>
      <c r="R188" s="484">
        <f t="shared" si="43"/>
        <v>0</v>
      </c>
      <c r="S188" s="484">
        <f t="shared" si="43"/>
        <v>0</v>
      </c>
      <c r="T188" s="484">
        <f t="shared" si="43"/>
        <v>0</v>
      </c>
      <c r="U188" s="484">
        <f t="shared" si="43"/>
        <v>0</v>
      </c>
      <c r="V188" s="484">
        <f t="shared" si="43"/>
        <v>0</v>
      </c>
      <c r="W188" s="485">
        <f t="shared" si="43"/>
        <v>0</v>
      </c>
      <c r="AA188" s="68"/>
      <c r="AB188" s="68"/>
    </row>
    <row r="189" spans="1:28" hidden="1">
      <c r="A189" s="703" t="s">
        <v>6911</v>
      </c>
      <c r="B189" s="13"/>
      <c r="C189" s="13"/>
      <c r="D189" s="13"/>
      <c r="E189" s="13"/>
      <c r="F189" s="13"/>
      <c r="G189" s="13"/>
      <c r="H189" s="13"/>
      <c r="I189" s="13"/>
      <c r="J189" s="13"/>
      <c r="K189" s="13">
        <f>SUM(B189:J189)</f>
        <v>0</v>
      </c>
      <c r="L189" s="472"/>
      <c r="M189" s="13"/>
      <c r="N189" s="13"/>
      <c r="O189" s="13"/>
      <c r="P189" s="13"/>
      <c r="Q189" s="13"/>
      <c r="R189" s="13"/>
      <c r="S189" s="13"/>
      <c r="T189" s="13"/>
      <c r="U189" s="13"/>
      <c r="V189" s="13">
        <f>SUM(M189:U189)</f>
        <v>0</v>
      </c>
      <c r="W189" s="472"/>
      <c r="AA189" s="68"/>
      <c r="AB189" s="68"/>
    </row>
    <row r="190" spans="1:28" hidden="1">
      <c r="A190" s="703" t="s">
        <v>6910</v>
      </c>
      <c r="B190" s="13"/>
      <c r="C190" s="13"/>
      <c r="D190" s="13"/>
      <c r="E190" s="13"/>
      <c r="F190" s="13"/>
      <c r="G190" s="13"/>
      <c r="H190" s="13"/>
      <c r="I190" s="13"/>
      <c r="J190" s="13"/>
      <c r="K190" s="13">
        <f>SUM(B190:J190)</f>
        <v>0</v>
      </c>
      <c r="L190" s="472"/>
      <c r="M190" s="13"/>
      <c r="N190" s="13"/>
      <c r="O190" s="13"/>
      <c r="P190" s="13"/>
      <c r="Q190" s="13"/>
      <c r="R190" s="13"/>
      <c r="S190" s="13"/>
      <c r="T190" s="13"/>
      <c r="U190" s="13"/>
      <c r="V190" s="13">
        <f>SUM(M190:U190)</f>
        <v>0</v>
      </c>
      <c r="W190" s="472"/>
      <c r="AA190" s="68"/>
      <c r="AB190" s="68"/>
    </row>
    <row r="191" spans="1:28" ht="24">
      <c r="A191" s="705" t="s">
        <v>50</v>
      </c>
      <c r="B191" s="484">
        <f t="shared" ref="B191:W191" si="44">B192+B199+B206</f>
        <v>693</v>
      </c>
      <c r="C191" s="484">
        <f t="shared" si="44"/>
        <v>0</v>
      </c>
      <c r="D191" s="484">
        <f t="shared" si="44"/>
        <v>0</v>
      </c>
      <c r="E191" s="484">
        <f t="shared" si="44"/>
        <v>0</v>
      </c>
      <c r="F191" s="484">
        <f t="shared" si="44"/>
        <v>0</v>
      </c>
      <c r="G191" s="484">
        <f t="shared" si="44"/>
        <v>0</v>
      </c>
      <c r="H191" s="484">
        <f t="shared" si="44"/>
        <v>0</v>
      </c>
      <c r="I191" s="484">
        <f t="shared" si="44"/>
        <v>0</v>
      </c>
      <c r="J191" s="484">
        <f t="shared" si="44"/>
        <v>0</v>
      </c>
      <c r="K191" s="484">
        <f t="shared" si="44"/>
        <v>693</v>
      </c>
      <c r="L191" s="485">
        <f t="shared" si="44"/>
        <v>22635100.607571136</v>
      </c>
      <c r="M191" s="484">
        <f t="shared" si="44"/>
        <v>693</v>
      </c>
      <c r="N191" s="484">
        <f t="shared" si="44"/>
        <v>0</v>
      </c>
      <c r="O191" s="484">
        <f t="shared" si="44"/>
        <v>0</v>
      </c>
      <c r="P191" s="484">
        <f t="shared" si="44"/>
        <v>0</v>
      </c>
      <c r="Q191" s="484">
        <f t="shared" si="44"/>
        <v>0</v>
      </c>
      <c r="R191" s="484">
        <f t="shared" si="44"/>
        <v>0</v>
      </c>
      <c r="S191" s="484">
        <f t="shared" si="44"/>
        <v>0</v>
      </c>
      <c r="T191" s="484">
        <f t="shared" si="44"/>
        <v>0</v>
      </c>
      <c r="U191" s="484">
        <f t="shared" si="44"/>
        <v>0</v>
      </c>
      <c r="V191" s="484">
        <f t="shared" si="44"/>
        <v>693</v>
      </c>
      <c r="W191" s="485">
        <f t="shared" si="44"/>
        <v>22894645.007571138</v>
      </c>
      <c r="AA191" s="68"/>
      <c r="AB191" s="68"/>
    </row>
    <row r="192" spans="1:28">
      <c r="A192" s="705" t="s">
        <v>4</v>
      </c>
      <c r="B192" s="484">
        <f t="shared" ref="B192:W192" si="45">SUM(B193:B198)</f>
        <v>7</v>
      </c>
      <c r="C192" s="484">
        <f t="shared" si="45"/>
        <v>0</v>
      </c>
      <c r="D192" s="484">
        <f t="shared" si="45"/>
        <v>0</v>
      </c>
      <c r="E192" s="484">
        <f t="shared" si="45"/>
        <v>0</v>
      </c>
      <c r="F192" s="484">
        <f t="shared" si="45"/>
        <v>0</v>
      </c>
      <c r="G192" s="484">
        <f t="shared" si="45"/>
        <v>0</v>
      </c>
      <c r="H192" s="484">
        <f t="shared" si="45"/>
        <v>0</v>
      </c>
      <c r="I192" s="484">
        <f t="shared" si="45"/>
        <v>0</v>
      </c>
      <c r="J192" s="484">
        <f t="shared" si="45"/>
        <v>0</v>
      </c>
      <c r="K192" s="484">
        <f t="shared" si="45"/>
        <v>7</v>
      </c>
      <c r="L192" s="485">
        <f t="shared" si="45"/>
        <v>254494.07078354683</v>
      </c>
      <c r="M192" s="484">
        <f t="shared" si="45"/>
        <v>7</v>
      </c>
      <c r="N192" s="484">
        <f t="shared" si="45"/>
        <v>0</v>
      </c>
      <c r="O192" s="484">
        <f t="shared" si="45"/>
        <v>0</v>
      </c>
      <c r="P192" s="484">
        <f t="shared" si="45"/>
        <v>0</v>
      </c>
      <c r="Q192" s="484">
        <f t="shared" si="45"/>
        <v>0</v>
      </c>
      <c r="R192" s="484">
        <f t="shared" si="45"/>
        <v>0</v>
      </c>
      <c r="S192" s="484">
        <f t="shared" si="45"/>
        <v>0</v>
      </c>
      <c r="T192" s="484">
        <f t="shared" si="45"/>
        <v>0</v>
      </c>
      <c r="U192" s="484">
        <f t="shared" si="45"/>
        <v>0</v>
      </c>
      <c r="V192" s="484">
        <f t="shared" si="45"/>
        <v>7</v>
      </c>
      <c r="W192" s="485">
        <f t="shared" si="45"/>
        <v>254494.07078354683</v>
      </c>
      <c r="AA192" s="68"/>
      <c r="AB192" s="68"/>
    </row>
    <row r="193" spans="1:28" hidden="1">
      <c r="A193" s="703" t="s">
        <v>13</v>
      </c>
      <c r="B193" s="13"/>
      <c r="C193" s="13"/>
      <c r="D193" s="13"/>
      <c r="E193" s="13"/>
      <c r="F193" s="13"/>
      <c r="G193" s="13"/>
      <c r="H193" s="13"/>
      <c r="I193" s="13"/>
      <c r="J193" s="13"/>
      <c r="K193" s="13">
        <f t="shared" ref="K193:K198" si="46">SUM(B193:J193)</f>
        <v>0</v>
      </c>
      <c r="L193" s="472"/>
      <c r="M193" s="13"/>
      <c r="N193" s="13"/>
      <c r="O193" s="13"/>
      <c r="P193" s="13"/>
      <c r="Q193" s="13"/>
      <c r="R193" s="13"/>
      <c r="S193" s="13"/>
      <c r="T193" s="13"/>
      <c r="U193" s="13"/>
      <c r="V193" s="13">
        <f t="shared" ref="V193:V198" si="47">SUM(M193:U193)</f>
        <v>0</v>
      </c>
      <c r="W193" s="472"/>
      <c r="AA193" s="68"/>
      <c r="AB193" s="68"/>
    </row>
    <row r="194" spans="1:28" hidden="1">
      <c r="A194" s="703" t="s">
        <v>6978</v>
      </c>
      <c r="B194" s="13"/>
      <c r="C194" s="13"/>
      <c r="D194" s="13"/>
      <c r="E194" s="13"/>
      <c r="F194" s="13"/>
      <c r="G194" s="13"/>
      <c r="H194" s="13"/>
      <c r="I194" s="13"/>
      <c r="J194" s="13"/>
      <c r="K194" s="13">
        <f t="shared" si="46"/>
        <v>0</v>
      </c>
      <c r="L194" s="472"/>
      <c r="M194" s="13"/>
      <c r="N194" s="13"/>
      <c r="O194" s="13"/>
      <c r="P194" s="13"/>
      <c r="Q194" s="13"/>
      <c r="R194" s="13"/>
      <c r="S194" s="13"/>
      <c r="T194" s="13"/>
      <c r="U194" s="13"/>
      <c r="V194" s="13">
        <f t="shared" si="47"/>
        <v>0</v>
      </c>
      <c r="W194" s="472"/>
      <c r="AA194" s="68"/>
      <c r="AB194" s="68"/>
    </row>
    <row r="195" spans="1:28" hidden="1">
      <c r="A195" s="703" t="s">
        <v>6977</v>
      </c>
      <c r="B195" s="13"/>
      <c r="C195" s="13"/>
      <c r="D195" s="13"/>
      <c r="E195" s="13"/>
      <c r="F195" s="13"/>
      <c r="G195" s="13"/>
      <c r="H195" s="13"/>
      <c r="I195" s="13"/>
      <c r="J195" s="13"/>
      <c r="K195" s="13">
        <f t="shared" si="46"/>
        <v>0</v>
      </c>
      <c r="L195" s="472"/>
      <c r="M195" s="13"/>
      <c r="N195" s="13"/>
      <c r="O195" s="13"/>
      <c r="P195" s="13"/>
      <c r="Q195" s="13"/>
      <c r="R195" s="13"/>
      <c r="S195" s="13"/>
      <c r="T195" s="13"/>
      <c r="U195" s="13"/>
      <c r="V195" s="13">
        <f t="shared" si="47"/>
        <v>0</v>
      </c>
      <c r="W195" s="472"/>
      <c r="AA195" s="68"/>
      <c r="AB195" s="68"/>
    </row>
    <row r="196" spans="1:28">
      <c r="A196" s="703" t="s">
        <v>6976</v>
      </c>
      <c r="B196" s="13">
        <v>2</v>
      </c>
      <c r="C196" s="13"/>
      <c r="D196" s="13"/>
      <c r="E196" s="13"/>
      <c r="F196" s="13"/>
      <c r="G196" s="13"/>
      <c r="H196" s="13"/>
      <c r="I196" s="13"/>
      <c r="J196" s="13"/>
      <c r="K196" s="13">
        <f t="shared" si="46"/>
        <v>2</v>
      </c>
      <c r="L196" s="472">
        <v>72956.020223870524</v>
      </c>
      <c r="M196" s="13">
        <v>2</v>
      </c>
      <c r="N196" s="13"/>
      <c r="O196" s="13"/>
      <c r="P196" s="13"/>
      <c r="Q196" s="13"/>
      <c r="R196" s="13"/>
      <c r="S196" s="13"/>
      <c r="T196" s="13"/>
      <c r="U196" s="13"/>
      <c r="V196" s="13">
        <f t="shared" si="47"/>
        <v>2</v>
      </c>
      <c r="W196" s="472">
        <v>72956.020223870524</v>
      </c>
      <c r="AA196" s="68"/>
      <c r="AB196" s="68"/>
    </row>
    <row r="197" spans="1:28">
      <c r="A197" s="703" t="s">
        <v>14</v>
      </c>
      <c r="B197" s="13">
        <v>4</v>
      </c>
      <c r="C197" s="13"/>
      <c r="D197" s="13"/>
      <c r="E197" s="13"/>
      <c r="F197" s="13"/>
      <c r="G197" s="13"/>
      <c r="H197" s="13"/>
      <c r="I197" s="13"/>
      <c r="J197" s="13"/>
      <c r="K197" s="13">
        <f t="shared" si="46"/>
        <v>4</v>
      </c>
      <c r="L197" s="472">
        <v>145768.04044774105</v>
      </c>
      <c r="M197" s="13">
        <v>4</v>
      </c>
      <c r="N197" s="13"/>
      <c r="O197" s="13"/>
      <c r="P197" s="13"/>
      <c r="Q197" s="13"/>
      <c r="R197" s="13"/>
      <c r="S197" s="13"/>
      <c r="T197" s="13"/>
      <c r="U197" s="13"/>
      <c r="V197" s="13">
        <f t="shared" si="47"/>
        <v>4</v>
      </c>
      <c r="W197" s="472">
        <v>145768.04044774105</v>
      </c>
      <c r="AA197" s="68"/>
      <c r="AB197" s="68"/>
    </row>
    <row r="198" spans="1:28">
      <c r="A198" s="703" t="s">
        <v>6975</v>
      </c>
      <c r="B198" s="13">
        <v>1</v>
      </c>
      <c r="C198" s="13"/>
      <c r="D198" s="13"/>
      <c r="E198" s="13"/>
      <c r="F198" s="13"/>
      <c r="G198" s="13"/>
      <c r="H198" s="13"/>
      <c r="I198" s="13"/>
      <c r="J198" s="13"/>
      <c r="K198" s="13">
        <f t="shared" si="46"/>
        <v>1</v>
      </c>
      <c r="L198" s="472">
        <v>35770.010111935262</v>
      </c>
      <c r="M198" s="13">
        <v>1</v>
      </c>
      <c r="N198" s="13"/>
      <c r="O198" s="13"/>
      <c r="P198" s="13"/>
      <c r="Q198" s="13"/>
      <c r="R198" s="13"/>
      <c r="S198" s="13"/>
      <c r="T198" s="13"/>
      <c r="U198" s="13"/>
      <c r="V198" s="13">
        <f t="shared" si="47"/>
        <v>1</v>
      </c>
      <c r="W198" s="472">
        <v>35770.010111935262</v>
      </c>
      <c r="AA198" s="68"/>
      <c r="AB198" s="68"/>
    </row>
    <row r="199" spans="1:28">
      <c r="A199" s="705" t="s">
        <v>5</v>
      </c>
      <c r="B199" s="484">
        <f t="shared" ref="B199:W199" si="48">SUM(B200:B205)</f>
        <v>220</v>
      </c>
      <c r="C199" s="484">
        <f t="shared" si="48"/>
        <v>0</v>
      </c>
      <c r="D199" s="484">
        <f t="shared" si="48"/>
        <v>0</v>
      </c>
      <c r="E199" s="484">
        <f t="shared" si="48"/>
        <v>0</v>
      </c>
      <c r="F199" s="484">
        <f t="shared" si="48"/>
        <v>0</v>
      </c>
      <c r="G199" s="484">
        <f t="shared" si="48"/>
        <v>0</v>
      </c>
      <c r="H199" s="484">
        <f t="shared" si="48"/>
        <v>0</v>
      </c>
      <c r="I199" s="484">
        <f t="shared" si="48"/>
        <v>0</v>
      </c>
      <c r="J199" s="484">
        <f t="shared" si="48"/>
        <v>0</v>
      </c>
      <c r="K199" s="484">
        <f t="shared" si="48"/>
        <v>220</v>
      </c>
      <c r="L199" s="485">
        <f t="shared" si="48"/>
        <v>7342614.2246257588</v>
      </c>
      <c r="M199" s="484">
        <f t="shared" si="48"/>
        <v>220</v>
      </c>
      <c r="N199" s="484">
        <f t="shared" si="48"/>
        <v>0</v>
      </c>
      <c r="O199" s="484">
        <f t="shared" si="48"/>
        <v>0</v>
      </c>
      <c r="P199" s="484">
        <f t="shared" si="48"/>
        <v>0</v>
      </c>
      <c r="Q199" s="484">
        <f t="shared" si="48"/>
        <v>0</v>
      </c>
      <c r="R199" s="484">
        <f t="shared" si="48"/>
        <v>0</v>
      </c>
      <c r="S199" s="484">
        <f t="shared" si="48"/>
        <v>0</v>
      </c>
      <c r="T199" s="484">
        <f t="shared" si="48"/>
        <v>0</v>
      </c>
      <c r="U199" s="484">
        <f t="shared" si="48"/>
        <v>0</v>
      </c>
      <c r="V199" s="484">
        <f t="shared" si="48"/>
        <v>220</v>
      </c>
      <c r="W199" s="485">
        <f t="shared" si="48"/>
        <v>7342614.2246257588</v>
      </c>
      <c r="AA199" s="68"/>
      <c r="AB199" s="68"/>
    </row>
    <row r="200" spans="1:28">
      <c r="A200" s="703" t="s">
        <v>6974</v>
      </c>
      <c r="B200" s="13">
        <v>50</v>
      </c>
      <c r="C200" s="13"/>
      <c r="D200" s="13"/>
      <c r="E200" s="13"/>
      <c r="F200" s="13"/>
      <c r="G200" s="13"/>
      <c r="H200" s="13"/>
      <c r="I200" s="13"/>
      <c r="J200" s="13"/>
      <c r="K200" s="13">
        <f t="shared" ref="K200:K205" si="49">SUM(B200:J200)</f>
        <v>50</v>
      </c>
      <c r="L200" s="472">
        <v>1681100.5055967632</v>
      </c>
      <c r="M200" s="13">
        <v>50</v>
      </c>
      <c r="N200" s="13"/>
      <c r="O200" s="13"/>
      <c r="P200" s="13"/>
      <c r="Q200" s="13"/>
      <c r="R200" s="13"/>
      <c r="S200" s="13"/>
      <c r="T200" s="13"/>
      <c r="U200" s="13"/>
      <c r="V200" s="13">
        <f t="shared" ref="V200:V205" si="50">SUM(M200:U200)</f>
        <v>50</v>
      </c>
      <c r="W200" s="472">
        <v>1681100.5055967632</v>
      </c>
      <c r="AA200" s="68"/>
      <c r="AB200" s="68"/>
    </row>
    <row r="201" spans="1:28">
      <c r="A201" s="703" t="s">
        <v>6973</v>
      </c>
      <c r="B201" s="13">
        <v>127</v>
      </c>
      <c r="C201" s="13"/>
      <c r="D201" s="13"/>
      <c r="E201" s="13"/>
      <c r="F201" s="13"/>
      <c r="G201" s="13"/>
      <c r="H201" s="13"/>
      <c r="I201" s="13"/>
      <c r="J201" s="13"/>
      <c r="K201" s="13">
        <f t="shared" si="49"/>
        <v>127</v>
      </c>
      <c r="L201" s="472">
        <v>4242563.284215779</v>
      </c>
      <c r="M201" s="13">
        <v>127</v>
      </c>
      <c r="N201" s="13"/>
      <c r="O201" s="13"/>
      <c r="P201" s="13"/>
      <c r="Q201" s="13"/>
      <c r="R201" s="13"/>
      <c r="S201" s="13"/>
      <c r="T201" s="13"/>
      <c r="U201" s="13"/>
      <c r="V201" s="13">
        <f t="shared" si="50"/>
        <v>127</v>
      </c>
      <c r="W201" s="472">
        <v>4242563.284215779</v>
      </c>
      <c r="AA201" s="68"/>
      <c r="AB201" s="68"/>
    </row>
    <row r="202" spans="1:28">
      <c r="A202" s="703" t="s">
        <v>6972</v>
      </c>
      <c r="B202" s="13">
        <v>21</v>
      </c>
      <c r="C202" s="13"/>
      <c r="D202" s="13"/>
      <c r="E202" s="13"/>
      <c r="F202" s="13"/>
      <c r="G202" s="13"/>
      <c r="H202" s="13"/>
      <c r="I202" s="13"/>
      <c r="J202" s="13"/>
      <c r="K202" s="13">
        <f t="shared" si="49"/>
        <v>21</v>
      </c>
      <c r="L202" s="472">
        <v>696990.21235064056</v>
      </c>
      <c r="M202" s="13">
        <v>21</v>
      </c>
      <c r="N202" s="13"/>
      <c r="O202" s="13"/>
      <c r="P202" s="13"/>
      <c r="Q202" s="13"/>
      <c r="R202" s="13"/>
      <c r="S202" s="13"/>
      <c r="T202" s="13"/>
      <c r="U202" s="13"/>
      <c r="V202" s="13">
        <f t="shared" si="50"/>
        <v>21</v>
      </c>
      <c r="W202" s="472">
        <v>696990.21235064056</v>
      </c>
      <c r="AA202" s="68"/>
      <c r="AB202" s="68"/>
    </row>
    <row r="203" spans="1:28">
      <c r="A203" s="703" t="s">
        <v>6971</v>
      </c>
      <c r="B203" s="13">
        <v>9</v>
      </c>
      <c r="C203" s="13"/>
      <c r="D203" s="13"/>
      <c r="E203" s="13"/>
      <c r="F203" s="13"/>
      <c r="G203" s="13"/>
      <c r="H203" s="13"/>
      <c r="I203" s="13"/>
      <c r="J203" s="13"/>
      <c r="K203" s="13">
        <f t="shared" si="49"/>
        <v>9</v>
      </c>
      <c r="L203" s="472">
        <v>296766.09100741742</v>
      </c>
      <c r="M203" s="13">
        <v>9</v>
      </c>
      <c r="N203" s="13"/>
      <c r="O203" s="13"/>
      <c r="P203" s="13"/>
      <c r="Q203" s="13"/>
      <c r="R203" s="13"/>
      <c r="S203" s="13"/>
      <c r="T203" s="13"/>
      <c r="U203" s="13"/>
      <c r="V203" s="13">
        <f t="shared" si="50"/>
        <v>9</v>
      </c>
      <c r="W203" s="472">
        <v>296766.09100741742</v>
      </c>
      <c r="AA203" s="68"/>
      <c r="AB203" s="68"/>
    </row>
    <row r="204" spans="1:28">
      <c r="A204" s="703" t="s">
        <v>16</v>
      </c>
      <c r="B204" s="13">
        <v>1</v>
      </c>
      <c r="C204" s="13"/>
      <c r="D204" s="13"/>
      <c r="E204" s="13"/>
      <c r="F204" s="13"/>
      <c r="G204" s="13"/>
      <c r="H204" s="13"/>
      <c r="I204" s="13"/>
      <c r="J204" s="13"/>
      <c r="K204" s="13">
        <f t="shared" si="49"/>
        <v>1</v>
      </c>
      <c r="L204" s="472">
        <v>32818.010111935262</v>
      </c>
      <c r="M204" s="13">
        <v>1</v>
      </c>
      <c r="N204" s="13"/>
      <c r="O204" s="13"/>
      <c r="P204" s="13"/>
      <c r="Q204" s="13"/>
      <c r="R204" s="13"/>
      <c r="S204" s="13"/>
      <c r="T204" s="13"/>
      <c r="U204" s="13"/>
      <c r="V204" s="13">
        <f t="shared" si="50"/>
        <v>1</v>
      </c>
      <c r="W204" s="472">
        <v>32818.010111935262</v>
      </c>
      <c r="AA204" s="68"/>
      <c r="AB204" s="68"/>
    </row>
    <row r="205" spans="1:28">
      <c r="A205" s="703" t="s">
        <v>6970</v>
      </c>
      <c r="B205" s="13">
        <v>12</v>
      </c>
      <c r="C205" s="13"/>
      <c r="D205" s="13"/>
      <c r="E205" s="13"/>
      <c r="F205" s="13"/>
      <c r="G205" s="13"/>
      <c r="H205" s="13"/>
      <c r="I205" s="13"/>
      <c r="J205" s="13"/>
      <c r="K205" s="13">
        <f t="shared" si="49"/>
        <v>12</v>
      </c>
      <c r="L205" s="472">
        <v>392376.1213432232</v>
      </c>
      <c r="M205" s="13">
        <v>12</v>
      </c>
      <c r="N205" s="13"/>
      <c r="O205" s="13"/>
      <c r="P205" s="13"/>
      <c r="Q205" s="13"/>
      <c r="R205" s="13"/>
      <c r="S205" s="13"/>
      <c r="T205" s="13"/>
      <c r="U205" s="13"/>
      <c r="V205" s="13">
        <f t="shared" si="50"/>
        <v>12</v>
      </c>
      <c r="W205" s="472">
        <v>392376.1213432232</v>
      </c>
      <c r="AA205" s="68"/>
      <c r="AB205" s="68"/>
    </row>
    <row r="206" spans="1:28">
      <c r="A206" s="705" t="s">
        <v>6</v>
      </c>
      <c r="B206" s="484">
        <f t="shared" ref="B206:W206" si="51">SUM(B207:B212)</f>
        <v>466</v>
      </c>
      <c r="C206" s="484">
        <f t="shared" si="51"/>
        <v>0</v>
      </c>
      <c r="D206" s="484">
        <f t="shared" si="51"/>
        <v>0</v>
      </c>
      <c r="E206" s="484">
        <f t="shared" si="51"/>
        <v>0</v>
      </c>
      <c r="F206" s="484">
        <f t="shared" si="51"/>
        <v>0</v>
      </c>
      <c r="G206" s="484">
        <f t="shared" si="51"/>
        <v>0</v>
      </c>
      <c r="H206" s="484">
        <f t="shared" si="51"/>
        <v>0</v>
      </c>
      <c r="I206" s="484">
        <f t="shared" si="51"/>
        <v>0</v>
      </c>
      <c r="J206" s="484">
        <f t="shared" si="51"/>
        <v>0</v>
      </c>
      <c r="K206" s="484">
        <f t="shared" si="51"/>
        <v>466</v>
      </c>
      <c r="L206" s="485">
        <f t="shared" si="51"/>
        <v>15037992.312161831</v>
      </c>
      <c r="M206" s="484">
        <f t="shared" si="51"/>
        <v>466</v>
      </c>
      <c r="N206" s="484">
        <f t="shared" si="51"/>
        <v>0</v>
      </c>
      <c r="O206" s="484">
        <f t="shared" si="51"/>
        <v>0</v>
      </c>
      <c r="P206" s="484">
        <f t="shared" si="51"/>
        <v>0</v>
      </c>
      <c r="Q206" s="484">
        <f t="shared" si="51"/>
        <v>0</v>
      </c>
      <c r="R206" s="484">
        <f t="shared" si="51"/>
        <v>0</v>
      </c>
      <c r="S206" s="484">
        <f t="shared" si="51"/>
        <v>0</v>
      </c>
      <c r="T206" s="484">
        <f t="shared" si="51"/>
        <v>0</v>
      </c>
      <c r="U206" s="484">
        <f t="shared" si="51"/>
        <v>0</v>
      </c>
      <c r="V206" s="484">
        <f t="shared" si="51"/>
        <v>466</v>
      </c>
      <c r="W206" s="485">
        <f t="shared" si="51"/>
        <v>15297536.712161833</v>
      </c>
      <c r="AA206" s="68"/>
      <c r="AB206" s="68"/>
    </row>
    <row r="207" spans="1:28">
      <c r="A207" s="703" t="s">
        <v>17</v>
      </c>
      <c r="B207" s="13">
        <v>265</v>
      </c>
      <c r="C207" s="13"/>
      <c r="D207" s="13"/>
      <c r="E207" s="13"/>
      <c r="F207" s="13"/>
      <c r="G207" s="13"/>
      <c r="H207" s="13"/>
      <c r="I207" s="13"/>
      <c r="J207" s="13"/>
      <c r="K207" s="13">
        <f t="shared" ref="K207:K212" si="52">SUM(B207:J207)</f>
        <v>265</v>
      </c>
      <c r="L207" s="472">
        <v>8462668.2796628438</v>
      </c>
      <c r="M207" s="13">
        <v>265</v>
      </c>
      <c r="N207" s="13"/>
      <c r="O207" s="13"/>
      <c r="P207" s="13"/>
      <c r="Q207" s="13"/>
      <c r="R207" s="13"/>
      <c r="S207" s="13"/>
      <c r="T207" s="13"/>
      <c r="U207" s="13"/>
      <c r="V207" s="13">
        <f t="shared" ref="V207:V212" si="53">SUM(M207:U207)</f>
        <v>265</v>
      </c>
      <c r="W207" s="472">
        <v>8722212.679662846</v>
      </c>
      <c r="AA207" s="68"/>
      <c r="AB207" s="68"/>
    </row>
    <row r="208" spans="1:28">
      <c r="A208" s="703" t="s">
        <v>6969</v>
      </c>
      <c r="B208" s="13">
        <v>101</v>
      </c>
      <c r="C208" s="13"/>
      <c r="D208" s="13"/>
      <c r="E208" s="13"/>
      <c r="F208" s="13"/>
      <c r="G208" s="13"/>
      <c r="H208" s="13"/>
      <c r="I208" s="13"/>
      <c r="J208" s="13"/>
      <c r="K208" s="13">
        <f t="shared" si="52"/>
        <v>101</v>
      </c>
      <c r="L208" s="472">
        <v>3313407.0213054623</v>
      </c>
      <c r="M208" s="13">
        <v>101</v>
      </c>
      <c r="N208" s="13"/>
      <c r="O208" s="13"/>
      <c r="P208" s="13"/>
      <c r="Q208" s="13"/>
      <c r="R208" s="13"/>
      <c r="S208" s="13"/>
      <c r="T208" s="13"/>
      <c r="U208" s="13"/>
      <c r="V208" s="13">
        <f t="shared" si="53"/>
        <v>101</v>
      </c>
      <c r="W208" s="472">
        <v>3313407.0213054623</v>
      </c>
      <c r="AA208" s="68"/>
      <c r="AB208" s="68"/>
    </row>
    <row r="209" spans="1:28">
      <c r="A209" s="703" t="s">
        <v>6968</v>
      </c>
      <c r="B209" s="13">
        <v>69</v>
      </c>
      <c r="C209" s="13"/>
      <c r="D209" s="13"/>
      <c r="E209" s="13"/>
      <c r="F209" s="13"/>
      <c r="G209" s="13"/>
      <c r="H209" s="13"/>
      <c r="I209" s="13"/>
      <c r="J209" s="13"/>
      <c r="K209" s="13">
        <f t="shared" si="52"/>
        <v>69</v>
      </c>
      <c r="L209" s="472">
        <v>2256162.697723533</v>
      </c>
      <c r="M209" s="13">
        <v>69</v>
      </c>
      <c r="N209" s="13"/>
      <c r="O209" s="13"/>
      <c r="P209" s="13"/>
      <c r="Q209" s="13"/>
      <c r="R209" s="13"/>
      <c r="S209" s="13"/>
      <c r="T209" s="13"/>
      <c r="U209" s="13"/>
      <c r="V209" s="13">
        <f t="shared" si="53"/>
        <v>69</v>
      </c>
      <c r="W209" s="472">
        <v>2256162.697723533</v>
      </c>
      <c r="AA209" s="68"/>
      <c r="AB209" s="68"/>
    </row>
    <row r="210" spans="1:28">
      <c r="A210" s="703" t="s">
        <v>6967</v>
      </c>
      <c r="B210" s="13">
        <v>9</v>
      </c>
      <c r="C210" s="13"/>
      <c r="D210" s="13"/>
      <c r="E210" s="13"/>
      <c r="F210" s="13"/>
      <c r="G210" s="13"/>
      <c r="H210" s="13"/>
      <c r="I210" s="13"/>
      <c r="J210" s="13"/>
      <c r="K210" s="13">
        <f t="shared" si="52"/>
        <v>9</v>
      </c>
      <c r="L210" s="472">
        <v>293310.09100741742</v>
      </c>
      <c r="M210" s="13">
        <v>9</v>
      </c>
      <c r="N210" s="13"/>
      <c r="O210" s="13"/>
      <c r="P210" s="13"/>
      <c r="Q210" s="13"/>
      <c r="R210" s="13"/>
      <c r="S210" s="13"/>
      <c r="T210" s="13"/>
      <c r="U210" s="13"/>
      <c r="V210" s="13">
        <f t="shared" si="53"/>
        <v>9</v>
      </c>
      <c r="W210" s="472">
        <v>293310.09100741742</v>
      </c>
      <c r="AA210" s="68"/>
      <c r="AB210" s="68"/>
    </row>
    <row r="211" spans="1:28">
      <c r="A211" s="703" t="s">
        <v>18</v>
      </c>
      <c r="B211" s="13">
        <v>2</v>
      </c>
      <c r="C211" s="13"/>
      <c r="D211" s="13"/>
      <c r="E211" s="13"/>
      <c r="F211" s="13"/>
      <c r="G211" s="13"/>
      <c r="H211" s="13"/>
      <c r="I211" s="13"/>
      <c r="J211" s="13"/>
      <c r="K211" s="13">
        <f t="shared" si="52"/>
        <v>2</v>
      </c>
      <c r="L211" s="472">
        <v>64964.020223870531</v>
      </c>
      <c r="M211" s="13">
        <v>2</v>
      </c>
      <c r="N211" s="13"/>
      <c r="O211" s="13"/>
      <c r="P211" s="13"/>
      <c r="Q211" s="13"/>
      <c r="R211" s="13"/>
      <c r="S211" s="13"/>
      <c r="T211" s="13"/>
      <c r="U211" s="13"/>
      <c r="V211" s="13">
        <f t="shared" si="53"/>
        <v>2</v>
      </c>
      <c r="W211" s="472">
        <v>64964.020223870531</v>
      </c>
      <c r="AA211" s="68"/>
      <c r="AB211" s="68"/>
    </row>
    <row r="212" spans="1:28">
      <c r="A212" s="703" t="s">
        <v>6966</v>
      </c>
      <c r="B212" s="13">
        <v>20</v>
      </c>
      <c r="C212" s="13"/>
      <c r="D212" s="13"/>
      <c r="E212" s="13"/>
      <c r="F212" s="13"/>
      <c r="G212" s="13"/>
      <c r="H212" s="13"/>
      <c r="I212" s="13"/>
      <c r="J212" s="13"/>
      <c r="K212" s="13">
        <f t="shared" si="52"/>
        <v>20</v>
      </c>
      <c r="L212" s="472">
        <v>647480.20223870536</v>
      </c>
      <c r="M212" s="13">
        <v>20</v>
      </c>
      <c r="N212" s="13"/>
      <c r="O212" s="13"/>
      <c r="P212" s="13"/>
      <c r="Q212" s="13"/>
      <c r="R212" s="13"/>
      <c r="S212" s="13"/>
      <c r="T212" s="13"/>
      <c r="U212" s="13"/>
      <c r="V212" s="13">
        <f t="shared" si="53"/>
        <v>20</v>
      </c>
      <c r="W212" s="472">
        <v>647480.20223870536</v>
      </c>
      <c r="AA212" s="68"/>
      <c r="AB212" s="68"/>
    </row>
    <row r="213" spans="1:28">
      <c r="A213" s="704" t="s">
        <v>6965</v>
      </c>
      <c r="B213" s="482"/>
      <c r="C213" s="482"/>
      <c r="D213" s="482"/>
      <c r="E213" s="482"/>
      <c r="F213" s="482"/>
      <c r="G213" s="482"/>
      <c r="H213" s="482"/>
      <c r="I213" s="482"/>
      <c r="J213" s="482">
        <f>SUM(J214:J218)</f>
        <v>89</v>
      </c>
      <c r="K213" s="482">
        <f>SUM(K214:K218)</f>
        <v>89</v>
      </c>
      <c r="L213" s="474">
        <f>SUM(L214:L218)</f>
        <v>35064324.054008998</v>
      </c>
      <c r="M213" s="482">
        <f t="shared" ref="M213:T213" si="54">SUM(M214:M215)</f>
        <v>0</v>
      </c>
      <c r="N213" s="482">
        <f t="shared" si="54"/>
        <v>0</v>
      </c>
      <c r="O213" s="482">
        <f t="shared" si="54"/>
        <v>0</v>
      </c>
      <c r="P213" s="482">
        <f t="shared" si="54"/>
        <v>0</v>
      </c>
      <c r="Q213" s="482">
        <f t="shared" si="54"/>
        <v>0</v>
      </c>
      <c r="R213" s="482">
        <f t="shared" si="54"/>
        <v>0</v>
      </c>
      <c r="S213" s="482">
        <f t="shared" si="54"/>
        <v>0</v>
      </c>
      <c r="T213" s="482">
        <f t="shared" si="54"/>
        <v>0</v>
      </c>
      <c r="U213" s="482">
        <f>SUM(U214:U218)</f>
        <v>89</v>
      </c>
      <c r="V213" s="482">
        <f>SUM(V214:V218)</f>
        <v>89</v>
      </c>
      <c r="W213" s="474">
        <f>SUM(W214:W218)</f>
        <v>22867466</v>
      </c>
      <c r="AA213" s="68"/>
      <c r="AB213" s="68"/>
    </row>
    <row r="214" spans="1:28">
      <c r="A214" s="703" t="s">
        <v>6964</v>
      </c>
      <c r="B214" s="13"/>
      <c r="C214" s="13"/>
      <c r="D214" s="13"/>
      <c r="E214" s="13"/>
      <c r="F214" s="13"/>
      <c r="G214" s="13"/>
      <c r="H214" s="13"/>
      <c r="I214" s="13"/>
      <c r="J214" s="13">
        <v>46</v>
      </c>
      <c r="K214" s="13">
        <f>SUM(B214:J214)</f>
        <v>46</v>
      </c>
      <c r="L214" s="472">
        <v>16894493.725719798</v>
      </c>
      <c r="M214" s="13"/>
      <c r="N214" s="13"/>
      <c r="O214" s="13"/>
      <c r="P214" s="13"/>
      <c r="Q214" s="13"/>
      <c r="R214" s="13"/>
      <c r="S214" s="13"/>
      <c r="T214" s="13"/>
      <c r="U214" s="13">
        <v>46</v>
      </c>
      <c r="V214" s="13">
        <f>SUM(M214:U214)</f>
        <v>46</v>
      </c>
      <c r="W214" s="472">
        <v>17022117</v>
      </c>
      <c r="AA214" s="68"/>
      <c r="AB214" s="68"/>
    </row>
    <row r="215" spans="1:28">
      <c r="A215" s="703" t="s">
        <v>6963</v>
      </c>
      <c r="B215" s="13"/>
      <c r="C215" s="13"/>
      <c r="D215" s="13"/>
      <c r="E215" s="13"/>
      <c r="F215" s="13"/>
      <c r="G215" s="13"/>
      <c r="H215" s="13"/>
      <c r="I215" s="13"/>
      <c r="J215" s="13">
        <f>25+18</f>
        <v>43</v>
      </c>
      <c r="K215" s="13">
        <f>SUM(B215:J215)</f>
        <v>43</v>
      </c>
      <c r="L215" s="472">
        <v>18169830.3282892</v>
      </c>
      <c r="M215" s="13"/>
      <c r="N215" s="13"/>
      <c r="O215" s="13"/>
      <c r="P215" s="13"/>
      <c r="Q215" s="13"/>
      <c r="R215" s="13"/>
      <c r="S215" s="13"/>
      <c r="T215" s="13"/>
      <c r="U215" s="13">
        <v>43</v>
      </c>
      <c r="V215" s="13">
        <f>SUM(M215:U215)</f>
        <v>43</v>
      </c>
      <c r="W215" s="472">
        <v>5845349</v>
      </c>
      <c r="AA215" s="68"/>
      <c r="AB215" s="68"/>
    </row>
    <row r="216" spans="1:28" hidden="1">
      <c r="A216" s="703" t="s">
        <v>6962</v>
      </c>
      <c r="B216" s="13"/>
      <c r="C216" s="13"/>
      <c r="D216" s="13"/>
      <c r="E216" s="13"/>
      <c r="F216" s="13"/>
      <c r="G216" s="13"/>
      <c r="H216" s="13"/>
      <c r="I216" s="13"/>
      <c r="J216" s="13"/>
      <c r="K216" s="13">
        <f>SUM(B216:J216)</f>
        <v>0</v>
      </c>
      <c r="L216" s="472"/>
      <c r="M216" s="13"/>
      <c r="N216" s="13"/>
      <c r="O216" s="13"/>
      <c r="P216" s="13"/>
      <c r="Q216" s="13"/>
      <c r="R216" s="13"/>
      <c r="S216" s="13"/>
      <c r="T216" s="13"/>
      <c r="U216" s="13"/>
      <c r="V216" s="13">
        <f>SUM(M216:U216)</f>
        <v>0</v>
      </c>
      <c r="W216" s="472"/>
      <c r="AA216" s="68"/>
      <c r="AB216" s="68"/>
    </row>
    <row r="217" spans="1:28" hidden="1">
      <c r="A217" s="703" t="s">
        <v>6961</v>
      </c>
      <c r="B217" s="13"/>
      <c r="C217" s="13"/>
      <c r="D217" s="13"/>
      <c r="E217" s="13"/>
      <c r="F217" s="13"/>
      <c r="G217" s="13"/>
      <c r="H217" s="13"/>
      <c r="I217" s="13"/>
      <c r="J217" s="13"/>
      <c r="K217" s="13">
        <f>SUM(B217:J217)</f>
        <v>0</v>
      </c>
      <c r="L217" s="472"/>
      <c r="M217" s="13"/>
      <c r="N217" s="13"/>
      <c r="O217" s="13"/>
      <c r="P217" s="13"/>
      <c r="Q217" s="13"/>
      <c r="R217" s="13"/>
      <c r="S217" s="13"/>
      <c r="T217" s="13"/>
      <c r="U217" s="13"/>
      <c r="V217" s="13">
        <f>SUM(M217:U217)</f>
        <v>0</v>
      </c>
      <c r="W217" s="472"/>
      <c r="AA217" s="68"/>
      <c r="AB217" s="68"/>
    </row>
    <row r="218" spans="1:28" hidden="1">
      <c r="A218" s="703" t="s">
        <v>6960</v>
      </c>
      <c r="B218" s="13"/>
      <c r="C218" s="13"/>
      <c r="D218" s="13"/>
      <c r="E218" s="13"/>
      <c r="F218" s="13"/>
      <c r="G218" s="13"/>
      <c r="H218" s="13"/>
      <c r="I218" s="13"/>
      <c r="J218" s="13"/>
      <c r="K218" s="13">
        <f>SUM(B218:J218)</f>
        <v>0</v>
      </c>
      <c r="L218" s="16"/>
      <c r="M218" s="13"/>
      <c r="N218" s="13"/>
      <c r="O218" s="13"/>
      <c r="P218" s="13"/>
      <c r="Q218" s="13"/>
      <c r="R218" s="13"/>
      <c r="S218" s="13"/>
      <c r="T218" s="13"/>
      <c r="U218" s="13"/>
      <c r="V218" s="13">
        <f>SUM(M218:U218)</f>
        <v>0</v>
      </c>
      <c r="W218" s="472"/>
      <c r="AA218" s="68"/>
      <c r="AB218" s="68"/>
    </row>
    <row r="219" spans="1:28">
      <c r="A219" s="704" t="s">
        <v>56</v>
      </c>
      <c r="B219" s="482"/>
      <c r="C219" s="482"/>
      <c r="D219" s="482"/>
      <c r="E219" s="482"/>
      <c r="F219" s="482"/>
      <c r="G219" s="482"/>
      <c r="H219" s="482"/>
      <c r="I219" s="482"/>
      <c r="J219" s="475">
        <f>J220+J229+J238+J253+J258+J262+J266+J270+J274</f>
        <v>25919</v>
      </c>
      <c r="K219" s="475">
        <f>K220+K229+K238+K253+K258+K262+K266+K270+K274</f>
        <v>25919</v>
      </c>
      <c r="L219" s="474">
        <f t="shared" ref="L219:T219" si="55">L220+L229+L238+L253+L258+L262+L266+L270+L274+L278+L283+L287+L290</f>
        <v>952833291.64052749</v>
      </c>
      <c r="M219" s="482">
        <f t="shared" si="55"/>
        <v>0</v>
      </c>
      <c r="N219" s="482">
        <f t="shared" si="55"/>
        <v>0</v>
      </c>
      <c r="O219" s="482">
        <f t="shared" si="55"/>
        <v>0</v>
      </c>
      <c r="P219" s="482">
        <f t="shared" si="55"/>
        <v>0</v>
      </c>
      <c r="Q219" s="482">
        <f t="shared" si="55"/>
        <v>0</v>
      </c>
      <c r="R219" s="482">
        <f t="shared" si="55"/>
        <v>0</v>
      </c>
      <c r="S219" s="482">
        <f t="shared" si="55"/>
        <v>0</v>
      </c>
      <c r="T219" s="482">
        <f t="shared" si="55"/>
        <v>0</v>
      </c>
      <c r="U219" s="480">
        <f>U220+U229+U238+U253+U258+U262+U266+U270+U274</f>
        <v>26283</v>
      </c>
      <c r="V219" s="480">
        <f>V220+V229+V238+V253+V258+V262+V266+V270+V274</f>
        <v>26283</v>
      </c>
      <c r="W219" s="474">
        <f>W220+W229+W238+W253+W258+W262+W266+W270+W274+W278+W283+W287+W290</f>
        <v>962707155.00000012</v>
      </c>
      <c r="AA219" s="68"/>
      <c r="AB219" s="68"/>
    </row>
    <row r="220" spans="1:28">
      <c r="A220" s="705" t="s">
        <v>6959</v>
      </c>
      <c r="B220" s="484"/>
      <c r="C220" s="484"/>
      <c r="D220" s="484"/>
      <c r="E220" s="484"/>
      <c r="F220" s="484"/>
      <c r="G220" s="484"/>
      <c r="H220" s="484"/>
      <c r="I220" s="484"/>
      <c r="J220" s="491">
        <f t="shared" ref="J220:W220" si="56">SUM(J221:J228)</f>
        <v>2274</v>
      </c>
      <c r="K220" s="491">
        <f t="shared" si="56"/>
        <v>2274</v>
      </c>
      <c r="L220" s="485">
        <f t="shared" si="56"/>
        <v>134117812.33514172</v>
      </c>
      <c r="M220" s="484">
        <f t="shared" si="56"/>
        <v>0</v>
      </c>
      <c r="N220" s="484">
        <f t="shared" si="56"/>
        <v>0</v>
      </c>
      <c r="O220" s="484">
        <f t="shared" si="56"/>
        <v>0</v>
      </c>
      <c r="P220" s="484">
        <f t="shared" si="56"/>
        <v>0</v>
      </c>
      <c r="Q220" s="484">
        <f t="shared" si="56"/>
        <v>0</v>
      </c>
      <c r="R220" s="484">
        <f t="shared" si="56"/>
        <v>0</v>
      </c>
      <c r="S220" s="484">
        <f t="shared" si="56"/>
        <v>0</v>
      </c>
      <c r="T220" s="484">
        <f t="shared" si="56"/>
        <v>0</v>
      </c>
      <c r="U220" s="491">
        <f t="shared" si="56"/>
        <v>2334</v>
      </c>
      <c r="V220" s="491">
        <f t="shared" si="56"/>
        <v>2334</v>
      </c>
      <c r="W220" s="485">
        <f t="shared" si="56"/>
        <v>132631099.42577872</v>
      </c>
      <c r="AA220" s="68"/>
      <c r="AB220" s="68"/>
    </row>
    <row r="221" spans="1:28">
      <c r="A221" s="703" t="s">
        <v>6958</v>
      </c>
      <c r="B221" s="13"/>
      <c r="C221" s="13"/>
      <c r="D221" s="13"/>
      <c r="E221" s="13"/>
      <c r="F221" s="13"/>
      <c r="G221" s="13"/>
      <c r="H221" s="13"/>
      <c r="I221" s="13"/>
      <c r="J221" s="13">
        <v>11</v>
      </c>
      <c r="K221" s="13">
        <f t="shared" ref="K221:K228" si="57">SUM(B221:J221)</f>
        <v>11</v>
      </c>
      <c r="L221" s="472">
        <v>1331031.3666167804</v>
      </c>
      <c r="M221" s="13"/>
      <c r="N221" s="13"/>
      <c r="O221" s="13"/>
      <c r="P221" s="13"/>
      <c r="Q221" s="13"/>
      <c r="R221" s="13"/>
      <c r="S221" s="13"/>
      <c r="T221" s="13"/>
      <c r="U221" s="13">
        <v>11</v>
      </c>
      <c r="V221" s="13">
        <f t="shared" ref="V221:V228" si="58">SUM(M221:U221)</f>
        <v>11</v>
      </c>
      <c r="W221" s="472">
        <v>1331031.3666167804</v>
      </c>
      <c r="AA221" s="68"/>
      <c r="AB221" s="68"/>
    </row>
    <row r="222" spans="1:28">
      <c r="A222" s="703" t="s">
        <v>6957</v>
      </c>
      <c r="B222" s="13"/>
      <c r="C222" s="13"/>
      <c r="D222" s="13"/>
      <c r="E222" s="13"/>
      <c r="F222" s="13"/>
      <c r="G222" s="13"/>
      <c r="H222" s="13"/>
      <c r="I222" s="13"/>
      <c r="J222" s="13">
        <v>49</v>
      </c>
      <c r="K222" s="13">
        <f t="shared" si="57"/>
        <v>49</v>
      </c>
      <c r="L222" s="472">
        <v>5805071.7240202036</v>
      </c>
      <c r="M222" s="13"/>
      <c r="N222" s="13"/>
      <c r="O222" s="13"/>
      <c r="P222" s="13"/>
      <c r="Q222" s="13"/>
      <c r="R222" s="13"/>
      <c r="S222" s="13"/>
      <c r="T222" s="13"/>
      <c r="U222" s="13">
        <v>50</v>
      </c>
      <c r="V222" s="13">
        <f t="shared" si="58"/>
        <v>50</v>
      </c>
      <c r="W222" s="472">
        <v>5923542.5755308196</v>
      </c>
      <c r="AA222" s="68"/>
      <c r="AB222" s="68"/>
    </row>
    <row r="223" spans="1:28">
      <c r="A223" s="703" t="s">
        <v>6953</v>
      </c>
      <c r="B223" s="13"/>
      <c r="C223" s="13"/>
      <c r="D223" s="13"/>
      <c r="E223" s="13"/>
      <c r="F223" s="13"/>
      <c r="G223" s="13"/>
      <c r="H223" s="13"/>
      <c r="I223" s="13"/>
      <c r="J223" s="13">
        <v>217</v>
      </c>
      <c r="K223" s="13">
        <f t="shared" si="57"/>
        <v>217</v>
      </c>
      <c r="L223" s="472">
        <v>21927166.77780376</v>
      </c>
      <c r="M223" s="13"/>
      <c r="N223" s="13"/>
      <c r="O223" s="13"/>
      <c r="P223" s="13"/>
      <c r="Q223" s="13"/>
      <c r="R223" s="13"/>
      <c r="S223" s="13"/>
      <c r="T223" s="13"/>
      <c r="U223" s="13">
        <v>229</v>
      </c>
      <c r="V223" s="13">
        <f t="shared" si="58"/>
        <v>229</v>
      </c>
      <c r="W223" s="472">
        <v>23139728.995931156</v>
      </c>
      <c r="AA223" s="68"/>
      <c r="AB223" s="68"/>
    </row>
    <row r="224" spans="1:28">
      <c r="A224" s="703" t="s">
        <v>6952</v>
      </c>
      <c r="B224" s="13"/>
      <c r="C224" s="13"/>
      <c r="D224" s="13"/>
      <c r="E224" s="13"/>
      <c r="F224" s="13"/>
      <c r="G224" s="13"/>
      <c r="H224" s="13"/>
      <c r="I224" s="13"/>
      <c r="J224" s="13">
        <v>268</v>
      </c>
      <c r="K224" s="13">
        <f t="shared" si="57"/>
        <v>268</v>
      </c>
      <c r="L224" s="472">
        <v>18619260.204845197</v>
      </c>
      <c r="M224" s="13"/>
      <c r="N224" s="13"/>
      <c r="O224" s="13"/>
      <c r="P224" s="13"/>
      <c r="Q224" s="13"/>
      <c r="R224" s="13"/>
      <c r="S224" s="13"/>
      <c r="T224" s="13"/>
      <c r="U224" s="13">
        <v>270</v>
      </c>
      <c r="V224" s="13">
        <f t="shared" si="58"/>
        <v>270</v>
      </c>
      <c r="W224" s="472">
        <v>18758209.907866433</v>
      </c>
      <c r="AA224" s="68"/>
      <c r="AB224" s="68"/>
    </row>
    <row r="225" spans="1:28">
      <c r="A225" s="703" t="s">
        <v>6951</v>
      </c>
      <c r="B225" s="13"/>
      <c r="C225" s="13"/>
      <c r="D225" s="13"/>
      <c r="E225" s="13"/>
      <c r="F225" s="13"/>
      <c r="G225" s="13"/>
      <c r="H225" s="13"/>
      <c r="I225" s="13"/>
      <c r="J225" s="13">
        <v>501</v>
      </c>
      <c r="K225" s="13">
        <f t="shared" si="57"/>
        <v>501</v>
      </c>
      <c r="L225" s="472">
        <v>28644600.606818821</v>
      </c>
      <c r="M225" s="13"/>
      <c r="N225" s="13"/>
      <c r="O225" s="13"/>
      <c r="P225" s="13"/>
      <c r="Q225" s="13"/>
      <c r="R225" s="13"/>
      <c r="S225" s="13"/>
      <c r="T225" s="13"/>
      <c r="U225" s="13">
        <v>523</v>
      </c>
      <c r="V225" s="13">
        <f t="shared" si="58"/>
        <v>523</v>
      </c>
      <c r="W225" s="472">
        <v>29902447.340052381</v>
      </c>
      <c r="AA225" s="68"/>
      <c r="AB225" s="68"/>
    </row>
    <row r="226" spans="1:28">
      <c r="A226" s="703" t="s">
        <v>6950</v>
      </c>
      <c r="B226" s="13"/>
      <c r="C226" s="13"/>
      <c r="D226" s="13"/>
      <c r="E226" s="13"/>
      <c r="F226" s="13"/>
      <c r="G226" s="13"/>
      <c r="H226" s="13"/>
      <c r="I226" s="13"/>
      <c r="J226" s="13">
        <v>461</v>
      </c>
      <c r="K226" s="13">
        <f t="shared" si="57"/>
        <v>461</v>
      </c>
      <c r="L226" s="472">
        <v>23320538.546394166</v>
      </c>
      <c r="M226" s="13"/>
      <c r="N226" s="13"/>
      <c r="O226" s="13"/>
      <c r="P226" s="13"/>
      <c r="Q226" s="13"/>
      <c r="R226" s="13"/>
      <c r="S226" s="13"/>
      <c r="T226" s="13"/>
      <c r="U226" s="13">
        <v>468</v>
      </c>
      <c r="V226" s="13">
        <f t="shared" si="58"/>
        <v>468</v>
      </c>
      <c r="W226" s="472">
        <v>23674646.50696848</v>
      </c>
      <c r="AA226" s="68"/>
      <c r="AB226" s="68"/>
    </row>
    <row r="227" spans="1:28">
      <c r="A227" s="703" t="s">
        <v>6949</v>
      </c>
      <c r="B227" s="13"/>
      <c r="C227" s="13"/>
      <c r="D227" s="13"/>
      <c r="E227" s="13"/>
      <c r="F227" s="13"/>
      <c r="G227" s="13"/>
      <c r="H227" s="13"/>
      <c r="I227" s="13"/>
      <c r="J227" s="13">
        <v>434</v>
      </c>
      <c r="K227" s="13">
        <f t="shared" si="57"/>
        <v>434</v>
      </c>
      <c r="L227" s="472">
        <v>19626717.55560752</v>
      </c>
      <c r="M227" s="13"/>
      <c r="N227" s="13"/>
      <c r="O227" s="13"/>
      <c r="P227" s="13"/>
      <c r="Q227" s="13"/>
      <c r="R227" s="13"/>
      <c r="S227" s="13"/>
      <c r="T227" s="13"/>
      <c r="U227" s="13">
        <v>403</v>
      </c>
      <c r="V227" s="13">
        <f t="shared" si="58"/>
        <v>403</v>
      </c>
      <c r="W227" s="472">
        <v>18224809.15877841</v>
      </c>
      <c r="AA227" s="68"/>
      <c r="AB227" s="68"/>
    </row>
    <row r="228" spans="1:28">
      <c r="A228" s="703" t="s">
        <v>6948</v>
      </c>
      <c r="B228" s="13"/>
      <c r="C228" s="13"/>
      <c r="D228" s="13"/>
      <c r="E228" s="13"/>
      <c r="F228" s="13"/>
      <c r="G228" s="13"/>
      <c r="H228" s="13"/>
      <c r="I228" s="13"/>
      <c r="J228" s="13">
        <v>333</v>
      </c>
      <c r="K228" s="13">
        <f t="shared" si="57"/>
        <v>333</v>
      </c>
      <c r="L228" s="472">
        <v>14843425.553035263</v>
      </c>
      <c r="M228" s="13"/>
      <c r="N228" s="13"/>
      <c r="O228" s="13"/>
      <c r="P228" s="13"/>
      <c r="Q228" s="13"/>
      <c r="R228" s="13"/>
      <c r="S228" s="13"/>
      <c r="T228" s="13"/>
      <c r="U228" s="13">
        <v>380</v>
      </c>
      <c r="V228" s="13">
        <f t="shared" si="58"/>
        <v>380</v>
      </c>
      <c r="W228" s="472">
        <v>11676683.574034236</v>
      </c>
      <c r="AA228" s="68"/>
      <c r="AB228" s="68"/>
    </row>
    <row r="229" spans="1:28">
      <c r="A229" s="705" t="s">
        <v>6956</v>
      </c>
      <c r="B229" s="484"/>
      <c r="C229" s="484"/>
      <c r="D229" s="484"/>
      <c r="E229" s="484"/>
      <c r="F229" s="484"/>
      <c r="G229" s="484"/>
      <c r="H229" s="484"/>
      <c r="I229" s="484"/>
      <c r="J229" s="491">
        <f t="shared" ref="J229:W229" si="59">SUM(J230:J237)</f>
        <v>18913</v>
      </c>
      <c r="K229" s="484">
        <f t="shared" si="59"/>
        <v>18913</v>
      </c>
      <c r="L229" s="485">
        <f t="shared" si="59"/>
        <v>794624963.41044796</v>
      </c>
      <c r="M229" s="484">
        <f t="shared" si="59"/>
        <v>0</v>
      </c>
      <c r="N229" s="484">
        <f t="shared" si="59"/>
        <v>0</v>
      </c>
      <c r="O229" s="484">
        <f t="shared" si="59"/>
        <v>0</v>
      </c>
      <c r="P229" s="484">
        <f t="shared" si="59"/>
        <v>0</v>
      </c>
      <c r="Q229" s="484">
        <f t="shared" si="59"/>
        <v>0</v>
      </c>
      <c r="R229" s="484">
        <f t="shared" si="59"/>
        <v>0</v>
      </c>
      <c r="S229" s="484">
        <f t="shared" si="59"/>
        <v>0</v>
      </c>
      <c r="T229" s="484">
        <f t="shared" si="59"/>
        <v>0</v>
      </c>
      <c r="U229" s="484">
        <f t="shared" si="59"/>
        <v>18997</v>
      </c>
      <c r="V229" s="484">
        <f t="shared" si="59"/>
        <v>18997</v>
      </c>
      <c r="W229" s="485">
        <f t="shared" si="59"/>
        <v>804070098.14717996</v>
      </c>
      <c r="AA229" s="68"/>
      <c r="AB229" s="68"/>
    </row>
    <row r="230" spans="1:28">
      <c r="A230" s="703" t="s">
        <v>6955</v>
      </c>
      <c r="B230" s="13"/>
      <c r="C230" s="13"/>
      <c r="D230" s="13"/>
      <c r="E230" s="13"/>
      <c r="F230" s="13"/>
      <c r="G230" s="13"/>
      <c r="H230" s="13"/>
      <c r="I230" s="13"/>
      <c r="J230" s="13">
        <v>203</v>
      </c>
      <c r="K230" s="13">
        <f t="shared" ref="K230:K237" si="60">SUM(B230:J230)</f>
        <v>203</v>
      </c>
      <c r="L230" s="472">
        <v>10178998.856655132</v>
      </c>
      <c r="M230" s="13"/>
      <c r="N230" s="13"/>
      <c r="O230" s="13"/>
      <c r="P230" s="13"/>
      <c r="Q230" s="13"/>
      <c r="R230" s="13"/>
      <c r="S230" s="13"/>
      <c r="T230" s="13"/>
      <c r="U230" s="13">
        <v>196</v>
      </c>
      <c r="V230" s="13">
        <f t="shared" ref="V230:V237" si="61">SUM(M230:U230)</f>
        <v>196</v>
      </c>
      <c r="W230" s="472">
        <v>9827998.8960808162</v>
      </c>
      <c r="AA230" s="68"/>
      <c r="AB230" s="68"/>
    </row>
    <row r="231" spans="1:28">
      <c r="A231" s="703" t="s">
        <v>6947</v>
      </c>
      <c r="B231" s="13"/>
      <c r="C231" s="13"/>
      <c r="D231" s="13"/>
      <c r="E231" s="13"/>
      <c r="F231" s="13"/>
      <c r="G231" s="13"/>
      <c r="H231" s="13"/>
      <c r="I231" s="13"/>
      <c r="J231" s="13">
        <v>506</v>
      </c>
      <c r="K231" s="13">
        <f t="shared" si="60"/>
        <v>506</v>
      </c>
      <c r="L231" s="472">
        <v>24722578.864371903</v>
      </c>
      <c r="M231" s="13"/>
      <c r="N231" s="13"/>
      <c r="O231" s="13"/>
      <c r="P231" s="13"/>
      <c r="Q231" s="13"/>
      <c r="R231" s="13"/>
      <c r="S231" s="13"/>
      <c r="T231" s="13"/>
      <c r="U231" s="13">
        <v>518</v>
      </c>
      <c r="V231" s="13">
        <f t="shared" si="61"/>
        <v>518</v>
      </c>
      <c r="W231" s="472">
        <v>25308885.082499299</v>
      </c>
      <c r="AA231" s="68"/>
      <c r="AB231" s="68"/>
    </row>
    <row r="232" spans="1:28">
      <c r="A232" s="703" t="s">
        <v>6946</v>
      </c>
      <c r="B232" s="13"/>
      <c r="C232" s="13"/>
      <c r="D232" s="13"/>
      <c r="E232" s="13"/>
      <c r="F232" s="13"/>
      <c r="G232" s="13"/>
      <c r="H232" s="13"/>
      <c r="I232" s="13"/>
      <c r="J232" s="13">
        <v>1251</v>
      </c>
      <c r="K232" s="13">
        <f t="shared" si="60"/>
        <v>1251</v>
      </c>
      <c r="L232" s="472">
        <v>58435275.239781126</v>
      </c>
      <c r="M232" s="13"/>
      <c r="N232" s="13"/>
      <c r="O232" s="13"/>
      <c r="P232" s="13"/>
      <c r="Q232" s="13"/>
      <c r="R232" s="13"/>
      <c r="S232" s="13"/>
      <c r="T232" s="13"/>
      <c r="U232" s="13">
        <v>1433</v>
      </c>
      <c r="V232" s="13">
        <f t="shared" si="61"/>
        <v>1433</v>
      </c>
      <c r="W232" s="472">
        <v>66936650.214713313</v>
      </c>
      <c r="AA232" s="68"/>
      <c r="AB232" s="68"/>
    </row>
    <row r="233" spans="1:28">
      <c r="A233" s="703" t="s">
        <v>6945</v>
      </c>
      <c r="B233" s="13"/>
      <c r="C233" s="13"/>
      <c r="D233" s="13"/>
      <c r="E233" s="13"/>
      <c r="F233" s="13"/>
      <c r="G233" s="13"/>
      <c r="H233" s="13"/>
      <c r="I233" s="13"/>
      <c r="J233" s="13">
        <v>3848</v>
      </c>
      <c r="K233" s="13">
        <f t="shared" si="60"/>
        <v>3848</v>
      </c>
      <c r="L233" s="472">
        <v>172632252.61285192</v>
      </c>
      <c r="M233" s="13"/>
      <c r="N233" s="13"/>
      <c r="O233" s="13"/>
      <c r="P233" s="13"/>
      <c r="Q233" s="13"/>
      <c r="R233" s="13"/>
      <c r="S233" s="13"/>
      <c r="T233" s="13"/>
      <c r="U233" s="13">
        <v>3968</v>
      </c>
      <c r="V233" s="13">
        <f t="shared" si="61"/>
        <v>3968</v>
      </c>
      <c r="W233" s="472">
        <v>178015794.79412591</v>
      </c>
      <c r="AA233" s="68"/>
      <c r="AB233" s="68"/>
    </row>
    <row r="234" spans="1:28">
      <c r="A234" s="703" t="s">
        <v>6944</v>
      </c>
      <c r="B234" s="13"/>
      <c r="C234" s="13"/>
      <c r="D234" s="13"/>
      <c r="E234" s="13"/>
      <c r="F234" s="13"/>
      <c r="G234" s="13"/>
      <c r="H234" s="13"/>
      <c r="I234" s="13"/>
      <c r="J234" s="13">
        <v>3449</v>
      </c>
      <c r="K234" s="13">
        <f t="shared" si="60"/>
        <v>3449</v>
      </c>
      <c r="L234" s="472">
        <v>149599862.86011595</v>
      </c>
      <c r="M234" s="13"/>
      <c r="N234" s="13"/>
      <c r="O234" s="13"/>
      <c r="P234" s="13"/>
      <c r="Q234" s="13"/>
      <c r="R234" s="13"/>
      <c r="S234" s="13"/>
      <c r="T234" s="13"/>
      <c r="U234" s="13">
        <v>3490</v>
      </c>
      <c r="V234" s="13">
        <f t="shared" si="61"/>
        <v>3490</v>
      </c>
      <c r="W234" s="472">
        <v>151378231.77205127</v>
      </c>
      <c r="AA234" s="68"/>
      <c r="AB234" s="68"/>
    </row>
    <row r="235" spans="1:28">
      <c r="A235" s="703" t="s">
        <v>6943</v>
      </c>
      <c r="B235" s="13"/>
      <c r="C235" s="13"/>
      <c r="D235" s="13"/>
      <c r="E235" s="13"/>
      <c r="F235" s="13"/>
      <c r="G235" s="13"/>
      <c r="H235" s="13"/>
      <c r="I235" s="13"/>
      <c r="J235" s="13">
        <v>2716</v>
      </c>
      <c r="K235" s="13">
        <f t="shared" si="60"/>
        <v>2716</v>
      </c>
      <c r="L235" s="472">
        <v>115817984.70283416</v>
      </c>
      <c r="M235" s="13"/>
      <c r="N235" s="13"/>
      <c r="O235" s="13"/>
      <c r="P235" s="13"/>
      <c r="Q235" s="13"/>
      <c r="R235" s="13"/>
      <c r="S235" s="13"/>
      <c r="T235" s="13"/>
      <c r="U235" s="13">
        <v>2599</v>
      </c>
      <c r="V235" s="13">
        <f t="shared" si="61"/>
        <v>2599</v>
      </c>
      <c r="W235" s="472">
        <v>110828771.07609203</v>
      </c>
      <c r="AA235" s="68"/>
      <c r="AB235" s="68"/>
    </row>
    <row r="236" spans="1:28">
      <c r="A236" s="703" t="s">
        <v>6942</v>
      </c>
      <c r="B236" s="13"/>
      <c r="C236" s="13"/>
      <c r="D236" s="13"/>
      <c r="E236" s="13"/>
      <c r="F236" s="13"/>
      <c r="G236" s="13"/>
      <c r="H236" s="13"/>
      <c r="I236" s="13"/>
      <c r="J236" s="13">
        <v>3447</v>
      </c>
      <c r="K236" s="13">
        <f t="shared" si="60"/>
        <v>3447</v>
      </c>
      <c r="L236" s="472">
        <v>145418077.15709475</v>
      </c>
      <c r="M236" s="13"/>
      <c r="N236" s="13"/>
      <c r="O236" s="13"/>
      <c r="P236" s="13"/>
      <c r="Q236" s="13"/>
      <c r="R236" s="13"/>
      <c r="S236" s="13"/>
      <c r="T236" s="13"/>
      <c r="U236" s="13">
        <v>3604</v>
      </c>
      <c r="V236" s="13">
        <f t="shared" si="61"/>
        <v>3604</v>
      </c>
      <c r="W236" s="472">
        <v>152041412.84426153</v>
      </c>
      <c r="AA236" s="68"/>
      <c r="AB236" s="68"/>
    </row>
    <row r="237" spans="1:28">
      <c r="A237" s="703" t="s">
        <v>6941</v>
      </c>
      <c r="B237" s="13"/>
      <c r="C237" s="13"/>
      <c r="D237" s="13"/>
      <c r="E237" s="13"/>
      <c r="F237" s="13"/>
      <c r="G237" s="13"/>
      <c r="H237" s="13"/>
      <c r="I237" s="13"/>
      <c r="J237" s="13">
        <v>3493</v>
      </c>
      <c r="K237" s="13">
        <f t="shared" si="60"/>
        <v>3493</v>
      </c>
      <c r="L237" s="472">
        <v>117819933.11674307</v>
      </c>
      <c r="M237" s="13"/>
      <c r="N237" s="13"/>
      <c r="O237" s="13"/>
      <c r="P237" s="13"/>
      <c r="Q237" s="13"/>
      <c r="R237" s="13"/>
      <c r="S237" s="13"/>
      <c r="T237" s="13"/>
      <c r="U237" s="13">
        <v>3189</v>
      </c>
      <c r="V237" s="13">
        <f t="shared" si="61"/>
        <v>3189</v>
      </c>
      <c r="W237" s="472">
        <v>109732353.46735573</v>
      </c>
      <c r="AA237" s="68"/>
      <c r="AB237" s="68"/>
    </row>
    <row r="238" spans="1:28" ht="24">
      <c r="A238" s="705" t="s">
        <v>6954</v>
      </c>
      <c r="B238" s="484"/>
      <c r="C238" s="484"/>
      <c r="D238" s="484"/>
      <c r="E238" s="484"/>
      <c r="F238" s="484"/>
      <c r="G238" s="484"/>
      <c r="H238" s="484"/>
      <c r="I238" s="484"/>
      <c r="J238" s="484">
        <f t="shared" ref="J238:W238" si="62">SUM(J239:J251)</f>
        <v>45</v>
      </c>
      <c r="K238" s="484">
        <f t="shared" si="62"/>
        <v>45</v>
      </c>
      <c r="L238" s="485">
        <f t="shared" si="62"/>
        <v>2015135.8949377383</v>
      </c>
      <c r="M238" s="484">
        <f t="shared" si="62"/>
        <v>0</v>
      </c>
      <c r="N238" s="484">
        <f t="shared" si="62"/>
        <v>0</v>
      </c>
      <c r="O238" s="484">
        <f t="shared" si="62"/>
        <v>0</v>
      </c>
      <c r="P238" s="484">
        <f t="shared" si="62"/>
        <v>0</v>
      </c>
      <c r="Q238" s="484">
        <f t="shared" si="62"/>
        <v>0</v>
      </c>
      <c r="R238" s="484">
        <f t="shared" si="62"/>
        <v>0</v>
      </c>
      <c r="S238" s="484">
        <f t="shared" si="62"/>
        <v>0</v>
      </c>
      <c r="T238" s="484">
        <f t="shared" si="62"/>
        <v>0</v>
      </c>
      <c r="U238" s="484">
        <f t="shared" si="62"/>
        <v>51</v>
      </c>
      <c r="V238" s="484">
        <f t="shared" si="62"/>
        <v>51</v>
      </c>
      <c r="W238" s="485">
        <f t="shared" si="62"/>
        <v>2387425.4270414365</v>
      </c>
      <c r="AA238" s="68"/>
      <c r="AB238" s="68"/>
    </row>
    <row r="239" spans="1:28">
      <c r="A239" s="703" t="s">
        <v>6953</v>
      </c>
      <c r="B239" s="13"/>
      <c r="C239" s="13"/>
      <c r="D239" s="13"/>
      <c r="E239" s="13"/>
      <c r="F239" s="13"/>
      <c r="G239" s="13"/>
      <c r="H239" s="13"/>
      <c r="I239" s="13"/>
      <c r="J239" s="13">
        <v>1</v>
      </c>
      <c r="K239" s="13">
        <f t="shared" ref="K239:K244" si="63">SUM(B239:J239)</f>
        <v>1</v>
      </c>
      <c r="L239" s="472">
        <v>101046.8515106164</v>
      </c>
      <c r="M239" s="13"/>
      <c r="N239" s="13"/>
      <c r="O239" s="13"/>
      <c r="P239" s="13"/>
      <c r="Q239" s="13"/>
      <c r="R239" s="13"/>
      <c r="S239" s="13"/>
      <c r="T239" s="13"/>
      <c r="U239" s="13">
        <v>1</v>
      </c>
      <c r="V239" s="13">
        <f t="shared" ref="V239:V251" si="64">SUM(M239:U239)</f>
        <v>1</v>
      </c>
      <c r="W239" s="472">
        <v>101046.8515106164</v>
      </c>
      <c r="AA239" s="68"/>
      <c r="AB239" s="68"/>
    </row>
    <row r="240" spans="1:28">
      <c r="A240" s="703" t="s">
        <v>6952</v>
      </c>
      <c r="B240" s="13"/>
      <c r="C240" s="13"/>
      <c r="D240" s="13"/>
      <c r="E240" s="13"/>
      <c r="F240" s="13"/>
      <c r="G240" s="13"/>
      <c r="H240" s="13"/>
      <c r="I240" s="13"/>
      <c r="J240" s="13">
        <v>2</v>
      </c>
      <c r="K240" s="13">
        <f t="shared" si="63"/>
        <v>2</v>
      </c>
      <c r="L240" s="472">
        <v>138949.70302123282</v>
      </c>
      <c r="M240" s="13"/>
      <c r="N240" s="13"/>
      <c r="O240" s="13"/>
      <c r="P240" s="13"/>
      <c r="Q240" s="13"/>
      <c r="R240" s="13"/>
      <c r="S240" s="13"/>
      <c r="T240" s="13"/>
      <c r="U240" s="13">
        <v>3</v>
      </c>
      <c r="V240" s="13">
        <f t="shared" si="64"/>
        <v>3</v>
      </c>
      <c r="W240" s="472">
        <v>208424.55453184922</v>
      </c>
      <c r="AA240" s="68"/>
      <c r="AB240" s="68"/>
    </row>
    <row r="241" spans="1:28">
      <c r="A241" s="703" t="s">
        <v>6951</v>
      </c>
      <c r="B241" s="13"/>
      <c r="C241" s="13"/>
      <c r="D241" s="13"/>
      <c r="E241" s="13"/>
      <c r="F241" s="13"/>
      <c r="G241" s="13"/>
      <c r="H241" s="13"/>
      <c r="I241" s="13"/>
      <c r="J241" s="13">
        <v>1</v>
      </c>
      <c r="K241" s="13">
        <f t="shared" si="63"/>
        <v>1</v>
      </c>
      <c r="L241" s="472">
        <v>57174.851510616412</v>
      </c>
      <c r="M241" s="13"/>
      <c r="N241" s="13"/>
      <c r="O241" s="13"/>
      <c r="P241" s="13"/>
      <c r="Q241" s="13"/>
      <c r="R241" s="13"/>
      <c r="S241" s="13"/>
      <c r="T241" s="13"/>
      <c r="U241" s="13">
        <v>1</v>
      </c>
      <c r="V241" s="13">
        <f t="shared" si="64"/>
        <v>1</v>
      </c>
      <c r="W241" s="472">
        <v>57174.851510616412</v>
      </c>
      <c r="AA241" s="68"/>
      <c r="AB241" s="68"/>
    </row>
    <row r="242" spans="1:28">
      <c r="A242" s="703" t="s">
        <v>6950</v>
      </c>
      <c r="B242" s="13"/>
      <c r="C242" s="13"/>
      <c r="D242" s="13"/>
      <c r="E242" s="13"/>
      <c r="F242" s="13"/>
      <c r="G242" s="13"/>
      <c r="H242" s="13"/>
      <c r="I242" s="13"/>
      <c r="J242" s="13"/>
      <c r="K242" s="13">
        <f t="shared" si="63"/>
        <v>0</v>
      </c>
      <c r="L242" s="472"/>
      <c r="M242" s="13"/>
      <c r="N242" s="13"/>
      <c r="O242" s="13"/>
      <c r="P242" s="13"/>
      <c r="Q242" s="13"/>
      <c r="R242" s="13"/>
      <c r="S242" s="13"/>
      <c r="T242" s="13"/>
      <c r="U242" s="13">
        <v>1</v>
      </c>
      <c r="V242" s="13">
        <f t="shared" si="64"/>
        <v>1</v>
      </c>
      <c r="W242" s="472">
        <v>50586.851510616412</v>
      </c>
      <c r="AA242" s="68"/>
      <c r="AB242" s="68"/>
    </row>
    <row r="243" spans="1:28">
      <c r="A243" s="703" t="s">
        <v>6949</v>
      </c>
      <c r="B243" s="13"/>
      <c r="C243" s="13"/>
      <c r="D243" s="13"/>
      <c r="E243" s="13"/>
      <c r="F243" s="13"/>
      <c r="G243" s="13"/>
      <c r="H243" s="13"/>
      <c r="I243" s="13"/>
      <c r="J243" s="13">
        <v>1</v>
      </c>
      <c r="K243" s="13">
        <f t="shared" si="63"/>
        <v>1</v>
      </c>
      <c r="L243" s="472">
        <v>45222.851510616412</v>
      </c>
      <c r="M243" s="13"/>
      <c r="N243" s="13"/>
      <c r="O243" s="13"/>
      <c r="P243" s="13"/>
      <c r="Q243" s="13"/>
      <c r="R243" s="13"/>
      <c r="S243" s="13"/>
      <c r="T243" s="13"/>
      <c r="U243" s="13"/>
      <c r="V243" s="13">
        <f t="shared" si="64"/>
        <v>0</v>
      </c>
      <c r="W243" s="472"/>
      <c r="AA243" s="68"/>
      <c r="AB243" s="68"/>
    </row>
    <row r="244" spans="1:28" hidden="1">
      <c r="A244" s="703" t="s">
        <v>6948</v>
      </c>
      <c r="B244" s="13"/>
      <c r="C244" s="13"/>
      <c r="D244" s="13"/>
      <c r="E244" s="13"/>
      <c r="F244" s="13"/>
      <c r="G244" s="13"/>
      <c r="H244" s="13"/>
      <c r="I244" s="13"/>
      <c r="J244" s="13"/>
      <c r="K244" s="13">
        <f t="shared" si="63"/>
        <v>0</v>
      </c>
      <c r="L244" s="472"/>
      <c r="M244" s="13"/>
      <c r="N244" s="13"/>
      <c r="O244" s="13"/>
      <c r="P244" s="13"/>
      <c r="Q244" s="13"/>
      <c r="R244" s="13"/>
      <c r="S244" s="13"/>
      <c r="T244" s="13"/>
      <c r="U244" s="13"/>
      <c r="V244" s="13">
        <f t="shared" si="64"/>
        <v>0</v>
      </c>
      <c r="W244" s="472"/>
      <c r="AA244" s="68"/>
      <c r="AB244" s="68"/>
    </row>
    <row r="245" spans="1:28" hidden="1">
      <c r="A245" s="703" t="s">
        <v>6947</v>
      </c>
      <c r="B245" s="13"/>
      <c r="C245" s="13"/>
      <c r="D245" s="13"/>
      <c r="E245" s="13"/>
      <c r="F245" s="13"/>
      <c r="G245" s="13"/>
      <c r="H245" s="13"/>
      <c r="I245" s="13"/>
      <c r="J245" s="13"/>
      <c r="K245" s="13"/>
      <c r="L245" s="472"/>
      <c r="M245" s="13"/>
      <c r="N245" s="13"/>
      <c r="O245" s="13"/>
      <c r="P245" s="13"/>
      <c r="Q245" s="13"/>
      <c r="R245" s="13"/>
      <c r="S245" s="13"/>
      <c r="T245" s="13"/>
      <c r="U245" s="13"/>
      <c r="V245" s="13">
        <f t="shared" si="64"/>
        <v>0</v>
      </c>
      <c r="W245" s="472"/>
      <c r="AA245" s="68"/>
      <c r="AB245" s="68"/>
    </row>
    <row r="246" spans="1:28">
      <c r="A246" s="703" t="s">
        <v>6946</v>
      </c>
      <c r="B246" s="13"/>
      <c r="C246" s="13"/>
      <c r="D246" s="13"/>
      <c r="E246" s="13"/>
      <c r="F246" s="13"/>
      <c r="G246" s="13"/>
      <c r="H246" s="13"/>
      <c r="I246" s="13"/>
      <c r="J246" s="13">
        <v>1</v>
      </c>
      <c r="K246" s="13">
        <f t="shared" ref="K246:K251" si="65">SUM(B246:J246)</f>
        <v>1</v>
      </c>
      <c r="L246" s="472">
        <v>46710.851510616412</v>
      </c>
      <c r="M246" s="13"/>
      <c r="N246" s="13"/>
      <c r="O246" s="13"/>
      <c r="P246" s="13"/>
      <c r="Q246" s="13"/>
      <c r="R246" s="13"/>
      <c r="S246" s="13"/>
      <c r="T246" s="13"/>
      <c r="U246" s="13">
        <v>6</v>
      </c>
      <c r="V246" s="13">
        <f t="shared" si="64"/>
        <v>6</v>
      </c>
      <c r="W246" s="472">
        <v>280265.10906369844</v>
      </c>
      <c r="AA246" s="68"/>
      <c r="AB246" s="68"/>
    </row>
    <row r="247" spans="1:28">
      <c r="A247" s="703" t="s">
        <v>6945</v>
      </c>
      <c r="B247" s="13"/>
      <c r="C247" s="13"/>
      <c r="D247" s="13"/>
      <c r="E247" s="13"/>
      <c r="F247" s="13"/>
      <c r="G247" s="13"/>
      <c r="H247" s="13"/>
      <c r="I247" s="13"/>
      <c r="J247" s="13">
        <v>13</v>
      </c>
      <c r="K247" s="13">
        <f t="shared" si="65"/>
        <v>13</v>
      </c>
      <c r="L247" s="472">
        <v>583217.06963801337</v>
      </c>
      <c r="M247" s="13"/>
      <c r="N247" s="13"/>
      <c r="O247" s="13"/>
      <c r="P247" s="13"/>
      <c r="Q247" s="13"/>
      <c r="R247" s="13"/>
      <c r="S247" s="13"/>
      <c r="T247" s="13"/>
      <c r="U247" s="13">
        <v>12</v>
      </c>
      <c r="V247" s="13">
        <f t="shared" si="64"/>
        <v>12</v>
      </c>
      <c r="W247" s="472">
        <v>538354.21812739689</v>
      </c>
      <c r="AA247" s="68"/>
      <c r="AB247" s="68"/>
    </row>
    <row r="248" spans="1:28">
      <c r="A248" s="703" t="s">
        <v>6944</v>
      </c>
      <c r="B248" s="13"/>
      <c r="C248" s="13"/>
      <c r="D248" s="13"/>
      <c r="E248" s="13"/>
      <c r="F248" s="13"/>
      <c r="G248" s="13"/>
      <c r="H248" s="13"/>
      <c r="I248" s="13"/>
      <c r="J248" s="13">
        <v>8</v>
      </c>
      <c r="K248" s="13">
        <f t="shared" si="65"/>
        <v>8</v>
      </c>
      <c r="L248" s="472">
        <v>346998.81208493118</v>
      </c>
      <c r="M248" s="13"/>
      <c r="N248" s="13"/>
      <c r="O248" s="13"/>
      <c r="P248" s="13"/>
      <c r="Q248" s="13"/>
      <c r="R248" s="13"/>
      <c r="S248" s="13"/>
      <c r="T248" s="13"/>
      <c r="U248" s="13">
        <v>10</v>
      </c>
      <c r="V248" s="13">
        <f t="shared" si="64"/>
        <v>10</v>
      </c>
      <c r="W248" s="472">
        <v>433748.51510616404</v>
      </c>
      <c r="AA248" s="68"/>
      <c r="AB248" s="68"/>
    </row>
    <row r="249" spans="1:28">
      <c r="A249" s="703" t="s">
        <v>6943</v>
      </c>
      <c r="B249" s="13"/>
      <c r="C249" s="13"/>
      <c r="D249" s="13"/>
      <c r="E249" s="13"/>
      <c r="F249" s="13"/>
      <c r="G249" s="13"/>
      <c r="H249" s="13"/>
      <c r="I249" s="13"/>
      <c r="J249" s="13">
        <v>9</v>
      </c>
      <c r="K249" s="13">
        <f t="shared" si="65"/>
        <v>9</v>
      </c>
      <c r="L249" s="472">
        <v>383785.66359554767</v>
      </c>
      <c r="M249" s="13"/>
      <c r="N249" s="13"/>
      <c r="O249" s="13"/>
      <c r="P249" s="13"/>
      <c r="Q249" s="13"/>
      <c r="R249" s="13"/>
      <c r="S249" s="13"/>
      <c r="T249" s="13"/>
      <c r="U249" s="13">
        <v>6</v>
      </c>
      <c r="V249" s="13">
        <f t="shared" si="64"/>
        <v>6</v>
      </c>
      <c r="W249" s="472">
        <v>255857.10906369847</v>
      </c>
      <c r="AA249" s="68"/>
      <c r="AB249" s="68"/>
    </row>
    <row r="250" spans="1:28">
      <c r="A250" s="703" t="s">
        <v>6942</v>
      </c>
      <c r="B250" s="13"/>
      <c r="C250" s="13"/>
      <c r="D250" s="13"/>
      <c r="E250" s="13"/>
      <c r="F250" s="13"/>
      <c r="G250" s="13"/>
      <c r="H250" s="13"/>
      <c r="I250" s="13"/>
      <c r="J250" s="13">
        <v>1</v>
      </c>
      <c r="K250" s="13">
        <f t="shared" si="65"/>
        <v>1</v>
      </c>
      <c r="L250" s="472">
        <v>42186.851510616412</v>
      </c>
      <c r="M250" s="13"/>
      <c r="N250" s="13"/>
      <c r="O250" s="13"/>
      <c r="P250" s="13"/>
      <c r="Q250" s="13"/>
      <c r="R250" s="13"/>
      <c r="S250" s="13"/>
      <c r="T250" s="13"/>
      <c r="U250" s="13">
        <v>5</v>
      </c>
      <c r="V250" s="13">
        <f t="shared" si="64"/>
        <v>5</v>
      </c>
      <c r="W250" s="472">
        <v>210934.25755308202</v>
      </c>
      <c r="AA250" s="68"/>
      <c r="AB250" s="68"/>
    </row>
    <row r="251" spans="1:28">
      <c r="A251" s="703" t="s">
        <v>6941</v>
      </c>
      <c r="B251" s="13"/>
      <c r="C251" s="13"/>
      <c r="D251" s="13"/>
      <c r="E251" s="13"/>
      <c r="F251" s="13"/>
      <c r="G251" s="13"/>
      <c r="H251" s="13"/>
      <c r="I251" s="13"/>
      <c r="J251" s="13">
        <v>8</v>
      </c>
      <c r="K251" s="13">
        <f t="shared" si="65"/>
        <v>8</v>
      </c>
      <c r="L251" s="472">
        <v>269842.38904493116</v>
      </c>
      <c r="M251" s="13"/>
      <c r="N251" s="13"/>
      <c r="O251" s="13"/>
      <c r="P251" s="13"/>
      <c r="Q251" s="13"/>
      <c r="R251" s="13"/>
      <c r="S251" s="13"/>
      <c r="T251" s="13"/>
      <c r="U251" s="13">
        <v>6</v>
      </c>
      <c r="V251" s="13">
        <f t="shared" si="64"/>
        <v>6</v>
      </c>
      <c r="W251" s="472">
        <v>251033.10906369847</v>
      </c>
      <c r="AA251" s="68"/>
      <c r="AB251" s="68"/>
    </row>
    <row r="252" spans="1:28">
      <c r="A252" s="707" t="s">
        <v>6940</v>
      </c>
      <c r="B252" s="493"/>
      <c r="C252" s="493"/>
      <c r="D252" s="493"/>
      <c r="E252" s="493"/>
      <c r="F252" s="493"/>
      <c r="G252" s="493"/>
      <c r="H252" s="493"/>
      <c r="I252" s="493"/>
      <c r="J252" s="494">
        <f>J253+J258+J262+J266+J270+J274</f>
        <v>4687</v>
      </c>
      <c r="K252" s="493">
        <f>K253+K258+K262+K266+K270+K274</f>
        <v>4687</v>
      </c>
      <c r="L252" s="492">
        <f t="shared" ref="L252:T252" si="66">L253+L258+L262+L266+L270+L274+L278+L283+L287+L290</f>
        <v>22075380</v>
      </c>
      <c r="M252" s="493">
        <f t="shared" si="66"/>
        <v>0</v>
      </c>
      <c r="N252" s="493">
        <f t="shared" si="66"/>
        <v>0</v>
      </c>
      <c r="O252" s="493">
        <f t="shared" si="66"/>
        <v>0</v>
      </c>
      <c r="P252" s="493">
        <f t="shared" si="66"/>
        <v>0</v>
      </c>
      <c r="Q252" s="493">
        <f t="shared" si="66"/>
        <v>0</v>
      </c>
      <c r="R252" s="493">
        <f t="shared" si="66"/>
        <v>0</v>
      </c>
      <c r="S252" s="493">
        <f t="shared" si="66"/>
        <v>0</v>
      </c>
      <c r="T252" s="493">
        <f t="shared" si="66"/>
        <v>0</v>
      </c>
      <c r="U252" s="493">
        <f>U253+U258+U262+U266+U270+U274</f>
        <v>4901</v>
      </c>
      <c r="V252" s="493">
        <f>V253+V258+V262+V266+V270+V274</f>
        <v>4901</v>
      </c>
      <c r="W252" s="492">
        <f>W253+W258+W262+W266+W270+W274+W278+W283+W287+W290</f>
        <v>23618532</v>
      </c>
      <c r="AA252" s="68"/>
      <c r="AB252" s="68"/>
    </row>
    <row r="253" spans="1:28">
      <c r="A253" s="705" t="s">
        <v>6939</v>
      </c>
      <c r="B253" s="484"/>
      <c r="C253" s="484"/>
      <c r="D253" s="484"/>
      <c r="E253" s="484"/>
      <c r="F253" s="484"/>
      <c r="G253" s="484"/>
      <c r="H253" s="484"/>
      <c r="I253" s="484"/>
      <c r="J253" s="491">
        <f t="shared" ref="J253:W253" si="67">SUM(J254:J257)</f>
        <v>3036</v>
      </c>
      <c r="K253" s="484">
        <f t="shared" si="67"/>
        <v>3036</v>
      </c>
      <c r="L253" s="485">
        <f t="shared" si="67"/>
        <v>10402416</v>
      </c>
      <c r="M253" s="484">
        <f t="shared" si="67"/>
        <v>0</v>
      </c>
      <c r="N253" s="484">
        <f t="shared" si="67"/>
        <v>0</v>
      </c>
      <c r="O253" s="484">
        <f t="shared" si="67"/>
        <v>0</v>
      </c>
      <c r="P253" s="484">
        <f t="shared" si="67"/>
        <v>0</v>
      </c>
      <c r="Q253" s="484">
        <f t="shared" si="67"/>
        <v>0</v>
      </c>
      <c r="R253" s="484">
        <f t="shared" si="67"/>
        <v>0</v>
      </c>
      <c r="S253" s="484">
        <f t="shared" si="67"/>
        <v>0</v>
      </c>
      <c r="T253" s="484">
        <f t="shared" si="67"/>
        <v>0</v>
      </c>
      <c r="U253" s="484">
        <f t="shared" si="67"/>
        <v>2677</v>
      </c>
      <c r="V253" s="484">
        <f t="shared" si="67"/>
        <v>2677</v>
      </c>
      <c r="W253" s="485">
        <f t="shared" si="67"/>
        <v>9087048</v>
      </c>
      <c r="AA253" s="68"/>
      <c r="AB253" s="68"/>
    </row>
    <row r="254" spans="1:28">
      <c r="A254" s="703" t="s">
        <v>6923</v>
      </c>
      <c r="B254" s="13"/>
      <c r="C254" s="13"/>
      <c r="D254" s="13"/>
      <c r="E254" s="13"/>
      <c r="F254" s="13"/>
      <c r="G254" s="13"/>
      <c r="H254" s="13"/>
      <c r="I254" s="13"/>
      <c r="J254" s="13">
        <v>104</v>
      </c>
      <c r="K254" s="13">
        <f>SUM(B254:J254)</f>
        <v>104</v>
      </c>
      <c r="L254" s="472">
        <v>541320</v>
      </c>
      <c r="M254" s="13"/>
      <c r="N254" s="13"/>
      <c r="O254" s="13"/>
      <c r="P254" s="13"/>
      <c r="Q254" s="13"/>
      <c r="R254" s="13"/>
      <c r="S254" s="13"/>
      <c r="T254" s="13"/>
      <c r="U254" s="13">
        <v>166</v>
      </c>
      <c r="V254" s="13">
        <f>SUM(M254:U254)</f>
        <v>166</v>
      </c>
      <c r="W254" s="472">
        <v>727080</v>
      </c>
      <c r="AA254" s="68"/>
      <c r="AB254" s="68"/>
    </row>
    <row r="255" spans="1:28">
      <c r="A255" s="703" t="s">
        <v>6925</v>
      </c>
      <c r="B255" s="13"/>
      <c r="C255" s="13"/>
      <c r="D255" s="13"/>
      <c r="E255" s="13"/>
      <c r="F255" s="13"/>
      <c r="G255" s="13"/>
      <c r="H255" s="13"/>
      <c r="I255" s="13"/>
      <c r="J255" s="13">
        <v>592</v>
      </c>
      <c r="K255" s="13">
        <f>SUM(B255:J255)</f>
        <v>592</v>
      </c>
      <c r="L255" s="472">
        <v>2376216</v>
      </c>
      <c r="M255" s="13"/>
      <c r="N255" s="13"/>
      <c r="O255" s="13"/>
      <c r="P255" s="13"/>
      <c r="Q255" s="13"/>
      <c r="R255" s="13"/>
      <c r="S255" s="13"/>
      <c r="T255" s="13"/>
      <c r="U255" s="13">
        <v>208</v>
      </c>
      <c r="V255" s="13">
        <f>SUM(M255:U255)</f>
        <v>208</v>
      </c>
      <c r="W255" s="472">
        <v>821184</v>
      </c>
      <c r="AA255" s="68"/>
      <c r="AB255" s="68"/>
    </row>
    <row r="256" spans="1:28">
      <c r="A256" s="703" t="s">
        <v>6927</v>
      </c>
      <c r="B256" s="13"/>
      <c r="C256" s="13"/>
      <c r="D256" s="13"/>
      <c r="E256" s="13"/>
      <c r="F256" s="13"/>
      <c r="G256" s="13"/>
      <c r="H256" s="13"/>
      <c r="I256" s="13"/>
      <c r="J256" s="13">
        <v>975</v>
      </c>
      <c r="K256" s="13">
        <f>SUM(B256:J256)</f>
        <v>975</v>
      </c>
      <c r="L256" s="472">
        <v>3603600</v>
      </c>
      <c r="M256" s="13"/>
      <c r="N256" s="13"/>
      <c r="O256" s="13"/>
      <c r="P256" s="13"/>
      <c r="Q256" s="13"/>
      <c r="R256" s="13"/>
      <c r="S256" s="13"/>
      <c r="T256" s="13"/>
      <c r="U256" s="13">
        <v>1074</v>
      </c>
      <c r="V256" s="13">
        <f>SUM(M256:U256)</f>
        <v>1074</v>
      </c>
      <c r="W256" s="472">
        <v>3763296</v>
      </c>
      <c r="AA256" s="68"/>
      <c r="AB256" s="68"/>
    </row>
    <row r="257" spans="1:28">
      <c r="A257" s="703" t="s">
        <v>6929</v>
      </c>
      <c r="B257" s="13"/>
      <c r="C257" s="13"/>
      <c r="D257" s="13"/>
      <c r="E257" s="13"/>
      <c r="F257" s="13"/>
      <c r="G257" s="13"/>
      <c r="H257" s="13"/>
      <c r="I257" s="13"/>
      <c r="J257" s="13">
        <v>1365</v>
      </c>
      <c r="K257" s="13">
        <f>SUM(B257:J257)</f>
        <v>1365</v>
      </c>
      <c r="L257" s="472">
        <v>3881280</v>
      </c>
      <c r="M257" s="13"/>
      <c r="N257" s="13"/>
      <c r="O257" s="13"/>
      <c r="P257" s="13"/>
      <c r="Q257" s="13"/>
      <c r="R257" s="13"/>
      <c r="S257" s="13"/>
      <c r="T257" s="13"/>
      <c r="U257" s="13">
        <v>1229</v>
      </c>
      <c r="V257" s="13">
        <f>SUM(M257:U257)</f>
        <v>1229</v>
      </c>
      <c r="W257" s="472">
        <v>3775488</v>
      </c>
      <c r="AA257" s="68"/>
      <c r="AB257" s="68"/>
    </row>
    <row r="258" spans="1:28">
      <c r="A258" s="705" t="s">
        <v>6938</v>
      </c>
      <c r="B258" s="484"/>
      <c r="C258" s="484"/>
      <c r="D258" s="484"/>
      <c r="E258" s="484"/>
      <c r="F258" s="484"/>
      <c r="G258" s="484"/>
      <c r="H258" s="484"/>
      <c r="I258" s="484"/>
      <c r="J258" s="484">
        <f t="shared" ref="J258:W258" si="68">SUM(J259:J261)</f>
        <v>525</v>
      </c>
      <c r="K258" s="484">
        <f t="shared" si="68"/>
        <v>525</v>
      </c>
      <c r="L258" s="485">
        <f t="shared" si="68"/>
        <v>3234600</v>
      </c>
      <c r="M258" s="484">
        <f t="shared" si="68"/>
        <v>0</v>
      </c>
      <c r="N258" s="484">
        <f t="shared" si="68"/>
        <v>0</v>
      </c>
      <c r="O258" s="484">
        <f t="shared" si="68"/>
        <v>0</v>
      </c>
      <c r="P258" s="484">
        <f t="shared" si="68"/>
        <v>0</v>
      </c>
      <c r="Q258" s="484">
        <f t="shared" si="68"/>
        <v>0</v>
      </c>
      <c r="R258" s="484">
        <f t="shared" si="68"/>
        <v>0</v>
      </c>
      <c r="S258" s="484">
        <f t="shared" si="68"/>
        <v>0</v>
      </c>
      <c r="T258" s="484">
        <f t="shared" si="68"/>
        <v>0</v>
      </c>
      <c r="U258" s="484">
        <f t="shared" si="68"/>
        <v>1178</v>
      </c>
      <c r="V258" s="484">
        <f t="shared" si="68"/>
        <v>1178</v>
      </c>
      <c r="W258" s="485">
        <f t="shared" si="68"/>
        <v>6852228</v>
      </c>
      <c r="AA258" s="68"/>
      <c r="AB258" s="68"/>
    </row>
    <row r="259" spans="1:28">
      <c r="A259" s="703" t="s">
        <v>6933</v>
      </c>
      <c r="B259" s="13"/>
      <c r="C259" s="13"/>
      <c r="D259" s="13"/>
      <c r="E259" s="13"/>
      <c r="F259" s="13"/>
      <c r="G259" s="13"/>
      <c r="H259" s="13"/>
      <c r="I259" s="13"/>
      <c r="J259" s="13">
        <v>270</v>
      </c>
      <c r="K259" s="13">
        <f>SUM(B259:J259)</f>
        <v>270</v>
      </c>
      <c r="L259" s="472">
        <v>1775520</v>
      </c>
      <c r="M259" s="13"/>
      <c r="N259" s="13"/>
      <c r="O259" s="13"/>
      <c r="P259" s="13"/>
      <c r="Q259" s="13"/>
      <c r="R259" s="13"/>
      <c r="S259" s="13"/>
      <c r="T259" s="13"/>
      <c r="U259" s="13">
        <v>257</v>
      </c>
      <c r="V259" s="13">
        <f>SUM(M259:U259)</f>
        <v>257</v>
      </c>
      <c r="W259" s="472">
        <v>1690032</v>
      </c>
      <c r="AA259" s="68"/>
      <c r="AB259" s="68"/>
    </row>
    <row r="260" spans="1:28">
      <c r="A260" s="703" t="s">
        <v>6932</v>
      </c>
      <c r="B260" s="13"/>
      <c r="C260" s="13"/>
      <c r="D260" s="13"/>
      <c r="E260" s="13"/>
      <c r="F260" s="13"/>
      <c r="G260" s="13"/>
      <c r="H260" s="13"/>
      <c r="I260" s="13"/>
      <c r="J260" s="13">
        <v>180</v>
      </c>
      <c r="K260" s="13">
        <f>SUM(B260:J260)</f>
        <v>180</v>
      </c>
      <c r="L260" s="472">
        <v>1064880</v>
      </c>
      <c r="M260" s="13"/>
      <c r="N260" s="13"/>
      <c r="O260" s="13"/>
      <c r="P260" s="13"/>
      <c r="Q260" s="13"/>
      <c r="R260" s="13"/>
      <c r="S260" s="13"/>
      <c r="T260" s="13"/>
      <c r="U260" s="13">
        <v>487</v>
      </c>
      <c r="V260" s="13">
        <f>SUM(M260:U260)</f>
        <v>487</v>
      </c>
      <c r="W260" s="472">
        <v>2881092</v>
      </c>
      <c r="AA260" s="68"/>
      <c r="AB260" s="68"/>
    </row>
    <row r="261" spans="1:28">
      <c r="A261" s="703" t="s">
        <v>6931</v>
      </c>
      <c r="B261" s="13"/>
      <c r="C261" s="13"/>
      <c r="D261" s="13"/>
      <c r="E261" s="13"/>
      <c r="F261" s="13"/>
      <c r="G261" s="13"/>
      <c r="H261" s="13"/>
      <c r="I261" s="13"/>
      <c r="J261" s="13">
        <v>75</v>
      </c>
      <c r="K261" s="13">
        <f>SUM(B261:J261)</f>
        <v>75</v>
      </c>
      <c r="L261" s="472">
        <v>394200</v>
      </c>
      <c r="M261" s="13"/>
      <c r="N261" s="13"/>
      <c r="O261" s="13"/>
      <c r="P261" s="13"/>
      <c r="Q261" s="13"/>
      <c r="R261" s="13"/>
      <c r="S261" s="13"/>
      <c r="T261" s="13"/>
      <c r="U261" s="13">
        <v>434</v>
      </c>
      <c r="V261" s="13">
        <f>SUM(M261:U261)</f>
        <v>434</v>
      </c>
      <c r="W261" s="472">
        <v>2281104</v>
      </c>
      <c r="AA261" s="68"/>
      <c r="AB261" s="68"/>
    </row>
    <row r="262" spans="1:28">
      <c r="A262" s="705" t="s">
        <v>6937</v>
      </c>
      <c r="B262" s="484"/>
      <c r="C262" s="484"/>
      <c r="D262" s="484"/>
      <c r="E262" s="484"/>
      <c r="F262" s="484"/>
      <c r="G262" s="484"/>
      <c r="H262" s="484"/>
      <c r="I262" s="484"/>
      <c r="J262" s="484">
        <f t="shared" ref="J262:W262" si="69">SUM(J263:J265)</f>
        <v>573</v>
      </c>
      <c r="K262" s="484">
        <f t="shared" si="69"/>
        <v>573</v>
      </c>
      <c r="L262" s="485">
        <f t="shared" si="69"/>
        <v>4039992</v>
      </c>
      <c r="M262" s="484">
        <f t="shared" si="69"/>
        <v>0</v>
      </c>
      <c r="N262" s="484">
        <f t="shared" si="69"/>
        <v>0</v>
      </c>
      <c r="O262" s="484">
        <f t="shared" si="69"/>
        <v>0</v>
      </c>
      <c r="P262" s="484">
        <f t="shared" si="69"/>
        <v>0</v>
      </c>
      <c r="Q262" s="484">
        <f t="shared" si="69"/>
        <v>0</v>
      </c>
      <c r="R262" s="484">
        <f t="shared" si="69"/>
        <v>0</v>
      </c>
      <c r="S262" s="484">
        <f t="shared" si="69"/>
        <v>0</v>
      </c>
      <c r="T262" s="484">
        <f t="shared" si="69"/>
        <v>0</v>
      </c>
      <c r="U262" s="484">
        <f t="shared" si="69"/>
        <v>742</v>
      </c>
      <c r="V262" s="484">
        <f t="shared" si="69"/>
        <v>742</v>
      </c>
      <c r="W262" s="485">
        <f t="shared" si="69"/>
        <v>5242128</v>
      </c>
      <c r="AA262" s="68"/>
      <c r="AB262" s="68"/>
    </row>
    <row r="263" spans="1:28">
      <c r="A263" s="703" t="s">
        <v>6933</v>
      </c>
      <c r="B263" s="13"/>
      <c r="C263" s="13"/>
      <c r="D263" s="13"/>
      <c r="E263" s="13"/>
      <c r="F263" s="13"/>
      <c r="G263" s="13"/>
      <c r="H263" s="13"/>
      <c r="I263" s="13"/>
      <c r="J263" s="13">
        <v>450</v>
      </c>
      <c r="K263" s="13">
        <f>SUM(B263:J263)</f>
        <v>450</v>
      </c>
      <c r="L263" s="472">
        <v>3250800</v>
      </c>
      <c r="M263" s="13"/>
      <c r="N263" s="13"/>
      <c r="O263" s="13"/>
      <c r="P263" s="13"/>
      <c r="Q263" s="13"/>
      <c r="R263" s="13"/>
      <c r="S263" s="13"/>
      <c r="T263" s="13"/>
      <c r="U263" s="13">
        <v>579</v>
      </c>
      <c r="V263" s="13">
        <f>SUM(M263:U263)</f>
        <v>579</v>
      </c>
      <c r="W263" s="472">
        <v>4182696</v>
      </c>
      <c r="AA263" s="68"/>
      <c r="AB263" s="68"/>
    </row>
    <row r="264" spans="1:28">
      <c r="A264" s="703" t="s">
        <v>6932</v>
      </c>
      <c r="B264" s="13"/>
      <c r="C264" s="13"/>
      <c r="D264" s="13"/>
      <c r="E264" s="13"/>
      <c r="F264" s="13"/>
      <c r="G264" s="13"/>
      <c r="H264" s="13"/>
      <c r="I264" s="13"/>
      <c r="J264" s="13">
        <v>108</v>
      </c>
      <c r="K264" s="13">
        <f>SUM(B264:J264)</f>
        <v>108</v>
      </c>
      <c r="L264" s="472">
        <v>702432</v>
      </c>
      <c r="M264" s="13"/>
      <c r="N264" s="13"/>
      <c r="O264" s="13"/>
      <c r="P264" s="13"/>
      <c r="Q264" s="13"/>
      <c r="R264" s="13"/>
      <c r="S264" s="13"/>
      <c r="T264" s="13"/>
      <c r="U264" s="13">
        <v>162</v>
      </c>
      <c r="V264" s="13">
        <f>SUM(M264:U264)</f>
        <v>162</v>
      </c>
      <c r="W264" s="472">
        <v>1053648</v>
      </c>
      <c r="AA264" s="68"/>
      <c r="AB264" s="68"/>
    </row>
    <row r="265" spans="1:28">
      <c r="A265" s="703" t="s">
        <v>6931</v>
      </c>
      <c r="B265" s="13"/>
      <c r="C265" s="13"/>
      <c r="D265" s="13"/>
      <c r="E265" s="13"/>
      <c r="F265" s="13"/>
      <c r="G265" s="13"/>
      <c r="H265" s="13"/>
      <c r="I265" s="13"/>
      <c r="J265" s="13">
        <v>15</v>
      </c>
      <c r="K265" s="13">
        <f>SUM(B265:J265)</f>
        <v>15</v>
      </c>
      <c r="L265" s="472">
        <v>86760</v>
      </c>
      <c r="M265" s="13"/>
      <c r="N265" s="13"/>
      <c r="O265" s="13"/>
      <c r="P265" s="13"/>
      <c r="Q265" s="13"/>
      <c r="R265" s="13"/>
      <c r="S265" s="13"/>
      <c r="T265" s="13"/>
      <c r="U265" s="13">
        <v>1</v>
      </c>
      <c r="V265" s="13">
        <f>SUM(M265:U265)</f>
        <v>1</v>
      </c>
      <c r="W265" s="472">
        <v>5784</v>
      </c>
      <c r="AA265" s="68"/>
      <c r="AB265" s="68"/>
    </row>
    <row r="266" spans="1:28">
      <c r="A266" s="705" t="s">
        <v>6936</v>
      </c>
      <c r="B266" s="484"/>
      <c r="C266" s="484"/>
      <c r="D266" s="484"/>
      <c r="E266" s="484"/>
      <c r="F266" s="484"/>
      <c r="G266" s="484"/>
      <c r="H266" s="484"/>
      <c r="I266" s="484"/>
      <c r="J266" s="484">
        <f t="shared" ref="J266:W266" si="70">SUM(J267:J269)</f>
        <v>525</v>
      </c>
      <c r="K266" s="484">
        <f t="shared" si="70"/>
        <v>525</v>
      </c>
      <c r="L266" s="485">
        <f t="shared" si="70"/>
        <v>4150800</v>
      </c>
      <c r="M266" s="484">
        <f t="shared" si="70"/>
        <v>0</v>
      </c>
      <c r="N266" s="484">
        <f t="shared" si="70"/>
        <v>0</v>
      </c>
      <c r="O266" s="484">
        <f t="shared" si="70"/>
        <v>0</v>
      </c>
      <c r="P266" s="484">
        <f t="shared" si="70"/>
        <v>0</v>
      </c>
      <c r="Q266" s="484">
        <f t="shared" si="70"/>
        <v>0</v>
      </c>
      <c r="R266" s="484">
        <f t="shared" si="70"/>
        <v>0</v>
      </c>
      <c r="S266" s="484">
        <f t="shared" si="70"/>
        <v>0</v>
      </c>
      <c r="T266" s="484">
        <f t="shared" si="70"/>
        <v>0</v>
      </c>
      <c r="U266" s="484">
        <f t="shared" si="70"/>
        <v>261</v>
      </c>
      <c r="V266" s="484">
        <f t="shared" si="70"/>
        <v>261</v>
      </c>
      <c r="W266" s="485">
        <f t="shared" si="70"/>
        <v>2058336</v>
      </c>
      <c r="AA266" s="68"/>
      <c r="AB266" s="68"/>
    </row>
    <row r="267" spans="1:28">
      <c r="A267" s="703" t="s">
        <v>6933</v>
      </c>
      <c r="B267" s="13"/>
      <c r="C267" s="13"/>
      <c r="D267" s="13"/>
      <c r="E267" s="13"/>
      <c r="F267" s="13"/>
      <c r="G267" s="13"/>
      <c r="H267" s="13"/>
      <c r="I267" s="13"/>
      <c r="J267" s="13">
        <v>500</v>
      </c>
      <c r="K267" s="13">
        <f>SUM(B267:J267)</f>
        <v>500</v>
      </c>
      <c r="L267" s="472">
        <v>3972000</v>
      </c>
      <c r="M267" s="13"/>
      <c r="N267" s="13"/>
      <c r="O267" s="13"/>
      <c r="P267" s="13"/>
      <c r="Q267" s="13"/>
      <c r="R267" s="13"/>
      <c r="S267" s="13"/>
      <c r="T267" s="13"/>
      <c r="U267" s="13">
        <v>242</v>
      </c>
      <c r="V267" s="13">
        <f>SUM(M267:U267)</f>
        <v>242</v>
      </c>
      <c r="W267" s="472">
        <v>1922448</v>
      </c>
      <c r="AA267" s="68"/>
      <c r="AB267" s="68"/>
    </row>
    <row r="268" spans="1:28">
      <c r="A268" s="703" t="s">
        <v>6932</v>
      </c>
      <c r="B268" s="13"/>
      <c r="C268" s="13"/>
      <c r="D268" s="13"/>
      <c r="E268" s="13"/>
      <c r="F268" s="13"/>
      <c r="G268" s="13"/>
      <c r="H268" s="13"/>
      <c r="I268" s="13"/>
      <c r="J268" s="13">
        <v>25</v>
      </c>
      <c r="K268" s="13">
        <f>SUM(B268:J268)</f>
        <v>25</v>
      </c>
      <c r="L268" s="472">
        <v>178800</v>
      </c>
      <c r="M268" s="13"/>
      <c r="N268" s="13"/>
      <c r="O268" s="13"/>
      <c r="P268" s="13"/>
      <c r="Q268" s="13"/>
      <c r="R268" s="13"/>
      <c r="S268" s="13"/>
      <c r="T268" s="13"/>
      <c r="U268" s="13">
        <v>19</v>
      </c>
      <c r="V268" s="13">
        <f>SUM(M268:U268)</f>
        <v>19</v>
      </c>
      <c r="W268" s="472">
        <v>135888</v>
      </c>
      <c r="AA268" s="68"/>
      <c r="AB268" s="68"/>
    </row>
    <row r="269" spans="1:28" hidden="1">
      <c r="A269" s="703" t="s">
        <v>6931</v>
      </c>
      <c r="B269" s="13"/>
      <c r="C269" s="13"/>
      <c r="D269" s="13"/>
      <c r="E269" s="13"/>
      <c r="F269" s="13"/>
      <c r="G269" s="13"/>
      <c r="H269" s="13"/>
      <c r="I269" s="13"/>
      <c r="J269" s="13"/>
      <c r="K269" s="13">
        <f>SUM(B269:J269)</f>
        <v>0</v>
      </c>
      <c r="L269" s="472">
        <v>0</v>
      </c>
      <c r="M269" s="13"/>
      <c r="N269" s="13"/>
      <c r="O269" s="13"/>
      <c r="P269" s="13"/>
      <c r="Q269" s="13"/>
      <c r="R269" s="13"/>
      <c r="S269" s="13"/>
      <c r="T269" s="13"/>
      <c r="U269" s="13"/>
      <c r="V269" s="13">
        <f>SUM(M269:U269)</f>
        <v>0</v>
      </c>
      <c r="W269" s="472">
        <v>0</v>
      </c>
      <c r="AA269" s="68"/>
      <c r="AB269" s="68"/>
    </row>
    <row r="270" spans="1:28">
      <c r="A270" s="705" t="s">
        <v>6935</v>
      </c>
      <c r="B270" s="484"/>
      <c r="C270" s="484"/>
      <c r="D270" s="484"/>
      <c r="E270" s="484"/>
      <c r="F270" s="484"/>
      <c r="G270" s="484"/>
      <c r="H270" s="484"/>
      <c r="I270" s="484"/>
      <c r="J270" s="484">
        <f t="shared" ref="J270:W270" si="71">SUM(J271:J273)</f>
        <v>25</v>
      </c>
      <c r="K270" s="484">
        <f t="shared" si="71"/>
        <v>25</v>
      </c>
      <c r="L270" s="485">
        <f t="shared" si="71"/>
        <v>218700</v>
      </c>
      <c r="M270" s="484">
        <f t="shared" si="71"/>
        <v>0</v>
      </c>
      <c r="N270" s="484">
        <f t="shared" si="71"/>
        <v>0</v>
      </c>
      <c r="O270" s="484">
        <f t="shared" si="71"/>
        <v>0</v>
      </c>
      <c r="P270" s="484">
        <f t="shared" si="71"/>
        <v>0</v>
      </c>
      <c r="Q270" s="484">
        <f t="shared" si="71"/>
        <v>0</v>
      </c>
      <c r="R270" s="484">
        <f t="shared" si="71"/>
        <v>0</v>
      </c>
      <c r="S270" s="484">
        <f t="shared" si="71"/>
        <v>0</v>
      </c>
      <c r="T270" s="484">
        <f t="shared" si="71"/>
        <v>0</v>
      </c>
      <c r="U270" s="484">
        <f t="shared" si="71"/>
        <v>40</v>
      </c>
      <c r="V270" s="484">
        <f t="shared" si="71"/>
        <v>40</v>
      </c>
      <c r="W270" s="485">
        <f t="shared" si="71"/>
        <v>349920</v>
      </c>
      <c r="AA270" s="68"/>
      <c r="AB270" s="68"/>
    </row>
    <row r="271" spans="1:28">
      <c r="A271" s="703" t="s">
        <v>6933</v>
      </c>
      <c r="B271" s="13"/>
      <c r="C271" s="13"/>
      <c r="D271" s="13"/>
      <c r="E271" s="13"/>
      <c r="F271" s="13"/>
      <c r="G271" s="13"/>
      <c r="H271" s="13"/>
      <c r="I271" s="13"/>
      <c r="J271" s="13">
        <v>25</v>
      </c>
      <c r="K271" s="13">
        <f>SUM(B271:J271)</f>
        <v>25</v>
      </c>
      <c r="L271" s="472">
        <v>218700</v>
      </c>
      <c r="M271" s="13"/>
      <c r="N271" s="13"/>
      <c r="O271" s="13"/>
      <c r="P271" s="13"/>
      <c r="Q271" s="13"/>
      <c r="R271" s="13"/>
      <c r="S271" s="13"/>
      <c r="T271" s="13"/>
      <c r="U271" s="13">
        <v>40</v>
      </c>
      <c r="V271" s="13">
        <f>SUM(M271:U271)</f>
        <v>40</v>
      </c>
      <c r="W271" s="472">
        <v>349920</v>
      </c>
      <c r="AA271" s="68"/>
      <c r="AB271" s="68"/>
    </row>
    <row r="272" spans="1:28" hidden="1">
      <c r="A272" s="703" t="s">
        <v>6932</v>
      </c>
      <c r="B272" s="13"/>
      <c r="C272" s="13"/>
      <c r="D272" s="13"/>
      <c r="E272" s="13"/>
      <c r="F272" s="13"/>
      <c r="G272" s="13"/>
      <c r="H272" s="13"/>
      <c r="I272" s="13"/>
      <c r="J272" s="13"/>
      <c r="K272" s="13">
        <f>SUM(B272:J272)</f>
        <v>0</v>
      </c>
      <c r="L272" s="472"/>
      <c r="M272" s="13"/>
      <c r="N272" s="13"/>
      <c r="O272" s="13"/>
      <c r="P272" s="13"/>
      <c r="Q272" s="13"/>
      <c r="R272" s="13"/>
      <c r="S272" s="13"/>
      <c r="T272" s="13"/>
      <c r="U272" s="13"/>
      <c r="V272" s="13">
        <f>SUM(M272:U272)</f>
        <v>0</v>
      </c>
      <c r="W272" s="472"/>
      <c r="AA272" s="68"/>
      <c r="AB272" s="68"/>
    </row>
    <row r="273" spans="1:28" hidden="1">
      <c r="A273" s="703" t="s">
        <v>6931</v>
      </c>
      <c r="B273" s="13"/>
      <c r="C273" s="13"/>
      <c r="D273" s="13"/>
      <c r="E273" s="13"/>
      <c r="F273" s="13"/>
      <c r="G273" s="13"/>
      <c r="H273" s="13"/>
      <c r="I273" s="13"/>
      <c r="J273" s="13"/>
      <c r="K273" s="13">
        <f>SUM(B273:J273)</f>
        <v>0</v>
      </c>
      <c r="L273" s="472"/>
      <c r="M273" s="13"/>
      <c r="N273" s="13"/>
      <c r="O273" s="13"/>
      <c r="P273" s="13"/>
      <c r="Q273" s="13"/>
      <c r="R273" s="13"/>
      <c r="S273" s="13"/>
      <c r="T273" s="13"/>
      <c r="U273" s="13"/>
      <c r="V273" s="13">
        <f>SUM(M273:U273)</f>
        <v>0</v>
      </c>
      <c r="W273" s="472"/>
      <c r="AA273" s="68"/>
      <c r="AB273" s="68"/>
    </row>
    <row r="274" spans="1:28">
      <c r="A274" s="705" t="s">
        <v>6934</v>
      </c>
      <c r="B274" s="484"/>
      <c r="C274" s="484"/>
      <c r="D274" s="484"/>
      <c r="E274" s="484"/>
      <c r="F274" s="484"/>
      <c r="G274" s="484"/>
      <c r="H274" s="484"/>
      <c r="I274" s="484"/>
      <c r="J274" s="484">
        <f t="shared" ref="J274:W274" si="72">SUM(J275:J277)</f>
        <v>3</v>
      </c>
      <c r="K274" s="484">
        <f t="shared" si="72"/>
        <v>3</v>
      </c>
      <c r="L274" s="485">
        <f t="shared" si="72"/>
        <v>28872</v>
      </c>
      <c r="M274" s="484">
        <f t="shared" si="72"/>
        <v>0</v>
      </c>
      <c r="N274" s="484">
        <f t="shared" si="72"/>
        <v>0</v>
      </c>
      <c r="O274" s="484">
        <f t="shared" si="72"/>
        <v>0</v>
      </c>
      <c r="P274" s="484">
        <f t="shared" si="72"/>
        <v>0</v>
      </c>
      <c r="Q274" s="484">
        <f t="shared" si="72"/>
        <v>0</v>
      </c>
      <c r="R274" s="484">
        <f t="shared" si="72"/>
        <v>0</v>
      </c>
      <c r="S274" s="484">
        <f t="shared" si="72"/>
        <v>0</v>
      </c>
      <c r="T274" s="484">
        <f t="shared" si="72"/>
        <v>0</v>
      </c>
      <c r="U274" s="484">
        <f t="shared" si="72"/>
        <v>3</v>
      </c>
      <c r="V274" s="484">
        <f t="shared" si="72"/>
        <v>3</v>
      </c>
      <c r="W274" s="485">
        <f t="shared" si="72"/>
        <v>28872</v>
      </c>
      <c r="AA274" s="68"/>
      <c r="AB274" s="68"/>
    </row>
    <row r="275" spans="1:28">
      <c r="A275" s="703" t="s">
        <v>6933</v>
      </c>
      <c r="B275" s="13"/>
      <c r="C275" s="13"/>
      <c r="D275" s="13"/>
      <c r="E275" s="13"/>
      <c r="F275" s="13"/>
      <c r="G275" s="13"/>
      <c r="H275" s="13"/>
      <c r="I275" s="13"/>
      <c r="J275" s="13">
        <v>3</v>
      </c>
      <c r="K275" s="13">
        <f>SUM(B275:J275)</f>
        <v>3</v>
      </c>
      <c r="L275" s="472">
        <v>28872</v>
      </c>
      <c r="M275" s="13"/>
      <c r="N275" s="13"/>
      <c r="O275" s="13"/>
      <c r="P275" s="13"/>
      <c r="Q275" s="13"/>
      <c r="R275" s="13"/>
      <c r="S275" s="13"/>
      <c r="T275" s="13"/>
      <c r="U275" s="13">
        <v>3</v>
      </c>
      <c r="V275" s="13">
        <f>SUM(M275:U275)</f>
        <v>3</v>
      </c>
      <c r="W275" s="472">
        <v>28872</v>
      </c>
      <c r="AA275" s="68"/>
      <c r="AB275" s="68"/>
    </row>
    <row r="276" spans="1:28" hidden="1">
      <c r="A276" s="703" t="s">
        <v>6932</v>
      </c>
      <c r="B276" s="13"/>
      <c r="C276" s="13"/>
      <c r="D276" s="13"/>
      <c r="E276" s="13"/>
      <c r="F276" s="13"/>
      <c r="G276" s="13"/>
      <c r="H276" s="13"/>
      <c r="I276" s="13"/>
      <c r="J276" s="13"/>
      <c r="K276" s="13">
        <f>SUM(B276:J276)</f>
        <v>0</v>
      </c>
      <c r="L276" s="472"/>
      <c r="M276" s="13"/>
      <c r="N276" s="13"/>
      <c r="O276" s="13"/>
      <c r="P276" s="13"/>
      <c r="Q276" s="13"/>
      <c r="R276" s="13"/>
      <c r="S276" s="13"/>
      <c r="T276" s="13"/>
      <c r="U276" s="13"/>
      <c r="V276" s="13">
        <f>SUM(M276:U276)</f>
        <v>0</v>
      </c>
      <c r="W276" s="472"/>
      <c r="AA276" s="68"/>
      <c r="AB276" s="68"/>
    </row>
    <row r="277" spans="1:28" hidden="1">
      <c r="A277" s="703" t="s">
        <v>6931</v>
      </c>
      <c r="B277" s="13"/>
      <c r="C277" s="13"/>
      <c r="D277" s="13"/>
      <c r="E277" s="13"/>
      <c r="F277" s="13"/>
      <c r="G277" s="13"/>
      <c r="H277" s="13"/>
      <c r="I277" s="13"/>
      <c r="J277" s="13"/>
      <c r="K277" s="13">
        <f>SUM(B277:J277)</f>
        <v>0</v>
      </c>
      <c r="L277" s="472"/>
      <c r="M277" s="13"/>
      <c r="N277" s="13"/>
      <c r="O277" s="13"/>
      <c r="P277" s="13"/>
      <c r="Q277" s="13"/>
      <c r="R277" s="13"/>
      <c r="S277" s="13"/>
      <c r="T277" s="13"/>
      <c r="U277" s="13"/>
      <c r="V277" s="13">
        <f>SUM(M277:U277)</f>
        <v>0</v>
      </c>
      <c r="W277" s="472"/>
      <c r="AA277" s="68"/>
      <c r="AB277" s="68"/>
    </row>
    <row r="278" spans="1:28" ht="24" hidden="1">
      <c r="A278" s="705" t="s">
        <v>6930</v>
      </c>
      <c r="B278" s="484"/>
      <c r="C278" s="484"/>
      <c r="D278" s="484"/>
      <c r="E278" s="484"/>
      <c r="F278" s="484"/>
      <c r="G278" s="484"/>
      <c r="H278" s="484"/>
      <c r="I278" s="484"/>
      <c r="J278" s="484">
        <f t="shared" ref="J278:W278" si="73">SUM(J279:J282)</f>
        <v>0</v>
      </c>
      <c r="K278" s="484">
        <f t="shared" si="73"/>
        <v>0</v>
      </c>
      <c r="L278" s="485">
        <f t="shared" si="73"/>
        <v>0</v>
      </c>
      <c r="M278" s="484">
        <f t="shared" si="73"/>
        <v>0</v>
      </c>
      <c r="N278" s="484">
        <f t="shared" si="73"/>
        <v>0</v>
      </c>
      <c r="O278" s="484">
        <f t="shared" si="73"/>
        <v>0</v>
      </c>
      <c r="P278" s="484">
        <f t="shared" si="73"/>
        <v>0</v>
      </c>
      <c r="Q278" s="484">
        <f t="shared" si="73"/>
        <v>0</v>
      </c>
      <c r="R278" s="484">
        <f t="shared" si="73"/>
        <v>0</v>
      </c>
      <c r="S278" s="484">
        <f t="shared" si="73"/>
        <v>0</v>
      </c>
      <c r="T278" s="484">
        <f t="shared" si="73"/>
        <v>0</v>
      </c>
      <c r="U278" s="484">
        <f t="shared" si="73"/>
        <v>0</v>
      </c>
      <c r="V278" s="484">
        <f t="shared" si="73"/>
        <v>0</v>
      </c>
      <c r="W278" s="485">
        <f t="shared" si="73"/>
        <v>0</v>
      </c>
      <c r="AA278" s="68"/>
      <c r="AB278" s="68"/>
    </row>
    <row r="279" spans="1:28" hidden="1">
      <c r="A279" s="703" t="s">
        <v>6923</v>
      </c>
      <c r="B279" s="13"/>
      <c r="C279" s="13"/>
      <c r="D279" s="13"/>
      <c r="E279" s="13"/>
      <c r="F279" s="13"/>
      <c r="G279" s="13"/>
      <c r="H279" s="13"/>
      <c r="I279" s="13"/>
      <c r="J279" s="13"/>
      <c r="K279" s="13">
        <f>SUM(B279:J279)</f>
        <v>0</v>
      </c>
      <c r="L279" s="472"/>
      <c r="M279" s="13"/>
      <c r="N279" s="13"/>
      <c r="O279" s="13"/>
      <c r="P279" s="13"/>
      <c r="Q279" s="13"/>
      <c r="R279" s="13"/>
      <c r="S279" s="13"/>
      <c r="T279" s="13"/>
      <c r="U279" s="13"/>
      <c r="V279" s="13">
        <f>SUM(M279:U279)</f>
        <v>0</v>
      </c>
      <c r="W279" s="472"/>
      <c r="AA279" s="68"/>
      <c r="AB279" s="68"/>
    </row>
    <row r="280" spans="1:28" hidden="1">
      <c r="A280" s="703" t="s">
        <v>6925</v>
      </c>
      <c r="B280" s="13"/>
      <c r="C280" s="13"/>
      <c r="D280" s="13"/>
      <c r="E280" s="13"/>
      <c r="F280" s="13"/>
      <c r="G280" s="13"/>
      <c r="H280" s="13"/>
      <c r="I280" s="13"/>
      <c r="J280" s="13"/>
      <c r="K280" s="13">
        <f>SUM(B280:J280)</f>
        <v>0</v>
      </c>
      <c r="L280" s="472"/>
      <c r="M280" s="13"/>
      <c r="N280" s="13"/>
      <c r="O280" s="13"/>
      <c r="P280" s="13"/>
      <c r="Q280" s="13"/>
      <c r="R280" s="13"/>
      <c r="S280" s="13"/>
      <c r="T280" s="13"/>
      <c r="U280" s="13"/>
      <c r="V280" s="13">
        <f>SUM(M280:U280)</f>
        <v>0</v>
      </c>
      <c r="W280" s="472"/>
      <c r="AA280" s="68"/>
      <c r="AB280" s="68"/>
    </row>
    <row r="281" spans="1:28" hidden="1">
      <c r="A281" s="703" t="s">
        <v>6927</v>
      </c>
      <c r="B281" s="13"/>
      <c r="C281" s="13"/>
      <c r="D281" s="13"/>
      <c r="E281" s="13"/>
      <c r="F281" s="13"/>
      <c r="G281" s="13"/>
      <c r="H281" s="13"/>
      <c r="I281" s="13"/>
      <c r="J281" s="13"/>
      <c r="K281" s="13">
        <f>SUM(B281:J281)</f>
        <v>0</v>
      </c>
      <c r="L281" s="472"/>
      <c r="M281" s="13"/>
      <c r="N281" s="13"/>
      <c r="O281" s="13"/>
      <c r="P281" s="13"/>
      <c r="Q281" s="13"/>
      <c r="R281" s="13"/>
      <c r="S281" s="13"/>
      <c r="T281" s="13"/>
      <c r="U281" s="13"/>
      <c r="V281" s="13">
        <f>SUM(M281:U281)</f>
        <v>0</v>
      </c>
      <c r="W281" s="472"/>
      <c r="AA281" s="68"/>
      <c r="AB281" s="68"/>
    </row>
    <row r="282" spans="1:28" hidden="1">
      <c r="A282" s="703" t="s">
        <v>6929</v>
      </c>
      <c r="B282" s="13"/>
      <c r="C282" s="13"/>
      <c r="D282" s="13"/>
      <c r="E282" s="13"/>
      <c r="F282" s="13"/>
      <c r="G282" s="13"/>
      <c r="H282" s="13"/>
      <c r="I282" s="13"/>
      <c r="J282" s="13"/>
      <c r="K282" s="13">
        <f>SUM(B282:J282)</f>
        <v>0</v>
      </c>
      <c r="L282" s="472"/>
      <c r="M282" s="13"/>
      <c r="N282" s="13"/>
      <c r="O282" s="13"/>
      <c r="P282" s="13"/>
      <c r="Q282" s="13"/>
      <c r="R282" s="13"/>
      <c r="S282" s="13"/>
      <c r="T282" s="13"/>
      <c r="U282" s="13"/>
      <c r="V282" s="13">
        <f>SUM(M282:U282)</f>
        <v>0</v>
      </c>
      <c r="W282" s="472"/>
      <c r="AA282" s="68"/>
      <c r="AB282" s="68"/>
    </row>
    <row r="283" spans="1:28" ht="24" hidden="1">
      <c r="A283" s="705" t="s">
        <v>6928</v>
      </c>
      <c r="B283" s="484"/>
      <c r="C283" s="484"/>
      <c r="D283" s="484"/>
      <c r="E283" s="484"/>
      <c r="F283" s="484"/>
      <c r="G283" s="484"/>
      <c r="H283" s="484"/>
      <c r="I283" s="484"/>
      <c r="J283" s="484">
        <f t="shared" ref="J283:W283" si="74">SUM(J284:J286)</f>
        <v>0</v>
      </c>
      <c r="K283" s="484">
        <f t="shared" si="74"/>
        <v>0</v>
      </c>
      <c r="L283" s="485">
        <f t="shared" si="74"/>
        <v>0</v>
      </c>
      <c r="M283" s="484">
        <f t="shared" si="74"/>
        <v>0</v>
      </c>
      <c r="N283" s="484">
        <f t="shared" si="74"/>
        <v>0</v>
      </c>
      <c r="O283" s="484">
        <f t="shared" si="74"/>
        <v>0</v>
      </c>
      <c r="P283" s="484">
        <f t="shared" si="74"/>
        <v>0</v>
      </c>
      <c r="Q283" s="484">
        <f t="shared" si="74"/>
        <v>0</v>
      </c>
      <c r="R283" s="484">
        <f t="shared" si="74"/>
        <v>0</v>
      </c>
      <c r="S283" s="484">
        <f t="shared" si="74"/>
        <v>0</v>
      </c>
      <c r="T283" s="484">
        <f t="shared" si="74"/>
        <v>0</v>
      </c>
      <c r="U283" s="484">
        <f t="shared" si="74"/>
        <v>0</v>
      </c>
      <c r="V283" s="484">
        <f t="shared" si="74"/>
        <v>0</v>
      </c>
      <c r="W283" s="485">
        <f t="shared" si="74"/>
        <v>0</v>
      </c>
      <c r="AA283" s="68"/>
      <c r="AB283" s="68"/>
    </row>
    <row r="284" spans="1:28" hidden="1">
      <c r="A284" s="703" t="s">
        <v>6923</v>
      </c>
      <c r="B284" s="13"/>
      <c r="C284" s="13"/>
      <c r="D284" s="13"/>
      <c r="E284" s="13"/>
      <c r="F284" s="13"/>
      <c r="G284" s="13"/>
      <c r="H284" s="13"/>
      <c r="I284" s="13"/>
      <c r="J284" s="13"/>
      <c r="K284" s="13">
        <f>SUM(B284:J284)</f>
        <v>0</v>
      </c>
      <c r="L284" s="472"/>
      <c r="M284" s="13"/>
      <c r="N284" s="13"/>
      <c r="O284" s="13"/>
      <c r="P284" s="13"/>
      <c r="Q284" s="13"/>
      <c r="R284" s="13"/>
      <c r="S284" s="13"/>
      <c r="T284" s="13"/>
      <c r="U284" s="13"/>
      <c r="V284" s="13">
        <f>SUM(M284:U284)</f>
        <v>0</v>
      </c>
      <c r="W284" s="472"/>
      <c r="AA284" s="68"/>
      <c r="AB284" s="68"/>
    </row>
    <row r="285" spans="1:28" hidden="1">
      <c r="A285" s="703" t="s">
        <v>6925</v>
      </c>
      <c r="B285" s="13"/>
      <c r="C285" s="13"/>
      <c r="D285" s="13"/>
      <c r="E285" s="13"/>
      <c r="F285" s="13"/>
      <c r="G285" s="13"/>
      <c r="H285" s="13"/>
      <c r="I285" s="13"/>
      <c r="J285" s="13"/>
      <c r="K285" s="13">
        <f>SUM(B285:J285)</f>
        <v>0</v>
      </c>
      <c r="L285" s="472"/>
      <c r="M285" s="13"/>
      <c r="N285" s="13"/>
      <c r="O285" s="13"/>
      <c r="P285" s="13"/>
      <c r="Q285" s="13"/>
      <c r="R285" s="13"/>
      <c r="S285" s="13"/>
      <c r="T285" s="13"/>
      <c r="U285" s="13"/>
      <c r="V285" s="13">
        <f>SUM(M285:U285)</f>
        <v>0</v>
      </c>
      <c r="W285" s="472"/>
      <c r="AA285" s="68"/>
      <c r="AB285" s="68"/>
    </row>
    <row r="286" spans="1:28" hidden="1">
      <c r="A286" s="703" t="s">
        <v>6927</v>
      </c>
      <c r="B286" s="13"/>
      <c r="C286" s="13"/>
      <c r="D286" s="13"/>
      <c r="E286" s="13"/>
      <c r="F286" s="13"/>
      <c r="G286" s="13"/>
      <c r="H286" s="13"/>
      <c r="I286" s="13"/>
      <c r="J286" s="13"/>
      <c r="K286" s="13">
        <f>SUM(B286:J286)</f>
        <v>0</v>
      </c>
      <c r="L286" s="472"/>
      <c r="M286" s="13"/>
      <c r="N286" s="13"/>
      <c r="O286" s="13"/>
      <c r="P286" s="13"/>
      <c r="Q286" s="13"/>
      <c r="R286" s="13"/>
      <c r="S286" s="13"/>
      <c r="T286" s="13"/>
      <c r="U286" s="13"/>
      <c r="V286" s="13">
        <f>SUM(M286:U286)</f>
        <v>0</v>
      </c>
      <c r="W286" s="472"/>
      <c r="AA286" s="68"/>
      <c r="AB286" s="68"/>
    </row>
    <row r="287" spans="1:28" ht="24" hidden="1">
      <c r="A287" s="705" t="s">
        <v>6926</v>
      </c>
      <c r="B287" s="484"/>
      <c r="C287" s="484"/>
      <c r="D287" s="484"/>
      <c r="E287" s="484"/>
      <c r="F287" s="484"/>
      <c r="G287" s="484"/>
      <c r="H287" s="484"/>
      <c r="I287" s="484"/>
      <c r="J287" s="484">
        <f t="shared" ref="J287:W287" si="75">SUM(J288:J289)</f>
        <v>0</v>
      </c>
      <c r="K287" s="484">
        <f t="shared" si="75"/>
        <v>0</v>
      </c>
      <c r="L287" s="485">
        <f t="shared" si="75"/>
        <v>0</v>
      </c>
      <c r="M287" s="484">
        <f t="shared" si="75"/>
        <v>0</v>
      </c>
      <c r="N287" s="484">
        <f t="shared" si="75"/>
        <v>0</v>
      </c>
      <c r="O287" s="484">
        <f t="shared" si="75"/>
        <v>0</v>
      </c>
      <c r="P287" s="484">
        <f t="shared" si="75"/>
        <v>0</v>
      </c>
      <c r="Q287" s="484">
        <f t="shared" si="75"/>
        <v>0</v>
      </c>
      <c r="R287" s="484">
        <f t="shared" si="75"/>
        <v>0</v>
      </c>
      <c r="S287" s="484">
        <f t="shared" si="75"/>
        <v>0</v>
      </c>
      <c r="T287" s="484">
        <f t="shared" si="75"/>
        <v>0</v>
      </c>
      <c r="U287" s="484">
        <f t="shared" si="75"/>
        <v>0</v>
      </c>
      <c r="V287" s="484">
        <f t="shared" si="75"/>
        <v>0</v>
      </c>
      <c r="W287" s="485">
        <f t="shared" si="75"/>
        <v>0</v>
      </c>
      <c r="AA287" s="68"/>
      <c r="AB287" s="68"/>
    </row>
    <row r="288" spans="1:28" hidden="1">
      <c r="A288" s="703" t="s">
        <v>6923</v>
      </c>
      <c r="B288" s="13"/>
      <c r="C288" s="13"/>
      <c r="D288" s="13"/>
      <c r="E288" s="13"/>
      <c r="F288" s="13"/>
      <c r="G288" s="13"/>
      <c r="H288" s="13"/>
      <c r="I288" s="13"/>
      <c r="J288" s="13"/>
      <c r="K288" s="13">
        <f>SUM(B288:J288)</f>
        <v>0</v>
      </c>
      <c r="L288" s="472"/>
      <c r="M288" s="13"/>
      <c r="N288" s="13"/>
      <c r="O288" s="13"/>
      <c r="P288" s="13"/>
      <c r="Q288" s="13"/>
      <c r="R288" s="13"/>
      <c r="S288" s="13"/>
      <c r="T288" s="13"/>
      <c r="U288" s="13"/>
      <c r="V288" s="13">
        <f>SUM(M288:U288)</f>
        <v>0</v>
      </c>
      <c r="W288" s="472"/>
      <c r="AA288" s="68"/>
      <c r="AB288" s="68"/>
    </row>
    <row r="289" spans="1:28" hidden="1">
      <c r="A289" s="703" t="s">
        <v>6925</v>
      </c>
      <c r="B289" s="13"/>
      <c r="C289" s="13"/>
      <c r="D289" s="13"/>
      <c r="E289" s="13"/>
      <c r="F289" s="13"/>
      <c r="G289" s="13"/>
      <c r="H289" s="13"/>
      <c r="I289" s="13"/>
      <c r="J289" s="13">
        <v>0</v>
      </c>
      <c r="K289" s="13">
        <f>SUM(B289:J289)</f>
        <v>0</v>
      </c>
      <c r="L289" s="472"/>
      <c r="M289" s="13"/>
      <c r="N289" s="13"/>
      <c r="O289" s="13"/>
      <c r="P289" s="13"/>
      <c r="Q289" s="13"/>
      <c r="R289" s="13"/>
      <c r="S289" s="13"/>
      <c r="T289" s="13"/>
      <c r="U289" s="13"/>
      <c r="V289" s="13">
        <f>SUM(M289:U289)</f>
        <v>0</v>
      </c>
      <c r="W289" s="472"/>
      <c r="AA289" s="68"/>
      <c r="AB289" s="68"/>
    </row>
    <row r="290" spans="1:28" ht="24" hidden="1">
      <c r="A290" s="705" t="s">
        <v>6924</v>
      </c>
      <c r="B290" s="484"/>
      <c r="C290" s="484"/>
      <c r="D290" s="484"/>
      <c r="E290" s="484"/>
      <c r="F290" s="484"/>
      <c r="G290" s="484"/>
      <c r="H290" s="484"/>
      <c r="I290" s="484"/>
      <c r="J290" s="484">
        <f>J291</f>
        <v>0</v>
      </c>
      <c r="K290" s="484"/>
      <c r="L290" s="485"/>
      <c r="M290" s="484"/>
      <c r="N290" s="484"/>
      <c r="O290" s="484"/>
      <c r="P290" s="484"/>
      <c r="Q290" s="484"/>
      <c r="R290" s="484"/>
      <c r="S290" s="484"/>
      <c r="T290" s="484"/>
      <c r="U290" s="484">
        <f>U291</f>
        <v>0</v>
      </c>
      <c r="V290" s="484">
        <f>V291</f>
        <v>0</v>
      </c>
      <c r="W290" s="485">
        <f>W291</f>
        <v>0</v>
      </c>
      <c r="AA290" s="68"/>
      <c r="AB290" s="68"/>
    </row>
    <row r="291" spans="1:28" hidden="1">
      <c r="A291" s="703" t="s">
        <v>6923</v>
      </c>
      <c r="B291" s="13"/>
      <c r="C291" s="13"/>
      <c r="D291" s="13"/>
      <c r="E291" s="13"/>
      <c r="F291" s="13"/>
      <c r="G291" s="13"/>
      <c r="H291" s="13"/>
      <c r="I291" s="13"/>
      <c r="J291" s="13">
        <v>0</v>
      </c>
      <c r="K291" s="13">
        <f>SUM(B291:J291)</f>
        <v>0</v>
      </c>
      <c r="L291" s="472"/>
      <c r="M291" s="13"/>
      <c r="N291" s="13"/>
      <c r="O291" s="13"/>
      <c r="P291" s="13"/>
      <c r="Q291" s="13"/>
      <c r="R291" s="13"/>
      <c r="S291" s="13"/>
      <c r="T291" s="13"/>
      <c r="U291" s="13"/>
      <c r="V291" s="13">
        <f>SUM(M291:U291)</f>
        <v>0</v>
      </c>
      <c r="W291" s="472"/>
      <c r="AA291" s="68"/>
      <c r="AB291" s="68"/>
    </row>
    <row r="292" spans="1:28">
      <c r="A292" s="704" t="s">
        <v>24</v>
      </c>
      <c r="B292" s="482"/>
      <c r="C292" s="482"/>
      <c r="D292" s="482"/>
      <c r="E292" s="482"/>
      <c r="F292" s="482"/>
      <c r="G292" s="482"/>
      <c r="H292" s="482">
        <f>H293+H299+H303</f>
        <v>0</v>
      </c>
      <c r="I292" s="482">
        <f>I293+I299+I303</f>
        <v>110</v>
      </c>
      <c r="J292" s="482">
        <f>J293+J299+J303</f>
        <v>2526</v>
      </c>
      <c r="K292" s="482">
        <f>K293+K299+K303</f>
        <v>2636</v>
      </c>
      <c r="L292" s="474">
        <f>L293+L299+L303</f>
        <v>6796072</v>
      </c>
      <c r="M292" s="482">
        <f t="shared" ref="M292:S292" si="76">M293+M299</f>
        <v>0</v>
      </c>
      <c r="N292" s="482">
        <f t="shared" si="76"/>
        <v>0</v>
      </c>
      <c r="O292" s="482">
        <f t="shared" si="76"/>
        <v>0</v>
      </c>
      <c r="P292" s="482">
        <f t="shared" si="76"/>
        <v>0</v>
      </c>
      <c r="Q292" s="482">
        <f t="shared" si="76"/>
        <v>0</v>
      </c>
      <c r="R292" s="482">
        <f t="shared" si="76"/>
        <v>0</v>
      </c>
      <c r="S292" s="482">
        <f t="shared" si="76"/>
        <v>0</v>
      </c>
      <c r="T292" s="482">
        <f>T293+T299+T303</f>
        <v>110</v>
      </c>
      <c r="U292" s="482">
        <f>U293+U299+U303</f>
        <v>2568</v>
      </c>
      <c r="V292" s="482">
        <f>V293+V299+V303</f>
        <v>2678</v>
      </c>
      <c r="W292" s="474">
        <f>W293+W299+W303</f>
        <v>6880695.4799999995</v>
      </c>
      <c r="AA292" s="68"/>
      <c r="AB292" s="68"/>
    </row>
    <row r="293" spans="1:28">
      <c r="A293" s="705" t="s">
        <v>6922</v>
      </c>
      <c r="B293" s="484"/>
      <c r="C293" s="484"/>
      <c r="D293" s="484"/>
      <c r="E293" s="484"/>
      <c r="F293" s="484"/>
      <c r="G293" s="484"/>
      <c r="H293" s="484">
        <f t="shared" ref="H293:W293" si="77">SUM(H294:H298)</f>
        <v>0</v>
      </c>
      <c r="I293" s="484">
        <f t="shared" si="77"/>
        <v>0</v>
      </c>
      <c r="J293" s="484">
        <f t="shared" si="77"/>
        <v>583</v>
      </c>
      <c r="K293" s="484">
        <f t="shared" si="77"/>
        <v>583</v>
      </c>
      <c r="L293" s="485">
        <f t="shared" si="77"/>
        <v>1510180.7999999998</v>
      </c>
      <c r="M293" s="484">
        <f t="shared" si="77"/>
        <v>0</v>
      </c>
      <c r="N293" s="484">
        <f t="shared" si="77"/>
        <v>0</v>
      </c>
      <c r="O293" s="484">
        <f t="shared" si="77"/>
        <v>0</v>
      </c>
      <c r="P293" s="484">
        <f t="shared" si="77"/>
        <v>0</v>
      </c>
      <c r="Q293" s="484">
        <f t="shared" si="77"/>
        <v>0</v>
      </c>
      <c r="R293" s="484">
        <f t="shared" si="77"/>
        <v>0</v>
      </c>
      <c r="S293" s="484">
        <f t="shared" si="77"/>
        <v>0</v>
      </c>
      <c r="T293" s="484">
        <f t="shared" si="77"/>
        <v>0</v>
      </c>
      <c r="U293" s="484">
        <f t="shared" si="77"/>
        <v>564</v>
      </c>
      <c r="V293" s="484">
        <f t="shared" si="77"/>
        <v>564</v>
      </c>
      <c r="W293" s="485">
        <f t="shared" si="77"/>
        <v>1429778.8800000001</v>
      </c>
      <c r="AA293" s="68"/>
      <c r="AB293" s="68"/>
    </row>
    <row r="294" spans="1:28">
      <c r="A294" s="703" t="s">
        <v>6921</v>
      </c>
      <c r="B294" s="13"/>
      <c r="C294" s="13"/>
      <c r="D294" s="13"/>
      <c r="E294" s="13"/>
      <c r="F294" s="13"/>
      <c r="G294" s="13"/>
      <c r="H294" s="13"/>
      <c r="I294" s="13"/>
      <c r="J294" s="13">
        <v>123</v>
      </c>
      <c r="K294" s="13">
        <f>SUM(B294:J294)</f>
        <v>123</v>
      </c>
      <c r="L294" s="472">
        <v>487965.60000000003</v>
      </c>
      <c r="M294" s="13"/>
      <c r="N294" s="13"/>
      <c r="O294" s="13"/>
      <c r="P294" s="13"/>
      <c r="Q294" s="13"/>
      <c r="R294" s="13"/>
      <c r="S294" s="13"/>
      <c r="T294" s="13"/>
      <c r="U294" s="13">
        <v>104</v>
      </c>
      <c r="V294" s="13">
        <f>SUM(M294:U294)</f>
        <v>104</v>
      </c>
      <c r="W294" s="472">
        <v>412588.80000000005</v>
      </c>
      <c r="AA294" s="68"/>
      <c r="AB294" s="68"/>
    </row>
    <row r="295" spans="1:28">
      <c r="A295" s="703" t="s">
        <v>6920</v>
      </c>
      <c r="B295" s="13"/>
      <c r="C295" s="13"/>
      <c r="D295" s="13"/>
      <c r="E295" s="13"/>
      <c r="F295" s="13"/>
      <c r="G295" s="13"/>
      <c r="H295" s="13"/>
      <c r="I295" s="13"/>
      <c r="J295" s="13">
        <v>107</v>
      </c>
      <c r="K295" s="13">
        <f>SUM(B295:J295)</f>
        <v>107</v>
      </c>
      <c r="L295" s="472">
        <v>282993.59999999998</v>
      </c>
      <c r="M295" s="13"/>
      <c r="N295" s="13"/>
      <c r="O295" s="13"/>
      <c r="P295" s="13"/>
      <c r="Q295" s="13"/>
      <c r="R295" s="13"/>
      <c r="S295" s="13"/>
      <c r="T295" s="13"/>
      <c r="U295" s="13">
        <v>93</v>
      </c>
      <c r="V295" s="13">
        <f>SUM(M295:U295)</f>
        <v>93</v>
      </c>
      <c r="W295" s="472">
        <v>245966.40000000002</v>
      </c>
      <c r="AA295" s="68"/>
      <c r="AB295" s="68"/>
    </row>
    <row r="296" spans="1:28">
      <c r="A296" s="703" t="s">
        <v>6919</v>
      </c>
      <c r="B296" s="13"/>
      <c r="C296" s="13"/>
      <c r="D296" s="13"/>
      <c r="E296" s="13"/>
      <c r="F296" s="13"/>
      <c r="G296" s="13"/>
      <c r="H296" s="13"/>
      <c r="I296" s="13"/>
      <c r="J296" s="13">
        <v>96</v>
      </c>
      <c r="K296" s="13">
        <f>SUM(B296:J296)</f>
        <v>96</v>
      </c>
      <c r="L296" s="472">
        <v>228510.72000000003</v>
      </c>
      <c r="M296" s="13"/>
      <c r="N296" s="13"/>
      <c r="O296" s="13"/>
      <c r="P296" s="13"/>
      <c r="Q296" s="13"/>
      <c r="R296" s="13"/>
      <c r="S296" s="13"/>
      <c r="T296" s="13"/>
      <c r="U296" s="13">
        <v>105</v>
      </c>
      <c r="V296" s="13">
        <f>SUM(M296:U296)</f>
        <v>105</v>
      </c>
      <c r="W296" s="472">
        <v>249933.60000000003</v>
      </c>
      <c r="AA296" s="68"/>
      <c r="AB296" s="68"/>
    </row>
    <row r="297" spans="1:28">
      <c r="A297" s="703" t="s">
        <v>6918</v>
      </c>
      <c r="B297" s="13"/>
      <c r="C297" s="13"/>
      <c r="D297" s="13"/>
      <c r="E297" s="13"/>
      <c r="F297" s="13"/>
      <c r="G297" s="13"/>
      <c r="H297" s="13"/>
      <c r="I297" s="13"/>
      <c r="J297" s="13">
        <v>132</v>
      </c>
      <c r="K297" s="13">
        <f>SUM(B297:J297)</f>
        <v>132</v>
      </c>
      <c r="L297" s="472">
        <v>279290.88</v>
      </c>
      <c r="M297" s="13"/>
      <c r="N297" s="13"/>
      <c r="O297" s="13"/>
      <c r="P297" s="13"/>
      <c r="Q297" s="13"/>
      <c r="R297" s="13"/>
      <c r="S297" s="13"/>
      <c r="T297" s="13"/>
      <c r="U297" s="13">
        <v>137</v>
      </c>
      <c r="V297" s="13">
        <f>SUM(M297:U297)</f>
        <v>137</v>
      </c>
      <c r="W297" s="472">
        <v>289870.08000000002</v>
      </c>
      <c r="AA297" s="68"/>
      <c r="AB297" s="68"/>
    </row>
    <row r="298" spans="1:28">
      <c r="A298" s="703" t="s">
        <v>6917</v>
      </c>
      <c r="B298" s="13"/>
      <c r="C298" s="13"/>
      <c r="D298" s="13"/>
      <c r="E298" s="13"/>
      <c r="F298" s="13"/>
      <c r="G298" s="13"/>
      <c r="H298" s="13"/>
      <c r="I298" s="13"/>
      <c r="J298" s="13">
        <v>125</v>
      </c>
      <c r="K298" s="13">
        <f>SUM(B298:J298)</f>
        <v>125</v>
      </c>
      <c r="L298" s="472">
        <v>231420</v>
      </c>
      <c r="M298" s="13"/>
      <c r="N298" s="13"/>
      <c r="O298" s="13"/>
      <c r="P298" s="13"/>
      <c r="Q298" s="13"/>
      <c r="R298" s="13"/>
      <c r="S298" s="13"/>
      <c r="T298" s="13"/>
      <c r="U298" s="13">
        <v>125</v>
      </c>
      <c r="V298" s="13">
        <f>SUM(M298:U298)</f>
        <v>125</v>
      </c>
      <c r="W298" s="472">
        <v>231420</v>
      </c>
      <c r="AA298" s="68"/>
      <c r="AB298" s="68"/>
    </row>
    <row r="299" spans="1:28">
      <c r="A299" s="705" t="s">
        <v>6916</v>
      </c>
      <c r="B299" s="484"/>
      <c r="C299" s="484"/>
      <c r="D299" s="484"/>
      <c r="E299" s="484"/>
      <c r="F299" s="484"/>
      <c r="G299" s="484"/>
      <c r="H299" s="484"/>
      <c r="I299" s="484"/>
      <c r="J299" s="484">
        <f t="shared" ref="J299:W299" si="78">SUM(J300:J302)</f>
        <v>1943</v>
      </c>
      <c r="K299" s="484">
        <f t="shared" si="78"/>
        <v>1943</v>
      </c>
      <c r="L299" s="485">
        <f t="shared" si="78"/>
        <v>4758291.2</v>
      </c>
      <c r="M299" s="484">
        <f t="shared" si="78"/>
        <v>0</v>
      </c>
      <c r="N299" s="484">
        <f t="shared" si="78"/>
        <v>0</v>
      </c>
      <c r="O299" s="484">
        <f t="shared" si="78"/>
        <v>0</v>
      </c>
      <c r="P299" s="484">
        <f t="shared" si="78"/>
        <v>0</v>
      </c>
      <c r="Q299" s="484">
        <f t="shared" si="78"/>
        <v>0</v>
      </c>
      <c r="R299" s="484">
        <f t="shared" si="78"/>
        <v>0</v>
      </c>
      <c r="S299" s="484">
        <f t="shared" si="78"/>
        <v>0</v>
      </c>
      <c r="T299" s="484">
        <f t="shared" si="78"/>
        <v>0</v>
      </c>
      <c r="U299" s="484">
        <f t="shared" si="78"/>
        <v>2004</v>
      </c>
      <c r="V299" s="484">
        <f t="shared" si="78"/>
        <v>2004</v>
      </c>
      <c r="W299" s="485">
        <f t="shared" si="78"/>
        <v>4900916.5999999996</v>
      </c>
      <c r="AA299" s="68"/>
      <c r="AB299" s="68"/>
    </row>
    <row r="300" spans="1:28">
      <c r="A300" s="703" t="s">
        <v>6915</v>
      </c>
      <c r="B300" s="13"/>
      <c r="C300" s="13"/>
      <c r="D300" s="13"/>
      <c r="E300" s="13"/>
      <c r="F300" s="13"/>
      <c r="G300" s="13"/>
      <c r="H300" s="13"/>
      <c r="I300" s="13"/>
      <c r="J300" s="13">
        <v>605</v>
      </c>
      <c r="K300" s="13">
        <f>SUM(B300:J300)</f>
        <v>605</v>
      </c>
      <c r="L300" s="472">
        <v>2151864</v>
      </c>
      <c r="M300" s="13"/>
      <c r="N300" s="13"/>
      <c r="O300" s="13"/>
      <c r="P300" s="13"/>
      <c r="Q300" s="13"/>
      <c r="R300" s="13"/>
      <c r="S300" s="13"/>
      <c r="T300" s="13"/>
      <c r="U300" s="13">
        <v>604</v>
      </c>
      <c r="V300" s="13">
        <f>SUM(M300:U300)</f>
        <v>604</v>
      </c>
      <c r="W300" s="472">
        <v>2148307.1999999997</v>
      </c>
      <c r="AA300" s="68"/>
      <c r="AB300" s="68"/>
    </row>
    <row r="301" spans="1:28">
      <c r="A301" s="703" t="s">
        <v>6914</v>
      </c>
      <c r="B301" s="13"/>
      <c r="C301" s="13"/>
      <c r="D301" s="13"/>
      <c r="E301" s="13"/>
      <c r="F301" s="13"/>
      <c r="G301" s="13"/>
      <c r="H301" s="13"/>
      <c r="I301" s="13"/>
      <c r="J301" s="13">
        <v>625</v>
      </c>
      <c r="K301" s="13">
        <f>SUM(B301:J301)</f>
        <v>625</v>
      </c>
      <c r="L301" s="472">
        <v>1482000</v>
      </c>
      <c r="M301" s="13"/>
      <c r="N301" s="13"/>
      <c r="O301" s="13"/>
      <c r="P301" s="13"/>
      <c r="Q301" s="13"/>
      <c r="R301" s="13"/>
      <c r="S301" s="13"/>
      <c r="T301" s="13"/>
      <c r="U301" s="13">
        <v>698</v>
      </c>
      <c r="V301" s="13">
        <f>SUM(M301:U301)</f>
        <v>698</v>
      </c>
      <c r="W301" s="472">
        <v>1655097.5999999999</v>
      </c>
      <c r="AA301" s="68"/>
      <c r="AB301" s="68"/>
    </row>
    <row r="302" spans="1:28">
      <c r="A302" s="703" t="s">
        <v>6913</v>
      </c>
      <c r="B302" s="13"/>
      <c r="C302" s="13"/>
      <c r="D302" s="13"/>
      <c r="E302" s="13"/>
      <c r="F302" s="13"/>
      <c r="G302" s="13"/>
      <c r="H302" s="13"/>
      <c r="I302" s="13"/>
      <c r="J302" s="13">
        <v>713</v>
      </c>
      <c r="K302" s="13">
        <f>SUM(B302:J302)</f>
        <v>713</v>
      </c>
      <c r="L302" s="472">
        <v>1124427.2</v>
      </c>
      <c r="M302" s="13"/>
      <c r="N302" s="13"/>
      <c r="O302" s="13"/>
      <c r="P302" s="13"/>
      <c r="Q302" s="13"/>
      <c r="R302" s="13"/>
      <c r="S302" s="13"/>
      <c r="T302" s="13"/>
      <c r="U302" s="13">
        <v>702</v>
      </c>
      <c r="V302" s="13">
        <f>SUM(M302:U302)</f>
        <v>702</v>
      </c>
      <c r="W302" s="472">
        <v>1097511.7999999998</v>
      </c>
      <c r="AA302" s="68"/>
      <c r="AB302" s="68"/>
    </row>
    <row r="303" spans="1:28">
      <c r="A303" s="705" t="s">
        <v>6912</v>
      </c>
      <c r="B303" s="484">
        <f t="shared" ref="B303:W303" si="79">SUM(B304:B305)</f>
        <v>0</v>
      </c>
      <c r="C303" s="484">
        <f t="shared" si="79"/>
        <v>0</v>
      </c>
      <c r="D303" s="484">
        <f t="shared" si="79"/>
        <v>0</v>
      </c>
      <c r="E303" s="484">
        <f t="shared" si="79"/>
        <v>0</v>
      </c>
      <c r="F303" s="484">
        <f t="shared" si="79"/>
        <v>0</v>
      </c>
      <c r="G303" s="484">
        <f t="shared" si="79"/>
        <v>0</v>
      </c>
      <c r="H303" s="484">
        <f t="shared" si="79"/>
        <v>0</v>
      </c>
      <c r="I303" s="484">
        <f t="shared" si="79"/>
        <v>110</v>
      </c>
      <c r="J303" s="484">
        <f t="shared" si="79"/>
        <v>0</v>
      </c>
      <c r="K303" s="484">
        <f t="shared" si="79"/>
        <v>110</v>
      </c>
      <c r="L303" s="485">
        <f t="shared" si="79"/>
        <v>527600</v>
      </c>
      <c r="M303" s="484">
        <f t="shared" si="79"/>
        <v>0</v>
      </c>
      <c r="N303" s="484">
        <f t="shared" si="79"/>
        <v>0</v>
      </c>
      <c r="O303" s="484">
        <f t="shared" si="79"/>
        <v>0</v>
      </c>
      <c r="P303" s="484">
        <f t="shared" si="79"/>
        <v>0</v>
      </c>
      <c r="Q303" s="484">
        <f t="shared" si="79"/>
        <v>0</v>
      </c>
      <c r="R303" s="484">
        <f t="shared" si="79"/>
        <v>0</v>
      </c>
      <c r="S303" s="484">
        <f t="shared" si="79"/>
        <v>0</v>
      </c>
      <c r="T303" s="484">
        <f t="shared" si="79"/>
        <v>110</v>
      </c>
      <c r="U303" s="484">
        <f t="shared" si="79"/>
        <v>0</v>
      </c>
      <c r="V303" s="484">
        <f t="shared" si="79"/>
        <v>110</v>
      </c>
      <c r="W303" s="485">
        <f t="shared" si="79"/>
        <v>550000</v>
      </c>
      <c r="AA303" s="68"/>
      <c r="AB303" s="68"/>
    </row>
    <row r="304" spans="1:28" hidden="1">
      <c r="A304" s="703" t="s">
        <v>6911</v>
      </c>
      <c r="B304" s="13"/>
      <c r="C304" s="13"/>
      <c r="D304" s="13"/>
      <c r="E304" s="13"/>
      <c r="F304" s="13"/>
      <c r="G304" s="13"/>
      <c r="H304" s="13"/>
      <c r="I304" s="13"/>
      <c r="J304" s="13"/>
      <c r="K304" s="13"/>
      <c r="L304" s="472"/>
      <c r="M304" s="13"/>
      <c r="N304" s="13"/>
      <c r="O304" s="13"/>
      <c r="P304" s="13"/>
      <c r="Q304" s="13"/>
      <c r="R304" s="13"/>
      <c r="S304" s="13"/>
      <c r="T304" s="13"/>
      <c r="U304" s="13"/>
      <c r="V304" s="13">
        <f>SUM(M304:U304)</f>
        <v>0</v>
      </c>
      <c r="W304" s="472"/>
      <c r="AA304" s="68"/>
      <c r="AB304" s="68"/>
    </row>
    <row r="305" spans="1:28">
      <c r="A305" s="703" t="s">
        <v>6910</v>
      </c>
      <c r="B305" s="13"/>
      <c r="C305" s="13"/>
      <c r="D305" s="13"/>
      <c r="E305" s="13"/>
      <c r="F305" s="13"/>
      <c r="G305" s="13"/>
      <c r="H305" s="13"/>
      <c r="I305" s="13">
        <v>110</v>
      </c>
      <c r="J305" s="13"/>
      <c r="K305" s="13">
        <f>SUM(B305:J305)</f>
        <v>110</v>
      </c>
      <c r="L305" s="472">
        <v>527600</v>
      </c>
      <c r="M305" s="13"/>
      <c r="N305" s="13"/>
      <c r="O305" s="13"/>
      <c r="P305" s="13"/>
      <c r="Q305" s="13"/>
      <c r="R305" s="13"/>
      <c r="S305" s="13"/>
      <c r="T305" s="13">
        <v>110</v>
      </c>
      <c r="U305" s="13"/>
      <c r="V305" s="13">
        <f>SUM(M305:U305)</f>
        <v>110</v>
      </c>
      <c r="W305" s="472">
        <v>550000</v>
      </c>
      <c r="AA305" s="68"/>
      <c r="AB305" s="68"/>
    </row>
    <row r="306" spans="1:28" ht="24">
      <c r="A306" s="704" t="s">
        <v>6909</v>
      </c>
      <c r="B306" s="482"/>
      <c r="C306" s="482"/>
      <c r="D306" s="482">
        <f t="shared" ref="D306:W306" si="80">SUM(D307:D309)</f>
        <v>396</v>
      </c>
      <c r="E306" s="482">
        <f t="shared" si="80"/>
        <v>0</v>
      </c>
      <c r="F306" s="482">
        <f t="shared" si="80"/>
        <v>0</v>
      </c>
      <c r="G306" s="482">
        <f t="shared" si="80"/>
        <v>0</v>
      </c>
      <c r="H306" s="482">
        <f t="shared" si="80"/>
        <v>0</v>
      </c>
      <c r="I306" s="482">
        <f t="shared" si="80"/>
        <v>0</v>
      </c>
      <c r="J306" s="482">
        <f t="shared" si="80"/>
        <v>0</v>
      </c>
      <c r="K306" s="482">
        <f t="shared" si="80"/>
        <v>396</v>
      </c>
      <c r="L306" s="474">
        <f t="shared" si="80"/>
        <v>15128861</v>
      </c>
      <c r="M306" s="482">
        <f t="shared" si="80"/>
        <v>0</v>
      </c>
      <c r="N306" s="482">
        <f t="shared" si="80"/>
        <v>0</v>
      </c>
      <c r="O306" s="482">
        <f t="shared" si="80"/>
        <v>393</v>
      </c>
      <c r="P306" s="482">
        <f t="shared" si="80"/>
        <v>0</v>
      </c>
      <c r="Q306" s="482">
        <f t="shared" si="80"/>
        <v>0</v>
      </c>
      <c r="R306" s="482">
        <f t="shared" si="80"/>
        <v>0</v>
      </c>
      <c r="S306" s="482">
        <f t="shared" si="80"/>
        <v>0</v>
      </c>
      <c r="T306" s="482">
        <f t="shared" si="80"/>
        <v>0</v>
      </c>
      <c r="U306" s="482">
        <f t="shared" si="80"/>
        <v>0</v>
      </c>
      <c r="V306" s="482">
        <f t="shared" si="80"/>
        <v>393</v>
      </c>
      <c r="W306" s="474">
        <f t="shared" si="80"/>
        <v>11790307</v>
      </c>
      <c r="Y306" s="490"/>
      <c r="AA306" s="68"/>
      <c r="AB306" s="68"/>
    </row>
    <row r="307" spans="1:28" ht="24">
      <c r="A307" s="703" t="s">
        <v>6908</v>
      </c>
      <c r="B307" s="13"/>
      <c r="C307" s="13"/>
      <c r="D307" s="13">
        <v>396</v>
      </c>
      <c r="E307" s="13"/>
      <c r="F307" s="13"/>
      <c r="G307" s="13"/>
      <c r="H307" s="13"/>
      <c r="I307" s="13"/>
      <c r="J307" s="13"/>
      <c r="K307" s="13">
        <f>SUM(B307:J307)</f>
        <v>396</v>
      </c>
      <c r="L307" s="472">
        <v>15128861</v>
      </c>
      <c r="M307" s="13"/>
      <c r="N307" s="13"/>
      <c r="O307" s="13">
        <v>393</v>
      </c>
      <c r="P307" s="13"/>
      <c r="Q307" s="13"/>
      <c r="R307" s="13"/>
      <c r="S307" s="13"/>
      <c r="T307" s="13"/>
      <c r="U307" s="13"/>
      <c r="V307" s="13">
        <f>SUM(M307:U307)</f>
        <v>393</v>
      </c>
      <c r="W307" s="472">
        <v>11790307</v>
      </c>
      <c r="Y307" s="489"/>
      <c r="AA307" s="68"/>
      <c r="AB307" s="68"/>
    </row>
    <row r="308" spans="1:28" ht="24" hidden="1">
      <c r="A308" s="703" t="s">
        <v>6907</v>
      </c>
      <c r="B308" s="13"/>
      <c r="C308" s="13"/>
      <c r="D308" s="13"/>
      <c r="E308" s="13"/>
      <c r="F308" s="13"/>
      <c r="G308" s="13"/>
      <c r="H308" s="13"/>
      <c r="I308" s="13"/>
      <c r="J308" s="13"/>
      <c r="K308" s="13"/>
      <c r="L308" s="472"/>
      <c r="M308" s="13"/>
      <c r="N308" s="13"/>
      <c r="O308" s="13"/>
      <c r="P308" s="13"/>
      <c r="Q308" s="13"/>
      <c r="R308" s="13"/>
      <c r="S308" s="13"/>
      <c r="T308" s="13"/>
      <c r="U308" s="13"/>
      <c r="V308" s="13"/>
      <c r="W308" s="472"/>
      <c r="Y308" s="489"/>
      <c r="AA308" s="68"/>
      <c r="AB308" s="68"/>
    </row>
    <row r="309" spans="1:28" ht="24" hidden="1">
      <c r="A309" s="703" t="s">
        <v>6906</v>
      </c>
      <c r="B309" s="13"/>
      <c r="C309" s="13"/>
      <c r="D309" s="13"/>
      <c r="E309" s="13"/>
      <c r="F309" s="13"/>
      <c r="G309" s="13"/>
      <c r="H309" s="13"/>
      <c r="I309" s="13"/>
      <c r="J309" s="13"/>
      <c r="K309" s="13"/>
      <c r="L309" s="472"/>
      <c r="M309" s="13"/>
      <c r="N309" s="13"/>
      <c r="O309" s="13"/>
      <c r="P309" s="13"/>
      <c r="Q309" s="13"/>
      <c r="R309" s="13"/>
      <c r="S309" s="13"/>
      <c r="T309" s="13"/>
      <c r="U309" s="13"/>
      <c r="V309" s="13"/>
      <c r="W309" s="472"/>
      <c r="Y309" s="489"/>
      <c r="AA309" s="68"/>
      <c r="AB309" s="68"/>
    </row>
    <row r="310" spans="1:28" hidden="1">
      <c r="A310" s="703"/>
      <c r="B310" s="13"/>
      <c r="C310" s="13"/>
      <c r="D310" s="13"/>
      <c r="E310" s="13"/>
      <c r="F310" s="13"/>
      <c r="G310" s="13"/>
      <c r="H310" s="13"/>
      <c r="I310" s="13"/>
      <c r="J310" s="13"/>
      <c r="K310" s="13"/>
      <c r="L310" s="472"/>
      <c r="M310" s="13"/>
      <c r="N310" s="13"/>
      <c r="O310" s="13"/>
      <c r="P310" s="13"/>
      <c r="Q310" s="13"/>
      <c r="R310" s="13"/>
      <c r="S310" s="13"/>
      <c r="T310" s="13"/>
      <c r="U310" s="13"/>
      <c r="V310" s="13"/>
      <c r="W310" s="472"/>
      <c r="AA310" s="68"/>
      <c r="AB310" s="68"/>
    </row>
    <row r="311" spans="1:28" ht="24" hidden="1">
      <c r="A311" s="704" t="s">
        <v>6905</v>
      </c>
      <c r="B311" s="477"/>
      <c r="C311" s="477"/>
      <c r="D311" s="477"/>
      <c r="E311" s="477"/>
      <c r="F311" s="477"/>
      <c r="G311" s="477"/>
      <c r="H311" s="477"/>
      <c r="I311" s="477"/>
      <c r="J311" s="477"/>
      <c r="K311" s="477"/>
      <c r="L311" s="488"/>
      <c r="M311" s="477"/>
      <c r="N311" s="477"/>
      <c r="O311" s="477"/>
      <c r="P311" s="477"/>
      <c r="Q311" s="477"/>
      <c r="R311" s="477"/>
      <c r="S311" s="477"/>
      <c r="T311" s="477"/>
      <c r="U311" s="477"/>
      <c r="V311" s="477"/>
      <c r="W311" s="487"/>
      <c r="AA311" s="68"/>
      <c r="AB311" s="68"/>
    </row>
    <row r="312" spans="1:28" hidden="1">
      <c r="A312" s="703" t="s">
        <v>6904</v>
      </c>
      <c r="B312" s="13"/>
      <c r="C312" s="13"/>
      <c r="D312" s="13"/>
      <c r="E312" s="13"/>
      <c r="F312" s="13"/>
      <c r="G312" s="13"/>
      <c r="H312" s="13"/>
      <c r="I312" s="13"/>
      <c r="J312" s="13"/>
      <c r="K312" s="13"/>
      <c r="L312" s="472"/>
      <c r="M312" s="13"/>
      <c r="N312" s="13"/>
      <c r="O312" s="13"/>
      <c r="P312" s="13"/>
      <c r="Q312" s="13"/>
      <c r="R312" s="13"/>
      <c r="S312" s="13"/>
      <c r="T312" s="13"/>
      <c r="U312" s="13"/>
      <c r="V312" s="13"/>
      <c r="W312" s="16"/>
      <c r="AA312" s="68"/>
      <c r="AB312" s="68"/>
    </row>
    <row r="313" spans="1:28" hidden="1">
      <c r="A313" s="703"/>
      <c r="B313" s="13"/>
      <c r="C313" s="13"/>
      <c r="D313" s="13"/>
      <c r="E313" s="13"/>
      <c r="F313" s="13"/>
      <c r="G313" s="13"/>
      <c r="H313" s="13"/>
      <c r="I313" s="13"/>
      <c r="J313" s="13"/>
      <c r="K313" s="13"/>
      <c r="L313" s="472"/>
      <c r="M313" s="13"/>
      <c r="N313" s="13"/>
      <c r="O313" s="13"/>
      <c r="P313" s="13"/>
      <c r="Q313" s="13"/>
      <c r="R313" s="13"/>
      <c r="S313" s="13"/>
      <c r="T313" s="13"/>
      <c r="U313" s="13"/>
      <c r="V313" s="13"/>
      <c r="W313" s="16"/>
      <c r="AA313" s="68"/>
      <c r="AB313" s="68"/>
    </row>
    <row r="314" spans="1:28">
      <c r="A314" s="707" t="s">
        <v>6903</v>
      </c>
      <c r="B314" s="493"/>
      <c r="C314" s="493"/>
      <c r="D314" s="493"/>
      <c r="E314" s="493"/>
      <c r="F314" s="493"/>
      <c r="G314" s="493"/>
      <c r="H314" s="493"/>
      <c r="I314" s="493">
        <f>I315</f>
        <v>26</v>
      </c>
      <c r="J314" s="493"/>
      <c r="K314" s="493">
        <f>K315</f>
        <v>26</v>
      </c>
      <c r="L314" s="492">
        <f>L315</f>
        <v>452832</v>
      </c>
      <c r="M314" s="493"/>
      <c r="N314" s="493"/>
      <c r="O314" s="493"/>
      <c r="P314" s="493"/>
      <c r="Q314" s="493"/>
      <c r="R314" s="493"/>
      <c r="S314" s="493"/>
      <c r="T314" s="493"/>
      <c r="U314" s="493"/>
      <c r="V314" s="493"/>
      <c r="W314" s="530"/>
      <c r="AA314" s="68"/>
      <c r="AB314" s="68"/>
    </row>
    <row r="315" spans="1:28">
      <c r="A315" s="703" t="s">
        <v>6902</v>
      </c>
      <c r="B315" s="13"/>
      <c r="C315" s="13"/>
      <c r="D315" s="13"/>
      <c r="E315" s="13"/>
      <c r="F315" s="13"/>
      <c r="G315" s="13"/>
      <c r="H315" s="13"/>
      <c r="I315" s="13">
        <v>26</v>
      </c>
      <c r="J315" s="13"/>
      <c r="K315" s="13">
        <f>SUM(B315:J315)</f>
        <v>26</v>
      </c>
      <c r="L315" s="472">
        <v>452832</v>
      </c>
      <c r="M315" s="13"/>
      <c r="N315" s="13"/>
      <c r="O315" s="13"/>
      <c r="P315" s="13"/>
      <c r="Q315" s="13"/>
      <c r="R315" s="13"/>
      <c r="S315" s="13"/>
      <c r="T315" s="13"/>
      <c r="U315" s="13"/>
      <c r="V315" s="13"/>
      <c r="W315" s="16"/>
      <c r="AA315" s="68"/>
      <c r="AB315" s="68"/>
    </row>
    <row r="316" spans="1:28" hidden="1">
      <c r="A316" s="703"/>
      <c r="B316" s="13"/>
      <c r="C316" s="13"/>
      <c r="D316" s="13"/>
      <c r="E316" s="13"/>
      <c r="F316" s="13"/>
      <c r="G316" s="13"/>
      <c r="H316" s="13"/>
      <c r="I316" s="13"/>
      <c r="J316" s="13"/>
      <c r="K316" s="13"/>
      <c r="L316" s="472"/>
      <c r="M316" s="13"/>
      <c r="N316" s="13"/>
      <c r="O316" s="13"/>
      <c r="P316" s="13"/>
      <c r="Q316" s="13"/>
      <c r="R316" s="13"/>
      <c r="S316" s="13"/>
      <c r="T316" s="13"/>
      <c r="U316" s="13"/>
      <c r="V316" s="13"/>
      <c r="W316" s="16"/>
      <c r="AA316" s="68"/>
      <c r="AB316" s="68"/>
    </row>
    <row r="317" spans="1:28" hidden="1">
      <c r="A317" s="705" t="s">
        <v>6901</v>
      </c>
      <c r="B317" s="484"/>
      <c r="C317" s="484"/>
      <c r="D317" s="484"/>
      <c r="E317" s="484"/>
      <c r="F317" s="484"/>
      <c r="G317" s="484"/>
      <c r="H317" s="484"/>
      <c r="I317" s="484"/>
      <c r="J317" s="484"/>
      <c r="K317" s="484"/>
      <c r="L317" s="485"/>
      <c r="M317" s="484"/>
      <c r="N317" s="484"/>
      <c r="O317" s="484"/>
      <c r="P317" s="484"/>
      <c r="Q317" s="484"/>
      <c r="R317" s="484"/>
      <c r="S317" s="484"/>
      <c r="T317" s="484"/>
      <c r="U317" s="484"/>
      <c r="V317" s="484"/>
      <c r="W317" s="483"/>
      <c r="AA317" s="68"/>
      <c r="AB317" s="68"/>
    </row>
    <row r="318" spans="1:28" hidden="1">
      <c r="A318" s="703" t="s">
        <v>6901</v>
      </c>
      <c r="B318" s="13"/>
      <c r="C318" s="13"/>
      <c r="D318" s="13"/>
      <c r="E318" s="13"/>
      <c r="F318" s="13"/>
      <c r="G318" s="13"/>
      <c r="H318" s="13"/>
      <c r="I318" s="13"/>
      <c r="J318" s="13"/>
      <c r="K318" s="13"/>
      <c r="L318" s="472"/>
      <c r="M318" s="13"/>
      <c r="N318" s="13"/>
      <c r="O318" s="13"/>
      <c r="P318" s="13"/>
      <c r="Q318" s="13"/>
      <c r="R318" s="13"/>
      <c r="S318" s="13"/>
      <c r="T318" s="13"/>
      <c r="U318" s="13"/>
      <c r="V318" s="13"/>
      <c r="W318" s="16"/>
      <c r="AA318" s="68"/>
      <c r="AB318" s="68"/>
    </row>
    <row r="319" spans="1:28" hidden="1">
      <c r="A319" s="703"/>
      <c r="B319" s="13"/>
      <c r="C319" s="13"/>
      <c r="D319" s="13"/>
      <c r="E319" s="13"/>
      <c r="F319" s="13"/>
      <c r="G319" s="13"/>
      <c r="H319" s="13"/>
      <c r="I319" s="13"/>
      <c r="J319" s="13"/>
      <c r="K319" s="13"/>
      <c r="L319" s="472"/>
      <c r="M319" s="13"/>
      <c r="N319" s="13"/>
      <c r="O319" s="13"/>
      <c r="P319" s="13"/>
      <c r="Q319" s="13"/>
      <c r="R319" s="13"/>
      <c r="S319" s="13"/>
      <c r="T319" s="13"/>
      <c r="U319" s="13"/>
      <c r="V319" s="13"/>
      <c r="W319" s="16"/>
      <c r="AA319" s="68"/>
      <c r="AB319" s="68"/>
    </row>
    <row r="320" spans="1:28" hidden="1">
      <c r="A320" s="705" t="s">
        <v>6900</v>
      </c>
      <c r="B320" s="484"/>
      <c r="C320" s="484"/>
      <c r="D320" s="484"/>
      <c r="E320" s="484"/>
      <c r="F320" s="484"/>
      <c r="G320" s="484"/>
      <c r="H320" s="484"/>
      <c r="I320" s="484"/>
      <c r="J320" s="484"/>
      <c r="K320" s="484"/>
      <c r="L320" s="485"/>
      <c r="M320" s="484"/>
      <c r="N320" s="484"/>
      <c r="O320" s="484"/>
      <c r="P320" s="484"/>
      <c r="Q320" s="484"/>
      <c r="R320" s="484"/>
      <c r="S320" s="484"/>
      <c r="T320" s="484"/>
      <c r="U320" s="484"/>
      <c r="V320" s="484"/>
      <c r="W320" s="483"/>
      <c r="AA320" s="68"/>
      <c r="AB320" s="68"/>
    </row>
    <row r="321" spans="1:28" hidden="1">
      <c r="A321" s="703" t="s">
        <v>6900</v>
      </c>
      <c r="B321" s="13"/>
      <c r="C321" s="13"/>
      <c r="D321" s="13"/>
      <c r="E321" s="13"/>
      <c r="F321" s="13"/>
      <c r="G321" s="13"/>
      <c r="H321" s="13"/>
      <c r="I321" s="13"/>
      <c r="J321" s="13"/>
      <c r="K321" s="13"/>
      <c r="L321" s="472"/>
      <c r="M321" s="13"/>
      <c r="N321" s="13"/>
      <c r="O321" s="13"/>
      <c r="P321" s="13"/>
      <c r="Q321" s="13"/>
      <c r="R321" s="13"/>
      <c r="S321" s="13"/>
      <c r="T321" s="13"/>
      <c r="U321" s="13"/>
      <c r="V321" s="13"/>
      <c r="W321" s="16"/>
      <c r="AA321" s="68"/>
      <c r="AB321" s="68"/>
    </row>
    <row r="322" spans="1:28" hidden="1">
      <c r="A322" s="703"/>
      <c r="B322" s="13"/>
      <c r="C322" s="13"/>
      <c r="D322" s="13"/>
      <c r="E322" s="13"/>
      <c r="F322" s="13"/>
      <c r="G322" s="13"/>
      <c r="H322" s="13"/>
      <c r="I322" s="13"/>
      <c r="J322" s="13"/>
      <c r="K322" s="13"/>
      <c r="L322" s="472"/>
      <c r="M322" s="13"/>
      <c r="N322" s="13"/>
      <c r="O322" s="13"/>
      <c r="P322" s="13"/>
      <c r="Q322" s="13"/>
      <c r="R322" s="13"/>
      <c r="S322" s="13"/>
      <c r="T322" s="13"/>
      <c r="U322" s="13"/>
      <c r="V322" s="13"/>
      <c r="W322" s="16"/>
      <c r="AA322" s="68"/>
      <c r="AB322" s="68"/>
    </row>
    <row r="323" spans="1:28" hidden="1">
      <c r="A323" s="705" t="s">
        <v>6899</v>
      </c>
      <c r="B323" s="484"/>
      <c r="C323" s="484"/>
      <c r="D323" s="484"/>
      <c r="E323" s="484"/>
      <c r="F323" s="484"/>
      <c r="G323" s="484"/>
      <c r="H323" s="484"/>
      <c r="I323" s="484"/>
      <c r="J323" s="484"/>
      <c r="K323" s="484"/>
      <c r="L323" s="485"/>
      <c r="M323" s="484"/>
      <c r="N323" s="484"/>
      <c r="O323" s="484"/>
      <c r="P323" s="484"/>
      <c r="Q323" s="484"/>
      <c r="R323" s="484"/>
      <c r="S323" s="484"/>
      <c r="T323" s="484"/>
      <c r="U323" s="484"/>
      <c r="V323" s="484"/>
      <c r="W323" s="483"/>
      <c r="AA323" s="68"/>
      <c r="AB323" s="68"/>
    </row>
    <row r="324" spans="1:28" ht="24" hidden="1">
      <c r="A324" s="703" t="s">
        <v>6898</v>
      </c>
      <c r="B324" s="13"/>
      <c r="C324" s="13"/>
      <c r="D324" s="13"/>
      <c r="E324" s="13"/>
      <c r="F324" s="13"/>
      <c r="G324" s="13"/>
      <c r="H324" s="13"/>
      <c r="I324" s="13"/>
      <c r="J324" s="13"/>
      <c r="K324" s="13"/>
      <c r="L324" s="472"/>
      <c r="M324" s="13"/>
      <c r="N324" s="13"/>
      <c r="O324" s="13"/>
      <c r="P324" s="13"/>
      <c r="Q324" s="13"/>
      <c r="R324" s="13"/>
      <c r="S324" s="13"/>
      <c r="T324" s="13"/>
      <c r="U324" s="13"/>
      <c r="V324" s="13"/>
      <c r="W324" s="16"/>
      <c r="AA324" s="68"/>
      <c r="AB324" s="68"/>
    </row>
    <row r="325" spans="1:28" hidden="1">
      <c r="A325" s="703" t="s">
        <v>6897</v>
      </c>
      <c r="B325" s="13"/>
      <c r="C325" s="13"/>
      <c r="D325" s="13"/>
      <c r="E325" s="13"/>
      <c r="F325" s="13"/>
      <c r="G325" s="13"/>
      <c r="H325" s="13"/>
      <c r="I325" s="13"/>
      <c r="J325" s="13"/>
      <c r="K325" s="13"/>
      <c r="L325" s="472"/>
      <c r="M325" s="13"/>
      <c r="N325" s="13"/>
      <c r="O325" s="13"/>
      <c r="P325" s="13"/>
      <c r="Q325" s="13"/>
      <c r="R325" s="13"/>
      <c r="S325" s="13"/>
      <c r="T325" s="13"/>
      <c r="U325" s="13"/>
      <c r="V325" s="13"/>
      <c r="W325" s="16"/>
      <c r="AA325" s="68"/>
      <c r="AB325" s="68"/>
    </row>
    <row r="326" spans="1:28" hidden="1">
      <c r="A326" s="703" t="s">
        <v>6896</v>
      </c>
      <c r="B326" s="13"/>
      <c r="C326" s="13"/>
      <c r="D326" s="13"/>
      <c r="E326" s="13"/>
      <c r="F326" s="13"/>
      <c r="G326" s="13"/>
      <c r="H326" s="13"/>
      <c r="I326" s="13"/>
      <c r="J326" s="13"/>
      <c r="K326" s="13"/>
      <c r="L326" s="472"/>
      <c r="M326" s="13"/>
      <c r="N326" s="13"/>
      <c r="O326" s="13"/>
      <c r="P326" s="13"/>
      <c r="Q326" s="13"/>
      <c r="R326" s="13"/>
      <c r="S326" s="13"/>
      <c r="T326" s="13"/>
      <c r="U326" s="13"/>
      <c r="V326" s="13"/>
      <c r="W326" s="16"/>
      <c r="AA326" s="68"/>
      <c r="AB326" s="68"/>
    </row>
    <row r="327" spans="1:28" hidden="1">
      <c r="A327" s="703" t="s">
        <v>6895</v>
      </c>
      <c r="B327" s="13"/>
      <c r="C327" s="13"/>
      <c r="D327" s="13"/>
      <c r="E327" s="13"/>
      <c r="F327" s="13"/>
      <c r="G327" s="13"/>
      <c r="H327" s="13"/>
      <c r="I327" s="13"/>
      <c r="J327" s="13"/>
      <c r="K327" s="13"/>
      <c r="L327" s="472"/>
      <c r="M327" s="13"/>
      <c r="N327" s="13"/>
      <c r="O327" s="13"/>
      <c r="P327" s="13"/>
      <c r="Q327" s="13"/>
      <c r="R327" s="13"/>
      <c r="S327" s="13"/>
      <c r="T327" s="13"/>
      <c r="U327" s="13"/>
      <c r="V327" s="13"/>
      <c r="W327" s="16"/>
      <c r="AA327" s="68"/>
      <c r="AB327" s="68"/>
    </row>
    <row r="328" spans="1:28" hidden="1">
      <c r="A328" s="703"/>
      <c r="B328" s="13"/>
      <c r="C328" s="13"/>
      <c r="D328" s="13"/>
      <c r="E328" s="13"/>
      <c r="F328" s="13"/>
      <c r="G328" s="13"/>
      <c r="H328" s="13"/>
      <c r="I328" s="13"/>
      <c r="J328" s="13"/>
      <c r="K328" s="13"/>
      <c r="L328" s="472"/>
      <c r="M328" s="13"/>
      <c r="N328" s="13"/>
      <c r="O328" s="13"/>
      <c r="P328" s="13"/>
      <c r="Q328" s="13"/>
      <c r="R328" s="13"/>
      <c r="S328" s="13"/>
      <c r="T328" s="13"/>
      <c r="U328" s="13"/>
      <c r="V328" s="13"/>
      <c r="W328" s="16"/>
      <c r="AA328" s="68"/>
      <c r="AB328" s="68"/>
    </row>
    <row r="329" spans="1:28">
      <c r="A329" s="704" t="s">
        <v>6894</v>
      </c>
      <c r="B329" s="482"/>
      <c r="C329" s="482"/>
      <c r="D329" s="482"/>
      <c r="E329" s="482"/>
      <c r="F329" s="482"/>
      <c r="G329" s="482"/>
      <c r="H329" s="482"/>
      <c r="I329" s="482"/>
      <c r="J329" s="482">
        <f>SUM(J330:J333)</f>
        <v>0</v>
      </c>
      <c r="K329" s="482">
        <f>SUM(K330:K333)</f>
        <v>0</v>
      </c>
      <c r="L329" s="479">
        <f>SUM(L330:L335)</f>
        <v>7450347</v>
      </c>
      <c r="M329" s="478"/>
      <c r="N329" s="482"/>
      <c r="O329" s="482"/>
      <c r="P329" s="482"/>
      <c r="Q329" s="482"/>
      <c r="R329" s="482"/>
      <c r="S329" s="482"/>
      <c r="T329" s="482"/>
      <c r="U329" s="482"/>
      <c r="V329" s="482"/>
      <c r="W329" s="528">
        <f>SUM(W330:W335)</f>
        <v>0</v>
      </c>
      <c r="AA329" s="68"/>
      <c r="AB329" s="68"/>
    </row>
    <row r="330" spans="1:28" ht="24" hidden="1">
      <c r="A330" s="703" t="s">
        <v>6893</v>
      </c>
      <c r="B330" s="13"/>
      <c r="C330" s="13"/>
      <c r="D330" s="13"/>
      <c r="E330" s="13"/>
      <c r="F330" s="13"/>
      <c r="G330" s="13"/>
      <c r="H330" s="13"/>
      <c r="I330" s="13"/>
      <c r="J330" s="13"/>
      <c r="K330" s="13"/>
      <c r="L330" s="529"/>
      <c r="M330" s="503"/>
      <c r="N330" s="13"/>
      <c r="O330" s="13"/>
      <c r="P330" s="13"/>
      <c r="Q330" s="13"/>
      <c r="R330" s="13"/>
      <c r="S330" s="13"/>
      <c r="T330" s="13"/>
      <c r="U330" s="13"/>
      <c r="V330" s="13"/>
      <c r="W330" s="16"/>
      <c r="AA330" s="68"/>
      <c r="AB330" s="68"/>
    </row>
    <row r="331" spans="1:28" ht="24" hidden="1">
      <c r="A331" s="703" t="s">
        <v>6892</v>
      </c>
      <c r="B331" s="13"/>
      <c r="C331" s="13"/>
      <c r="D331" s="13"/>
      <c r="E331" s="13"/>
      <c r="F331" s="13"/>
      <c r="G331" s="13"/>
      <c r="H331" s="13"/>
      <c r="I331" s="13"/>
      <c r="J331" s="13"/>
      <c r="K331" s="13"/>
      <c r="L331" s="529"/>
      <c r="M331" s="503"/>
      <c r="N331" s="13"/>
      <c r="O331" s="13"/>
      <c r="P331" s="13"/>
      <c r="Q331" s="13"/>
      <c r="R331" s="13"/>
      <c r="S331" s="13"/>
      <c r="T331" s="13"/>
      <c r="U331" s="13"/>
      <c r="V331" s="13"/>
      <c r="W331" s="16"/>
      <c r="AA331" s="68"/>
      <c r="AB331" s="68"/>
    </row>
    <row r="332" spans="1:28" ht="24" hidden="1">
      <c r="A332" s="703" t="s">
        <v>6891</v>
      </c>
      <c r="B332" s="13"/>
      <c r="C332" s="13"/>
      <c r="D332" s="13"/>
      <c r="E332" s="13"/>
      <c r="F332" s="13"/>
      <c r="G332" s="13"/>
      <c r="H332" s="13"/>
      <c r="I332" s="13"/>
      <c r="J332" s="13"/>
      <c r="K332" s="13"/>
      <c r="L332" s="472"/>
      <c r="M332" s="13"/>
      <c r="N332" s="13"/>
      <c r="O332" s="13"/>
      <c r="P332" s="13"/>
      <c r="Q332" s="13"/>
      <c r="R332" s="13"/>
      <c r="S332" s="13"/>
      <c r="T332" s="13"/>
      <c r="U332" s="13"/>
      <c r="V332" s="13"/>
      <c r="W332" s="16"/>
      <c r="AA332" s="68"/>
      <c r="AB332" s="68"/>
    </row>
    <row r="333" spans="1:28" hidden="1">
      <c r="A333" s="703" t="s">
        <v>6890</v>
      </c>
      <c r="B333" s="13"/>
      <c r="C333" s="13"/>
      <c r="D333" s="13"/>
      <c r="E333" s="13"/>
      <c r="F333" s="13"/>
      <c r="G333" s="13"/>
      <c r="H333" s="13"/>
      <c r="I333" s="13"/>
      <c r="J333" s="13"/>
      <c r="K333" s="13"/>
      <c r="L333" s="472"/>
      <c r="M333" s="13"/>
      <c r="N333" s="13"/>
      <c r="O333" s="13"/>
      <c r="P333" s="13"/>
      <c r="Q333" s="13"/>
      <c r="R333" s="13"/>
      <c r="S333" s="13"/>
      <c r="T333" s="13"/>
      <c r="U333" s="13"/>
      <c r="V333" s="13"/>
      <c r="W333" s="16"/>
      <c r="AA333" s="68"/>
      <c r="AB333" s="68"/>
    </row>
    <row r="334" spans="1:28" ht="24" hidden="1">
      <c r="A334" s="703" t="s">
        <v>6889</v>
      </c>
      <c r="B334" s="13"/>
      <c r="C334" s="13"/>
      <c r="D334" s="13"/>
      <c r="E334" s="13"/>
      <c r="F334" s="13"/>
      <c r="G334" s="13"/>
      <c r="H334" s="13"/>
      <c r="I334" s="13"/>
      <c r="J334" s="13"/>
      <c r="K334" s="13"/>
      <c r="L334" s="472"/>
      <c r="M334" s="13"/>
      <c r="N334" s="13"/>
      <c r="O334" s="13"/>
      <c r="P334" s="13"/>
      <c r="Q334" s="13"/>
      <c r="R334" s="13"/>
      <c r="S334" s="13"/>
      <c r="T334" s="13"/>
      <c r="U334" s="13"/>
      <c r="V334" s="13"/>
      <c r="W334" s="472"/>
      <c r="AA334" s="68"/>
      <c r="AB334" s="68"/>
    </row>
    <row r="335" spans="1:28" ht="24">
      <c r="A335" s="703" t="s">
        <v>6888</v>
      </c>
      <c r="B335" s="13"/>
      <c r="C335" s="13"/>
      <c r="D335" s="13"/>
      <c r="E335" s="13"/>
      <c r="F335" s="13"/>
      <c r="G335" s="13"/>
      <c r="H335" s="13"/>
      <c r="I335" s="13"/>
      <c r="J335" s="13"/>
      <c r="K335" s="13"/>
      <c r="L335" s="472">
        <f>6399240+1051107</f>
        <v>7450347</v>
      </c>
      <c r="M335" s="13"/>
      <c r="N335" s="13"/>
      <c r="O335" s="13"/>
      <c r="P335" s="13"/>
      <c r="Q335" s="13"/>
      <c r="R335" s="13"/>
      <c r="S335" s="13"/>
      <c r="T335" s="13"/>
      <c r="U335" s="13"/>
      <c r="V335" s="13"/>
      <c r="W335" s="16"/>
      <c r="AA335" s="68"/>
      <c r="AB335" s="68"/>
    </row>
    <row r="336" spans="1:28" hidden="1">
      <c r="A336" s="704" t="s">
        <v>6887</v>
      </c>
      <c r="B336" s="477"/>
      <c r="C336" s="477"/>
      <c r="D336" s="477"/>
      <c r="E336" s="477"/>
      <c r="F336" s="477"/>
      <c r="G336" s="477"/>
      <c r="H336" s="477"/>
      <c r="I336" s="477"/>
      <c r="J336" s="480">
        <f>SUM(J337:J341)</f>
        <v>0</v>
      </c>
      <c r="K336" s="477"/>
      <c r="L336" s="528">
        <f>SUM(L337:L339)</f>
        <v>0</v>
      </c>
      <c r="M336" s="477"/>
      <c r="N336" s="477"/>
      <c r="O336" s="477"/>
      <c r="P336" s="477"/>
      <c r="Q336" s="477"/>
      <c r="R336" s="477"/>
      <c r="S336" s="477"/>
      <c r="T336" s="477"/>
      <c r="U336" s="477"/>
      <c r="V336" s="477"/>
      <c r="W336" s="528">
        <f>SUM(W337:W339)</f>
        <v>0</v>
      </c>
      <c r="AA336" s="68"/>
      <c r="AB336" s="68"/>
    </row>
    <row r="337" spans="1:28" hidden="1">
      <c r="A337" s="703" t="s">
        <v>6886</v>
      </c>
      <c r="B337" s="13"/>
      <c r="C337" s="13"/>
      <c r="D337" s="13"/>
      <c r="E337" s="13"/>
      <c r="F337" s="13"/>
      <c r="G337" s="13"/>
      <c r="H337" s="13"/>
      <c r="I337" s="13"/>
      <c r="J337" s="13"/>
      <c r="K337" s="13"/>
      <c r="L337" s="472"/>
      <c r="M337" s="13"/>
      <c r="N337" s="13"/>
      <c r="O337" s="13"/>
      <c r="P337" s="13"/>
      <c r="Q337" s="13"/>
      <c r="R337" s="13"/>
      <c r="S337" s="13"/>
      <c r="T337" s="13"/>
      <c r="U337" s="13"/>
      <c r="V337" s="13"/>
      <c r="W337" s="16"/>
      <c r="AA337" s="68"/>
      <c r="AB337" s="68"/>
    </row>
    <row r="338" spans="1:28" hidden="1">
      <c r="A338" s="703" t="s">
        <v>6885</v>
      </c>
      <c r="B338" s="13"/>
      <c r="C338" s="13"/>
      <c r="D338" s="13"/>
      <c r="E338" s="13"/>
      <c r="F338" s="13"/>
      <c r="G338" s="13"/>
      <c r="H338" s="13"/>
      <c r="I338" s="13"/>
      <c r="J338" s="13"/>
      <c r="K338" s="13"/>
      <c r="L338" s="472"/>
      <c r="M338" s="13"/>
      <c r="N338" s="13"/>
      <c r="O338" s="13"/>
      <c r="P338" s="13"/>
      <c r="Q338" s="13"/>
      <c r="R338" s="13"/>
      <c r="S338" s="13"/>
      <c r="T338" s="13"/>
      <c r="U338" s="13"/>
      <c r="V338" s="13"/>
      <c r="W338" s="16"/>
      <c r="AA338" s="68"/>
      <c r="AB338" s="68"/>
    </row>
    <row r="339" spans="1:28" hidden="1">
      <c r="A339" s="703" t="s">
        <v>6884</v>
      </c>
      <c r="B339" s="13"/>
      <c r="C339" s="13"/>
      <c r="D339" s="13"/>
      <c r="E339" s="13"/>
      <c r="F339" s="13"/>
      <c r="G339" s="13"/>
      <c r="H339" s="13"/>
      <c r="I339" s="13"/>
      <c r="J339" s="13"/>
      <c r="K339" s="13"/>
      <c r="L339" s="472"/>
      <c r="M339" s="13"/>
      <c r="N339" s="13"/>
      <c r="O339" s="13"/>
      <c r="P339" s="13"/>
      <c r="Q339" s="13"/>
      <c r="R339" s="13"/>
      <c r="S339" s="13"/>
      <c r="T339" s="13"/>
      <c r="U339" s="13"/>
      <c r="V339" s="13"/>
      <c r="W339" s="16"/>
      <c r="AA339" s="68"/>
      <c r="AB339" s="68"/>
    </row>
    <row r="340" spans="1:28" ht="24">
      <c r="A340" s="716" t="s">
        <v>6883</v>
      </c>
      <c r="B340" s="493"/>
      <c r="C340" s="493"/>
      <c r="D340" s="493"/>
      <c r="E340" s="493"/>
      <c r="F340" s="493"/>
      <c r="G340" s="493"/>
      <c r="H340" s="493"/>
      <c r="I340" s="493"/>
      <c r="J340" s="493"/>
      <c r="K340" s="493"/>
      <c r="L340" s="492">
        <f>L341</f>
        <v>93365435</v>
      </c>
      <c r="M340" s="493"/>
      <c r="N340" s="493"/>
      <c r="O340" s="493"/>
      <c r="P340" s="493"/>
      <c r="Q340" s="493"/>
      <c r="R340" s="493"/>
      <c r="S340" s="493"/>
      <c r="T340" s="493"/>
      <c r="U340" s="493"/>
      <c r="V340" s="493">
        <f>SUM(M340:U340)</f>
        <v>0</v>
      </c>
      <c r="W340" s="492">
        <f>W341</f>
        <v>92108193</v>
      </c>
      <c r="AA340" s="68"/>
      <c r="AB340" s="68"/>
    </row>
    <row r="341" spans="1:28" ht="13.5" thickBot="1">
      <c r="A341" s="703" t="s">
        <v>6882</v>
      </c>
      <c r="B341" s="13"/>
      <c r="C341" s="13"/>
      <c r="D341" s="13"/>
      <c r="E341" s="13"/>
      <c r="F341" s="13"/>
      <c r="G341" s="13"/>
      <c r="H341" s="13"/>
      <c r="I341" s="13"/>
      <c r="J341" s="13"/>
      <c r="K341" s="13"/>
      <c r="L341" s="472">
        <v>93365435</v>
      </c>
      <c r="M341" s="13"/>
      <c r="N341" s="13"/>
      <c r="O341" s="13"/>
      <c r="P341" s="13"/>
      <c r="Q341" s="13"/>
      <c r="R341" s="13"/>
      <c r="S341" s="13"/>
      <c r="T341" s="13"/>
      <c r="U341" s="13"/>
      <c r="V341" s="13"/>
      <c r="W341" s="472">
        <v>92108193</v>
      </c>
      <c r="AA341" s="68"/>
      <c r="AB341" s="68"/>
    </row>
    <row r="342" spans="1:28" ht="13.5" thickBot="1">
      <c r="A342" s="17" t="s">
        <v>23</v>
      </c>
      <c r="B342" s="471">
        <f>B10+B50+B67+B91+B213+B219+B292+B306+B329+B336+B340+B79</f>
        <v>5150</v>
      </c>
      <c r="C342" s="470">
        <f t="shared" ref="C342:H342" si="81">C10+C50+C67+C91+C213+C219+C292+C306+C329+C336+C340</f>
        <v>0</v>
      </c>
      <c r="D342" s="470">
        <f t="shared" si="81"/>
        <v>396</v>
      </c>
      <c r="E342" s="470">
        <f t="shared" si="81"/>
        <v>0</v>
      </c>
      <c r="F342" s="470">
        <f t="shared" si="81"/>
        <v>0</v>
      </c>
      <c r="G342" s="470">
        <f t="shared" si="81"/>
        <v>0</v>
      </c>
      <c r="H342" s="470">
        <f t="shared" si="81"/>
        <v>0</v>
      </c>
      <c r="I342" s="470">
        <f>I10+I50+I67+I91+I213+I219+I292+I306+I329+I336+I340+I314</f>
        <v>136</v>
      </c>
      <c r="J342" s="470">
        <f>J10+J50+J67+J91+J219+J292+J306+J329+J336+J340+J314+J79</f>
        <v>28445</v>
      </c>
      <c r="K342" s="470">
        <f>K10+K50+K67+K91+K219+K292+K306+K329+K336+K340+K314+K79</f>
        <v>34127</v>
      </c>
      <c r="L342" s="469">
        <f>L10+L50+L67+L91+L219+L292+L306+L329+L336+L340+L314+L79+L213</f>
        <v>1284702073.6506355</v>
      </c>
      <c r="M342" s="471">
        <f>M10+M50+M67+M91+M213+M219+M292+M306+M329+M336+M340+M79</f>
        <v>5150</v>
      </c>
      <c r="N342" s="470">
        <f t="shared" ref="N342:S342" si="82">N10+N50+N67+N91+N213+N219+N292+N306+N329+N336+N340</f>
        <v>0</v>
      </c>
      <c r="O342" s="470">
        <f t="shared" si="82"/>
        <v>393</v>
      </c>
      <c r="P342" s="470">
        <f t="shared" si="82"/>
        <v>0</v>
      </c>
      <c r="Q342" s="470">
        <f t="shared" si="82"/>
        <v>0</v>
      </c>
      <c r="R342" s="470">
        <f t="shared" si="82"/>
        <v>0</v>
      </c>
      <c r="S342" s="470">
        <f t="shared" si="82"/>
        <v>0</v>
      </c>
      <c r="T342" s="470">
        <f>T10+T50+T67+T91+T213+T219+T292+T306+T329+T336+T340+T314</f>
        <v>110</v>
      </c>
      <c r="U342" s="470">
        <f>U10+U50+U67+U91+U219+U292+U306+U329+U336+U340+U314+U79</f>
        <v>28851</v>
      </c>
      <c r="V342" s="470">
        <f>V10+V50+V67+V91+V219+V292+V306+V329+V336+V340+V314+V79</f>
        <v>34504</v>
      </c>
      <c r="W342" s="469">
        <f>W10+W50+W67+W91+W219+W292+W306+W329+W336+W340+W314+W79+W213</f>
        <v>1272497513.1695242</v>
      </c>
      <c r="X342" s="55"/>
      <c r="AA342" s="68"/>
      <c r="AB342" s="68"/>
    </row>
    <row r="343" spans="1:28" s="712" customFormat="1" ht="6">
      <c r="A343" s="2007"/>
      <c r="B343" s="2008"/>
      <c r="C343" s="2008"/>
      <c r="D343" s="2008"/>
      <c r="E343" s="2008"/>
      <c r="F343" s="2008"/>
      <c r="G343" s="2008"/>
      <c r="H343" s="2008"/>
      <c r="I343" s="2008"/>
      <c r="J343" s="2008"/>
      <c r="K343" s="2008"/>
      <c r="L343" s="2008"/>
      <c r="M343" s="2008"/>
      <c r="N343" s="2008"/>
      <c r="O343" s="2008"/>
      <c r="P343" s="2008"/>
      <c r="Q343" s="2008"/>
      <c r="R343" s="2008"/>
      <c r="S343" s="2008"/>
      <c r="T343" s="2008"/>
      <c r="U343" s="2008"/>
      <c r="V343" s="2008"/>
      <c r="W343" s="2009"/>
      <c r="X343" s="711"/>
    </row>
    <row r="344" spans="1:28" ht="15">
      <c r="A344" s="2004" t="s">
        <v>7177</v>
      </c>
      <c r="B344" s="2005"/>
      <c r="C344" s="2005"/>
      <c r="D344" s="2005"/>
      <c r="E344" s="2005"/>
      <c r="F344" s="2005"/>
      <c r="G344" s="2005"/>
      <c r="H344" s="2005"/>
      <c r="I344" s="2005"/>
      <c r="J344" s="2005"/>
      <c r="K344" s="2005"/>
      <c r="L344" s="2005"/>
      <c r="M344" s="2005"/>
      <c r="N344" s="2005"/>
      <c r="O344" s="2005"/>
      <c r="P344" s="2005"/>
      <c r="Q344" s="2005"/>
      <c r="R344" s="2005"/>
      <c r="S344" s="2005"/>
      <c r="T344" s="2005"/>
      <c r="U344" s="2005"/>
      <c r="V344" s="2005"/>
      <c r="W344" s="2006"/>
      <c r="Y344" s="68"/>
      <c r="Z344" s="68"/>
      <c r="AA344" s="68"/>
      <c r="AB344" s="68"/>
    </row>
    <row r="345" spans="1:28" s="710" customFormat="1" ht="8.25">
      <c r="A345" s="2010"/>
      <c r="B345" s="2011"/>
      <c r="C345" s="2011"/>
      <c r="D345" s="2011"/>
      <c r="E345" s="2011"/>
      <c r="F345" s="2011"/>
      <c r="G345" s="2011"/>
      <c r="H345" s="2011"/>
      <c r="I345" s="2011"/>
      <c r="J345" s="2011"/>
      <c r="K345" s="2011"/>
      <c r="L345" s="2011"/>
      <c r="M345" s="2011"/>
      <c r="N345" s="2011"/>
      <c r="O345" s="2011"/>
      <c r="P345" s="2011"/>
      <c r="Q345" s="2011"/>
      <c r="R345" s="2011"/>
      <c r="S345" s="2011"/>
      <c r="T345" s="2011"/>
      <c r="U345" s="2011"/>
      <c r="V345" s="2011"/>
      <c r="W345" s="2012"/>
      <c r="X345" s="709"/>
    </row>
    <row r="346" spans="1:28" ht="24">
      <c r="A346" s="704" t="s">
        <v>6909</v>
      </c>
      <c r="B346" s="482"/>
      <c r="C346" s="482"/>
      <c r="D346" s="482">
        <f t="shared" ref="D346:W346" si="83">SUM(D347:D349)</f>
        <v>77</v>
      </c>
      <c r="E346" s="482">
        <f t="shared" si="83"/>
        <v>0</v>
      </c>
      <c r="F346" s="482">
        <f t="shared" si="83"/>
        <v>0</v>
      </c>
      <c r="G346" s="482">
        <f t="shared" si="83"/>
        <v>0</v>
      </c>
      <c r="H346" s="482">
        <f t="shared" si="83"/>
        <v>0</v>
      </c>
      <c r="I346" s="482">
        <f t="shared" si="83"/>
        <v>0</v>
      </c>
      <c r="J346" s="482">
        <f t="shared" si="83"/>
        <v>0</v>
      </c>
      <c r="K346" s="482">
        <f t="shared" si="83"/>
        <v>77</v>
      </c>
      <c r="L346" s="474">
        <f t="shared" si="83"/>
        <v>4147098</v>
      </c>
      <c r="M346" s="482">
        <f t="shared" si="83"/>
        <v>0</v>
      </c>
      <c r="N346" s="482">
        <f t="shared" si="83"/>
        <v>0</v>
      </c>
      <c r="O346" s="482">
        <f t="shared" si="83"/>
        <v>83</v>
      </c>
      <c r="P346" s="482">
        <f t="shared" si="83"/>
        <v>0</v>
      </c>
      <c r="Q346" s="482">
        <f t="shared" si="83"/>
        <v>0</v>
      </c>
      <c r="R346" s="482">
        <f t="shared" si="83"/>
        <v>0</v>
      </c>
      <c r="S346" s="482">
        <f t="shared" si="83"/>
        <v>0</v>
      </c>
      <c r="T346" s="482">
        <f t="shared" si="83"/>
        <v>0</v>
      </c>
      <c r="U346" s="482">
        <f t="shared" si="83"/>
        <v>0</v>
      </c>
      <c r="V346" s="482">
        <f t="shared" si="83"/>
        <v>83</v>
      </c>
      <c r="W346" s="474">
        <f t="shared" si="83"/>
        <v>3525034</v>
      </c>
      <c r="Y346" s="490"/>
      <c r="AA346" s="68"/>
      <c r="AB346" s="68"/>
    </row>
    <row r="347" spans="1:28" ht="24">
      <c r="A347" s="703" t="s">
        <v>6908</v>
      </c>
      <c r="B347" s="13"/>
      <c r="C347" s="13"/>
      <c r="D347" s="13">
        <v>77</v>
      </c>
      <c r="E347" s="13"/>
      <c r="F347" s="13"/>
      <c r="G347" s="13"/>
      <c r="H347" s="13"/>
      <c r="I347" s="13"/>
      <c r="J347" s="13"/>
      <c r="K347" s="13">
        <f>SUM(B347:J347)</f>
        <v>77</v>
      </c>
      <c r="L347" s="472">
        <v>4147098</v>
      </c>
      <c r="M347" s="13"/>
      <c r="N347" s="13"/>
      <c r="O347" s="13">
        <v>83</v>
      </c>
      <c r="P347" s="13"/>
      <c r="Q347" s="13"/>
      <c r="R347" s="13"/>
      <c r="S347" s="13"/>
      <c r="T347" s="13"/>
      <c r="U347" s="13"/>
      <c r="V347" s="13">
        <f>SUM(M347:U347)</f>
        <v>83</v>
      </c>
      <c r="W347" s="472">
        <v>3525034</v>
      </c>
      <c r="Y347" s="489"/>
      <c r="AA347" s="68"/>
      <c r="AB347" s="68"/>
    </row>
    <row r="348" spans="1:28" ht="24" hidden="1">
      <c r="A348" s="703" t="s">
        <v>6907</v>
      </c>
      <c r="B348" s="13"/>
      <c r="C348" s="13"/>
      <c r="D348" s="13"/>
      <c r="E348" s="13"/>
      <c r="F348" s="13"/>
      <c r="G348" s="13"/>
      <c r="H348" s="13"/>
      <c r="I348" s="13"/>
      <c r="J348" s="13"/>
      <c r="K348" s="13"/>
      <c r="L348" s="472"/>
      <c r="M348" s="13"/>
      <c r="N348" s="13"/>
      <c r="O348" s="13"/>
      <c r="P348" s="13"/>
      <c r="Q348" s="13"/>
      <c r="R348" s="13"/>
      <c r="S348" s="13"/>
      <c r="T348" s="13"/>
      <c r="U348" s="13"/>
      <c r="V348" s="13"/>
      <c r="W348" s="472"/>
      <c r="Y348" s="489"/>
      <c r="AA348" s="68"/>
      <c r="AB348" s="68"/>
    </row>
    <row r="349" spans="1:28" ht="24" hidden="1">
      <c r="A349" s="703" t="s">
        <v>6906</v>
      </c>
      <c r="B349" s="13"/>
      <c r="C349" s="13"/>
      <c r="D349" s="13"/>
      <c r="E349" s="13"/>
      <c r="F349" s="13"/>
      <c r="G349" s="13"/>
      <c r="H349" s="13"/>
      <c r="I349" s="13"/>
      <c r="J349" s="13"/>
      <c r="K349" s="13"/>
      <c r="L349" s="472"/>
      <c r="M349" s="13"/>
      <c r="N349" s="13"/>
      <c r="O349" s="13"/>
      <c r="P349" s="13"/>
      <c r="Q349" s="13"/>
      <c r="R349" s="13"/>
      <c r="S349" s="13"/>
      <c r="T349" s="13"/>
      <c r="U349" s="13"/>
      <c r="V349" s="13"/>
      <c r="W349" s="472"/>
      <c r="Y349" s="489"/>
      <c r="AA349" s="68"/>
      <c r="AB349" s="68"/>
    </row>
    <row r="350" spans="1:28" hidden="1">
      <c r="A350" s="703"/>
      <c r="B350" s="13"/>
      <c r="C350" s="13"/>
      <c r="D350" s="13"/>
      <c r="E350" s="13"/>
      <c r="F350" s="13"/>
      <c r="G350" s="13"/>
      <c r="H350" s="13"/>
      <c r="I350" s="13"/>
      <c r="J350" s="13"/>
      <c r="K350" s="13"/>
      <c r="L350" s="472"/>
      <c r="M350" s="13"/>
      <c r="N350" s="13"/>
      <c r="O350" s="13"/>
      <c r="P350" s="13"/>
      <c r="Q350" s="13"/>
      <c r="R350" s="13"/>
      <c r="S350" s="13"/>
      <c r="T350" s="13"/>
      <c r="U350" s="13"/>
      <c r="V350" s="13"/>
      <c r="W350" s="472"/>
      <c r="AA350" s="68"/>
      <c r="AB350" s="68"/>
    </row>
    <row r="351" spans="1:28">
      <c r="A351" s="716" t="s">
        <v>6903</v>
      </c>
      <c r="B351" s="547"/>
      <c r="C351" s="547"/>
      <c r="D351" s="547"/>
      <c r="E351" s="547"/>
      <c r="F351" s="547"/>
      <c r="G351" s="547"/>
      <c r="H351" s="547"/>
      <c r="I351" s="547">
        <f>I352</f>
        <v>12</v>
      </c>
      <c r="J351" s="547"/>
      <c r="K351" s="547">
        <f>K352</f>
        <v>12</v>
      </c>
      <c r="L351" s="546">
        <f>L352</f>
        <v>160392</v>
      </c>
      <c r="M351" s="547"/>
      <c r="N351" s="547"/>
      <c r="O351" s="547"/>
      <c r="P351" s="547"/>
      <c r="Q351" s="547"/>
      <c r="R351" s="547"/>
      <c r="S351" s="547"/>
      <c r="T351" s="547">
        <f>T352</f>
        <v>12</v>
      </c>
      <c r="U351" s="547"/>
      <c r="V351" s="547">
        <f>V352</f>
        <v>12</v>
      </c>
      <c r="W351" s="546">
        <f>W352</f>
        <v>160394</v>
      </c>
      <c r="AA351" s="68"/>
      <c r="AB351" s="68"/>
    </row>
    <row r="352" spans="1:28" ht="13.5" thickBot="1">
      <c r="A352" s="703" t="s">
        <v>6902</v>
      </c>
      <c r="B352" s="13"/>
      <c r="C352" s="13"/>
      <c r="D352" s="13"/>
      <c r="E352" s="13"/>
      <c r="F352" s="13"/>
      <c r="G352" s="13"/>
      <c r="H352" s="13"/>
      <c r="I352" s="13">
        <v>12</v>
      </c>
      <c r="J352" s="13"/>
      <c r="K352" s="13">
        <f>SUM(B352:J352)</f>
        <v>12</v>
      </c>
      <c r="L352" s="472">
        <v>160392</v>
      </c>
      <c r="M352" s="13"/>
      <c r="N352" s="13"/>
      <c r="O352" s="13"/>
      <c r="P352" s="13"/>
      <c r="Q352" s="13"/>
      <c r="R352" s="13"/>
      <c r="S352" s="13"/>
      <c r="T352" s="13">
        <v>12</v>
      </c>
      <c r="U352" s="13"/>
      <c r="V352" s="13">
        <f>SUM(M352:U352)</f>
        <v>12</v>
      </c>
      <c r="W352" s="504">
        <v>160394</v>
      </c>
      <c r="AA352" s="68"/>
      <c r="AB352" s="68"/>
    </row>
    <row r="353" spans="1:28" ht="13.5" hidden="1" thickBot="1">
      <c r="A353" s="15"/>
      <c r="B353" s="13"/>
      <c r="C353" s="13"/>
      <c r="D353" s="13"/>
      <c r="E353" s="13"/>
      <c r="F353" s="13"/>
      <c r="G353" s="13"/>
      <c r="H353" s="13"/>
      <c r="I353" s="13"/>
      <c r="J353" s="13"/>
      <c r="K353" s="13"/>
      <c r="L353" s="472"/>
      <c r="M353" s="13"/>
      <c r="N353" s="13"/>
      <c r="O353" s="13"/>
      <c r="P353" s="13"/>
      <c r="Q353" s="13"/>
      <c r="R353" s="13"/>
      <c r="S353" s="13"/>
      <c r="T353" s="13"/>
      <c r="U353" s="13"/>
      <c r="V353" s="13"/>
      <c r="W353" s="16"/>
      <c r="AA353" s="68"/>
      <c r="AB353" s="68"/>
    </row>
    <row r="354" spans="1:28" ht="13.5" thickBot="1">
      <c r="A354" s="46" t="s">
        <v>23</v>
      </c>
      <c r="B354" s="499">
        <f t="shared" ref="B354:W354" si="84">B346+B351</f>
        <v>0</v>
      </c>
      <c r="C354" s="498">
        <f t="shared" si="84"/>
        <v>0</v>
      </c>
      <c r="D354" s="498">
        <f t="shared" si="84"/>
        <v>77</v>
      </c>
      <c r="E354" s="498">
        <f t="shared" si="84"/>
        <v>0</v>
      </c>
      <c r="F354" s="498">
        <f t="shared" si="84"/>
        <v>0</v>
      </c>
      <c r="G354" s="498">
        <f t="shared" si="84"/>
        <v>0</v>
      </c>
      <c r="H354" s="498">
        <f t="shared" si="84"/>
        <v>0</v>
      </c>
      <c r="I354" s="498">
        <f t="shared" si="84"/>
        <v>12</v>
      </c>
      <c r="J354" s="498">
        <f t="shared" si="84"/>
        <v>0</v>
      </c>
      <c r="K354" s="498">
        <f t="shared" si="84"/>
        <v>89</v>
      </c>
      <c r="L354" s="497">
        <f t="shared" si="84"/>
        <v>4307490</v>
      </c>
      <c r="M354" s="499">
        <f t="shared" si="84"/>
        <v>0</v>
      </c>
      <c r="N354" s="498">
        <f t="shared" si="84"/>
        <v>0</v>
      </c>
      <c r="O354" s="498">
        <f t="shared" si="84"/>
        <v>83</v>
      </c>
      <c r="P354" s="498">
        <f t="shared" si="84"/>
        <v>0</v>
      </c>
      <c r="Q354" s="498">
        <f t="shared" si="84"/>
        <v>0</v>
      </c>
      <c r="R354" s="498">
        <f t="shared" si="84"/>
        <v>0</v>
      </c>
      <c r="S354" s="498">
        <f t="shared" si="84"/>
        <v>0</v>
      </c>
      <c r="T354" s="498">
        <f t="shared" si="84"/>
        <v>12</v>
      </c>
      <c r="U354" s="498">
        <f t="shared" si="84"/>
        <v>0</v>
      </c>
      <c r="V354" s="498">
        <f t="shared" si="84"/>
        <v>95</v>
      </c>
      <c r="W354" s="497">
        <f t="shared" si="84"/>
        <v>3685428</v>
      </c>
      <c r="X354" s="55"/>
      <c r="AA354" s="68"/>
      <c r="AB354" s="68"/>
    </row>
    <row r="355" spans="1:28">
      <c r="A355" s="1" t="s">
        <v>273</v>
      </c>
      <c r="B355" s="2"/>
      <c r="C355" s="2"/>
      <c r="D355" s="2"/>
      <c r="E355" s="2"/>
      <c r="F355" s="2"/>
      <c r="G355" s="2"/>
      <c r="H355" s="2"/>
      <c r="I355" s="2"/>
      <c r="J355" s="2"/>
      <c r="K355" s="2"/>
      <c r="L355" s="2"/>
      <c r="M355" s="2"/>
      <c r="N355" s="2"/>
      <c r="O355" s="2"/>
      <c r="P355" s="6"/>
      <c r="Q355" s="52"/>
      <c r="R355"/>
      <c r="S355"/>
      <c r="T355" s="68"/>
      <c r="U355" s="68"/>
      <c r="V355" s="68"/>
      <c r="W355" s="68"/>
      <c r="X355" s="68"/>
      <c r="Y355" s="68"/>
      <c r="Z355" s="68"/>
      <c r="AA355" s="68"/>
      <c r="AB355" s="68"/>
    </row>
    <row r="356" spans="1:28">
      <c r="A356" s="11" t="s">
        <v>267</v>
      </c>
      <c r="L356" s="544"/>
      <c r="P356" s="68"/>
      <c r="Q356" s="52"/>
      <c r="R356"/>
      <c r="S356"/>
      <c r="T356"/>
      <c r="U356"/>
      <c r="V356" s="68"/>
      <c r="W356" s="68"/>
      <c r="X356" s="68"/>
      <c r="Y356" s="68"/>
      <c r="Z356" s="68"/>
      <c r="AA356" s="68"/>
      <c r="AB356" s="68"/>
    </row>
    <row r="357" spans="1:28">
      <c r="A357" s="11" t="s">
        <v>271</v>
      </c>
      <c r="J357" s="465"/>
      <c r="P357" s="68"/>
      <c r="Q357" s="52"/>
      <c r="R357"/>
      <c r="S357"/>
      <c r="T357"/>
      <c r="U357"/>
      <c r="V357" s="68"/>
      <c r="W357" s="526"/>
      <c r="X357" s="68"/>
      <c r="Y357" s="68"/>
      <c r="Z357" s="68"/>
      <c r="AA357" s="68"/>
      <c r="AB357" s="68"/>
    </row>
    <row r="358" spans="1:28">
      <c r="A358" s="11" t="s">
        <v>278</v>
      </c>
      <c r="L358" s="496"/>
    </row>
    <row r="359" spans="1:28">
      <c r="J359" s="465"/>
    </row>
    <row r="360" spans="1:28">
      <c r="L360" s="496"/>
    </row>
    <row r="365" spans="1:28" ht="12">
      <c r="W365" s="465"/>
      <c r="Y365" s="68"/>
      <c r="Z365" s="68"/>
      <c r="AA365" s="68"/>
      <c r="AB365" s="68"/>
    </row>
    <row r="366" spans="1:28" ht="12">
      <c r="Y366" s="68"/>
      <c r="Z366" s="68"/>
      <c r="AA366" s="68"/>
      <c r="AB366" s="68"/>
    </row>
    <row r="378" spans="25:28" ht="12">
      <c r="Y378" s="68"/>
      <c r="Z378" s="68"/>
      <c r="AA378" s="68"/>
      <c r="AB378" s="68"/>
    </row>
  </sheetData>
  <mergeCells count="8">
    <mergeCell ref="A343:W343"/>
    <mergeCell ref="A344:W344"/>
    <mergeCell ref="A345:W345"/>
    <mergeCell ref="B5:L5"/>
    <mergeCell ref="M5:W5"/>
    <mergeCell ref="A7:W7"/>
    <mergeCell ref="A8:W8"/>
    <mergeCell ref="A9:W9"/>
  </mergeCells>
  <printOptions horizontalCentered="1"/>
  <pageMargins left="0.19685039370078741" right="0.19685039370078741" top="0.78740157480314965" bottom="0.78740157480314965" header="0.19685039370078741" footer="0.19685039370078741"/>
  <pageSetup paperSize="9" scale="83" fitToHeight="15"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rowBreaks count="1" manualBreakCount="1">
    <brk id="342" max="2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2060"/>
  </sheetPr>
  <dimension ref="A1:AB355"/>
  <sheetViews>
    <sheetView view="pageBreakPreview" zoomScaleNormal="100" zoomScaleSheetLayoutView="100" workbookViewId="0">
      <pane xSplit="1" ySplit="6" topLeftCell="B342" activePane="bottomRight" state="frozen"/>
      <selection activeCell="B8" sqref="B8"/>
      <selection pane="topRight" activeCell="B8" sqref="B8"/>
      <selection pane="bottomLeft" activeCell="B8" sqref="B8"/>
      <selection pane="bottomRight" activeCell="B8" sqref="B8"/>
    </sheetView>
  </sheetViews>
  <sheetFormatPr baseColWidth="10" defaultColWidth="11.42578125" defaultRowHeight="12.75"/>
  <cols>
    <col min="1" max="1" width="29.28515625" style="11" customWidth="1"/>
    <col min="2" max="2" width="6.5703125" style="11" bestFit="1" customWidth="1"/>
    <col min="3" max="3" width="5.140625" style="11" bestFit="1" customWidth="1"/>
    <col min="4" max="4" width="7.28515625" style="11" bestFit="1" customWidth="1"/>
    <col min="5" max="8" width="5.140625" style="11" bestFit="1" customWidth="1"/>
    <col min="9" max="9" width="4.140625" style="11" bestFit="1" customWidth="1"/>
    <col min="10" max="11" width="7.5703125" style="11" bestFit="1" customWidth="1"/>
    <col min="12" max="12" width="12" style="11" bestFit="1" customWidth="1"/>
    <col min="13" max="13" width="6.5703125" style="11" bestFit="1" customWidth="1"/>
    <col min="14" max="14" width="5.140625" style="11" bestFit="1" customWidth="1"/>
    <col min="15" max="15" width="7.28515625" style="11" bestFit="1" customWidth="1"/>
    <col min="16" max="19" width="5.140625" style="11" bestFit="1" customWidth="1"/>
    <col min="20" max="20" width="4.140625" style="11" bestFit="1" customWidth="1"/>
    <col min="21" max="22" width="7.5703125" style="11" bestFit="1" customWidth="1"/>
    <col min="23" max="23" width="12" style="11" bestFit="1" customWidth="1"/>
    <col min="24" max="24" width="1.7109375" style="52" customWidth="1"/>
    <col min="25" max="25" width="10.7109375" customWidth="1"/>
    <col min="26" max="26" width="11.28515625" bestFit="1" customWidth="1"/>
    <col min="27" max="28" width="10.7109375" customWidth="1"/>
    <col min="29" max="16384" width="11.42578125" style="68"/>
  </cols>
  <sheetData>
    <row r="1" spans="1:28" s="72" customFormat="1" ht="15.75">
      <c r="A1" s="186" t="s">
        <v>458</v>
      </c>
      <c r="B1" s="71"/>
      <c r="C1" s="71"/>
      <c r="D1" s="71"/>
      <c r="E1" s="71"/>
      <c r="F1" s="71"/>
      <c r="G1" s="71"/>
      <c r="H1" s="71"/>
      <c r="I1" s="71"/>
      <c r="J1" s="71"/>
      <c r="K1" s="71"/>
      <c r="L1" s="71"/>
      <c r="M1" s="71"/>
      <c r="N1" s="71"/>
      <c r="O1" s="71"/>
      <c r="P1" s="71"/>
      <c r="Q1" s="71"/>
      <c r="R1" s="71"/>
      <c r="S1" s="71"/>
      <c r="T1" s="71"/>
      <c r="U1" s="71"/>
      <c r="V1" s="71"/>
      <c r="W1" s="71"/>
      <c r="X1" s="73"/>
    </row>
    <row r="2" spans="1:28" s="72" customFormat="1" ht="15.75">
      <c r="A2" s="186" t="s">
        <v>1655</v>
      </c>
      <c r="B2" s="71"/>
      <c r="C2" s="71"/>
      <c r="D2" s="71"/>
      <c r="E2" s="71"/>
      <c r="F2" s="71"/>
      <c r="G2" s="71"/>
      <c r="H2" s="71"/>
      <c r="I2" s="71"/>
      <c r="J2" s="71"/>
      <c r="K2" s="71"/>
      <c r="L2" s="71"/>
      <c r="M2" s="71"/>
      <c r="N2" s="71"/>
      <c r="O2" s="71"/>
      <c r="P2" s="71"/>
      <c r="Q2" s="71"/>
      <c r="R2" s="71"/>
      <c r="S2" s="71"/>
      <c r="T2" s="71"/>
      <c r="U2" s="71"/>
      <c r="V2" s="71"/>
      <c r="W2" s="71"/>
      <c r="X2" s="73"/>
    </row>
    <row r="3" spans="1:28" s="56" customFormat="1" ht="15.75">
      <c r="A3" s="187" t="s">
        <v>1654</v>
      </c>
      <c r="X3" s="51"/>
    </row>
    <row r="4" spans="1:28" ht="13.5" thickBot="1">
      <c r="A4" s="187" t="s">
        <v>4239</v>
      </c>
      <c r="L4" s="12"/>
      <c r="W4" s="12"/>
    </row>
    <row r="5" spans="1:28" s="41" customFormat="1" ht="11.25">
      <c r="A5" s="120" t="s">
        <v>10</v>
      </c>
      <c r="B5" s="2001" t="s">
        <v>456</v>
      </c>
      <c r="C5" s="2002"/>
      <c r="D5" s="2002"/>
      <c r="E5" s="2002"/>
      <c r="F5" s="2002"/>
      <c r="G5" s="2002"/>
      <c r="H5" s="2002"/>
      <c r="I5" s="2002"/>
      <c r="J5" s="2002"/>
      <c r="K5" s="2002"/>
      <c r="L5" s="2003"/>
      <c r="M5" s="2001" t="s">
        <v>457</v>
      </c>
      <c r="N5" s="2002"/>
      <c r="O5" s="2002"/>
      <c r="P5" s="2002"/>
      <c r="Q5" s="2002"/>
      <c r="R5" s="2002"/>
      <c r="S5" s="2002"/>
      <c r="T5" s="2002"/>
      <c r="U5" s="2002"/>
      <c r="V5" s="2002"/>
      <c r="W5" s="2003"/>
      <c r="X5" s="53"/>
    </row>
    <row r="6" spans="1:28" s="42" customFormat="1" ht="98.25">
      <c r="A6" s="121" t="s">
        <v>9</v>
      </c>
      <c r="B6" s="122" t="s">
        <v>310</v>
      </c>
      <c r="C6" s="122" t="s">
        <v>118</v>
      </c>
      <c r="D6" s="123" t="s">
        <v>266</v>
      </c>
      <c r="E6" s="123" t="s">
        <v>259</v>
      </c>
      <c r="F6" s="123" t="s">
        <v>268</v>
      </c>
      <c r="G6" s="123" t="s">
        <v>269</v>
      </c>
      <c r="H6" s="123" t="s">
        <v>270</v>
      </c>
      <c r="I6" s="123" t="s">
        <v>277</v>
      </c>
      <c r="J6" s="124" t="s">
        <v>272</v>
      </c>
      <c r="K6" s="125" t="s">
        <v>7179</v>
      </c>
      <c r="L6" s="126" t="s">
        <v>276</v>
      </c>
      <c r="M6" s="122" t="s">
        <v>310</v>
      </c>
      <c r="N6" s="122" t="s">
        <v>118</v>
      </c>
      <c r="O6" s="123" t="s">
        <v>266</v>
      </c>
      <c r="P6" s="123" t="s">
        <v>259</v>
      </c>
      <c r="Q6" s="123" t="s">
        <v>268</v>
      </c>
      <c r="R6" s="123" t="s">
        <v>269</v>
      </c>
      <c r="S6" s="123" t="s">
        <v>270</v>
      </c>
      <c r="T6" s="123" t="s">
        <v>277</v>
      </c>
      <c r="U6" s="124" t="s">
        <v>272</v>
      </c>
      <c r="V6" s="125" t="s">
        <v>274</v>
      </c>
      <c r="W6" s="126" t="s">
        <v>275</v>
      </c>
      <c r="X6" s="54"/>
    </row>
    <row r="7" spans="1:28" s="712" customFormat="1" ht="6">
      <c r="A7" s="2007"/>
      <c r="B7" s="2008"/>
      <c r="C7" s="2008"/>
      <c r="D7" s="2008"/>
      <c r="E7" s="2008"/>
      <c r="F7" s="2008"/>
      <c r="G7" s="2008"/>
      <c r="H7" s="2008"/>
      <c r="I7" s="2008"/>
      <c r="J7" s="2008"/>
      <c r="K7" s="2008"/>
      <c r="L7" s="2008"/>
      <c r="M7" s="2008"/>
      <c r="N7" s="2008"/>
      <c r="O7" s="2008"/>
      <c r="P7" s="2008"/>
      <c r="Q7" s="2008"/>
      <c r="R7" s="2008"/>
      <c r="S7" s="2008"/>
      <c r="T7" s="2008"/>
      <c r="U7" s="2008"/>
      <c r="V7" s="2008"/>
      <c r="W7" s="2009"/>
      <c r="X7" s="711"/>
    </row>
    <row r="8" spans="1:28" ht="15">
      <c r="A8" s="2004" t="s">
        <v>7176</v>
      </c>
      <c r="B8" s="2005"/>
      <c r="C8" s="2005"/>
      <c r="D8" s="2005"/>
      <c r="E8" s="2005"/>
      <c r="F8" s="2005"/>
      <c r="G8" s="2005"/>
      <c r="H8" s="2005"/>
      <c r="I8" s="2005"/>
      <c r="J8" s="2005"/>
      <c r="K8" s="2005"/>
      <c r="L8" s="2005"/>
      <c r="M8" s="2005"/>
      <c r="N8" s="2005"/>
      <c r="O8" s="2005"/>
      <c r="P8" s="2005"/>
      <c r="Q8" s="2005"/>
      <c r="R8" s="2005"/>
      <c r="S8" s="2005"/>
      <c r="T8" s="2005"/>
      <c r="U8" s="2005"/>
      <c r="V8" s="2005"/>
      <c r="W8" s="2006"/>
      <c r="Y8" s="68"/>
      <c r="Z8" s="68"/>
      <c r="AA8" s="68"/>
      <c r="AB8" s="68"/>
    </row>
    <row r="9" spans="1:28" s="710" customFormat="1" ht="8.25">
      <c r="A9" s="2010"/>
      <c r="B9" s="2011"/>
      <c r="C9" s="2011"/>
      <c r="D9" s="2011"/>
      <c r="E9" s="2011"/>
      <c r="F9" s="2011"/>
      <c r="G9" s="2011"/>
      <c r="H9" s="2011"/>
      <c r="I9" s="2011"/>
      <c r="J9" s="2011"/>
      <c r="K9" s="2011"/>
      <c r="L9" s="2011"/>
      <c r="M9" s="2011"/>
      <c r="N9" s="2011"/>
      <c r="O9" s="2011"/>
      <c r="P9" s="2011"/>
      <c r="Q9" s="2011"/>
      <c r="R9" s="2011"/>
      <c r="S9" s="2011"/>
      <c r="T9" s="2011"/>
      <c r="U9" s="2011"/>
      <c r="V9" s="2011"/>
      <c r="W9" s="2012"/>
      <c r="X9" s="709"/>
    </row>
    <row r="10" spans="1:28">
      <c r="A10" s="704" t="s">
        <v>48</v>
      </c>
      <c r="B10" s="482">
        <f t="shared" ref="B10:W10" si="0">B11+B20+B27+B34+B42+B46</f>
        <v>4655</v>
      </c>
      <c r="C10" s="482">
        <f t="shared" si="0"/>
        <v>0</v>
      </c>
      <c r="D10" s="482">
        <f t="shared" si="0"/>
        <v>0</v>
      </c>
      <c r="E10" s="482">
        <f t="shared" si="0"/>
        <v>0</v>
      </c>
      <c r="F10" s="482">
        <f t="shared" si="0"/>
        <v>0</v>
      </c>
      <c r="G10" s="482">
        <f t="shared" si="0"/>
        <v>0</v>
      </c>
      <c r="H10" s="482">
        <f t="shared" si="0"/>
        <v>0</v>
      </c>
      <c r="I10" s="482">
        <f t="shared" si="0"/>
        <v>0</v>
      </c>
      <c r="J10" s="482">
        <f t="shared" si="0"/>
        <v>0</v>
      </c>
      <c r="K10" s="482">
        <f t="shared" si="0"/>
        <v>4655</v>
      </c>
      <c r="L10" s="474">
        <f t="shared" si="0"/>
        <v>146198447.89359516</v>
      </c>
      <c r="M10" s="482">
        <f t="shared" si="0"/>
        <v>4488</v>
      </c>
      <c r="N10" s="482">
        <f t="shared" si="0"/>
        <v>0</v>
      </c>
      <c r="O10" s="482">
        <f t="shared" si="0"/>
        <v>0</v>
      </c>
      <c r="P10" s="482">
        <f t="shared" si="0"/>
        <v>0</v>
      </c>
      <c r="Q10" s="482">
        <f t="shared" si="0"/>
        <v>0</v>
      </c>
      <c r="R10" s="482">
        <f t="shared" si="0"/>
        <v>0</v>
      </c>
      <c r="S10" s="482">
        <f t="shared" si="0"/>
        <v>0</v>
      </c>
      <c r="T10" s="482">
        <f t="shared" si="0"/>
        <v>0</v>
      </c>
      <c r="U10" s="482">
        <f t="shared" si="0"/>
        <v>0</v>
      </c>
      <c r="V10" s="482">
        <f t="shared" si="0"/>
        <v>4488</v>
      </c>
      <c r="W10" s="474">
        <f t="shared" si="0"/>
        <v>141816007.86940798</v>
      </c>
      <c r="X10" s="55"/>
      <c r="AA10" s="68"/>
      <c r="AB10" s="68"/>
    </row>
    <row r="11" spans="1:28">
      <c r="A11" s="705" t="s">
        <v>7</v>
      </c>
      <c r="B11" s="484">
        <f t="shared" ref="B11:W11" si="1">SUM(B12:B19)</f>
        <v>52</v>
      </c>
      <c r="C11" s="484">
        <f t="shared" si="1"/>
        <v>0</v>
      </c>
      <c r="D11" s="484">
        <f t="shared" si="1"/>
        <v>0</v>
      </c>
      <c r="E11" s="484">
        <f t="shared" si="1"/>
        <v>0</v>
      </c>
      <c r="F11" s="484">
        <f t="shared" si="1"/>
        <v>0</v>
      </c>
      <c r="G11" s="484">
        <f t="shared" si="1"/>
        <v>0</v>
      </c>
      <c r="H11" s="484">
        <f t="shared" si="1"/>
        <v>0</v>
      </c>
      <c r="I11" s="484">
        <f t="shared" si="1"/>
        <v>0</v>
      </c>
      <c r="J11" s="484">
        <f t="shared" si="1"/>
        <v>0</v>
      </c>
      <c r="K11" s="484">
        <f t="shared" si="1"/>
        <v>52</v>
      </c>
      <c r="L11" s="485">
        <f t="shared" si="1"/>
        <v>2101142.9684547987</v>
      </c>
      <c r="M11" s="484">
        <f t="shared" si="1"/>
        <v>47</v>
      </c>
      <c r="N11" s="484">
        <f t="shared" si="1"/>
        <v>0</v>
      </c>
      <c r="O11" s="484">
        <f t="shared" si="1"/>
        <v>0</v>
      </c>
      <c r="P11" s="484">
        <f t="shared" si="1"/>
        <v>0</v>
      </c>
      <c r="Q11" s="484">
        <f t="shared" si="1"/>
        <v>0</v>
      </c>
      <c r="R11" s="484">
        <f t="shared" si="1"/>
        <v>0</v>
      </c>
      <c r="S11" s="484">
        <f t="shared" si="1"/>
        <v>0</v>
      </c>
      <c r="T11" s="484">
        <f t="shared" si="1"/>
        <v>0</v>
      </c>
      <c r="U11" s="484">
        <f t="shared" si="1"/>
        <v>0</v>
      </c>
      <c r="V11" s="484">
        <f t="shared" si="1"/>
        <v>47</v>
      </c>
      <c r="W11" s="485">
        <f t="shared" si="1"/>
        <v>1822302.4428719999</v>
      </c>
      <c r="AA11" s="68"/>
      <c r="AB11" s="68"/>
    </row>
    <row r="12" spans="1:28" hidden="1">
      <c r="A12" s="703" t="s">
        <v>3</v>
      </c>
      <c r="B12" s="13"/>
      <c r="C12" s="13"/>
      <c r="D12" s="13"/>
      <c r="E12" s="13"/>
      <c r="F12" s="13"/>
      <c r="G12" s="13"/>
      <c r="H12" s="13"/>
      <c r="I12" s="13"/>
      <c r="J12" s="13"/>
      <c r="K12" s="13"/>
      <c r="L12" s="16"/>
      <c r="M12" s="13"/>
      <c r="N12" s="13"/>
      <c r="O12" s="13"/>
      <c r="P12" s="13"/>
      <c r="Q12" s="13"/>
      <c r="R12" s="13"/>
      <c r="S12" s="13"/>
      <c r="T12" s="13"/>
      <c r="U12" s="13"/>
      <c r="V12" s="13"/>
      <c r="W12" s="472"/>
      <c r="AA12" s="68"/>
      <c r="AB12" s="68"/>
    </row>
    <row r="13" spans="1:28" hidden="1">
      <c r="A13" s="703" t="s">
        <v>7062</v>
      </c>
      <c r="B13" s="13"/>
      <c r="C13" s="13"/>
      <c r="D13" s="13"/>
      <c r="E13" s="13"/>
      <c r="F13" s="13"/>
      <c r="G13" s="13"/>
      <c r="H13" s="13"/>
      <c r="I13" s="13"/>
      <c r="J13" s="13"/>
      <c r="K13" s="13"/>
      <c r="L13" s="16"/>
      <c r="M13" s="13"/>
      <c r="N13" s="13"/>
      <c r="O13" s="13"/>
      <c r="P13" s="13"/>
      <c r="Q13" s="13"/>
      <c r="R13" s="13"/>
      <c r="S13" s="13"/>
      <c r="T13" s="13"/>
      <c r="U13" s="13"/>
      <c r="V13" s="13"/>
      <c r="W13" s="472"/>
      <c r="AA13" s="68"/>
      <c r="AB13" s="68"/>
    </row>
    <row r="14" spans="1:28" hidden="1">
      <c r="A14" s="703" t="s">
        <v>7061</v>
      </c>
      <c r="B14" s="13"/>
      <c r="C14" s="13"/>
      <c r="D14" s="13"/>
      <c r="E14" s="13"/>
      <c r="F14" s="13"/>
      <c r="G14" s="13"/>
      <c r="H14" s="13"/>
      <c r="I14" s="13"/>
      <c r="J14" s="13"/>
      <c r="K14" s="13"/>
      <c r="L14" s="16"/>
      <c r="M14" s="13"/>
      <c r="N14" s="13"/>
      <c r="O14" s="13"/>
      <c r="P14" s="13"/>
      <c r="Q14" s="13"/>
      <c r="R14" s="13"/>
      <c r="S14" s="13"/>
      <c r="T14" s="13"/>
      <c r="U14" s="13"/>
      <c r="V14" s="13"/>
      <c r="W14" s="472"/>
      <c r="AA14" s="68"/>
      <c r="AB14" s="68"/>
    </row>
    <row r="15" spans="1:28">
      <c r="A15" s="703" t="s">
        <v>7060</v>
      </c>
      <c r="B15" s="13">
        <v>2</v>
      </c>
      <c r="C15" s="13"/>
      <c r="D15" s="13"/>
      <c r="E15" s="13"/>
      <c r="F15" s="13"/>
      <c r="G15" s="13"/>
      <c r="H15" s="13"/>
      <c r="I15" s="13"/>
      <c r="J15" s="13"/>
      <c r="K15" s="13">
        <f>SUM(B15:J15)</f>
        <v>2</v>
      </c>
      <c r="L15" s="472">
        <v>85650.694855951602</v>
      </c>
      <c r="M15" s="13">
        <v>1</v>
      </c>
      <c r="N15" s="13"/>
      <c r="O15" s="13"/>
      <c r="P15" s="13"/>
      <c r="Q15" s="13"/>
      <c r="R15" s="13"/>
      <c r="S15" s="13"/>
      <c r="T15" s="13"/>
      <c r="U15" s="13"/>
      <c r="V15" s="13">
        <f>SUM(M15:U15)</f>
        <v>1</v>
      </c>
      <c r="W15" s="472">
        <v>42772.558083999997</v>
      </c>
      <c r="AA15" s="68"/>
      <c r="AB15" s="68"/>
    </row>
    <row r="16" spans="1:28">
      <c r="A16" s="703" t="s">
        <v>7059</v>
      </c>
      <c r="B16" s="13">
        <v>9</v>
      </c>
      <c r="C16" s="13"/>
      <c r="D16" s="13"/>
      <c r="E16" s="13"/>
      <c r="F16" s="13"/>
      <c r="G16" s="13"/>
      <c r="H16" s="13"/>
      <c r="I16" s="13"/>
      <c r="J16" s="13"/>
      <c r="K16" s="13">
        <f>SUM(B16:J16)</f>
        <v>9</v>
      </c>
      <c r="L16" s="472">
        <v>381739.80788963602</v>
      </c>
      <c r="M16" s="13">
        <v>7</v>
      </c>
      <c r="N16" s="13"/>
      <c r="O16" s="13"/>
      <c r="P16" s="13"/>
      <c r="Q16" s="13"/>
      <c r="R16" s="13"/>
      <c r="S16" s="13"/>
      <c r="T16" s="13"/>
      <c r="U16" s="13"/>
      <c r="V16" s="13">
        <f>SUM(M16:U16)</f>
        <v>7</v>
      </c>
      <c r="W16" s="472">
        <v>279763.69523200003</v>
      </c>
      <c r="AA16" s="68"/>
      <c r="AB16" s="68"/>
    </row>
    <row r="17" spans="1:28">
      <c r="A17" s="703" t="s">
        <v>7058</v>
      </c>
      <c r="B17" s="13">
        <v>19</v>
      </c>
      <c r="C17" s="13"/>
      <c r="D17" s="13"/>
      <c r="E17" s="13"/>
      <c r="F17" s="13"/>
      <c r="G17" s="13"/>
      <c r="H17" s="13"/>
      <c r="I17" s="13"/>
      <c r="J17" s="13"/>
      <c r="K17" s="13">
        <f>SUM(B17:J17)</f>
        <v>19</v>
      </c>
      <c r="L17" s="472">
        <v>780713.18375511467</v>
      </c>
      <c r="M17" s="13">
        <v>17</v>
      </c>
      <c r="N17" s="13"/>
      <c r="O17" s="13"/>
      <c r="P17" s="13"/>
      <c r="Q17" s="13"/>
      <c r="R17" s="13"/>
      <c r="S17" s="13"/>
      <c r="T17" s="13"/>
      <c r="U17" s="13"/>
      <c r="V17" s="13">
        <f>SUM(M17:U17)</f>
        <v>17</v>
      </c>
      <c r="W17" s="472">
        <v>675184.32314799994</v>
      </c>
      <c r="AA17" s="68"/>
      <c r="AB17" s="68"/>
    </row>
    <row r="18" spans="1:28">
      <c r="A18" s="703" t="s">
        <v>7057</v>
      </c>
      <c r="B18" s="13">
        <v>16</v>
      </c>
      <c r="C18" s="13"/>
      <c r="D18" s="13"/>
      <c r="E18" s="13"/>
      <c r="F18" s="13"/>
      <c r="G18" s="13"/>
      <c r="H18" s="13"/>
      <c r="I18" s="13"/>
      <c r="J18" s="13"/>
      <c r="K18" s="13">
        <f>SUM(B18:J18)</f>
        <v>16</v>
      </c>
      <c r="L18" s="472">
        <v>624663.23276335443</v>
      </c>
      <c r="M18" s="13">
        <v>16</v>
      </c>
      <c r="N18" s="13"/>
      <c r="O18" s="13"/>
      <c r="P18" s="13"/>
      <c r="Q18" s="13"/>
      <c r="R18" s="13"/>
      <c r="S18" s="13"/>
      <c r="T18" s="13"/>
      <c r="U18" s="13"/>
      <c r="V18" s="13">
        <f>SUM(M18:U18)</f>
        <v>16</v>
      </c>
      <c r="W18" s="472">
        <v>605069.28576000012</v>
      </c>
      <c r="X18" s="55"/>
      <c r="AA18" s="68"/>
      <c r="AB18" s="68"/>
    </row>
    <row r="19" spans="1:28">
      <c r="A19" s="703" t="s">
        <v>12</v>
      </c>
      <c r="B19" s="13">
        <v>6</v>
      </c>
      <c r="C19" s="13"/>
      <c r="D19" s="13"/>
      <c r="E19" s="13"/>
      <c r="F19" s="13"/>
      <c r="G19" s="13"/>
      <c r="H19" s="13"/>
      <c r="I19" s="13"/>
      <c r="J19" s="13"/>
      <c r="K19" s="13">
        <f>SUM(B19:J19)</f>
        <v>6</v>
      </c>
      <c r="L19" s="472">
        <v>228376.04919074193</v>
      </c>
      <c r="M19" s="13">
        <v>6</v>
      </c>
      <c r="N19" s="13"/>
      <c r="O19" s="13"/>
      <c r="P19" s="13"/>
      <c r="Q19" s="13"/>
      <c r="R19" s="13"/>
      <c r="S19" s="13"/>
      <c r="T19" s="13"/>
      <c r="U19" s="13"/>
      <c r="V19" s="13">
        <f>SUM(M19:U19)</f>
        <v>6</v>
      </c>
      <c r="W19" s="472">
        <v>219512.580648</v>
      </c>
      <c r="AA19" s="68"/>
      <c r="AB19" s="68"/>
    </row>
    <row r="20" spans="1:28">
      <c r="A20" s="705" t="s">
        <v>4</v>
      </c>
      <c r="B20" s="484">
        <f t="shared" ref="B20:W20" si="2">SUM(B21:B26)</f>
        <v>282</v>
      </c>
      <c r="C20" s="484">
        <f t="shared" si="2"/>
        <v>0</v>
      </c>
      <c r="D20" s="484">
        <f t="shared" si="2"/>
        <v>0</v>
      </c>
      <c r="E20" s="484">
        <f t="shared" si="2"/>
        <v>0</v>
      </c>
      <c r="F20" s="484">
        <f t="shared" si="2"/>
        <v>0</v>
      </c>
      <c r="G20" s="484">
        <f t="shared" si="2"/>
        <v>0</v>
      </c>
      <c r="H20" s="484">
        <f t="shared" si="2"/>
        <v>0</v>
      </c>
      <c r="I20" s="484">
        <f t="shared" si="2"/>
        <v>0</v>
      </c>
      <c r="J20" s="484">
        <f t="shared" si="2"/>
        <v>0</v>
      </c>
      <c r="K20" s="484">
        <f t="shared" si="2"/>
        <v>282</v>
      </c>
      <c r="L20" s="485">
        <f t="shared" si="2"/>
        <v>9633780.1710463651</v>
      </c>
      <c r="M20" s="484">
        <f t="shared" si="2"/>
        <v>276</v>
      </c>
      <c r="N20" s="484">
        <f t="shared" si="2"/>
        <v>0</v>
      </c>
      <c r="O20" s="484">
        <f t="shared" si="2"/>
        <v>0</v>
      </c>
      <c r="P20" s="484">
        <f t="shared" si="2"/>
        <v>0</v>
      </c>
      <c r="Q20" s="484">
        <f t="shared" si="2"/>
        <v>0</v>
      </c>
      <c r="R20" s="484">
        <f t="shared" si="2"/>
        <v>0</v>
      </c>
      <c r="S20" s="484">
        <f t="shared" si="2"/>
        <v>0</v>
      </c>
      <c r="T20" s="484">
        <f t="shared" si="2"/>
        <v>0</v>
      </c>
      <c r="U20" s="484">
        <f t="shared" si="2"/>
        <v>0</v>
      </c>
      <c r="V20" s="484">
        <f t="shared" si="2"/>
        <v>276</v>
      </c>
      <c r="W20" s="485">
        <f t="shared" si="2"/>
        <v>9101740.3344839998</v>
      </c>
      <c r="AA20" s="68"/>
      <c r="AB20" s="68"/>
    </row>
    <row r="21" spans="1:28">
      <c r="A21" s="703" t="s">
        <v>13</v>
      </c>
      <c r="B21" s="13">
        <v>52</v>
      </c>
      <c r="C21" s="13"/>
      <c r="D21" s="13"/>
      <c r="E21" s="13"/>
      <c r="F21" s="13"/>
      <c r="G21" s="13"/>
      <c r="H21" s="13"/>
      <c r="I21" s="13"/>
      <c r="J21" s="13"/>
      <c r="K21" s="13">
        <f t="shared" ref="K21:K26" si="3">SUM(B21:J21)</f>
        <v>52</v>
      </c>
      <c r="L21" s="472">
        <v>1831337.1439611216</v>
      </c>
      <c r="M21" s="13">
        <v>49</v>
      </c>
      <c r="N21" s="13"/>
      <c r="O21" s="13"/>
      <c r="P21" s="13"/>
      <c r="Q21" s="13"/>
      <c r="R21" s="13"/>
      <c r="S21" s="13"/>
      <c r="T21" s="13"/>
      <c r="U21" s="13"/>
      <c r="V21" s="13">
        <f t="shared" ref="V21:V26" si="4">SUM(M21:U21)</f>
        <v>49</v>
      </c>
      <c r="W21" s="472">
        <v>1690947.1869880001</v>
      </c>
      <c r="AA21" s="68"/>
      <c r="AB21" s="68"/>
    </row>
    <row r="22" spans="1:28">
      <c r="A22" s="703" t="s">
        <v>6978</v>
      </c>
      <c r="B22" s="13">
        <v>33</v>
      </c>
      <c r="C22" s="13"/>
      <c r="D22" s="13"/>
      <c r="E22" s="13"/>
      <c r="F22" s="13"/>
      <c r="G22" s="13"/>
      <c r="H22" s="13"/>
      <c r="I22" s="13"/>
      <c r="J22" s="13"/>
      <c r="K22" s="13">
        <f t="shared" si="3"/>
        <v>33</v>
      </c>
      <c r="L22" s="472">
        <v>1152614.2295969089</v>
      </c>
      <c r="M22" s="13">
        <v>33</v>
      </c>
      <c r="N22" s="13"/>
      <c r="O22" s="13"/>
      <c r="P22" s="13"/>
      <c r="Q22" s="13"/>
      <c r="R22" s="13"/>
      <c r="S22" s="13"/>
      <c r="T22" s="13"/>
      <c r="U22" s="13"/>
      <c r="V22" s="13">
        <f t="shared" si="4"/>
        <v>33</v>
      </c>
      <c r="W22" s="472">
        <v>1106579.0140800001</v>
      </c>
      <c r="AA22" s="68"/>
      <c r="AB22" s="68"/>
    </row>
    <row r="23" spans="1:28">
      <c r="A23" s="703" t="s">
        <v>6977</v>
      </c>
      <c r="B23" s="13">
        <v>62</v>
      </c>
      <c r="C23" s="13"/>
      <c r="D23" s="13"/>
      <c r="E23" s="13"/>
      <c r="F23" s="13"/>
      <c r="G23" s="13"/>
      <c r="H23" s="13"/>
      <c r="I23" s="13"/>
      <c r="J23" s="13"/>
      <c r="K23" s="13">
        <f t="shared" si="3"/>
        <v>62</v>
      </c>
      <c r="L23" s="472">
        <v>2127658.9746972499</v>
      </c>
      <c r="M23" s="13">
        <v>60</v>
      </c>
      <c r="N23" s="13"/>
      <c r="O23" s="13"/>
      <c r="P23" s="13"/>
      <c r="Q23" s="13"/>
      <c r="R23" s="13"/>
      <c r="S23" s="13"/>
      <c r="T23" s="13"/>
      <c r="U23" s="13"/>
      <c r="V23" s="13">
        <f t="shared" si="4"/>
        <v>60</v>
      </c>
      <c r="W23" s="472">
        <v>1989881.8206359998</v>
      </c>
      <c r="X23" s="55"/>
      <c r="AA23" s="68"/>
      <c r="AB23" s="68"/>
    </row>
    <row r="24" spans="1:28">
      <c r="A24" s="703" t="s">
        <v>6976</v>
      </c>
      <c r="B24" s="13">
        <v>70</v>
      </c>
      <c r="C24" s="13"/>
      <c r="D24" s="13"/>
      <c r="E24" s="13"/>
      <c r="F24" s="13"/>
      <c r="G24" s="13"/>
      <c r="H24" s="13"/>
      <c r="I24" s="13"/>
      <c r="J24" s="13"/>
      <c r="K24" s="13">
        <f t="shared" si="3"/>
        <v>70</v>
      </c>
      <c r="L24" s="472">
        <v>2366589.8880978799</v>
      </c>
      <c r="M24" s="13">
        <v>69</v>
      </c>
      <c r="N24" s="13"/>
      <c r="O24" s="13"/>
      <c r="P24" s="13"/>
      <c r="Q24" s="13"/>
      <c r="R24" s="13"/>
      <c r="S24" s="13"/>
      <c r="T24" s="13"/>
      <c r="U24" s="13"/>
      <c r="V24" s="13">
        <f t="shared" si="4"/>
        <v>69</v>
      </c>
      <c r="W24" s="472">
        <v>2238153.1130399997</v>
      </c>
      <c r="AA24" s="68"/>
      <c r="AB24" s="68"/>
    </row>
    <row r="25" spans="1:28">
      <c r="A25" s="703" t="s">
        <v>14</v>
      </c>
      <c r="B25" s="13">
        <v>26</v>
      </c>
      <c r="C25" s="13"/>
      <c r="D25" s="13"/>
      <c r="E25" s="13"/>
      <c r="F25" s="13"/>
      <c r="G25" s="13"/>
      <c r="H25" s="13"/>
      <c r="I25" s="13"/>
      <c r="J25" s="13"/>
      <c r="K25" s="13">
        <f t="shared" si="3"/>
        <v>26</v>
      </c>
      <c r="L25" s="472">
        <v>870772.95503160451</v>
      </c>
      <c r="M25" s="13">
        <v>26</v>
      </c>
      <c r="N25" s="13"/>
      <c r="O25" s="13"/>
      <c r="P25" s="13"/>
      <c r="Q25" s="13"/>
      <c r="R25" s="13"/>
      <c r="S25" s="13"/>
      <c r="T25" s="13"/>
      <c r="U25" s="13"/>
      <c r="V25" s="13">
        <f t="shared" si="4"/>
        <v>26</v>
      </c>
      <c r="W25" s="472">
        <v>842054.15242399997</v>
      </c>
      <c r="AA25" s="68"/>
      <c r="AB25" s="68"/>
    </row>
    <row r="26" spans="1:28">
      <c r="A26" s="703" t="s">
        <v>6975</v>
      </c>
      <c r="B26" s="13">
        <v>39</v>
      </c>
      <c r="C26" s="13"/>
      <c r="D26" s="13"/>
      <c r="E26" s="13"/>
      <c r="F26" s="13"/>
      <c r="G26" s="13"/>
      <c r="H26" s="13"/>
      <c r="I26" s="13"/>
      <c r="J26" s="13"/>
      <c r="K26" s="13">
        <f t="shared" si="3"/>
        <v>39</v>
      </c>
      <c r="L26" s="472">
        <v>1284806.979661599</v>
      </c>
      <c r="M26" s="13">
        <v>39</v>
      </c>
      <c r="N26" s="13"/>
      <c r="O26" s="13"/>
      <c r="P26" s="13"/>
      <c r="Q26" s="13"/>
      <c r="R26" s="13"/>
      <c r="S26" s="13"/>
      <c r="T26" s="13"/>
      <c r="U26" s="13"/>
      <c r="V26" s="13">
        <f t="shared" si="4"/>
        <v>39</v>
      </c>
      <c r="W26" s="472">
        <v>1234125.0473160001</v>
      </c>
      <c r="AA26" s="68"/>
      <c r="AB26" s="68"/>
    </row>
    <row r="27" spans="1:28">
      <c r="A27" s="705" t="s">
        <v>5</v>
      </c>
      <c r="B27" s="484">
        <f t="shared" ref="B27:W27" si="5">SUM(B28:B33)</f>
        <v>3182</v>
      </c>
      <c r="C27" s="484">
        <f t="shared" si="5"/>
        <v>0</v>
      </c>
      <c r="D27" s="484">
        <f t="shared" si="5"/>
        <v>0</v>
      </c>
      <c r="E27" s="484">
        <f t="shared" si="5"/>
        <v>0</v>
      </c>
      <c r="F27" s="484">
        <f t="shared" si="5"/>
        <v>0</v>
      </c>
      <c r="G27" s="484">
        <f t="shared" si="5"/>
        <v>0</v>
      </c>
      <c r="H27" s="484">
        <f t="shared" si="5"/>
        <v>0</v>
      </c>
      <c r="I27" s="484">
        <f t="shared" si="5"/>
        <v>0</v>
      </c>
      <c r="J27" s="484">
        <f t="shared" si="5"/>
        <v>0</v>
      </c>
      <c r="K27" s="484">
        <f t="shared" si="5"/>
        <v>3182</v>
      </c>
      <c r="L27" s="485">
        <f t="shared" si="5"/>
        <v>99032291.984918505</v>
      </c>
      <c r="M27" s="484">
        <f t="shared" si="5"/>
        <v>3042</v>
      </c>
      <c r="N27" s="484">
        <f t="shared" si="5"/>
        <v>0</v>
      </c>
      <c r="O27" s="484">
        <f t="shared" si="5"/>
        <v>0</v>
      </c>
      <c r="P27" s="484">
        <f t="shared" si="5"/>
        <v>0</v>
      </c>
      <c r="Q27" s="484">
        <f t="shared" si="5"/>
        <v>0</v>
      </c>
      <c r="R27" s="484">
        <f t="shared" si="5"/>
        <v>0</v>
      </c>
      <c r="S27" s="484">
        <f t="shared" si="5"/>
        <v>0</v>
      </c>
      <c r="T27" s="484">
        <f t="shared" si="5"/>
        <v>0</v>
      </c>
      <c r="U27" s="484">
        <f t="shared" si="5"/>
        <v>0</v>
      </c>
      <c r="V27" s="484">
        <f t="shared" si="5"/>
        <v>3042</v>
      </c>
      <c r="W27" s="485">
        <f t="shared" si="5"/>
        <v>96043832.464271992</v>
      </c>
      <c r="AA27" s="68"/>
      <c r="AB27" s="68"/>
    </row>
    <row r="28" spans="1:28">
      <c r="A28" s="703" t="s">
        <v>15</v>
      </c>
      <c r="B28" s="13">
        <v>1074</v>
      </c>
      <c r="C28" s="13"/>
      <c r="D28" s="13"/>
      <c r="E28" s="13"/>
      <c r="F28" s="13"/>
      <c r="G28" s="13"/>
      <c r="H28" s="13"/>
      <c r="I28" s="13"/>
      <c r="J28" s="13"/>
      <c r="K28" s="13">
        <f t="shared" ref="K28:K33" si="6">SUM(B28:J28)</f>
        <v>1074</v>
      </c>
      <c r="L28" s="472">
        <v>33556126.859894648</v>
      </c>
      <c r="M28" s="13">
        <v>984</v>
      </c>
      <c r="N28" s="13"/>
      <c r="O28" s="13"/>
      <c r="P28" s="13"/>
      <c r="Q28" s="13"/>
      <c r="R28" s="13"/>
      <c r="S28" s="13"/>
      <c r="T28" s="13"/>
      <c r="U28" s="13"/>
      <c r="V28" s="13">
        <f t="shared" ref="V28:V33" si="7">SUM(M28:U28)</f>
        <v>984</v>
      </c>
      <c r="W28" s="472">
        <v>31615023.740800001</v>
      </c>
      <c r="X28" s="55"/>
      <c r="AA28" s="68"/>
      <c r="AB28" s="68"/>
    </row>
    <row r="29" spans="1:28">
      <c r="A29" s="703" t="s">
        <v>7056</v>
      </c>
      <c r="B29" s="13">
        <v>455</v>
      </c>
      <c r="C29" s="13"/>
      <c r="D29" s="13"/>
      <c r="E29" s="13"/>
      <c r="F29" s="13"/>
      <c r="G29" s="13"/>
      <c r="H29" s="13"/>
      <c r="I29" s="13"/>
      <c r="J29" s="13"/>
      <c r="K29" s="13">
        <f t="shared" si="6"/>
        <v>455</v>
      </c>
      <c r="L29" s="472">
        <v>14213238.383026915</v>
      </c>
      <c r="M29" s="13">
        <v>437</v>
      </c>
      <c r="N29" s="13"/>
      <c r="O29" s="13"/>
      <c r="P29" s="13"/>
      <c r="Q29" s="13"/>
      <c r="R29" s="13"/>
      <c r="S29" s="13"/>
      <c r="T29" s="13"/>
      <c r="U29" s="13"/>
      <c r="V29" s="13">
        <f t="shared" si="7"/>
        <v>437</v>
      </c>
      <c r="W29" s="472">
        <v>13945950.0436</v>
      </c>
      <c r="AA29" s="68"/>
      <c r="AB29" s="68"/>
    </row>
    <row r="30" spans="1:28">
      <c r="A30" s="703" t="s">
        <v>6972</v>
      </c>
      <c r="B30" s="13">
        <v>572</v>
      </c>
      <c r="C30" s="13"/>
      <c r="D30" s="13"/>
      <c r="E30" s="13"/>
      <c r="F30" s="13"/>
      <c r="G30" s="13"/>
      <c r="H30" s="13"/>
      <c r="I30" s="13"/>
      <c r="J30" s="13"/>
      <c r="K30" s="13">
        <f t="shared" si="6"/>
        <v>572</v>
      </c>
      <c r="L30" s="472">
        <v>17884595.706441499</v>
      </c>
      <c r="M30" s="13">
        <v>559</v>
      </c>
      <c r="N30" s="13"/>
      <c r="O30" s="13"/>
      <c r="P30" s="13"/>
      <c r="Q30" s="13"/>
      <c r="R30" s="13"/>
      <c r="S30" s="13"/>
      <c r="T30" s="13"/>
      <c r="U30" s="13"/>
      <c r="V30" s="13">
        <f t="shared" si="7"/>
        <v>559</v>
      </c>
      <c r="W30" s="472">
        <v>17651408.025600001</v>
      </c>
      <c r="AA30" s="68"/>
      <c r="AB30" s="68"/>
    </row>
    <row r="31" spans="1:28">
      <c r="A31" s="703" t="s">
        <v>6971</v>
      </c>
      <c r="B31" s="13">
        <v>442</v>
      </c>
      <c r="C31" s="13"/>
      <c r="D31" s="13"/>
      <c r="E31" s="13"/>
      <c r="F31" s="13"/>
      <c r="G31" s="13"/>
      <c r="H31" s="13"/>
      <c r="I31" s="13"/>
      <c r="J31" s="13"/>
      <c r="K31" s="13">
        <f t="shared" si="6"/>
        <v>442</v>
      </c>
      <c r="L31" s="472">
        <v>13856022.12846409</v>
      </c>
      <c r="M31" s="13">
        <v>432</v>
      </c>
      <c r="N31" s="13"/>
      <c r="O31" s="13"/>
      <c r="P31" s="13"/>
      <c r="Q31" s="13"/>
      <c r="R31" s="13"/>
      <c r="S31" s="13"/>
      <c r="T31" s="13"/>
      <c r="U31" s="13"/>
      <c r="V31" s="13">
        <f t="shared" si="7"/>
        <v>432</v>
      </c>
      <c r="W31" s="472">
        <v>13335290.039999999</v>
      </c>
      <c r="AA31" s="68"/>
      <c r="AB31" s="68"/>
    </row>
    <row r="32" spans="1:28">
      <c r="A32" s="703" t="s">
        <v>16</v>
      </c>
      <c r="B32" s="13">
        <v>92</v>
      </c>
      <c r="C32" s="13"/>
      <c r="D32" s="13"/>
      <c r="E32" s="13"/>
      <c r="F32" s="13"/>
      <c r="G32" s="13"/>
      <c r="H32" s="13"/>
      <c r="I32" s="13"/>
      <c r="J32" s="13"/>
      <c r="K32" s="13">
        <f t="shared" si="6"/>
        <v>92</v>
      </c>
      <c r="L32" s="472">
        <v>2870654.3304518685</v>
      </c>
      <c r="M32" s="13">
        <v>91</v>
      </c>
      <c r="N32" s="13"/>
      <c r="O32" s="13"/>
      <c r="P32" s="13"/>
      <c r="Q32" s="13"/>
      <c r="R32" s="13"/>
      <c r="S32" s="13"/>
      <c r="T32" s="13"/>
      <c r="U32" s="13"/>
      <c r="V32" s="13">
        <f t="shared" si="7"/>
        <v>91</v>
      </c>
      <c r="W32" s="472">
        <v>2843080.4374720003</v>
      </c>
      <c r="AA32" s="68"/>
      <c r="AB32" s="68"/>
    </row>
    <row r="33" spans="1:28">
      <c r="A33" s="703" t="s">
        <v>6970</v>
      </c>
      <c r="B33" s="13">
        <v>547</v>
      </c>
      <c r="C33" s="13"/>
      <c r="D33" s="13"/>
      <c r="E33" s="13"/>
      <c r="F33" s="13"/>
      <c r="G33" s="13"/>
      <c r="H33" s="13"/>
      <c r="I33" s="13"/>
      <c r="J33" s="13"/>
      <c r="K33" s="13">
        <f t="shared" si="6"/>
        <v>547</v>
      </c>
      <c r="L33" s="472">
        <v>16651654.576639481</v>
      </c>
      <c r="M33" s="13">
        <v>539</v>
      </c>
      <c r="N33" s="13"/>
      <c r="O33" s="13"/>
      <c r="P33" s="13"/>
      <c r="Q33" s="13"/>
      <c r="R33" s="13"/>
      <c r="S33" s="13"/>
      <c r="T33" s="13"/>
      <c r="U33" s="13"/>
      <c r="V33" s="13">
        <f t="shared" si="7"/>
        <v>539</v>
      </c>
      <c r="W33" s="472">
        <v>16653080.1768</v>
      </c>
      <c r="AA33" s="68"/>
      <c r="AB33" s="68"/>
    </row>
    <row r="34" spans="1:28">
      <c r="A34" s="705" t="s">
        <v>6</v>
      </c>
      <c r="B34" s="484">
        <f t="shared" ref="B34:W34" si="8">SUM(B35:B40)</f>
        <v>1122</v>
      </c>
      <c r="C34" s="484">
        <f t="shared" si="8"/>
        <v>0</v>
      </c>
      <c r="D34" s="484">
        <f t="shared" si="8"/>
        <v>0</v>
      </c>
      <c r="E34" s="484">
        <f t="shared" si="8"/>
        <v>0</v>
      </c>
      <c r="F34" s="484">
        <f t="shared" si="8"/>
        <v>0</v>
      </c>
      <c r="G34" s="484">
        <f t="shared" si="8"/>
        <v>0</v>
      </c>
      <c r="H34" s="484">
        <f t="shared" si="8"/>
        <v>0</v>
      </c>
      <c r="I34" s="484">
        <f t="shared" si="8"/>
        <v>0</v>
      </c>
      <c r="J34" s="484">
        <f t="shared" si="8"/>
        <v>0</v>
      </c>
      <c r="K34" s="484">
        <f t="shared" si="8"/>
        <v>1122</v>
      </c>
      <c r="L34" s="485">
        <f t="shared" si="8"/>
        <v>34736637.53077548</v>
      </c>
      <c r="M34" s="484">
        <f t="shared" si="8"/>
        <v>1106</v>
      </c>
      <c r="N34" s="484">
        <f t="shared" si="8"/>
        <v>0</v>
      </c>
      <c r="O34" s="484">
        <f t="shared" si="8"/>
        <v>0</v>
      </c>
      <c r="P34" s="484">
        <f t="shared" si="8"/>
        <v>0</v>
      </c>
      <c r="Q34" s="484">
        <f t="shared" si="8"/>
        <v>0</v>
      </c>
      <c r="R34" s="484">
        <f t="shared" si="8"/>
        <v>0</v>
      </c>
      <c r="S34" s="484">
        <f t="shared" si="8"/>
        <v>0</v>
      </c>
      <c r="T34" s="484">
        <f t="shared" si="8"/>
        <v>0</v>
      </c>
      <c r="U34" s="484">
        <f t="shared" si="8"/>
        <v>0</v>
      </c>
      <c r="V34" s="484">
        <f t="shared" si="8"/>
        <v>1106</v>
      </c>
      <c r="W34" s="485">
        <f t="shared" si="8"/>
        <v>33916946.646399997</v>
      </c>
      <c r="AA34" s="68"/>
      <c r="AB34" s="68"/>
    </row>
    <row r="35" spans="1:28">
      <c r="A35" s="703" t="s">
        <v>17</v>
      </c>
      <c r="B35" s="13">
        <v>90</v>
      </c>
      <c r="C35" s="13"/>
      <c r="D35" s="13"/>
      <c r="E35" s="13"/>
      <c r="F35" s="13"/>
      <c r="G35" s="13"/>
      <c r="H35" s="13"/>
      <c r="I35" s="13"/>
      <c r="J35" s="13"/>
      <c r="K35" s="13">
        <f t="shared" ref="K35:K40" si="9">SUM(B35:J35)</f>
        <v>90</v>
      </c>
      <c r="L35" s="472">
        <v>2858800.0474417727</v>
      </c>
      <c r="M35" s="13">
        <v>88</v>
      </c>
      <c r="N35" s="13"/>
      <c r="O35" s="13"/>
      <c r="P35" s="13"/>
      <c r="Q35" s="13"/>
      <c r="R35" s="13"/>
      <c r="S35" s="13"/>
      <c r="T35" s="13"/>
      <c r="U35" s="13"/>
      <c r="V35" s="13">
        <f t="shared" ref="V35:V40" si="10">SUM(M35:U35)</f>
        <v>88</v>
      </c>
      <c r="W35" s="472">
        <v>2735072.6656000004</v>
      </c>
      <c r="AA35" s="68"/>
      <c r="AB35" s="68"/>
    </row>
    <row r="36" spans="1:28">
      <c r="A36" s="703" t="s">
        <v>6969</v>
      </c>
      <c r="B36" s="13">
        <v>243</v>
      </c>
      <c r="C36" s="13"/>
      <c r="D36" s="13"/>
      <c r="E36" s="13"/>
      <c r="F36" s="13"/>
      <c r="G36" s="13"/>
      <c r="H36" s="13"/>
      <c r="I36" s="13"/>
      <c r="J36" s="13"/>
      <c r="K36" s="13">
        <f t="shared" si="9"/>
        <v>243</v>
      </c>
      <c r="L36" s="472">
        <v>7663014.1531460611</v>
      </c>
      <c r="M36" s="13">
        <v>241</v>
      </c>
      <c r="N36" s="13"/>
      <c r="O36" s="13"/>
      <c r="P36" s="13"/>
      <c r="Q36" s="13"/>
      <c r="R36" s="13"/>
      <c r="S36" s="13"/>
      <c r="T36" s="13"/>
      <c r="U36" s="13"/>
      <c r="V36" s="13">
        <f t="shared" si="10"/>
        <v>241</v>
      </c>
      <c r="W36" s="472">
        <v>7414649.4399999995</v>
      </c>
      <c r="AA36" s="68"/>
      <c r="AB36" s="68"/>
    </row>
    <row r="37" spans="1:28">
      <c r="A37" s="703" t="s">
        <v>6968</v>
      </c>
      <c r="B37" s="13">
        <v>306</v>
      </c>
      <c r="C37" s="13"/>
      <c r="D37" s="13"/>
      <c r="E37" s="13"/>
      <c r="F37" s="13"/>
      <c r="G37" s="13"/>
      <c r="H37" s="13"/>
      <c r="I37" s="13"/>
      <c r="J37" s="13"/>
      <c r="K37" s="13">
        <f t="shared" si="9"/>
        <v>306</v>
      </c>
      <c r="L37" s="472">
        <v>9585728.4264589846</v>
      </c>
      <c r="M37" s="13">
        <v>298</v>
      </c>
      <c r="N37" s="13"/>
      <c r="O37" s="13"/>
      <c r="P37" s="13"/>
      <c r="Q37" s="13"/>
      <c r="R37" s="13"/>
      <c r="S37" s="13"/>
      <c r="T37" s="13"/>
      <c r="U37" s="13"/>
      <c r="V37" s="13">
        <f t="shared" si="10"/>
        <v>298</v>
      </c>
      <c r="W37" s="472">
        <v>9152441.0175999999</v>
      </c>
      <c r="AA37" s="68"/>
      <c r="AB37" s="68"/>
    </row>
    <row r="38" spans="1:28">
      <c r="A38" s="703" t="s">
        <v>6967</v>
      </c>
      <c r="B38" s="13">
        <v>2</v>
      </c>
      <c r="C38" s="13"/>
      <c r="D38" s="13"/>
      <c r="E38" s="13"/>
      <c r="F38" s="13"/>
      <c r="G38" s="13"/>
      <c r="H38" s="13"/>
      <c r="I38" s="13"/>
      <c r="J38" s="13"/>
      <c r="K38" s="13">
        <f t="shared" si="9"/>
        <v>2</v>
      </c>
      <c r="L38" s="472">
        <v>62994.232349065642</v>
      </c>
      <c r="M38" s="13">
        <v>2</v>
      </c>
      <c r="N38" s="13"/>
      <c r="O38" s="13"/>
      <c r="P38" s="13"/>
      <c r="Q38" s="13"/>
      <c r="R38" s="13"/>
      <c r="S38" s="13"/>
      <c r="T38" s="13"/>
      <c r="U38" s="13"/>
      <c r="V38" s="13">
        <f t="shared" si="10"/>
        <v>2</v>
      </c>
      <c r="W38" s="472">
        <v>60152.960000000006</v>
      </c>
      <c r="AA38" s="68"/>
      <c r="AB38" s="68"/>
    </row>
    <row r="39" spans="1:28">
      <c r="A39" s="703" t="s">
        <v>18</v>
      </c>
      <c r="B39" s="13">
        <v>481</v>
      </c>
      <c r="C39" s="13"/>
      <c r="D39" s="13"/>
      <c r="E39" s="13"/>
      <c r="F39" s="13"/>
      <c r="G39" s="13"/>
      <c r="H39" s="13"/>
      <c r="I39" s="13"/>
      <c r="J39" s="13"/>
      <c r="K39" s="13">
        <f t="shared" si="9"/>
        <v>481</v>
      </c>
      <c r="L39" s="472">
        <v>14566100.6713796</v>
      </c>
      <c r="M39" s="13">
        <v>477</v>
      </c>
      <c r="N39" s="13"/>
      <c r="O39" s="13"/>
      <c r="P39" s="13"/>
      <c r="Q39" s="13"/>
      <c r="R39" s="13"/>
      <c r="S39" s="13"/>
      <c r="T39" s="13"/>
      <c r="U39" s="13"/>
      <c r="V39" s="13">
        <f t="shared" si="10"/>
        <v>477</v>
      </c>
      <c r="W39" s="472">
        <v>14554630.563199999</v>
      </c>
      <c r="AA39" s="68"/>
      <c r="AB39" s="68"/>
    </row>
    <row r="40" spans="1:28" hidden="1">
      <c r="A40" s="703" t="s">
        <v>6966</v>
      </c>
      <c r="B40" s="13"/>
      <c r="C40" s="13"/>
      <c r="D40" s="13"/>
      <c r="E40" s="13"/>
      <c r="F40" s="13"/>
      <c r="G40" s="13"/>
      <c r="H40" s="13"/>
      <c r="I40" s="13"/>
      <c r="J40" s="13"/>
      <c r="K40" s="13">
        <f t="shared" si="9"/>
        <v>0</v>
      </c>
      <c r="L40" s="472"/>
      <c r="M40" s="13">
        <v>0</v>
      </c>
      <c r="N40" s="13"/>
      <c r="O40" s="13"/>
      <c r="P40" s="13"/>
      <c r="Q40" s="13"/>
      <c r="R40" s="13"/>
      <c r="S40" s="13"/>
      <c r="T40" s="13"/>
      <c r="U40" s="13"/>
      <c r="V40" s="13">
        <f t="shared" si="10"/>
        <v>0</v>
      </c>
      <c r="W40" s="472">
        <v>0</v>
      </c>
      <c r="AA40" s="68"/>
      <c r="AB40" s="68"/>
    </row>
    <row r="41" spans="1:28" hidden="1">
      <c r="A41" s="703" t="s">
        <v>7055</v>
      </c>
      <c r="B41" s="13"/>
      <c r="C41" s="13"/>
      <c r="D41" s="13"/>
      <c r="E41" s="13"/>
      <c r="F41" s="13"/>
      <c r="G41" s="13"/>
      <c r="H41" s="13"/>
      <c r="I41" s="13"/>
      <c r="J41" s="13"/>
      <c r="K41" s="13"/>
      <c r="L41" s="16"/>
      <c r="M41" s="13"/>
      <c r="N41" s="13"/>
      <c r="O41" s="13"/>
      <c r="P41" s="13"/>
      <c r="Q41" s="13"/>
      <c r="R41" s="13"/>
      <c r="S41" s="13"/>
      <c r="T41" s="13"/>
      <c r="U41" s="13"/>
      <c r="V41" s="13"/>
      <c r="W41" s="472"/>
      <c r="AA41" s="68"/>
      <c r="AB41" s="68"/>
    </row>
    <row r="42" spans="1:28">
      <c r="A42" s="705" t="s">
        <v>7064</v>
      </c>
      <c r="B42" s="484">
        <f t="shared" ref="B42:W42" si="11">SUM(B43:B44)</f>
        <v>17</v>
      </c>
      <c r="C42" s="484">
        <f t="shared" si="11"/>
        <v>0</v>
      </c>
      <c r="D42" s="484">
        <f t="shared" si="11"/>
        <v>0</v>
      </c>
      <c r="E42" s="484">
        <f t="shared" si="11"/>
        <v>0</v>
      </c>
      <c r="F42" s="484">
        <f t="shared" si="11"/>
        <v>0</v>
      </c>
      <c r="G42" s="484">
        <f t="shared" si="11"/>
        <v>0</v>
      </c>
      <c r="H42" s="484">
        <f t="shared" si="11"/>
        <v>0</v>
      </c>
      <c r="I42" s="484">
        <f t="shared" si="11"/>
        <v>0</v>
      </c>
      <c r="J42" s="484">
        <f t="shared" si="11"/>
        <v>0</v>
      </c>
      <c r="K42" s="484">
        <f t="shared" si="11"/>
        <v>17</v>
      </c>
      <c r="L42" s="485">
        <f t="shared" si="11"/>
        <v>694595.23840000003</v>
      </c>
      <c r="M42" s="484">
        <f t="shared" si="11"/>
        <v>17</v>
      </c>
      <c r="N42" s="484">
        <f t="shared" si="11"/>
        <v>0</v>
      </c>
      <c r="O42" s="484">
        <f t="shared" si="11"/>
        <v>0</v>
      </c>
      <c r="P42" s="484">
        <f t="shared" si="11"/>
        <v>0</v>
      </c>
      <c r="Q42" s="484">
        <f t="shared" si="11"/>
        <v>0</v>
      </c>
      <c r="R42" s="484">
        <f t="shared" si="11"/>
        <v>0</v>
      </c>
      <c r="S42" s="484">
        <f t="shared" si="11"/>
        <v>0</v>
      </c>
      <c r="T42" s="484">
        <f t="shared" si="11"/>
        <v>0</v>
      </c>
      <c r="U42" s="484">
        <f t="shared" si="11"/>
        <v>0</v>
      </c>
      <c r="V42" s="484">
        <f t="shared" si="11"/>
        <v>17</v>
      </c>
      <c r="W42" s="485">
        <f t="shared" si="11"/>
        <v>931185.98138000001</v>
      </c>
      <c r="AA42" s="68"/>
      <c r="AB42" s="68"/>
    </row>
    <row r="43" spans="1:28">
      <c r="A43" s="703" t="s">
        <v>7053</v>
      </c>
      <c r="B43" s="13">
        <v>17</v>
      </c>
      <c r="C43" s="13"/>
      <c r="D43" s="13"/>
      <c r="E43" s="13"/>
      <c r="F43" s="13"/>
      <c r="G43" s="13"/>
      <c r="H43" s="13"/>
      <c r="I43" s="13"/>
      <c r="J43" s="13"/>
      <c r="K43" s="13">
        <f>SUM(B43:J43)</f>
        <v>17</v>
      </c>
      <c r="L43" s="472">
        <v>694595.23840000003</v>
      </c>
      <c r="M43" s="13">
        <v>17</v>
      </c>
      <c r="N43" s="13"/>
      <c r="O43" s="13"/>
      <c r="P43" s="13"/>
      <c r="Q43" s="13"/>
      <c r="R43" s="13"/>
      <c r="S43" s="13"/>
      <c r="T43" s="13"/>
      <c r="U43" s="13"/>
      <c r="V43" s="13">
        <f>SUM(M43:U43)</f>
        <v>17</v>
      </c>
      <c r="W43" s="472">
        <v>931185.98138000001</v>
      </c>
      <c r="AA43" s="68"/>
      <c r="AB43" s="68"/>
    </row>
    <row r="44" spans="1:28" hidden="1">
      <c r="A44" s="703" t="s">
        <v>57</v>
      </c>
      <c r="B44" s="13"/>
      <c r="C44" s="13"/>
      <c r="D44" s="13"/>
      <c r="E44" s="13"/>
      <c r="F44" s="13"/>
      <c r="G44" s="13"/>
      <c r="H44" s="13"/>
      <c r="I44" s="13"/>
      <c r="J44" s="13"/>
      <c r="K44" s="13"/>
      <c r="L44" s="472"/>
      <c r="M44" s="13"/>
      <c r="N44" s="13"/>
      <c r="O44" s="13"/>
      <c r="P44" s="13"/>
      <c r="Q44" s="13"/>
      <c r="R44" s="13"/>
      <c r="S44" s="13"/>
      <c r="T44" s="13"/>
      <c r="U44" s="13"/>
      <c r="V44" s="13">
        <f>SUM(M44:U44)</f>
        <v>0</v>
      </c>
      <c r="W44" s="472"/>
      <c r="AA44" s="68"/>
      <c r="AB44" s="68"/>
    </row>
    <row r="45" spans="1:28" hidden="1">
      <c r="A45" s="703"/>
      <c r="B45" s="13"/>
      <c r="C45" s="13"/>
      <c r="D45" s="13"/>
      <c r="E45" s="13"/>
      <c r="F45" s="13"/>
      <c r="G45" s="13"/>
      <c r="H45" s="13"/>
      <c r="I45" s="13"/>
      <c r="J45" s="13"/>
      <c r="K45" s="13"/>
      <c r="L45" s="16"/>
      <c r="M45" s="13"/>
      <c r="N45" s="13"/>
      <c r="O45" s="13"/>
      <c r="P45" s="13"/>
      <c r="Q45" s="13"/>
      <c r="R45" s="13"/>
      <c r="S45" s="13"/>
      <c r="T45" s="13"/>
      <c r="U45" s="13"/>
      <c r="V45" s="13">
        <f>SUM(M45:U45)</f>
        <v>0</v>
      </c>
      <c r="W45" s="472"/>
      <c r="AA45" s="68"/>
      <c r="AB45" s="68"/>
    </row>
    <row r="46" spans="1:28" hidden="1">
      <c r="A46" s="705" t="s">
        <v>7052</v>
      </c>
      <c r="B46" s="484"/>
      <c r="C46" s="484"/>
      <c r="D46" s="484"/>
      <c r="E46" s="484"/>
      <c r="F46" s="484"/>
      <c r="G46" s="484"/>
      <c r="H46" s="484"/>
      <c r="I46" s="484"/>
      <c r="J46" s="484"/>
      <c r="K46" s="484"/>
      <c r="L46" s="483"/>
      <c r="M46" s="484"/>
      <c r="N46" s="484"/>
      <c r="O46" s="484"/>
      <c r="P46" s="484"/>
      <c r="Q46" s="484"/>
      <c r="R46" s="484"/>
      <c r="S46" s="484"/>
      <c r="T46" s="484"/>
      <c r="U46" s="484"/>
      <c r="V46" s="484"/>
      <c r="W46" s="485"/>
      <c r="AA46" s="68"/>
      <c r="AB46" s="68"/>
    </row>
    <row r="47" spans="1:28" hidden="1">
      <c r="A47" s="703" t="s">
        <v>7051</v>
      </c>
      <c r="B47" s="13"/>
      <c r="C47" s="13"/>
      <c r="D47" s="13"/>
      <c r="E47" s="13"/>
      <c r="F47" s="13"/>
      <c r="G47" s="13"/>
      <c r="H47" s="13"/>
      <c r="I47" s="13"/>
      <c r="J47" s="13"/>
      <c r="K47" s="13">
        <f>SUM(B47:J47)</f>
        <v>0</v>
      </c>
      <c r="L47" s="16"/>
      <c r="M47" s="13"/>
      <c r="N47" s="13"/>
      <c r="O47" s="13"/>
      <c r="P47" s="13"/>
      <c r="Q47" s="13"/>
      <c r="R47" s="13"/>
      <c r="S47" s="13"/>
      <c r="T47" s="13"/>
      <c r="U47" s="13"/>
      <c r="V47" s="13">
        <f>SUM(M47:U47)</f>
        <v>0</v>
      </c>
      <c r="W47" s="472"/>
      <c r="AA47" s="68"/>
      <c r="AB47" s="68"/>
    </row>
    <row r="48" spans="1:28" hidden="1">
      <c r="A48" s="703" t="s">
        <v>7050</v>
      </c>
      <c r="B48" s="13"/>
      <c r="C48" s="13"/>
      <c r="D48" s="13"/>
      <c r="E48" s="13"/>
      <c r="F48" s="13"/>
      <c r="G48" s="13"/>
      <c r="H48" s="13"/>
      <c r="I48" s="13"/>
      <c r="J48" s="13"/>
      <c r="K48" s="13">
        <f>SUM(B48:J48)</f>
        <v>0</v>
      </c>
      <c r="L48" s="16"/>
      <c r="M48" s="13"/>
      <c r="N48" s="13"/>
      <c r="O48" s="13"/>
      <c r="P48" s="13"/>
      <c r="Q48" s="13"/>
      <c r="R48" s="13"/>
      <c r="S48" s="13"/>
      <c r="T48" s="13"/>
      <c r="U48" s="13"/>
      <c r="V48" s="13">
        <f>SUM(M48:U48)</f>
        <v>0</v>
      </c>
      <c r="W48" s="472"/>
      <c r="AA48" s="68"/>
      <c r="AB48" s="68"/>
    </row>
    <row r="49" spans="1:28" hidden="1">
      <c r="A49" s="703" t="s">
        <v>7049</v>
      </c>
      <c r="B49" s="13"/>
      <c r="C49" s="13"/>
      <c r="D49" s="13"/>
      <c r="E49" s="13"/>
      <c r="F49" s="13"/>
      <c r="G49" s="13"/>
      <c r="H49" s="13"/>
      <c r="I49" s="13"/>
      <c r="J49" s="13"/>
      <c r="K49" s="13">
        <f>SUM(B49:J49)</f>
        <v>0</v>
      </c>
      <c r="L49" s="16"/>
      <c r="M49" s="13"/>
      <c r="N49" s="13"/>
      <c r="O49" s="13"/>
      <c r="P49" s="13"/>
      <c r="Q49" s="13"/>
      <c r="R49" s="13"/>
      <c r="S49" s="13"/>
      <c r="T49" s="13"/>
      <c r="U49" s="13"/>
      <c r="V49" s="13">
        <f>SUM(M49:U49)</f>
        <v>0</v>
      </c>
      <c r="W49" s="472"/>
      <c r="AA49" s="68"/>
      <c r="AB49" s="68"/>
    </row>
    <row r="50" spans="1:28">
      <c r="A50" s="704" t="s">
        <v>51</v>
      </c>
      <c r="B50" s="482">
        <f t="shared" ref="B50:W50" si="12">SUM(B51:B66)</f>
        <v>909</v>
      </c>
      <c r="C50" s="482">
        <f t="shared" si="12"/>
        <v>0</v>
      </c>
      <c r="D50" s="482">
        <f t="shared" si="12"/>
        <v>0</v>
      </c>
      <c r="E50" s="482">
        <f t="shared" si="12"/>
        <v>0</v>
      </c>
      <c r="F50" s="482">
        <f t="shared" si="12"/>
        <v>0</v>
      </c>
      <c r="G50" s="482">
        <f t="shared" si="12"/>
        <v>0</v>
      </c>
      <c r="H50" s="482">
        <f t="shared" si="12"/>
        <v>0</v>
      </c>
      <c r="I50" s="482">
        <f t="shared" si="12"/>
        <v>0</v>
      </c>
      <c r="J50" s="482">
        <f t="shared" si="12"/>
        <v>0</v>
      </c>
      <c r="K50" s="482">
        <f t="shared" si="12"/>
        <v>909</v>
      </c>
      <c r="L50" s="474">
        <f t="shared" si="12"/>
        <v>26095879.276079997</v>
      </c>
      <c r="M50" s="482">
        <f t="shared" si="12"/>
        <v>869</v>
      </c>
      <c r="N50" s="482">
        <f t="shared" si="12"/>
        <v>0</v>
      </c>
      <c r="O50" s="482">
        <f t="shared" si="12"/>
        <v>0</v>
      </c>
      <c r="P50" s="482">
        <f t="shared" si="12"/>
        <v>0</v>
      </c>
      <c r="Q50" s="482">
        <f t="shared" si="12"/>
        <v>0</v>
      </c>
      <c r="R50" s="482">
        <f t="shared" si="12"/>
        <v>0</v>
      </c>
      <c r="S50" s="482">
        <f t="shared" si="12"/>
        <v>0</v>
      </c>
      <c r="T50" s="482">
        <f t="shared" si="12"/>
        <v>0</v>
      </c>
      <c r="U50" s="482">
        <f t="shared" si="12"/>
        <v>0</v>
      </c>
      <c r="V50" s="482">
        <f t="shared" si="12"/>
        <v>869</v>
      </c>
      <c r="W50" s="474">
        <f t="shared" si="12"/>
        <v>26779859.907439996</v>
      </c>
      <c r="AA50" s="68"/>
      <c r="AB50" s="68"/>
    </row>
    <row r="51" spans="1:28" ht="14.25">
      <c r="A51" s="706" t="s">
        <v>7048</v>
      </c>
      <c r="B51" s="13">
        <v>60</v>
      </c>
      <c r="C51" s="13"/>
      <c r="D51" s="13"/>
      <c r="E51" s="13"/>
      <c r="F51" s="13"/>
      <c r="G51" s="13"/>
      <c r="H51" s="13"/>
      <c r="I51" s="13"/>
      <c r="J51" s="13"/>
      <c r="K51" s="13">
        <f t="shared" ref="K51:K66" si="13">SUM(B51:J51)</f>
        <v>60</v>
      </c>
      <c r="L51" s="472">
        <v>2398830.5356799997</v>
      </c>
      <c r="M51" s="13">
        <v>2</v>
      </c>
      <c r="N51" s="13"/>
      <c r="O51" s="13"/>
      <c r="P51" s="13"/>
      <c r="Q51" s="13"/>
      <c r="R51" s="13"/>
      <c r="S51" s="13"/>
      <c r="T51" s="13"/>
      <c r="U51" s="13"/>
      <c r="V51" s="13">
        <f t="shared" ref="V51:V66" si="14">SUM(M51:U51)</f>
        <v>2</v>
      </c>
      <c r="W51" s="472">
        <v>79725.486079999988</v>
      </c>
      <c r="AA51" s="68"/>
      <c r="AB51" s="68"/>
    </row>
    <row r="52" spans="1:28" ht="14.25">
      <c r="A52" s="706" t="s">
        <v>7047</v>
      </c>
      <c r="B52" s="13"/>
      <c r="C52" s="13"/>
      <c r="D52" s="13"/>
      <c r="E52" s="13"/>
      <c r="F52" s="13"/>
      <c r="G52" s="13"/>
      <c r="H52" s="13"/>
      <c r="I52" s="13"/>
      <c r="J52" s="13"/>
      <c r="K52" s="13">
        <f t="shared" si="13"/>
        <v>0</v>
      </c>
      <c r="L52" s="472"/>
      <c r="M52" s="13">
        <v>10</v>
      </c>
      <c r="N52" s="13"/>
      <c r="O52" s="13"/>
      <c r="P52" s="13"/>
      <c r="Q52" s="13"/>
      <c r="R52" s="13"/>
      <c r="S52" s="13"/>
      <c r="T52" s="13"/>
      <c r="U52" s="13"/>
      <c r="V52" s="13">
        <f t="shared" si="14"/>
        <v>10</v>
      </c>
      <c r="W52" s="472">
        <v>346442.64399999985</v>
      </c>
      <c r="AA52" s="68"/>
      <c r="AB52" s="68"/>
    </row>
    <row r="53" spans="1:28" ht="14.25">
      <c r="A53" s="706" t="s">
        <v>7046</v>
      </c>
      <c r="B53" s="13">
        <v>624</v>
      </c>
      <c r="C53" s="13"/>
      <c r="D53" s="13"/>
      <c r="E53" s="13"/>
      <c r="F53" s="13"/>
      <c r="G53" s="13"/>
      <c r="H53" s="13"/>
      <c r="I53" s="13"/>
      <c r="J53" s="13"/>
      <c r="K53" s="13">
        <f t="shared" si="13"/>
        <v>624</v>
      </c>
      <c r="L53" s="472">
        <v>20001620.392799996</v>
      </c>
      <c r="M53" s="13">
        <v>636</v>
      </c>
      <c r="N53" s="13"/>
      <c r="O53" s="13"/>
      <c r="P53" s="13"/>
      <c r="Q53" s="13"/>
      <c r="R53" s="13"/>
      <c r="S53" s="13"/>
      <c r="T53" s="13"/>
      <c r="U53" s="13"/>
      <c r="V53" s="13">
        <f t="shared" si="14"/>
        <v>636</v>
      </c>
      <c r="W53" s="472">
        <v>22893319.430399995</v>
      </c>
      <c r="AA53" s="68"/>
      <c r="AB53" s="68"/>
    </row>
    <row r="54" spans="1:28" ht="14.25" hidden="1">
      <c r="A54" s="706" t="s">
        <v>7045</v>
      </c>
      <c r="B54" s="13"/>
      <c r="C54" s="13"/>
      <c r="D54" s="13"/>
      <c r="E54" s="13"/>
      <c r="F54" s="13"/>
      <c r="G54" s="13"/>
      <c r="H54" s="13"/>
      <c r="I54" s="13"/>
      <c r="J54" s="13"/>
      <c r="K54" s="13">
        <f t="shared" si="13"/>
        <v>0</v>
      </c>
      <c r="L54" s="472"/>
      <c r="M54" s="13"/>
      <c r="N54" s="13"/>
      <c r="O54" s="13"/>
      <c r="P54" s="13"/>
      <c r="Q54" s="13"/>
      <c r="R54" s="13"/>
      <c r="S54" s="13"/>
      <c r="T54" s="13"/>
      <c r="U54" s="13"/>
      <c r="V54" s="13">
        <f t="shared" si="14"/>
        <v>0</v>
      </c>
      <c r="W54" s="472"/>
      <c r="AA54" s="68"/>
      <c r="AB54" s="68"/>
    </row>
    <row r="55" spans="1:28" ht="14.25" hidden="1">
      <c r="A55" s="706" t="s">
        <v>7044</v>
      </c>
      <c r="B55" s="13"/>
      <c r="C55" s="13"/>
      <c r="D55" s="13"/>
      <c r="E55" s="13"/>
      <c r="F55" s="13"/>
      <c r="G55" s="13"/>
      <c r="H55" s="13"/>
      <c r="I55" s="13"/>
      <c r="J55" s="13"/>
      <c r="K55" s="13">
        <f t="shared" si="13"/>
        <v>0</v>
      </c>
      <c r="L55" s="472"/>
      <c r="M55" s="13"/>
      <c r="N55" s="13"/>
      <c r="O55" s="13"/>
      <c r="P55" s="13"/>
      <c r="Q55" s="13"/>
      <c r="R55" s="13"/>
      <c r="S55" s="13"/>
      <c r="T55" s="13"/>
      <c r="U55" s="13"/>
      <c r="V55" s="13">
        <f t="shared" si="14"/>
        <v>0</v>
      </c>
      <c r="W55" s="472"/>
      <c r="AA55" s="68"/>
      <c r="AB55" s="68"/>
    </row>
    <row r="56" spans="1:28" ht="14.25" hidden="1">
      <c r="A56" s="706" t="s">
        <v>7043</v>
      </c>
      <c r="B56" s="13"/>
      <c r="C56" s="13"/>
      <c r="D56" s="13"/>
      <c r="E56" s="13"/>
      <c r="F56" s="13"/>
      <c r="G56" s="13"/>
      <c r="H56" s="13"/>
      <c r="I56" s="13"/>
      <c r="J56" s="13"/>
      <c r="K56" s="13">
        <f t="shared" si="13"/>
        <v>0</v>
      </c>
      <c r="L56" s="472"/>
      <c r="M56" s="13"/>
      <c r="N56" s="13"/>
      <c r="O56" s="13"/>
      <c r="P56" s="13"/>
      <c r="Q56" s="13"/>
      <c r="R56" s="13"/>
      <c r="S56" s="13"/>
      <c r="T56" s="13"/>
      <c r="U56" s="13"/>
      <c r="V56" s="13">
        <f t="shared" si="14"/>
        <v>0</v>
      </c>
      <c r="W56" s="472"/>
      <c r="AA56" s="68"/>
      <c r="AB56" s="68"/>
    </row>
    <row r="57" spans="1:28" hidden="1">
      <c r="A57" s="703" t="s">
        <v>7012</v>
      </c>
      <c r="B57" s="13"/>
      <c r="C57" s="13"/>
      <c r="D57" s="13"/>
      <c r="E57" s="13"/>
      <c r="F57" s="13"/>
      <c r="G57" s="13"/>
      <c r="H57" s="13"/>
      <c r="I57" s="13"/>
      <c r="J57" s="13"/>
      <c r="K57" s="13">
        <f t="shared" si="13"/>
        <v>0</v>
      </c>
      <c r="L57" s="472"/>
      <c r="M57" s="13"/>
      <c r="N57" s="13"/>
      <c r="O57" s="13"/>
      <c r="P57" s="13"/>
      <c r="Q57" s="13"/>
      <c r="R57" s="13"/>
      <c r="S57" s="13"/>
      <c r="T57" s="13"/>
      <c r="U57" s="13"/>
      <c r="V57" s="13">
        <f t="shared" si="14"/>
        <v>0</v>
      </c>
      <c r="W57" s="472"/>
      <c r="AA57" s="68"/>
      <c r="AB57" s="68"/>
    </row>
    <row r="58" spans="1:28" hidden="1">
      <c r="A58" s="703" t="s">
        <v>7011</v>
      </c>
      <c r="B58" s="13"/>
      <c r="C58" s="13"/>
      <c r="D58" s="13"/>
      <c r="E58" s="13"/>
      <c r="F58" s="13"/>
      <c r="G58" s="13"/>
      <c r="H58" s="13"/>
      <c r="I58" s="13"/>
      <c r="J58" s="13"/>
      <c r="K58" s="13">
        <f t="shared" si="13"/>
        <v>0</v>
      </c>
      <c r="L58" s="472"/>
      <c r="M58" s="13"/>
      <c r="N58" s="13"/>
      <c r="O58" s="13"/>
      <c r="P58" s="13"/>
      <c r="Q58" s="13"/>
      <c r="R58" s="13"/>
      <c r="S58" s="13"/>
      <c r="T58" s="13"/>
      <c r="U58" s="13"/>
      <c r="V58" s="13">
        <f t="shared" si="14"/>
        <v>0</v>
      </c>
      <c r="W58" s="472"/>
      <c r="AA58" s="68"/>
      <c r="AB58" s="68"/>
    </row>
    <row r="59" spans="1:28" hidden="1">
      <c r="A59" s="703" t="s">
        <v>7042</v>
      </c>
      <c r="B59" s="13"/>
      <c r="C59" s="13"/>
      <c r="D59" s="13"/>
      <c r="E59" s="13"/>
      <c r="F59" s="13"/>
      <c r="G59" s="13"/>
      <c r="H59" s="13"/>
      <c r="I59" s="13"/>
      <c r="J59" s="13"/>
      <c r="K59" s="13">
        <f t="shared" si="13"/>
        <v>0</v>
      </c>
      <c r="L59" s="472"/>
      <c r="M59" s="13"/>
      <c r="N59" s="13"/>
      <c r="O59" s="13"/>
      <c r="P59" s="13"/>
      <c r="Q59" s="13"/>
      <c r="R59" s="13"/>
      <c r="S59" s="13"/>
      <c r="T59" s="13"/>
      <c r="U59" s="13"/>
      <c r="V59" s="13">
        <f t="shared" si="14"/>
        <v>0</v>
      </c>
      <c r="W59" s="472"/>
      <c r="AA59" s="68"/>
      <c r="AB59" s="68"/>
    </row>
    <row r="60" spans="1:28" hidden="1">
      <c r="A60" s="703" t="s">
        <v>7041</v>
      </c>
      <c r="B60" s="13"/>
      <c r="C60" s="13"/>
      <c r="D60" s="13"/>
      <c r="E60" s="13"/>
      <c r="F60" s="13"/>
      <c r="G60" s="13"/>
      <c r="H60" s="13"/>
      <c r="I60" s="13"/>
      <c r="J60" s="13"/>
      <c r="K60" s="13">
        <f t="shared" si="13"/>
        <v>0</v>
      </c>
      <c r="L60" s="472"/>
      <c r="M60" s="13"/>
      <c r="N60" s="13"/>
      <c r="O60" s="13"/>
      <c r="P60" s="13"/>
      <c r="Q60" s="13"/>
      <c r="R60" s="13"/>
      <c r="S60" s="13"/>
      <c r="T60" s="13"/>
      <c r="U60" s="13"/>
      <c r="V60" s="13">
        <f t="shared" si="14"/>
        <v>0</v>
      </c>
      <c r="W60" s="472"/>
      <c r="AA60" s="68"/>
      <c r="AB60" s="68"/>
    </row>
    <row r="61" spans="1:28" hidden="1">
      <c r="A61" s="703" t="s">
        <v>7040</v>
      </c>
      <c r="B61" s="13"/>
      <c r="C61" s="13"/>
      <c r="D61" s="13"/>
      <c r="E61" s="13"/>
      <c r="F61" s="13"/>
      <c r="G61" s="13"/>
      <c r="H61" s="13"/>
      <c r="I61" s="13"/>
      <c r="J61" s="13"/>
      <c r="K61" s="13">
        <f t="shared" si="13"/>
        <v>0</v>
      </c>
      <c r="L61" s="472"/>
      <c r="M61" s="13"/>
      <c r="N61" s="13"/>
      <c r="O61" s="13"/>
      <c r="P61" s="13"/>
      <c r="Q61" s="13"/>
      <c r="R61" s="13"/>
      <c r="S61" s="13"/>
      <c r="T61" s="13"/>
      <c r="U61" s="13"/>
      <c r="V61" s="13">
        <f t="shared" si="14"/>
        <v>0</v>
      </c>
      <c r="W61" s="472"/>
      <c r="AA61" s="68"/>
      <c r="AB61" s="68"/>
    </row>
    <row r="62" spans="1:28" hidden="1">
      <c r="A62" s="703" t="s">
        <v>7039</v>
      </c>
      <c r="B62" s="13"/>
      <c r="C62" s="13"/>
      <c r="D62" s="13"/>
      <c r="E62" s="13"/>
      <c r="F62" s="13"/>
      <c r="G62" s="13"/>
      <c r="H62" s="13"/>
      <c r="I62" s="13"/>
      <c r="J62" s="13"/>
      <c r="K62" s="13">
        <f t="shared" si="13"/>
        <v>0</v>
      </c>
      <c r="L62" s="472"/>
      <c r="M62" s="13"/>
      <c r="N62" s="13"/>
      <c r="O62" s="13"/>
      <c r="P62" s="13"/>
      <c r="Q62" s="13"/>
      <c r="R62" s="13"/>
      <c r="S62" s="13"/>
      <c r="T62" s="13"/>
      <c r="U62" s="13"/>
      <c r="V62" s="13">
        <f t="shared" si="14"/>
        <v>0</v>
      </c>
      <c r="W62" s="472"/>
      <c r="AA62" s="68"/>
      <c r="AB62" s="68"/>
    </row>
    <row r="63" spans="1:28" hidden="1">
      <c r="A63" s="703" t="s">
        <v>7038</v>
      </c>
      <c r="B63" s="13"/>
      <c r="C63" s="13"/>
      <c r="D63" s="13"/>
      <c r="E63" s="13"/>
      <c r="F63" s="13"/>
      <c r="G63" s="13"/>
      <c r="H63" s="13"/>
      <c r="I63" s="13"/>
      <c r="J63" s="13"/>
      <c r="K63" s="13">
        <f t="shared" si="13"/>
        <v>0</v>
      </c>
      <c r="L63" s="472"/>
      <c r="M63" s="13"/>
      <c r="N63" s="13"/>
      <c r="O63" s="13"/>
      <c r="P63" s="13"/>
      <c r="Q63" s="13"/>
      <c r="R63" s="13"/>
      <c r="S63" s="13"/>
      <c r="T63" s="13"/>
      <c r="U63" s="13"/>
      <c r="V63" s="13">
        <f t="shared" si="14"/>
        <v>0</v>
      </c>
      <c r="W63" s="472"/>
      <c r="AA63" s="68"/>
      <c r="AB63" s="68"/>
    </row>
    <row r="64" spans="1:28" hidden="1">
      <c r="A64" s="703" t="s">
        <v>7037</v>
      </c>
      <c r="B64" s="13"/>
      <c r="C64" s="13"/>
      <c r="D64" s="13"/>
      <c r="E64" s="13"/>
      <c r="F64" s="13"/>
      <c r="G64" s="13"/>
      <c r="H64" s="13"/>
      <c r="I64" s="13"/>
      <c r="J64" s="13"/>
      <c r="K64" s="13">
        <f t="shared" si="13"/>
        <v>0</v>
      </c>
      <c r="L64" s="472"/>
      <c r="M64" s="13"/>
      <c r="N64" s="13"/>
      <c r="O64" s="13"/>
      <c r="P64" s="13"/>
      <c r="Q64" s="13"/>
      <c r="R64" s="13"/>
      <c r="S64" s="13"/>
      <c r="T64" s="13"/>
      <c r="U64" s="13"/>
      <c r="V64" s="13">
        <f t="shared" si="14"/>
        <v>0</v>
      </c>
      <c r="W64" s="472"/>
      <c r="AA64" s="68"/>
      <c r="AB64" s="68"/>
    </row>
    <row r="65" spans="1:28" hidden="1">
      <c r="A65" s="703" t="s">
        <v>7036</v>
      </c>
      <c r="B65" s="13"/>
      <c r="C65" s="13"/>
      <c r="D65" s="13"/>
      <c r="E65" s="13"/>
      <c r="F65" s="13"/>
      <c r="G65" s="13"/>
      <c r="H65" s="13"/>
      <c r="I65" s="13"/>
      <c r="J65" s="13"/>
      <c r="K65" s="13">
        <f t="shared" si="13"/>
        <v>0</v>
      </c>
      <c r="L65" s="472"/>
      <c r="M65" s="13"/>
      <c r="N65" s="13"/>
      <c r="O65" s="13"/>
      <c r="P65" s="13"/>
      <c r="Q65" s="13"/>
      <c r="R65" s="13"/>
      <c r="S65" s="13"/>
      <c r="T65" s="13"/>
      <c r="U65" s="13"/>
      <c r="V65" s="13">
        <f t="shared" si="14"/>
        <v>0</v>
      </c>
      <c r="W65" s="472"/>
      <c r="AA65" s="68"/>
      <c r="AB65" s="68"/>
    </row>
    <row r="66" spans="1:28">
      <c r="A66" s="703" t="s">
        <v>7035</v>
      </c>
      <c r="B66" s="13">
        <v>225</v>
      </c>
      <c r="C66" s="13"/>
      <c r="D66" s="13"/>
      <c r="E66" s="13"/>
      <c r="F66" s="13"/>
      <c r="G66" s="13"/>
      <c r="H66" s="13"/>
      <c r="I66" s="13"/>
      <c r="J66" s="13"/>
      <c r="K66" s="13">
        <f t="shared" si="13"/>
        <v>225</v>
      </c>
      <c r="L66" s="472">
        <v>3695428.3476</v>
      </c>
      <c r="M66" s="13">
        <v>221</v>
      </c>
      <c r="N66" s="13"/>
      <c r="O66" s="13"/>
      <c r="P66" s="13"/>
      <c r="Q66" s="13"/>
      <c r="R66" s="13"/>
      <c r="S66" s="13"/>
      <c r="T66" s="13"/>
      <c r="U66" s="13"/>
      <c r="V66" s="13">
        <f t="shared" si="14"/>
        <v>221</v>
      </c>
      <c r="W66" s="472">
        <v>3460372.3469600002</v>
      </c>
      <c r="AA66" s="68"/>
      <c r="AB66" s="68"/>
    </row>
    <row r="67" spans="1:28">
      <c r="A67" s="704" t="s">
        <v>54</v>
      </c>
      <c r="B67" s="482">
        <f t="shared" ref="B67:W67" si="15">SUM(B68:B78)</f>
        <v>153</v>
      </c>
      <c r="C67" s="482">
        <f t="shared" si="15"/>
        <v>0</v>
      </c>
      <c r="D67" s="482">
        <f t="shared" si="15"/>
        <v>0</v>
      </c>
      <c r="E67" s="482">
        <f t="shared" si="15"/>
        <v>0</v>
      </c>
      <c r="F67" s="482">
        <f t="shared" si="15"/>
        <v>0</v>
      </c>
      <c r="G67" s="482">
        <f t="shared" si="15"/>
        <v>0</v>
      </c>
      <c r="H67" s="482">
        <f t="shared" si="15"/>
        <v>0</v>
      </c>
      <c r="I67" s="482">
        <f t="shared" si="15"/>
        <v>0</v>
      </c>
      <c r="J67" s="482">
        <f t="shared" si="15"/>
        <v>0</v>
      </c>
      <c r="K67" s="482">
        <f t="shared" si="15"/>
        <v>153</v>
      </c>
      <c r="L67" s="474">
        <f t="shared" si="15"/>
        <v>2961415.7159999991</v>
      </c>
      <c r="M67" s="482">
        <f t="shared" si="15"/>
        <v>57</v>
      </c>
      <c r="N67" s="482">
        <f t="shared" si="15"/>
        <v>0</v>
      </c>
      <c r="O67" s="482">
        <f t="shared" si="15"/>
        <v>0</v>
      </c>
      <c r="P67" s="482">
        <f t="shared" si="15"/>
        <v>0</v>
      </c>
      <c r="Q67" s="482">
        <f t="shared" si="15"/>
        <v>0</v>
      </c>
      <c r="R67" s="482">
        <f t="shared" si="15"/>
        <v>0</v>
      </c>
      <c r="S67" s="482">
        <f t="shared" si="15"/>
        <v>0</v>
      </c>
      <c r="T67" s="482">
        <f t="shared" si="15"/>
        <v>0</v>
      </c>
      <c r="U67" s="482">
        <f t="shared" si="15"/>
        <v>0</v>
      </c>
      <c r="V67" s="482">
        <f t="shared" si="15"/>
        <v>57</v>
      </c>
      <c r="W67" s="474">
        <f t="shared" si="15"/>
        <v>1149852.3363999997</v>
      </c>
      <c r="AA67" s="68"/>
      <c r="AB67" s="68"/>
    </row>
    <row r="68" spans="1:28" hidden="1">
      <c r="A68" s="703" t="s">
        <v>7034</v>
      </c>
      <c r="B68" s="13"/>
      <c r="C68" s="13"/>
      <c r="D68" s="13"/>
      <c r="E68" s="13"/>
      <c r="F68" s="13"/>
      <c r="G68" s="13"/>
      <c r="H68" s="13"/>
      <c r="I68" s="13"/>
      <c r="J68" s="13"/>
      <c r="K68" s="13">
        <f t="shared" ref="K68:K78" si="16">SUM(B68:J68)</f>
        <v>0</v>
      </c>
      <c r="L68" s="472"/>
      <c r="M68" s="13"/>
      <c r="N68" s="13"/>
      <c r="O68" s="13"/>
      <c r="P68" s="13"/>
      <c r="Q68" s="13"/>
      <c r="R68" s="13"/>
      <c r="S68" s="13"/>
      <c r="T68" s="13"/>
      <c r="U68" s="13"/>
      <c r="V68" s="13">
        <f t="shared" ref="V68:V78" si="17">SUM(M68:U68)</f>
        <v>0</v>
      </c>
      <c r="W68" s="472"/>
      <c r="AA68" s="68"/>
      <c r="AB68" s="68"/>
    </row>
    <row r="69" spans="1:28" hidden="1">
      <c r="A69" s="703" t="s">
        <v>7033</v>
      </c>
      <c r="B69" s="13"/>
      <c r="C69" s="13"/>
      <c r="D69" s="13"/>
      <c r="E69" s="13"/>
      <c r="F69" s="13"/>
      <c r="G69" s="13"/>
      <c r="H69" s="13"/>
      <c r="I69" s="13"/>
      <c r="J69" s="13"/>
      <c r="K69" s="13">
        <f t="shared" si="16"/>
        <v>0</v>
      </c>
      <c r="L69" s="472"/>
      <c r="M69" s="13"/>
      <c r="N69" s="13"/>
      <c r="O69" s="13"/>
      <c r="P69" s="13"/>
      <c r="Q69" s="13"/>
      <c r="R69" s="13"/>
      <c r="S69" s="13"/>
      <c r="T69" s="13"/>
      <c r="U69" s="13"/>
      <c r="V69" s="13">
        <f t="shared" si="17"/>
        <v>0</v>
      </c>
      <c r="W69" s="472"/>
      <c r="AA69" s="68"/>
      <c r="AB69" s="68"/>
    </row>
    <row r="70" spans="1:28" hidden="1">
      <c r="A70" s="703" t="s">
        <v>7032</v>
      </c>
      <c r="B70" s="13"/>
      <c r="C70" s="13"/>
      <c r="D70" s="13"/>
      <c r="E70" s="13"/>
      <c r="F70" s="13"/>
      <c r="G70" s="13"/>
      <c r="H70" s="13"/>
      <c r="I70" s="13"/>
      <c r="J70" s="13"/>
      <c r="K70" s="13">
        <f t="shared" si="16"/>
        <v>0</v>
      </c>
      <c r="L70" s="472"/>
      <c r="M70" s="13"/>
      <c r="N70" s="13"/>
      <c r="O70" s="13"/>
      <c r="P70" s="13"/>
      <c r="Q70" s="13"/>
      <c r="R70" s="13"/>
      <c r="S70" s="13"/>
      <c r="T70" s="13"/>
      <c r="U70" s="13"/>
      <c r="V70" s="13">
        <f t="shared" si="17"/>
        <v>0</v>
      </c>
      <c r="W70" s="472"/>
      <c r="AA70" s="68"/>
      <c r="AB70" s="68"/>
    </row>
    <row r="71" spans="1:28" hidden="1">
      <c r="A71" s="703" t="s">
        <v>7027</v>
      </c>
      <c r="B71" s="13"/>
      <c r="C71" s="13"/>
      <c r="D71" s="13"/>
      <c r="E71" s="13"/>
      <c r="F71" s="13"/>
      <c r="G71" s="13"/>
      <c r="H71" s="13"/>
      <c r="I71" s="13"/>
      <c r="J71" s="13"/>
      <c r="K71" s="13">
        <f t="shared" si="16"/>
        <v>0</v>
      </c>
      <c r="L71" s="472"/>
      <c r="M71" s="13"/>
      <c r="N71" s="13"/>
      <c r="O71" s="13"/>
      <c r="P71" s="13"/>
      <c r="Q71" s="13"/>
      <c r="R71" s="13"/>
      <c r="S71" s="13"/>
      <c r="T71" s="13"/>
      <c r="U71" s="13"/>
      <c r="V71" s="13">
        <f t="shared" si="17"/>
        <v>0</v>
      </c>
      <c r="W71" s="472"/>
      <c r="AA71" s="68"/>
      <c r="AB71" s="68"/>
    </row>
    <row r="72" spans="1:28">
      <c r="A72" s="703" t="s">
        <v>7026</v>
      </c>
      <c r="B72" s="13">
        <v>12</v>
      </c>
      <c r="C72" s="13"/>
      <c r="D72" s="13"/>
      <c r="E72" s="13"/>
      <c r="F72" s="13"/>
      <c r="G72" s="13"/>
      <c r="H72" s="13"/>
      <c r="I72" s="13"/>
      <c r="J72" s="13"/>
      <c r="K72" s="13">
        <f t="shared" si="16"/>
        <v>12</v>
      </c>
      <c r="L72" s="472">
        <v>307405.86719999998</v>
      </c>
      <c r="M72" s="13">
        <v>5</v>
      </c>
      <c r="N72" s="13"/>
      <c r="O72" s="13"/>
      <c r="P72" s="13"/>
      <c r="Q72" s="13"/>
      <c r="R72" s="13"/>
      <c r="S72" s="13"/>
      <c r="T72" s="13"/>
      <c r="U72" s="13"/>
      <c r="V72" s="13">
        <f t="shared" si="17"/>
        <v>5</v>
      </c>
      <c r="W72" s="472">
        <v>126347.83040000001</v>
      </c>
      <c r="AA72" s="68"/>
      <c r="AB72" s="68"/>
    </row>
    <row r="73" spans="1:28">
      <c r="A73" s="703" t="s">
        <v>7025</v>
      </c>
      <c r="B73" s="13">
        <v>40</v>
      </c>
      <c r="C73" s="13"/>
      <c r="D73" s="13"/>
      <c r="E73" s="13"/>
      <c r="F73" s="13"/>
      <c r="G73" s="13"/>
      <c r="H73" s="13"/>
      <c r="I73" s="13"/>
      <c r="J73" s="13"/>
      <c r="K73" s="13">
        <f t="shared" si="16"/>
        <v>40</v>
      </c>
      <c r="L73" s="472">
        <v>885363.20479999995</v>
      </c>
      <c r="M73" s="13">
        <v>17</v>
      </c>
      <c r="N73" s="13"/>
      <c r="O73" s="13"/>
      <c r="P73" s="13"/>
      <c r="Q73" s="13"/>
      <c r="R73" s="13"/>
      <c r="S73" s="13"/>
      <c r="T73" s="13"/>
      <c r="U73" s="13"/>
      <c r="V73" s="13">
        <f t="shared" si="17"/>
        <v>17</v>
      </c>
      <c r="W73" s="472">
        <v>383091.5808</v>
      </c>
      <c r="AA73" s="68"/>
      <c r="AB73" s="68"/>
    </row>
    <row r="74" spans="1:28">
      <c r="A74" s="703" t="s">
        <v>7024</v>
      </c>
      <c r="B74" s="13">
        <v>58</v>
      </c>
      <c r="C74" s="13"/>
      <c r="D74" s="13"/>
      <c r="E74" s="13"/>
      <c r="F74" s="13"/>
      <c r="G74" s="13"/>
      <c r="H74" s="13"/>
      <c r="I74" s="13"/>
      <c r="J74" s="13"/>
      <c r="K74" s="13">
        <f t="shared" si="16"/>
        <v>58</v>
      </c>
      <c r="L74" s="472">
        <v>1162748.3887999998</v>
      </c>
      <c r="M74" s="13">
        <v>25</v>
      </c>
      <c r="N74" s="13"/>
      <c r="O74" s="13"/>
      <c r="P74" s="13"/>
      <c r="Q74" s="13"/>
      <c r="R74" s="13"/>
      <c r="S74" s="13"/>
      <c r="T74" s="13"/>
      <c r="U74" s="13"/>
      <c r="V74" s="13">
        <f t="shared" si="17"/>
        <v>25</v>
      </c>
      <c r="W74" s="472">
        <v>506578.75839999999</v>
      </c>
      <c r="AA74" s="68"/>
      <c r="AB74" s="68"/>
    </row>
    <row r="75" spans="1:28">
      <c r="A75" s="703" t="s">
        <v>7023</v>
      </c>
      <c r="B75" s="13">
        <v>17</v>
      </c>
      <c r="C75" s="13"/>
      <c r="D75" s="13"/>
      <c r="E75" s="13"/>
      <c r="F75" s="13"/>
      <c r="G75" s="13"/>
      <c r="H75" s="13"/>
      <c r="I75" s="13"/>
      <c r="J75" s="13"/>
      <c r="K75" s="13">
        <f t="shared" si="16"/>
        <v>17</v>
      </c>
      <c r="L75" s="472">
        <v>263083.72599999997</v>
      </c>
      <c r="M75" s="13">
        <v>1</v>
      </c>
      <c r="N75" s="13"/>
      <c r="O75" s="13"/>
      <c r="P75" s="13"/>
      <c r="Q75" s="13"/>
      <c r="R75" s="13"/>
      <c r="S75" s="13"/>
      <c r="T75" s="13"/>
      <c r="U75" s="13"/>
      <c r="V75" s="13">
        <f t="shared" si="17"/>
        <v>1</v>
      </c>
      <c r="W75" s="472">
        <v>15831.5584</v>
      </c>
      <c r="AA75" s="68"/>
      <c r="AB75" s="68"/>
    </row>
    <row r="76" spans="1:28">
      <c r="A76" s="703" t="s">
        <v>7022</v>
      </c>
      <c r="B76" s="13">
        <v>22</v>
      </c>
      <c r="C76" s="13"/>
      <c r="D76" s="13"/>
      <c r="E76" s="13"/>
      <c r="F76" s="13"/>
      <c r="G76" s="13"/>
      <c r="H76" s="13"/>
      <c r="I76" s="13"/>
      <c r="J76" s="13"/>
      <c r="K76" s="13">
        <f t="shared" si="16"/>
        <v>22</v>
      </c>
      <c r="L76" s="472">
        <v>289650.99320000003</v>
      </c>
      <c r="M76" s="13">
        <v>7</v>
      </c>
      <c r="N76" s="13"/>
      <c r="O76" s="13"/>
      <c r="P76" s="13"/>
      <c r="Q76" s="13"/>
      <c r="R76" s="13"/>
      <c r="S76" s="13"/>
      <c r="T76" s="13"/>
      <c r="U76" s="13"/>
      <c r="V76" s="13">
        <f t="shared" si="17"/>
        <v>7</v>
      </c>
      <c r="W76" s="472">
        <v>91717.065999999977</v>
      </c>
      <c r="AA76" s="68"/>
      <c r="AB76" s="68"/>
    </row>
    <row r="77" spans="1:28" hidden="1">
      <c r="A77" s="703" t="s">
        <v>7021</v>
      </c>
      <c r="B77" s="13"/>
      <c r="C77" s="13"/>
      <c r="D77" s="13"/>
      <c r="E77" s="13"/>
      <c r="F77" s="13"/>
      <c r="G77" s="13"/>
      <c r="H77" s="13"/>
      <c r="I77" s="13"/>
      <c r="J77" s="13"/>
      <c r="K77" s="13">
        <f t="shared" si="16"/>
        <v>0</v>
      </c>
      <c r="L77" s="472"/>
      <c r="M77" s="13"/>
      <c r="N77" s="13"/>
      <c r="O77" s="13"/>
      <c r="P77" s="13"/>
      <c r="Q77" s="13"/>
      <c r="R77" s="13"/>
      <c r="S77" s="13"/>
      <c r="T77" s="13"/>
      <c r="U77" s="13"/>
      <c r="V77" s="13">
        <f t="shared" si="17"/>
        <v>0</v>
      </c>
      <c r="W77" s="472"/>
      <c r="AA77" s="68"/>
      <c r="AB77" s="68"/>
    </row>
    <row r="78" spans="1:28">
      <c r="A78" s="703" t="s">
        <v>7020</v>
      </c>
      <c r="B78" s="13">
        <v>4</v>
      </c>
      <c r="C78" s="13"/>
      <c r="D78" s="13"/>
      <c r="E78" s="13"/>
      <c r="F78" s="13"/>
      <c r="G78" s="13"/>
      <c r="H78" s="13"/>
      <c r="I78" s="13"/>
      <c r="J78" s="13"/>
      <c r="K78" s="13">
        <f t="shared" si="16"/>
        <v>4</v>
      </c>
      <c r="L78" s="472">
        <v>53163.536</v>
      </c>
      <c r="M78" s="13">
        <v>2</v>
      </c>
      <c r="N78" s="13"/>
      <c r="O78" s="13"/>
      <c r="P78" s="13"/>
      <c r="Q78" s="13"/>
      <c r="R78" s="13"/>
      <c r="S78" s="13"/>
      <c r="T78" s="13"/>
      <c r="U78" s="13"/>
      <c r="V78" s="13">
        <f t="shared" si="17"/>
        <v>2</v>
      </c>
      <c r="W78" s="472">
        <v>26285.542399999998</v>
      </c>
      <c r="AA78" s="68"/>
      <c r="AB78" s="68"/>
    </row>
    <row r="79" spans="1:28">
      <c r="A79" s="704" t="s">
        <v>7031</v>
      </c>
      <c r="B79" s="482">
        <f t="shared" ref="B79:W79" si="18">SUM(B80:B90)</f>
        <v>0</v>
      </c>
      <c r="C79" s="482">
        <f t="shared" si="18"/>
        <v>0</v>
      </c>
      <c r="D79" s="482">
        <f t="shared" si="18"/>
        <v>0</v>
      </c>
      <c r="E79" s="482">
        <f t="shared" si="18"/>
        <v>0</v>
      </c>
      <c r="F79" s="482">
        <f t="shared" si="18"/>
        <v>0</v>
      </c>
      <c r="G79" s="482">
        <f t="shared" si="18"/>
        <v>0</v>
      </c>
      <c r="H79" s="482">
        <f t="shared" si="18"/>
        <v>0</v>
      </c>
      <c r="I79" s="482">
        <f t="shared" si="18"/>
        <v>0</v>
      </c>
      <c r="J79" s="482">
        <f t="shared" si="18"/>
        <v>0</v>
      </c>
      <c r="K79" s="482">
        <f t="shared" si="18"/>
        <v>0</v>
      </c>
      <c r="L79" s="474">
        <f t="shared" si="18"/>
        <v>0</v>
      </c>
      <c r="M79" s="482">
        <f t="shared" si="18"/>
        <v>136</v>
      </c>
      <c r="N79" s="482">
        <f t="shared" si="18"/>
        <v>0</v>
      </c>
      <c r="O79" s="482">
        <f t="shared" si="18"/>
        <v>0</v>
      </c>
      <c r="P79" s="482">
        <f t="shared" si="18"/>
        <v>0</v>
      </c>
      <c r="Q79" s="482">
        <f t="shared" si="18"/>
        <v>0</v>
      </c>
      <c r="R79" s="482">
        <f t="shared" si="18"/>
        <v>0</v>
      </c>
      <c r="S79" s="482">
        <f t="shared" si="18"/>
        <v>0</v>
      </c>
      <c r="T79" s="482">
        <f t="shared" si="18"/>
        <v>0</v>
      </c>
      <c r="U79" s="482">
        <f t="shared" si="18"/>
        <v>0</v>
      </c>
      <c r="V79" s="482">
        <f t="shared" si="18"/>
        <v>136</v>
      </c>
      <c r="W79" s="474">
        <f t="shared" si="18"/>
        <v>2505811.1499999994</v>
      </c>
      <c r="AA79" s="68"/>
      <c r="AB79" s="68"/>
    </row>
    <row r="80" spans="1:28" hidden="1">
      <c r="A80" s="703" t="s">
        <v>7034</v>
      </c>
      <c r="B80" s="13"/>
      <c r="C80" s="13"/>
      <c r="D80" s="13"/>
      <c r="E80" s="13"/>
      <c r="F80" s="13"/>
      <c r="G80" s="13"/>
      <c r="H80" s="13"/>
      <c r="I80" s="13"/>
      <c r="J80" s="13"/>
      <c r="K80" s="13">
        <f t="shared" ref="K80:K90" si="19">SUM(B80:J80)</f>
        <v>0</v>
      </c>
      <c r="L80" s="472"/>
      <c r="M80" s="13"/>
      <c r="N80" s="13"/>
      <c r="O80" s="13"/>
      <c r="P80" s="13"/>
      <c r="Q80" s="13"/>
      <c r="R80" s="13"/>
      <c r="S80" s="13"/>
      <c r="T80" s="13"/>
      <c r="U80" s="13"/>
      <c r="V80" s="13">
        <f t="shared" ref="V80:V90" si="20">SUM(M80:U80)</f>
        <v>0</v>
      </c>
      <c r="W80" s="472"/>
      <c r="AA80" s="68"/>
      <c r="AB80" s="68"/>
    </row>
    <row r="81" spans="1:28" hidden="1">
      <c r="A81" s="703" t="s">
        <v>7033</v>
      </c>
      <c r="B81" s="13"/>
      <c r="C81" s="13"/>
      <c r="D81" s="13"/>
      <c r="E81" s="13"/>
      <c r="F81" s="13"/>
      <c r="G81" s="13"/>
      <c r="H81" s="13"/>
      <c r="I81" s="13"/>
      <c r="J81" s="13"/>
      <c r="K81" s="13">
        <f t="shared" si="19"/>
        <v>0</v>
      </c>
      <c r="L81" s="472"/>
      <c r="M81" s="13"/>
      <c r="N81" s="13"/>
      <c r="O81" s="13"/>
      <c r="P81" s="13"/>
      <c r="Q81" s="13"/>
      <c r="R81" s="13"/>
      <c r="S81" s="13"/>
      <c r="T81" s="13"/>
      <c r="U81" s="13"/>
      <c r="V81" s="13">
        <f t="shared" si="20"/>
        <v>0</v>
      </c>
      <c r="W81" s="472"/>
      <c r="AA81" s="68"/>
      <c r="AB81" s="68"/>
    </row>
    <row r="82" spans="1:28" hidden="1">
      <c r="A82" s="703" t="s">
        <v>7032</v>
      </c>
      <c r="B82" s="13"/>
      <c r="C82" s="13"/>
      <c r="D82" s="13"/>
      <c r="E82" s="13"/>
      <c r="F82" s="13"/>
      <c r="G82" s="13"/>
      <c r="H82" s="13"/>
      <c r="I82" s="13"/>
      <c r="J82" s="13"/>
      <c r="K82" s="13">
        <f t="shared" si="19"/>
        <v>0</v>
      </c>
      <c r="L82" s="472"/>
      <c r="M82" s="13"/>
      <c r="N82" s="13"/>
      <c r="O82" s="13"/>
      <c r="P82" s="13"/>
      <c r="Q82" s="13"/>
      <c r="R82" s="13"/>
      <c r="S82" s="13"/>
      <c r="T82" s="13"/>
      <c r="U82" s="13"/>
      <c r="V82" s="13">
        <f t="shared" si="20"/>
        <v>0</v>
      </c>
      <c r="W82" s="472"/>
      <c r="AA82" s="68"/>
      <c r="AB82" s="68"/>
    </row>
    <row r="83" spans="1:28" hidden="1">
      <c r="A83" s="703" t="s">
        <v>7027</v>
      </c>
      <c r="B83" s="13"/>
      <c r="C83" s="13"/>
      <c r="D83" s="13"/>
      <c r="E83" s="13"/>
      <c r="F83" s="13"/>
      <c r="G83" s="13"/>
      <c r="H83" s="13"/>
      <c r="I83" s="13"/>
      <c r="J83" s="13"/>
      <c r="K83" s="13">
        <f t="shared" si="19"/>
        <v>0</v>
      </c>
      <c r="L83" s="472"/>
      <c r="M83" s="13"/>
      <c r="N83" s="13"/>
      <c r="O83" s="13"/>
      <c r="P83" s="13"/>
      <c r="Q83" s="13"/>
      <c r="R83" s="13"/>
      <c r="S83" s="13"/>
      <c r="T83" s="13"/>
      <c r="U83" s="13"/>
      <c r="V83" s="13">
        <f t="shared" si="20"/>
        <v>0</v>
      </c>
      <c r="W83" s="472"/>
      <c r="AA83" s="68"/>
      <c r="AB83" s="68"/>
    </row>
    <row r="84" spans="1:28">
      <c r="A84" s="703" t="s">
        <v>7026</v>
      </c>
      <c r="B84" s="13"/>
      <c r="C84" s="13"/>
      <c r="D84" s="13"/>
      <c r="E84" s="13"/>
      <c r="F84" s="13"/>
      <c r="G84" s="13"/>
      <c r="H84" s="13"/>
      <c r="I84" s="13"/>
      <c r="J84" s="13"/>
      <c r="K84" s="13">
        <f t="shared" si="19"/>
        <v>0</v>
      </c>
      <c r="L84" s="472"/>
      <c r="M84" s="13">
        <v>4</v>
      </c>
      <c r="N84" s="13"/>
      <c r="O84" s="13"/>
      <c r="P84" s="13"/>
      <c r="Q84" s="13"/>
      <c r="R84" s="13"/>
      <c r="S84" s="13"/>
      <c r="T84" s="13"/>
      <c r="U84" s="13"/>
      <c r="V84" s="13">
        <f t="shared" si="20"/>
        <v>4</v>
      </c>
      <c r="W84" s="472">
        <v>104738.94</v>
      </c>
      <c r="AA84" s="68"/>
      <c r="AB84" s="68"/>
    </row>
    <row r="85" spans="1:28">
      <c r="A85" s="703" t="s">
        <v>7025</v>
      </c>
      <c r="B85" s="13"/>
      <c r="C85" s="13"/>
      <c r="D85" s="13"/>
      <c r="E85" s="13"/>
      <c r="F85" s="13"/>
      <c r="G85" s="13"/>
      <c r="H85" s="13"/>
      <c r="I85" s="13"/>
      <c r="J85" s="13"/>
      <c r="K85" s="13">
        <f t="shared" si="19"/>
        <v>0</v>
      </c>
      <c r="L85" s="472"/>
      <c r="M85" s="13">
        <v>17</v>
      </c>
      <c r="N85" s="13"/>
      <c r="O85" s="13"/>
      <c r="P85" s="13"/>
      <c r="Q85" s="13"/>
      <c r="R85" s="13"/>
      <c r="S85" s="13"/>
      <c r="T85" s="13"/>
      <c r="U85" s="13"/>
      <c r="V85" s="13">
        <f t="shared" si="20"/>
        <v>17</v>
      </c>
      <c r="W85" s="472">
        <v>389269.4448</v>
      </c>
      <c r="AA85" s="68"/>
      <c r="AB85" s="68"/>
    </row>
    <row r="86" spans="1:28">
      <c r="A86" s="703" t="s">
        <v>7024</v>
      </c>
      <c r="B86" s="13"/>
      <c r="C86" s="13"/>
      <c r="D86" s="13"/>
      <c r="E86" s="13"/>
      <c r="F86" s="13"/>
      <c r="G86" s="13"/>
      <c r="H86" s="13"/>
      <c r="I86" s="13"/>
      <c r="J86" s="13"/>
      <c r="K86" s="13">
        <f t="shared" si="19"/>
        <v>0</v>
      </c>
      <c r="L86" s="472"/>
      <c r="M86" s="13">
        <v>50</v>
      </c>
      <c r="N86" s="13"/>
      <c r="O86" s="13"/>
      <c r="P86" s="13"/>
      <c r="Q86" s="13"/>
      <c r="R86" s="13"/>
      <c r="S86" s="13"/>
      <c r="T86" s="13"/>
      <c r="U86" s="13"/>
      <c r="V86" s="13">
        <f t="shared" si="20"/>
        <v>50</v>
      </c>
      <c r="W86" s="472">
        <v>1021411.6240000001</v>
      </c>
      <c r="AA86" s="68"/>
      <c r="AB86" s="68"/>
    </row>
    <row r="87" spans="1:28">
      <c r="A87" s="703" t="s">
        <v>7023</v>
      </c>
      <c r="B87" s="13"/>
      <c r="C87" s="13"/>
      <c r="D87" s="13"/>
      <c r="E87" s="13"/>
      <c r="F87" s="13"/>
      <c r="G87" s="13"/>
      <c r="H87" s="13"/>
      <c r="I87" s="13"/>
      <c r="J87" s="13"/>
      <c r="K87" s="13">
        <f t="shared" si="19"/>
        <v>0</v>
      </c>
      <c r="L87" s="472"/>
      <c r="M87" s="13">
        <v>53</v>
      </c>
      <c r="N87" s="13"/>
      <c r="O87" s="13"/>
      <c r="P87" s="13"/>
      <c r="Q87" s="13"/>
      <c r="R87" s="13"/>
      <c r="S87" s="13"/>
      <c r="T87" s="13"/>
      <c r="U87" s="13"/>
      <c r="V87" s="13">
        <f t="shared" si="20"/>
        <v>53</v>
      </c>
      <c r="W87" s="472">
        <v>826888.26240000001</v>
      </c>
      <c r="AA87" s="68"/>
      <c r="AB87" s="68"/>
    </row>
    <row r="88" spans="1:28">
      <c r="A88" s="703" t="s">
        <v>7022</v>
      </c>
      <c r="B88" s="13"/>
      <c r="C88" s="13"/>
      <c r="D88" s="13"/>
      <c r="E88" s="13"/>
      <c r="F88" s="13"/>
      <c r="G88" s="13"/>
      <c r="H88" s="13"/>
      <c r="I88" s="13"/>
      <c r="J88" s="13"/>
      <c r="K88" s="13">
        <f t="shared" si="19"/>
        <v>0</v>
      </c>
      <c r="L88" s="472"/>
      <c r="M88" s="13">
        <v>11</v>
      </c>
      <c r="N88" s="13"/>
      <c r="O88" s="13"/>
      <c r="P88" s="13"/>
      <c r="Q88" s="13"/>
      <c r="R88" s="13"/>
      <c r="S88" s="13"/>
      <c r="T88" s="13"/>
      <c r="U88" s="13"/>
      <c r="V88" s="13">
        <f t="shared" si="20"/>
        <v>11</v>
      </c>
      <c r="W88" s="472">
        <v>150535.52999999997</v>
      </c>
      <c r="AA88" s="68"/>
      <c r="AB88" s="68"/>
    </row>
    <row r="89" spans="1:28" hidden="1">
      <c r="A89" s="703" t="s">
        <v>7021</v>
      </c>
      <c r="B89" s="13"/>
      <c r="C89" s="13"/>
      <c r="D89" s="13"/>
      <c r="E89" s="13"/>
      <c r="F89" s="13"/>
      <c r="G89" s="13"/>
      <c r="H89" s="13"/>
      <c r="I89" s="13"/>
      <c r="J89" s="13"/>
      <c r="K89" s="13">
        <f t="shared" si="19"/>
        <v>0</v>
      </c>
      <c r="L89" s="472"/>
      <c r="M89" s="13"/>
      <c r="N89" s="13"/>
      <c r="O89" s="13"/>
      <c r="P89" s="13"/>
      <c r="Q89" s="13"/>
      <c r="R89" s="13"/>
      <c r="S89" s="13"/>
      <c r="T89" s="13"/>
      <c r="U89" s="13"/>
      <c r="V89" s="13">
        <f t="shared" si="20"/>
        <v>0</v>
      </c>
      <c r="W89" s="472"/>
      <c r="AA89" s="68"/>
      <c r="AB89" s="68"/>
    </row>
    <row r="90" spans="1:28">
      <c r="A90" s="703" t="s">
        <v>7020</v>
      </c>
      <c r="B90" s="13"/>
      <c r="C90" s="13"/>
      <c r="D90" s="13"/>
      <c r="E90" s="13"/>
      <c r="F90" s="13"/>
      <c r="G90" s="13"/>
      <c r="H90" s="13"/>
      <c r="I90" s="13"/>
      <c r="J90" s="13"/>
      <c r="K90" s="13">
        <f t="shared" si="19"/>
        <v>0</v>
      </c>
      <c r="L90" s="472"/>
      <c r="M90" s="13">
        <v>1</v>
      </c>
      <c r="N90" s="13"/>
      <c r="O90" s="13"/>
      <c r="P90" s="13"/>
      <c r="Q90" s="13"/>
      <c r="R90" s="13"/>
      <c r="S90" s="13"/>
      <c r="T90" s="13"/>
      <c r="U90" s="13"/>
      <c r="V90" s="13">
        <f t="shared" si="20"/>
        <v>1</v>
      </c>
      <c r="W90" s="472">
        <v>12967.3488</v>
      </c>
      <c r="AA90" s="68"/>
      <c r="AB90" s="68"/>
    </row>
    <row r="91" spans="1:28">
      <c r="A91" s="704" t="s">
        <v>7019</v>
      </c>
      <c r="B91" s="482">
        <f t="shared" ref="B91:W91" si="21">B92+B99+B106+B112+B118+B124+B130+B136+B142+B148+B154+B160+B166+B172+B178+B185+B188+B192+B199+B206</f>
        <v>1683</v>
      </c>
      <c r="C91" s="482">
        <f t="shared" si="21"/>
        <v>0</v>
      </c>
      <c r="D91" s="482">
        <f t="shared" si="21"/>
        <v>0</v>
      </c>
      <c r="E91" s="482">
        <f t="shared" si="21"/>
        <v>0</v>
      </c>
      <c r="F91" s="482">
        <f t="shared" si="21"/>
        <v>0</v>
      </c>
      <c r="G91" s="482">
        <f t="shared" si="21"/>
        <v>0</v>
      </c>
      <c r="H91" s="482">
        <f t="shared" si="21"/>
        <v>0</v>
      </c>
      <c r="I91" s="482">
        <f t="shared" si="21"/>
        <v>0</v>
      </c>
      <c r="J91" s="482">
        <f t="shared" si="21"/>
        <v>0</v>
      </c>
      <c r="K91" s="482">
        <f t="shared" si="21"/>
        <v>1683</v>
      </c>
      <c r="L91" s="474">
        <f t="shared" si="21"/>
        <v>87930337.928399995</v>
      </c>
      <c r="M91" s="482">
        <f t="shared" si="21"/>
        <v>1683</v>
      </c>
      <c r="N91" s="482">
        <f t="shared" si="21"/>
        <v>0</v>
      </c>
      <c r="O91" s="482">
        <f t="shared" si="21"/>
        <v>0</v>
      </c>
      <c r="P91" s="482">
        <f t="shared" si="21"/>
        <v>0</v>
      </c>
      <c r="Q91" s="482">
        <f t="shared" si="21"/>
        <v>0</v>
      </c>
      <c r="R91" s="482">
        <f t="shared" si="21"/>
        <v>0</v>
      </c>
      <c r="S91" s="482">
        <f t="shared" si="21"/>
        <v>0</v>
      </c>
      <c r="T91" s="482">
        <f t="shared" si="21"/>
        <v>0</v>
      </c>
      <c r="U91" s="482">
        <f t="shared" si="21"/>
        <v>0</v>
      </c>
      <c r="V91" s="482">
        <f t="shared" si="21"/>
        <v>1683</v>
      </c>
      <c r="W91" s="474">
        <f t="shared" si="21"/>
        <v>94908029.034639999</v>
      </c>
      <c r="AA91" s="68"/>
      <c r="AB91" s="68"/>
    </row>
    <row r="92" spans="1:28">
      <c r="A92" s="705" t="s">
        <v>7018</v>
      </c>
      <c r="B92" s="484">
        <f t="shared" ref="B92:W92" si="22">SUM(B93:B98)</f>
        <v>299</v>
      </c>
      <c r="C92" s="484">
        <f t="shared" si="22"/>
        <v>0</v>
      </c>
      <c r="D92" s="484">
        <f t="shared" si="22"/>
        <v>0</v>
      </c>
      <c r="E92" s="484">
        <f t="shared" si="22"/>
        <v>0</v>
      </c>
      <c r="F92" s="484">
        <f t="shared" si="22"/>
        <v>0</v>
      </c>
      <c r="G92" s="484">
        <f t="shared" si="22"/>
        <v>0</v>
      </c>
      <c r="H92" s="484">
        <f t="shared" si="22"/>
        <v>0</v>
      </c>
      <c r="I92" s="484">
        <f t="shared" si="22"/>
        <v>0</v>
      </c>
      <c r="J92" s="484">
        <f t="shared" si="22"/>
        <v>0</v>
      </c>
      <c r="K92" s="484">
        <f t="shared" si="22"/>
        <v>299</v>
      </c>
      <c r="L92" s="485">
        <f t="shared" si="22"/>
        <v>27368188.081600003</v>
      </c>
      <c r="M92" s="484">
        <f t="shared" si="22"/>
        <v>301</v>
      </c>
      <c r="N92" s="484">
        <f t="shared" si="22"/>
        <v>0</v>
      </c>
      <c r="O92" s="484">
        <f t="shared" si="22"/>
        <v>0</v>
      </c>
      <c r="P92" s="484">
        <f t="shared" si="22"/>
        <v>0</v>
      </c>
      <c r="Q92" s="484">
        <f t="shared" si="22"/>
        <v>0</v>
      </c>
      <c r="R92" s="484">
        <f t="shared" si="22"/>
        <v>0</v>
      </c>
      <c r="S92" s="484">
        <f t="shared" si="22"/>
        <v>0</v>
      </c>
      <c r="T92" s="484">
        <f t="shared" si="22"/>
        <v>0</v>
      </c>
      <c r="U92" s="484">
        <f t="shared" si="22"/>
        <v>0</v>
      </c>
      <c r="V92" s="484">
        <f t="shared" si="22"/>
        <v>301</v>
      </c>
      <c r="W92" s="485">
        <f t="shared" si="22"/>
        <v>29636295.3948</v>
      </c>
      <c r="Z92" s="531"/>
      <c r="AA92" s="68"/>
      <c r="AB92" s="68"/>
    </row>
    <row r="93" spans="1:28">
      <c r="A93" s="703" t="s">
        <v>7001</v>
      </c>
      <c r="B93" s="13">
        <v>37</v>
      </c>
      <c r="C93" s="13"/>
      <c r="D93" s="13"/>
      <c r="E93" s="13"/>
      <c r="F93" s="13"/>
      <c r="G93" s="13"/>
      <c r="H93" s="13"/>
      <c r="I93" s="13"/>
      <c r="J93" s="13"/>
      <c r="K93" s="13">
        <f t="shared" ref="K93:K98" si="23">SUM(B93:J93)</f>
        <v>37</v>
      </c>
      <c r="L93" s="472">
        <v>3704027.1460000002</v>
      </c>
      <c r="M93" s="13">
        <v>41</v>
      </c>
      <c r="N93" s="13"/>
      <c r="O93" s="13"/>
      <c r="P93" s="13"/>
      <c r="Q93" s="13"/>
      <c r="R93" s="13"/>
      <c r="S93" s="13"/>
      <c r="T93" s="13"/>
      <c r="U93" s="13"/>
      <c r="V93" s="13">
        <f t="shared" ref="V93:V98" si="24">SUM(M93:U93)</f>
        <v>41</v>
      </c>
      <c r="W93" s="472">
        <v>4721048.5432399996</v>
      </c>
      <c r="AA93" s="68"/>
      <c r="AB93" s="68"/>
    </row>
    <row r="94" spans="1:28">
      <c r="A94" s="703" t="s">
        <v>7000</v>
      </c>
      <c r="B94" s="13">
        <v>39</v>
      </c>
      <c r="C94" s="13"/>
      <c r="D94" s="13"/>
      <c r="E94" s="13"/>
      <c r="F94" s="13"/>
      <c r="G94" s="13"/>
      <c r="H94" s="13"/>
      <c r="I94" s="13"/>
      <c r="J94" s="13"/>
      <c r="K94" s="13">
        <f t="shared" si="23"/>
        <v>39</v>
      </c>
      <c r="L94" s="472">
        <f>3913353.768-0.7</f>
        <v>3913353.068</v>
      </c>
      <c r="M94" s="13">
        <v>39</v>
      </c>
      <c r="N94" s="13"/>
      <c r="O94" s="13"/>
      <c r="P94" s="13"/>
      <c r="Q94" s="13"/>
      <c r="R94" s="13"/>
      <c r="S94" s="13"/>
      <c r="T94" s="13"/>
      <c r="U94" s="13"/>
      <c r="V94" s="13">
        <f t="shared" si="24"/>
        <v>39</v>
      </c>
      <c r="W94" s="472">
        <f>4171186.98156-0.7</f>
        <v>4171186.28156</v>
      </c>
      <c r="AA94" s="68"/>
      <c r="AB94" s="68"/>
    </row>
    <row r="95" spans="1:28">
      <c r="A95" s="703" t="s">
        <v>6999</v>
      </c>
      <c r="B95" s="13">
        <v>81</v>
      </c>
      <c r="C95" s="13"/>
      <c r="D95" s="13"/>
      <c r="E95" s="13"/>
      <c r="F95" s="13"/>
      <c r="G95" s="13"/>
      <c r="H95" s="13"/>
      <c r="I95" s="13"/>
      <c r="J95" s="13"/>
      <c r="K95" s="13">
        <f t="shared" si="23"/>
        <v>81</v>
      </c>
      <c r="L95" s="472">
        <v>7742101.0812000008</v>
      </c>
      <c r="M95" s="13">
        <v>82</v>
      </c>
      <c r="N95" s="13"/>
      <c r="O95" s="13"/>
      <c r="P95" s="13"/>
      <c r="Q95" s="13"/>
      <c r="R95" s="13"/>
      <c r="S95" s="13"/>
      <c r="T95" s="13"/>
      <c r="U95" s="13"/>
      <c r="V95" s="13">
        <f t="shared" si="24"/>
        <v>82</v>
      </c>
      <c r="W95" s="472">
        <v>8067954.7340799998</v>
      </c>
      <c r="AA95" s="68"/>
      <c r="AB95" s="68"/>
    </row>
    <row r="96" spans="1:28">
      <c r="A96" s="703" t="s">
        <v>6998</v>
      </c>
      <c r="B96" s="13">
        <v>65</v>
      </c>
      <c r="C96" s="13"/>
      <c r="D96" s="13"/>
      <c r="E96" s="13"/>
      <c r="F96" s="13"/>
      <c r="G96" s="13"/>
      <c r="H96" s="13"/>
      <c r="I96" s="13"/>
      <c r="J96" s="13"/>
      <c r="K96" s="13">
        <f t="shared" si="23"/>
        <v>65</v>
      </c>
      <c r="L96" s="472">
        <v>5518973.54</v>
      </c>
      <c r="M96" s="13">
        <v>63</v>
      </c>
      <c r="N96" s="13"/>
      <c r="O96" s="13"/>
      <c r="P96" s="13"/>
      <c r="Q96" s="13"/>
      <c r="R96" s="13"/>
      <c r="S96" s="13"/>
      <c r="T96" s="13"/>
      <c r="U96" s="13"/>
      <c r="V96" s="13">
        <f t="shared" si="24"/>
        <v>63</v>
      </c>
      <c r="W96" s="472">
        <v>5933184.79464</v>
      </c>
      <c r="AA96" s="68"/>
      <c r="AB96" s="68"/>
    </row>
    <row r="97" spans="1:28">
      <c r="A97" s="703" t="s">
        <v>6997</v>
      </c>
      <c r="B97" s="13">
        <v>77</v>
      </c>
      <c r="C97" s="13"/>
      <c r="D97" s="13"/>
      <c r="E97" s="13"/>
      <c r="F97" s="13"/>
      <c r="G97" s="13"/>
      <c r="H97" s="13"/>
      <c r="I97" s="13"/>
      <c r="J97" s="13"/>
      <c r="K97" s="13">
        <f t="shared" si="23"/>
        <v>77</v>
      </c>
      <c r="L97" s="472">
        <v>6489733.2464000005</v>
      </c>
      <c r="M97" s="13">
        <v>76</v>
      </c>
      <c r="N97" s="13"/>
      <c r="O97" s="13"/>
      <c r="P97" s="13"/>
      <c r="Q97" s="13"/>
      <c r="R97" s="13"/>
      <c r="S97" s="13"/>
      <c r="T97" s="13"/>
      <c r="U97" s="13"/>
      <c r="V97" s="13">
        <f t="shared" si="24"/>
        <v>76</v>
      </c>
      <c r="W97" s="472">
        <v>6742921.0412799995</v>
      </c>
      <c r="AA97" s="68"/>
      <c r="AB97" s="68"/>
    </row>
    <row r="98" spans="1:28" hidden="1">
      <c r="A98" s="703" t="s">
        <v>7017</v>
      </c>
      <c r="B98" s="13"/>
      <c r="C98" s="13"/>
      <c r="D98" s="13"/>
      <c r="E98" s="13"/>
      <c r="F98" s="13"/>
      <c r="G98" s="13"/>
      <c r="H98" s="13"/>
      <c r="I98" s="13"/>
      <c r="J98" s="13"/>
      <c r="K98" s="13">
        <f t="shared" si="23"/>
        <v>0</v>
      </c>
      <c r="L98" s="16"/>
      <c r="M98" s="13"/>
      <c r="N98" s="13"/>
      <c r="O98" s="13"/>
      <c r="P98" s="13"/>
      <c r="Q98" s="13"/>
      <c r="R98" s="13"/>
      <c r="S98" s="13"/>
      <c r="T98" s="13"/>
      <c r="U98" s="13"/>
      <c r="V98" s="13">
        <f t="shared" si="24"/>
        <v>0</v>
      </c>
      <c r="W98" s="472"/>
      <c r="AA98" s="68"/>
      <c r="AB98" s="68"/>
    </row>
    <row r="99" spans="1:28" ht="24" hidden="1">
      <c r="A99" s="705" t="s">
        <v>7016</v>
      </c>
      <c r="B99" s="484">
        <f t="shared" ref="B99:K99" si="25">SUM(B100:B104)</f>
        <v>0</v>
      </c>
      <c r="C99" s="484">
        <f t="shared" si="25"/>
        <v>0</v>
      </c>
      <c r="D99" s="484">
        <f t="shared" si="25"/>
        <v>0</v>
      </c>
      <c r="E99" s="484">
        <f t="shared" si="25"/>
        <v>0</v>
      </c>
      <c r="F99" s="484">
        <f t="shared" si="25"/>
        <v>0</v>
      </c>
      <c r="G99" s="484">
        <f t="shared" si="25"/>
        <v>0</v>
      </c>
      <c r="H99" s="484">
        <f t="shared" si="25"/>
        <v>0</v>
      </c>
      <c r="I99" s="484">
        <f t="shared" si="25"/>
        <v>0</v>
      </c>
      <c r="J99" s="484">
        <f t="shared" si="25"/>
        <v>0</v>
      </c>
      <c r="K99" s="484">
        <f t="shared" si="25"/>
        <v>0</v>
      </c>
      <c r="L99" s="485">
        <f>SUM(L100:L105)</f>
        <v>0</v>
      </c>
      <c r="M99" s="484">
        <f t="shared" ref="M99:V99" si="26">SUM(M100:M104)</f>
        <v>0</v>
      </c>
      <c r="N99" s="484">
        <f t="shared" si="26"/>
        <v>0</v>
      </c>
      <c r="O99" s="484">
        <f t="shared" si="26"/>
        <v>0</v>
      </c>
      <c r="P99" s="484">
        <f t="shared" si="26"/>
        <v>0</v>
      </c>
      <c r="Q99" s="484">
        <f t="shared" si="26"/>
        <v>0</v>
      </c>
      <c r="R99" s="484">
        <f t="shared" si="26"/>
        <v>0</v>
      </c>
      <c r="S99" s="484">
        <f t="shared" si="26"/>
        <v>0</v>
      </c>
      <c r="T99" s="484">
        <f t="shared" si="26"/>
        <v>0</v>
      </c>
      <c r="U99" s="484">
        <f t="shared" si="26"/>
        <v>0</v>
      </c>
      <c r="V99" s="484">
        <f t="shared" si="26"/>
        <v>0</v>
      </c>
      <c r="W99" s="485">
        <f>SUM(W100:W105)</f>
        <v>0</v>
      </c>
      <c r="AA99" s="68"/>
      <c r="AB99" s="68"/>
    </row>
    <row r="100" spans="1:28" hidden="1">
      <c r="A100" s="703" t="s">
        <v>7015</v>
      </c>
      <c r="B100" s="13"/>
      <c r="C100" s="13"/>
      <c r="D100" s="13"/>
      <c r="E100" s="13"/>
      <c r="F100" s="13"/>
      <c r="G100" s="13"/>
      <c r="H100" s="13"/>
      <c r="I100" s="13"/>
      <c r="J100" s="13"/>
      <c r="K100" s="13">
        <f>SUM(B100:J100)</f>
        <v>0</v>
      </c>
      <c r="L100" s="472"/>
      <c r="M100" s="13"/>
      <c r="N100" s="13"/>
      <c r="O100" s="13"/>
      <c r="P100" s="13"/>
      <c r="Q100" s="13"/>
      <c r="R100" s="13"/>
      <c r="S100" s="13"/>
      <c r="T100" s="13"/>
      <c r="U100" s="13"/>
      <c r="V100" s="13">
        <f>SUM(M100:U100)</f>
        <v>0</v>
      </c>
      <c r="W100" s="472"/>
      <c r="AA100" s="68"/>
      <c r="AB100" s="68"/>
    </row>
    <row r="101" spans="1:28" hidden="1">
      <c r="A101" s="703" t="s">
        <v>7014</v>
      </c>
      <c r="B101" s="13"/>
      <c r="C101" s="13"/>
      <c r="D101" s="13"/>
      <c r="E101" s="13"/>
      <c r="F101" s="13"/>
      <c r="G101" s="13"/>
      <c r="H101" s="13"/>
      <c r="I101" s="13"/>
      <c r="J101" s="13"/>
      <c r="K101" s="13">
        <f>SUM(B101:J101)</f>
        <v>0</v>
      </c>
      <c r="L101" s="472"/>
      <c r="M101" s="13"/>
      <c r="N101" s="13"/>
      <c r="O101" s="13"/>
      <c r="P101" s="13"/>
      <c r="Q101" s="13"/>
      <c r="R101" s="13"/>
      <c r="S101" s="13"/>
      <c r="T101" s="13"/>
      <c r="U101" s="13"/>
      <c r="V101" s="13">
        <f>SUM(M101:U101)</f>
        <v>0</v>
      </c>
      <c r="W101" s="472"/>
      <c r="AA101" s="68"/>
      <c r="AB101" s="68"/>
    </row>
    <row r="102" spans="1:28" hidden="1">
      <c r="A102" s="703" t="s">
        <v>7013</v>
      </c>
      <c r="B102" s="13"/>
      <c r="C102" s="13"/>
      <c r="D102" s="13"/>
      <c r="E102" s="13"/>
      <c r="F102" s="13"/>
      <c r="G102" s="13"/>
      <c r="H102" s="13"/>
      <c r="I102" s="13"/>
      <c r="J102" s="13"/>
      <c r="K102" s="13">
        <f>SUM(B102:J102)</f>
        <v>0</v>
      </c>
      <c r="L102" s="472"/>
      <c r="M102" s="13"/>
      <c r="N102" s="13"/>
      <c r="O102" s="13"/>
      <c r="P102" s="13"/>
      <c r="Q102" s="13"/>
      <c r="R102" s="13"/>
      <c r="S102" s="13"/>
      <c r="T102" s="13"/>
      <c r="U102" s="13"/>
      <c r="V102" s="13">
        <f>SUM(M102:U102)</f>
        <v>0</v>
      </c>
      <c r="W102" s="472"/>
      <c r="AA102" s="68"/>
      <c r="AB102" s="68"/>
    </row>
    <row r="103" spans="1:28" hidden="1">
      <c r="A103" s="703" t="s">
        <v>7012</v>
      </c>
      <c r="B103" s="13"/>
      <c r="C103" s="13"/>
      <c r="D103" s="13"/>
      <c r="E103" s="13"/>
      <c r="F103" s="13"/>
      <c r="G103" s="13"/>
      <c r="H103" s="13"/>
      <c r="I103" s="13"/>
      <c r="J103" s="13"/>
      <c r="K103" s="13">
        <f>SUM(B103:J103)</f>
        <v>0</v>
      </c>
      <c r="L103" s="472"/>
      <c r="M103" s="13"/>
      <c r="N103" s="13"/>
      <c r="O103" s="13"/>
      <c r="P103" s="13"/>
      <c r="Q103" s="13"/>
      <c r="R103" s="13"/>
      <c r="S103" s="13"/>
      <c r="T103" s="13"/>
      <c r="U103" s="13"/>
      <c r="V103" s="13">
        <f>SUM(M103:U103)</f>
        <v>0</v>
      </c>
      <c r="W103" s="472"/>
      <c r="AA103" s="68"/>
      <c r="AB103" s="68"/>
    </row>
    <row r="104" spans="1:28" hidden="1">
      <c r="A104" s="703" t="s">
        <v>7011</v>
      </c>
      <c r="B104" s="13"/>
      <c r="C104" s="13"/>
      <c r="D104" s="13"/>
      <c r="E104" s="13"/>
      <c r="F104" s="13"/>
      <c r="G104" s="13"/>
      <c r="H104" s="13"/>
      <c r="I104" s="13"/>
      <c r="J104" s="13"/>
      <c r="K104" s="13">
        <f>SUM(B104:J104)</f>
        <v>0</v>
      </c>
      <c r="L104" s="472"/>
      <c r="M104" s="13"/>
      <c r="N104" s="13"/>
      <c r="O104" s="13"/>
      <c r="P104" s="13"/>
      <c r="Q104" s="13"/>
      <c r="R104" s="13"/>
      <c r="S104" s="13"/>
      <c r="T104" s="13"/>
      <c r="U104" s="13"/>
      <c r="V104" s="13">
        <f>SUM(M104:U104)</f>
        <v>0</v>
      </c>
      <c r="W104" s="472"/>
      <c r="AA104" s="68"/>
      <c r="AB104" s="68"/>
    </row>
    <row r="105" spans="1:28" hidden="1">
      <c r="A105" s="703" t="s">
        <v>7010</v>
      </c>
      <c r="B105" s="13"/>
      <c r="C105" s="13"/>
      <c r="D105" s="13"/>
      <c r="E105" s="13"/>
      <c r="F105" s="13"/>
      <c r="G105" s="13"/>
      <c r="H105" s="13"/>
      <c r="I105" s="13"/>
      <c r="J105" s="13"/>
      <c r="K105" s="13"/>
      <c r="L105" s="472"/>
      <c r="M105" s="13"/>
      <c r="N105" s="13"/>
      <c r="O105" s="13"/>
      <c r="P105" s="13"/>
      <c r="Q105" s="13"/>
      <c r="R105" s="13"/>
      <c r="S105" s="13"/>
      <c r="T105" s="13"/>
      <c r="U105" s="13"/>
      <c r="V105" s="13"/>
      <c r="W105" s="472"/>
      <c r="AA105" s="68"/>
      <c r="AB105" s="68"/>
    </row>
    <row r="106" spans="1:28">
      <c r="A106" s="705" t="s">
        <v>7009</v>
      </c>
      <c r="B106" s="484">
        <f t="shared" ref="B106:W106" si="27">SUM(B107:B111)</f>
        <v>326</v>
      </c>
      <c r="C106" s="484">
        <f t="shared" si="27"/>
        <v>0</v>
      </c>
      <c r="D106" s="484">
        <f t="shared" si="27"/>
        <v>0</v>
      </c>
      <c r="E106" s="484">
        <f t="shared" si="27"/>
        <v>0</v>
      </c>
      <c r="F106" s="484">
        <f t="shared" si="27"/>
        <v>0</v>
      </c>
      <c r="G106" s="484">
        <f t="shared" si="27"/>
        <v>0</v>
      </c>
      <c r="H106" s="484">
        <f t="shared" si="27"/>
        <v>0</v>
      </c>
      <c r="I106" s="484">
        <f t="shared" si="27"/>
        <v>0</v>
      </c>
      <c r="J106" s="484">
        <f t="shared" si="27"/>
        <v>0</v>
      </c>
      <c r="K106" s="484">
        <f t="shared" si="27"/>
        <v>326</v>
      </c>
      <c r="L106" s="485">
        <f t="shared" si="27"/>
        <v>18464807.129600003</v>
      </c>
      <c r="M106" s="484">
        <f t="shared" si="27"/>
        <v>325</v>
      </c>
      <c r="N106" s="484">
        <f t="shared" si="27"/>
        <v>0</v>
      </c>
      <c r="O106" s="484">
        <f t="shared" si="27"/>
        <v>0</v>
      </c>
      <c r="P106" s="484">
        <f t="shared" si="27"/>
        <v>0</v>
      </c>
      <c r="Q106" s="484">
        <f t="shared" si="27"/>
        <v>0</v>
      </c>
      <c r="R106" s="484">
        <f t="shared" si="27"/>
        <v>0</v>
      </c>
      <c r="S106" s="484">
        <f t="shared" si="27"/>
        <v>0</v>
      </c>
      <c r="T106" s="484">
        <f t="shared" si="27"/>
        <v>0</v>
      </c>
      <c r="U106" s="484">
        <f t="shared" si="27"/>
        <v>0</v>
      </c>
      <c r="V106" s="484">
        <f t="shared" si="27"/>
        <v>325</v>
      </c>
      <c r="W106" s="485">
        <f t="shared" si="27"/>
        <v>20387097.314139996</v>
      </c>
      <c r="AA106" s="68"/>
      <c r="AB106" s="68"/>
    </row>
    <row r="107" spans="1:28">
      <c r="A107" s="703" t="s">
        <v>7008</v>
      </c>
      <c r="B107" s="13">
        <v>70</v>
      </c>
      <c r="C107" s="13"/>
      <c r="D107" s="13"/>
      <c r="E107" s="13"/>
      <c r="F107" s="13"/>
      <c r="G107" s="13"/>
      <c r="H107" s="13"/>
      <c r="I107" s="13"/>
      <c r="J107" s="13"/>
      <c r="K107" s="13">
        <f>SUM(B107:J107)</f>
        <v>70</v>
      </c>
      <c r="L107" s="472">
        <v>4522229.5</v>
      </c>
      <c r="M107" s="13">
        <v>71</v>
      </c>
      <c r="N107" s="13"/>
      <c r="O107" s="13"/>
      <c r="P107" s="13"/>
      <c r="Q107" s="13"/>
      <c r="R107" s="13"/>
      <c r="S107" s="13"/>
      <c r="T107" s="13"/>
      <c r="U107" s="13"/>
      <c r="V107" s="13">
        <f>SUM(M107:U107)</f>
        <v>71</v>
      </c>
      <c r="W107" s="472">
        <v>5047147.8391399998</v>
      </c>
      <c r="AA107" s="68"/>
      <c r="AB107" s="68"/>
    </row>
    <row r="108" spans="1:28">
      <c r="A108" s="703" t="s">
        <v>7007</v>
      </c>
      <c r="B108" s="13">
        <v>46</v>
      </c>
      <c r="C108" s="13"/>
      <c r="D108" s="13"/>
      <c r="E108" s="13"/>
      <c r="F108" s="13"/>
      <c r="G108" s="13"/>
      <c r="H108" s="13"/>
      <c r="I108" s="13"/>
      <c r="J108" s="13"/>
      <c r="K108" s="13">
        <f>SUM(B108:J108)</f>
        <v>46</v>
      </c>
      <c r="L108" s="472">
        <v>2849665.9216000005</v>
      </c>
      <c r="M108" s="13">
        <v>47</v>
      </c>
      <c r="N108" s="13"/>
      <c r="O108" s="13"/>
      <c r="P108" s="13"/>
      <c r="Q108" s="13"/>
      <c r="R108" s="13"/>
      <c r="S108" s="13"/>
      <c r="T108" s="13"/>
      <c r="U108" s="13"/>
      <c r="V108" s="13">
        <f>SUM(M108:U108)</f>
        <v>47</v>
      </c>
      <c r="W108" s="472">
        <v>3066850.39604</v>
      </c>
      <c r="AA108" s="68"/>
      <c r="AB108" s="68"/>
    </row>
    <row r="109" spans="1:28">
      <c r="A109" s="703" t="s">
        <v>7006</v>
      </c>
      <c r="B109" s="13">
        <v>88</v>
      </c>
      <c r="C109" s="13"/>
      <c r="D109" s="13"/>
      <c r="E109" s="13"/>
      <c r="F109" s="13"/>
      <c r="G109" s="13"/>
      <c r="H109" s="13"/>
      <c r="I109" s="13"/>
      <c r="J109" s="13"/>
      <c r="K109" s="13">
        <f>SUM(B109:J109)</f>
        <v>88</v>
      </c>
      <c r="L109" s="472">
        <v>4806610.1919999998</v>
      </c>
      <c r="M109" s="13">
        <v>88</v>
      </c>
      <c r="N109" s="13"/>
      <c r="O109" s="13"/>
      <c r="P109" s="13"/>
      <c r="Q109" s="13"/>
      <c r="R109" s="13"/>
      <c r="S109" s="13"/>
      <c r="T109" s="13"/>
      <c r="U109" s="13"/>
      <c r="V109" s="13">
        <f>SUM(M109:U109)</f>
        <v>88</v>
      </c>
      <c r="W109" s="472">
        <v>5456910.9279999994</v>
      </c>
      <c r="AA109" s="68"/>
      <c r="AB109" s="68"/>
    </row>
    <row r="110" spans="1:28">
      <c r="A110" s="703" t="s">
        <v>7005</v>
      </c>
      <c r="B110" s="13">
        <v>92</v>
      </c>
      <c r="C110" s="13"/>
      <c r="D110" s="13"/>
      <c r="E110" s="13"/>
      <c r="F110" s="13"/>
      <c r="G110" s="13"/>
      <c r="H110" s="13"/>
      <c r="I110" s="13"/>
      <c r="J110" s="13"/>
      <c r="K110" s="13">
        <f>SUM(B110:J110)</f>
        <v>92</v>
      </c>
      <c r="L110" s="472">
        <v>4928547.4640000006</v>
      </c>
      <c r="M110" s="13">
        <v>93</v>
      </c>
      <c r="N110" s="13"/>
      <c r="O110" s="13"/>
      <c r="P110" s="13"/>
      <c r="Q110" s="13"/>
      <c r="R110" s="13"/>
      <c r="S110" s="13"/>
      <c r="T110" s="13"/>
      <c r="U110" s="13"/>
      <c r="V110" s="13">
        <f>SUM(M110:U110)</f>
        <v>93</v>
      </c>
      <c r="W110" s="472">
        <v>5452508.3051999994</v>
      </c>
      <c r="AA110" s="68"/>
      <c r="AB110" s="68"/>
    </row>
    <row r="111" spans="1:28">
      <c r="A111" s="703" t="s">
        <v>7004</v>
      </c>
      <c r="B111" s="13">
        <v>30</v>
      </c>
      <c r="C111" s="13"/>
      <c r="D111" s="13"/>
      <c r="E111" s="13"/>
      <c r="F111" s="13"/>
      <c r="G111" s="13"/>
      <c r="H111" s="13"/>
      <c r="I111" s="13"/>
      <c r="J111" s="13"/>
      <c r="K111" s="13">
        <f>SUM(B111:J111)</f>
        <v>30</v>
      </c>
      <c r="L111" s="472">
        <v>1357754.0519999999</v>
      </c>
      <c r="M111" s="13">
        <v>26</v>
      </c>
      <c r="N111" s="13"/>
      <c r="O111" s="13"/>
      <c r="P111" s="13"/>
      <c r="Q111" s="13"/>
      <c r="R111" s="13"/>
      <c r="S111" s="13"/>
      <c r="T111" s="13"/>
      <c r="U111" s="13"/>
      <c r="V111" s="13">
        <f>SUM(M111:U111)</f>
        <v>26</v>
      </c>
      <c r="W111" s="472">
        <v>1363679.8457600002</v>
      </c>
      <c r="AA111" s="68"/>
      <c r="AB111" s="68"/>
    </row>
    <row r="112" spans="1:28">
      <c r="A112" s="705" t="s">
        <v>7003</v>
      </c>
      <c r="B112" s="484">
        <f t="shared" ref="B112:W112" si="28">SUM(B113:B117)</f>
        <v>32</v>
      </c>
      <c r="C112" s="484">
        <f t="shared" si="28"/>
        <v>0</v>
      </c>
      <c r="D112" s="484">
        <f t="shared" si="28"/>
        <v>0</v>
      </c>
      <c r="E112" s="484">
        <f t="shared" si="28"/>
        <v>0</v>
      </c>
      <c r="F112" s="484">
        <f t="shared" si="28"/>
        <v>0</v>
      </c>
      <c r="G112" s="484">
        <f t="shared" si="28"/>
        <v>0</v>
      </c>
      <c r="H112" s="484">
        <f t="shared" si="28"/>
        <v>0</v>
      </c>
      <c r="I112" s="484">
        <f t="shared" si="28"/>
        <v>0</v>
      </c>
      <c r="J112" s="484">
        <f t="shared" si="28"/>
        <v>0</v>
      </c>
      <c r="K112" s="484">
        <f t="shared" si="28"/>
        <v>32</v>
      </c>
      <c r="L112" s="485">
        <f t="shared" si="28"/>
        <v>1510552.3807999999</v>
      </c>
      <c r="M112" s="484">
        <f t="shared" si="28"/>
        <v>33</v>
      </c>
      <c r="N112" s="484">
        <f t="shared" si="28"/>
        <v>0</v>
      </c>
      <c r="O112" s="484">
        <f t="shared" si="28"/>
        <v>0</v>
      </c>
      <c r="P112" s="484">
        <f t="shared" si="28"/>
        <v>0</v>
      </c>
      <c r="Q112" s="484">
        <f t="shared" si="28"/>
        <v>0</v>
      </c>
      <c r="R112" s="484">
        <f t="shared" si="28"/>
        <v>0</v>
      </c>
      <c r="S112" s="484">
        <f t="shared" si="28"/>
        <v>0</v>
      </c>
      <c r="T112" s="484">
        <f t="shared" si="28"/>
        <v>0</v>
      </c>
      <c r="U112" s="484">
        <f t="shared" si="28"/>
        <v>0</v>
      </c>
      <c r="V112" s="484">
        <f t="shared" si="28"/>
        <v>33</v>
      </c>
      <c r="W112" s="485">
        <f t="shared" si="28"/>
        <v>1764142.827</v>
      </c>
      <c r="AA112" s="68"/>
      <c r="AB112" s="68"/>
    </row>
    <row r="113" spans="1:28">
      <c r="A113" s="703" t="s">
        <v>6985</v>
      </c>
      <c r="B113" s="13">
        <v>7</v>
      </c>
      <c r="C113" s="13"/>
      <c r="D113" s="13"/>
      <c r="E113" s="13"/>
      <c r="F113" s="13"/>
      <c r="G113" s="13"/>
      <c r="H113" s="13"/>
      <c r="I113" s="13"/>
      <c r="J113" s="13"/>
      <c r="K113" s="13">
        <f>SUM(B113:J113)</f>
        <v>7</v>
      </c>
      <c r="L113" s="472">
        <v>368467.75</v>
      </c>
      <c r="M113" s="13">
        <v>8</v>
      </c>
      <c r="N113" s="13"/>
      <c r="O113" s="13"/>
      <c r="P113" s="13"/>
      <c r="Q113" s="13"/>
      <c r="R113" s="13"/>
      <c r="S113" s="13"/>
      <c r="T113" s="13"/>
      <c r="U113" s="13"/>
      <c r="V113" s="13">
        <f>SUM(M113:U113)</f>
        <v>8</v>
      </c>
      <c r="W113" s="472">
        <v>483402.86072</v>
      </c>
      <c r="AA113" s="68"/>
      <c r="AB113" s="68"/>
    </row>
    <row r="114" spans="1:28">
      <c r="A114" s="703" t="s">
        <v>6984</v>
      </c>
      <c r="B114" s="13">
        <v>3</v>
      </c>
      <c r="C114" s="13"/>
      <c r="D114" s="13"/>
      <c r="E114" s="13"/>
      <c r="F114" s="13"/>
      <c r="G114" s="13"/>
      <c r="H114" s="13"/>
      <c r="I114" s="13"/>
      <c r="J114" s="13"/>
      <c r="K114" s="13">
        <f>SUM(B114:J114)</f>
        <v>3</v>
      </c>
      <c r="L114" s="472">
        <v>147704.36879999997</v>
      </c>
      <c r="M114" s="13">
        <v>3</v>
      </c>
      <c r="N114" s="13"/>
      <c r="O114" s="13"/>
      <c r="P114" s="13"/>
      <c r="Q114" s="13"/>
      <c r="R114" s="13"/>
      <c r="S114" s="13"/>
      <c r="T114" s="13"/>
      <c r="U114" s="13"/>
      <c r="V114" s="13">
        <f>SUM(M114:U114)</f>
        <v>3</v>
      </c>
      <c r="W114" s="472">
        <v>169646.90195999999</v>
      </c>
      <c r="AA114" s="68"/>
      <c r="AB114" s="68"/>
    </row>
    <row r="115" spans="1:28">
      <c r="A115" s="703" t="s">
        <v>6983</v>
      </c>
      <c r="B115" s="13">
        <v>8</v>
      </c>
      <c r="C115" s="13"/>
      <c r="D115" s="13"/>
      <c r="E115" s="13"/>
      <c r="F115" s="13"/>
      <c r="G115" s="13"/>
      <c r="H115" s="13"/>
      <c r="I115" s="13"/>
      <c r="J115" s="13"/>
      <c r="K115" s="13">
        <f>SUM(B115:J115)</f>
        <v>8</v>
      </c>
      <c r="L115" s="472">
        <v>371426.67200000002</v>
      </c>
      <c r="M115" s="13">
        <v>8</v>
      </c>
      <c r="N115" s="13"/>
      <c r="O115" s="13"/>
      <c r="P115" s="13"/>
      <c r="Q115" s="13"/>
      <c r="R115" s="13"/>
      <c r="S115" s="13"/>
      <c r="T115" s="13"/>
      <c r="U115" s="13"/>
      <c r="V115" s="13">
        <f>SUM(M115:U115)</f>
        <v>8</v>
      </c>
      <c r="W115" s="472">
        <v>424817.64799999999</v>
      </c>
      <c r="AA115" s="68"/>
      <c r="AB115" s="68"/>
    </row>
    <row r="116" spans="1:28">
      <c r="A116" s="703" t="s">
        <v>6982</v>
      </c>
      <c r="B116" s="13">
        <v>12</v>
      </c>
      <c r="C116" s="13"/>
      <c r="D116" s="13"/>
      <c r="E116" s="13"/>
      <c r="F116" s="13"/>
      <c r="G116" s="13"/>
      <c r="H116" s="13"/>
      <c r="I116" s="13"/>
      <c r="J116" s="13"/>
      <c r="K116" s="13">
        <f>SUM(B116:J116)</f>
        <v>12</v>
      </c>
      <c r="L116" s="472">
        <v>544436.90399999998</v>
      </c>
      <c r="M116" s="13">
        <v>12</v>
      </c>
      <c r="N116" s="13"/>
      <c r="O116" s="13"/>
      <c r="P116" s="13"/>
      <c r="Q116" s="13"/>
      <c r="R116" s="13"/>
      <c r="S116" s="13"/>
      <c r="T116" s="13"/>
      <c r="U116" s="13"/>
      <c r="V116" s="13">
        <f>SUM(M116:U116)</f>
        <v>12</v>
      </c>
      <c r="W116" s="472">
        <v>596752.63679999998</v>
      </c>
      <c r="AA116" s="68"/>
      <c r="AB116" s="68"/>
    </row>
    <row r="117" spans="1:28">
      <c r="A117" s="703" t="s">
        <v>6981</v>
      </c>
      <c r="B117" s="13">
        <v>2</v>
      </c>
      <c r="C117" s="13"/>
      <c r="D117" s="13"/>
      <c r="E117" s="13"/>
      <c r="F117" s="13"/>
      <c r="G117" s="13"/>
      <c r="H117" s="13"/>
      <c r="I117" s="13"/>
      <c r="J117" s="13"/>
      <c r="K117" s="13">
        <f>SUM(B117:J117)</f>
        <v>2</v>
      </c>
      <c r="L117" s="472">
        <v>78516.686000000002</v>
      </c>
      <c r="M117" s="13">
        <v>2</v>
      </c>
      <c r="N117" s="13"/>
      <c r="O117" s="13"/>
      <c r="P117" s="13"/>
      <c r="Q117" s="13"/>
      <c r="R117" s="13"/>
      <c r="S117" s="13"/>
      <c r="T117" s="13"/>
      <c r="U117" s="13"/>
      <c r="V117" s="13">
        <f>SUM(M117:U117)</f>
        <v>2</v>
      </c>
      <c r="W117" s="472">
        <v>89522.779519999996</v>
      </c>
      <c r="AA117" s="68"/>
      <c r="AB117" s="68"/>
    </row>
    <row r="118" spans="1:28">
      <c r="A118" s="705" t="s">
        <v>2879</v>
      </c>
      <c r="B118" s="484">
        <f t="shared" ref="B118:W118" si="29">SUM(B119:B123)</f>
        <v>45</v>
      </c>
      <c r="C118" s="484">
        <f t="shared" si="29"/>
        <v>0</v>
      </c>
      <c r="D118" s="484">
        <f t="shared" si="29"/>
        <v>0</v>
      </c>
      <c r="E118" s="484">
        <f t="shared" si="29"/>
        <v>0</v>
      </c>
      <c r="F118" s="484">
        <f t="shared" si="29"/>
        <v>0</v>
      </c>
      <c r="G118" s="484">
        <f t="shared" si="29"/>
        <v>0</v>
      </c>
      <c r="H118" s="484">
        <f t="shared" si="29"/>
        <v>0</v>
      </c>
      <c r="I118" s="484">
        <f t="shared" si="29"/>
        <v>0</v>
      </c>
      <c r="J118" s="484">
        <f t="shared" si="29"/>
        <v>0</v>
      </c>
      <c r="K118" s="484">
        <f t="shared" si="29"/>
        <v>45</v>
      </c>
      <c r="L118" s="485">
        <f t="shared" si="29"/>
        <v>1984063.6547999999</v>
      </c>
      <c r="M118" s="484">
        <f t="shared" si="29"/>
        <v>45</v>
      </c>
      <c r="N118" s="484">
        <f t="shared" si="29"/>
        <v>0</v>
      </c>
      <c r="O118" s="484">
        <f t="shared" si="29"/>
        <v>0</v>
      </c>
      <c r="P118" s="484">
        <f t="shared" si="29"/>
        <v>0</v>
      </c>
      <c r="Q118" s="484">
        <f t="shared" si="29"/>
        <v>0</v>
      </c>
      <c r="R118" s="484">
        <f t="shared" si="29"/>
        <v>0</v>
      </c>
      <c r="S118" s="484">
        <f t="shared" si="29"/>
        <v>0</v>
      </c>
      <c r="T118" s="484">
        <f t="shared" si="29"/>
        <v>0</v>
      </c>
      <c r="U118" s="484">
        <f t="shared" si="29"/>
        <v>0</v>
      </c>
      <c r="V118" s="484">
        <f t="shared" si="29"/>
        <v>45</v>
      </c>
      <c r="W118" s="485">
        <f t="shared" si="29"/>
        <v>2265310.7939999998</v>
      </c>
      <c r="AA118" s="68"/>
      <c r="AB118" s="68"/>
    </row>
    <row r="119" spans="1:28">
      <c r="A119" s="703" t="s">
        <v>6985</v>
      </c>
      <c r="B119" s="13">
        <v>2</v>
      </c>
      <c r="C119" s="13"/>
      <c r="D119" s="13"/>
      <c r="E119" s="13"/>
      <c r="F119" s="13"/>
      <c r="G119" s="13"/>
      <c r="H119" s="13"/>
      <c r="I119" s="13"/>
      <c r="J119" s="13"/>
      <c r="K119" s="13">
        <f>SUM(B119:J119)</f>
        <v>2</v>
      </c>
      <c r="L119" s="472">
        <v>105276.5</v>
      </c>
      <c r="M119" s="13">
        <v>2</v>
      </c>
      <c r="N119" s="13"/>
      <c r="O119" s="13"/>
      <c r="P119" s="13"/>
      <c r="Q119" s="13"/>
      <c r="R119" s="13"/>
      <c r="S119" s="13"/>
      <c r="T119" s="13"/>
      <c r="U119" s="13"/>
      <c r="V119" s="13">
        <f>SUM(M119:U119)</f>
        <v>2</v>
      </c>
      <c r="W119" s="472">
        <v>121461.00668000001</v>
      </c>
      <c r="AA119" s="68"/>
      <c r="AB119" s="68"/>
    </row>
    <row r="120" spans="1:28">
      <c r="A120" s="703" t="s">
        <v>6984</v>
      </c>
      <c r="B120" s="13">
        <v>3</v>
      </c>
      <c r="C120" s="13"/>
      <c r="D120" s="13"/>
      <c r="E120" s="13"/>
      <c r="F120" s="13"/>
      <c r="G120" s="13"/>
      <c r="H120" s="13"/>
      <c r="I120" s="13"/>
      <c r="J120" s="13"/>
      <c r="K120" s="13">
        <f>SUM(B120:J120)</f>
        <v>3</v>
      </c>
      <c r="L120" s="472">
        <v>147704.36879999997</v>
      </c>
      <c r="M120" s="13">
        <v>3</v>
      </c>
      <c r="N120" s="13"/>
      <c r="O120" s="13"/>
      <c r="P120" s="13"/>
      <c r="Q120" s="13"/>
      <c r="R120" s="13"/>
      <c r="S120" s="13"/>
      <c r="T120" s="13"/>
      <c r="U120" s="13"/>
      <c r="V120" s="13">
        <f>SUM(M120:U120)</f>
        <v>3</v>
      </c>
      <c r="W120" s="472">
        <v>169646.90195999999</v>
      </c>
      <c r="AA120" s="68"/>
      <c r="AB120" s="68"/>
    </row>
    <row r="121" spans="1:28">
      <c r="A121" s="703" t="s">
        <v>6983</v>
      </c>
      <c r="B121" s="13">
        <v>14</v>
      </c>
      <c r="C121" s="13"/>
      <c r="D121" s="13"/>
      <c r="E121" s="13"/>
      <c r="F121" s="13"/>
      <c r="G121" s="13"/>
      <c r="H121" s="13"/>
      <c r="I121" s="13"/>
      <c r="J121" s="13"/>
      <c r="K121" s="13">
        <f>SUM(B121:J121)</f>
        <v>14</v>
      </c>
      <c r="L121" s="472">
        <v>649996.67599999998</v>
      </c>
      <c r="M121" s="13">
        <v>14</v>
      </c>
      <c r="N121" s="13"/>
      <c r="O121" s="13"/>
      <c r="P121" s="13"/>
      <c r="Q121" s="13"/>
      <c r="R121" s="13"/>
      <c r="S121" s="13"/>
      <c r="T121" s="13"/>
      <c r="U121" s="13"/>
      <c r="V121" s="13">
        <f>SUM(M121:U121)</f>
        <v>14</v>
      </c>
      <c r="W121" s="472">
        <v>743430.88399999996</v>
      </c>
      <c r="AA121" s="68"/>
      <c r="AB121" s="68"/>
    </row>
    <row r="122" spans="1:28">
      <c r="A122" s="703" t="s">
        <v>6982</v>
      </c>
      <c r="B122" s="13">
        <v>15</v>
      </c>
      <c r="C122" s="13"/>
      <c r="D122" s="13"/>
      <c r="E122" s="13"/>
      <c r="F122" s="13"/>
      <c r="G122" s="13"/>
      <c r="H122" s="13"/>
      <c r="I122" s="13"/>
      <c r="J122" s="13"/>
      <c r="K122" s="13">
        <f>SUM(B122:J122)</f>
        <v>15</v>
      </c>
      <c r="L122" s="472">
        <v>658046.13</v>
      </c>
      <c r="M122" s="13">
        <v>15</v>
      </c>
      <c r="N122" s="13"/>
      <c r="O122" s="13"/>
      <c r="P122" s="13"/>
      <c r="Q122" s="13"/>
      <c r="R122" s="13"/>
      <c r="S122" s="13"/>
      <c r="T122" s="13"/>
      <c r="U122" s="13"/>
      <c r="V122" s="13">
        <f>SUM(M122:U122)</f>
        <v>15</v>
      </c>
      <c r="W122" s="472">
        <v>748438.74600000004</v>
      </c>
      <c r="AA122" s="68"/>
      <c r="AB122" s="68"/>
    </row>
    <row r="123" spans="1:28">
      <c r="A123" s="703" t="s">
        <v>6981</v>
      </c>
      <c r="B123" s="13">
        <v>11</v>
      </c>
      <c r="C123" s="13"/>
      <c r="D123" s="13"/>
      <c r="E123" s="13"/>
      <c r="F123" s="13"/>
      <c r="G123" s="13"/>
      <c r="H123" s="13"/>
      <c r="I123" s="13"/>
      <c r="J123" s="13"/>
      <c r="K123" s="13">
        <f>SUM(B123:J123)</f>
        <v>11</v>
      </c>
      <c r="L123" s="472">
        <v>423039.98</v>
      </c>
      <c r="M123" s="13">
        <v>11</v>
      </c>
      <c r="N123" s="13"/>
      <c r="O123" s="13"/>
      <c r="P123" s="13"/>
      <c r="Q123" s="13"/>
      <c r="R123" s="13"/>
      <c r="S123" s="13"/>
      <c r="T123" s="13"/>
      <c r="U123" s="13"/>
      <c r="V123" s="13">
        <f>SUM(M123:U123)</f>
        <v>11</v>
      </c>
      <c r="W123" s="472">
        <v>482333.25536000001</v>
      </c>
      <c r="AA123" s="68"/>
      <c r="AB123" s="68"/>
    </row>
    <row r="124" spans="1:28">
      <c r="A124" s="705" t="s">
        <v>7002</v>
      </c>
      <c r="B124" s="484">
        <f t="shared" ref="B124:W124" si="30">SUM(B125:B129)</f>
        <v>73</v>
      </c>
      <c r="C124" s="484">
        <f t="shared" si="30"/>
        <v>0</v>
      </c>
      <c r="D124" s="484">
        <f t="shared" si="30"/>
        <v>0</v>
      </c>
      <c r="E124" s="484">
        <f t="shared" si="30"/>
        <v>0</v>
      </c>
      <c r="F124" s="484">
        <f t="shared" si="30"/>
        <v>0</v>
      </c>
      <c r="G124" s="484">
        <f t="shared" si="30"/>
        <v>0</v>
      </c>
      <c r="H124" s="484">
        <f t="shared" si="30"/>
        <v>0</v>
      </c>
      <c r="I124" s="484">
        <f t="shared" si="30"/>
        <v>0</v>
      </c>
      <c r="J124" s="484">
        <f t="shared" si="30"/>
        <v>0</v>
      </c>
      <c r="K124" s="484">
        <f t="shared" si="30"/>
        <v>73</v>
      </c>
      <c r="L124" s="485">
        <f t="shared" si="30"/>
        <v>3911590.1415999997</v>
      </c>
      <c r="M124" s="484">
        <f t="shared" si="30"/>
        <v>74</v>
      </c>
      <c r="N124" s="484">
        <f t="shared" si="30"/>
        <v>0</v>
      </c>
      <c r="O124" s="484">
        <f t="shared" si="30"/>
        <v>0</v>
      </c>
      <c r="P124" s="484">
        <f t="shared" si="30"/>
        <v>0</v>
      </c>
      <c r="Q124" s="484">
        <f t="shared" si="30"/>
        <v>0</v>
      </c>
      <c r="R124" s="484">
        <f t="shared" si="30"/>
        <v>0</v>
      </c>
      <c r="S124" s="484">
        <f t="shared" si="30"/>
        <v>0</v>
      </c>
      <c r="T124" s="484">
        <f t="shared" si="30"/>
        <v>0</v>
      </c>
      <c r="U124" s="484">
        <f t="shared" si="30"/>
        <v>0</v>
      </c>
      <c r="V124" s="484">
        <f t="shared" si="30"/>
        <v>74</v>
      </c>
      <c r="W124" s="485">
        <f t="shared" si="30"/>
        <v>4465447.8219800005</v>
      </c>
      <c r="AA124" s="68"/>
      <c r="AB124" s="68"/>
    </row>
    <row r="125" spans="1:28">
      <c r="A125" s="703" t="s">
        <v>7001</v>
      </c>
      <c r="B125" s="13">
        <v>21</v>
      </c>
      <c r="C125" s="13"/>
      <c r="D125" s="13"/>
      <c r="E125" s="13"/>
      <c r="F125" s="13"/>
      <c r="G125" s="13"/>
      <c r="H125" s="13"/>
      <c r="I125" s="13"/>
      <c r="J125" s="13"/>
      <c r="K125" s="13">
        <f>SUM(B125:J125)</f>
        <v>21</v>
      </c>
      <c r="L125" s="472">
        <v>1240928.8500000001</v>
      </c>
      <c r="M125" s="13">
        <v>21</v>
      </c>
      <c r="N125" s="13"/>
      <c r="O125" s="13"/>
      <c r="P125" s="13"/>
      <c r="Q125" s="13"/>
      <c r="R125" s="13"/>
      <c r="S125" s="13"/>
      <c r="T125" s="13"/>
      <c r="U125" s="13"/>
      <c r="V125" s="13">
        <f>SUM(M125:U125)</f>
        <v>21</v>
      </c>
      <c r="W125" s="472">
        <v>1408425.0041400001</v>
      </c>
      <c r="AA125" s="68"/>
      <c r="AB125" s="68"/>
    </row>
    <row r="126" spans="1:28">
      <c r="A126" s="703" t="s">
        <v>7000</v>
      </c>
      <c r="B126" s="13">
        <v>16</v>
      </c>
      <c r="C126" s="13"/>
      <c r="D126" s="13"/>
      <c r="E126" s="13"/>
      <c r="F126" s="13"/>
      <c r="G126" s="13"/>
      <c r="H126" s="13"/>
      <c r="I126" s="13"/>
      <c r="J126" s="13"/>
      <c r="K126" s="13">
        <f>SUM(B126:J126)</f>
        <v>16</v>
      </c>
      <c r="L126" s="472">
        <v>891014.23359999992</v>
      </c>
      <c r="M126" s="13">
        <v>16</v>
      </c>
      <c r="N126" s="13"/>
      <c r="O126" s="13"/>
      <c r="P126" s="13"/>
      <c r="Q126" s="13"/>
      <c r="R126" s="13"/>
      <c r="S126" s="13"/>
      <c r="T126" s="13"/>
      <c r="U126" s="13"/>
      <c r="V126" s="13">
        <f>SUM(M126:U126)</f>
        <v>16</v>
      </c>
      <c r="W126" s="472">
        <v>1008041.07712</v>
      </c>
      <c r="AA126" s="68"/>
      <c r="AB126" s="68"/>
    </row>
    <row r="127" spans="1:28">
      <c r="A127" s="703" t="s">
        <v>6999</v>
      </c>
      <c r="B127" s="13">
        <v>11</v>
      </c>
      <c r="C127" s="13"/>
      <c r="D127" s="13"/>
      <c r="E127" s="13"/>
      <c r="F127" s="13"/>
      <c r="G127" s="13"/>
      <c r="H127" s="13"/>
      <c r="I127" s="13"/>
      <c r="J127" s="13"/>
      <c r="K127" s="13">
        <f>SUM(B127:J127)</f>
        <v>11</v>
      </c>
      <c r="L127" s="472">
        <v>581701.27399999998</v>
      </c>
      <c r="M127" s="13">
        <v>11</v>
      </c>
      <c r="N127" s="13"/>
      <c r="O127" s="13"/>
      <c r="P127" s="13"/>
      <c r="Q127" s="13"/>
      <c r="R127" s="13"/>
      <c r="S127" s="13"/>
      <c r="T127" s="13"/>
      <c r="U127" s="13"/>
      <c r="V127" s="13">
        <f>SUM(M127:U127)</f>
        <v>11</v>
      </c>
      <c r="W127" s="472">
        <v>652984.46600000001</v>
      </c>
      <c r="AA127" s="68"/>
      <c r="AB127" s="68"/>
    </row>
    <row r="128" spans="1:28">
      <c r="A128" s="703" t="s">
        <v>6998</v>
      </c>
      <c r="B128" s="13">
        <v>13</v>
      </c>
      <c r="C128" s="13"/>
      <c r="D128" s="13"/>
      <c r="E128" s="13"/>
      <c r="F128" s="13"/>
      <c r="G128" s="13"/>
      <c r="H128" s="13"/>
      <c r="I128" s="13"/>
      <c r="J128" s="13"/>
      <c r="K128" s="13">
        <f>SUM(B128:J128)</f>
        <v>13</v>
      </c>
      <c r="L128" s="472">
        <v>654203.446</v>
      </c>
      <c r="M128" s="13">
        <v>14</v>
      </c>
      <c r="N128" s="13"/>
      <c r="O128" s="13"/>
      <c r="P128" s="13"/>
      <c r="Q128" s="13"/>
      <c r="R128" s="13"/>
      <c r="S128" s="13"/>
      <c r="T128" s="13"/>
      <c r="U128" s="13"/>
      <c r="V128" s="13">
        <f>SUM(M128:U128)</f>
        <v>14</v>
      </c>
      <c r="W128" s="472">
        <v>786894.86959999998</v>
      </c>
      <c r="AA128" s="68"/>
      <c r="AB128" s="68"/>
    </row>
    <row r="129" spans="1:28">
      <c r="A129" s="703" t="s">
        <v>6997</v>
      </c>
      <c r="B129" s="13">
        <v>12</v>
      </c>
      <c r="C129" s="13"/>
      <c r="D129" s="13"/>
      <c r="E129" s="13"/>
      <c r="F129" s="13"/>
      <c r="G129" s="13"/>
      <c r="H129" s="13"/>
      <c r="I129" s="13"/>
      <c r="J129" s="13"/>
      <c r="K129" s="13">
        <f>SUM(B129:J129)</f>
        <v>12</v>
      </c>
      <c r="L129" s="472">
        <v>543742.33799999999</v>
      </c>
      <c r="M129" s="13">
        <v>12</v>
      </c>
      <c r="N129" s="13"/>
      <c r="O129" s="13"/>
      <c r="P129" s="13"/>
      <c r="Q129" s="13"/>
      <c r="R129" s="13"/>
      <c r="S129" s="13"/>
      <c r="T129" s="13"/>
      <c r="U129" s="13"/>
      <c r="V129" s="13">
        <f>SUM(M129:U129)</f>
        <v>12</v>
      </c>
      <c r="W129" s="472">
        <v>609102.40512000001</v>
      </c>
      <c r="AA129" s="68"/>
      <c r="AB129" s="68"/>
    </row>
    <row r="130" spans="1:28">
      <c r="A130" s="705" t="s">
        <v>6996</v>
      </c>
      <c r="B130" s="484">
        <f t="shared" ref="B130:W130" si="31">SUM(B131:B135)</f>
        <v>20</v>
      </c>
      <c r="C130" s="484">
        <f t="shared" si="31"/>
        <v>0</v>
      </c>
      <c r="D130" s="484">
        <f t="shared" si="31"/>
        <v>0</v>
      </c>
      <c r="E130" s="484">
        <f t="shared" si="31"/>
        <v>0</v>
      </c>
      <c r="F130" s="484">
        <f t="shared" si="31"/>
        <v>0</v>
      </c>
      <c r="G130" s="484">
        <f t="shared" si="31"/>
        <v>0</v>
      </c>
      <c r="H130" s="484">
        <f t="shared" si="31"/>
        <v>0</v>
      </c>
      <c r="I130" s="484">
        <f t="shared" si="31"/>
        <v>0</v>
      </c>
      <c r="J130" s="484">
        <f t="shared" si="31"/>
        <v>0</v>
      </c>
      <c r="K130" s="484">
        <f t="shared" si="31"/>
        <v>20</v>
      </c>
      <c r="L130" s="485">
        <f t="shared" si="31"/>
        <v>944507.49439999997</v>
      </c>
      <c r="M130" s="484">
        <f t="shared" si="31"/>
        <v>20</v>
      </c>
      <c r="N130" s="484">
        <f t="shared" si="31"/>
        <v>0</v>
      </c>
      <c r="O130" s="484">
        <f t="shared" si="31"/>
        <v>0</v>
      </c>
      <c r="P130" s="484">
        <f t="shared" si="31"/>
        <v>0</v>
      </c>
      <c r="Q130" s="484">
        <f t="shared" si="31"/>
        <v>0</v>
      </c>
      <c r="R130" s="484">
        <f t="shared" si="31"/>
        <v>0</v>
      </c>
      <c r="S130" s="484">
        <f t="shared" si="31"/>
        <v>0</v>
      </c>
      <c r="T130" s="484">
        <f t="shared" si="31"/>
        <v>0</v>
      </c>
      <c r="U130" s="484">
        <f t="shared" si="31"/>
        <v>0</v>
      </c>
      <c r="V130" s="484">
        <f t="shared" si="31"/>
        <v>20</v>
      </c>
      <c r="W130" s="485">
        <f t="shared" si="31"/>
        <v>1082840.4302000001</v>
      </c>
      <c r="AA130" s="68"/>
      <c r="AB130" s="68"/>
    </row>
    <row r="131" spans="1:28">
      <c r="A131" s="703" t="s">
        <v>6989</v>
      </c>
      <c r="B131" s="13">
        <v>6</v>
      </c>
      <c r="C131" s="13"/>
      <c r="D131" s="13"/>
      <c r="E131" s="13"/>
      <c r="F131" s="13"/>
      <c r="G131" s="13"/>
      <c r="H131" s="13"/>
      <c r="I131" s="13"/>
      <c r="J131" s="13"/>
      <c r="K131" s="13">
        <f>SUM(B131:J131)</f>
        <v>6</v>
      </c>
      <c r="L131" s="472">
        <v>315829.5</v>
      </c>
      <c r="M131" s="13">
        <v>6</v>
      </c>
      <c r="N131" s="13"/>
      <c r="O131" s="13"/>
      <c r="P131" s="13"/>
      <c r="Q131" s="13"/>
      <c r="R131" s="13"/>
      <c r="S131" s="13"/>
      <c r="T131" s="13"/>
      <c r="U131" s="13"/>
      <c r="V131" s="13">
        <f>SUM(M131:U131)</f>
        <v>6</v>
      </c>
      <c r="W131" s="472">
        <v>364383.02003999997</v>
      </c>
      <c r="AA131" s="68"/>
      <c r="AB131" s="68"/>
    </row>
    <row r="132" spans="1:28">
      <c r="A132" s="703" t="s">
        <v>6988</v>
      </c>
      <c r="B132" s="13">
        <v>4</v>
      </c>
      <c r="C132" s="13"/>
      <c r="D132" s="13"/>
      <c r="E132" s="13"/>
      <c r="F132" s="13"/>
      <c r="G132" s="13"/>
      <c r="H132" s="13"/>
      <c r="I132" s="13"/>
      <c r="J132" s="13"/>
      <c r="K132" s="13">
        <f>SUM(B132:J132)</f>
        <v>4</v>
      </c>
      <c r="L132" s="472">
        <v>196939.15839999999</v>
      </c>
      <c r="M132" s="13">
        <v>4</v>
      </c>
      <c r="N132" s="13"/>
      <c r="O132" s="13"/>
      <c r="P132" s="13"/>
      <c r="Q132" s="13"/>
      <c r="R132" s="13"/>
      <c r="S132" s="13"/>
      <c r="T132" s="13"/>
      <c r="U132" s="13"/>
      <c r="V132" s="13">
        <f>SUM(M132:U132)</f>
        <v>4</v>
      </c>
      <c r="W132" s="472">
        <v>226195.86928000001</v>
      </c>
      <c r="AA132" s="68"/>
      <c r="AB132" s="68"/>
    </row>
    <row r="133" spans="1:28">
      <c r="A133" s="703" t="s">
        <v>6986</v>
      </c>
      <c r="B133" s="13">
        <v>3</v>
      </c>
      <c r="C133" s="13"/>
      <c r="D133" s="13"/>
      <c r="E133" s="13"/>
      <c r="F133" s="13"/>
      <c r="G133" s="13"/>
      <c r="H133" s="13"/>
      <c r="I133" s="13"/>
      <c r="J133" s="13"/>
      <c r="K133" s="13">
        <f>SUM(B133:J133)</f>
        <v>3</v>
      </c>
      <c r="L133" s="472">
        <v>139285.00200000001</v>
      </c>
      <c r="M133" s="13">
        <v>3</v>
      </c>
      <c r="N133" s="13"/>
      <c r="O133" s="13"/>
      <c r="P133" s="13"/>
      <c r="Q133" s="13"/>
      <c r="R133" s="13"/>
      <c r="S133" s="13"/>
      <c r="T133" s="13"/>
      <c r="U133" s="13"/>
      <c r="V133" s="13">
        <f>SUM(M133:U133)</f>
        <v>3</v>
      </c>
      <c r="W133" s="472">
        <v>159306.61800000002</v>
      </c>
      <c r="AA133" s="68"/>
      <c r="AB133" s="68"/>
    </row>
    <row r="134" spans="1:28">
      <c r="A134" s="703" t="s">
        <v>6985</v>
      </c>
      <c r="B134" s="13">
        <v>4</v>
      </c>
      <c r="C134" s="13"/>
      <c r="D134" s="13"/>
      <c r="E134" s="13"/>
      <c r="F134" s="13"/>
      <c r="G134" s="13"/>
      <c r="H134" s="13"/>
      <c r="I134" s="13"/>
      <c r="J134" s="13"/>
      <c r="K134" s="13">
        <f>SUM(B134:J134)</f>
        <v>4</v>
      </c>
      <c r="L134" s="472">
        <v>175478.96799999999</v>
      </c>
      <c r="M134" s="13">
        <v>4</v>
      </c>
      <c r="N134" s="13"/>
      <c r="O134" s="13"/>
      <c r="P134" s="13"/>
      <c r="Q134" s="13"/>
      <c r="R134" s="13"/>
      <c r="S134" s="13"/>
      <c r="T134" s="13"/>
      <c r="U134" s="13"/>
      <c r="V134" s="13">
        <f>SUM(M134:U134)</f>
        <v>4</v>
      </c>
      <c r="W134" s="472">
        <v>199583.66560000001</v>
      </c>
      <c r="AA134" s="68"/>
      <c r="AB134" s="68"/>
    </row>
    <row r="135" spans="1:28">
      <c r="A135" s="703" t="s">
        <v>6984</v>
      </c>
      <c r="B135" s="13">
        <v>3</v>
      </c>
      <c r="C135" s="13"/>
      <c r="D135" s="13"/>
      <c r="E135" s="13"/>
      <c r="F135" s="13"/>
      <c r="G135" s="13"/>
      <c r="H135" s="13"/>
      <c r="I135" s="13"/>
      <c r="J135" s="13"/>
      <c r="K135" s="13">
        <f>SUM(B135:J135)</f>
        <v>3</v>
      </c>
      <c r="L135" s="472">
        <v>116974.86599999999</v>
      </c>
      <c r="M135" s="13">
        <v>3</v>
      </c>
      <c r="N135" s="13"/>
      <c r="O135" s="13"/>
      <c r="P135" s="13"/>
      <c r="Q135" s="13"/>
      <c r="R135" s="13"/>
      <c r="S135" s="13"/>
      <c r="T135" s="13"/>
      <c r="U135" s="13"/>
      <c r="V135" s="13">
        <f>SUM(M135:U135)</f>
        <v>3</v>
      </c>
      <c r="W135" s="472">
        <v>133371.25727999999</v>
      </c>
      <c r="AA135" s="68"/>
      <c r="AB135" s="68"/>
    </row>
    <row r="136" spans="1:28">
      <c r="A136" s="705" t="s">
        <v>2097</v>
      </c>
      <c r="B136" s="484">
        <f t="shared" ref="B136:W136" si="32">SUM(B137:B141)</f>
        <v>16</v>
      </c>
      <c r="C136" s="484">
        <f t="shared" si="32"/>
        <v>0</v>
      </c>
      <c r="D136" s="484">
        <f t="shared" si="32"/>
        <v>0</v>
      </c>
      <c r="E136" s="484">
        <f t="shared" si="32"/>
        <v>0</v>
      </c>
      <c r="F136" s="484">
        <f t="shared" si="32"/>
        <v>0</v>
      </c>
      <c r="G136" s="484">
        <f t="shared" si="32"/>
        <v>0</v>
      </c>
      <c r="H136" s="484">
        <f t="shared" si="32"/>
        <v>0</v>
      </c>
      <c r="I136" s="484">
        <f t="shared" si="32"/>
        <v>0</v>
      </c>
      <c r="J136" s="484">
        <f t="shared" si="32"/>
        <v>0</v>
      </c>
      <c r="K136" s="484">
        <f t="shared" si="32"/>
        <v>16</v>
      </c>
      <c r="L136" s="485">
        <f t="shared" si="32"/>
        <v>718514.99079999991</v>
      </c>
      <c r="M136" s="484">
        <f t="shared" si="32"/>
        <v>16</v>
      </c>
      <c r="N136" s="484">
        <f t="shared" si="32"/>
        <v>0</v>
      </c>
      <c r="O136" s="484">
        <f t="shared" si="32"/>
        <v>0</v>
      </c>
      <c r="P136" s="484">
        <f t="shared" si="32"/>
        <v>0</v>
      </c>
      <c r="Q136" s="484">
        <f t="shared" si="32"/>
        <v>0</v>
      </c>
      <c r="R136" s="484">
        <f t="shared" si="32"/>
        <v>0</v>
      </c>
      <c r="S136" s="484">
        <f t="shared" si="32"/>
        <v>0</v>
      </c>
      <c r="T136" s="484">
        <f t="shared" si="32"/>
        <v>0</v>
      </c>
      <c r="U136" s="484">
        <f t="shared" si="32"/>
        <v>0</v>
      </c>
      <c r="V136" s="484">
        <f t="shared" si="32"/>
        <v>16</v>
      </c>
      <c r="W136" s="485">
        <f t="shared" si="32"/>
        <v>820239.81441999995</v>
      </c>
      <c r="AA136" s="68"/>
      <c r="AB136" s="68"/>
    </row>
    <row r="137" spans="1:28">
      <c r="A137" s="703" t="s">
        <v>6989</v>
      </c>
      <c r="B137" s="13">
        <v>1</v>
      </c>
      <c r="C137" s="13"/>
      <c r="D137" s="13"/>
      <c r="E137" s="13"/>
      <c r="F137" s="13"/>
      <c r="G137" s="13"/>
      <c r="H137" s="13"/>
      <c r="I137" s="13"/>
      <c r="J137" s="13"/>
      <c r="K137" s="13">
        <f>SUM(B137:J137)</f>
        <v>1</v>
      </c>
      <c r="L137" s="472">
        <v>52638.25</v>
      </c>
      <c r="M137" s="13">
        <v>1</v>
      </c>
      <c r="N137" s="13"/>
      <c r="O137" s="13"/>
      <c r="P137" s="13"/>
      <c r="Q137" s="13"/>
      <c r="R137" s="13"/>
      <c r="S137" s="13"/>
      <c r="T137" s="13"/>
      <c r="U137" s="13"/>
      <c r="V137" s="13">
        <f>SUM(M137:U137)</f>
        <v>1</v>
      </c>
      <c r="W137" s="472">
        <v>60730.503340000003</v>
      </c>
      <c r="AA137" s="68"/>
      <c r="AB137" s="68"/>
    </row>
    <row r="138" spans="1:28">
      <c r="A138" s="703" t="s">
        <v>6988</v>
      </c>
      <c r="B138" s="13">
        <v>3</v>
      </c>
      <c r="C138" s="13"/>
      <c r="D138" s="13"/>
      <c r="E138" s="13"/>
      <c r="F138" s="13"/>
      <c r="G138" s="13"/>
      <c r="H138" s="13"/>
      <c r="I138" s="13"/>
      <c r="J138" s="13"/>
      <c r="K138" s="13">
        <f>SUM(B138:J138)</f>
        <v>3</v>
      </c>
      <c r="L138" s="472">
        <v>147704.36879999997</v>
      </c>
      <c r="M138" s="13">
        <v>3</v>
      </c>
      <c r="N138" s="13"/>
      <c r="O138" s="13"/>
      <c r="P138" s="13"/>
      <c r="Q138" s="13"/>
      <c r="R138" s="13"/>
      <c r="S138" s="13"/>
      <c r="T138" s="13"/>
      <c r="U138" s="13"/>
      <c r="V138" s="13">
        <f>SUM(M138:U138)</f>
        <v>3</v>
      </c>
      <c r="W138" s="472">
        <v>169646.90195999999</v>
      </c>
      <c r="AA138" s="68"/>
      <c r="AB138" s="68"/>
    </row>
    <row r="139" spans="1:28">
      <c r="A139" s="703" t="s">
        <v>6986</v>
      </c>
      <c r="B139" s="13">
        <v>1</v>
      </c>
      <c r="C139" s="13"/>
      <c r="D139" s="13"/>
      <c r="E139" s="13"/>
      <c r="F139" s="13"/>
      <c r="G139" s="13"/>
      <c r="H139" s="13"/>
      <c r="I139" s="13"/>
      <c r="J139" s="13"/>
      <c r="K139" s="13">
        <f>SUM(B139:J139)</f>
        <v>1</v>
      </c>
      <c r="L139" s="472">
        <v>46428.334000000003</v>
      </c>
      <c r="M139" s="13">
        <v>1</v>
      </c>
      <c r="N139" s="13"/>
      <c r="O139" s="13"/>
      <c r="P139" s="13"/>
      <c r="Q139" s="13"/>
      <c r="R139" s="13"/>
      <c r="S139" s="13"/>
      <c r="T139" s="13"/>
      <c r="U139" s="13"/>
      <c r="V139" s="13">
        <f>SUM(M139:U139)</f>
        <v>1</v>
      </c>
      <c r="W139" s="472">
        <v>53102.205999999998</v>
      </c>
      <c r="AA139" s="68"/>
      <c r="AB139" s="68"/>
    </row>
    <row r="140" spans="1:28">
      <c r="A140" s="703" t="s">
        <v>6985</v>
      </c>
      <c r="B140" s="13">
        <v>9</v>
      </c>
      <c r="C140" s="13"/>
      <c r="D140" s="13"/>
      <c r="E140" s="13"/>
      <c r="F140" s="13"/>
      <c r="G140" s="13"/>
      <c r="H140" s="13"/>
      <c r="I140" s="13"/>
      <c r="J140" s="13"/>
      <c r="K140" s="13">
        <f>SUM(B140:J140)</f>
        <v>9</v>
      </c>
      <c r="L140" s="472">
        <v>394827.67800000001</v>
      </c>
      <c r="M140" s="13">
        <v>9</v>
      </c>
      <c r="N140" s="13"/>
      <c r="O140" s="13"/>
      <c r="P140" s="13"/>
      <c r="Q140" s="13"/>
      <c r="R140" s="13"/>
      <c r="S140" s="13"/>
      <c r="T140" s="13"/>
      <c r="U140" s="13"/>
      <c r="V140" s="13">
        <f>SUM(M140:U140)</f>
        <v>9</v>
      </c>
      <c r="W140" s="472">
        <v>449063.2476</v>
      </c>
      <c r="AA140" s="68"/>
      <c r="AB140" s="68"/>
    </row>
    <row r="141" spans="1:28">
      <c r="A141" s="703" t="s">
        <v>6984</v>
      </c>
      <c r="B141" s="13">
        <v>2</v>
      </c>
      <c r="C141" s="13"/>
      <c r="D141" s="13"/>
      <c r="E141" s="13"/>
      <c r="F141" s="13"/>
      <c r="G141" s="13"/>
      <c r="H141" s="13"/>
      <c r="I141" s="13"/>
      <c r="J141" s="13"/>
      <c r="K141" s="13">
        <f>SUM(B141:J141)</f>
        <v>2</v>
      </c>
      <c r="L141" s="472">
        <v>76916.36</v>
      </c>
      <c r="M141" s="13">
        <v>2</v>
      </c>
      <c r="N141" s="13"/>
      <c r="O141" s="13"/>
      <c r="P141" s="13"/>
      <c r="Q141" s="13"/>
      <c r="R141" s="13"/>
      <c r="S141" s="13"/>
      <c r="T141" s="13"/>
      <c r="U141" s="13"/>
      <c r="V141" s="13">
        <f>SUM(M141:U141)</f>
        <v>2</v>
      </c>
      <c r="W141" s="472">
        <v>87696.955520000003</v>
      </c>
      <c r="AA141" s="68"/>
      <c r="AB141" s="68"/>
    </row>
    <row r="142" spans="1:28">
      <c r="A142" s="705" t="s">
        <v>6995</v>
      </c>
      <c r="B142" s="484">
        <f t="shared" ref="B142:W142" si="33">SUM(B143:B147)</f>
        <v>1</v>
      </c>
      <c r="C142" s="484">
        <f t="shared" si="33"/>
        <v>0</v>
      </c>
      <c r="D142" s="484">
        <f t="shared" si="33"/>
        <v>0</v>
      </c>
      <c r="E142" s="484">
        <f t="shared" si="33"/>
        <v>0</v>
      </c>
      <c r="F142" s="484">
        <f t="shared" si="33"/>
        <v>0</v>
      </c>
      <c r="G142" s="484">
        <f t="shared" si="33"/>
        <v>0</v>
      </c>
      <c r="H142" s="484">
        <f t="shared" si="33"/>
        <v>0</v>
      </c>
      <c r="I142" s="484">
        <f t="shared" si="33"/>
        <v>0</v>
      </c>
      <c r="J142" s="484">
        <f t="shared" si="33"/>
        <v>0</v>
      </c>
      <c r="K142" s="484">
        <f t="shared" si="33"/>
        <v>1</v>
      </c>
      <c r="L142" s="485">
        <f t="shared" si="33"/>
        <v>52638.25</v>
      </c>
      <c r="M142" s="484">
        <f t="shared" si="33"/>
        <v>1</v>
      </c>
      <c r="N142" s="484">
        <f t="shared" si="33"/>
        <v>0</v>
      </c>
      <c r="O142" s="484">
        <f t="shared" si="33"/>
        <v>0</v>
      </c>
      <c r="P142" s="484">
        <f t="shared" si="33"/>
        <v>0</v>
      </c>
      <c r="Q142" s="484">
        <f t="shared" si="33"/>
        <v>0</v>
      </c>
      <c r="R142" s="484">
        <f t="shared" si="33"/>
        <v>0</v>
      </c>
      <c r="S142" s="484">
        <f t="shared" si="33"/>
        <v>0</v>
      </c>
      <c r="T142" s="484">
        <f t="shared" si="33"/>
        <v>0</v>
      </c>
      <c r="U142" s="484">
        <f t="shared" si="33"/>
        <v>0</v>
      </c>
      <c r="V142" s="484">
        <f t="shared" si="33"/>
        <v>1</v>
      </c>
      <c r="W142" s="485">
        <f t="shared" si="33"/>
        <v>60730.503340000003</v>
      </c>
      <c r="AA142" s="68"/>
      <c r="AB142" s="68"/>
    </row>
    <row r="143" spans="1:28">
      <c r="A143" s="703" t="s">
        <v>6989</v>
      </c>
      <c r="B143" s="13">
        <v>1</v>
      </c>
      <c r="C143" s="13"/>
      <c r="D143" s="13"/>
      <c r="E143" s="13"/>
      <c r="F143" s="13"/>
      <c r="G143" s="13"/>
      <c r="H143" s="13"/>
      <c r="I143" s="13"/>
      <c r="J143" s="13"/>
      <c r="K143" s="13">
        <f>SUM(B143:J143)</f>
        <v>1</v>
      </c>
      <c r="L143" s="472">
        <v>52638.25</v>
      </c>
      <c r="M143" s="13">
        <v>1</v>
      </c>
      <c r="N143" s="13"/>
      <c r="O143" s="13"/>
      <c r="P143" s="13"/>
      <c r="Q143" s="13"/>
      <c r="R143" s="13"/>
      <c r="S143" s="13"/>
      <c r="T143" s="13"/>
      <c r="U143" s="13"/>
      <c r="V143" s="13">
        <f>SUM(M143:U143)</f>
        <v>1</v>
      </c>
      <c r="W143" s="472">
        <v>60730.503340000003</v>
      </c>
      <c r="AA143" s="68"/>
      <c r="AB143" s="68"/>
    </row>
    <row r="144" spans="1:28" hidden="1">
      <c r="A144" s="703" t="s">
        <v>6988</v>
      </c>
      <c r="B144" s="13"/>
      <c r="C144" s="13"/>
      <c r="D144" s="13"/>
      <c r="E144" s="13"/>
      <c r="F144" s="13"/>
      <c r="G144" s="13"/>
      <c r="H144" s="13"/>
      <c r="I144" s="13"/>
      <c r="J144" s="13"/>
      <c r="K144" s="13">
        <f>SUM(B144:J144)</f>
        <v>0</v>
      </c>
      <c r="L144" s="16"/>
      <c r="M144" s="13"/>
      <c r="N144" s="13"/>
      <c r="O144" s="13"/>
      <c r="P144" s="13"/>
      <c r="Q144" s="13"/>
      <c r="R144" s="13"/>
      <c r="S144" s="13"/>
      <c r="T144" s="13"/>
      <c r="U144" s="13"/>
      <c r="V144" s="13">
        <f>SUM(M144:U144)</f>
        <v>0</v>
      </c>
      <c r="W144" s="472"/>
      <c r="AA144" s="68"/>
      <c r="AB144" s="68"/>
    </row>
    <row r="145" spans="1:28" hidden="1">
      <c r="A145" s="703" t="s">
        <v>6986</v>
      </c>
      <c r="B145" s="13"/>
      <c r="C145" s="13"/>
      <c r="D145" s="13"/>
      <c r="E145" s="13"/>
      <c r="F145" s="13"/>
      <c r="G145" s="13"/>
      <c r="H145" s="13"/>
      <c r="I145" s="13"/>
      <c r="J145" s="13"/>
      <c r="K145" s="13">
        <f>SUM(B145:J145)</f>
        <v>0</v>
      </c>
      <c r="L145" s="16"/>
      <c r="M145" s="13"/>
      <c r="N145" s="13"/>
      <c r="O145" s="13"/>
      <c r="P145" s="13"/>
      <c r="Q145" s="13"/>
      <c r="R145" s="13"/>
      <c r="S145" s="13"/>
      <c r="T145" s="13"/>
      <c r="U145" s="13"/>
      <c r="V145" s="13">
        <f>SUM(M145:U145)</f>
        <v>0</v>
      </c>
      <c r="W145" s="472"/>
      <c r="AA145" s="68"/>
      <c r="AB145" s="68"/>
    </row>
    <row r="146" spans="1:28" hidden="1">
      <c r="A146" s="703" t="s">
        <v>6985</v>
      </c>
      <c r="B146" s="13"/>
      <c r="C146" s="13"/>
      <c r="D146" s="13"/>
      <c r="E146" s="13"/>
      <c r="F146" s="13"/>
      <c r="G146" s="13"/>
      <c r="H146" s="13"/>
      <c r="I146" s="13"/>
      <c r="J146" s="13"/>
      <c r="K146" s="13">
        <f>SUM(B146:J146)</f>
        <v>0</v>
      </c>
      <c r="L146" s="16"/>
      <c r="M146" s="13"/>
      <c r="N146" s="13"/>
      <c r="O146" s="13"/>
      <c r="P146" s="13"/>
      <c r="Q146" s="13"/>
      <c r="R146" s="13"/>
      <c r="S146" s="13"/>
      <c r="T146" s="13"/>
      <c r="U146" s="13"/>
      <c r="V146" s="13">
        <f>SUM(M146:U146)</f>
        <v>0</v>
      </c>
      <c r="W146" s="472"/>
      <c r="AA146" s="68"/>
      <c r="AB146" s="68"/>
    </row>
    <row r="147" spans="1:28" hidden="1">
      <c r="A147" s="703" t="s">
        <v>6984</v>
      </c>
      <c r="B147" s="13"/>
      <c r="C147" s="13"/>
      <c r="D147" s="13"/>
      <c r="E147" s="13"/>
      <c r="F147" s="13"/>
      <c r="G147" s="13"/>
      <c r="H147" s="13"/>
      <c r="I147" s="13"/>
      <c r="J147" s="13"/>
      <c r="K147" s="13">
        <f>SUM(B147:J147)</f>
        <v>0</v>
      </c>
      <c r="L147" s="16"/>
      <c r="M147" s="13"/>
      <c r="N147" s="13"/>
      <c r="O147" s="13"/>
      <c r="P147" s="13"/>
      <c r="Q147" s="13"/>
      <c r="R147" s="13"/>
      <c r="S147" s="13"/>
      <c r="T147" s="13"/>
      <c r="U147" s="13"/>
      <c r="V147" s="13">
        <f>SUM(M147:U147)</f>
        <v>0</v>
      </c>
      <c r="W147" s="472"/>
      <c r="AA147" s="68"/>
      <c r="AB147" s="68"/>
    </row>
    <row r="148" spans="1:28">
      <c r="A148" s="705" t="s">
        <v>6994</v>
      </c>
      <c r="B148" s="484">
        <f t="shared" ref="B148:W148" si="34">SUM(B149:B153)</f>
        <v>11</v>
      </c>
      <c r="C148" s="484">
        <f t="shared" si="34"/>
        <v>0</v>
      </c>
      <c r="D148" s="484">
        <f t="shared" si="34"/>
        <v>0</v>
      </c>
      <c r="E148" s="484">
        <f t="shared" si="34"/>
        <v>0</v>
      </c>
      <c r="F148" s="484">
        <f t="shared" si="34"/>
        <v>0</v>
      </c>
      <c r="G148" s="484">
        <f t="shared" si="34"/>
        <v>0</v>
      </c>
      <c r="H148" s="484">
        <f t="shared" si="34"/>
        <v>0</v>
      </c>
      <c r="I148" s="484">
        <f t="shared" si="34"/>
        <v>0</v>
      </c>
      <c r="J148" s="484">
        <f t="shared" si="34"/>
        <v>0</v>
      </c>
      <c r="K148" s="484">
        <f t="shared" si="34"/>
        <v>11</v>
      </c>
      <c r="L148" s="485">
        <f t="shared" si="34"/>
        <v>506897.26520000002</v>
      </c>
      <c r="M148" s="484">
        <f t="shared" si="34"/>
        <v>11</v>
      </c>
      <c r="N148" s="484">
        <f t="shared" si="34"/>
        <v>0</v>
      </c>
      <c r="O148" s="484">
        <f t="shared" si="34"/>
        <v>0</v>
      </c>
      <c r="P148" s="484">
        <f t="shared" si="34"/>
        <v>0</v>
      </c>
      <c r="Q148" s="484">
        <f t="shared" si="34"/>
        <v>0</v>
      </c>
      <c r="R148" s="484">
        <f t="shared" si="34"/>
        <v>0</v>
      </c>
      <c r="S148" s="484">
        <f t="shared" si="34"/>
        <v>0</v>
      </c>
      <c r="T148" s="484">
        <f t="shared" si="34"/>
        <v>0</v>
      </c>
      <c r="U148" s="484">
        <f t="shared" si="34"/>
        <v>0</v>
      </c>
      <c r="V148" s="484">
        <f t="shared" si="34"/>
        <v>11</v>
      </c>
      <c r="W148" s="485">
        <f t="shared" si="34"/>
        <v>556671.48872000002</v>
      </c>
      <c r="AA148" s="68"/>
      <c r="AB148" s="68"/>
    </row>
    <row r="149" spans="1:28" hidden="1">
      <c r="A149" s="703" t="s">
        <v>6989</v>
      </c>
      <c r="B149" s="13"/>
      <c r="C149" s="13"/>
      <c r="D149" s="13"/>
      <c r="E149" s="13"/>
      <c r="F149" s="13"/>
      <c r="G149" s="13"/>
      <c r="H149" s="13"/>
      <c r="I149" s="13"/>
      <c r="J149" s="13"/>
      <c r="K149" s="13">
        <f>SUM(B149:J149)</f>
        <v>0</v>
      </c>
      <c r="L149" s="472"/>
      <c r="M149" s="13"/>
      <c r="N149" s="13"/>
      <c r="O149" s="13"/>
      <c r="P149" s="13"/>
      <c r="Q149" s="13"/>
      <c r="R149" s="13"/>
      <c r="S149" s="13"/>
      <c r="T149" s="13"/>
      <c r="U149" s="13"/>
      <c r="V149" s="13">
        <f>SUM(M149:U149)</f>
        <v>0</v>
      </c>
      <c r="W149" s="472"/>
      <c r="AA149" s="68"/>
      <c r="AB149" s="68"/>
    </row>
    <row r="150" spans="1:28">
      <c r="A150" s="703" t="s">
        <v>6988</v>
      </c>
      <c r="B150" s="13">
        <v>2</v>
      </c>
      <c r="C150" s="13"/>
      <c r="D150" s="13"/>
      <c r="E150" s="13"/>
      <c r="F150" s="13"/>
      <c r="G150" s="13"/>
      <c r="H150" s="13"/>
      <c r="I150" s="13"/>
      <c r="J150" s="13"/>
      <c r="K150" s="13">
        <f>SUM(B150:J150)</f>
        <v>2</v>
      </c>
      <c r="L150" s="472">
        <v>98469.579199999993</v>
      </c>
      <c r="M150" s="13">
        <v>2</v>
      </c>
      <c r="N150" s="13"/>
      <c r="O150" s="13"/>
      <c r="P150" s="13"/>
      <c r="Q150" s="13"/>
      <c r="R150" s="13"/>
      <c r="S150" s="13"/>
      <c r="T150" s="13"/>
      <c r="U150" s="13"/>
      <c r="V150" s="13">
        <f>SUM(M150:U150)</f>
        <v>2</v>
      </c>
      <c r="W150" s="472">
        <v>113097.93464000001</v>
      </c>
      <c r="AA150" s="68"/>
      <c r="AB150" s="68"/>
    </row>
    <row r="151" spans="1:28">
      <c r="A151" s="703" t="s">
        <v>6986</v>
      </c>
      <c r="B151" s="13">
        <v>4</v>
      </c>
      <c r="C151" s="13"/>
      <c r="D151" s="13"/>
      <c r="E151" s="13"/>
      <c r="F151" s="13"/>
      <c r="G151" s="13"/>
      <c r="H151" s="13"/>
      <c r="I151" s="13"/>
      <c r="J151" s="13"/>
      <c r="K151" s="13">
        <f>SUM(B151:J151)</f>
        <v>4</v>
      </c>
      <c r="L151" s="472">
        <v>185713.33600000001</v>
      </c>
      <c r="M151" s="13">
        <v>4</v>
      </c>
      <c r="N151" s="13"/>
      <c r="O151" s="13"/>
      <c r="P151" s="13"/>
      <c r="Q151" s="13"/>
      <c r="R151" s="13"/>
      <c r="S151" s="13"/>
      <c r="T151" s="13"/>
      <c r="U151" s="13"/>
      <c r="V151" s="13">
        <f>SUM(M151:U151)</f>
        <v>4</v>
      </c>
      <c r="W151" s="472">
        <v>212408.82399999999</v>
      </c>
      <c r="AA151" s="68"/>
      <c r="AB151" s="68"/>
    </row>
    <row r="152" spans="1:28">
      <c r="A152" s="703" t="s">
        <v>6985</v>
      </c>
      <c r="B152" s="13">
        <v>2</v>
      </c>
      <c r="C152" s="13"/>
      <c r="D152" s="13"/>
      <c r="E152" s="13"/>
      <c r="F152" s="13"/>
      <c r="G152" s="13"/>
      <c r="H152" s="13"/>
      <c r="I152" s="13"/>
      <c r="J152" s="13"/>
      <c r="K152" s="13">
        <f>SUM(B152:J152)</f>
        <v>2</v>
      </c>
      <c r="L152" s="472">
        <v>87739.483999999997</v>
      </c>
      <c r="M152" s="13">
        <v>2</v>
      </c>
      <c r="N152" s="13"/>
      <c r="O152" s="13"/>
      <c r="P152" s="13"/>
      <c r="Q152" s="13"/>
      <c r="R152" s="13"/>
      <c r="S152" s="13"/>
      <c r="T152" s="13"/>
      <c r="U152" s="13"/>
      <c r="V152" s="13">
        <f>SUM(M152:U152)</f>
        <v>2</v>
      </c>
      <c r="W152" s="472">
        <v>97793.472800000003</v>
      </c>
      <c r="AA152" s="68"/>
      <c r="AB152" s="68"/>
    </row>
    <row r="153" spans="1:28">
      <c r="A153" s="703" t="s">
        <v>6984</v>
      </c>
      <c r="B153" s="13">
        <v>3</v>
      </c>
      <c r="C153" s="13"/>
      <c r="D153" s="13"/>
      <c r="E153" s="13"/>
      <c r="F153" s="13"/>
      <c r="G153" s="13"/>
      <c r="H153" s="13"/>
      <c r="I153" s="13"/>
      <c r="J153" s="13"/>
      <c r="K153" s="13">
        <f>SUM(B153:J153)</f>
        <v>3</v>
      </c>
      <c r="L153" s="472">
        <v>134974.86600000001</v>
      </c>
      <c r="M153" s="13">
        <v>3</v>
      </c>
      <c r="N153" s="13"/>
      <c r="O153" s="13"/>
      <c r="P153" s="13"/>
      <c r="Q153" s="13"/>
      <c r="R153" s="13"/>
      <c r="S153" s="13"/>
      <c r="T153" s="13"/>
      <c r="U153" s="13"/>
      <c r="V153" s="13">
        <f>SUM(M153:U153)</f>
        <v>3</v>
      </c>
      <c r="W153" s="472">
        <v>133371.25727999999</v>
      </c>
      <c r="AA153" s="68"/>
      <c r="AB153" s="68"/>
    </row>
    <row r="154" spans="1:28">
      <c r="A154" s="705" t="s">
        <v>6993</v>
      </c>
      <c r="B154" s="484">
        <f t="shared" ref="B154:W154" si="35">SUM(B155:B159)</f>
        <v>83</v>
      </c>
      <c r="C154" s="484">
        <f t="shared" si="35"/>
        <v>0</v>
      </c>
      <c r="D154" s="484">
        <f t="shared" si="35"/>
        <v>0</v>
      </c>
      <c r="E154" s="484">
        <f t="shared" si="35"/>
        <v>0</v>
      </c>
      <c r="F154" s="484">
        <f t="shared" si="35"/>
        <v>0</v>
      </c>
      <c r="G154" s="484">
        <f t="shared" si="35"/>
        <v>0</v>
      </c>
      <c r="H154" s="484">
        <f t="shared" si="35"/>
        <v>0</v>
      </c>
      <c r="I154" s="484">
        <f t="shared" si="35"/>
        <v>0</v>
      </c>
      <c r="J154" s="484">
        <f t="shared" si="35"/>
        <v>0</v>
      </c>
      <c r="K154" s="484">
        <f t="shared" si="35"/>
        <v>83</v>
      </c>
      <c r="L154" s="485">
        <f t="shared" si="35"/>
        <v>3718411.0088</v>
      </c>
      <c r="M154" s="484">
        <f t="shared" si="35"/>
        <v>84</v>
      </c>
      <c r="N154" s="484">
        <f t="shared" si="35"/>
        <v>0</v>
      </c>
      <c r="O154" s="484">
        <f t="shared" si="35"/>
        <v>0</v>
      </c>
      <c r="P154" s="484">
        <f t="shared" si="35"/>
        <v>0</v>
      </c>
      <c r="Q154" s="484">
        <f t="shared" si="35"/>
        <v>0</v>
      </c>
      <c r="R154" s="484">
        <f t="shared" si="35"/>
        <v>0</v>
      </c>
      <c r="S154" s="484">
        <f t="shared" si="35"/>
        <v>0</v>
      </c>
      <c r="T154" s="484">
        <f t="shared" si="35"/>
        <v>0</v>
      </c>
      <c r="U154" s="484">
        <f t="shared" si="35"/>
        <v>0</v>
      </c>
      <c r="V154" s="484">
        <f t="shared" si="35"/>
        <v>84</v>
      </c>
      <c r="W154" s="485">
        <f t="shared" si="35"/>
        <v>4243952.4223200008</v>
      </c>
      <c r="AA154" s="68"/>
      <c r="AB154" s="68"/>
    </row>
    <row r="155" spans="1:28">
      <c r="A155" s="703" t="s">
        <v>6989</v>
      </c>
      <c r="B155" s="13">
        <v>8</v>
      </c>
      <c r="C155" s="13"/>
      <c r="D155" s="13"/>
      <c r="E155" s="13"/>
      <c r="F155" s="13"/>
      <c r="G155" s="13"/>
      <c r="H155" s="13"/>
      <c r="I155" s="13"/>
      <c r="J155" s="13"/>
      <c r="K155" s="13">
        <f>SUM(B155:J155)</f>
        <v>8</v>
      </c>
      <c r="L155" s="472">
        <v>439106</v>
      </c>
      <c r="M155" s="13">
        <v>8</v>
      </c>
      <c r="N155" s="13"/>
      <c r="O155" s="13"/>
      <c r="P155" s="13"/>
      <c r="Q155" s="13"/>
      <c r="R155" s="13"/>
      <c r="S155" s="13"/>
      <c r="T155" s="13"/>
      <c r="U155" s="13"/>
      <c r="V155" s="13">
        <f>SUM(M155:U155)</f>
        <v>8</v>
      </c>
      <c r="W155" s="472">
        <v>483402.86072</v>
      </c>
      <c r="AA155" s="68"/>
      <c r="AB155" s="68"/>
    </row>
    <row r="156" spans="1:28">
      <c r="A156" s="703" t="s">
        <v>6988</v>
      </c>
      <c r="B156" s="13">
        <v>8</v>
      </c>
      <c r="C156" s="13"/>
      <c r="D156" s="13"/>
      <c r="E156" s="13"/>
      <c r="F156" s="13"/>
      <c r="G156" s="13"/>
      <c r="H156" s="13"/>
      <c r="I156" s="13"/>
      <c r="J156" s="13"/>
      <c r="K156" s="13">
        <f>SUM(B156:J156)</f>
        <v>8</v>
      </c>
      <c r="L156" s="472">
        <v>411878.31679999997</v>
      </c>
      <c r="M156" s="13">
        <v>8</v>
      </c>
      <c r="N156" s="13"/>
      <c r="O156" s="13"/>
      <c r="P156" s="13"/>
      <c r="Q156" s="13"/>
      <c r="R156" s="13"/>
      <c r="S156" s="13"/>
      <c r="T156" s="13"/>
      <c r="U156" s="13"/>
      <c r="V156" s="13">
        <f>SUM(M156:U156)</f>
        <v>8</v>
      </c>
      <c r="W156" s="472">
        <v>452391.73856000003</v>
      </c>
      <c r="AA156" s="68"/>
      <c r="AB156" s="68"/>
    </row>
    <row r="157" spans="1:28">
      <c r="A157" s="703" t="s">
        <v>6986</v>
      </c>
      <c r="B157" s="13">
        <v>22</v>
      </c>
      <c r="C157" s="13"/>
      <c r="D157" s="13"/>
      <c r="E157" s="13"/>
      <c r="F157" s="13"/>
      <c r="G157" s="13"/>
      <c r="H157" s="13"/>
      <c r="I157" s="13"/>
      <c r="J157" s="13"/>
      <c r="K157" s="13">
        <f>SUM(B157:J157)</f>
        <v>22</v>
      </c>
      <c r="L157" s="472">
        <v>1021423.348</v>
      </c>
      <c r="M157" s="13">
        <v>22</v>
      </c>
      <c r="N157" s="13"/>
      <c r="O157" s="13"/>
      <c r="P157" s="13"/>
      <c r="Q157" s="13"/>
      <c r="R157" s="13"/>
      <c r="S157" s="13"/>
      <c r="T157" s="13"/>
      <c r="U157" s="13"/>
      <c r="V157" s="13">
        <f>SUM(M157:U157)</f>
        <v>22</v>
      </c>
      <c r="W157" s="472">
        <v>1168248.5320000001</v>
      </c>
      <c r="AA157" s="68"/>
      <c r="AB157" s="68"/>
    </row>
    <row r="158" spans="1:28">
      <c r="A158" s="703" t="s">
        <v>6985</v>
      </c>
      <c r="B158" s="13">
        <v>22</v>
      </c>
      <c r="C158" s="13"/>
      <c r="D158" s="13"/>
      <c r="E158" s="13"/>
      <c r="F158" s="13"/>
      <c r="G158" s="13"/>
      <c r="H158" s="13"/>
      <c r="I158" s="13"/>
      <c r="J158" s="13"/>
      <c r="K158" s="13">
        <f>SUM(B158:J158)</f>
        <v>22</v>
      </c>
      <c r="L158" s="472">
        <v>959864.87800000003</v>
      </c>
      <c r="M158" s="13">
        <v>22</v>
      </c>
      <c r="N158" s="13"/>
      <c r="O158" s="13"/>
      <c r="P158" s="13"/>
      <c r="Q158" s="13"/>
      <c r="R158" s="13"/>
      <c r="S158" s="13"/>
      <c r="T158" s="13"/>
      <c r="U158" s="13"/>
      <c r="V158" s="13">
        <f>SUM(M158:U158)</f>
        <v>22</v>
      </c>
      <c r="W158" s="472">
        <v>1085720.0008</v>
      </c>
      <c r="AA158" s="68"/>
      <c r="AB158" s="68"/>
    </row>
    <row r="159" spans="1:28">
      <c r="A159" s="703" t="s">
        <v>6984</v>
      </c>
      <c r="B159" s="13">
        <v>23</v>
      </c>
      <c r="C159" s="13"/>
      <c r="D159" s="13"/>
      <c r="E159" s="13"/>
      <c r="F159" s="13"/>
      <c r="G159" s="13"/>
      <c r="H159" s="13"/>
      <c r="I159" s="13"/>
      <c r="J159" s="13"/>
      <c r="K159" s="13">
        <f>SUM(B159:J159)</f>
        <v>23</v>
      </c>
      <c r="L159" s="472">
        <v>886138.46600000001</v>
      </c>
      <c r="M159" s="13">
        <v>24</v>
      </c>
      <c r="N159" s="13"/>
      <c r="O159" s="13"/>
      <c r="P159" s="13"/>
      <c r="Q159" s="13"/>
      <c r="R159" s="13"/>
      <c r="S159" s="13"/>
      <c r="T159" s="13"/>
      <c r="U159" s="13"/>
      <c r="V159" s="13">
        <f>SUM(M159:U159)</f>
        <v>24</v>
      </c>
      <c r="W159" s="472">
        <v>1054189.29024</v>
      </c>
      <c r="AA159" s="68"/>
      <c r="AB159" s="68"/>
    </row>
    <row r="160" spans="1:28">
      <c r="A160" s="705" t="s">
        <v>6992</v>
      </c>
      <c r="B160" s="484">
        <f t="shared" ref="B160:W160" si="36">SUM(B161:B165)</f>
        <v>38</v>
      </c>
      <c r="C160" s="484">
        <f t="shared" si="36"/>
        <v>0</v>
      </c>
      <c r="D160" s="484">
        <f t="shared" si="36"/>
        <v>0</v>
      </c>
      <c r="E160" s="484">
        <f t="shared" si="36"/>
        <v>0</v>
      </c>
      <c r="F160" s="484">
        <f t="shared" si="36"/>
        <v>0</v>
      </c>
      <c r="G160" s="484">
        <f t="shared" si="36"/>
        <v>0</v>
      </c>
      <c r="H160" s="484">
        <f t="shared" si="36"/>
        <v>0</v>
      </c>
      <c r="I160" s="484">
        <f t="shared" si="36"/>
        <v>0</v>
      </c>
      <c r="J160" s="484">
        <f t="shared" si="36"/>
        <v>0</v>
      </c>
      <c r="K160" s="484">
        <f t="shared" si="36"/>
        <v>38</v>
      </c>
      <c r="L160" s="485">
        <f t="shared" si="36"/>
        <v>1778995.892</v>
      </c>
      <c r="M160" s="484">
        <f t="shared" si="36"/>
        <v>39</v>
      </c>
      <c r="N160" s="484">
        <f t="shared" si="36"/>
        <v>0</v>
      </c>
      <c r="O160" s="484">
        <f t="shared" si="36"/>
        <v>0</v>
      </c>
      <c r="P160" s="484">
        <f t="shared" si="36"/>
        <v>0</v>
      </c>
      <c r="Q160" s="484">
        <f t="shared" si="36"/>
        <v>0</v>
      </c>
      <c r="R160" s="484">
        <f t="shared" si="36"/>
        <v>0</v>
      </c>
      <c r="S160" s="484">
        <f t="shared" si="36"/>
        <v>0</v>
      </c>
      <c r="T160" s="484">
        <f t="shared" si="36"/>
        <v>0</v>
      </c>
      <c r="U160" s="484">
        <f t="shared" si="36"/>
        <v>0</v>
      </c>
      <c r="V160" s="484">
        <f t="shared" si="36"/>
        <v>39</v>
      </c>
      <c r="W160" s="485">
        <f t="shared" si="36"/>
        <v>2096998.0752000001</v>
      </c>
      <c r="AA160" s="68"/>
      <c r="AB160" s="68"/>
    </row>
    <row r="161" spans="1:28">
      <c r="A161" s="703" t="s">
        <v>6989</v>
      </c>
      <c r="B161" s="13">
        <v>9</v>
      </c>
      <c r="C161" s="13"/>
      <c r="D161" s="13"/>
      <c r="E161" s="13"/>
      <c r="F161" s="13"/>
      <c r="G161" s="13"/>
      <c r="H161" s="13"/>
      <c r="I161" s="13"/>
      <c r="J161" s="13"/>
      <c r="K161" s="13">
        <f>SUM(B161:J161)</f>
        <v>9</v>
      </c>
      <c r="L161" s="472">
        <v>473744.25</v>
      </c>
      <c r="M161" s="13">
        <v>10</v>
      </c>
      <c r="N161" s="13"/>
      <c r="O161" s="13"/>
      <c r="P161" s="13"/>
      <c r="Q161" s="13"/>
      <c r="R161" s="13"/>
      <c r="S161" s="13"/>
      <c r="T161" s="13"/>
      <c r="U161" s="13"/>
      <c r="V161" s="13">
        <f>SUM(M161:U161)</f>
        <v>10</v>
      </c>
      <c r="W161" s="472">
        <v>607305.03339999996</v>
      </c>
      <c r="AA161" s="68"/>
      <c r="AB161" s="68"/>
    </row>
    <row r="162" spans="1:28">
      <c r="A162" s="703" t="s">
        <v>6988</v>
      </c>
      <c r="B162" s="13">
        <v>5</v>
      </c>
      <c r="C162" s="13"/>
      <c r="D162" s="13"/>
      <c r="E162" s="13"/>
      <c r="F162" s="13"/>
      <c r="G162" s="13"/>
      <c r="H162" s="13"/>
      <c r="I162" s="13"/>
      <c r="J162" s="13"/>
      <c r="K162" s="13">
        <f>SUM(B162:J162)</f>
        <v>5</v>
      </c>
      <c r="L162" s="472">
        <v>246173.948</v>
      </c>
      <c r="M162" s="13">
        <v>5</v>
      </c>
      <c r="N162" s="13"/>
      <c r="O162" s="13"/>
      <c r="P162" s="13"/>
      <c r="Q162" s="13"/>
      <c r="R162" s="13"/>
      <c r="S162" s="13"/>
      <c r="T162" s="13"/>
      <c r="U162" s="13"/>
      <c r="V162" s="13">
        <f>SUM(M162:U162)</f>
        <v>5</v>
      </c>
      <c r="W162" s="472">
        <v>282744.83659999998</v>
      </c>
      <c r="AA162" s="68"/>
      <c r="AB162" s="68"/>
    </row>
    <row r="163" spans="1:28">
      <c r="A163" s="703" t="s">
        <v>6986</v>
      </c>
      <c r="B163" s="13">
        <v>13</v>
      </c>
      <c r="C163" s="13"/>
      <c r="D163" s="13"/>
      <c r="E163" s="13"/>
      <c r="F163" s="13"/>
      <c r="G163" s="13"/>
      <c r="H163" s="13"/>
      <c r="I163" s="13"/>
      <c r="J163" s="13"/>
      <c r="K163" s="13">
        <f>SUM(B163:J163)</f>
        <v>13</v>
      </c>
      <c r="L163" s="472">
        <v>603568.34199999995</v>
      </c>
      <c r="M163" s="13">
        <v>13</v>
      </c>
      <c r="N163" s="13"/>
      <c r="O163" s="13"/>
      <c r="P163" s="13"/>
      <c r="Q163" s="13"/>
      <c r="R163" s="13"/>
      <c r="S163" s="13"/>
      <c r="T163" s="13"/>
      <c r="U163" s="13"/>
      <c r="V163" s="13">
        <f>SUM(M163:U163)</f>
        <v>13</v>
      </c>
      <c r="W163" s="472">
        <v>690328.67799999996</v>
      </c>
      <c r="AA163" s="68"/>
      <c r="AB163" s="68"/>
    </row>
    <row r="164" spans="1:28">
      <c r="A164" s="703" t="s">
        <v>6985</v>
      </c>
      <c r="B164" s="13">
        <v>6</v>
      </c>
      <c r="C164" s="13"/>
      <c r="D164" s="13"/>
      <c r="E164" s="13"/>
      <c r="F164" s="13"/>
      <c r="G164" s="13"/>
      <c r="H164" s="13"/>
      <c r="I164" s="13"/>
      <c r="J164" s="13"/>
      <c r="K164" s="13">
        <f>SUM(B164:J164)</f>
        <v>6</v>
      </c>
      <c r="L164" s="472">
        <v>263218.45199999999</v>
      </c>
      <c r="M164" s="13">
        <v>6</v>
      </c>
      <c r="N164" s="13"/>
      <c r="O164" s="13"/>
      <c r="P164" s="13"/>
      <c r="Q164" s="13"/>
      <c r="R164" s="13"/>
      <c r="S164" s="13"/>
      <c r="T164" s="13"/>
      <c r="U164" s="13"/>
      <c r="V164" s="13">
        <f>SUM(M164:U164)</f>
        <v>6</v>
      </c>
      <c r="W164" s="472">
        <v>297377.1384</v>
      </c>
      <c r="AA164" s="68"/>
      <c r="AB164" s="68"/>
    </row>
    <row r="165" spans="1:28">
      <c r="A165" s="703" t="s">
        <v>6984</v>
      </c>
      <c r="B165" s="13">
        <v>5</v>
      </c>
      <c r="C165" s="13"/>
      <c r="D165" s="13"/>
      <c r="E165" s="13"/>
      <c r="F165" s="13"/>
      <c r="G165" s="13"/>
      <c r="H165" s="13"/>
      <c r="I165" s="13"/>
      <c r="J165" s="13"/>
      <c r="K165" s="13">
        <f>SUM(B165:J165)</f>
        <v>5</v>
      </c>
      <c r="L165" s="472">
        <v>192290.9</v>
      </c>
      <c r="M165" s="13">
        <v>5</v>
      </c>
      <c r="N165" s="13"/>
      <c r="O165" s="13"/>
      <c r="P165" s="13"/>
      <c r="Q165" s="13"/>
      <c r="R165" s="13"/>
      <c r="S165" s="13"/>
      <c r="T165" s="13"/>
      <c r="U165" s="13"/>
      <c r="V165" s="13">
        <f>SUM(M165:U165)</f>
        <v>5</v>
      </c>
      <c r="W165" s="472">
        <v>219242.38880000002</v>
      </c>
      <c r="AA165" s="68"/>
      <c r="AB165" s="68"/>
    </row>
    <row r="166" spans="1:28">
      <c r="A166" s="705" t="s">
        <v>6991</v>
      </c>
      <c r="B166" s="484">
        <f t="shared" ref="B166:W166" si="37">SUM(B167:B171)</f>
        <v>1</v>
      </c>
      <c r="C166" s="484">
        <f t="shared" si="37"/>
        <v>0</v>
      </c>
      <c r="D166" s="484">
        <f t="shared" si="37"/>
        <v>0</v>
      </c>
      <c r="E166" s="484">
        <f t="shared" si="37"/>
        <v>0</v>
      </c>
      <c r="F166" s="484">
        <f t="shared" si="37"/>
        <v>0</v>
      </c>
      <c r="G166" s="484">
        <f t="shared" si="37"/>
        <v>0</v>
      </c>
      <c r="H166" s="484">
        <f t="shared" si="37"/>
        <v>0</v>
      </c>
      <c r="I166" s="484">
        <f t="shared" si="37"/>
        <v>0</v>
      </c>
      <c r="J166" s="484">
        <f t="shared" si="37"/>
        <v>0</v>
      </c>
      <c r="K166" s="484">
        <f t="shared" si="37"/>
        <v>1</v>
      </c>
      <c r="L166" s="485">
        <f t="shared" si="37"/>
        <v>38458.18</v>
      </c>
      <c r="M166" s="484">
        <f t="shared" si="37"/>
        <v>1</v>
      </c>
      <c r="N166" s="484">
        <f t="shared" si="37"/>
        <v>0</v>
      </c>
      <c r="O166" s="484">
        <f t="shared" si="37"/>
        <v>0</v>
      </c>
      <c r="P166" s="484">
        <f t="shared" si="37"/>
        <v>0</v>
      </c>
      <c r="Q166" s="484">
        <f t="shared" si="37"/>
        <v>0</v>
      </c>
      <c r="R166" s="484">
        <f t="shared" si="37"/>
        <v>0</v>
      </c>
      <c r="S166" s="484">
        <f t="shared" si="37"/>
        <v>0</v>
      </c>
      <c r="T166" s="484">
        <f t="shared" si="37"/>
        <v>0</v>
      </c>
      <c r="U166" s="484">
        <f t="shared" si="37"/>
        <v>0</v>
      </c>
      <c r="V166" s="484">
        <f t="shared" si="37"/>
        <v>1</v>
      </c>
      <c r="W166" s="485">
        <f t="shared" si="37"/>
        <v>43848.477760000002</v>
      </c>
      <c r="AA166" s="68"/>
      <c r="AB166" s="68"/>
    </row>
    <row r="167" spans="1:28" hidden="1">
      <c r="A167" s="703" t="s">
        <v>6989</v>
      </c>
      <c r="B167" s="13"/>
      <c r="C167" s="13"/>
      <c r="D167" s="13"/>
      <c r="E167" s="13"/>
      <c r="F167" s="13"/>
      <c r="G167" s="13"/>
      <c r="H167" s="13"/>
      <c r="I167" s="13"/>
      <c r="J167" s="13"/>
      <c r="K167" s="13">
        <f>SUM(B167:J167)</f>
        <v>0</v>
      </c>
      <c r="L167" s="16"/>
      <c r="M167" s="13"/>
      <c r="N167" s="13"/>
      <c r="O167" s="13"/>
      <c r="P167" s="13"/>
      <c r="Q167" s="13"/>
      <c r="R167" s="13"/>
      <c r="S167" s="13"/>
      <c r="T167" s="13"/>
      <c r="U167" s="13"/>
      <c r="V167" s="13">
        <f>SUM(M167:U167)</f>
        <v>0</v>
      </c>
      <c r="W167" s="472"/>
      <c r="AA167" s="68"/>
      <c r="AB167" s="68"/>
    </row>
    <row r="168" spans="1:28" hidden="1">
      <c r="A168" s="703" t="s">
        <v>6988</v>
      </c>
      <c r="B168" s="13"/>
      <c r="C168" s="13"/>
      <c r="D168" s="13"/>
      <c r="E168" s="13"/>
      <c r="F168" s="13"/>
      <c r="G168" s="13"/>
      <c r="H168" s="13"/>
      <c r="I168" s="13"/>
      <c r="J168" s="13"/>
      <c r="K168" s="13">
        <f>SUM(B168:J168)</f>
        <v>0</v>
      </c>
      <c r="L168" s="16"/>
      <c r="M168" s="13"/>
      <c r="N168" s="13"/>
      <c r="O168" s="13"/>
      <c r="P168" s="13"/>
      <c r="Q168" s="13"/>
      <c r="R168" s="13"/>
      <c r="S168" s="13"/>
      <c r="T168" s="13"/>
      <c r="U168" s="13"/>
      <c r="V168" s="13">
        <f>SUM(M168:U168)</f>
        <v>0</v>
      </c>
      <c r="W168" s="472"/>
      <c r="AA168" s="68"/>
      <c r="AB168" s="68"/>
    </row>
    <row r="169" spans="1:28" hidden="1">
      <c r="A169" s="703" t="s">
        <v>6986</v>
      </c>
      <c r="B169" s="13"/>
      <c r="C169" s="13"/>
      <c r="D169" s="13"/>
      <c r="E169" s="13"/>
      <c r="F169" s="13"/>
      <c r="G169" s="13"/>
      <c r="H169" s="13"/>
      <c r="I169" s="13"/>
      <c r="J169" s="13"/>
      <c r="K169" s="13">
        <f>SUM(B169:J169)</f>
        <v>0</v>
      </c>
      <c r="L169" s="16"/>
      <c r="M169" s="13"/>
      <c r="N169" s="13"/>
      <c r="O169" s="13"/>
      <c r="P169" s="13"/>
      <c r="Q169" s="13"/>
      <c r="R169" s="13"/>
      <c r="S169" s="13"/>
      <c r="T169" s="13"/>
      <c r="U169" s="13"/>
      <c r="V169" s="13">
        <f>SUM(M169:U169)</f>
        <v>0</v>
      </c>
      <c r="W169" s="472"/>
      <c r="AA169" s="68"/>
      <c r="AB169" s="68"/>
    </row>
    <row r="170" spans="1:28" hidden="1">
      <c r="A170" s="703" t="s">
        <v>6985</v>
      </c>
      <c r="B170" s="13"/>
      <c r="C170" s="13"/>
      <c r="D170" s="13"/>
      <c r="E170" s="13"/>
      <c r="F170" s="13"/>
      <c r="G170" s="13"/>
      <c r="H170" s="13"/>
      <c r="I170" s="13"/>
      <c r="J170" s="13"/>
      <c r="K170" s="13">
        <f>SUM(B170:J170)</f>
        <v>0</v>
      </c>
      <c r="L170" s="16"/>
      <c r="M170" s="13"/>
      <c r="N170" s="13"/>
      <c r="O170" s="13"/>
      <c r="P170" s="13"/>
      <c r="Q170" s="13"/>
      <c r="R170" s="13"/>
      <c r="S170" s="13"/>
      <c r="T170" s="13"/>
      <c r="U170" s="13"/>
      <c r="V170" s="13">
        <f>SUM(M170:U170)</f>
        <v>0</v>
      </c>
      <c r="W170" s="472"/>
      <c r="AA170" s="68"/>
      <c r="AB170" s="68"/>
    </row>
    <row r="171" spans="1:28">
      <c r="A171" s="703" t="s">
        <v>6984</v>
      </c>
      <c r="B171" s="13">
        <v>1</v>
      </c>
      <c r="C171" s="13"/>
      <c r="D171" s="13"/>
      <c r="E171" s="13"/>
      <c r="F171" s="13"/>
      <c r="G171" s="13"/>
      <c r="H171" s="13"/>
      <c r="I171" s="13"/>
      <c r="J171" s="13"/>
      <c r="K171" s="13">
        <f>SUM(B171:J171)</f>
        <v>1</v>
      </c>
      <c r="L171" s="472">
        <v>38458.18</v>
      </c>
      <c r="M171" s="13">
        <v>1</v>
      </c>
      <c r="N171" s="13"/>
      <c r="O171" s="13"/>
      <c r="P171" s="13"/>
      <c r="Q171" s="13"/>
      <c r="R171" s="13"/>
      <c r="S171" s="13"/>
      <c r="T171" s="13"/>
      <c r="U171" s="13"/>
      <c r="V171" s="13">
        <f>SUM(M171:U171)</f>
        <v>1</v>
      </c>
      <c r="W171" s="472">
        <v>43848.477760000002</v>
      </c>
      <c r="AA171" s="68"/>
      <c r="AB171" s="68"/>
    </row>
    <row r="172" spans="1:28" ht="24">
      <c r="A172" s="705" t="s">
        <v>6990</v>
      </c>
      <c r="B172" s="484">
        <f t="shared" ref="B172:W172" si="38">SUM(B173:B177)</f>
        <v>1</v>
      </c>
      <c r="C172" s="484">
        <f t="shared" si="38"/>
        <v>0</v>
      </c>
      <c r="D172" s="484">
        <f t="shared" si="38"/>
        <v>0</v>
      </c>
      <c r="E172" s="484">
        <f t="shared" si="38"/>
        <v>0</v>
      </c>
      <c r="F172" s="484">
        <f t="shared" si="38"/>
        <v>0</v>
      </c>
      <c r="G172" s="484">
        <f t="shared" si="38"/>
        <v>0</v>
      </c>
      <c r="H172" s="484">
        <f t="shared" si="38"/>
        <v>0</v>
      </c>
      <c r="I172" s="484">
        <f t="shared" si="38"/>
        <v>0</v>
      </c>
      <c r="J172" s="484">
        <f t="shared" si="38"/>
        <v>0</v>
      </c>
      <c r="K172" s="484">
        <f t="shared" si="38"/>
        <v>1</v>
      </c>
      <c r="L172" s="485">
        <f t="shared" si="38"/>
        <v>43869.741999999998</v>
      </c>
      <c r="M172" s="484">
        <f t="shared" si="38"/>
        <v>1</v>
      </c>
      <c r="N172" s="484">
        <f t="shared" si="38"/>
        <v>0</v>
      </c>
      <c r="O172" s="484">
        <f t="shared" si="38"/>
        <v>0</v>
      </c>
      <c r="P172" s="484">
        <f t="shared" si="38"/>
        <v>0</v>
      </c>
      <c r="Q172" s="484">
        <f t="shared" si="38"/>
        <v>0</v>
      </c>
      <c r="R172" s="484">
        <f t="shared" si="38"/>
        <v>0</v>
      </c>
      <c r="S172" s="484">
        <f t="shared" si="38"/>
        <v>0</v>
      </c>
      <c r="T172" s="484">
        <f t="shared" si="38"/>
        <v>0</v>
      </c>
      <c r="U172" s="484">
        <f t="shared" si="38"/>
        <v>0</v>
      </c>
      <c r="V172" s="484">
        <f t="shared" si="38"/>
        <v>1</v>
      </c>
      <c r="W172" s="485">
        <f t="shared" si="38"/>
        <v>49895.916400000002</v>
      </c>
      <c r="AA172" s="68"/>
      <c r="AB172" s="68"/>
    </row>
    <row r="173" spans="1:28" hidden="1">
      <c r="A173" s="703" t="s">
        <v>6989</v>
      </c>
      <c r="B173" s="13"/>
      <c r="C173" s="13"/>
      <c r="D173" s="13"/>
      <c r="E173" s="13"/>
      <c r="F173" s="13"/>
      <c r="G173" s="13"/>
      <c r="H173" s="13"/>
      <c r="I173" s="13"/>
      <c r="J173" s="13"/>
      <c r="K173" s="13">
        <f>SUM(B173:J173)</f>
        <v>0</v>
      </c>
      <c r="L173" s="472"/>
      <c r="M173" s="13"/>
      <c r="N173" s="13"/>
      <c r="O173" s="13"/>
      <c r="P173" s="13"/>
      <c r="Q173" s="13"/>
      <c r="R173" s="13"/>
      <c r="S173" s="13"/>
      <c r="T173" s="13"/>
      <c r="U173" s="13"/>
      <c r="V173" s="13">
        <f>SUM(M173:U173)</f>
        <v>0</v>
      </c>
      <c r="W173" s="472"/>
      <c r="AA173" s="68"/>
      <c r="AB173" s="68"/>
    </row>
    <row r="174" spans="1:28" hidden="1">
      <c r="A174" s="703" t="s">
        <v>6988</v>
      </c>
      <c r="B174" s="13"/>
      <c r="C174" s="13"/>
      <c r="D174" s="13"/>
      <c r="E174" s="13"/>
      <c r="F174" s="13"/>
      <c r="G174" s="13"/>
      <c r="H174" s="13"/>
      <c r="I174" s="13"/>
      <c r="J174" s="13"/>
      <c r="K174" s="13">
        <f>SUM(B174:J174)</f>
        <v>0</v>
      </c>
      <c r="L174" s="472"/>
      <c r="M174" s="13"/>
      <c r="N174" s="13"/>
      <c r="O174" s="13"/>
      <c r="P174" s="13"/>
      <c r="Q174" s="13"/>
      <c r="R174" s="13"/>
      <c r="S174" s="13"/>
      <c r="T174" s="13"/>
      <c r="U174" s="13"/>
      <c r="V174" s="13">
        <f>SUM(M174:U174)</f>
        <v>0</v>
      </c>
      <c r="W174" s="472"/>
      <c r="AA174" s="68"/>
      <c r="AB174" s="68"/>
    </row>
    <row r="175" spans="1:28" hidden="1">
      <c r="A175" s="703" t="s">
        <v>6986</v>
      </c>
      <c r="B175" s="13"/>
      <c r="C175" s="13"/>
      <c r="D175" s="13"/>
      <c r="E175" s="13"/>
      <c r="F175" s="13"/>
      <c r="G175" s="13"/>
      <c r="H175" s="13"/>
      <c r="I175" s="13"/>
      <c r="J175" s="13"/>
      <c r="K175" s="13">
        <f>SUM(B175:J175)</f>
        <v>0</v>
      </c>
      <c r="L175" s="472"/>
      <c r="M175" s="13"/>
      <c r="N175" s="13"/>
      <c r="O175" s="13"/>
      <c r="P175" s="13"/>
      <c r="Q175" s="13"/>
      <c r="R175" s="13"/>
      <c r="S175" s="13"/>
      <c r="T175" s="13"/>
      <c r="U175" s="13"/>
      <c r="V175" s="13">
        <f>SUM(M175:U175)</f>
        <v>0</v>
      </c>
      <c r="W175" s="472"/>
      <c r="AA175" s="68"/>
      <c r="AB175" s="68"/>
    </row>
    <row r="176" spans="1:28">
      <c r="A176" s="703" t="s">
        <v>6985</v>
      </c>
      <c r="B176" s="13">
        <v>1</v>
      </c>
      <c r="C176" s="13"/>
      <c r="D176" s="13"/>
      <c r="E176" s="13"/>
      <c r="F176" s="13"/>
      <c r="G176" s="13"/>
      <c r="H176" s="13"/>
      <c r="I176" s="13"/>
      <c r="J176" s="13"/>
      <c r="K176" s="13">
        <f>SUM(B176:J176)</f>
        <v>1</v>
      </c>
      <c r="L176" s="472">
        <v>43869.741999999998</v>
      </c>
      <c r="M176" s="13">
        <v>1</v>
      </c>
      <c r="N176" s="13"/>
      <c r="O176" s="13"/>
      <c r="P176" s="13"/>
      <c r="Q176" s="13"/>
      <c r="R176" s="13"/>
      <c r="S176" s="13"/>
      <c r="T176" s="13"/>
      <c r="U176" s="13"/>
      <c r="V176" s="13">
        <f>SUM(M176:U176)</f>
        <v>1</v>
      </c>
      <c r="W176" s="472">
        <v>49895.916400000002</v>
      </c>
      <c r="AA176" s="68"/>
      <c r="AB176" s="68"/>
    </row>
    <row r="177" spans="1:28" hidden="1">
      <c r="A177" s="703" t="s">
        <v>6984</v>
      </c>
      <c r="B177" s="13"/>
      <c r="C177" s="13"/>
      <c r="D177" s="13"/>
      <c r="E177" s="13"/>
      <c r="F177" s="13"/>
      <c r="G177" s="13"/>
      <c r="H177" s="13"/>
      <c r="I177" s="13"/>
      <c r="J177" s="13"/>
      <c r="K177" s="13">
        <f>SUM(B177:J177)</f>
        <v>0</v>
      </c>
      <c r="L177" s="541"/>
      <c r="M177" s="13"/>
      <c r="N177" s="13"/>
      <c r="O177" s="13"/>
      <c r="P177" s="13"/>
      <c r="Q177" s="13"/>
      <c r="R177" s="13"/>
      <c r="S177" s="13"/>
      <c r="T177" s="13"/>
      <c r="U177" s="13"/>
      <c r="V177" s="13">
        <f>SUM(M177:U177)</f>
        <v>0</v>
      </c>
      <c r="W177" s="472"/>
      <c r="AA177" s="68"/>
      <c r="AB177" s="68"/>
    </row>
    <row r="178" spans="1:28" ht="36">
      <c r="A178" s="705" t="s">
        <v>6987</v>
      </c>
      <c r="B178" s="484">
        <f t="shared" ref="B178:W178" si="39">SUM(B179:B184)</f>
        <v>8</v>
      </c>
      <c r="C178" s="484">
        <f t="shared" si="39"/>
        <v>0</v>
      </c>
      <c r="D178" s="484">
        <f t="shared" si="39"/>
        <v>0</v>
      </c>
      <c r="E178" s="484">
        <f t="shared" si="39"/>
        <v>0</v>
      </c>
      <c r="F178" s="484">
        <f t="shared" si="39"/>
        <v>0</v>
      </c>
      <c r="G178" s="484">
        <f t="shared" si="39"/>
        <v>0</v>
      </c>
      <c r="H178" s="484">
        <f t="shared" si="39"/>
        <v>0</v>
      </c>
      <c r="I178" s="484">
        <f t="shared" si="39"/>
        <v>0</v>
      </c>
      <c r="J178" s="484">
        <f t="shared" si="39"/>
        <v>0</v>
      </c>
      <c r="K178" s="484">
        <f t="shared" si="39"/>
        <v>8</v>
      </c>
      <c r="L178" s="485">
        <f t="shared" si="39"/>
        <v>240669.64640000003</v>
      </c>
      <c r="M178" s="484">
        <f t="shared" si="39"/>
        <v>8</v>
      </c>
      <c r="N178" s="484">
        <f t="shared" si="39"/>
        <v>0</v>
      </c>
      <c r="O178" s="484">
        <f t="shared" si="39"/>
        <v>0</v>
      </c>
      <c r="P178" s="484">
        <f t="shared" si="39"/>
        <v>0</v>
      </c>
      <c r="Q178" s="484">
        <f t="shared" si="39"/>
        <v>0</v>
      </c>
      <c r="R178" s="484">
        <f t="shared" si="39"/>
        <v>0</v>
      </c>
      <c r="S178" s="484">
        <f t="shared" si="39"/>
        <v>0</v>
      </c>
      <c r="T178" s="484">
        <f t="shared" si="39"/>
        <v>0</v>
      </c>
      <c r="U178" s="484">
        <f t="shared" si="39"/>
        <v>0</v>
      </c>
      <c r="V178" s="484">
        <f t="shared" si="39"/>
        <v>8</v>
      </c>
      <c r="W178" s="485">
        <f t="shared" si="39"/>
        <v>256525.22048000002</v>
      </c>
      <c r="AA178" s="68"/>
      <c r="AB178" s="68"/>
    </row>
    <row r="179" spans="1:28" hidden="1">
      <c r="A179" s="703" t="s">
        <v>6986</v>
      </c>
      <c r="B179" s="13"/>
      <c r="C179" s="13"/>
      <c r="D179" s="13"/>
      <c r="E179" s="13"/>
      <c r="F179" s="13"/>
      <c r="G179" s="13"/>
      <c r="H179" s="13"/>
      <c r="I179" s="13"/>
      <c r="J179" s="13"/>
      <c r="K179" s="13">
        <f t="shared" ref="K179:K184" si="40">SUM(B179:J179)</f>
        <v>0</v>
      </c>
      <c r="L179" s="472"/>
      <c r="M179" s="13"/>
      <c r="N179" s="13"/>
      <c r="O179" s="13"/>
      <c r="P179" s="13"/>
      <c r="Q179" s="13"/>
      <c r="R179" s="13"/>
      <c r="S179" s="13"/>
      <c r="T179" s="13"/>
      <c r="U179" s="13"/>
      <c r="V179" s="13">
        <f t="shared" ref="V179:V184" si="41">SUM(M179:U179)</f>
        <v>0</v>
      </c>
      <c r="W179" s="472"/>
      <c r="AA179" s="68"/>
      <c r="AB179" s="68"/>
    </row>
    <row r="180" spans="1:28">
      <c r="A180" s="703" t="s">
        <v>6985</v>
      </c>
      <c r="B180" s="13">
        <v>1</v>
      </c>
      <c r="C180" s="13"/>
      <c r="D180" s="13"/>
      <c r="E180" s="13"/>
      <c r="F180" s="13"/>
      <c r="G180" s="13"/>
      <c r="H180" s="13"/>
      <c r="I180" s="13"/>
      <c r="J180" s="13"/>
      <c r="K180" s="13">
        <f t="shared" si="40"/>
        <v>1</v>
      </c>
      <c r="L180" s="472">
        <v>31816.032400000004</v>
      </c>
      <c r="M180" s="13">
        <v>1</v>
      </c>
      <c r="N180" s="13"/>
      <c r="O180" s="13"/>
      <c r="P180" s="13"/>
      <c r="Q180" s="13"/>
      <c r="R180" s="13"/>
      <c r="S180" s="13"/>
      <c r="T180" s="13"/>
      <c r="U180" s="13"/>
      <c r="V180" s="13">
        <f t="shared" si="41"/>
        <v>1</v>
      </c>
      <c r="W180" s="472">
        <v>38100.384760000001</v>
      </c>
      <c r="AA180" s="68"/>
      <c r="AB180" s="68"/>
    </row>
    <row r="181" spans="1:28">
      <c r="A181" s="703" t="s">
        <v>6984</v>
      </c>
      <c r="B181" s="13">
        <v>2</v>
      </c>
      <c r="C181" s="13"/>
      <c r="D181" s="13"/>
      <c r="E181" s="13"/>
      <c r="F181" s="13"/>
      <c r="G181" s="13"/>
      <c r="H181" s="13"/>
      <c r="I181" s="13"/>
      <c r="J181" s="13"/>
      <c r="K181" s="13">
        <f t="shared" si="40"/>
        <v>2</v>
      </c>
      <c r="L181" s="472">
        <v>59776.205600000008</v>
      </c>
      <c r="M181" s="13">
        <v>2</v>
      </c>
      <c r="N181" s="13"/>
      <c r="O181" s="13"/>
      <c r="P181" s="13"/>
      <c r="Q181" s="13"/>
      <c r="R181" s="13"/>
      <c r="S181" s="13"/>
      <c r="T181" s="13"/>
      <c r="U181" s="13"/>
      <c r="V181" s="13">
        <f t="shared" si="41"/>
        <v>2</v>
      </c>
      <c r="W181" s="472">
        <v>63053.097800000003</v>
      </c>
      <c r="AA181" s="68"/>
      <c r="AB181" s="68"/>
    </row>
    <row r="182" spans="1:28">
      <c r="A182" s="703" t="s">
        <v>6983</v>
      </c>
      <c r="B182" s="13">
        <v>3</v>
      </c>
      <c r="C182" s="13"/>
      <c r="D182" s="13"/>
      <c r="E182" s="13"/>
      <c r="F182" s="13"/>
      <c r="G182" s="13"/>
      <c r="H182" s="13"/>
      <c r="I182" s="13"/>
      <c r="J182" s="13"/>
      <c r="K182" s="13">
        <f t="shared" si="40"/>
        <v>3</v>
      </c>
      <c r="L182" s="472">
        <v>89384.462400000004</v>
      </c>
      <c r="M182" s="13">
        <v>3</v>
      </c>
      <c r="N182" s="13"/>
      <c r="O182" s="13"/>
      <c r="P182" s="13"/>
      <c r="Q182" s="13"/>
      <c r="R182" s="13"/>
      <c r="S182" s="13"/>
      <c r="T182" s="13"/>
      <c r="U182" s="13"/>
      <c r="V182" s="13">
        <f t="shared" si="41"/>
        <v>3</v>
      </c>
      <c r="W182" s="472">
        <v>94299.096359999996</v>
      </c>
      <c r="AA182" s="68"/>
      <c r="AB182" s="68"/>
    </row>
    <row r="183" spans="1:28" hidden="1">
      <c r="A183" s="703" t="s">
        <v>6982</v>
      </c>
      <c r="B183" s="13">
        <v>0</v>
      </c>
      <c r="C183" s="13"/>
      <c r="D183" s="13"/>
      <c r="E183" s="13"/>
      <c r="F183" s="13"/>
      <c r="G183" s="13"/>
      <c r="H183" s="13"/>
      <c r="I183" s="13"/>
      <c r="J183" s="13"/>
      <c r="K183" s="13">
        <f t="shared" si="40"/>
        <v>0</v>
      </c>
      <c r="L183" s="472">
        <v>0</v>
      </c>
      <c r="M183" s="13"/>
      <c r="N183" s="13"/>
      <c r="O183" s="13"/>
      <c r="P183" s="13"/>
      <c r="Q183" s="13"/>
      <c r="R183" s="13"/>
      <c r="S183" s="13"/>
      <c r="T183" s="13"/>
      <c r="U183" s="13"/>
      <c r="V183" s="13">
        <f t="shared" si="41"/>
        <v>0</v>
      </c>
      <c r="W183" s="472">
        <v>0</v>
      </c>
      <c r="AA183" s="68"/>
      <c r="AB183" s="68"/>
    </row>
    <row r="184" spans="1:28">
      <c r="A184" s="703" t="s">
        <v>6981</v>
      </c>
      <c r="B184" s="13">
        <v>2</v>
      </c>
      <c r="C184" s="13"/>
      <c r="D184" s="13"/>
      <c r="E184" s="13"/>
      <c r="F184" s="13"/>
      <c r="G184" s="13"/>
      <c r="H184" s="13"/>
      <c r="I184" s="13"/>
      <c r="J184" s="13"/>
      <c r="K184" s="13">
        <f t="shared" si="40"/>
        <v>2</v>
      </c>
      <c r="L184" s="472">
        <v>59692.945999999996</v>
      </c>
      <c r="M184" s="13">
        <v>2</v>
      </c>
      <c r="N184" s="13"/>
      <c r="O184" s="13"/>
      <c r="P184" s="13"/>
      <c r="Q184" s="13"/>
      <c r="R184" s="13"/>
      <c r="S184" s="13"/>
      <c r="T184" s="13"/>
      <c r="U184" s="13"/>
      <c r="V184" s="13">
        <f t="shared" si="41"/>
        <v>2</v>
      </c>
      <c r="W184" s="472">
        <v>61072.641560000004</v>
      </c>
      <c r="AA184" s="68"/>
      <c r="AB184" s="68"/>
    </row>
    <row r="185" spans="1:28">
      <c r="A185" s="705" t="s">
        <v>58</v>
      </c>
      <c r="B185" s="484">
        <f t="shared" ref="B185:W185" si="42">SUM(B186:B187)</f>
        <v>39</v>
      </c>
      <c r="C185" s="484">
        <f t="shared" si="42"/>
        <v>0</v>
      </c>
      <c r="D185" s="484">
        <f t="shared" si="42"/>
        <v>0</v>
      </c>
      <c r="E185" s="484">
        <f t="shared" si="42"/>
        <v>0</v>
      </c>
      <c r="F185" s="484">
        <f t="shared" si="42"/>
        <v>0</v>
      </c>
      <c r="G185" s="484">
        <f t="shared" si="42"/>
        <v>0</v>
      </c>
      <c r="H185" s="484">
        <f t="shared" si="42"/>
        <v>0</v>
      </c>
      <c r="I185" s="484">
        <f t="shared" si="42"/>
        <v>0</v>
      </c>
      <c r="J185" s="484">
        <f t="shared" si="42"/>
        <v>0</v>
      </c>
      <c r="K185" s="484">
        <f t="shared" si="42"/>
        <v>39</v>
      </c>
      <c r="L185" s="485">
        <f t="shared" si="42"/>
        <v>2350722.5196000002</v>
      </c>
      <c r="M185" s="484">
        <f t="shared" si="42"/>
        <v>39</v>
      </c>
      <c r="N185" s="484">
        <f t="shared" si="42"/>
        <v>0</v>
      </c>
      <c r="O185" s="484">
        <f t="shared" si="42"/>
        <v>0</v>
      </c>
      <c r="P185" s="484">
        <f t="shared" si="42"/>
        <v>0</v>
      </c>
      <c r="Q185" s="484">
        <f t="shared" si="42"/>
        <v>0</v>
      </c>
      <c r="R185" s="484">
        <f t="shared" si="42"/>
        <v>0</v>
      </c>
      <c r="S185" s="484">
        <f t="shared" si="42"/>
        <v>0</v>
      </c>
      <c r="T185" s="484">
        <f t="shared" si="42"/>
        <v>0</v>
      </c>
      <c r="U185" s="484">
        <f t="shared" si="42"/>
        <v>0</v>
      </c>
      <c r="V185" s="484">
        <f t="shared" si="42"/>
        <v>39</v>
      </c>
      <c r="W185" s="485">
        <f t="shared" si="42"/>
        <v>2439027.2961599999</v>
      </c>
      <c r="AA185" s="68"/>
      <c r="AB185" s="68"/>
    </row>
    <row r="186" spans="1:28">
      <c r="A186" s="703" t="s">
        <v>6980</v>
      </c>
      <c r="B186" s="13">
        <v>26</v>
      </c>
      <c r="C186" s="13"/>
      <c r="D186" s="13"/>
      <c r="E186" s="13"/>
      <c r="F186" s="13"/>
      <c r="G186" s="13"/>
      <c r="H186" s="13"/>
      <c r="I186" s="13"/>
      <c r="J186" s="13"/>
      <c r="K186" s="13">
        <f>SUM(B186:J186)</f>
        <v>26</v>
      </c>
      <c r="L186" s="472">
        <v>1829961.9416000003</v>
      </c>
      <c r="M186" s="13">
        <v>26</v>
      </c>
      <c r="N186" s="13"/>
      <c r="O186" s="13"/>
      <c r="P186" s="13"/>
      <c r="Q186" s="13"/>
      <c r="R186" s="13"/>
      <c r="S186" s="13"/>
      <c r="T186" s="13"/>
      <c r="U186" s="13"/>
      <c r="V186" s="13">
        <f>SUM(M186:U186)</f>
        <v>26</v>
      </c>
      <c r="W186" s="472">
        <v>1868997.08528</v>
      </c>
      <c r="AA186" s="68"/>
      <c r="AB186" s="68"/>
    </row>
    <row r="187" spans="1:28">
      <c r="A187" s="703" t="s">
        <v>6979</v>
      </c>
      <c r="B187" s="13">
        <v>13</v>
      </c>
      <c r="C187" s="13"/>
      <c r="D187" s="13"/>
      <c r="E187" s="13"/>
      <c r="F187" s="13"/>
      <c r="G187" s="13"/>
      <c r="H187" s="13"/>
      <c r="I187" s="13"/>
      <c r="J187" s="13"/>
      <c r="K187" s="13">
        <f>SUM(B187:J187)</f>
        <v>13</v>
      </c>
      <c r="L187" s="472">
        <v>520760.57799999998</v>
      </c>
      <c r="M187" s="13">
        <v>13</v>
      </c>
      <c r="N187" s="13"/>
      <c r="O187" s="13"/>
      <c r="P187" s="13"/>
      <c r="Q187" s="13"/>
      <c r="R187" s="13"/>
      <c r="S187" s="13"/>
      <c r="T187" s="13"/>
      <c r="U187" s="13"/>
      <c r="V187" s="13">
        <f>SUM(M187:U187)</f>
        <v>13</v>
      </c>
      <c r="W187" s="472">
        <v>570030.21088000003</v>
      </c>
      <c r="AA187" s="68"/>
      <c r="AB187" s="68"/>
    </row>
    <row r="188" spans="1:28" hidden="1">
      <c r="A188" s="705" t="s">
        <v>6912</v>
      </c>
      <c r="B188" s="484">
        <f t="shared" ref="B188:W188" si="43">SUM(B189:B190)</f>
        <v>0</v>
      </c>
      <c r="C188" s="484">
        <f t="shared" si="43"/>
        <v>0</v>
      </c>
      <c r="D188" s="484">
        <f t="shared" si="43"/>
        <v>0</v>
      </c>
      <c r="E188" s="484">
        <f t="shared" si="43"/>
        <v>0</v>
      </c>
      <c r="F188" s="484">
        <f t="shared" si="43"/>
        <v>0</v>
      </c>
      <c r="G188" s="484">
        <f t="shared" si="43"/>
        <v>0</v>
      </c>
      <c r="H188" s="484">
        <f t="shared" si="43"/>
        <v>0</v>
      </c>
      <c r="I188" s="484">
        <f t="shared" si="43"/>
        <v>0</v>
      </c>
      <c r="J188" s="484">
        <f t="shared" si="43"/>
        <v>0</v>
      </c>
      <c r="K188" s="484">
        <f t="shared" si="43"/>
        <v>0</v>
      </c>
      <c r="L188" s="485">
        <f t="shared" si="43"/>
        <v>0</v>
      </c>
      <c r="M188" s="484">
        <f t="shared" si="43"/>
        <v>0</v>
      </c>
      <c r="N188" s="484">
        <f t="shared" si="43"/>
        <v>0</v>
      </c>
      <c r="O188" s="484">
        <f t="shared" si="43"/>
        <v>0</v>
      </c>
      <c r="P188" s="484">
        <f t="shared" si="43"/>
        <v>0</v>
      </c>
      <c r="Q188" s="484">
        <f t="shared" si="43"/>
        <v>0</v>
      </c>
      <c r="R188" s="484">
        <f t="shared" si="43"/>
        <v>0</v>
      </c>
      <c r="S188" s="484">
        <f t="shared" si="43"/>
        <v>0</v>
      </c>
      <c r="T188" s="484">
        <f t="shared" si="43"/>
        <v>0</v>
      </c>
      <c r="U188" s="484">
        <f t="shared" si="43"/>
        <v>0</v>
      </c>
      <c r="V188" s="484">
        <f t="shared" si="43"/>
        <v>0</v>
      </c>
      <c r="W188" s="485">
        <f t="shared" si="43"/>
        <v>0</v>
      </c>
      <c r="AA188" s="68"/>
      <c r="AB188" s="68"/>
    </row>
    <row r="189" spans="1:28" hidden="1">
      <c r="A189" s="703" t="s">
        <v>6911</v>
      </c>
      <c r="B189" s="13"/>
      <c r="C189" s="13"/>
      <c r="D189" s="13"/>
      <c r="E189" s="13"/>
      <c r="F189" s="13"/>
      <c r="G189" s="13"/>
      <c r="H189" s="13"/>
      <c r="I189" s="13"/>
      <c r="J189" s="13"/>
      <c r="K189" s="13">
        <f>SUM(B189:J189)</f>
        <v>0</v>
      </c>
      <c r="L189" s="472"/>
      <c r="M189" s="13"/>
      <c r="N189" s="13"/>
      <c r="O189" s="13"/>
      <c r="P189" s="13"/>
      <c r="Q189" s="13"/>
      <c r="R189" s="13"/>
      <c r="S189" s="13"/>
      <c r="T189" s="13"/>
      <c r="U189" s="13"/>
      <c r="V189" s="13">
        <f>SUM(M189:U189)</f>
        <v>0</v>
      </c>
      <c r="W189" s="472"/>
      <c r="AA189" s="68"/>
      <c r="AB189" s="68"/>
    </row>
    <row r="190" spans="1:28" hidden="1">
      <c r="A190" s="703" t="s">
        <v>6910</v>
      </c>
      <c r="B190" s="13"/>
      <c r="C190" s="13"/>
      <c r="D190" s="13"/>
      <c r="E190" s="13"/>
      <c r="F190" s="13"/>
      <c r="G190" s="13"/>
      <c r="H190" s="13"/>
      <c r="I190" s="13"/>
      <c r="J190" s="13"/>
      <c r="K190" s="13">
        <f>SUM(B190:J190)</f>
        <v>0</v>
      </c>
      <c r="L190" s="472"/>
      <c r="M190" s="13"/>
      <c r="N190" s="13"/>
      <c r="O190" s="13"/>
      <c r="P190" s="13"/>
      <c r="Q190" s="13"/>
      <c r="R190" s="13"/>
      <c r="S190" s="13"/>
      <c r="T190" s="13"/>
      <c r="U190" s="13"/>
      <c r="V190" s="13">
        <f>SUM(M190:U190)</f>
        <v>0</v>
      </c>
      <c r="W190" s="472"/>
      <c r="AA190" s="68"/>
      <c r="AB190" s="68"/>
    </row>
    <row r="191" spans="1:28" ht="24">
      <c r="A191" s="705" t="s">
        <v>50</v>
      </c>
      <c r="B191" s="484">
        <f t="shared" ref="B191:W191" si="44">B192+B199+B206</f>
        <v>690</v>
      </c>
      <c r="C191" s="484">
        <f t="shared" si="44"/>
        <v>0</v>
      </c>
      <c r="D191" s="484">
        <f t="shared" si="44"/>
        <v>0</v>
      </c>
      <c r="E191" s="484">
        <f t="shared" si="44"/>
        <v>0</v>
      </c>
      <c r="F191" s="484">
        <f t="shared" si="44"/>
        <v>0</v>
      </c>
      <c r="G191" s="484">
        <f t="shared" si="44"/>
        <v>0</v>
      </c>
      <c r="H191" s="484">
        <f t="shared" si="44"/>
        <v>0</v>
      </c>
      <c r="I191" s="484">
        <f t="shared" si="44"/>
        <v>0</v>
      </c>
      <c r="J191" s="484">
        <f t="shared" si="44"/>
        <v>0</v>
      </c>
      <c r="K191" s="484">
        <f t="shared" si="44"/>
        <v>690</v>
      </c>
      <c r="L191" s="485">
        <f t="shared" si="44"/>
        <v>24297451.550799996</v>
      </c>
      <c r="M191" s="484">
        <f t="shared" si="44"/>
        <v>685</v>
      </c>
      <c r="N191" s="484">
        <f t="shared" si="44"/>
        <v>0</v>
      </c>
      <c r="O191" s="484">
        <f t="shared" si="44"/>
        <v>0</v>
      </c>
      <c r="P191" s="484">
        <f t="shared" si="44"/>
        <v>0</v>
      </c>
      <c r="Q191" s="484">
        <f t="shared" si="44"/>
        <v>0</v>
      </c>
      <c r="R191" s="484">
        <f t="shared" si="44"/>
        <v>0</v>
      </c>
      <c r="S191" s="484">
        <f t="shared" si="44"/>
        <v>0</v>
      </c>
      <c r="T191" s="484">
        <f t="shared" si="44"/>
        <v>0</v>
      </c>
      <c r="U191" s="484">
        <f t="shared" si="44"/>
        <v>0</v>
      </c>
      <c r="V191" s="484">
        <f t="shared" si="44"/>
        <v>685</v>
      </c>
      <c r="W191" s="485">
        <f t="shared" si="44"/>
        <v>24739005.237720001</v>
      </c>
      <c r="AA191" s="68"/>
      <c r="AB191" s="68"/>
    </row>
    <row r="192" spans="1:28">
      <c r="A192" s="705" t="s">
        <v>4</v>
      </c>
      <c r="B192" s="484">
        <f t="shared" ref="B192:W192" si="45">SUM(B193:B198)</f>
        <v>8</v>
      </c>
      <c r="C192" s="484">
        <f t="shared" si="45"/>
        <v>0</v>
      </c>
      <c r="D192" s="484">
        <f t="shared" si="45"/>
        <v>0</v>
      </c>
      <c r="E192" s="484">
        <f t="shared" si="45"/>
        <v>0</v>
      </c>
      <c r="F192" s="484">
        <f t="shared" si="45"/>
        <v>0</v>
      </c>
      <c r="G192" s="484">
        <f t="shared" si="45"/>
        <v>0</v>
      </c>
      <c r="H192" s="484">
        <f t="shared" si="45"/>
        <v>0</v>
      </c>
      <c r="I192" s="484">
        <f t="shared" si="45"/>
        <v>0</v>
      </c>
      <c r="J192" s="484">
        <f t="shared" si="45"/>
        <v>0</v>
      </c>
      <c r="K192" s="484">
        <f t="shared" si="45"/>
        <v>8</v>
      </c>
      <c r="L192" s="485">
        <f t="shared" si="45"/>
        <v>292875.24800000002</v>
      </c>
      <c r="M192" s="484">
        <f t="shared" si="45"/>
        <v>9</v>
      </c>
      <c r="N192" s="484">
        <f t="shared" si="45"/>
        <v>0</v>
      </c>
      <c r="O192" s="484">
        <f t="shared" si="45"/>
        <v>0</v>
      </c>
      <c r="P192" s="484">
        <f t="shared" si="45"/>
        <v>0</v>
      </c>
      <c r="Q192" s="484">
        <f t="shared" si="45"/>
        <v>0</v>
      </c>
      <c r="R192" s="484">
        <f t="shared" si="45"/>
        <v>0</v>
      </c>
      <c r="S192" s="484">
        <f t="shared" si="45"/>
        <v>0</v>
      </c>
      <c r="T192" s="484">
        <f t="shared" si="45"/>
        <v>0</v>
      </c>
      <c r="U192" s="484">
        <f t="shared" si="45"/>
        <v>0</v>
      </c>
      <c r="V192" s="484">
        <f t="shared" si="45"/>
        <v>9</v>
      </c>
      <c r="W192" s="485">
        <f t="shared" si="45"/>
        <v>358021.72410000005</v>
      </c>
      <c r="AA192" s="68"/>
      <c r="AB192" s="68"/>
    </row>
    <row r="193" spans="1:28">
      <c r="A193" s="703" t="s">
        <v>13</v>
      </c>
      <c r="B193" s="13"/>
      <c r="C193" s="13"/>
      <c r="D193" s="13"/>
      <c r="E193" s="13"/>
      <c r="F193" s="13"/>
      <c r="G193" s="13"/>
      <c r="H193" s="13"/>
      <c r="I193" s="13"/>
      <c r="J193" s="13"/>
      <c r="K193" s="13">
        <f t="shared" ref="K193:K198" si="46">SUM(B193:J193)</f>
        <v>0</v>
      </c>
      <c r="L193" s="472"/>
      <c r="M193" s="13">
        <v>2</v>
      </c>
      <c r="N193" s="13"/>
      <c r="O193" s="13"/>
      <c r="P193" s="13"/>
      <c r="Q193" s="13"/>
      <c r="R193" s="13"/>
      <c r="S193" s="13"/>
      <c r="T193" s="13"/>
      <c r="U193" s="13"/>
      <c r="V193" s="13">
        <f t="shared" ref="V193:V198" si="47">SUM(M193:U193)</f>
        <v>2</v>
      </c>
      <c r="W193" s="472">
        <v>82052.248039999991</v>
      </c>
      <c r="AA193" s="68"/>
      <c r="AB193" s="68"/>
    </row>
    <row r="194" spans="1:28">
      <c r="A194" s="703" t="s">
        <v>6978</v>
      </c>
      <c r="B194" s="13"/>
      <c r="C194" s="13"/>
      <c r="D194" s="13"/>
      <c r="E194" s="13"/>
      <c r="F194" s="13"/>
      <c r="G194" s="13"/>
      <c r="H194" s="13"/>
      <c r="I194" s="13"/>
      <c r="J194" s="13"/>
      <c r="K194" s="13">
        <f t="shared" si="46"/>
        <v>0</v>
      </c>
      <c r="L194" s="472"/>
      <c r="M194" s="13">
        <v>4</v>
      </c>
      <c r="N194" s="13"/>
      <c r="O194" s="13"/>
      <c r="P194" s="13"/>
      <c r="Q194" s="13"/>
      <c r="R194" s="13"/>
      <c r="S194" s="13"/>
      <c r="T194" s="13"/>
      <c r="U194" s="13"/>
      <c r="V194" s="13">
        <f t="shared" si="47"/>
        <v>4</v>
      </c>
      <c r="W194" s="472">
        <v>163516.67632</v>
      </c>
      <c r="AA194" s="68"/>
      <c r="AB194" s="68"/>
    </row>
    <row r="195" spans="1:28" hidden="1">
      <c r="A195" s="703" t="s">
        <v>6977</v>
      </c>
      <c r="B195" s="13"/>
      <c r="C195" s="13"/>
      <c r="D195" s="13"/>
      <c r="E195" s="13"/>
      <c r="F195" s="13"/>
      <c r="G195" s="13"/>
      <c r="H195" s="13"/>
      <c r="I195" s="13"/>
      <c r="J195" s="13"/>
      <c r="K195" s="13">
        <f t="shared" si="46"/>
        <v>0</v>
      </c>
      <c r="L195" s="472"/>
      <c r="M195" s="13"/>
      <c r="N195" s="13"/>
      <c r="O195" s="13"/>
      <c r="P195" s="13"/>
      <c r="Q195" s="13"/>
      <c r="R195" s="13"/>
      <c r="S195" s="13"/>
      <c r="T195" s="13"/>
      <c r="U195" s="13"/>
      <c r="V195" s="13">
        <f t="shared" si="47"/>
        <v>0</v>
      </c>
      <c r="W195" s="472">
        <v>0</v>
      </c>
      <c r="AA195" s="68"/>
      <c r="AB195" s="68"/>
    </row>
    <row r="196" spans="1:28">
      <c r="A196" s="703" t="s">
        <v>6976</v>
      </c>
      <c r="B196" s="13">
        <v>4</v>
      </c>
      <c r="C196" s="13"/>
      <c r="D196" s="13"/>
      <c r="E196" s="13"/>
      <c r="F196" s="13"/>
      <c r="G196" s="13"/>
      <c r="H196" s="13"/>
      <c r="I196" s="13"/>
      <c r="J196" s="13"/>
      <c r="K196" s="13">
        <f t="shared" si="46"/>
        <v>4</v>
      </c>
      <c r="L196" s="472">
        <v>148415.79999999999</v>
      </c>
      <c r="M196" s="13">
        <v>1</v>
      </c>
      <c r="N196" s="13"/>
      <c r="O196" s="13"/>
      <c r="P196" s="13"/>
      <c r="Q196" s="13"/>
      <c r="R196" s="13"/>
      <c r="S196" s="13"/>
      <c r="T196" s="13"/>
      <c r="U196" s="13"/>
      <c r="V196" s="13">
        <f t="shared" si="47"/>
        <v>1</v>
      </c>
      <c r="W196" s="472">
        <v>37988.265820000001</v>
      </c>
      <c r="AA196" s="68"/>
      <c r="AB196" s="68"/>
    </row>
    <row r="197" spans="1:28">
      <c r="A197" s="703" t="s">
        <v>14</v>
      </c>
      <c r="B197" s="13">
        <v>2</v>
      </c>
      <c r="C197" s="13"/>
      <c r="D197" s="13"/>
      <c r="E197" s="13"/>
      <c r="F197" s="13"/>
      <c r="G197" s="13"/>
      <c r="H197" s="13"/>
      <c r="I197" s="13"/>
      <c r="J197" s="13"/>
      <c r="K197" s="13">
        <f t="shared" si="46"/>
        <v>2</v>
      </c>
      <c r="L197" s="472">
        <v>74127.944000000003</v>
      </c>
      <c r="M197" s="13"/>
      <c r="N197" s="13"/>
      <c r="O197" s="13"/>
      <c r="P197" s="13"/>
      <c r="Q197" s="13"/>
      <c r="R197" s="13"/>
      <c r="S197" s="13"/>
      <c r="T197" s="13"/>
      <c r="U197" s="13"/>
      <c r="V197" s="13">
        <f t="shared" si="47"/>
        <v>0</v>
      </c>
      <c r="W197" s="472">
        <v>0</v>
      </c>
      <c r="AA197" s="68"/>
      <c r="AB197" s="68"/>
    </row>
    <row r="198" spans="1:28">
      <c r="A198" s="703" t="s">
        <v>6975</v>
      </c>
      <c r="B198" s="13">
        <v>2</v>
      </c>
      <c r="C198" s="13"/>
      <c r="D198" s="13"/>
      <c r="E198" s="13"/>
      <c r="F198" s="13"/>
      <c r="G198" s="13"/>
      <c r="H198" s="13"/>
      <c r="I198" s="13"/>
      <c r="J198" s="13"/>
      <c r="K198" s="13">
        <f t="shared" si="46"/>
        <v>2</v>
      </c>
      <c r="L198" s="472">
        <v>70331.504000000001</v>
      </c>
      <c r="M198" s="13">
        <v>2</v>
      </c>
      <c r="N198" s="13"/>
      <c r="O198" s="13"/>
      <c r="P198" s="13"/>
      <c r="Q198" s="13"/>
      <c r="R198" s="13"/>
      <c r="S198" s="13"/>
      <c r="T198" s="13"/>
      <c r="U198" s="13"/>
      <c r="V198" s="13">
        <f t="shared" si="47"/>
        <v>2</v>
      </c>
      <c r="W198" s="472">
        <v>74464.533920000002</v>
      </c>
      <c r="AA198" s="68"/>
      <c r="AB198" s="68"/>
    </row>
    <row r="199" spans="1:28">
      <c r="A199" s="705" t="s">
        <v>5</v>
      </c>
      <c r="B199" s="484">
        <f t="shared" ref="B199:W199" si="48">SUM(B200:B205)</f>
        <v>517</v>
      </c>
      <c r="C199" s="484">
        <f t="shared" si="48"/>
        <v>0</v>
      </c>
      <c r="D199" s="484">
        <f t="shared" si="48"/>
        <v>0</v>
      </c>
      <c r="E199" s="484">
        <f t="shared" si="48"/>
        <v>0</v>
      </c>
      <c r="F199" s="484">
        <f t="shared" si="48"/>
        <v>0</v>
      </c>
      <c r="G199" s="484">
        <f t="shared" si="48"/>
        <v>0</v>
      </c>
      <c r="H199" s="484">
        <f t="shared" si="48"/>
        <v>0</v>
      </c>
      <c r="I199" s="484">
        <f t="shared" si="48"/>
        <v>0</v>
      </c>
      <c r="J199" s="484">
        <f t="shared" si="48"/>
        <v>0</v>
      </c>
      <c r="K199" s="484">
        <f t="shared" si="48"/>
        <v>517</v>
      </c>
      <c r="L199" s="485">
        <f t="shared" si="48"/>
        <v>18288985.759599999</v>
      </c>
      <c r="M199" s="484">
        <f t="shared" si="48"/>
        <v>510</v>
      </c>
      <c r="N199" s="484">
        <f t="shared" si="48"/>
        <v>0</v>
      </c>
      <c r="O199" s="484">
        <f t="shared" si="48"/>
        <v>0</v>
      </c>
      <c r="P199" s="484">
        <f t="shared" si="48"/>
        <v>0</v>
      </c>
      <c r="Q199" s="484">
        <f t="shared" si="48"/>
        <v>0</v>
      </c>
      <c r="R199" s="484">
        <f t="shared" si="48"/>
        <v>0</v>
      </c>
      <c r="S199" s="484">
        <f t="shared" si="48"/>
        <v>0</v>
      </c>
      <c r="T199" s="484">
        <f t="shared" si="48"/>
        <v>0</v>
      </c>
      <c r="U199" s="484">
        <f t="shared" si="48"/>
        <v>0</v>
      </c>
      <c r="V199" s="484">
        <f t="shared" si="48"/>
        <v>510</v>
      </c>
      <c r="W199" s="485">
        <f t="shared" si="48"/>
        <v>18916229.67588</v>
      </c>
      <c r="AA199" s="68"/>
      <c r="AB199" s="68"/>
    </row>
    <row r="200" spans="1:28">
      <c r="A200" s="703" t="s">
        <v>6974</v>
      </c>
      <c r="B200" s="13">
        <v>102</v>
      </c>
      <c r="C200" s="13"/>
      <c r="D200" s="13"/>
      <c r="E200" s="13"/>
      <c r="F200" s="13"/>
      <c r="G200" s="13"/>
      <c r="H200" s="13"/>
      <c r="I200" s="13"/>
      <c r="J200" s="13"/>
      <c r="K200" s="13">
        <f t="shared" ref="K200:K205" si="49">SUM(B200:J200)</f>
        <v>102</v>
      </c>
      <c r="L200" s="472">
        <v>3670051.5996000003</v>
      </c>
      <c r="M200" s="13">
        <v>106</v>
      </c>
      <c r="N200" s="13"/>
      <c r="O200" s="13"/>
      <c r="P200" s="13"/>
      <c r="Q200" s="13"/>
      <c r="R200" s="13"/>
      <c r="S200" s="13"/>
      <c r="T200" s="13"/>
      <c r="U200" s="13"/>
      <c r="V200" s="13">
        <f t="shared" ref="V200:V205" si="50">SUM(M200:U200)</f>
        <v>106</v>
      </c>
      <c r="W200" s="472">
        <v>4082789.1898000003</v>
      </c>
      <c r="AA200" s="68"/>
      <c r="AB200" s="68"/>
    </row>
    <row r="201" spans="1:28">
      <c r="A201" s="703" t="s">
        <v>6973</v>
      </c>
      <c r="B201" s="13">
        <v>81</v>
      </c>
      <c r="C201" s="13"/>
      <c r="D201" s="13"/>
      <c r="E201" s="13"/>
      <c r="F201" s="13"/>
      <c r="G201" s="13"/>
      <c r="H201" s="13"/>
      <c r="I201" s="13"/>
      <c r="J201" s="13"/>
      <c r="K201" s="13">
        <f t="shared" si="49"/>
        <v>81</v>
      </c>
      <c r="L201" s="472">
        <v>2909973.9552000002</v>
      </c>
      <c r="M201" s="13">
        <v>82</v>
      </c>
      <c r="N201" s="13"/>
      <c r="O201" s="13"/>
      <c r="P201" s="13"/>
      <c r="Q201" s="13"/>
      <c r="R201" s="13"/>
      <c r="S201" s="13"/>
      <c r="T201" s="13"/>
      <c r="U201" s="13"/>
      <c r="V201" s="13">
        <f t="shared" si="50"/>
        <v>82</v>
      </c>
      <c r="W201" s="472">
        <v>3095596.66756</v>
      </c>
      <c r="AA201" s="68"/>
      <c r="AB201" s="68"/>
    </row>
    <row r="202" spans="1:28">
      <c r="A202" s="703" t="s">
        <v>6972</v>
      </c>
      <c r="B202" s="13">
        <v>172</v>
      </c>
      <c r="C202" s="13"/>
      <c r="D202" s="13"/>
      <c r="E202" s="13"/>
      <c r="F202" s="13"/>
      <c r="G202" s="13"/>
      <c r="H202" s="13"/>
      <c r="I202" s="13"/>
      <c r="J202" s="13"/>
      <c r="K202" s="13">
        <f t="shared" si="49"/>
        <v>172</v>
      </c>
      <c r="L202" s="472">
        <v>6133821.8224000009</v>
      </c>
      <c r="M202" s="13">
        <v>172</v>
      </c>
      <c r="N202" s="13"/>
      <c r="O202" s="13"/>
      <c r="P202" s="13"/>
      <c r="Q202" s="13"/>
      <c r="R202" s="13"/>
      <c r="S202" s="13"/>
      <c r="T202" s="13"/>
      <c r="U202" s="13"/>
      <c r="V202" s="13">
        <f t="shared" si="50"/>
        <v>172</v>
      </c>
      <c r="W202" s="472">
        <v>6448520.0459200004</v>
      </c>
      <c r="AA202" s="68"/>
      <c r="AB202" s="68"/>
    </row>
    <row r="203" spans="1:28">
      <c r="A203" s="703" t="s">
        <v>6971</v>
      </c>
      <c r="B203" s="13">
        <v>60</v>
      </c>
      <c r="C203" s="13"/>
      <c r="D203" s="13"/>
      <c r="E203" s="13"/>
      <c r="F203" s="13"/>
      <c r="G203" s="13"/>
      <c r="H203" s="13"/>
      <c r="I203" s="13"/>
      <c r="J203" s="13"/>
      <c r="K203" s="13">
        <f t="shared" si="49"/>
        <v>60</v>
      </c>
      <c r="L203" s="472">
        <v>2137816.2000000002</v>
      </c>
      <c r="M203" s="13">
        <v>60</v>
      </c>
      <c r="N203" s="13"/>
      <c r="O203" s="13"/>
      <c r="P203" s="13"/>
      <c r="Q203" s="13"/>
      <c r="R203" s="13"/>
      <c r="S203" s="13"/>
      <c r="T203" s="13"/>
      <c r="U203" s="13"/>
      <c r="V203" s="13">
        <f t="shared" si="50"/>
        <v>60</v>
      </c>
      <c r="W203" s="472">
        <v>2227930.4004000002</v>
      </c>
      <c r="AA203" s="68"/>
      <c r="AB203" s="68"/>
    </row>
    <row r="204" spans="1:28">
      <c r="A204" s="703" t="s">
        <v>16</v>
      </c>
      <c r="B204" s="13">
        <v>42</v>
      </c>
      <c r="C204" s="13"/>
      <c r="D204" s="13"/>
      <c r="E204" s="13"/>
      <c r="F204" s="13"/>
      <c r="G204" s="13"/>
      <c r="H204" s="13"/>
      <c r="I204" s="13"/>
      <c r="J204" s="13"/>
      <c r="K204" s="13">
        <f t="shared" si="49"/>
        <v>42</v>
      </c>
      <c r="L204" s="472">
        <v>1473698.4</v>
      </c>
      <c r="M204" s="13">
        <v>41</v>
      </c>
      <c r="N204" s="13"/>
      <c r="O204" s="13"/>
      <c r="P204" s="13"/>
      <c r="Q204" s="13"/>
      <c r="R204" s="13"/>
      <c r="S204" s="13"/>
      <c r="T204" s="13"/>
      <c r="U204" s="13"/>
      <c r="V204" s="13">
        <f t="shared" si="50"/>
        <v>41</v>
      </c>
      <c r="W204" s="472">
        <v>1267580.11292</v>
      </c>
      <c r="AA204" s="68"/>
      <c r="AB204" s="68"/>
    </row>
    <row r="205" spans="1:28">
      <c r="A205" s="703" t="s">
        <v>6970</v>
      </c>
      <c r="B205" s="13">
        <v>60</v>
      </c>
      <c r="C205" s="13"/>
      <c r="D205" s="13"/>
      <c r="E205" s="13"/>
      <c r="F205" s="13"/>
      <c r="G205" s="13"/>
      <c r="H205" s="13"/>
      <c r="I205" s="13"/>
      <c r="J205" s="13"/>
      <c r="K205" s="13">
        <f t="shared" si="49"/>
        <v>60</v>
      </c>
      <c r="L205" s="472">
        <v>1963623.7823999997</v>
      </c>
      <c r="M205" s="13">
        <v>49</v>
      </c>
      <c r="N205" s="13"/>
      <c r="O205" s="13"/>
      <c r="P205" s="13"/>
      <c r="Q205" s="13"/>
      <c r="R205" s="13"/>
      <c r="S205" s="13"/>
      <c r="T205" s="13"/>
      <c r="U205" s="13"/>
      <c r="V205" s="13">
        <f t="shared" si="50"/>
        <v>49</v>
      </c>
      <c r="W205" s="472">
        <v>1793813.2592799999</v>
      </c>
      <c r="AA205" s="68"/>
      <c r="AB205" s="68"/>
    </row>
    <row r="206" spans="1:28">
      <c r="A206" s="705" t="s">
        <v>6</v>
      </c>
      <c r="B206" s="484">
        <f t="shared" ref="B206:W206" si="51">SUM(B207:B212)</f>
        <v>165</v>
      </c>
      <c r="C206" s="484">
        <f t="shared" si="51"/>
        <v>0</v>
      </c>
      <c r="D206" s="484">
        <f t="shared" si="51"/>
        <v>0</v>
      </c>
      <c r="E206" s="484">
        <f t="shared" si="51"/>
        <v>0</v>
      </c>
      <c r="F206" s="484">
        <f t="shared" si="51"/>
        <v>0</v>
      </c>
      <c r="G206" s="484">
        <f t="shared" si="51"/>
        <v>0</v>
      </c>
      <c r="H206" s="484">
        <f t="shared" si="51"/>
        <v>0</v>
      </c>
      <c r="I206" s="484">
        <f t="shared" si="51"/>
        <v>0</v>
      </c>
      <c r="J206" s="484">
        <f t="shared" si="51"/>
        <v>0</v>
      </c>
      <c r="K206" s="484">
        <f t="shared" si="51"/>
        <v>165</v>
      </c>
      <c r="L206" s="485">
        <f t="shared" si="51"/>
        <v>5715590.5431999993</v>
      </c>
      <c r="M206" s="484">
        <f t="shared" si="51"/>
        <v>166</v>
      </c>
      <c r="N206" s="484">
        <f t="shared" si="51"/>
        <v>0</v>
      </c>
      <c r="O206" s="484">
        <f t="shared" si="51"/>
        <v>0</v>
      </c>
      <c r="P206" s="484">
        <f t="shared" si="51"/>
        <v>0</v>
      </c>
      <c r="Q206" s="484">
        <f t="shared" si="51"/>
        <v>0</v>
      </c>
      <c r="R206" s="484">
        <f t="shared" si="51"/>
        <v>0</v>
      </c>
      <c r="S206" s="484">
        <f t="shared" si="51"/>
        <v>0</v>
      </c>
      <c r="T206" s="484">
        <f t="shared" si="51"/>
        <v>0</v>
      </c>
      <c r="U206" s="484">
        <f t="shared" si="51"/>
        <v>0</v>
      </c>
      <c r="V206" s="484">
        <f t="shared" si="51"/>
        <v>166</v>
      </c>
      <c r="W206" s="485">
        <f t="shared" si="51"/>
        <v>5464753.8377400003</v>
      </c>
      <c r="AA206" s="68"/>
      <c r="AB206" s="68"/>
    </row>
    <row r="207" spans="1:28">
      <c r="A207" s="703" t="s">
        <v>17</v>
      </c>
      <c r="B207" s="13">
        <v>25</v>
      </c>
      <c r="C207" s="13"/>
      <c r="D207" s="13"/>
      <c r="E207" s="13"/>
      <c r="F207" s="13"/>
      <c r="G207" s="13"/>
      <c r="H207" s="13"/>
      <c r="I207" s="13"/>
      <c r="J207" s="13"/>
      <c r="K207" s="13">
        <f t="shared" ref="K207:K212" si="52">SUM(B207:J207)</f>
        <v>25</v>
      </c>
      <c r="L207" s="472">
        <v>880051</v>
      </c>
      <c r="M207" s="13">
        <v>25</v>
      </c>
      <c r="N207" s="13"/>
      <c r="O207" s="13"/>
      <c r="P207" s="13"/>
      <c r="Q207" s="13"/>
      <c r="R207" s="13"/>
      <c r="S207" s="13"/>
      <c r="T207" s="13"/>
      <c r="U207" s="13"/>
      <c r="V207" s="13">
        <f t="shared" ref="V207:V212" si="53">SUM(M207:U207)</f>
        <v>25</v>
      </c>
      <c r="W207" s="472">
        <v>930434.97100000002</v>
      </c>
      <c r="AA207" s="68"/>
      <c r="AB207" s="68"/>
    </row>
    <row r="208" spans="1:28">
      <c r="A208" s="703" t="s">
        <v>6969</v>
      </c>
      <c r="B208" s="13">
        <v>85</v>
      </c>
      <c r="C208" s="13"/>
      <c r="D208" s="13"/>
      <c r="E208" s="13"/>
      <c r="F208" s="13"/>
      <c r="G208" s="13"/>
      <c r="H208" s="13"/>
      <c r="I208" s="13"/>
      <c r="J208" s="13"/>
      <c r="K208" s="13">
        <f t="shared" si="52"/>
        <v>85</v>
      </c>
      <c r="L208" s="472">
        <v>2980762.6359999999</v>
      </c>
      <c r="M208" s="13">
        <v>85</v>
      </c>
      <c r="N208" s="13"/>
      <c r="O208" s="13"/>
      <c r="P208" s="13"/>
      <c r="Q208" s="13"/>
      <c r="R208" s="13"/>
      <c r="S208" s="13"/>
      <c r="T208" s="13"/>
      <c r="U208" s="13"/>
      <c r="V208" s="13">
        <f t="shared" si="53"/>
        <v>85</v>
      </c>
      <c r="W208" s="472">
        <v>2610039.5473000002</v>
      </c>
      <c r="AA208" s="68"/>
      <c r="AB208" s="68"/>
    </row>
    <row r="209" spans="1:28">
      <c r="A209" s="703" t="s">
        <v>6968</v>
      </c>
      <c r="B209" s="13">
        <v>2</v>
      </c>
      <c r="C209" s="13"/>
      <c r="D209" s="13"/>
      <c r="E209" s="13"/>
      <c r="F209" s="13"/>
      <c r="G209" s="13"/>
      <c r="H209" s="13"/>
      <c r="I209" s="13"/>
      <c r="J209" s="13"/>
      <c r="K209" s="13">
        <f t="shared" si="52"/>
        <v>2</v>
      </c>
      <c r="L209" s="472">
        <v>58929.135199999997</v>
      </c>
      <c r="M209" s="13">
        <v>2</v>
      </c>
      <c r="N209" s="13"/>
      <c r="O209" s="13"/>
      <c r="P209" s="13"/>
      <c r="Q209" s="13"/>
      <c r="R209" s="13"/>
      <c r="S209" s="13"/>
      <c r="T209" s="13"/>
      <c r="U209" s="13"/>
      <c r="V209" s="13">
        <f t="shared" si="53"/>
        <v>2</v>
      </c>
      <c r="W209" s="472">
        <v>67904.001439999993</v>
      </c>
      <c r="AA209" s="68"/>
      <c r="AB209" s="68"/>
    </row>
    <row r="210" spans="1:28" hidden="1">
      <c r="A210" s="703" t="s">
        <v>6967</v>
      </c>
      <c r="B210" s="13">
        <v>0</v>
      </c>
      <c r="C210" s="13"/>
      <c r="D210" s="13"/>
      <c r="E210" s="13"/>
      <c r="F210" s="13"/>
      <c r="G210" s="13"/>
      <c r="H210" s="13"/>
      <c r="I210" s="13"/>
      <c r="J210" s="13"/>
      <c r="K210" s="13">
        <f t="shared" si="52"/>
        <v>0</v>
      </c>
      <c r="L210" s="472">
        <v>0</v>
      </c>
      <c r="M210" s="13"/>
      <c r="N210" s="13"/>
      <c r="O210" s="13"/>
      <c r="P210" s="13"/>
      <c r="Q210" s="13"/>
      <c r="R210" s="13"/>
      <c r="S210" s="13"/>
      <c r="T210" s="13"/>
      <c r="U210" s="13"/>
      <c r="V210" s="13">
        <f t="shared" si="53"/>
        <v>0</v>
      </c>
      <c r="W210" s="472">
        <v>0</v>
      </c>
      <c r="AA210" s="68"/>
      <c r="AB210" s="68"/>
    </row>
    <row r="211" spans="1:28">
      <c r="A211" s="703" t="s">
        <v>18</v>
      </c>
      <c r="B211" s="13">
        <v>53</v>
      </c>
      <c r="C211" s="13"/>
      <c r="D211" s="13"/>
      <c r="E211" s="13"/>
      <c r="F211" s="13"/>
      <c r="G211" s="13"/>
      <c r="H211" s="13"/>
      <c r="I211" s="13"/>
      <c r="J211" s="13"/>
      <c r="K211" s="13">
        <f t="shared" si="52"/>
        <v>53</v>
      </c>
      <c r="L211" s="472">
        <v>1795847.7719999999</v>
      </c>
      <c r="M211" s="13">
        <v>54</v>
      </c>
      <c r="N211" s="13"/>
      <c r="O211" s="13"/>
      <c r="P211" s="13"/>
      <c r="Q211" s="13"/>
      <c r="R211" s="13"/>
      <c r="S211" s="13"/>
      <c r="T211" s="13"/>
      <c r="U211" s="13"/>
      <c r="V211" s="13">
        <f t="shared" si="53"/>
        <v>54</v>
      </c>
      <c r="W211" s="472">
        <v>1856375.318</v>
      </c>
      <c r="AA211" s="68"/>
      <c r="AB211" s="68"/>
    </row>
    <row r="212" spans="1:28" hidden="1">
      <c r="A212" s="703" t="s">
        <v>6966</v>
      </c>
      <c r="B212" s="13"/>
      <c r="C212" s="13"/>
      <c r="D212" s="13"/>
      <c r="E212" s="13"/>
      <c r="F212" s="13"/>
      <c r="G212" s="13"/>
      <c r="H212" s="13"/>
      <c r="I212" s="13"/>
      <c r="J212" s="13"/>
      <c r="K212" s="13">
        <f t="shared" si="52"/>
        <v>0</v>
      </c>
      <c r="L212" s="472"/>
      <c r="M212" s="13"/>
      <c r="N212" s="13"/>
      <c r="O212" s="13"/>
      <c r="P212" s="13"/>
      <c r="Q212" s="13"/>
      <c r="R212" s="13"/>
      <c r="S212" s="13"/>
      <c r="T212" s="13"/>
      <c r="U212" s="13"/>
      <c r="V212" s="13">
        <f t="shared" si="53"/>
        <v>0</v>
      </c>
      <c r="W212" s="472"/>
      <c r="AA212" s="68"/>
      <c r="AB212" s="68"/>
    </row>
    <row r="213" spans="1:28">
      <c r="A213" s="704" t="s">
        <v>6965</v>
      </c>
      <c r="B213" s="482"/>
      <c r="C213" s="482"/>
      <c r="D213" s="482"/>
      <c r="E213" s="482"/>
      <c r="F213" s="482"/>
      <c r="G213" s="482"/>
      <c r="H213" s="482"/>
      <c r="I213" s="482"/>
      <c r="J213" s="482">
        <f>SUM(J214:J218)</f>
        <v>99</v>
      </c>
      <c r="K213" s="482">
        <f>SUM(K214:K218)</f>
        <v>99</v>
      </c>
      <c r="L213" s="474">
        <f>SUM(L214:L218)</f>
        <v>23910557.600884005</v>
      </c>
      <c r="M213" s="482">
        <f t="shared" ref="M213:T213" si="54">SUM(M214:M215)</f>
        <v>0</v>
      </c>
      <c r="N213" s="482">
        <f t="shared" si="54"/>
        <v>0</v>
      </c>
      <c r="O213" s="482">
        <f t="shared" si="54"/>
        <v>0</v>
      </c>
      <c r="P213" s="482">
        <f t="shared" si="54"/>
        <v>0</v>
      </c>
      <c r="Q213" s="482">
        <f t="shared" si="54"/>
        <v>0</v>
      </c>
      <c r="R213" s="482">
        <f t="shared" si="54"/>
        <v>0</v>
      </c>
      <c r="S213" s="482">
        <f t="shared" si="54"/>
        <v>0</v>
      </c>
      <c r="T213" s="482">
        <f t="shared" si="54"/>
        <v>0</v>
      </c>
      <c r="U213" s="482">
        <f>SUM(U214:U218)</f>
        <v>58</v>
      </c>
      <c r="V213" s="482">
        <f>SUM(V214:V218)</f>
        <v>58</v>
      </c>
      <c r="W213" s="474">
        <f>SUM(W214:W218)</f>
        <v>16289816.15</v>
      </c>
      <c r="AA213" s="68"/>
      <c r="AB213" s="68"/>
    </row>
    <row r="214" spans="1:28">
      <c r="A214" s="703" t="s">
        <v>6964</v>
      </c>
      <c r="B214" s="13"/>
      <c r="C214" s="13"/>
      <c r="D214" s="13"/>
      <c r="E214" s="13"/>
      <c r="F214" s="13"/>
      <c r="G214" s="13"/>
      <c r="H214" s="13"/>
      <c r="I214" s="13"/>
      <c r="J214" s="13">
        <v>41</v>
      </c>
      <c r="K214" s="13">
        <f>SUM(B214:J214)</f>
        <v>41</v>
      </c>
      <c r="L214" s="472">
        <v>14853937.610884003</v>
      </c>
      <c r="M214" s="13"/>
      <c r="N214" s="13"/>
      <c r="O214" s="13"/>
      <c r="P214" s="13"/>
      <c r="Q214" s="13"/>
      <c r="R214" s="13"/>
      <c r="S214" s="13"/>
      <c r="T214" s="13"/>
      <c r="U214" s="13">
        <v>40</v>
      </c>
      <c r="V214" s="13">
        <f>SUM(M214:U214)</f>
        <v>40</v>
      </c>
      <c r="W214" s="472">
        <v>15093516.98</v>
      </c>
      <c r="AA214" s="68"/>
      <c r="AB214" s="68"/>
    </row>
    <row r="215" spans="1:28">
      <c r="A215" s="703" t="s">
        <v>6963</v>
      </c>
      <c r="B215" s="13"/>
      <c r="C215" s="13"/>
      <c r="D215" s="13"/>
      <c r="E215" s="13"/>
      <c r="F215" s="13"/>
      <c r="G215" s="13"/>
      <c r="H215" s="13"/>
      <c r="I215" s="13"/>
      <c r="J215" s="13">
        <v>58</v>
      </c>
      <c r="K215" s="13">
        <f>SUM(B215:J215)</f>
        <v>58</v>
      </c>
      <c r="L215" s="472">
        <v>9056619.9900000002</v>
      </c>
      <c r="M215" s="13"/>
      <c r="N215" s="13"/>
      <c r="O215" s="13"/>
      <c r="P215" s="13"/>
      <c r="Q215" s="13"/>
      <c r="R215" s="13"/>
      <c r="S215" s="13"/>
      <c r="T215" s="13"/>
      <c r="U215" s="13">
        <v>18</v>
      </c>
      <c r="V215" s="13">
        <f>SUM(M215:U215)</f>
        <v>18</v>
      </c>
      <c r="W215" s="472">
        <v>1196299.17</v>
      </c>
      <c r="AA215" s="68"/>
      <c r="AB215" s="68"/>
    </row>
    <row r="216" spans="1:28" hidden="1">
      <c r="A216" s="703" t="s">
        <v>6962</v>
      </c>
      <c r="B216" s="13"/>
      <c r="C216" s="13"/>
      <c r="D216" s="13"/>
      <c r="E216" s="13"/>
      <c r="F216" s="13"/>
      <c r="G216" s="13"/>
      <c r="H216" s="13"/>
      <c r="I216" s="13"/>
      <c r="J216" s="13"/>
      <c r="K216" s="13">
        <f>SUM(B216:J216)</f>
        <v>0</v>
      </c>
      <c r="L216" s="472"/>
      <c r="M216" s="13"/>
      <c r="N216" s="13"/>
      <c r="O216" s="13"/>
      <c r="P216" s="13"/>
      <c r="Q216" s="13"/>
      <c r="R216" s="13"/>
      <c r="S216" s="13"/>
      <c r="T216" s="13"/>
      <c r="U216" s="13"/>
      <c r="V216" s="13">
        <f>SUM(M216:U216)</f>
        <v>0</v>
      </c>
      <c r="W216" s="472"/>
      <c r="AA216" s="68"/>
      <c r="AB216" s="68"/>
    </row>
    <row r="217" spans="1:28" hidden="1">
      <c r="A217" s="703" t="s">
        <v>6961</v>
      </c>
      <c r="B217" s="13"/>
      <c r="C217" s="13"/>
      <c r="D217" s="13"/>
      <c r="E217" s="13"/>
      <c r="F217" s="13"/>
      <c r="G217" s="13"/>
      <c r="H217" s="13"/>
      <c r="I217" s="13"/>
      <c r="J217" s="13"/>
      <c r="K217" s="13">
        <f>SUM(B217:J217)</f>
        <v>0</v>
      </c>
      <c r="L217" s="472"/>
      <c r="M217" s="13"/>
      <c r="N217" s="13"/>
      <c r="O217" s="13"/>
      <c r="P217" s="13"/>
      <c r="Q217" s="13"/>
      <c r="R217" s="13"/>
      <c r="S217" s="13"/>
      <c r="T217" s="13"/>
      <c r="U217" s="13"/>
      <c r="V217" s="13">
        <f>SUM(M217:U217)</f>
        <v>0</v>
      </c>
      <c r="W217" s="472"/>
      <c r="AA217" s="68"/>
      <c r="AB217" s="68"/>
    </row>
    <row r="218" spans="1:28" hidden="1">
      <c r="A218" s="703" t="s">
        <v>6960</v>
      </c>
      <c r="B218" s="13"/>
      <c r="C218" s="13"/>
      <c r="D218" s="13"/>
      <c r="E218" s="13"/>
      <c r="F218" s="13"/>
      <c r="G218" s="13"/>
      <c r="H218" s="13"/>
      <c r="I218" s="13"/>
      <c r="J218" s="13"/>
      <c r="K218" s="13">
        <f>SUM(B218:J218)</f>
        <v>0</v>
      </c>
      <c r="L218" s="16"/>
      <c r="M218" s="13"/>
      <c r="N218" s="13"/>
      <c r="O218" s="13"/>
      <c r="P218" s="13"/>
      <c r="Q218" s="13"/>
      <c r="R218" s="13"/>
      <c r="S218" s="13"/>
      <c r="T218" s="13"/>
      <c r="U218" s="13"/>
      <c r="V218" s="13">
        <f>SUM(M218:U218)</f>
        <v>0</v>
      </c>
      <c r="W218" s="472"/>
      <c r="AA218" s="68"/>
      <c r="AB218" s="68"/>
    </row>
    <row r="219" spans="1:28">
      <c r="A219" s="704" t="s">
        <v>56</v>
      </c>
      <c r="B219" s="482"/>
      <c r="C219" s="482"/>
      <c r="D219" s="482"/>
      <c r="E219" s="482"/>
      <c r="F219" s="482"/>
      <c r="G219" s="482"/>
      <c r="H219" s="482"/>
      <c r="I219" s="482"/>
      <c r="J219" s="475">
        <f>J220+J229+J238+J253+J258+J262+J266+J270+J274</f>
        <v>10631</v>
      </c>
      <c r="K219" s="475">
        <f>K220+K229+K238+K253+K258+K262+K266+K270+K274</f>
        <v>10631</v>
      </c>
      <c r="L219" s="474">
        <f t="shared" ref="L219:T219" si="55">L220+L229+L238+L253+L258+L262+L266+L270+L274+L278+L283+L287+L290</f>
        <v>460405590.30000001</v>
      </c>
      <c r="M219" s="482">
        <f t="shared" si="55"/>
        <v>0</v>
      </c>
      <c r="N219" s="482">
        <f t="shared" si="55"/>
        <v>0</v>
      </c>
      <c r="O219" s="482">
        <f t="shared" si="55"/>
        <v>0</v>
      </c>
      <c r="P219" s="482">
        <f t="shared" si="55"/>
        <v>0</v>
      </c>
      <c r="Q219" s="482">
        <f t="shared" si="55"/>
        <v>0</v>
      </c>
      <c r="R219" s="482">
        <f t="shared" si="55"/>
        <v>0</v>
      </c>
      <c r="S219" s="482">
        <f t="shared" si="55"/>
        <v>0</v>
      </c>
      <c r="T219" s="482">
        <f t="shared" si="55"/>
        <v>0</v>
      </c>
      <c r="U219" s="480">
        <f>U220+U229+U238+U253+U258+U262+U266+U270+U274</f>
        <v>10441</v>
      </c>
      <c r="V219" s="480">
        <f>V220+V229+V238+V253+V258+V262+V266+V270+V274</f>
        <v>10441</v>
      </c>
      <c r="W219" s="474">
        <f>W220+W229+W238+W253+W258+W262+W266+W270+W274+W278+W283+W287+W290</f>
        <v>444723675.44</v>
      </c>
      <c r="AA219" s="68"/>
      <c r="AB219" s="68"/>
    </row>
    <row r="220" spans="1:28">
      <c r="A220" s="705" t="s">
        <v>6959</v>
      </c>
      <c r="B220" s="484"/>
      <c r="C220" s="484"/>
      <c r="D220" s="484"/>
      <c r="E220" s="484"/>
      <c r="F220" s="484"/>
      <c r="G220" s="484"/>
      <c r="H220" s="484"/>
      <c r="I220" s="484"/>
      <c r="J220" s="491">
        <f t="shared" ref="J220:W220" si="56">SUM(J221:J228)</f>
        <v>1894</v>
      </c>
      <c r="K220" s="491">
        <f t="shared" si="56"/>
        <v>1894</v>
      </c>
      <c r="L220" s="485">
        <f t="shared" si="56"/>
        <v>146958386.87</v>
      </c>
      <c r="M220" s="484">
        <f t="shared" si="56"/>
        <v>0</v>
      </c>
      <c r="N220" s="484">
        <f t="shared" si="56"/>
        <v>0</v>
      </c>
      <c r="O220" s="484">
        <f t="shared" si="56"/>
        <v>0</v>
      </c>
      <c r="P220" s="484">
        <f t="shared" si="56"/>
        <v>0</v>
      </c>
      <c r="Q220" s="484">
        <f t="shared" si="56"/>
        <v>0</v>
      </c>
      <c r="R220" s="484">
        <f t="shared" si="56"/>
        <v>0</v>
      </c>
      <c r="S220" s="484">
        <f t="shared" si="56"/>
        <v>0</v>
      </c>
      <c r="T220" s="484">
        <f t="shared" si="56"/>
        <v>0</v>
      </c>
      <c r="U220" s="491">
        <f t="shared" si="56"/>
        <v>1795</v>
      </c>
      <c r="V220" s="491">
        <f t="shared" si="56"/>
        <v>1795</v>
      </c>
      <c r="W220" s="485">
        <f t="shared" si="56"/>
        <v>141157893.25</v>
      </c>
      <c r="AA220" s="68"/>
      <c r="AB220" s="68"/>
    </row>
    <row r="221" spans="1:28">
      <c r="A221" s="703" t="s">
        <v>6958</v>
      </c>
      <c r="B221" s="13"/>
      <c r="C221" s="13"/>
      <c r="D221" s="13"/>
      <c r="E221" s="13"/>
      <c r="F221" s="13"/>
      <c r="G221" s="13"/>
      <c r="H221" s="13"/>
      <c r="I221" s="13"/>
      <c r="J221" s="13">
        <v>10</v>
      </c>
      <c r="K221" s="13">
        <f t="shared" ref="K221:K228" si="57">SUM(B221:J221)</f>
        <v>10</v>
      </c>
      <c r="L221" s="472">
        <v>1984986.4000000001</v>
      </c>
      <c r="M221" s="13"/>
      <c r="N221" s="13"/>
      <c r="O221" s="13"/>
      <c r="P221" s="13"/>
      <c r="Q221" s="13"/>
      <c r="R221" s="13"/>
      <c r="S221" s="13"/>
      <c r="T221" s="13"/>
      <c r="U221" s="13">
        <v>10</v>
      </c>
      <c r="V221" s="13">
        <f t="shared" ref="V221:V228" si="58">SUM(M221:U221)</f>
        <v>10</v>
      </c>
      <c r="W221" s="472">
        <v>1954386.4000000001</v>
      </c>
      <c r="AA221" s="68"/>
      <c r="AB221" s="68"/>
    </row>
    <row r="222" spans="1:28">
      <c r="A222" s="703" t="s">
        <v>6957</v>
      </c>
      <c r="B222" s="13"/>
      <c r="C222" s="13"/>
      <c r="D222" s="13"/>
      <c r="E222" s="13"/>
      <c r="F222" s="13"/>
      <c r="G222" s="13"/>
      <c r="H222" s="13"/>
      <c r="I222" s="13"/>
      <c r="J222" s="13">
        <v>46</v>
      </c>
      <c r="K222" s="13">
        <f t="shared" si="57"/>
        <v>46</v>
      </c>
      <c r="L222" s="472">
        <v>7826239.3600000013</v>
      </c>
      <c r="M222" s="13"/>
      <c r="N222" s="13"/>
      <c r="O222" s="13"/>
      <c r="P222" s="13"/>
      <c r="Q222" s="13"/>
      <c r="R222" s="13"/>
      <c r="S222" s="13"/>
      <c r="T222" s="13"/>
      <c r="U222" s="13">
        <v>47</v>
      </c>
      <c r="V222" s="13">
        <f t="shared" si="58"/>
        <v>47</v>
      </c>
      <c r="W222" s="472">
        <v>7877431.5200000005</v>
      </c>
      <c r="AA222" s="68"/>
      <c r="AB222" s="68"/>
    </row>
    <row r="223" spans="1:28">
      <c r="A223" s="703" t="s">
        <v>6953</v>
      </c>
      <c r="B223" s="13"/>
      <c r="C223" s="13"/>
      <c r="D223" s="13"/>
      <c r="E223" s="13"/>
      <c r="F223" s="13"/>
      <c r="G223" s="13"/>
      <c r="H223" s="13"/>
      <c r="I223" s="13"/>
      <c r="J223" s="13">
        <v>302</v>
      </c>
      <c r="K223" s="13">
        <f t="shared" si="57"/>
        <v>302</v>
      </c>
      <c r="L223" s="472">
        <v>39196700.549999997</v>
      </c>
      <c r="M223" s="13"/>
      <c r="N223" s="13"/>
      <c r="O223" s="13"/>
      <c r="P223" s="13"/>
      <c r="Q223" s="13"/>
      <c r="R223" s="13"/>
      <c r="S223" s="13"/>
      <c r="T223" s="13"/>
      <c r="U223" s="13">
        <v>290</v>
      </c>
      <c r="V223" s="13">
        <f t="shared" si="58"/>
        <v>290</v>
      </c>
      <c r="W223" s="472">
        <v>38868561.409999996</v>
      </c>
      <c r="AA223" s="68"/>
      <c r="AB223" s="68"/>
    </row>
    <row r="224" spans="1:28">
      <c r="A224" s="703" t="s">
        <v>6952</v>
      </c>
      <c r="B224" s="13"/>
      <c r="C224" s="13"/>
      <c r="D224" s="13"/>
      <c r="E224" s="13"/>
      <c r="F224" s="13"/>
      <c r="G224" s="13"/>
      <c r="H224" s="13"/>
      <c r="I224" s="13"/>
      <c r="J224" s="13">
        <v>294</v>
      </c>
      <c r="K224" s="13">
        <f t="shared" si="57"/>
        <v>294</v>
      </c>
      <c r="L224" s="472">
        <v>26105395.679999996</v>
      </c>
      <c r="M224" s="13"/>
      <c r="N224" s="13"/>
      <c r="O224" s="13"/>
      <c r="P224" s="13"/>
      <c r="Q224" s="13"/>
      <c r="R224" s="13"/>
      <c r="S224" s="13"/>
      <c r="T224" s="13"/>
      <c r="U224" s="13">
        <v>287</v>
      </c>
      <c r="V224" s="13">
        <f t="shared" si="58"/>
        <v>287</v>
      </c>
      <c r="W224" s="472">
        <v>25033922.239999998</v>
      </c>
      <c r="AA224" s="68"/>
      <c r="AB224" s="68"/>
    </row>
    <row r="225" spans="1:28">
      <c r="A225" s="703" t="s">
        <v>6951</v>
      </c>
      <c r="B225" s="13"/>
      <c r="C225" s="13"/>
      <c r="D225" s="13"/>
      <c r="E225" s="13"/>
      <c r="F225" s="13"/>
      <c r="G225" s="13"/>
      <c r="H225" s="13"/>
      <c r="I225" s="13"/>
      <c r="J225" s="13">
        <v>351</v>
      </c>
      <c r="K225" s="13">
        <f t="shared" si="57"/>
        <v>351</v>
      </c>
      <c r="L225" s="472">
        <v>24085866.719999999</v>
      </c>
      <c r="M225" s="13"/>
      <c r="N225" s="13"/>
      <c r="O225" s="13"/>
      <c r="P225" s="13"/>
      <c r="Q225" s="13"/>
      <c r="R225" s="13"/>
      <c r="S225" s="13"/>
      <c r="T225" s="13"/>
      <c r="U225" s="13">
        <v>349</v>
      </c>
      <c r="V225" s="13">
        <f t="shared" si="58"/>
        <v>349</v>
      </c>
      <c r="W225" s="472">
        <v>23892120.880000003</v>
      </c>
      <c r="AA225" s="68"/>
      <c r="AB225" s="68"/>
    </row>
    <row r="226" spans="1:28">
      <c r="A226" s="703" t="s">
        <v>6950</v>
      </c>
      <c r="B226" s="13"/>
      <c r="C226" s="13"/>
      <c r="D226" s="13"/>
      <c r="E226" s="13"/>
      <c r="F226" s="13"/>
      <c r="G226" s="13"/>
      <c r="H226" s="13"/>
      <c r="I226" s="13"/>
      <c r="J226" s="13">
        <v>303</v>
      </c>
      <c r="K226" s="13">
        <f t="shared" si="57"/>
        <v>303</v>
      </c>
      <c r="L226" s="472">
        <v>17991133.200000003</v>
      </c>
      <c r="M226" s="13"/>
      <c r="N226" s="13"/>
      <c r="O226" s="13"/>
      <c r="P226" s="13"/>
      <c r="Q226" s="13"/>
      <c r="R226" s="13"/>
      <c r="S226" s="13"/>
      <c r="T226" s="13"/>
      <c r="U226" s="13">
        <v>312</v>
      </c>
      <c r="V226" s="13">
        <f t="shared" si="58"/>
        <v>312</v>
      </c>
      <c r="W226" s="472">
        <v>18253856.399999999</v>
      </c>
      <c r="AA226" s="68"/>
      <c r="AB226" s="68"/>
    </row>
    <row r="227" spans="1:28">
      <c r="A227" s="703" t="s">
        <v>6949</v>
      </c>
      <c r="B227" s="13"/>
      <c r="C227" s="13"/>
      <c r="D227" s="13"/>
      <c r="E227" s="13"/>
      <c r="F227" s="13"/>
      <c r="G227" s="13"/>
      <c r="H227" s="13"/>
      <c r="I227" s="13"/>
      <c r="J227" s="13">
        <v>280</v>
      </c>
      <c r="K227" s="13">
        <f t="shared" si="57"/>
        <v>280</v>
      </c>
      <c r="L227" s="472">
        <v>14814443.200000001</v>
      </c>
      <c r="M227" s="13"/>
      <c r="N227" s="13"/>
      <c r="O227" s="13"/>
      <c r="P227" s="13"/>
      <c r="Q227" s="13"/>
      <c r="R227" s="13"/>
      <c r="S227" s="13"/>
      <c r="T227" s="13"/>
      <c r="U227" s="13">
        <v>270</v>
      </c>
      <c r="V227" s="13">
        <f t="shared" si="58"/>
        <v>270</v>
      </c>
      <c r="W227" s="472">
        <v>14085748.799999999</v>
      </c>
      <c r="AA227" s="68"/>
      <c r="AB227" s="68"/>
    </row>
    <row r="228" spans="1:28">
      <c r="A228" s="703" t="s">
        <v>6948</v>
      </c>
      <c r="B228" s="13"/>
      <c r="C228" s="13"/>
      <c r="D228" s="13"/>
      <c r="E228" s="13"/>
      <c r="F228" s="13"/>
      <c r="G228" s="13"/>
      <c r="H228" s="13"/>
      <c r="I228" s="13"/>
      <c r="J228" s="13">
        <v>308</v>
      </c>
      <c r="K228" s="13">
        <f t="shared" si="57"/>
        <v>308</v>
      </c>
      <c r="L228" s="472">
        <v>14953621.759999998</v>
      </c>
      <c r="M228" s="13"/>
      <c r="N228" s="13"/>
      <c r="O228" s="13"/>
      <c r="P228" s="13"/>
      <c r="Q228" s="13"/>
      <c r="R228" s="13"/>
      <c r="S228" s="13"/>
      <c r="T228" s="13"/>
      <c r="U228" s="13">
        <v>230</v>
      </c>
      <c r="V228" s="13">
        <f t="shared" si="58"/>
        <v>230</v>
      </c>
      <c r="W228" s="472">
        <v>11191865.600000001</v>
      </c>
      <c r="AA228" s="68"/>
      <c r="AB228" s="68"/>
    </row>
    <row r="229" spans="1:28">
      <c r="A229" s="705" t="s">
        <v>6956</v>
      </c>
      <c r="B229" s="484"/>
      <c r="C229" s="484"/>
      <c r="D229" s="484"/>
      <c r="E229" s="484"/>
      <c r="F229" s="484"/>
      <c r="G229" s="484"/>
      <c r="H229" s="484"/>
      <c r="I229" s="484"/>
      <c r="J229" s="491">
        <f t="shared" ref="J229:W229" si="59">SUM(J230:J237)</f>
        <v>6365</v>
      </c>
      <c r="K229" s="484">
        <f t="shared" si="59"/>
        <v>6365</v>
      </c>
      <c r="L229" s="485">
        <f t="shared" si="59"/>
        <v>303657447.43000001</v>
      </c>
      <c r="M229" s="484">
        <f t="shared" si="59"/>
        <v>0</v>
      </c>
      <c r="N229" s="484">
        <f t="shared" si="59"/>
        <v>0</v>
      </c>
      <c r="O229" s="484">
        <f t="shared" si="59"/>
        <v>0</v>
      </c>
      <c r="P229" s="484">
        <f t="shared" si="59"/>
        <v>0</v>
      </c>
      <c r="Q229" s="484">
        <f t="shared" si="59"/>
        <v>0</v>
      </c>
      <c r="R229" s="484">
        <f t="shared" si="59"/>
        <v>0</v>
      </c>
      <c r="S229" s="484">
        <f t="shared" si="59"/>
        <v>0</v>
      </c>
      <c r="T229" s="484">
        <f t="shared" si="59"/>
        <v>0</v>
      </c>
      <c r="U229" s="484">
        <f t="shared" si="59"/>
        <v>6133</v>
      </c>
      <c r="V229" s="484">
        <f t="shared" si="59"/>
        <v>6133</v>
      </c>
      <c r="W229" s="485">
        <f t="shared" si="59"/>
        <v>292902921.14999998</v>
      </c>
      <c r="AA229" s="68"/>
      <c r="AB229" s="68"/>
    </row>
    <row r="230" spans="1:28">
      <c r="A230" s="703" t="s">
        <v>6955</v>
      </c>
      <c r="B230" s="13"/>
      <c r="C230" s="13"/>
      <c r="D230" s="13"/>
      <c r="E230" s="13"/>
      <c r="F230" s="13"/>
      <c r="G230" s="13"/>
      <c r="H230" s="13"/>
      <c r="I230" s="13"/>
      <c r="J230" s="13">
        <v>222</v>
      </c>
      <c r="K230" s="13">
        <f t="shared" ref="K230:K237" si="60">SUM(B230:J230)</f>
        <v>222</v>
      </c>
      <c r="L230" s="472">
        <v>12890009.279999997</v>
      </c>
      <c r="M230" s="13"/>
      <c r="N230" s="13"/>
      <c r="O230" s="13"/>
      <c r="P230" s="13"/>
      <c r="Q230" s="13"/>
      <c r="R230" s="13"/>
      <c r="S230" s="13"/>
      <c r="T230" s="13"/>
      <c r="U230" s="13">
        <v>218</v>
      </c>
      <c r="V230" s="13">
        <f t="shared" ref="V230:V237" si="61">SUM(M230:U230)</f>
        <v>218</v>
      </c>
      <c r="W230" s="472">
        <v>12654816.319999998</v>
      </c>
      <c r="AA230" s="68"/>
      <c r="AB230" s="68"/>
    </row>
    <row r="231" spans="1:28">
      <c r="A231" s="703" t="s">
        <v>6947</v>
      </c>
      <c r="B231" s="13"/>
      <c r="C231" s="13"/>
      <c r="D231" s="13"/>
      <c r="E231" s="13"/>
      <c r="F231" s="13"/>
      <c r="G231" s="13"/>
      <c r="H231" s="13"/>
      <c r="I231" s="13"/>
      <c r="J231" s="13">
        <v>558</v>
      </c>
      <c r="K231" s="13">
        <f t="shared" si="60"/>
        <v>558</v>
      </c>
      <c r="L231" s="472">
        <v>31477839.84</v>
      </c>
      <c r="M231" s="13"/>
      <c r="N231" s="13"/>
      <c r="O231" s="13"/>
      <c r="P231" s="13"/>
      <c r="Q231" s="13"/>
      <c r="R231" s="13"/>
      <c r="S231" s="13"/>
      <c r="T231" s="13"/>
      <c r="U231" s="13">
        <v>549</v>
      </c>
      <c r="V231" s="13">
        <f t="shared" si="61"/>
        <v>549</v>
      </c>
      <c r="W231" s="472">
        <v>30929729.519999996</v>
      </c>
      <c r="AA231" s="68"/>
      <c r="AB231" s="68"/>
    </row>
    <row r="232" spans="1:28">
      <c r="A232" s="703" t="s">
        <v>6946</v>
      </c>
      <c r="B232" s="13"/>
      <c r="C232" s="13"/>
      <c r="D232" s="13"/>
      <c r="E232" s="13"/>
      <c r="F232" s="13"/>
      <c r="G232" s="13"/>
      <c r="H232" s="13"/>
      <c r="I232" s="13"/>
      <c r="J232" s="13">
        <v>982</v>
      </c>
      <c r="K232" s="13">
        <f t="shared" si="60"/>
        <v>982</v>
      </c>
      <c r="L232" s="472">
        <v>51008214.630000003</v>
      </c>
      <c r="M232" s="13"/>
      <c r="N232" s="13"/>
      <c r="O232" s="13"/>
      <c r="P232" s="13"/>
      <c r="Q232" s="13"/>
      <c r="R232" s="13"/>
      <c r="S232" s="13"/>
      <c r="T232" s="13"/>
      <c r="U232" s="13">
        <v>983</v>
      </c>
      <c r="V232" s="13">
        <f t="shared" si="61"/>
        <v>983</v>
      </c>
      <c r="W232" s="472">
        <v>50869602.079999998</v>
      </c>
      <c r="AA232" s="68"/>
      <c r="AB232" s="68"/>
    </row>
    <row r="233" spans="1:28">
      <c r="A233" s="703" t="s">
        <v>6945</v>
      </c>
      <c r="B233" s="13"/>
      <c r="C233" s="13"/>
      <c r="D233" s="13"/>
      <c r="E233" s="13"/>
      <c r="F233" s="13"/>
      <c r="G233" s="13"/>
      <c r="H233" s="13"/>
      <c r="I233" s="13"/>
      <c r="J233" s="13">
        <v>958</v>
      </c>
      <c r="K233" s="13">
        <f t="shared" si="60"/>
        <v>958</v>
      </c>
      <c r="L233" s="472">
        <v>45929120.32</v>
      </c>
      <c r="M233" s="13"/>
      <c r="N233" s="13"/>
      <c r="O233" s="13"/>
      <c r="P233" s="13"/>
      <c r="Q233" s="13"/>
      <c r="R233" s="13"/>
      <c r="S233" s="13"/>
      <c r="T233" s="13"/>
      <c r="U233" s="13">
        <v>848</v>
      </c>
      <c r="V233" s="13">
        <f t="shared" si="61"/>
        <v>848</v>
      </c>
      <c r="W233" s="472">
        <v>40528425.920000002</v>
      </c>
      <c r="AA233" s="68"/>
      <c r="AB233" s="68"/>
    </row>
    <row r="234" spans="1:28">
      <c r="A234" s="703" t="s">
        <v>6944</v>
      </c>
      <c r="B234" s="13"/>
      <c r="C234" s="13"/>
      <c r="D234" s="13"/>
      <c r="E234" s="13"/>
      <c r="F234" s="13"/>
      <c r="G234" s="13"/>
      <c r="H234" s="13"/>
      <c r="I234" s="13"/>
      <c r="J234" s="13">
        <v>540</v>
      </c>
      <c r="K234" s="13">
        <f t="shared" si="60"/>
        <v>540</v>
      </c>
      <c r="L234" s="472">
        <v>25037668.799999997</v>
      </c>
      <c r="M234" s="13"/>
      <c r="N234" s="13"/>
      <c r="O234" s="13"/>
      <c r="P234" s="13"/>
      <c r="Q234" s="13"/>
      <c r="R234" s="13"/>
      <c r="S234" s="13"/>
      <c r="T234" s="13"/>
      <c r="U234" s="13">
        <v>641</v>
      </c>
      <c r="V234" s="13">
        <f t="shared" si="61"/>
        <v>641</v>
      </c>
      <c r="W234" s="472">
        <v>29304523.519999996</v>
      </c>
      <c r="AA234" s="68"/>
      <c r="AB234" s="68"/>
    </row>
    <row r="235" spans="1:28">
      <c r="A235" s="703" t="s">
        <v>6943</v>
      </c>
      <c r="B235" s="13"/>
      <c r="C235" s="13"/>
      <c r="D235" s="13"/>
      <c r="E235" s="13"/>
      <c r="F235" s="13"/>
      <c r="G235" s="13"/>
      <c r="H235" s="13"/>
      <c r="I235" s="13"/>
      <c r="J235" s="13">
        <v>955</v>
      </c>
      <c r="K235" s="13">
        <f t="shared" si="60"/>
        <v>955</v>
      </c>
      <c r="L235" s="472">
        <v>43144769.199999996</v>
      </c>
      <c r="M235" s="13"/>
      <c r="N235" s="13"/>
      <c r="O235" s="13"/>
      <c r="P235" s="13"/>
      <c r="Q235" s="13"/>
      <c r="R235" s="13"/>
      <c r="S235" s="13"/>
      <c r="T235" s="13"/>
      <c r="U235" s="13">
        <v>990</v>
      </c>
      <c r="V235" s="13">
        <f t="shared" si="61"/>
        <v>990</v>
      </c>
      <c r="W235" s="472">
        <v>44521165.549999997</v>
      </c>
      <c r="AA235" s="68"/>
      <c r="AB235" s="68"/>
    </row>
    <row r="236" spans="1:28">
      <c r="A236" s="703" t="s">
        <v>6942</v>
      </c>
      <c r="B236" s="13"/>
      <c r="C236" s="13"/>
      <c r="D236" s="13"/>
      <c r="E236" s="13"/>
      <c r="F236" s="13"/>
      <c r="G236" s="13"/>
      <c r="H236" s="13"/>
      <c r="I236" s="13"/>
      <c r="J236" s="13">
        <v>1063</v>
      </c>
      <c r="K236" s="13">
        <f t="shared" si="60"/>
        <v>1063</v>
      </c>
      <c r="L236" s="472">
        <v>47154389.199999996</v>
      </c>
      <c r="M236" s="13"/>
      <c r="N236" s="13"/>
      <c r="O236" s="13"/>
      <c r="P236" s="13"/>
      <c r="Q236" s="13"/>
      <c r="R236" s="13"/>
      <c r="S236" s="13"/>
      <c r="T236" s="13"/>
      <c r="U236" s="13">
        <v>1106</v>
      </c>
      <c r="V236" s="13">
        <f t="shared" si="61"/>
        <v>1106</v>
      </c>
      <c r="W236" s="472">
        <v>49080494.000000007</v>
      </c>
      <c r="AA236" s="68"/>
      <c r="AB236" s="68"/>
    </row>
    <row r="237" spans="1:28">
      <c r="A237" s="703" t="s">
        <v>6941</v>
      </c>
      <c r="B237" s="13"/>
      <c r="C237" s="13"/>
      <c r="D237" s="13"/>
      <c r="E237" s="13"/>
      <c r="F237" s="13"/>
      <c r="G237" s="13"/>
      <c r="H237" s="13"/>
      <c r="I237" s="13"/>
      <c r="J237" s="13">
        <v>1087</v>
      </c>
      <c r="K237" s="13">
        <f t="shared" si="60"/>
        <v>1087</v>
      </c>
      <c r="L237" s="472">
        <v>47015436.160000004</v>
      </c>
      <c r="M237" s="13"/>
      <c r="N237" s="13"/>
      <c r="O237" s="13"/>
      <c r="P237" s="13"/>
      <c r="Q237" s="13"/>
      <c r="R237" s="13"/>
      <c r="S237" s="13"/>
      <c r="T237" s="13"/>
      <c r="U237" s="13">
        <v>798</v>
      </c>
      <c r="V237" s="13">
        <f t="shared" si="61"/>
        <v>798</v>
      </c>
      <c r="W237" s="472">
        <v>35014164.240000002</v>
      </c>
      <c r="AA237" s="68"/>
      <c r="AB237" s="68"/>
    </row>
    <row r="238" spans="1:28" ht="24">
      <c r="A238" s="705" t="s">
        <v>6954</v>
      </c>
      <c r="B238" s="484"/>
      <c r="C238" s="484"/>
      <c r="D238" s="484"/>
      <c r="E238" s="484"/>
      <c r="F238" s="484"/>
      <c r="G238" s="484"/>
      <c r="H238" s="484"/>
      <c r="I238" s="484"/>
      <c r="J238" s="484">
        <f t="shared" ref="J238:W238" si="62">SUM(J239:J251)</f>
        <v>0</v>
      </c>
      <c r="K238" s="484">
        <f t="shared" si="62"/>
        <v>0</v>
      </c>
      <c r="L238" s="485">
        <f t="shared" si="62"/>
        <v>0</v>
      </c>
      <c r="M238" s="484">
        <f t="shared" si="62"/>
        <v>0</v>
      </c>
      <c r="N238" s="484">
        <f t="shared" si="62"/>
        <v>0</v>
      </c>
      <c r="O238" s="484">
        <f t="shared" si="62"/>
        <v>0</v>
      </c>
      <c r="P238" s="484">
        <f t="shared" si="62"/>
        <v>0</v>
      </c>
      <c r="Q238" s="484">
        <f t="shared" si="62"/>
        <v>0</v>
      </c>
      <c r="R238" s="484">
        <f t="shared" si="62"/>
        <v>0</v>
      </c>
      <c r="S238" s="484">
        <f t="shared" si="62"/>
        <v>0</v>
      </c>
      <c r="T238" s="484">
        <f t="shared" si="62"/>
        <v>0</v>
      </c>
      <c r="U238" s="484">
        <f t="shared" si="62"/>
        <v>13</v>
      </c>
      <c r="V238" s="484">
        <f t="shared" si="62"/>
        <v>13</v>
      </c>
      <c r="W238" s="485">
        <f t="shared" si="62"/>
        <v>780621.03999999992</v>
      </c>
      <c r="AA238" s="68"/>
      <c r="AB238" s="68"/>
    </row>
    <row r="239" spans="1:28" hidden="1">
      <c r="A239" s="703" t="s">
        <v>6953</v>
      </c>
      <c r="B239" s="13"/>
      <c r="C239" s="13"/>
      <c r="D239" s="13"/>
      <c r="E239" s="13"/>
      <c r="F239" s="13"/>
      <c r="G239" s="13"/>
      <c r="H239" s="13"/>
      <c r="I239" s="13"/>
      <c r="J239" s="13"/>
      <c r="K239" s="13">
        <f t="shared" ref="K239:K244" si="63">SUM(B239:J239)</f>
        <v>0</v>
      </c>
      <c r="L239" s="472"/>
      <c r="M239" s="13"/>
      <c r="N239" s="13"/>
      <c r="O239" s="13"/>
      <c r="P239" s="13"/>
      <c r="Q239" s="13"/>
      <c r="R239" s="13"/>
      <c r="S239" s="13"/>
      <c r="T239" s="13"/>
      <c r="U239" s="13"/>
      <c r="V239" s="13">
        <f t="shared" ref="V239:V251" si="64">SUM(M239:U239)</f>
        <v>0</v>
      </c>
      <c r="W239" s="472"/>
      <c r="AA239" s="68"/>
      <c r="AB239" s="68"/>
    </row>
    <row r="240" spans="1:28" hidden="1">
      <c r="A240" s="703" t="s">
        <v>6952</v>
      </c>
      <c r="B240" s="13"/>
      <c r="C240" s="13"/>
      <c r="D240" s="13"/>
      <c r="E240" s="13"/>
      <c r="F240" s="13"/>
      <c r="G240" s="13"/>
      <c r="H240" s="13"/>
      <c r="I240" s="13"/>
      <c r="J240" s="13"/>
      <c r="K240" s="13">
        <f t="shared" si="63"/>
        <v>0</v>
      </c>
      <c r="L240" s="472"/>
      <c r="M240" s="13"/>
      <c r="N240" s="13"/>
      <c r="O240" s="13"/>
      <c r="P240" s="13"/>
      <c r="Q240" s="13"/>
      <c r="R240" s="13"/>
      <c r="S240" s="13"/>
      <c r="T240" s="13"/>
      <c r="U240" s="13"/>
      <c r="V240" s="13">
        <f t="shared" si="64"/>
        <v>0</v>
      </c>
      <c r="W240" s="472"/>
      <c r="AA240" s="68"/>
      <c r="AB240" s="68"/>
    </row>
    <row r="241" spans="1:28">
      <c r="A241" s="703" t="s">
        <v>6951</v>
      </c>
      <c r="B241" s="13"/>
      <c r="C241" s="13"/>
      <c r="D241" s="13"/>
      <c r="E241" s="13"/>
      <c r="F241" s="13"/>
      <c r="G241" s="13"/>
      <c r="H241" s="13"/>
      <c r="I241" s="13"/>
      <c r="J241" s="13"/>
      <c r="K241" s="13">
        <f t="shared" si="63"/>
        <v>0</v>
      </c>
      <c r="L241" s="472"/>
      <c r="M241" s="13"/>
      <c r="N241" s="13"/>
      <c r="O241" s="13"/>
      <c r="P241" s="13"/>
      <c r="Q241" s="13"/>
      <c r="R241" s="13"/>
      <c r="S241" s="13"/>
      <c r="T241" s="13"/>
      <c r="U241" s="13">
        <v>2</v>
      </c>
      <c r="V241" s="13">
        <f t="shared" si="64"/>
        <v>2</v>
      </c>
      <c r="W241" s="472">
        <v>167829.44000000003</v>
      </c>
      <c r="AA241" s="68"/>
      <c r="AB241" s="68"/>
    </row>
    <row r="242" spans="1:28" hidden="1">
      <c r="A242" s="703" t="s">
        <v>6950</v>
      </c>
      <c r="B242" s="13"/>
      <c r="C242" s="13"/>
      <c r="D242" s="13"/>
      <c r="E242" s="13"/>
      <c r="F242" s="13"/>
      <c r="G242" s="13"/>
      <c r="H242" s="13"/>
      <c r="I242" s="13"/>
      <c r="J242" s="13"/>
      <c r="K242" s="13">
        <f t="shared" si="63"/>
        <v>0</v>
      </c>
      <c r="L242" s="472"/>
      <c r="M242" s="13"/>
      <c r="N242" s="13"/>
      <c r="O242" s="13"/>
      <c r="P242" s="13"/>
      <c r="Q242" s="13"/>
      <c r="R242" s="13"/>
      <c r="S242" s="13"/>
      <c r="T242" s="13"/>
      <c r="U242" s="13"/>
      <c r="V242" s="13">
        <f t="shared" si="64"/>
        <v>0</v>
      </c>
      <c r="W242" s="472"/>
      <c r="AA242" s="68"/>
      <c r="AB242" s="68"/>
    </row>
    <row r="243" spans="1:28" hidden="1">
      <c r="A243" s="703" t="s">
        <v>6949</v>
      </c>
      <c r="B243" s="13"/>
      <c r="C243" s="13"/>
      <c r="D243" s="13"/>
      <c r="E243" s="13"/>
      <c r="F243" s="13"/>
      <c r="G243" s="13"/>
      <c r="H243" s="13"/>
      <c r="I243" s="13"/>
      <c r="J243" s="13"/>
      <c r="K243" s="13">
        <f t="shared" si="63"/>
        <v>0</v>
      </c>
      <c r="L243" s="472"/>
      <c r="M243" s="13"/>
      <c r="N243" s="13"/>
      <c r="O243" s="13"/>
      <c r="P243" s="13"/>
      <c r="Q243" s="13"/>
      <c r="R243" s="13"/>
      <c r="S243" s="13"/>
      <c r="T243" s="13"/>
      <c r="U243" s="13"/>
      <c r="V243" s="13">
        <f t="shared" si="64"/>
        <v>0</v>
      </c>
      <c r="W243" s="472"/>
      <c r="AA243" s="68"/>
      <c r="AB243" s="68"/>
    </row>
    <row r="244" spans="1:28" hidden="1">
      <c r="A244" s="703" t="s">
        <v>6948</v>
      </c>
      <c r="B244" s="13"/>
      <c r="C244" s="13"/>
      <c r="D244" s="13"/>
      <c r="E244" s="13"/>
      <c r="F244" s="13"/>
      <c r="G244" s="13"/>
      <c r="H244" s="13"/>
      <c r="I244" s="13"/>
      <c r="J244" s="13"/>
      <c r="K244" s="13">
        <f t="shared" si="63"/>
        <v>0</v>
      </c>
      <c r="L244" s="472"/>
      <c r="M244" s="13"/>
      <c r="N244" s="13"/>
      <c r="O244" s="13"/>
      <c r="P244" s="13"/>
      <c r="Q244" s="13"/>
      <c r="R244" s="13"/>
      <c r="S244" s="13"/>
      <c r="T244" s="13"/>
      <c r="U244" s="13"/>
      <c r="V244" s="13">
        <f t="shared" si="64"/>
        <v>0</v>
      </c>
      <c r="W244" s="472"/>
      <c r="AA244" s="68"/>
      <c r="AB244" s="68"/>
    </row>
    <row r="245" spans="1:28" hidden="1">
      <c r="A245" s="703" t="s">
        <v>6947</v>
      </c>
      <c r="B245" s="13"/>
      <c r="C245" s="13"/>
      <c r="D245" s="13"/>
      <c r="E245" s="13"/>
      <c r="F245" s="13"/>
      <c r="G245" s="13"/>
      <c r="H245" s="13"/>
      <c r="I245" s="13"/>
      <c r="J245" s="13"/>
      <c r="K245" s="13"/>
      <c r="L245" s="472"/>
      <c r="M245" s="13"/>
      <c r="N245" s="13"/>
      <c r="O245" s="13"/>
      <c r="P245" s="13"/>
      <c r="Q245" s="13"/>
      <c r="R245" s="13"/>
      <c r="S245" s="13"/>
      <c r="T245" s="13"/>
      <c r="U245" s="13"/>
      <c r="V245" s="13">
        <f t="shared" si="64"/>
        <v>0</v>
      </c>
      <c r="W245" s="472"/>
      <c r="AA245" s="68"/>
      <c r="AB245" s="68"/>
    </row>
    <row r="246" spans="1:28">
      <c r="A246" s="703" t="s">
        <v>6946</v>
      </c>
      <c r="B246" s="13"/>
      <c r="C246" s="13"/>
      <c r="D246" s="13"/>
      <c r="E246" s="13"/>
      <c r="F246" s="13"/>
      <c r="G246" s="13"/>
      <c r="H246" s="13"/>
      <c r="I246" s="13"/>
      <c r="J246" s="13"/>
      <c r="K246" s="13">
        <f t="shared" ref="K246:K251" si="65">SUM(B246:J246)</f>
        <v>0</v>
      </c>
      <c r="L246" s="472"/>
      <c r="M246" s="13"/>
      <c r="N246" s="13"/>
      <c r="O246" s="13"/>
      <c r="P246" s="13"/>
      <c r="Q246" s="13"/>
      <c r="R246" s="13"/>
      <c r="S246" s="13"/>
      <c r="T246" s="13"/>
      <c r="U246" s="13">
        <v>2</v>
      </c>
      <c r="V246" s="13">
        <f t="shared" si="64"/>
        <v>2</v>
      </c>
      <c r="W246" s="472">
        <v>118771.52</v>
      </c>
      <c r="AA246" s="68"/>
      <c r="AB246" s="68"/>
    </row>
    <row r="247" spans="1:28">
      <c r="A247" s="703" t="s">
        <v>6945</v>
      </c>
      <c r="B247" s="13"/>
      <c r="C247" s="13"/>
      <c r="D247" s="13"/>
      <c r="E247" s="13"/>
      <c r="F247" s="13"/>
      <c r="G247" s="13"/>
      <c r="H247" s="13"/>
      <c r="I247" s="13"/>
      <c r="J247" s="13"/>
      <c r="K247" s="13">
        <f t="shared" si="65"/>
        <v>0</v>
      </c>
      <c r="L247" s="472"/>
      <c r="M247" s="13"/>
      <c r="N247" s="13"/>
      <c r="O247" s="13"/>
      <c r="P247" s="13"/>
      <c r="Q247" s="13"/>
      <c r="R247" s="13"/>
      <c r="S247" s="13"/>
      <c r="T247" s="13"/>
      <c r="U247" s="13">
        <v>1</v>
      </c>
      <c r="V247" s="13">
        <f t="shared" si="64"/>
        <v>1</v>
      </c>
      <c r="W247" s="472">
        <v>57279.040000000008</v>
      </c>
      <c r="AA247" s="68"/>
      <c r="AB247" s="68"/>
    </row>
    <row r="248" spans="1:28">
      <c r="A248" s="703" t="s">
        <v>6944</v>
      </c>
      <c r="B248" s="13"/>
      <c r="C248" s="13"/>
      <c r="D248" s="13"/>
      <c r="E248" s="13"/>
      <c r="F248" s="13"/>
      <c r="G248" s="13"/>
      <c r="H248" s="13"/>
      <c r="I248" s="13"/>
      <c r="J248" s="13"/>
      <c r="K248" s="13">
        <f t="shared" si="65"/>
        <v>0</v>
      </c>
      <c r="L248" s="472"/>
      <c r="M248" s="13"/>
      <c r="N248" s="13"/>
      <c r="O248" s="13"/>
      <c r="P248" s="13"/>
      <c r="Q248" s="13"/>
      <c r="R248" s="13"/>
      <c r="S248" s="13"/>
      <c r="T248" s="13"/>
      <c r="U248" s="13">
        <v>1</v>
      </c>
      <c r="V248" s="13">
        <f t="shared" si="64"/>
        <v>1</v>
      </c>
      <c r="W248" s="472">
        <v>55582.719999999994</v>
      </c>
      <c r="AA248" s="68"/>
      <c r="AB248" s="68"/>
    </row>
    <row r="249" spans="1:28">
      <c r="A249" s="703" t="s">
        <v>6943</v>
      </c>
      <c r="B249" s="13"/>
      <c r="C249" s="13"/>
      <c r="D249" s="13"/>
      <c r="E249" s="13"/>
      <c r="F249" s="13"/>
      <c r="G249" s="13"/>
      <c r="H249" s="13"/>
      <c r="I249" s="13"/>
      <c r="J249" s="13"/>
      <c r="K249" s="13">
        <f t="shared" si="65"/>
        <v>0</v>
      </c>
      <c r="L249" s="472"/>
      <c r="M249" s="13"/>
      <c r="N249" s="13"/>
      <c r="O249" s="13"/>
      <c r="P249" s="13"/>
      <c r="Q249" s="13"/>
      <c r="R249" s="13"/>
      <c r="S249" s="13"/>
      <c r="T249" s="13"/>
      <c r="U249" s="13">
        <v>3</v>
      </c>
      <c r="V249" s="13">
        <f t="shared" si="64"/>
        <v>3</v>
      </c>
      <c r="W249" s="472">
        <v>164244.72</v>
      </c>
      <c r="AA249" s="68"/>
      <c r="AB249" s="68"/>
    </row>
    <row r="250" spans="1:28">
      <c r="A250" s="703" t="s">
        <v>6942</v>
      </c>
      <c r="B250" s="13"/>
      <c r="C250" s="13"/>
      <c r="D250" s="13"/>
      <c r="E250" s="13"/>
      <c r="F250" s="13"/>
      <c r="G250" s="13"/>
      <c r="H250" s="13"/>
      <c r="I250" s="13"/>
      <c r="J250" s="13"/>
      <c r="K250" s="13">
        <f t="shared" si="65"/>
        <v>0</v>
      </c>
      <c r="L250" s="472"/>
      <c r="M250" s="13"/>
      <c r="N250" s="13"/>
      <c r="O250" s="13"/>
      <c r="P250" s="13"/>
      <c r="Q250" s="13"/>
      <c r="R250" s="13"/>
      <c r="S250" s="13"/>
      <c r="T250" s="13"/>
      <c r="U250" s="13">
        <v>4</v>
      </c>
      <c r="V250" s="13">
        <f t="shared" si="64"/>
        <v>4</v>
      </c>
      <c r="W250" s="472">
        <v>216913.59999999998</v>
      </c>
      <c r="AA250" s="68"/>
      <c r="AB250" s="68"/>
    </row>
    <row r="251" spans="1:28" hidden="1">
      <c r="A251" s="703" t="s">
        <v>6941</v>
      </c>
      <c r="B251" s="13"/>
      <c r="C251" s="13"/>
      <c r="D251" s="13"/>
      <c r="E251" s="13"/>
      <c r="F251" s="13"/>
      <c r="G251" s="13"/>
      <c r="H251" s="13"/>
      <c r="I251" s="13"/>
      <c r="J251" s="13"/>
      <c r="K251" s="13">
        <f t="shared" si="65"/>
        <v>0</v>
      </c>
      <c r="L251" s="472"/>
      <c r="M251" s="13"/>
      <c r="N251" s="13"/>
      <c r="O251" s="13"/>
      <c r="P251" s="13"/>
      <c r="Q251" s="13"/>
      <c r="R251" s="13"/>
      <c r="S251" s="13"/>
      <c r="T251" s="13"/>
      <c r="U251" s="13"/>
      <c r="V251" s="13">
        <f t="shared" si="64"/>
        <v>0</v>
      </c>
      <c r="W251" s="472"/>
      <c r="AA251" s="68"/>
      <c r="AB251" s="68"/>
    </row>
    <row r="252" spans="1:28">
      <c r="A252" s="707" t="s">
        <v>6940</v>
      </c>
      <c r="B252" s="493"/>
      <c r="C252" s="493"/>
      <c r="D252" s="493"/>
      <c r="E252" s="493"/>
      <c r="F252" s="493"/>
      <c r="G252" s="493"/>
      <c r="H252" s="493"/>
      <c r="I252" s="493"/>
      <c r="J252" s="494">
        <f>J253+J258+J262+J266+J270+J274</f>
        <v>2372</v>
      </c>
      <c r="K252" s="494">
        <f>K253+K258+K262+K266+K270+K274</f>
        <v>2372</v>
      </c>
      <c r="L252" s="492">
        <f t="shared" ref="L252:T252" si="66">L253+L258+L262+L266+L270+L274+L278+L283+L287+L290</f>
        <v>9789756</v>
      </c>
      <c r="M252" s="493">
        <f t="shared" si="66"/>
        <v>0</v>
      </c>
      <c r="N252" s="493">
        <f t="shared" si="66"/>
        <v>0</v>
      </c>
      <c r="O252" s="493">
        <f t="shared" si="66"/>
        <v>0</v>
      </c>
      <c r="P252" s="493">
        <f t="shared" si="66"/>
        <v>0</v>
      </c>
      <c r="Q252" s="493">
        <f t="shared" si="66"/>
        <v>0</v>
      </c>
      <c r="R252" s="493">
        <f t="shared" si="66"/>
        <v>0</v>
      </c>
      <c r="S252" s="493">
        <f t="shared" si="66"/>
        <v>0</v>
      </c>
      <c r="T252" s="493">
        <f t="shared" si="66"/>
        <v>0</v>
      </c>
      <c r="U252" s="493">
        <f>U253+U258+U262+U266+U270+U274</f>
        <v>2500</v>
      </c>
      <c r="V252" s="493">
        <f>V253+V258+V262+V266+V270+V274</f>
        <v>2500</v>
      </c>
      <c r="W252" s="492">
        <f>W253+W258+W262+W266+W270+W274+W278+W283+W287+W290</f>
        <v>9882240</v>
      </c>
      <c r="AA252" s="68"/>
      <c r="AB252" s="68"/>
    </row>
    <row r="253" spans="1:28">
      <c r="A253" s="705" t="s">
        <v>6939</v>
      </c>
      <c r="B253" s="484"/>
      <c r="C253" s="484"/>
      <c r="D253" s="484"/>
      <c r="E253" s="484"/>
      <c r="F253" s="484"/>
      <c r="G253" s="484"/>
      <c r="H253" s="484"/>
      <c r="I253" s="484"/>
      <c r="J253" s="491">
        <f t="shared" ref="J253:W253" si="67">SUM(J254:J257)</f>
        <v>1830</v>
      </c>
      <c r="K253" s="491">
        <f t="shared" si="67"/>
        <v>1830</v>
      </c>
      <c r="L253" s="485">
        <f t="shared" si="67"/>
        <v>6245736</v>
      </c>
      <c r="M253" s="484">
        <f t="shared" si="67"/>
        <v>0</v>
      </c>
      <c r="N253" s="484">
        <f t="shared" si="67"/>
        <v>0</v>
      </c>
      <c r="O253" s="484">
        <f t="shared" si="67"/>
        <v>0</v>
      </c>
      <c r="P253" s="484">
        <f t="shared" si="67"/>
        <v>0</v>
      </c>
      <c r="Q253" s="484">
        <f t="shared" si="67"/>
        <v>0</v>
      </c>
      <c r="R253" s="484">
        <f t="shared" si="67"/>
        <v>0</v>
      </c>
      <c r="S253" s="484">
        <f t="shared" si="67"/>
        <v>0</v>
      </c>
      <c r="T253" s="484">
        <f t="shared" si="67"/>
        <v>0</v>
      </c>
      <c r="U253" s="484">
        <f t="shared" si="67"/>
        <v>2010</v>
      </c>
      <c r="V253" s="484">
        <f t="shared" si="67"/>
        <v>2010</v>
      </c>
      <c r="W253" s="485">
        <f t="shared" si="67"/>
        <v>6688200</v>
      </c>
      <c r="AA253" s="68"/>
      <c r="AB253" s="68"/>
    </row>
    <row r="254" spans="1:28">
      <c r="A254" s="703" t="s">
        <v>6923</v>
      </c>
      <c r="B254" s="13"/>
      <c r="C254" s="13"/>
      <c r="D254" s="13"/>
      <c r="E254" s="13"/>
      <c r="F254" s="13"/>
      <c r="G254" s="13"/>
      <c r="H254" s="13"/>
      <c r="I254" s="13"/>
      <c r="J254" s="13">
        <v>51</v>
      </c>
      <c r="K254" s="13">
        <f>SUM(B254:J254)</f>
        <v>51</v>
      </c>
      <c r="L254" s="472">
        <v>223380</v>
      </c>
      <c r="M254" s="13"/>
      <c r="N254" s="13"/>
      <c r="O254" s="13"/>
      <c r="P254" s="13"/>
      <c r="Q254" s="13"/>
      <c r="R254" s="13"/>
      <c r="S254" s="13"/>
      <c r="T254" s="13"/>
      <c r="U254" s="13">
        <v>10</v>
      </c>
      <c r="V254" s="13">
        <f>SUM(M254:U254)</f>
        <v>10</v>
      </c>
      <c r="W254" s="472">
        <v>43800</v>
      </c>
      <c r="AA254" s="68"/>
      <c r="AB254" s="68"/>
    </row>
    <row r="255" spans="1:28">
      <c r="A255" s="703" t="s">
        <v>6925</v>
      </c>
      <c r="B255" s="13"/>
      <c r="C255" s="13"/>
      <c r="D255" s="13"/>
      <c r="E255" s="13"/>
      <c r="F255" s="13"/>
      <c r="G255" s="13"/>
      <c r="H255" s="13"/>
      <c r="I255" s="13"/>
      <c r="J255" s="13">
        <v>323</v>
      </c>
      <c r="K255" s="13">
        <f>SUM(B255:J255)</f>
        <v>323</v>
      </c>
      <c r="L255" s="472">
        <v>1275204</v>
      </c>
      <c r="M255" s="13"/>
      <c r="N255" s="13"/>
      <c r="O255" s="13"/>
      <c r="P255" s="13"/>
      <c r="Q255" s="13"/>
      <c r="R255" s="13"/>
      <c r="S255" s="13"/>
      <c r="T255" s="13"/>
      <c r="U255" s="13">
        <v>300</v>
      </c>
      <c r="V255" s="13">
        <f>SUM(M255:U255)</f>
        <v>300</v>
      </c>
      <c r="W255" s="472">
        <v>1184400</v>
      </c>
      <c r="AA255" s="68"/>
      <c r="AB255" s="68"/>
    </row>
    <row r="256" spans="1:28">
      <c r="A256" s="703" t="s">
        <v>6927</v>
      </c>
      <c r="B256" s="13"/>
      <c r="C256" s="13"/>
      <c r="D256" s="13"/>
      <c r="E256" s="13"/>
      <c r="F256" s="13"/>
      <c r="G256" s="13"/>
      <c r="H256" s="13"/>
      <c r="I256" s="13"/>
      <c r="J256" s="13">
        <v>635</v>
      </c>
      <c r="K256" s="13">
        <f>SUM(B256:J256)</f>
        <v>635</v>
      </c>
      <c r="L256" s="472">
        <v>2225040</v>
      </c>
      <c r="M256" s="13"/>
      <c r="N256" s="13"/>
      <c r="O256" s="13"/>
      <c r="P256" s="13"/>
      <c r="Q256" s="13"/>
      <c r="R256" s="13"/>
      <c r="S256" s="13"/>
      <c r="T256" s="13"/>
      <c r="U256" s="13">
        <v>550</v>
      </c>
      <c r="V256" s="13">
        <f>SUM(M256:U256)</f>
        <v>550</v>
      </c>
      <c r="W256" s="472">
        <v>1927200</v>
      </c>
      <c r="AA256" s="68"/>
      <c r="AB256" s="68"/>
    </row>
    <row r="257" spans="1:28">
      <c r="A257" s="703" t="s">
        <v>6929</v>
      </c>
      <c r="B257" s="13"/>
      <c r="C257" s="13"/>
      <c r="D257" s="13"/>
      <c r="E257" s="13"/>
      <c r="F257" s="13"/>
      <c r="G257" s="13"/>
      <c r="H257" s="13"/>
      <c r="I257" s="13"/>
      <c r="J257" s="13">
        <v>821</v>
      </c>
      <c r="K257" s="13">
        <f>SUM(B257:J257)</f>
        <v>821</v>
      </c>
      <c r="L257" s="472">
        <v>2522112</v>
      </c>
      <c r="M257" s="13"/>
      <c r="N257" s="13"/>
      <c r="O257" s="13"/>
      <c r="P257" s="13"/>
      <c r="Q257" s="13"/>
      <c r="R257" s="13"/>
      <c r="S257" s="13"/>
      <c r="T257" s="13"/>
      <c r="U257" s="13">
        <v>1150</v>
      </c>
      <c r="V257" s="13">
        <f>SUM(M257:U257)</f>
        <v>1150</v>
      </c>
      <c r="W257" s="472">
        <v>3532800</v>
      </c>
      <c r="AA257" s="68"/>
      <c r="AB257" s="68"/>
    </row>
    <row r="258" spans="1:28">
      <c r="A258" s="705" t="s">
        <v>6938</v>
      </c>
      <c r="B258" s="484"/>
      <c r="C258" s="484"/>
      <c r="D258" s="484"/>
      <c r="E258" s="484"/>
      <c r="F258" s="484"/>
      <c r="G258" s="484"/>
      <c r="H258" s="484"/>
      <c r="I258" s="484"/>
      <c r="J258" s="484">
        <f t="shared" ref="J258:W258" si="68">SUM(J259:J261)</f>
        <v>390</v>
      </c>
      <c r="K258" s="484">
        <f t="shared" si="68"/>
        <v>390</v>
      </c>
      <c r="L258" s="485">
        <f t="shared" si="68"/>
        <v>2420760</v>
      </c>
      <c r="M258" s="484">
        <f t="shared" si="68"/>
        <v>0</v>
      </c>
      <c r="N258" s="484">
        <f t="shared" si="68"/>
        <v>0</v>
      </c>
      <c r="O258" s="484">
        <f t="shared" si="68"/>
        <v>0</v>
      </c>
      <c r="P258" s="484">
        <f t="shared" si="68"/>
        <v>0</v>
      </c>
      <c r="Q258" s="484">
        <f t="shared" si="68"/>
        <v>0</v>
      </c>
      <c r="R258" s="484">
        <f t="shared" si="68"/>
        <v>0</v>
      </c>
      <c r="S258" s="484">
        <f t="shared" si="68"/>
        <v>0</v>
      </c>
      <c r="T258" s="484">
        <f t="shared" si="68"/>
        <v>0</v>
      </c>
      <c r="U258" s="484">
        <f t="shared" si="68"/>
        <v>370</v>
      </c>
      <c r="V258" s="484">
        <f t="shared" si="68"/>
        <v>370</v>
      </c>
      <c r="W258" s="485">
        <f t="shared" si="68"/>
        <v>2274720</v>
      </c>
      <c r="AA258" s="68"/>
      <c r="AB258" s="68"/>
    </row>
    <row r="259" spans="1:28">
      <c r="A259" s="703" t="s">
        <v>6933</v>
      </c>
      <c r="B259" s="13"/>
      <c r="C259" s="13"/>
      <c r="D259" s="13"/>
      <c r="E259" s="13"/>
      <c r="F259" s="13"/>
      <c r="G259" s="13"/>
      <c r="H259" s="13"/>
      <c r="I259" s="13"/>
      <c r="J259" s="13">
        <v>211</v>
      </c>
      <c r="K259" s="13">
        <f>SUM(B259:J259)</f>
        <v>211</v>
      </c>
      <c r="L259" s="472">
        <v>1387536</v>
      </c>
      <c r="M259" s="13"/>
      <c r="N259" s="13"/>
      <c r="O259" s="13"/>
      <c r="P259" s="13"/>
      <c r="Q259" s="13"/>
      <c r="R259" s="13"/>
      <c r="S259" s="13"/>
      <c r="T259" s="13"/>
      <c r="U259" s="13">
        <v>180</v>
      </c>
      <c r="V259" s="13">
        <f>SUM(M259:U259)</f>
        <v>180</v>
      </c>
      <c r="W259" s="472">
        <v>1183680</v>
      </c>
      <c r="AA259" s="68"/>
      <c r="AB259" s="68"/>
    </row>
    <row r="260" spans="1:28">
      <c r="A260" s="703" t="s">
        <v>6932</v>
      </c>
      <c r="B260" s="13"/>
      <c r="C260" s="13"/>
      <c r="D260" s="13"/>
      <c r="E260" s="13"/>
      <c r="F260" s="13"/>
      <c r="G260" s="13"/>
      <c r="H260" s="13"/>
      <c r="I260" s="13"/>
      <c r="J260" s="13">
        <v>140</v>
      </c>
      <c r="K260" s="13">
        <f>SUM(B260:J260)</f>
        <v>140</v>
      </c>
      <c r="L260" s="472">
        <v>828240</v>
      </c>
      <c r="M260" s="13"/>
      <c r="N260" s="13"/>
      <c r="O260" s="13"/>
      <c r="P260" s="13"/>
      <c r="Q260" s="13"/>
      <c r="R260" s="13"/>
      <c r="S260" s="13"/>
      <c r="T260" s="13"/>
      <c r="U260" s="13">
        <v>140</v>
      </c>
      <c r="V260" s="13">
        <f>SUM(M260:U260)</f>
        <v>140</v>
      </c>
      <c r="W260" s="472">
        <v>828240</v>
      </c>
      <c r="AA260" s="68"/>
      <c r="AB260" s="68"/>
    </row>
    <row r="261" spans="1:28">
      <c r="A261" s="703" t="s">
        <v>6931</v>
      </c>
      <c r="B261" s="13"/>
      <c r="C261" s="13"/>
      <c r="D261" s="13"/>
      <c r="E261" s="13"/>
      <c r="F261" s="13"/>
      <c r="G261" s="13"/>
      <c r="H261" s="13"/>
      <c r="I261" s="13"/>
      <c r="J261" s="13">
        <v>39</v>
      </c>
      <c r="K261" s="13">
        <f>SUM(B261:J261)</f>
        <v>39</v>
      </c>
      <c r="L261" s="472">
        <v>204984</v>
      </c>
      <c r="M261" s="13"/>
      <c r="N261" s="13"/>
      <c r="O261" s="13"/>
      <c r="P261" s="13"/>
      <c r="Q261" s="13"/>
      <c r="R261" s="13"/>
      <c r="S261" s="13"/>
      <c r="T261" s="13"/>
      <c r="U261" s="13">
        <v>50</v>
      </c>
      <c r="V261" s="13">
        <f>SUM(M261:U261)</f>
        <v>50</v>
      </c>
      <c r="W261" s="472">
        <v>262800</v>
      </c>
      <c r="AA261" s="68"/>
      <c r="AB261" s="68"/>
    </row>
    <row r="262" spans="1:28">
      <c r="A262" s="705" t="s">
        <v>6937</v>
      </c>
      <c r="B262" s="484"/>
      <c r="C262" s="484"/>
      <c r="D262" s="484"/>
      <c r="E262" s="484"/>
      <c r="F262" s="484"/>
      <c r="G262" s="484"/>
      <c r="H262" s="484"/>
      <c r="I262" s="484"/>
      <c r="J262" s="484">
        <f t="shared" ref="J262:W262" si="69">SUM(J263:J265)</f>
        <v>119</v>
      </c>
      <c r="K262" s="484">
        <f t="shared" si="69"/>
        <v>119</v>
      </c>
      <c r="L262" s="485">
        <f t="shared" si="69"/>
        <v>855336</v>
      </c>
      <c r="M262" s="484">
        <f t="shared" si="69"/>
        <v>0</v>
      </c>
      <c r="N262" s="484">
        <f t="shared" si="69"/>
        <v>0</v>
      </c>
      <c r="O262" s="484">
        <f t="shared" si="69"/>
        <v>0</v>
      </c>
      <c r="P262" s="484">
        <f t="shared" si="69"/>
        <v>0</v>
      </c>
      <c r="Q262" s="484">
        <f t="shared" si="69"/>
        <v>0</v>
      </c>
      <c r="R262" s="484">
        <f t="shared" si="69"/>
        <v>0</v>
      </c>
      <c r="S262" s="484">
        <f t="shared" si="69"/>
        <v>0</v>
      </c>
      <c r="T262" s="484">
        <f t="shared" si="69"/>
        <v>0</v>
      </c>
      <c r="U262" s="484">
        <f t="shared" si="69"/>
        <v>70</v>
      </c>
      <c r="V262" s="484">
        <f t="shared" si="69"/>
        <v>70</v>
      </c>
      <c r="W262" s="485">
        <f t="shared" si="69"/>
        <v>505680</v>
      </c>
      <c r="AA262" s="68"/>
      <c r="AB262" s="68"/>
    </row>
    <row r="263" spans="1:28">
      <c r="A263" s="703" t="s">
        <v>6933</v>
      </c>
      <c r="B263" s="13"/>
      <c r="C263" s="13"/>
      <c r="D263" s="13"/>
      <c r="E263" s="13"/>
      <c r="F263" s="13"/>
      <c r="G263" s="13"/>
      <c r="H263" s="13"/>
      <c r="I263" s="13"/>
      <c r="J263" s="13">
        <v>113</v>
      </c>
      <c r="K263" s="13">
        <f>SUM(B263:J263)</f>
        <v>113</v>
      </c>
      <c r="L263" s="472">
        <v>816312</v>
      </c>
      <c r="M263" s="13"/>
      <c r="N263" s="13"/>
      <c r="O263" s="13"/>
      <c r="P263" s="13"/>
      <c r="Q263" s="13"/>
      <c r="R263" s="13"/>
      <c r="S263" s="13"/>
      <c r="T263" s="13"/>
      <c r="U263" s="13">
        <v>70</v>
      </c>
      <c r="V263" s="13">
        <f>SUM(M263:U263)</f>
        <v>70</v>
      </c>
      <c r="W263" s="472">
        <v>505680</v>
      </c>
      <c r="AA263" s="68"/>
      <c r="AB263" s="68"/>
    </row>
    <row r="264" spans="1:28">
      <c r="A264" s="703" t="s">
        <v>6932</v>
      </c>
      <c r="B264" s="13"/>
      <c r="C264" s="13"/>
      <c r="D264" s="13"/>
      <c r="E264" s="13"/>
      <c r="F264" s="13"/>
      <c r="G264" s="13"/>
      <c r="H264" s="13"/>
      <c r="I264" s="13"/>
      <c r="J264" s="13">
        <v>6</v>
      </c>
      <c r="K264" s="13">
        <f>SUM(B264:J264)</f>
        <v>6</v>
      </c>
      <c r="L264" s="472">
        <v>39024</v>
      </c>
      <c r="M264" s="13"/>
      <c r="N264" s="13"/>
      <c r="O264" s="13"/>
      <c r="P264" s="13"/>
      <c r="Q264" s="13"/>
      <c r="R264" s="13"/>
      <c r="S264" s="13"/>
      <c r="T264" s="13"/>
      <c r="U264" s="13"/>
      <c r="V264" s="13">
        <f>SUM(M264:U264)</f>
        <v>0</v>
      </c>
      <c r="W264" s="472"/>
      <c r="AA264" s="68"/>
      <c r="AB264" s="68"/>
    </row>
    <row r="265" spans="1:28" hidden="1">
      <c r="A265" s="703" t="s">
        <v>6931</v>
      </c>
      <c r="B265" s="13"/>
      <c r="C265" s="13"/>
      <c r="D265" s="13"/>
      <c r="E265" s="13"/>
      <c r="F265" s="13"/>
      <c r="G265" s="13"/>
      <c r="H265" s="13"/>
      <c r="I265" s="13"/>
      <c r="J265" s="13"/>
      <c r="K265" s="13">
        <f>SUM(B265:J265)</f>
        <v>0</v>
      </c>
      <c r="L265" s="472"/>
      <c r="M265" s="13"/>
      <c r="N265" s="13"/>
      <c r="O265" s="13"/>
      <c r="P265" s="13"/>
      <c r="Q265" s="13"/>
      <c r="R265" s="13"/>
      <c r="S265" s="13"/>
      <c r="T265" s="13"/>
      <c r="U265" s="13"/>
      <c r="V265" s="13">
        <f>SUM(M265:U265)</f>
        <v>0</v>
      </c>
      <c r="W265" s="472"/>
      <c r="AA265" s="68"/>
      <c r="AB265" s="68"/>
    </row>
    <row r="266" spans="1:28">
      <c r="A266" s="705" t="s">
        <v>6936</v>
      </c>
      <c r="B266" s="484"/>
      <c r="C266" s="484"/>
      <c r="D266" s="484"/>
      <c r="E266" s="484"/>
      <c r="F266" s="484"/>
      <c r="G266" s="484"/>
      <c r="H266" s="484"/>
      <c r="I266" s="484"/>
      <c r="J266" s="484">
        <f t="shared" ref="J266:W266" si="70">SUM(J267:J269)</f>
        <v>28</v>
      </c>
      <c r="K266" s="484">
        <f t="shared" si="70"/>
        <v>28</v>
      </c>
      <c r="L266" s="485">
        <f t="shared" si="70"/>
        <v>222432</v>
      </c>
      <c r="M266" s="484">
        <f t="shared" si="70"/>
        <v>0</v>
      </c>
      <c r="N266" s="484">
        <f t="shared" si="70"/>
        <v>0</v>
      </c>
      <c r="O266" s="484">
        <f t="shared" si="70"/>
        <v>0</v>
      </c>
      <c r="P266" s="484">
        <f t="shared" si="70"/>
        <v>0</v>
      </c>
      <c r="Q266" s="484">
        <f t="shared" si="70"/>
        <v>0</v>
      </c>
      <c r="R266" s="484">
        <f t="shared" si="70"/>
        <v>0</v>
      </c>
      <c r="S266" s="484">
        <f t="shared" si="70"/>
        <v>0</v>
      </c>
      <c r="T266" s="484">
        <f t="shared" si="70"/>
        <v>0</v>
      </c>
      <c r="U266" s="484">
        <f t="shared" si="70"/>
        <v>35</v>
      </c>
      <c r="V266" s="484">
        <f t="shared" si="70"/>
        <v>35</v>
      </c>
      <c r="W266" s="485">
        <f t="shared" si="70"/>
        <v>278040</v>
      </c>
      <c r="AA266" s="68"/>
      <c r="AB266" s="68"/>
    </row>
    <row r="267" spans="1:28">
      <c r="A267" s="703" t="s">
        <v>6933</v>
      </c>
      <c r="B267" s="13"/>
      <c r="C267" s="13"/>
      <c r="D267" s="13"/>
      <c r="E267" s="13"/>
      <c r="F267" s="13"/>
      <c r="G267" s="13"/>
      <c r="H267" s="13"/>
      <c r="I267" s="13"/>
      <c r="J267" s="13">
        <v>28</v>
      </c>
      <c r="K267" s="13">
        <f>SUM(B267:J267)</f>
        <v>28</v>
      </c>
      <c r="L267" s="472">
        <v>222432</v>
      </c>
      <c r="M267" s="13"/>
      <c r="N267" s="13"/>
      <c r="O267" s="13"/>
      <c r="P267" s="13"/>
      <c r="Q267" s="13"/>
      <c r="R267" s="13"/>
      <c r="S267" s="13"/>
      <c r="T267" s="13"/>
      <c r="U267" s="13">
        <v>35</v>
      </c>
      <c r="V267" s="13">
        <f>SUM(M267:U267)</f>
        <v>35</v>
      </c>
      <c r="W267" s="472">
        <v>278040</v>
      </c>
      <c r="AA267" s="68"/>
      <c r="AB267" s="68"/>
    </row>
    <row r="268" spans="1:28" hidden="1">
      <c r="A268" s="703" t="s">
        <v>6932</v>
      </c>
      <c r="B268" s="13"/>
      <c r="C268" s="13"/>
      <c r="D268" s="13"/>
      <c r="E268" s="13"/>
      <c r="F268" s="13"/>
      <c r="G268" s="13"/>
      <c r="H268" s="13"/>
      <c r="I268" s="13"/>
      <c r="J268" s="13"/>
      <c r="K268" s="13">
        <f>SUM(B268:J268)</f>
        <v>0</v>
      </c>
      <c r="L268" s="472"/>
      <c r="M268" s="13"/>
      <c r="N268" s="13"/>
      <c r="O268" s="13"/>
      <c r="P268" s="13"/>
      <c r="Q268" s="13"/>
      <c r="R268" s="13"/>
      <c r="S268" s="13"/>
      <c r="T268" s="13"/>
      <c r="U268" s="13"/>
      <c r="V268" s="13">
        <f>SUM(M268:U268)</f>
        <v>0</v>
      </c>
      <c r="W268" s="472"/>
      <c r="AA268" s="68"/>
      <c r="AB268" s="68"/>
    </row>
    <row r="269" spans="1:28" hidden="1">
      <c r="A269" s="703" t="s">
        <v>6931</v>
      </c>
      <c r="B269" s="13"/>
      <c r="C269" s="13"/>
      <c r="D269" s="13"/>
      <c r="E269" s="13"/>
      <c r="F269" s="13"/>
      <c r="G269" s="13"/>
      <c r="H269" s="13"/>
      <c r="I269" s="13"/>
      <c r="J269" s="13"/>
      <c r="K269" s="13">
        <f>SUM(B269:J269)</f>
        <v>0</v>
      </c>
      <c r="L269" s="472">
        <v>0</v>
      </c>
      <c r="M269" s="13"/>
      <c r="N269" s="13"/>
      <c r="O269" s="13"/>
      <c r="P269" s="13"/>
      <c r="Q269" s="13"/>
      <c r="R269" s="13"/>
      <c r="S269" s="13"/>
      <c r="T269" s="13"/>
      <c r="U269" s="13"/>
      <c r="V269" s="13">
        <f>SUM(M269:U269)</f>
        <v>0</v>
      </c>
      <c r="W269" s="472">
        <v>0</v>
      </c>
      <c r="AA269" s="68"/>
      <c r="AB269" s="68"/>
    </row>
    <row r="270" spans="1:28">
      <c r="A270" s="705" t="s">
        <v>6935</v>
      </c>
      <c r="B270" s="484"/>
      <c r="C270" s="484"/>
      <c r="D270" s="484"/>
      <c r="E270" s="484"/>
      <c r="F270" s="484"/>
      <c r="G270" s="484"/>
      <c r="H270" s="484"/>
      <c r="I270" s="484"/>
      <c r="J270" s="484">
        <f t="shared" ref="J270:W270" si="71">SUM(J271:J273)</f>
        <v>3</v>
      </c>
      <c r="K270" s="484">
        <f t="shared" si="71"/>
        <v>3</v>
      </c>
      <c r="L270" s="485">
        <f t="shared" si="71"/>
        <v>26244</v>
      </c>
      <c r="M270" s="484">
        <f t="shared" si="71"/>
        <v>0</v>
      </c>
      <c r="N270" s="484">
        <f t="shared" si="71"/>
        <v>0</v>
      </c>
      <c r="O270" s="484">
        <f t="shared" si="71"/>
        <v>0</v>
      </c>
      <c r="P270" s="484">
        <f t="shared" si="71"/>
        <v>0</v>
      </c>
      <c r="Q270" s="484">
        <f t="shared" si="71"/>
        <v>0</v>
      </c>
      <c r="R270" s="484">
        <f t="shared" si="71"/>
        <v>0</v>
      </c>
      <c r="S270" s="484">
        <f t="shared" si="71"/>
        <v>0</v>
      </c>
      <c r="T270" s="484">
        <f t="shared" si="71"/>
        <v>0</v>
      </c>
      <c r="U270" s="484">
        <f t="shared" si="71"/>
        <v>10</v>
      </c>
      <c r="V270" s="484">
        <f t="shared" si="71"/>
        <v>10</v>
      </c>
      <c r="W270" s="485">
        <f t="shared" si="71"/>
        <v>87480</v>
      </c>
      <c r="AA270" s="68"/>
      <c r="AB270" s="68"/>
    </row>
    <row r="271" spans="1:28">
      <c r="A271" s="703" t="s">
        <v>6933</v>
      </c>
      <c r="B271" s="13"/>
      <c r="C271" s="13"/>
      <c r="D271" s="13"/>
      <c r="E271" s="13"/>
      <c r="F271" s="13"/>
      <c r="G271" s="13"/>
      <c r="H271" s="13"/>
      <c r="I271" s="13"/>
      <c r="J271" s="13">
        <v>3</v>
      </c>
      <c r="K271" s="13">
        <f>SUM(B271:J271)</f>
        <v>3</v>
      </c>
      <c r="L271" s="472">
        <v>26244</v>
      </c>
      <c r="M271" s="13"/>
      <c r="N271" s="13"/>
      <c r="O271" s="13"/>
      <c r="P271" s="13"/>
      <c r="Q271" s="13"/>
      <c r="R271" s="13"/>
      <c r="S271" s="13"/>
      <c r="T271" s="13"/>
      <c r="U271" s="13">
        <v>10</v>
      </c>
      <c r="V271" s="13">
        <f>SUM(M271:U271)</f>
        <v>10</v>
      </c>
      <c r="W271" s="472">
        <v>87480</v>
      </c>
      <c r="AA271" s="68"/>
      <c r="AB271" s="68"/>
    </row>
    <row r="272" spans="1:28" hidden="1">
      <c r="A272" s="703" t="s">
        <v>6932</v>
      </c>
      <c r="B272" s="13"/>
      <c r="C272" s="13"/>
      <c r="D272" s="13"/>
      <c r="E272" s="13"/>
      <c r="F272" s="13"/>
      <c r="G272" s="13"/>
      <c r="H272" s="13"/>
      <c r="I272" s="13"/>
      <c r="J272" s="13"/>
      <c r="K272" s="13">
        <f>SUM(B272:J272)</f>
        <v>0</v>
      </c>
      <c r="L272" s="472"/>
      <c r="M272" s="13"/>
      <c r="N272" s="13"/>
      <c r="O272" s="13"/>
      <c r="P272" s="13"/>
      <c r="Q272" s="13"/>
      <c r="R272" s="13"/>
      <c r="S272" s="13"/>
      <c r="T272" s="13"/>
      <c r="U272" s="13"/>
      <c r="V272" s="13">
        <f>SUM(M272:U272)</f>
        <v>0</v>
      </c>
      <c r="W272" s="472"/>
      <c r="AA272" s="68"/>
      <c r="AB272" s="68"/>
    </row>
    <row r="273" spans="1:28" hidden="1">
      <c r="A273" s="703" t="s">
        <v>6931</v>
      </c>
      <c r="B273" s="13"/>
      <c r="C273" s="13"/>
      <c r="D273" s="13"/>
      <c r="E273" s="13"/>
      <c r="F273" s="13"/>
      <c r="G273" s="13"/>
      <c r="H273" s="13"/>
      <c r="I273" s="13"/>
      <c r="J273" s="13"/>
      <c r="K273" s="13">
        <f>SUM(B273:J273)</f>
        <v>0</v>
      </c>
      <c r="L273" s="472"/>
      <c r="M273" s="13"/>
      <c r="N273" s="13"/>
      <c r="O273" s="13"/>
      <c r="P273" s="13"/>
      <c r="Q273" s="13"/>
      <c r="R273" s="13"/>
      <c r="S273" s="13"/>
      <c r="T273" s="13"/>
      <c r="U273" s="13"/>
      <c r="V273" s="13">
        <f>SUM(M273:U273)</f>
        <v>0</v>
      </c>
      <c r="W273" s="472"/>
      <c r="AA273" s="68"/>
      <c r="AB273" s="68"/>
    </row>
    <row r="274" spans="1:28">
      <c r="A274" s="705" t="s">
        <v>6934</v>
      </c>
      <c r="B274" s="484"/>
      <c r="C274" s="484"/>
      <c r="D274" s="484"/>
      <c r="E274" s="484"/>
      <c r="F274" s="484"/>
      <c r="G274" s="484"/>
      <c r="H274" s="484"/>
      <c r="I274" s="484"/>
      <c r="J274" s="484">
        <f t="shared" ref="J274:W274" si="72">SUM(J275:J277)</f>
        <v>2</v>
      </c>
      <c r="K274" s="484">
        <f t="shared" si="72"/>
        <v>2</v>
      </c>
      <c r="L274" s="485">
        <f t="shared" si="72"/>
        <v>19248</v>
      </c>
      <c r="M274" s="484">
        <f t="shared" si="72"/>
        <v>0</v>
      </c>
      <c r="N274" s="484">
        <f t="shared" si="72"/>
        <v>0</v>
      </c>
      <c r="O274" s="484">
        <f t="shared" si="72"/>
        <v>0</v>
      </c>
      <c r="P274" s="484">
        <f t="shared" si="72"/>
        <v>0</v>
      </c>
      <c r="Q274" s="484">
        <f t="shared" si="72"/>
        <v>0</v>
      </c>
      <c r="R274" s="484">
        <f t="shared" si="72"/>
        <v>0</v>
      </c>
      <c r="S274" s="484">
        <f t="shared" si="72"/>
        <v>0</v>
      </c>
      <c r="T274" s="484">
        <f t="shared" si="72"/>
        <v>0</v>
      </c>
      <c r="U274" s="484">
        <f t="shared" si="72"/>
        <v>5</v>
      </c>
      <c r="V274" s="484">
        <f t="shared" si="72"/>
        <v>5</v>
      </c>
      <c r="W274" s="485">
        <f t="shared" si="72"/>
        <v>48120</v>
      </c>
      <c r="AA274" s="68"/>
      <c r="AB274" s="68"/>
    </row>
    <row r="275" spans="1:28">
      <c r="A275" s="703" t="s">
        <v>6933</v>
      </c>
      <c r="B275" s="13"/>
      <c r="C275" s="13"/>
      <c r="D275" s="13"/>
      <c r="E275" s="13"/>
      <c r="F275" s="13"/>
      <c r="G275" s="13"/>
      <c r="H275" s="13"/>
      <c r="I275" s="13"/>
      <c r="J275" s="13">
        <v>2</v>
      </c>
      <c r="K275" s="13">
        <f>SUM(B275:J275)</f>
        <v>2</v>
      </c>
      <c r="L275" s="472">
        <v>19248</v>
      </c>
      <c r="M275" s="13"/>
      <c r="N275" s="13"/>
      <c r="O275" s="13"/>
      <c r="P275" s="13"/>
      <c r="Q275" s="13"/>
      <c r="R275" s="13"/>
      <c r="S275" s="13"/>
      <c r="T275" s="13"/>
      <c r="U275" s="13">
        <v>5</v>
      </c>
      <c r="V275" s="13">
        <f>SUM(M275:U275)</f>
        <v>5</v>
      </c>
      <c r="W275" s="472">
        <v>48120</v>
      </c>
      <c r="AA275" s="68"/>
      <c r="AB275" s="68"/>
    </row>
    <row r="276" spans="1:28" hidden="1">
      <c r="A276" s="703" t="s">
        <v>6932</v>
      </c>
      <c r="B276" s="13"/>
      <c r="C276" s="13"/>
      <c r="D276" s="13"/>
      <c r="E276" s="13"/>
      <c r="F276" s="13"/>
      <c r="G276" s="13"/>
      <c r="H276" s="13"/>
      <c r="I276" s="13"/>
      <c r="J276" s="13"/>
      <c r="K276" s="13">
        <f>SUM(B276:J276)</f>
        <v>0</v>
      </c>
      <c r="L276" s="472"/>
      <c r="M276" s="13"/>
      <c r="N276" s="13"/>
      <c r="O276" s="13"/>
      <c r="P276" s="13"/>
      <c r="Q276" s="13"/>
      <c r="R276" s="13"/>
      <c r="S276" s="13"/>
      <c r="T276" s="13"/>
      <c r="U276" s="13"/>
      <c r="V276" s="13">
        <f>SUM(M276:U276)</f>
        <v>0</v>
      </c>
      <c r="W276" s="472"/>
      <c r="AA276" s="68"/>
      <c r="AB276" s="68"/>
    </row>
    <row r="277" spans="1:28" hidden="1">
      <c r="A277" s="703" t="s">
        <v>6931</v>
      </c>
      <c r="B277" s="13"/>
      <c r="C277" s="13"/>
      <c r="D277" s="13"/>
      <c r="E277" s="13"/>
      <c r="F277" s="13"/>
      <c r="G277" s="13"/>
      <c r="H277" s="13"/>
      <c r="I277" s="13"/>
      <c r="J277" s="13"/>
      <c r="K277" s="13">
        <f>SUM(B277:J277)</f>
        <v>0</v>
      </c>
      <c r="L277" s="472"/>
      <c r="M277" s="13"/>
      <c r="N277" s="13"/>
      <c r="O277" s="13"/>
      <c r="P277" s="13"/>
      <c r="Q277" s="13"/>
      <c r="R277" s="13"/>
      <c r="S277" s="13"/>
      <c r="T277" s="13"/>
      <c r="U277" s="13"/>
      <c r="V277" s="13">
        <f>SUM(M277:U277)</f>
        <v>0</v>
      </c>
      <c r="W277" s="472"/>
      <c r="AA277" s="68"/>
      <c r="AB277" s="68"/>
    </row>
    <row r="278" spans="1:28" ht="24" hidden="1">
      <c r="A278" s="705" t="s">
        <v>6930</v>
      </c>
      <c r="B278" s="484"/>
      <c r="C278" s="484"/>
      <c r="D278" s="484"/>
      <c r="E278" s="484"/>
      <c r="F278" s="484"/>
      <c r="G278" s="484"/>
      <c r="H278" s="484"/>
      <c r="I278" s="484"/>
      <c r="J278" s="484">
        <f t="shared" ref="J278:W278" si="73">SUM(J279:J282)</f>
        <v>0</v>
      </c>
      <c r="K278" s="484">
        <f t="shared" si="73"/>
        <v>0</v>
      </c>
      <c r="L278" s="485">
        <f t="shared" si="73"/>
        <v>0</v>
      </c>
      <c r="M278" s="484">
        <f t="shared" si="73"/>
        <v>0</v>
      </c>
      <c r="N278" s="484">
        <f t="shared" si="73"/>
        <v>0</v>
      </c>
      <c r="O278" s="484">
        <f t="shared" si="73"/>
        <v>0</v>
      </c>
      <c r="P278" s="484">
        <f t="shared" si="73"/>
        <v>0</v>
      </c>
      <c r="Q278" s="484">
        <f t="shared" si="73"/>
        <v>0</v>
      </c>
      <c r="R278" s="484">
        <f t="shared" si="73"/>
        <v>0</v>
      </c>
      <c r="S278" s="484">
        <f t="shared" si="73"/>
        <v>0</v>
      </c>
      <c r="T278" s="484">
        <f t="shared" si="73"/>
        <v>0</v>
      </c>
      <c r="U278" s="484">
        <f t="shared" si="73"/>
        <v>0</v>
      </c>
      <c r="V278" s="484">
        <f t="shared" si="73"/>
        <v>0</v>
      </c>
      <c r="W278" s="485">
        <f t="shared" si="73"/>
        <v>0</v>
      </c>
      <c r="AA278" s="68"/>
      <c r="AB278" s="68"/>
    </row>
    <row r="279" spans="1:28" hidden="1">
      <c r="A279" s="703" t="s">
        <v>6923</v>
      </c>
      <c r="B279" s="13"/>
      <c r="C279" s="13"/>
      <c r="D279" s="13"/>
      <c r="E279" s="13"/>
      <c r="F279" s="13"/>
      <c r="G279" s="13"/>
      <c r="H279" s="13"/>
      <c r="I279" s="13"/>
      <c r="J279" s="13"/>
      <c r="K279" s="13">
        <f>SUM(B279:J279)</f>
        <v>0</v>
      </c>
      <c r="L279" s="472"/>
      <c r="M279" s="13"/>
      <c r="N279" s="13"/>
      <c r="O279" s="13"/>
      <c r="P279" s="13"/>
      <c r="Q279" s="13"/>
      <c r="R279" s="13"/>
      <c r="S279" s="13"/>
      <c r="T279" s="13"/>
      <c r="U279" s="13"/>
      <c r="V279" s="13">
        <f>SUM(M279:U279)</f>
        <v>0</v>
      </c>
      <c r="W279" s="472"/>
      <c r="AA279" s="68"/>
      <c r="AB279" s="68"/>
    </row>
    <row r="280" spans="1:28" hidden="1">
      <c r="A280" s="703" t="s">
        <v>6925</v>
      </c>
      <c r="B280" s="13"/>
      <c r="C280" s="13"/>
      <c r="D280" s="13"/>
      <c r="E280" s="13"/>
      <c r="F280" s="13"/>
      <c r="G280" s="13"/>
      <c r="H280" s="13"/>
      <c r="I280" s="13"/>
      <c r="J280" s="13"/>
      <c r="K280" s="13">
        <f>SUM(B280:J280)</f>
        <v>0</v>
      </c>
      <c r="L280" s="472"/>
      <c r="M280" s="13"/>
      <c r="N280" s="13"/>
      <c r="O280" s="13"/>
      <c r="P280" s="13"/>
      <c r="Q280" s="13"/>
      <c r="R280" s="13"/>
      <c r="S280" s="13"/>
      <c r="T280" s="13"/>
      <c r="U280" s="13"/>
      <c r="V280" s="13">
        <f>SUM(M280:U280)</f>
        <v>0</v>
      </c>
      <c r="W280" s="472"/>
      <c r="AA280" s="68"/>
      <c r="AB280" s="68"/>
    </row>
    <row r="281" spans="1:28" hidden="1">
      <c r="A281" s="703" t="s">
        <v>6927</v>
      </c>
      <c r="B281" s="13"/>
      <c r="C281" s="13"/>
      <c r="D281" s="13"/>
      <c r="E281" s="13"/>
      <c r="F281" s="13"/>
      <c r="G281" s="13"/>
      <c r="H281" s="13"/>
      <c r="I281" s="13"/>
      <c r="J281" s="13"/>
      <c r="K281" s="13">
        <f>SUM(B281:J281)</f>
        <v>0</v>
      </c>
      <c r="L281" s="472"/>
      <c r="M281" s="13"/>
      <c r="N281" s="13"/>
      <c r="O281" s="13"/>
      <c r="P281" s="13"/>
      <c r="Q281" s="13"/>
      <c r="R281" s="13"/>
      <c r="S281" s="13"/>
      <c r="T281" s="13"/>
      <c r="U281" s="13"/>
      <c r="V281" s="13">
        <f>SUM(M281:U281)</f>
        <v>0</v>
      </c>
      <c r="W281" s="472"/>
      <c r="AA281" s="68"/>
      <c r="AB281" s="68"/>
    </row>
    <row r="282" spans="1:28" hidden="1">
      <c r="A282" s="703" t="s">
        <v>6929</v>
      </c>
      <c r="B282" s="13"/>
      <c r="C282" s="13"/>
      <c r="D282" s="13"/>
      <c r="E282" s="13"/>
      <c r="F282" s="13"/>
      <c r="G282" s="13"/>
      <c r="H282" s="13"/>
      <c r="I282" s="13"/>
      <c r="J282" s="13"/>
      <c r="K282" s="13">
        <f>SUM(B282:J282)</f>
        <v>0</v>
      </c>
      <c r="L282" s="472"/>
      <c r="M282" s="13"/>
      <c r="N282" s="13"/>
      <c r="O282" s="13"/>
      <c r="P282" s="13"/>
      <c r="Q282" s="13"/>
      <c r="R282" s="13"/>
      <c r="S282" s="13"/>
      <c r="T282" s="13"/>
      <c r="U282" s="13"/>
      <c r="V282" s="13">
        <f>SUM(M282:U282)</f>
        <v>0</v>
      </c>
      <c r="W282" s="472"/>
      <c r="AA282" s="68"/>
      <c r="AB282" s="68"/>
    </row>
    <row r="283" spans="1:28" ht="24" hidden="1">
      <c r="A283" s="705" t="s">
        <v>6928</v>
      </c>
      <c r="B283" s="484"/>
      <c r="C283" s="484"/>
      <c r="D283" s="484"/>
      <c r="E283" s="484"/>
      <c r="F283" s="484"/>
      <c r="G283" s="484"/>
      <c r="H283" s="484"/>
      <c r="I283" s="484"/>
      <c r="J283" s="484">
        <f t="shared" ref="J283:W283" si="74">SUM(J284:J286)</f>
        <v>0</v>
      </c>
      <c r="K283" s="484">
        <f t="shared" si="74"/>
        <v>0</v>
      </c>
      <c r="L283" s="485">
        <f t="shared" si="74"/>
        <v>0</v>
      </c>
      <c r="M283" s="484">
        <f t="shared" si="74"/>
        <v>0</v>
      </c>
      <c r="N283" s="484">
        <f t="shared" si="74"/>
        <v>0</v>
      </c>
      <c r="O283" s="484">
        <f t="shared" si="74"/>
        <v>0</v>
      </c>
      <c r="P283" s="484">
        <f t="shared" si="74"/>
        <v>0</v>
      </c>
      <c r="Q283" s="484">
        <f t="shared" si="74"/>
        <v>0</v>
      </c>
      <c r="R283" s="484">
        <f t="shared" si="74"/>
        <v>0</v>
      </c>
      <c r="S283" s="484">
        <f t="shared" si="74"/>
        <v>0</v>
      </c>
      <c r="T283" s="484">
        <f t="shared" si="74"/>
        <v>0</v>
      </c>
      <c r="U283" s="484">
        <f t="shared" si="74"/>
        <v>0</v>
      </c>
      <c r="V283" s="484">
        <f t="shared" si="74"/>
        <v>0</v>
      </c>
      <c r="W283" s="485">
        <f t="shared" si="74"/>
        <v>0</v>
      </c>
      <c r="AA283" s="68"/>
      <c r="AB283" s="68"/>
    </row>
    <row r="284" spans="1:28" hidden="1">
      <c r="A284" s="703" t="s">
        <v>6923</v>
      </c>
      <c r="B284" s="13"/>
      <c r="C284" s="13"/>
      <c r="D284" s="13"/>
      <c r="E284" s="13"/>
      <c r="F284" s="13"/>
      <c r="G284" s="13"/>
      <c r="H284" s="13"/>
      <c r="I284" s="13"/>
      <c r="J284" s="13"/>
      <c r="K284" s="13">
        <f>SUM(B284:J284)</f>
        <v>0</v>
      </c>
      <c r="L284" s="472"/>
      <c r="M284" s="13"/>
      <c r="N284" s="13"/>
      <c r="O284" s="13"/>
      <c r="P284" s="13"/>
      <c r="Q284" s="13"/>
      <c r="R284" s="13"/>
      <c r="S284" s="13"/>
      <c r="T284" s="13"/>
      <c r="U284" s="13"/>
      <c r="V284" s="13">
        <f>SUM(M284:U284)</f>
        <v>0</v>
      </c>
      <c r="W284" s="472"/>
      <c r="AA284" s="68"/>
      <c r="AB284" s="68"/>
    </row>
    <row r="285" spans="1:28" hidden="1">
      <c r="A285" s="703" t="s">
        <v>6925</v>
      </c>
      <c r="B285" s="13"/>
      <c r="C285" s="13"/>
      <c r="D285" s="13"/>
      <c r="E285" s="13"/>
      <c r="F285" s="13"/>
      <c r="G285" s="13"/>
      <c r="H285" s="13"/>
      <c r="I285" s="13"/>
      <c r="J285" s="13"/>
      <c r="K285" s="13">
        <f>SUM(B285:J285)</f>
        <v>0</v>
      </c>
      <c r="L285" s="472"/>
      <c r="M285" s="13"/>
      <c r="N285" s="13"/>
      <c r="O285" s="13"/>
      <c r="P285" s="13"/>
      <c r="Q285" s="13"/>
      <c r="R285" s="13"/>
      <c r="S285" s="13"/>
      <c r="T285" s="13"/>
      <c r="U285" s="13"/>
      <c r="V285" s="13">
        <f>SUM(M285:U285)</f>
        <v>0</v>
      </c>
      <c r="W285" s="472"/>
      <c r="AA285" s="68"/>
      <c r="AB285" s="68"/>
    </row>
    <row r="286" spans="1:28" hidden="1">
      <c r="A286" s="703" t="s">
        <v>6927</v>
      </c>
      <c r="B286" s="13"/>
      <c r="C286" s="13"/>
      <c r="D286" s="13"/>
      <c r="E286" s="13"/>
      <c r="F286" s="13"/>
      <c r="G286" s="13"/>
      <c r="H286" s="13"/>
      <c r="I286" s="13"/>
      <c r="J286" s="13"/>
      <c r="K286" s="13">
        <f>SUM(B286:J286)</f>
        <v>0</v>
      </c>
      <c r="L286" s="472"/>
      <c r="M286" s="13"/>
      <c r="N286" s="13"/>
      <c r="O286" s="13"/>
      <c r="P286" s="13"/>
      <c r="Q286" s="13"/>
      <c r="R286" s="13"/>
      <c r="S286" s="13"/>
      <c r="T286" s="13"/>
      <c r="U286" s="13"/>
      <c r="V286" s="13">
        <f>SUM(M286:U286)</f>
        <v>0</v>
      </c>
      <c r="W286" s="472"/>
      <c r="AA286" s="68"/>
      <c r="AB286" s="68"/>
    </row>
    <row r="287" spans="1:28" ht="24" hidden="1">
      <c r="A287" s="705" t="s">
        <v>6926</v>
      </c>
      <c r="B287" s="484"/>
      <c r="C287" s="484"/>
      <c r="D287" s="484"/>
      <c r="E287" s="484"/>
      <c r="F287" s="484"/>
      <c r="G287" s="484"/>
      <c r="H287" s="484"/>
      <c r="I287" s="484"/>
      <c r="J287" s="484">
        <f t="shared" ref="J287:W287" si="75">SUM(J288:J289)</f>
        <v>0</v>
      </c>
      <c r="K287" s="484">
        <f t="shared" si="75"/>
        <v>0</v>
      </c>
      <c r="L287" s="485">
        <f t="shared" si="75"/>
        <v>0</v>
      </c>
      <c r="M287" s="484">
        <f t="shared" si="75"/>
        <v>0</v>
      </c>
      <c r="N287" s="484">
        <f t="shared" si="75"/>
        <v>0</v>
      </c>
      <c r="O287" s="484">
        <f t="shared" si="75"/>
        <v>0</v>
      </c>
      <c r="P287" s="484">
        <f t="shared" si="75"/>
        <v>0</v>
      </c>
      <c r="Q287" s="484">
        <f t="shared" si="75"/>
        <v>0</v>
      </c>
      <c r="R287" s="484">
        <f t="shared" si="75"/>
        <v>0</v>
      </c>
      <c r="S287" s="484">
        <f t="shared" si="75"/>
        <v>0</v>
      </c>
      <c r="T287" s="484">
        <f t="shared" si="75"/>
        <v>0</v>
      </c>
      <c r="U287" s="484">
        <f t="shared" si="75"/>
        <v>0</v>
      </c>
      <c r="V287" s="484">
        <f t="shared" si="75"/>
        <v>0</v>
      </c>
      <c r="W287" s="485">
        <f t="shared" si="75"/>
        <v>0</v>
      </c>
      <c r="AA287" s="68"/>
      <c r="AB287" s="68"/>
    </row>
    <row r="288" spans="1:28" hidden="1">
      <c r="A288" s="703" t="s">
        <v>6923</v>
      </c>
      <c r="B288" s="13"/>
      <c r="C288" s="13"/>
      <c r="D288" s="13"/>
      <c r="E288" s="13"/>
      <c r="F288" s="13"/>
      <c r="G288" s="13"/>
      <c r="H288" s="13"/>
      <c r="I288" s="13"/>
      <c r="J288" s="13"/>
      <c r="K288" s="13">
        <f>SUM(B288:J288)</f>
        <v>0</v>
      </c>
      <c r="L288" s="472"/>
      <c r="M288" s="13"/>
      <c r="N288" s="13"/>
      <c r="O288" s="13"/>
      <c r="P288" s="13"/>
      <c r="Q288" s="13"/>
      <c r="R288" s="13"/>
      <c r="S288" s="13"/>
      <c r="T288" s="13"/>
      <c r="U288" s="13"/>
      <c r="V288" s="13">
        <f>SUM(M288:U288)</f>
        <v>0</v>
      </c>
      <c r="W288" s="472"/>
      <c r="AA288" s="68"/>
      <c r="AB288" s="68"/>
    </row>
    <row r="289" spans="1:28" hidden="1">
      <c r="A289" s="703" t="s">
        <v>6925</v>
      </c>
      <c r="B289" s="13"/>
      <c r="C289" s="13"/>
      <c r="D289" s="13"/>
      <c r="E289" s="13"/>
      <c r="F289" s="13"/>
      <c r="G289" s="13"/>
      <c r="H289" s="13"/>
      <c r="I289" s="13"/>
      <c r="J289" s="13">
        <v>0</v>
      </c>
      <c r="K289" s="13">
        <f>SUM(B289:J289)</f>
        <v>0</v>
      </c>
      <c r="L289" s="472"/>
      <c r="M289" s="13"/>
      <c r="N289" s="13"/>
      <c r="O289" s="13"/>
      <c r="P289" s="13"/>
      <c r="Q289" s="13"/>
      <c r="R289" s="13"/>
      <c r="S289" s="13"/>
      <c r="T289" s="13"/>
      <c r="U289" s="13"/>
      <c r="V289" s="13">
        <f>SUM(M289:U289)</f>
        <v>0</v>
      </c>
      <c r="W289" s="472"/>
      <c r="AA289" s="68"/>
      <c r="AB289" s="68"/>
    </row>
    <row r="290" spans="1:28" ht="24" hidden="1">
      <c r="A290" s="705" t="s">
        <v>6924</v>
      </c>
      <c r="B290" s="484"/>
      <c r="C290" s="484"/>
      <c r="D290" s="484"/>
      <c r="E290" s="484"/>
      <c r="F290" s="484"/>
      <c r="G290" s="484"/>
      <c r="H290" s="484"/>
      <c r="I290" s="484"/>
      <c r="J290" s="484">
        <f>J291</f>
        <v>0</v>
      </c>
      <c r="K290" s="484"/>
      <c r="L290" s="485"/>
      <c r="M290" s="484"/>
      <c r="N290" s="484"/>
      <c r="O290" s="484"/>
      <c r="P290" s="484"/>
      <c r="Q290" s="484"/>
      <c r="R290" s="484"/>
      <c r="S290" s="484"/>
      <c r="T290" s="484"/>
      <c r="U290" s="484">
        <f>U291</f>
        <v>0</v>
      </c>
      <c r="V290" s="484">
        <f>V291</f>
        <v>0</v>
      </c>
      <c r="W290" s="485">
        <f>W291</f>
        <v>0</v>
      </c>
      <c r="AA290" s="68"/>
      <c r="AB290" s="68"/>
    </row>
    <row r="291" spans="1:28" hidden="1">
      <c r="A291" s="703" t="s">
        <v>6923</v>
      </c>
      <c r="B291" s="13"/>
      <c r="C291" s="13"/>
      <c r="D291" s="13"/>
      <c r="E291" s="13"/>
      <c r="F291" s="13"/>
      <c r="G291" s="13"/>
      <c r="H291" s="13"/>
      <c r="I291" s="13"/>
      <c r="J291" s="13">
        <v>0</v>
      </c>
      <c r="K291" s="13">
        <f>SUM(B291:J291)</f>
        <v>0</v>
      </c>
      <c r="L291" s="472"/>
      <c r="M291" s="13"/>
      <c r="N291" s="13"/>
      <c r="O291" s="13"/>
      <c r="P291" s="13"/>
      <c r="Q291" s="13"/>
      <c r="R291" s="13"/>
      <c r="S291" s="13"/>
      <c r="T291" s="13"/>
      <c r="U291" s="13"/>
      <c r="V291" s="13">
        <f>SUM(M291:U291)</f>
        <v>0</v>
      </c>
      <c r="W291" s="472"/>
      <c r="AA291" s="68"/>
      <c r="AB291" s="68"/>
    </row>
    <row r="292" spans="1:28">
      <c r="A292" s="704" t="s">
        <v>24</v>
      </c>
      <c r="B292" s="482"/>
      <c r="C292" s="482"/>
      <c r="D292" s="482"/>
      <c r="E292" s="482"/>
      <c r="F292" s="482"/>
      <c r="G292" s="482"/>
      <c r="H292" s="482"/>
      <c r="I292" s="482">
        <f>I293+I299+I303</f>
        <v>36</v>
      </c>
      <c r="J292" s="482">
        <f>J293+J299+J303</f>
        <v>1118</v>
      </c>
      <c r="K292" s="482">
        <f>K293+K299+K303</f>
        <v>1154</v>
      </c>
      <c r="L292" s="474">
        <f>L293+L299+L303</f>
        <v>3255353.3376000002</v>
      </c>
      <c r="M292" s="482">
        <f t="shared" ref="M292:S292" si="76">M293+M299</f>
        <v>0</v>
      </c>
      <c r="N292" s="482">
        <f t="shared" si="76"/>
        <v>0</v>
      </c>
      <c r="O292" s="482">
        <f t="shared" si="76"/>
        <v>0</v>
      </c>
      <c r="P292" s="482">
        <f t="shared" si="76"/>
        <v>0</v>
      </c>
      <c r="Q292" s="482">
        <f t="shared" si="76"/>
        <v>0</v>
      </c>
      <c r="R292" s="482">
        <f t="shared" si="76"/>
        <v>0</v>
      </c>
      <c r="S292" s="482">
        <f t="shared" si="76"/>
        <v>0</v>
      </c>
      <c r="T292" s="482">
        <f>T293+T299+T303</f>
        <v>36</v>
      </c>
      <c r="U292" s="482">
        <f>U293+U299+U303</f>
        <v>936</v>
      </c>
      <c r="V292" s="482">
        <f>V293+V299+V303</f>
        <v>972</v>
      </c>
      <c r="W292" s="474">
        <f>W293+W299+W303</f>
        <v>2520666</v>
      </c>
      <c r="AA292" s="68"/>
      <c r="AB292" s="68"/>
    </row>
    <row r="293" spans="1:28">
      <c r="A293" s="705" t="s">
        <v>6922</v>
      </c>
      <c r="B293" s="484"/>
      <c r="C293" s="484"/>
      <c r="D293" s="484"/>
      <c r="E293" s="484"/>
      <c r="F293" s="484"/>
      <c r="G293" s="484"/>
      <c r="H293" s="484"/>
      <c r="I293" s="484">
        <f t="shared" ref="I293:W293" si="77">SUM(I294:I298)</f>
        <v>0</v>
      </c>
      <c r="J293" s="484">
        <f t="shared" si="77"/>
        <v>467</v>
      </c>
      <c r="K293" s="484">
        <f t="shared" si="77"/>
        <v>467</v>
      </c>
      <c r="L293" s="485">
        <f t="shared" si="77"/>
        <v>1175222.1695999999</v>
      </c>
      <c r="M293" s="484">
        <f t="shared" si="77"/>
        <v>0</v>
      </c>
      <c r="N293" s="484">
        <f t="shared" si="77"/>
        <v>0</v>
      </c>
      <c r="O293" s="484">
        <f t="shared" si="77"/>
        <v>0</v>
      </c>
      <c r="P293" s="484">
        <f t="shared" si="77"/>
        <v>0</v>
      </c>
      <c r="Q293" s="484">
        <f t="shared" si="77"/>
        <v>0</v>
      </c>
      <c r="R293" s="484">
        <f t="shared" si="77"/>
        <v>0</v>
      </c>
      <c r="S293" s="484">
        <f t="shared" si="77"/>
        <v>0</v>
      </c>
      <c r="T293" s="484">
        <f t="shared" si="77"/>
        <v>0</v>
      </c>
      <c r="U293" s="484">
        <f t="shared" si="77"/>
        <v>359</v>
      </c>
      <c r="V293" s="484">
        <f t="shared" si="77"/>
        <v>359</v>
      </c>
      <c r="W293" s="485">
        <f t="shared" si="77"/>
        <v>776792</v>
      </c>
      <c r="AA293" s="68"/>
      <c r="AB293" s="68"/>
    </row>
    <row r="294" spans="1:28">
      <c r="A294" s="703" t="s">
        <v>6921</v>
      </c>
      <c r="B294" s="13"/>
      <c r="C294" s="13"/>
      <c r="D294" s="13"/>
      <c r="E294" s="13"/>
      <c r="F294" s="13"/>
      <c r="G294" s="13"/>
      <c r="H294" s="13"/>
      <c r="I294" s="13"/>
      <c r="J294" s="13">
        <v>65</v>
      </c>
      <c r="K294" s="13">
        <f>SUM(B294:J294)</f>
        <v>65</v>
      </c>
      <c r="L294" s="472">
        <v>273340.07999999996</v>
      </c>
      <c r="M294" s="13"/>
      <c r="N294" s="13"/>
      <c r="O294" s="13"/>
      <c r="P294" s="13"/>
      <c r="Q294" s="13"/>
      <c r="R294" s="13"/>
      <c r="S294" s="13"/>
      <c r="T294" s="13"/>
      <c r="U294" s="13">
        <v>0</v>
      </c>
      <c r="V294" s="13">
        <f>SUM(M294:U294)</f>
        <v>0</v>
      </c>
      <c r="W294" s="472">
        <v>0</v>
      </c>
      <c r="AA294" s="68"/>
      <c r="AB294" s="68"/>
    </row>
    <row r="295" spans="1:28">
      <c r="A295" s="703" t="s">
        <v>6920</v>
      </c>
      <c r="B295" s="13"/>
      <c r="C295" s="13"/>
      <c r="D295" s="13"/>
      <c r="E295" s="13"/>
      <c r="F295" s="13"/>
      <c r="G295" s="13"/>
      <c r="H295" s="13"/>
      <c r="I295" s="13"/>
      <c r="J295" s="13">
        <v>49</v>
      </c>
      <c r="K295" s="13">
        <f>SUM(B295:J295)</f>
        <v>49</v>
      </c>
      <c r="L295" s="472">
        <v>137370.91200000001</v>
      </c>
      <c r="M295" s="13"/>
      <c r="N295" s="13"/>
      <c r="O295" s="13"/>
      <c r="P295" s="13"/>
      <c r="Q295" s="13"/>
      <c r="R295" s="13"/>
      <c r="S295" s="13"/>
      <c r="T295" s="13"/>
      <c r="U295" s="13">
        <v>61</v>
      </c>
      <c r="V295" s="13">
        <f>SUM(M295:U295)</f>
        <v>61</v>
      </c>
      <c r="W295" s="472">
        <v>161534.72</v>
      </c>
      <c r="AA295" s="68"/>
      <c r="AB295" s="68"/>
    </row>
    <row r="296" spans="1:28">
      <c r="A296" s="703" t="s">
        <v>6919</v>
      </c>
      <c r="B296" s="13"/>
      <c r="C296" s="13"/>
      <c r="D296" s="13"/>
      <c r="E296" s="13"/>
      <c r="F296" s="13"/>
      <c r="G296" s="13"/>
      <c r="H296" s="13"/>
      <c r="I296" s="13"/>
      <c r="J296" s="13">
        <v>63</v>
      </c>
      <c r="K296" s="13">
        <f>SUM(B296:J296)</f>
        <v>63</v>
      </c>
      <c r="L296" s="472">
        <v>158957.76959999997</v>
      </c>
      <c r="M296" s="13"/>
      <c r="N296" s="13"/>
      <c r="O296" s="13"/>
      <c r="P296" s="13"/>
      <c r="Q296" s="13"/>
      <c r="R296" s="13"/>
      <c r="S296" s="13"/>
      <c r="T296" s="13"/>
      <c r="U296" s="13">
        <v>59</v>
      </c>
      <c r="V296" s="13">
        <f>SUM(M296:U296)</f>
        <v>59</v>
      </c>
      <c r="W296" s="472">
        <v>140640.80000000002</v>
      </c>
      <c r="AA296" s="68"/>
      <c r="AB296" s="68"/>
    </row>
    <row r="297" spans="1:28">
      <c r="A297" s="703" t="s">
        <v>6918</v>
      </c>
      <c r="B297" s="13"/>
      <c r="C297" s="13"/>
      <c r="D297" s="13"/>
      <c r="E297" s="13"/>
      <c r="F297" s="13"/>
      <c r="G297" s="13"/>
      <c r="H297" s="13"/>
      <c r="I297" s="13"/>
      <c r="J297" s="13">
        <v>130</v>
      </c>
      <c r="K297" s="13">
        <f>SUM(B297:J297)</f>
        <v>130</v>
      </c>
      <c r="L297" s="472">
        <v>291562.75199999998</v>
      </c>
      <c r="M297" s="13"/>
      <c r="N297" s="13"/>
      <c r="O297" s="13"/>
      <c r="P297" s="13"/>
      <c r="Q297" s="13"/>
      <c r="R297" s="13"/>
      <c r="S297" s="13"/>
      <c r="T297" s="13"/>
      <c r="U297" s="13">
        <v>120</v>
      </c>
      <c r="V297" s="13">
        <f>SUM(M297:U297)</f>
        <v>120</v>
      </c>
      <c r="W297" s="472">
        <v>254102.72</v>
      </c>
      <c r="AA297" s="68"/>
      <c r="AB297" s="68"/>
    </row>
    <row r="298" spans="1:28">
      <c r="A298" s="703" t="s">
        <v>6917</v>
      </c>
      <c r="B298" s="13"/>
      <c r="C298" s="13"/>
      <c r="D298" s="13"/>
      <c r="E298" s="13"/>
      <c r="F298" s="13"/>
      <c r="G298" s="13"/>
      <c r="H298" s="13"/>
      <c r="I298" s="13"/>
      <c r="J298" s="13">
        <v>160</v>
      </c>
      <c r="K298" s="13">
        <f>SUM(B298:J298)</f>
        <v>160</v>
      </c>
      <c r="L298" s="472">
        <v>313990.65599999996</v>
      </c>
      <c r="M298" s="13"/>
      <c r="N298" s="13"/>
      <c r="O298" s="13"/>
      <c r="P298" s="13"/>
      <c r="Q298" s="13"/>
      <c r="R298" s="13"/>
      <c r="S298" s="13"/>
      <c r="T298" s="13"/>
      <c r="U298" s="13">
        <v>119</v>
      </c>
      <c r="V298" s="13">
        <f>SUM(M298:U298)</f>
        <v>119</v>
      </c>
      <c r="W298" s="472">
        <v>220513.76</v>
      </c>
      <c r="AA298" s="68"/>
      <c r="AB298" s="68"/>
    </row>
    <row r="299" spans="1:28">
      <c r="A299" s="705" t="s">
        <v>6916</v>
      </c>
      <c r="B299" s="484"/>
      <c r="C299" s="484"/>
      <c r="D299" s="484"/>
      <c r="E299" s="484"/>
      <c r="F299" s="484"/>
      <c r="G299" s="484"/>
      <c r="H299" s="484"/>
      <c r="I299" s="484"/>
      <c r="J299" s="484">
        <f t="shared" ref="J299:W299" si="78">SUM(J300:J302)</f>
        <v>651</v>
      </c>
      <c r="K299" s="484">
        <f t="shared" si="78"/>
        <v>651</v>
      </c>
      <c r="L299" s="485">
        <f t="shared" si="78"/>
        <v>1712931.1680000001</v>
      </c>
      <c r="M299" s="484">
        <f t="shared" si="78"/>
        <v>0</v>
      </c>
      <c r="N299" s="484">
        <f t="shared" si="78"/>
        <v>0</v>
      </c>
      <c r="O299" s="484">
        <f t="shared" si="78"/>
        <v>0</v>
      </c>
      <c r="P299" s="484">
        <f t="shared" si="78"/>
        <v>0</v>
      </c>
      <c r="Q299" s="484">
        <f t="shared" si="78"/>
        <v>0</v>
      </c>
      <c r="R299" s="484">
        <f t="shared" si="78"/>
        <v>0</v>
      </c>
      <c r="S299" s="484">
        <f t="shared" si="78"/>
        <v>0</v>
      </c>
      <c r="T299" s="484">
        <f t="shared" si="78"/>
        <v>0</v>
      </c>
      <c r="U299" s="484">
        <f t="shared" si="78"/>
        <v>577</v>
      </c>
      <c r="V299" s="484">
        <f t="shared" si="78"/>
        <v>577</v>
      </c>
      <c r="W299" s="485">
        <f t="shared" si="78"/>
        <v>1398274</v>
      </c>
      <c r="AA299" s="68"/>
      <c r="AB299" s="68"/>
    </row>
    <row r="300" spans="1:28">
      <c r="A300" s="703" t="s">
        <v>6915</v>
      </c>
      <c r="B300" s="13"/>
      <c r="C300" s="13"/>
      <c r="D300" s="13"/>
      <c r="E300" s="13"/>
      <c r="F300" s="13"/>
      <c r="G300" s="13"/>
      <c r="H300" s="13"/>
      <c r="I300" s="13"/>
      <c r="J300" s="13">
        <v>191</v>
      </c>
      <c r="K300" s="13">
        <f>SUM(B300:J300)</f>
        <v>191</v>
      </c>
      <c r="L300" s="472">
        <v>720109.72799999989</v>
      </c>
      <c r="M300" s="13"/>
      <c r="N300" s="13"/>
      <c r="O300" s="13"/>
      <c r="P300" s="13"/>
      <c r="Q300" s="13"/>
      <c r="R300" s="13"/>
      <c r="S300" s="13"/>
      <c r="T300" s="13"/>
      <c r="U300" s="13">
        <v>135</v>
      </c>
      <c r="V300" s="13">
        <f>SUM(M300:U300)</f>
        <v>135</v>
      </c>
      <c r="W300" s="472">
        <v>480120.94</v>
      </c>
      <c r="AA300" s="68"/>
      <c r="AB300" s="68"/>
    </row>
    <row r="301" spans="1:28">
      <c r="A301" s="703" t="s">
        <v>6914</v>
      </c>
      <c r="B301" s="13"/>
      <c r="C301" s="13"/>
      <c r="D301" s="13"/>
      <c r="E301" s="13"/>
      <c r="F301" s="13"/>
      <c r="G301" s="13"/>
      <c r="H301" s="13"/>
      <c r="I301" s="13"/>
      <c r="J301" s="13">
        <v>200</v>
      </c>
      <c r="K301" s="13">
        <f>SUM(B301:J301)</f>
        <v>200</v>
      </c>
      <c r="L301" s="472">
        <v>502694.40000000014</v>
      </c>
      <c r="M301" s="13"/>
      <c r="N301" s="13"/>
      <c r="O301" s="13"/>
      <c r="P301" s="13"/>
      <c r="Q301" s="13"/>
      <c r="R301" s="13"/>
      <c r="S301" s="13"/>
      <c r="T301" s="13"/>
      <c r="U301" s="13">
        <v>223</v>
      </c>
      <c r="V301" s="13">
        <f>SUM(M301:U301)</f>
        <v>223</v>
      </c>
      <c r="W301" s="472">
        <v>528730.54</v>
      </c>
      <c r="AA301" s="68"/>
      <c r="AB301" s="68"/>
    </row>
    <row r="302" spans="1:28">
      <c r="A302" s="703" t="s">
        <v>6913</v>
      </c>
      <c r="B302" s="13"/>
      <c r="C302" s="13"/>
      <c r="D302" s="13"/>
      <c r="E302" s="13"/>
      <c r="F302" s="13"/>
      <c r="G302" s="13"/>
      <c r="H302" s="13"/>
      <c r="I302" s="13"/>
      <c r="J302" s="13">
        <v>260</v>
      </c>
      <c r="K302" s="13">
        <f>SUM(B302:J302)</f>
        <v>260</v>
      </c>
      <c r="L302" s="472">
        <v>490127.04</v>
      </c>
      <c r="M302" s="13"/>
      <c r="N302" s="13"/>
      <c r="O302" s="13"/>
      <c r="P302" s="13"/>
      <c r="Q302" s="13"/>
      <c r="R302" s="13"/>
      <c r="S302" s="13"/>
      <c r="T302" s="13"/>
      <c r="U302" s="13">
        <v>219</v>
      </c>
      <c r="V302" s="13">
        <f>SUM(M302:U302)</f>
        <v>219</v>
      </c>
      <c r="W302" s="472">
        <v>389422.51999999996</v>
      </c>
      <c r="AA302" s="68"/>
      <c r="AB302" s="68"/>
    </row>
    <row r="303" spans="1:28">
      <c r="A303" s="705" t="s">
        <v>6912</v>
      </c>
      <c r="B303" s="484">
        <f t="shared" ref="B303:W303" si="79">SUM(B304:B305)</f>
        <v>0</v>
      </c>
      <c r="C303" s="484">
        <f t="shared" si="79"/>
        <v>0</v>
      </c>
      <c r="D303" s="484">
        <f t="shared" si="79"/>
        <v>0</v>
      </c>
      <c r="E303" s="484">
        <f t="shared" si="79"/>
        <v>0</v>
      </c>
      <c r="F303" s="484">
        <f t="shared" si="79"/>
        <v>0</v>
      </c>
      <c r="G303" s="484">
        <f t="shared" si="79"/>
        <v>0</v>
      </c>
      <c r="H303" s="484">
        <f t="shared" si="79"/>
        <v>0</v>
      </c>
      <c r="I303" s="484">
        <f t="shared" si="79"/>
        <v>36</v>
      </c>
      <c r="J303" s="484">
        <f t="shared" si="79"/>
        <v>0</v>
      </c>
      <c r="K303" s="484">
        <f t="shared" si="79"/>
        <v>36</v>
      </c>
      <c r="L303" s="485">
        <f t="shared" si="79"/>
        <v>367200</v>
      </c>
      <c r="M303" s="484">
        <f t="shared" si="79"/>
        <v>0</v>
      </c>
      <c r="N303" s="484">
        <f t="shared" si="79"/>
        <v>0</v>
      </c>
      <c r="O303" s="484">
        <f t="shared" si="79"/>
        <v>0</v>
      </c>
      <c r="P303" s="484">
        <f t="shared" si="79"/>
        <v>0</v>
      </c>
      <c r="Q303" s="484">
        <f t="shared" si="79"/>
        <v>0</v>
      </c>
      <c r="R303" s="484">
        <f t="shared" si="79"/>
        <v>0</v>
      </c>
      <c r="S303" s="484">
        <f t="shared" si="79"/>
        <v>0</v>
      </c>
      <c r="T303" s="484">
        <f t="shared" si="79"/>
        <v>36</v>
      </c>
      <c r="U303" s="484">
        <f t="shared" si="79"/>
        <v>0</v>
      </c>
      <c r="V303" s="484">
        <f t="shared" si="79"/>
        <v>36</v>
      </c>
      <c r="W303" s="485">
        <f t="shared" si="79"/>
        <v>345600</v>
      </c>
      <c r="AA303" s="68"/>
      <c r="AB303" s="68"/>
    </row>
    <row r="304" spans="1:28">
      <c r="A304" s="703" t="s">
        <v>6911</v>
      </c>
      <c r="B304" s="13"/>
      <c r="C304" s="13"/>
      <c r="D304" s="13"/>
      <c r="E304" s="13"/>
      <c r="F304" s="13"/>
      <c r="G304" s="13"/>
      <c r="H304" s="13"/>
      <c r="I304" s="13">
        <v>24</v>
      </c>
      <c r="J304" s="13"/>
      <c r="K304" s="13">
        <f>SUM(B304:J304)</f>
        <v>24</v>
      </c>
      <c r="L304" s="472">
        <v>244800</v>
      </c>
      <c r="M304" s="13"/>
      <c r="N304" s="13"/>
      <c r="O304" s="13"/>
      <c r="P304" s="13"/>
      <c r="Q304" s="13"/>
      <c r="R304" s="13"/>
      <c r="S304" s="13"/>
      <c r="T304" s="13">
        <v>24</v>
      </c>
      <c r="U304" s="13"/>
      <c r="V304" s="13">
        <f>SUM(M304:U304)</f>
        <v>24</v>
      </c>
      <c r="W304" s="472">
        <v>230400</v>
      </c>
      <c r="AA304" s="68"/>
      <c r="AB304" s="68"/>
    </row>
    <row r="305" spans="1:28">
      <c r="A305" s="703" t="s">
        <v>6910</v>
      </c>
      <c r="B305" s="13"/>
      <c r="C305" s="13"/>
      <c r="D305" s="13"/>
      <c r="E305" s="13"/>
      <c r="F305" s="13"/>
      <c r="G305" s="13"/>
      <c r="H305" s="13"/>
      <c r="I305" s="13">
        <v>12</v>
      </c>
      <c r="J305" s="13"/>
      <c r="K305" s="13">
        <f>SUM(B305:J305)</f>
        <v>12</v>
      </c>
      <c r="L305" s="472">
        <v>122400</v>
      </c>
      <c r="M305" s="13"/>
      <c r="N305" s="13"/>
      <c r="O305" s="13"/>
      <c r="P305" s="13"/>
      <c r="Q305" s="13"/>
      <c r="R305" s="13"/>
      <c r="S305" s="13"/>
      <c r="T305" s="13">
        <v>12</v>
      </c>
      <c r="U305" s="13"/>
      <c r="V305" s="13">
        <f>SUM(M305:U305)</f>
        <v>12</v>
      </c>
      <c r="W305" s="472">
        <v>115200</v>
      </c>
      <c r="AA305" s="68"/>
      <c r="AB305" s="68"/>
    </row>
    <row r="306" spans="1:28" ht="24">
      <c r="A306" s="704" t="s">
        <v>6909</v>
      </c>
      <c r="B306" s="482"/>
      <c r="C306" s="482"/>
      <c r="D306" s="482">
        <f t="shared" ref="D306:W306" si="80">SUM(D307:D309)</f>
        <v>186</v>
      </c>
      <c r="E306" s="482">
        <f t="shared" si="80"/>
        <v>0</v>
      </c>
      <c r="F306" s="482">
        <f t="shared" si="80"/>
        <v>0</v>
      </c>
      <c r="G306" s="482">
        <f t="shared" si="80"/>
        <v>0</v>
      </c>
      <c r="H306" s="482">
        <f t="shared" si="80"/>
        <v>0</v>
      </c>
      <c r="I306" s="482">
        <f t="shared" si="80"/>
        <v>0</v>
      </c>
      <c r="J306" s="482">
        <f t="shared" si="80"/>
        <v>0</v>
      </c>
      <c r="K306" s="482">
        <f t="shared" si="80"/>
        <v>186</v>
      </c>
      <c r="L306" s="474">
        <f t="shared" si="80"/>
        <v>5417121</v>
      </c>
      <c r="M306" s="482">
        <f t="shared" si="80"/>
        <v>0</v>
      </c>
      <c r="N306" s="482">
        <f t="shared" si="80"/>
        <v>0</v>
      </c>
      <c r="O306" s="482">
        <f t="shared" si="80"/>
        <v>137</v>
      </c>
      <c r="P306" s="482">
        <f t="shared" si="80"/>
        <v>0</v>
      </c>
      <c r="Q306" s="482">
        <f t="shared" si="80"/>
        <v>0</v>
      </c>
      <c r="R306" s="482">
        <f t="shared" si="80"/>
        <v>0</v>
      </c>
      <c r="S306" s="482">
        <f t="shared" si="80"/>
        <v>0</v>
      </c>
      <c r="T306" s="482">
        <f t="shared" si="80"/>
        <v>0</v>
      </c>
      <c r="U306" s="482">
        <f t="shared" si="80"/>
        <v>0</v>
      </c>
      <c r="V306" s="482">
        <f t="shared" si="80"/>
        <v>137</v>
      </c>
      <c r="W306" s="474">
        <f t="shared" si="80"/>
        <v>4599100</v>
      </c>
      <c r="Y306" s="490"/>
      <c r="AA306" s="68"/>
      <c r="AB306" s="68"/>
    </row>
    <row r="307" spans="1:28" ht="24">
      <c r="A307" s="703" t="s">
        <v>6908</v>
      </c>
      <c r="B307" s="13"/>
      <c r="C307" s="13"/>
      <c r="D307" s="13">
        <f>20+36</f>
        <v>56</v>
      </c>
      <c r="E307" s="13"/>
      <c r="F307" s="13"/>
      <c r="G307" s="13"/>
      <c r="H307" s="13"/>
      <c r="I307" s="13"/>
      <c r="J307" s="13"/>
      <c r="K307" s="13">
        <f>SUM(B307:J307)</f>
        <v>56</v>
      </c>
      <c r="L307" s="472">
        <f>905121+2436000</f>
        <v>3341121</v>
      </c>
      <c r="M307" s="13"/>
      <c r="N307" s="13"/>
      <c r="O307" s="13">
        <f>12+35</f>
        <v>47</v>
      </c>
      <c r="P307" s="13"/>
      <c r="Q307" s="13"/>
      <c r="R307" s="13"/>
      <c r="S307" s="13"/>
      <c r="T307" s="13"/>
      <c r="U307" s="13"/>
      <c r="V307" s="13">
        <f>SUM(M307:U307)</f>
        <v>47</v>
      </c>
      <c r="W307" s="472">
        <f>576000+2438400</f>
        <v>3014400</v>
      </c>
      <c r="Y307" s="489"/>
      <c r="AA307" s="68"/>
      <c r="AB307" s="68"/>
    </row>
    <row r="308" spans="1:28" ht="24">
      <c r="A308" s="703" t="s">
        <v>6907</v>
      </c>
      <c r="B308" s="13"/>
      <c r="C308" s="13"/>
      <c r="D308" s="13">
        <v>54</v>
      </c>
      <c r="E308" s="13"/>
      <c r="F308" s="13"/>
      <c r="G308" s="13"/>
      <c r="H308" s="13"/>
      <c r="I308" s="13"/>
      <c r="J308" s="13"/>
      <c r="K308" s="13">
        <f>SUM(B308:J308)</f>
        <v>54</v>
      </c>
      <c r="L308" s="472">
        <v>1068000</v>
      </c>
      <c r="M308" s="13"/>
      <c r="N308" s="13"/>
      <c r="O308" s="13">
        <v>45</v>
      </c>
      <c r="P308" s="13"/>
      <c r="Q308" s="13"/>
      <c r="R308" s="13"/>
      <c r="S308" s="13"/>
      <c r="T308" s="13"/>
      <c r="U308" s="13"/>
      <c r="V308" s="13">
        <f>SUM(M308:U308)</f>
        <v>45</v>
      </c>
      <c r="W308" s="472">
        <v>774000</v>
      </c>
      <c r="Y308" s="489"/>
      <c r="AA308" s="68"/>
      <c r="AB308" s="68"/>
    </row>
    <row r="309" spans="1:28" ht="24.75" thickBot="1">
      <c r="A309" s="703" t="s">
        <v>6906</v>
      </c>
      <c r="B309" s="13"/>
      <c r="C309" s="13"/>
      <c r="D309" s="13">
        <v>76</v>
      </c>
      <c r="E309" s="13"/>
      <c r="F309" s="13"/>
      <c r="G309" s="13"/>
      <c r="H309" s="13"/>
      <c r="I309" s="13"/>
      <c r="J309" s="13"/>
      <c r="K309" s="13">
        <f>SUM(B309:J309)</f>
        <v>76</v>
      </c>
      <c r="L309" s="472">
        <v>1008000</v>
      </c>
      <c r="M309" s="13"/>
      <c r="N309" s="13"/>
      <c r="O309" s="13">
        <v>45</v>
      </c>
      <c r="P309" s="13"/>
      <c r="Q309" s="13"/>
      <c r="R309" s="13"/>
      <c r="S309" s="13"/>
      <c r="T309" s="13"/>
      <c r="U309" s="13"/>
      <c r="V309" s="13">
        <f>SUM(M309:U309)</f>
        <v>45</v>
      </c>
      <c r="W309" s="472">
        <v>810700</v>
      </c>
      <c r="Y309" s="489"/>
      <c r="AA309" s="68"/>
      <c r="AB309" s="68"/>
    </row>
    <row r="310" spans="1:28" hidden="1">
      <c r="A310" s="15"/>
      <c r="B310" s="13"/>
      <c r="C310" s="13"/>
      <c r="D310" s="13"/>
      <c r="E310" s="13"/>
      <c r="F310" s="13"/>
      <c r="G310" s="13"/>
      <c r="H310" s="13"/>
      <c r="I310" s="13"/>
      <c r="J310" s="13"/>
      <c r="K310" s="13"/>
      <c r="L310" s="472"/>
      <c r="M310" s="13"/>
      <c r="N310" s="13"/>
      <c r="O310" s="13"/>
      <c r="P310" s="13"/>
      <c r="Q310" s="13"/>
      <c r="R310" s="13"/>
      <c r="S310" s="13"/>
      <c r="T310" s="13"/>
      <c r="U310" s="13"/>
      <c r="V310" s="13"/>
      <c r="W310" s="472"/>
      <c r="AA310" s="68"/>
      <c r="AB310" s="68"/>
    </row>
    <row r="311" spans="1:28" hidden="1">
      <c r="A311" s="481" t="s">
        <v>6905</v>
      </c>
      <c r="B311" s="477"/>
      <c r="C311" s="477"/>
      <c r="D311" s="477"/>
      <c r="E311" s="477"/>
      <c r="F311" s="477"/>
      <c r="G311" s="477"/>
      <c r="H311" s="477"/>
      <c r="I311" s="477"/>
      <c r="J311" s="477"/>
      <c r="K311" s="477"/>
      <c r="L311" s="488"/>
      <c r="M311" s="477"/>
      <c r="N311" s="477"/>
      <c r="O311" s="477"/>
      <c r="P311" s="477"/>
      <c r="Q311" s="477"/>
      <c r="R311" s="477"/>
      <c r="S311" s="477"/>
      <c r="T311" s="477"/>
      <c r="U311" s="477"/>
      <c r="V311" s="477"/>
      <c r="W311" s="487"/>
      <c r="AA311" s="68"/>
      <c r="AB311" s="68"/>
    </row>
    <row r="312" spans="1:28" hidden="1">
      <c r="A312" s="15" t="s">
        <v>6904</v>
      </c>
      <c r="B312" s="13"/>
      <c r="C312" s="13"/>
      <c r="D312" s="13"/>
      <c r="E312" s="13"/>
      <c r="F312" s="13"/>
      <c r="G312" s="13"/>
      <c r="H312" s="13"/>
      <c r="I312" s="13"/>
      <c r="J312" s="13"/>
      <c r="K312" s="13"/>
      <c r="L312" s="472"/>
      <c r="M312" s="13"/>
      <c r="N312" s="13"/>
      <c r="O312" s="13"/>
      <c r="P312" s="13"/>
      <c r="Q312" s="13"/>
      <c r="R312" s="13"/>
      <c r="S312" s="13"/>
      <c r="T312" s="13"/>
      <c r="U312" s="13"/>
      <c r="V312" s="13"/>
      <c r="W312" s="16"/>
      <c r="AA312" s="68"/>
      <c r="AB312" s="68"/>
    </row>
    <row r="313" spans="1:28" hidden="1">
      <c r="A313" s="15"/>
      <c r="B313" s="13"/>
      <c r="C313" s="13"/>
      <c r="D313" s="13"/>
      <c r="E313" s="13"/>
      <c r="F313" s="13"/>
      <c r="G313" s="13"/>
      <c r="H313" s="13"/>
      <c r="I313" s="13"/>
      <c r="J313" s="13"/>
      <c r="K313" s="13"/>
      <c r="L313" s="472"/>
      <c r="M313" s="13"/>
      <c r="N313" s="13"/>
      <c r="O313" s="13"/>
      <c r="P313" s="13"/>
      <c r="Q313" s="13"/>
      <c r="R313" s="13"/>
      <c r="S313" s="13"/>
      <c r="T313" s="13"/>
      <c r="U313" s="13"/>
      <c r="V313" s="13"/>
      <c r="W313" s="16"/>
      <c r="AA313" s="68"/>
      <c r="AB313" s="68"/>
    </row>
    <row r="314" spans="1:28" hidden="1">
      <c r="A314" s="495" t="s">
        <v>6903</v>
      </c>
      <c r="B314" s="493"/>
      <c r="C314" s="493"/>
      <c r="D314" s="493"/>
      <c r="E314" s="493"/>
      <c r="F314" s="493"/>
      <c r="G314" s="493"/>
      <c r="H314" s="493"/>
      <c r="I314" s="493"/>
      <c r="J314" s="493"/>
      <c r="K314" s="493"/>
      <c r="L314" s="492"/>
      <c r="M314" s="493"/>
      <c r="N314" s="493"/>
      <c r="O314" s="493"/>
      <c r="P314" s="493"/>
      <c r="Q314" s="493"/>
      <c r="R314" s="493"/>
      <c r="S314" s="493"/>
      <c r="T314" s="493"/>
      <c r="U314" s="493"/>
      <c r="V314" s="493"/>
      <c r="W314" s="530"/>
      <c r="AA314" s="68"/>
      <c r="AB314" s="68"/>
    </row>
    <row r="315" spans="1:28" hidden="1">
      <c r="A315" s="15" t="s">
        <v>6902</v>
      </c>
      <c r="B315" s="13"/>
      <c r="C315" s="13"/>
      <c r="D315" s="13"/>
      <c r="E315" s="13"/>
      <c r="F315" s="13"/>
      <c r="G315" s="13"/>
      <c r="H315" s="13"/>
      <c r="I315" s="13"/>
      <c r="J315" s="13"/>
      <c r="K315" s="13"/>
      <c r="L315" s="472"/>
      <c r="M315" s="13"/>
      <c r="N315" s="13"/>
      <c r="O315" s="13"/>
      <c r="P315" s="13"/>
      <c r="Q315" s="13"/>
      <c r="R315" s="13"/>
      <c r="S315" s="13"/>
      <c r="T315" s="13"/>
      <c r="U315" s="13"/>
      <c r="V315" s="13"/>
      <c r="W315" s="16"/>
      <c r="AA315" s="68"/>
      <c r="AB315" s="68"/>
    </row>
    <row r="316" spans="1:28" hidden="1">
      <c r="A316" s="15"/>
      <c r="B316" s="13"/>
      <c r="C316" s="13"/>
      <c r="D316" s="13"/>
      <c r="E316" s="13"/>
      <c r="F316" s="13"/>
      <c r="G316" s="13"/>
      <c r="H316" s="13"/>
      <c r="I316" s="13"/>
      <c r="J316" s="13"/>
      <c r="K316" s="13"/>
      <c r="L316" s="472"/>
      <c r="M316" s="13"/>
      <c r="N316" s="13"/>
      <c r="O316" s="13"/>
      <c r="P316" s="13"/>
      <c r="Q316" s="13"/>
      <c r="R316" s="13"/>
      <c r="S316" s="13"/>
      <c r="T316" s="13"/>
      <c r="U316" s="13"/>
      <c r="V316" s="13"/>
      <c r="W316" s="16"/>
      <c r="AA316" s="68"/>
      <c r="AB316" s="68"/>
    </row>
    <row r="317" spans="1:28" hidden="1">
      <c r="A317" s="486" t="s">
        <v>6901</v>
      </c>
      <c r="B317" s="484"/>
      <c r="C317" s="484"/>
      <c r="D317" s="484"/>
      <c r="E317" s="484"/>
      <c r="F317" s="484"/>
      <c r="G317" s="484"/>
      <c r="H317" s="484"/>
      <c r="I317" s="484"/>
      <c r="J317" s="484"/>
      <c r="K317" s="484"/>
      <c r="L317" s="485"/>
      <c r="M317" s="484"/>
      <c r="N317" s="484"/>
      <c r="O317" s="484"/>
      <c r="P317" s="484"/>
      <c r="Q317" s="484"/>
      <c r="R317" s="484"/>
      <c r="S317" s="484"/>
      <c r="T317" s="484"/>
      <c r="U317" s="484"/>
      <c r="V317" s="484"/>
      <c r="W317" s="483"/>
      <c r="AA317" s="68"/>
      <c r="AB317" s="68"/>
    </row>
    <row r="318" spans="1:28" hidden="1">
      <c r="A318" s="15" t="s">
        <v>6901</v>
      </c>
      <c r="B318" s="13"/>
      <c r="C318" s="13"/>
      <c r="D318" s="13"/>
      <c r="E318" s="13"/>
      <c r="F318" s="13"/>
      <c r="G318" s="13"/>
      <c r="H318" s="13"/>
      <c r="I318" s="13"/>
      <c r="J318" s="13"/>
      <c r="K318" s="13"/>
      <c r="L318" s="472"/>
      <c r="M318" s="13"/>
      <c r="N318" s="13"/>
      <c r="O318" s="13"/>
      <c r="P318" s="13"/>
      <c r="Q318" s="13"/>
      <c r="R318" s="13"/>
      <c r="S318" s="13"/>
      <c r="T318" s="13"/>
      <c r="U318" s="13"/>
      <c r="V318" s="13"/>
      <c r="W318" s="16"/>
      <c r="AA318" s="68"/>
      <c r="AB318" s="68"/>
    </row>
    <row r="319" spans="1:28" hidden="1">
      <c r="A319" s="15"/>
      <c r="B319" s="13"/>
      <c r="C319" s="13"/>
      <c r="D319" s="13"/>
      <c r="E319" s="13"/>
      <c r="F319" s="13"/>
      <c r="G319" s="13"/>
      <c r="H319" s="13"/>
      <c r="I319" s="13"/>
      <c r="J319" s="13"/>
      <c r="K319" s="13"/>
      <c r="L319" s="472"/>
      <c r="M319" s="13"/>
      <c r="N319" s="13"/>
      <c r="O319" s="13"/>
      <c r="P319" s="13"/>
      <c r="Q319" s="13"/>
      <c r="R319" s="13"/>
      <c r="S319" s="13"/>
      <c r="T319" s="13"/>
      <c r="U319" s="13"/>
      <c r="V319" s="13"/>
      <c r="W319" s="16"/>
      <c r="AA319" s="68"/>
      <c r="AB319" s="68"/>
    </row>
    <row r="320" spans="1:28" hidden="1">
      <c r="A320" s="486" t="s">
        <v>6900</v>
      </c>
      <c r="B320" s="484"/>
      <c r="C320" s="484"/>
      <c r="D320" s="484"/>
      <c r="E320" s="484"/>
      <c r="F320" s="484"/>
      <c r="G320" s="484"/>
      <c r="H320" s="484"/>
      <c r="I320" s="484"/>
      <c r="J320" s="484"/>
      <c r="K320" s="484"/>
      <c r="L320" s="485"/>
      <c r="M320" s="484"/>
      <c r="N320" s="484"/>
      <c r="O320" s="484"/>
      <c r="P320" s="484"/>
      <c r="Q320" s="484"/>
      <c r="R320" s="484"/>
      <c r="S320" s="484"/>
      <c r="T320" s="484"/>
      <c r="U320" s="484"/>
      <c r="V320" s="484"/>
      <c r="W320" s="483"/>
      <c r="AA320" s="68"/>
      <c r="AB320" s="68"/>
    </row>
    <row r="321" spans="1:28" hidden="1">
      <c r="A321" s="15" t="s">
        <v>6900</v>
      </c>
      <c r="B321" s="13"/>
      <c r="C321" s="13"/>
      <c r="D321" s="13"/>
      <c r="E321" s="13"/>
      <c r="F321" s="13"/>
      <c r="G321" s="13"/>
      <c r="H321" s="13"/>
      <c r="I321" s="13"/>
      <c r="J321" s="13"/>
      <c r="K321" s="13"/>
      <c r="L321" s="472"/>
      <c r="M321" s="13"/>
      <c r="N321" s="13"/>
      <c r="O321" s="13"/>
      <c r="P321" s="13"/>
      <c r="Q321" s="13"/>
      <c r="R321" s="13"/>
      <c r="S321" s="13"/>
      <c r="T321" s="13"/>
      <c r="U321" s="13"/>
      <c r="V321" s="13"/>
      <c r="W321" s="16"/>
      <c r="AA321" s="68"/>
      <c r="AB321" s="68"/>
    </row>
    <row r="322" spans="1:28" hidden="1">
      <c r="A322" s="15"/>
      <c r="B322" s="13"/>
      <c r="C322" s="13"/>
      <c r="D322" s="13"/>
      <c r="E322" s="13"/>
      <c r="F322" s="13"/>
      <c r="G322" s="13"/>
      <c r="H322" s="13"/>
      <c r="I322" s="13"/>
      <c r="J322" s="13"/>
      <c r="K322" s="13"/>
      <c r="L322" s="472"/>
      <c r="M322" s="13"/>
      <c r="N322" s="13"/>
      <c r="O322" s="13"/>
      <c r="P322" s="13"/>
      <c r="Q322" s="13"/>
      <c r="R322" s="13"/>
      <c r="S322" s="13"/>
      <c r="T322" s="13"/>
      <c r="U322" s="13"/>
      <c r="V322" s="13"/>
      <c r="W322" s="16"/>
      <c r="AA322" s="68"/>
      <c r="AB322" s="68"/>
    </row>
    <row r="323" spans="1:28" hidden="1">
      <c r="A323" s="486" t="s">
        <v>6899</v>
      </c>
      <c r="B323" s="484"/>
      <c r="C323" s="484"/>
      <c r="D323" s="484"/>
      <c r="E323" s="484"/>
      <c r="F323" s="484"/>
      <c r="G323" s="484"/>
      <c r="H323" s="484"/>
      <c r="I323" s="484"/>
      <c r="J323" s="484"/>
      <c r="K323" s="484"/>
      <c r="L323" s="485"/>
      <c r="M323" s="484"/>
      <c r="N323" s="484"/>
      <c r="O323" s="484"/>
      <c r="P323" s="484"/>
      <c r="Q323" s="484"/>
      <c r="R323" s="484"/>
      <c r="S323" s="484"/>
      <c r="T323" s="484"/>
      <c r="U323" s="484"/>
      <c r="V323" s="484"/>
      <c r="W323" s="483"/>
      <c r="AA323" s="68"/>
      <c r="AB323" s="68"/>
    </row>
    <row r="324" spans="1:28" hidden="1">
      <c r="A324" s="15" t="s">
        <v>6898</v>
      </c>
      <c r="B324" s="13"/>
      <c r="C324" s="13"/>
      <c r="D324" s="13"/>
      <c r="E324" s="13"/>
      <c r="F324" s="13"/>
      <c r="G324" s="13"/>
      <c r="H324" s="13"/>
      <c r="I324" s="13"/>
      <c r="J324" s="13"/>
      <c r="K324" s="13"/>
      <c r="L324" s="472"/>
      <c r="M324" s="13"/>
      <c r="N324" s="13"/>
      <c r="O324" s="13"/>
      <c r="P324" s="13"/>
      <c r="Q324" s="13"/>
      <c r="R324" s="13"/>
      <c r="S324" s="13"/>
      <c r="T324" s="13"/>
      <c r="U324" s="13"/>
      <c r="V324" s="13"/>
      <c r="W324" s="16"/>
      <c r="AA324" s="68"/>
      <c r="AB324" s="68"/>
    </row>
    <row r="325" spans="1:28" hidden="1">
      <c r="A325" s="15" t="s">
        <v>6897</v>
      </c>
      <c r="B325" s="13"/>
      <c r="C325" s="13"/>
      <c r="D325" s="13"/>
      <c r="E325" s="13"/>
      <c r="F325" s="13"/>
      <c r="G325" s="13"/>
      <c r="H325" s="13"/>
      <c r="I325" s="13"/>
      <c r="J325" s="13"/>
      <c r="K325" s="13"/>
      <c r="L325" s="472"/>
      <c r="M325" s="13"/>
      <c r="N325" s="13"/>
      <c r="O325" s="13"/>
      <c r="P325" s="13"/>
      <c r="Q325" s="13"/>
      <c r="R325" s="13"/>
      <c r="S325" s="13"/>
      <c r="T325" s="13"/>
      <c r="U325" s="13"/>
      <c r="V325" s="13"/>
      <c r="W325" s="16"/>
      <c r="AA325" s="68"/>
      <c r="AB325" s="68"/>
    </row>
    <row r="326" spans="1:28" hidden="1">
      <c r="A326" s="15" t="s">
        <v>6896</v>
      </c>
      <c r="B326" s="13"/>
      <c r="C326" s="13"/>
      <c r="D326" s="13"/>
      <c r="E326" s="13"/>
      <c r="F326" s="13"/>
      <c r="G326" s="13"/>
      <c r="H326" s="13"/>
      <c r="I326" s="13"/>
      <c r="J326" s="13"/>
      <c r="K326" s="13"/>
      <c r="L326" s="472"/>
      <c r="M326" s="13"/>
      <c r="N326" s="13"/>
      <c r="O326" s="13"/>
      <c r="P326" s="13"/>
      <c r="Q326" s="13"/>
      <c r="R326" s="13"/>
      <c r="S326" s="13"/>
      <c r="T326" s="13"/>
      <c r="U326" s="13"/>
      <c r="V326" s="13"/>
      <c r="W326" s="16"/>
      <c r="AA326" s="68"/>
      <c r="AB326" s="68"/>
    </row>
    <row r="327" spans="1:28" hidden="1">
      <c r="A327" s="15" t="s">
        <v>6895</v>
      </c>
      <c r="B327" s="13"/>
      <c r="C327" s="13"/>
      <c r="D327" s="13"/>
      <c r="E327" s="13"/>
      <c r="F327" s="13"/>
      <c r="G327" s="13"/>
      <c r="H327" s="13"/>
      <c r="I327" s="13"/>
      <c r="J327" s="13"/>
      <c r="K327" s="13"/>
      <c r="L327" s="472"/>
      <c r="M327" s="13"/>
      <c r="N327" s="13"/>
      <c r="O327" s="13"/>
      <c r="P327" s="13"/>
      <c r="Q327" s="13"/>
      <c r="R327" s="13"/>
      <c r="S327" s="13"/>
      <c r="T327" s="13"/>
      <c r="U327" s="13"/>
      <c r="V327" s="13"/>
      <c r="W327" s="16"/>
      <c r="AA327" s="68"/>
      <c r="AB327" s="68"/>
    </row>
    <row r="328" spans="1:28" hidden="1">
      <c r="A328" s="15"/>
      <c r="B328" s="13"/>
      <c r="C328" s="13"/>
      <c r="D328" s="13"/>
      <c r="E328" s="13"/>
      <c r="F328" s="13"/>
      <c r="G328" s="13"/>
      <c r="H328" s="13"/>
      <c r="I328" s="13"/>
      <c r="J328" s="13"/>
      <c r="K328" s="13"/>
      <c r="L328" s="472"/>
      <c r="M328" s="13"/>
      <c r="N328" s="13"/>
      <c r="O328" s="13"/>
      <c r="P328" s="13"/>
      <c r="Q328" s="13"/>
      <c r="R328" s="13"/>
      <c r="S328" s="13"/>
      <c r="T328" s="13"/>
      <c r="U328" s="13"/>
      <c r="V328" s="13"/>
      <c r="W328" s="16"/>
      <c r="AA328" s="68"/>
      <c r="AB328" s="68"/>
    </row>
    <row r="329" spans="1:28" hidden="1">
      <c r="A329" s="481" t="s">
        <v>6894</v>
      </c>
      <c r="B329" s="482"/>
      <c r="C329" s="482"/>
      <c r="D329" s="482"/>
      <c r="E329" s="482"/>
      <c r="F329" s="482"/>
      <c r="G329" s="482"/>
      <c r="H329" s="482"/>
      <c r="I329" s="482"/>
      <c r="J329" s="482">
        <f>SUM(J330:J333)</f>
        <v>0</v>
      </c>
      <c r="K329" s="482">
        <f>SUM(K330:K333)</f>
        <v>0</v>
      </c>
      <c r="L329" s="479">
        <f>SUM(L330:L335)</f>
        <v>0</v>
      </c>
      <c r="M329" s="478"/>
      <c r="N329" s="482"/>
      <c r="O329" s="482"/>
      <c r="P329" s="482"/>
      <c r="Q329" s="482"/>
      <c r="R329" s="482"/>
      <c r="S329" s="482"/>
      <c r="T329" s="482"/>
      <c r="U329" s="482"/>
      <c r="V329" s="482"/>
      <c r="W329" s="528">
        <f>SUM(W330:W335)</f>
        <v>0</v>
      </c>
      <c r="AA329" s="68"/>
      <c r="AB329" s="68"/>
    </row>
    <row r="330" spans="1:28" hidden="1">
      <c r="A330" s="15" t="s">
        <v>6893</v>
      </c>
      <c r="B330" s="13"/>
      <c r="C330" s="13"/>
      <c r="D330" s="13"/>
      <c r="E330" s="13"/>
      <c r="F330" s="13"/>
      <c r="G330" s="13"/>
      <c r="H330" s="13"/>
      <c r="I330" s="13"/>
      <c r="J330" s="13"/>
      <c r="K330" s="13"/>
      <c r="L330" s="529"/>
      <c r="M330" s="503"/>
      <c r="N330" s="13"/>
      <c r="O330" s="13"/>
      <c r="P330" s="13"/>
      <c r="Q330" s="13"/>
      <c r="R330" s="13"/>
      <c r="S330" s="13"/>
      <c r="T330" s="13"/>
      <c r="U330" s="13"/>
      <c r="V330" s="13"/>
      <c r="W330" s="16"/>
      <c r="AA330" s="68"/>
      <c r="AB330" s="68"/>
    </row>
    <row r="331" spans="1:28" hidden="1">
      <c r="A331" s="15" t="s">
        <v>6892</v>
      </c>
      <c r="B331" s="13"/>
      <c r="C331" s="13"/>
      <c r="D331" s="13"/>
      <c r="E331" s="13"/>
      <c r="F331" s="13"/>
      <c r="G331" s="13"/>
      <c r="H331" s="13"/>
      <c r="I331" s="13"/>
      <c r="J331" s="13"/>
      <c r="K331" s="13"/>
      <c r="L331" s="529"/>
      <c r="M331" s="503"/>
      <c r="N331" s="13"/>
      <c r="O331" s="13"/>
      <c r="P331" s="13"/>
      <c r="Q331" s="13"/>
      <c r="R331" s="13"/>
      <c r="S331" s="13"/>
      <c r="T331" s="13"/>
      <c r="U331" s="13"/>
      <c r="V331" s="13"/>
      <c r="W331" s="16"/>
      <c r="AA331" s="68"/>
      <c r="AB331" s="68"/>
    </row>
    <row r="332" spans="1:28" hidden="1">
      <c r="A332" s="15" t="s">
        <v>6891</v>
      </c>
      <c r="B332" s="13"/>
      <c r="C332" s="13"/>
      <c r="D332" s="13"/>
      <c r="E332" s="13"/>
      <c r="F332" s="13"/>
      <c r="G332" s="13"/>
      <c r="H332" s="13"/>
      <c r="I332" s="13"/>
      <c r="J332" s="13"/>
      <c r="K332" s="13"/>
      <c r="L332" s="472"/>
      <c r="M332" s="13"/>
      <c r="N332" s="13"/>
      <c r="O332" s="13"/>
      <c r="P332" s="13"/>
      <c r="Q332" s="13"/>
      <c r="R332" s="13"/>
      <c r="S332" s="13"/>
      <c r="T332" s="13"/>
      <c r="U332" s="13"/>
      <c r="V332" s="13"/>
      <c r="W332" s="16"/>
      <c r="AA332" s="68"/>
      <c r="AB332" s="68"/>
    </row>
    <row r="333" spans="1:28" hidden="1">
      <c r="A333" s="15" t="s">
        <v>6890</v>
      </c>
      <c r="B333" s="13"/>
      <c r="C333" s="13"/>
      <c r="D333" s="13"/>
      <c r="E333" s="13"/>
      <c r="F333" s="13"/>
      <c r="G333" s="13"/>
      <c r="H333" s="13"/>
      <c r="I333" s="13"/>
      <c r="J333" s="13"/>
      <c r="K333" s="13"/>
      <c r="L333" s="472"/>
      <c r="M333" s="13"/>
      <c r="N333" s="13"/>
      <c r="O333" s="13"/>
      <c r="P333" s="13"/>
      <c r="Q333" s="13"/>
      <c r="R333" s="13"/>
      <c r="S333" s="13"/>
      <c r="T333" s="13"/>
      <c r="U333" s="13"/>
      <c r="V333" s="13"/>
      <c r="W333" s="16"/>
      <c r="AA333" s="68"/>
      <c r="AB333" s="68"/>
    </row>
    <row r="334" spans="1:28" hidden="1">
      <c r="A334" s="15" t="s">
        <v>6889</v>
      </c>
      <c r="B334" s="13"/>
      <c r="C334" s="13"/>
      <c r="D334" s="13"/>
      <c r="E334" s="13"/>
      <c r="F334" s="13"/>
      <c r="G334" s="13"/>
      <c r="H334" s="13"/>
      <c r="I334" s="13"/>
      <c r="J334" s="13"/>
      <c r="K334" s="13"/>
      <c r="L334" s="472"/>
      <c r="M334" s="13"/>
      <c r="N334" s="13"/>
      <c r="O334" s="13"/>
      <c r="P334" s="13"/>
      <c r="Q334" s="13"/>
      <c r="R334" s="13"/>
      <c r="S334" s="13"/>
      <c r="T334" s="13"/>
      <c r="U334" s="13"/>
      <c r="V334" s="13"/>
      <c r="W334" s="472"/>
      <c r="AA334" s="68"/>
      <c r="AB334" s="68"/>
    </row>
    <row r="335" spans="1:28" hidden="1">
      <c r="A335" s="15" t="s">
        <v>6888</v>
      </c>
      <c r="B335" s="13"/>
      <c r="C335" s="13"/>
      <c r="D335" s="13"/>
      <c r="E335" s="13"/>
      <c r="F335" s="13"/>
      <c r="G335" s="13"/>
      <c r="H335" s="13"/>
      <c r="I335" s="13"/>
      <c r="J335" s="13"/>
      <c r="K335" s="13"/>
      <c r="L335" s="472"/>
      <c r="M335" s="13"/>
      <c r="N335" s="13"/>
      <c r="O335" s="13"/>
      <c r="P335" s="13"/>
      <c r="Q335" s="13"/>
      <c r="R335" s="13"/>
      <c r="S335" s="13"/>
      <c r="T335" s="13"/>
      <c r="U335" s="13"/>
      <c r="V335" s="13"/>
      <c r="W335" s="16"/>
      <c r="AA335" s="68"/>
      <c r="AB335" s="68"/>
    </row>
    <row r="336" spans="1:28" hidden="1">
      <c r="A336" s="481" t="s">
        <v>6887</v>
      </c>
      <c r="B336" s="477"/>
      <c r="C336" s="477"/>
      <c r="D336" s="477"/>
      <c r="E336" s="477"/>
      <c r="F336" s="477"/>
      <c r="G336" s="477"/>
      <c r="H336" s="477"/>
      <c r="I336" s="477"/>
      <c r="J336" s="480">
        <f>SUM(J337:J341)</f>
        <v>0</v>
      </c>
      <c r="K336" s="477"/>
      <c r="L336" s="528">
        <f>SUM(L337:L339)</f>
        <v>0</v>
      </c>
      <c r="M336" s="477"/>
      <c r="N336" s="477"/>
      <c r="O336" s="477"/>
      <c r="P336" s="477"/>
      <c r="Q336" s="477"/>
      <c r="R336" s="477"/>
      <c r="S336" s="477"/>
      <c r="T336" s="477"/>
      <c r="U336" s="477"/>
      <c r="V336" s="477"/>
      <c r="W336" s="528">
        <f>SUM(W337:W339)</f>
        <v>0</v>
      </c>
      <c r="AA336" s="68"/>
      <c r="AB336" s="68"/>
    </row>
    <row r="337" spans="1:28" hidden="1">
      <c r="A337" s="15" t="s">
        <v>6886</v>
      </c>
      <c r="B337" s="13"/>
      <c r="C337" s="13"/>
      <c r="D337" s="13"/>
      <c r="E337" s="13"/>
      <c r="F337" s="13"/>
      <c r="G337" s="13"/>
      <c r="H337" s="13"/>
      <c r="I337" s="13"/>
      <c r="J337" s="13"/>
      <c r="K337" s="13"/>
      <c r="L337" s="472"/>
      <c r="M337" s="13"/>
      <c r="N337" s="13"/>
      <c r="O337" s="13"/>
      <c r="P337" s="13"/>
      <c r="Q337" s="13"/>
      <c r="R337" s="13"/>
      <c r="S337" s="13"/>
      <c r="T337" s="13"/>
      <c r="U337" s="13"/>
      <c r="V337" s="13"/>
      <c r="W337" s="16"/>
      <c r="AA337" s="68"/>
      <c r="AB337" s="68"/>
    </row>
    <row r="338" spans="1:28" hidden="1">
      <c r="A338" s="15" t="s">
        <v>6885</v>
      </c>
      <c r="B338" s="13"/>
      <c r="C338" s="13"/>
      <c r="D338" s="13"/>
      <c r="E338" s="13"/>
      <c r="F338" s="13"/>
      <c r="G338" s="13"/>
      <c r="H338" s="13"/>
      <c r="I338" s="13"/>
      <c r="J338" s="13"/>
      <c r="K338" s="13"/>
      <c r="L338" s="472"/>
      <c r="M338" s="13"/>
      <c r="N338" s="13"/>
      <c r="O338" s="13"/>
      <c r="P338" s="13"/>
      <c r="Q338" s="13"/>
      <c r="R338" s="13"/>
      <c r="S338" s="13"/>
      <c r="T338" s="13"/>
      <c r="U338" s="13"/>
      <c r="V338" s="13"/>
      <c r="W338" s="16"/>
      <c r="AA338" s="68"/>
      <c r="AB338" s="68"/>
    </row>
    <row r="339" spans="1:28" hidden="1">
      <c r="A339" s="15" t="s">
        <v>6884</v>
      </c>
      <c r="B339" s="13"/>
      <c r="C339" s="13"/>
      <c r="D339" s="13"/>
      <c r="E339" s="13"/>
      <c r="F339" s="13"/>
      <c r="G339" s="13"/>
      <c r="H339" s="13"/>
      <c r="I339" s="13"/>
      <c r="J339" s="13"/>
      <c r="K339" s="13"/>
      <c r="L339" s="472"/>
      <c r="M339" s="13"/>
      <c r="N339" s="13"/>
      <c r="O339" s="13"/>
      <c r="P339" s="13"/>
      <c r="Q339" s="13"/>
      <c r="R339" s="13"/>
      <c r="S339" s="13"/>
      <c r="T339" s="13"/>
      <c r="U339" s="13"/>
      <c r="V339" s="13"/>
      <c r="W339" s="16"/>
      <c r="AA339" s="68"/>
      <c r="AB339" s="68"/>
    </row>
    <row r="340" spans="1:28" hidden="1">
      <c r="A340" s="527" t="s">
        <v>6883</v>
      </c>
      <c r="B340" s="493"/>
      <c r="C340" s="493"/>
      <c r="D340" s="493"/>
      <c r="E340" s="493"/>
      <c r="F340" s="493"/>
      <c r="G340" s="493"/>
      <c r="H340" s="493"/>
      <c r="I340" s="493"/>
      <c r="J340" s="493"/>
      <c r="K340" s="493"/>
      <c r="L340" s="492">
        <f>L341</f>
        <v>0</v>
      </c>
      <c r="M340" s="493"/>
      <c r="N340" s="493"/>
      <c r="O340" s="493"/>
      <c r="P340" s="493"/>
      <c r="Q340" s="493"/>
      <c r="R340" s="493"/>
      <c r="S340" s="493"/>
      <c r="T340" s="493"/>
      <c r="U340" s="493"/>
      <c r="V340" s="493">
        <f>SUM(M340:U340)</f>
        <v>0</v>
      </c>
      <c r="W340" s="492">
        <f>W341</f>
        <v>0</v>
      </c>
      <c r="AA340" s="68"/>
      <c r="AB340" s="68"/>
    </row>
    <row r="341" spans="1:28" ht="13.5" hidden="1" thickBot="1">
      <c r="A341" s="15" t="s">
        <v>6882</v>
      </c>
      <c r="B341" s="13"/>
      <c r="C341" s="13"/>
      <c r="D341" s="13"/>
      <c r="E341" s="13"/>
      <c r="F341" s="13"/>
      <c r="G341" s="13"/>
      <c r="H341" s="13"/>
      <c r="I341" s="13"/>
      <c r="J341" s="13"/>
      <c r="K341" s="13"/>
      <c r="L341" s="472"/>
      <c r="M341" s="13"/>
      <c r="N341" s="13"/>
      <c r="O341" s="13"/>
      <c r="P341" s="13"/>
      <c r="Q341" s="13"/>
      <c r="R341" s="13"/>
      <c r="S341" s="13"/>
      <c r="T341" s="13"/>
      <c r="U341" s="13"/>
      <c r="V341" s="13"/>
      <c r="W341" s="472"/>
      <c r="AA341" s="68"/>
      <c r="AB341" s="68"/>
    </row>
    <row r="342" spans="1:28" ht="13.5" thickBot="1">
      <c r="A342" s="17" t="s">
        <v>23</v>
      </c>
      <c r="B342" s="471">
        <f>B10+B50+B79+B91+B213+B219+B292+B306+B329+B336+B340+B67</f>
        <v>7400</v>
      </c>
      <c r="C342" s="470">
        <f t="shared" ref="C342:H342" si="81">C10+C50+C79+C91+C213+C219+C292+C306+C329+C336+C340</f>
        <v>0</v>
      </c>
      <c r="D342" s="470">
        <f t="shared" si="81"/>
        <v>186</v>
      </c>
      <c r="E342" s="470">
        <f t="shared" si="81"/>
        <v>0</v>
      </c>
      <c r="F342" s="470">
        <f t="shared" si="81"/>
        <v>0</v>
      </c>
      <c r="G342" s="470">
        <f t="shared" si="81"/>
        <v>0</v>
      </c>
      <c r="H342" s="470">
        <f t="shared" si="81"/>
        <v>0</v>
      </c>
      <c r="I342" s="470">
        <f>I10+I50+I79+I91+I213+I219+I292+I306+I329+I336+I340+I314</f>
        <v>36</v>
      </c>
      <c r="J342" s="470">
        <f>J10+J50+J79+J91+J213+J219+J292+J306+J329+J336+J340+J314</f>
        <v>11848</v>
      </c>
      <c r="K342" s="470">
        <f>K10+K50+K79+K91+K213+K219+K292+K306+K329+K336+K340+K314+K67</f>
        <v>19470</v>
      </c>
      <c r="L342" s="469">
        <f>L10+L50+L79+L91+L213+L219+L292+L306+L329+L336+L340+L314+L67</f>
        <v>756174703.05255914</v>
      </c>
      <c r="M342" s="471">
        <f>M10+M50+M79+M91+M213+M219+M292+M306+M329+M336+M340+M67</f>
        <v>7233</v>
      </c>
      <c r="N342" s="470">
        <f t="shared" ref="N342:S342" si="82">N10+N50+N79+N91+N213+N219+N292+N306+N329+N336+N340</f>
        <v>0</v>
      </c>
      <c r="O342" s="470">
        <f t="shared" si="82"/>
        <v>137</v>
      </c>
      <c r="P342" s="470">
        <f t="shared" si="82"/>
        <v>0</v>
      </c>
      <c r="Q342" s="470">
        <f t="shared" si="82"/>
        <v>0</v>
      </c>
      <c r="R342" s="470">
        <f t="shared" si="82"/>
        <v>0</v>
      </c>
      <c r="S342" s="470">
        <f t="shared" si="82"/>
        <v>0</v>
      </c>
      <c r="T342" s="470">
        <f>T10+T50+T79+T91+T213+T219+T292+T306+T329+T336+T340+T314</f>
        <v>36</v>
      </c>
      <c r="U342" s="470">
        <f>U10+U50+U79+U91+U213+U219+U292+U306+U329+U336+U340+U314</f>
        <v>11435</v>
      </c>
      <c r="V342" s="470">
        <f>V10+V50+V79+V91+V219+V292+V306+V329+V336+V340+V314+V67</f>
        <v>18783</v>
      </c>
      <c r="W342" s="469">
        <f>W10+W50+W79+W91+W213+W219+W292+W306+W329+W336+W340+W314+W67</f>
        <v>735292817.88788795</v>
      </c>
      <c r="X342" s="55"/>
      <c r="AA342" s="68"/>
      <c r="AB342" s="68"/>
    </row>
    <row r="343" spans="1:28" s="712" customFormat="1" ht="6">
      <c r="A343" s="2007"/>
      <c r="B343" s="2008"/>
      <c r="C343" s="2008"/>
      <c r="D343" s="2008"/>
      <c r="E343" s="2008"/>
      <c r="F343" s="2008"/>
      <c r="G343" s="2008"/>
      <c r="H343" s="2008"/>
      <c r="I343" s="2008"/>
      <c r="J343" s="2008"/>
      <c r="K343" s="2008"/>
      <c r="L343" s="2008"/>
      <c r="M343" s="2008"/>
      <c r="N343" s="2008"/>
      <c r="O343" s="2008"/>
      <c r="P343" s="2008"/>
      <c r="Q343" s="2008"/>
      <c r="R343" s="2008"/>
      <c r="S343" s="2008"/>
      <c r="T343" s="2008"/>
      <c r="U343" s="2008"/>
      <c r="V343" s="2008"/>
      <c r="W343" s="2009"/>
      <c r="X343" s="711"/>
    </row>
    <row r="344" spans="1:28" ht="15">
      <c r="A344" s="2004" t="s">
        <v>7177</v>
      </c>
      <c r="B344" s="2005"/>
      <c r="C344" s="2005"/>
      <c r="D344" s="2005"/>
      <c r="E344" s="2005"/>
      <c r="F344" s="2005"/>
      <c r="G344" s="2005"/>
      <c r="H344" s="2005"/>
      <c r="I344" s="2005"/>
      <c r="J344" s="2005"/>
      <c r="K344" s="2005"/>
      <c r="L344" s="2005"/>
      <c r="M344" s="2005"/>
      <c r="N344" s="2005"/>
      <c r="O344" s="2005"/>
      <c r="P344" s="2005"/>
      <c r="Q344" s="2005"/>
      <c r="R344" s="2005"/>
      <c r="S344" s="2005"/>
      <c r="T344" s="2005"/>
      <c r="U344" s="2005"/>
      <c r="V344" s="2005"/>
      <c r="W344" s="2006"/>
      <c r="Y344" s="68"/>
      <c r="Z344" s="68"/>
      <c r="AA344" s="68"/>
      <c r="AB344" s="68"/>
    </row>
    <row r="345" spans="1:28" s="710" customFormat="1" ht="8.25">
      <c r="A345" s="2010"/>
      <c r="B345" s="2011"/>
      <c r="C345" s="2011"/>
      <c r="D345" s="2011"/>
      <c r="E345" s="2011"/>
      <c r="F345" s="2011"/>
      <c r="G345" s="2011"/>
      <c r="H345" s="2011"/>
      <c r="I345" s="2011"/>
      <c r="J345" s="2011"/>
      <c r="K345" s="2011"/>
      <c r="L345" s="2011"/>
      <c r="M345" s="2011"/>
      <c r="N345" s="2011"/>
      <c r="O345" s="2011"/>
      <c r="P345" s="2011"/>
      <c r="Q345" s="2011"/>
      <c r="R345" s="2011"/>
      <c r="S345" s="2011"/>
      <c r="T345" s="2011"/>
      <c r="U345" s="2011"/>
      <c r="V345" s="2011"/>
      <c r="W345" s="2012"/>
      <c r="X345" s="709"/>
    </row>
    <row r="346" spans="1:28" ht="24">
      <c r="A346" s="704" t="s">
        <v>6909</v>
      </c>
      <c r="B346" s="482"/>
      <c r="C346" s="482"/>
      <c r="D346" s="482">
        <f t="shared" ref="D346:W346" si="83">SUM(D347:D349)</f>
        <v>91</v>
      </c>
      <c r="E346" s="482">
        <f t="shared" si="83"/>
        <v>0</v>
      </c>
      <c r="F346" s="482">
        <f t="shared" si="83"/>
        <v>0</v>
      </c>
      <c r="G346" s="482">
        <f t="shared" si="83"/>
        <v>0</v>
      </c>
      <c r="H346" s="482">
        <f t="shared" si="83"/>
        <v>0</v>
      </c>
      <c r="I346" s="482">
        <f t="shared" si="83"/>
        <v>0</v>
      </c>
      <c r="J346" s="482">
        <f t="shared" si="83"/>
        <v>0</v>
      </c>
      <c r="K346" s="482">
        <f t="shared" si="83"/>
        <v>91</v>
      </c>
      <c r="L346" s="474">
        <f t="shared" si="83"/>
        <v>2305922.96</v>
      </c>
      <c r="M346" s="482">
        <f t="shared" si="83"/>
        <v>0</v>
      </c>
      <c r="N346" s="482">
        <f t="shared" si="83"/>
        <v>0</v>
      </c>
      <c r="O346" s="482">
        <f t="shared" si="83"/>
        <v>97</v>
      </c>
      <c r="P346" s="482">
        <f t="shared" si="83"/>
        <v>0</v>
      </c>
      <c r="Q346" s="482">
        <f t="shared" si="83"/>
        <v>0</v>
      </c>
      <c r="R346" s="482">
        <f t="shared" si="83"/>
        <v>0</v>
      </c>
      <c r="S346" s="482">
        <f t="shared" si="83"/>
        <v>0</v>
      </c>
      <c r="T346" s="482">
        <f t="shared" si="83"/>
        <v>0</v>
      </c>
      <c r="U346" s="482">
        <f t="shared" si="83"/>
        <v>0</v>
      </c>
      <c r="V346" s="482">
        <f t="shared" si="83"/>
        <v>97</v>
      </c>
      <c r="W346" s="474">
        <f t="shared" si="83"/>
        <v>1936749.96</v>
      </c>
      <c r="Y346" s="490"/>
      <c r="AA346" s="68"/>
      <c r="AB346" s="68"/>
    </row>
    <row r="347" spans="1:28" ht="24">
      <c r="A347" s="703" t="s">
        <v>6908</v>
      </c>
      <c r="B347" s="13"/>
      <c r="C347" s="13"/>
      <c r="D347" s="13">
        <v>7</v>
      </c>
      <c r="E347" s="13"/>
      <c r="F347" s="13"/>
      <c r="G347" s="13"/>
      <c r="H347" s="13"/>
      <c r="I347" s="13"/>
      <c r="J347" s="13"/>
      <c r="K347" s="13">
        <f>SUM(B347:J347)</f>
        <v>7</v>
      </c>
      <c r="L347" s="472">
        <v>532749.96</v>
      </c>
      <c r="M347" s="13"/>
      <c r="N347" s="13"/>
      <c r="O347" s="13">
        <v>10</v>
      </c>
      <c r="P347" s="13"/>
      <c r="Q347" s="13"/>
      <c r="R347" s="13"/>
      <c r="S347" s="13"/>
      <c r="T347" s="13"/>
      <c r="U347" s="13"/>
      <c r="V347" s="13">
        <f>SUM(M347:U347)</f>
        <v>10</v>
      </c>
      <c r="W347" s="472">
        <v>532749.96</v>
      </c>
      <c r="Y347" s="489"/>
      <c r="AA347" s="68"/>
      <c r="AB347" s="68"/>
    </row>
    <row r="348" spans="1:28" ht="24">
      <c r="A348" s="703" t="s">
        <v>6907</v>
      </c>
      <c r="B348" s="13"/>
      <c r="C348" s="13"/>
      <c r="D348" s="13">
        <v>29</v>
      </c>
      <c r="E348" s="13"/>
      <c r="F348" s="13"/>
      <c r="G348" s="13"/>
      <c r="H348" s="13"/>
      <c r="I348" s="13"/>
      <c r="J348" s="13"/>
      <c r="K348" s="13">
        <f>SUM(B348:J348)</f>
        <v>29</v>
      </c>
      <c r="L348" s="472">
        <v>528000</v>
      </c>
      <c r="M348" s="13"/>
      <c r="N348" s="13"/>
      <c r="O348" s="13">
        <v>32</v>
      </c>
      <c r="P348" s="13"/>
      <c r="Q348" s="13"/>
      <c r="R348" s="13"/>
      <c r="S348" s="13"/>
      <c r="T348" s="13"/>
      <c r="U348" s="13"/>
      <c r="V348" s="13">
        <f>SUM(M348:U348)</f>
        <v>32</v>
      </c>
      <c r="W348" s="472">
        <v>528000</v>
      </c>
      <c r="Y348" s="489"/>
      <c r="AA348" s="68"/>
      <c r="AB348" s="68"/>
    </row>
    <row r="349" spans="1:28" ht="24.75" thickBot="1">
      <c r="A349" s="703" t="s">
        <v>6906</v>
      </c>
      <c r="B349" s="13"/>
      <c r="C349" s="13"/>
      <c r="D349" s="13">
        <v>55</v>
      </c>
      <c r="E349" s="13"/>
      <c r="F349" s="13"/>
      <c r="G349" s="13"/>
      <c r="H349" s="13"/>
      <c r="I349" s="13"/>
      <c r="J349" s="13"/>
      <c r="K349" s="13">
        <f>SUM(B349:J349)</f>
        <v>55</v>
      </c>
      <c r="L349" s="472">
        <f>876000+369173</f>
        <v>1245173</v>
      </c>
      <c r="M349" s="13"/>
      <c r="N349" s="13"/>
      <c r="O349" s="13">
        <v>55</v>
      </c>
      <c r="P349" s="13"/>
      <c r="Q349" s="13"/>
      <c r="R349" s="13"/>
      <c r="S349" s="13"/>
      <c r="T349" s="13"/>
      <c r="U349" s="13"/>
      <c r="V349" s="13">
        <f>SUM(M349:U349)</f>
        <v>55</v>
      </c>
      <c r="W349" s="472">
        <v>876000</v>
      </c>
      <c r="Y349" s="489"/>
      <c r="AA349" s="68"/>
      <c r="AB349" s="68"/>
    </row>
    <row r="350" spans="1:28" ht="13.5" hidden="1" thickBot="1">
      <c r="A350" s="15"/>
      <c r="B350" s="13"/>
      <c r="C350" s="13"/>
      <c r="D350" s="13"/>
      <c r="E350" s="13"/>
      <c r="F350" s="13"/>
      <c r="G350" s="13"/>
      <c r="H350" s="13"/>
      <c r="I350" s="13"/>
      <c r="J350" s="13"/>
      <c r="K350" s="13"/>
      <c r="L350" s="472"/>
      <c r="M350" s="13"/>
      <c r="N350" s="13"/>
      <c r="O350" s="13"/>
      <c r="P350" s="13"/>
      <c r="Q350" s="13"/>
      <c r="R350" s="13"/>
      <c r="S350" s="13"/>
      <c r="T350" s="13"/>
      <c r="U350" s="13"/>
      <c r="V350" s="13"/>
      <c r="W350" s="472"/>
      <c r="AA350" s="68"/>
      <c r="AB350" s="68"/>
    </row>
    <row r="351" spans="1:28" ht="13.5" thickBot="1">
      <c r="A351" s="46" t="s">
        <v>23</v>
      </c>
      <c r="B351" s="499">
        <f t="shared" ref="B351:W351" si="84">B346</f>
        <v>0</v>
      </c>
      <c r="C351" s="498">
        <f t="shared" si="84"/>
        <v>0</v>
      </c>
      <c r="D351" s="498">
        <f t="shared" si="84"/>
        <v>91</v>
      </c>
      <c r="E351" s="498">
        <f t="shared" si="84"/>
        <v>0</v>
      </c>
      <c r="F351" s="498">
        <f t="shared" si="84"/>
        <v>0</v>
      </c>
      <c r="G351" s="498">
        <f t="shared" si="84"/>
        <v>0</v>
      </c>
      <c r="H351" s="498">
        <f t="shared" si="84"/>
        <v>0</v>
      </c>
      <c r="I351" s="498">
        <f t="shared" si="84"/>
        <v>0</v>
      </c>
      <c r="J351" s="498">
        <f t="shared" si="84"/>
        <v>0</v>
      </c>
      <c r="K351" s="498">
        <f t="shared" si="84"/>
        <v>91</v>
      </c>
      <c r="L351" s="497">
        <f t="shared" si="84"/>
        <v>2305922.96</v>
      </c>
      <c r="M351" s="499">
        <f t="shared" si="84"/>
        <v>0</v>
      </c>
      <c r="N351" s="498">
        <f t="shared" si="84"/>
        <v>0</v>
      </c>
      <c r="O351" s="498">
        <f t="shared" si="84"/>
        <v>97</v>
      </c>
      <c r="P351" s="498">
        <f t="shared" si="84"/>
        <v>0</v>
      </c>
      <c r="Q351" s="498">
        <f t="shared" si="84"/>
        <v>0</v>
      </c>
      <c r="R351" s="498">
        <f t="shared" si="84"/>
        <v>0</v>
      </c>
      <c r="S351" s="498">
        <f t="shared" si="84"/>
        <v>0</v>
      </c>
      <c r="T351" s="498">
        <f t="shared" si="84"/>
        <v>0</v>
      </c>
      <c r="U351" s="498">
        <f t="shared" si="84"/>
        <v>0</v>
      </c>
      <c r="V351" s="498">
        <f t="shared" si="84"/>
        <v>97</v>
      </c>
      <c r="W351" s="497">
        <f t="shared" si="84"/>
        <v>1936749.96</v>
      </c>
      <c r="X351" s="55"/>
      <c r="AA351" s="68"/>
      <c r="AB351" s="68"/>
    </row>
    <row r="352" spans="1:28">
      <c r="A352" s="1" t="s">
        <v>273</v>
      </c>
      <c r="B352" s="2"/>
      <c r="C352" s="2"/>
      <c r="D352" s="2"/>
      <c r="E352" s="2"/>
      <c r="F352" s="2"/>
      <c r="G352" s="2"/>
      <c r="H352" s="2"/>
      <c r="I352" s="2"/>
      <c r="J352" s="2"/>
      <c r="K352" s="2"/>
      <c r="L352" s="2"/>
      <c r="M352" s="2"/>
      <c r="N352" s="2"/>
      <c r="O352" s="2"/>
      <c r="P352" s="6"/>
      <c r="Q352" s="52"/>
      <c r="R352"/>
      <c r="S352"/>
      <c r="T352" s="68"/>
      <c r="U352" s="68"/>
      <c r="V352" s="68"/>
      <c r="W352" s="68"/>
      <c r="X352" s="68"/>
      <c r="Y352" s="68"/>
      <c r="Z352" s="68"/>
      <c r="AA352" s="68"/>
      <c r="AB352" s="68"/>
    </row>
    <row r="353" spans="1:28">
      <c r="A353" s="11" t="s">
        <v>267</v>
      </c>
      <c r="P353" s="68"/>
      <c r="Q353" s="52"/>
      <c r="R353"/>
      <c r="S353"/>
      <c r="T353"/>
      <c r="U353"/>
      <c r="V353" s="68"/>
      <c r="W353" s="467"/>
      <c r="X353" s="68"/>
      <c r="Y353" s="68"/>
      <c r="Z353" s="68"/>
      <c r="AA353" s="68"/>
      <c r="AB353" s="68"/>
    </row>
    <row r="354" spans="1:28">
      <c r="A354" s="11" t="s">
        <v>271</v>
      </c>
      <c r="L354" s="536"/>
      <c r="P354" s="68"/>
      <c r="Q354" s="52"/>
      <c r="R354"/>
      <c r="S354"/>
      <c r="T354"/>
      <c r="U354"/>
      <c r="V354" s="68"/>
      <c r="W354" s="526"/>
      <c r="X354" s="68"/>
      <c r="Y354" s="68"/>
      <c r="Z354" s="68"/>
      <c r="AA354" s="68"/>
      <c r="AB354" s="68"/>
    </row>
    <row r="355" spans="1:28">
      <c r="A355" s="11" t="s">
        <v>278</v>
      </c>
      <c r="B355" s="465"/>
      <c r="J355" s="465"/>
      <c r="L355" s="465"/>
    </row>
  </sheetData>
  <mergeCells count="8">
    <mergeCell ref="B5:L5"/>
    <mergeCell ref="M5:W5"/>
    <mergeCell ref="A345:W345"/>
    <mergeCell ref="A7:W7"/>
    <mergeCell ref="A8:W8"/>
    <mergeCell ref="A9:W9"/>
    <mergeCell ref="A343:W343"/>
    <mergeCell ref="A344:W344"/>
  </mergeCells>
  <printOptions horizontalCentered="1"/>
  <pageMargins left="0.19685039370078741" right="0.19685039370078741" top="0.78740157480314965" bottom="0.78740157480314965" header="0.19685039370078741" footer="0.19685039370078741"/>
  <pageSetup paperSize="9" scale="86" fitToHeight="15"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rowBreaks count="1" manualBreakCount="1">
    <brk id="342" max="2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2060"/>
  </sheetPr>
  <dimension ref="A1:AB107"/>
  <sheetViews>
    <sheetView view="pageBreakPreview" zoomScaleNormal="90" zoomScaleSheetLayoutView="100" workbookViewId="0">
      <pane xSplit="1" ySplit="6" topLeftCell="B78" activePane="bottomRight" state="frozen"/>
      <selection activeCell="B8" sqref="B8"/>
      <selection pane="topRight" activeCell="B8" sqref="B8"/>
      <selection pane="bottomLeft" activeCell="B8" sqref="B8"/>
      <selection pane="bottomRight" activeCell="B8" sqref="B8"/>
    </sheetView>
  </sheetViews>
  <sheetFormatPr baseColWidth="10" defaultColWidth="11.42578125" defaultRowHeight="12.75"/>
  <cols>
    <col min="1" max="1" width="29.28515625" style="11" customWidth="1"/>
    <col min="2" max="3" width="5.42578125" style="11" bestFit="1" customWidth="1"/>
    <col min="4" max="4" width="7.5703125" style="11" bestFit="1" customWidth="1"/>
    <col min="5" max="7" width="5.42578125" style="11" bestFit="1" customWidth="1"/>
    <col min="8" max="8" width="7.5703125" style="11" bestFit="1" customWidth="1"/>
    <col min="9" max="9" width="4.85546875" style="11" bestFit="1" customWidth="1"/>
    <col min="10" max="10" width="7.7109375" style="11" bestFit="1" customWidth="1"/>
    <col min="11" max="11" width="4.28515625" style="11" bestFit="1" customWidth="1"/>
    <col min="12" max="12" width="10.7109375" style="11" bestFit="1" customWidth="1"/>
    <col min="13" max="14" width="5.42578125" style="11" bestFit="1" customWidth="1"/>
    <col min="15" max="15" width="7.5703125" style="11" bestFit="1" customWidth="1"/>
    <col min="16" max="18" width="5.42578125" style="11" bestFit="1" customWidth="1"/>
    <col min="19" max="19" width="7.5703125" style="11" bestFit="1" customWidth="1"/>
    <col min="20" max="20" width="4.85546875" style="11" bestFit="1" customWidth="1"/>
    <col min="21" max="21" width="7.7109375" style="11" bestFit="1" customWidth="1"/>
    <col min="22" max="22" width="4.28515625" style="11" bestFit="1" customWidth="1"/>
    <col min="23" max="23" width="10" style="11" bestFit="1" customWidth="1"/>
    <col min="24" max="24" width="1.7109375" style="52" customWidth="1"/>
    <col min="25" max="28" width="10.7109375" customWidth="1"/>
    <col min="29" max="16384" width="11.42578125" style="68"/>
  </cols>
  <sheetData>
    <row r="1" spans="1:28" s="72" customFormat="1" ht="15.75">
      <c r="A1" s="186" t="s">
        <v>458</v>
      </c>
      <c r="B1" s="71"/>
      <c r="C1" s="71"/>
      <c r="D1" s="71"/>
      <c r="E1" s="71"/>
      <c r="F1" s="71"/>
      <c r="G1" s="71"/>
      <c r="H1" s="71"/>
      <c r="I1" s="71"/>
      <c r="J1" s="71"/>
      <c r="K1" s="71"/>
      <c r="L1" s="71"/>
      <c r="M1" s="71"/>
      <c r="N1" s="71"/>
      <c r="O1" s="71"/>
      <c r="P1" s="71"/>
      <c r="Q1" s="71"/>
      <c r="R1" s="71"/>
      <c r="S1" s="71"/>
      <c r="T1" s="71"/>
      <c r="U1" s="71"/>
      <c r="V1" s="71"/>
      <c r="W1" s="71"/>
      <c r="X1" s="73"/>
    </row>
    <row r="2" spans="1:28" s="72" customFormat="1" ht="15.75">
      <c r="A2" s="186" t="s">
        <v>1655</v>
      </c>
      <c r="B2" s="71"/>
      <c r="C2" s="71"/>
      <c r="D2" s="71"/>
      <c r="E2" s="71"/>
      <c r="F2" s="71"/>
      <c r="G2" s="71"/>
      <c r="H2" s="71"/>
      <c r="I2" s="71"/>
      <c r="J2" s="71"/>
      <c r="K2" s="71"/>
      <c r="L2" s="71"/>
      <c r="M2" s="71"/>
      <c r="N2" s="71"/>
      <c r="O2" s="71"/>
      <c r="P2" s="71"/>
      <c r="Q2" s="71"/>
      <c r="R2" s="71"/>
      <c r="S2" s="71"/>
      <c r="T2" s="71"/>
      <c r="U2" s="71"/>
      <c r="V2" s="71"/>
      <c r="W2" s="71"/>
      <c r="X2" s="73"/>
    </row>
    <row r="3" spans="1:28" s="56" customFormat="1" ht="15.75">
      <c r="A3" s="187" t="s">
        <v>1654</v>
      </c>
      <c r="X3" s="51"/>
    </row>
    <row r="4" spans="1:28" ht="13.5" thickBot="1">
      <c r="A4" s="187" t="s">
        <v>4387</v>
      </c>
      <c r="L4" s="12"/>
      <c r="W4" s="12"/>
    </row>
    <row r="5" spans="1:28" s="41" customFormat="1" ht="11.25">
      <c r="A5" s="120" t="s">
        <v>10</v>
      </c>
      <c r="B5" s="2001" t="s">
        <v>456</v>
      </c>
      <c r="C5" s="2002"/>
      <c r="D5" s="2002"/>
      <c r="E5" s="2002"/>
      <c r="F5" s="2002"/>
      <c r="G5" s="2002"/>
      <c r="H5" s="2002"/>
      <c r="I5" s="2002"/>
      <c r="J5" s="2002"/>
      <c r="K5" s="2002"/>
      <c r="L5" s="2003"/>
      <c r="M5" s="2001" t="s">
        <v>457</v>
      </c>
      <c r="N5" s="2002"/>
      <c r="O5" s="2002"/>
      <c r="P5" s="2002"/>
      <c r="Q5" s="2002"/>
      <c r="R5" s="2002"/>
      <c r="S5" s="2002"/>
      <c r="T5" s="2002"/>
      <c r="U5" s="2002"/>
      <c r="V5" s="2002"/>
      <c r="W5" s="2003"/>
      <c r="X5" s="53"/>
    </row>
    <row r="6" spans="1:28" s="42" customFormat="1" ht="96.75">
      <c r="A6" s="121" t="s">
        <v>9</v>
      </c>
      <c r="B6" s="122" t="s">
        <v>310</v>
      </c>
      <c r="C6" s="122" t="s">
        <v>118</v>
      </c>
      <c r="D6" s="123" t="s">
        <v>266</v>
      </c>
      <c r="E6" s="123" t="s">
        <v>259</v>
      </c>
      <c r="F6" s="123" t="s">
        <v>268</v>
      </c>
      <c r="G6" s="123" t="s">
        <v>269</v>
      </c>
      <c r="H6" s="123" t="s">
        <v>270</v>
      </c>
      <c r="I6" s="123" t="s">
        <v>277</v>
      </c>
      <c r="J6" s="124" t="s">
        <v>272</v>
      </c>
      <c r="K6" s="125" t="s">
        <v>274</v>
      </c>
      <c r="L6" s="126" t="s">
        <v>276</v>
      </c>
      <c r="M6" s="122" t="s">
        <v>310</v>
      </c>
      <c r="N6" s="122" t="s">
        <v>118</v>
      </c>
      <c r="O6" s="123" t="s">
        <v>266</v>
      </c>
      <c r="P6" s="123" t="s">
        <v>259</v>
      </c>
      <c r="Q6" s="123" t="s">
        <v>268</v>
      </c>
      <c r="R6" s="123" t="s">
        <v>269</v>
      </c>
      <c r="S6" s="123" t="s">
        <v>270</v>
      </c>
      <c r="T6" s="123" t="s">
        <v>277</v>
      </c>
      <c r="U6" s="124" t="s">
        <v>272</v>
      </c>
      <c r="V6" s="125" t="s">
        <v>274</v>
      </c>
      <c r="W6" s="126" t="s">
        <v>275</v>
      </c>
      <c r="X6" s="54"/>
    </row>
    <row r="7" spans="1:28" s="712" customFormat="1" ht="6">
      <c r="A7" s="2007"/>
      <c r="B7" s="2008"/>
      <c r="C7" s="2008"/>
      <c r="D7" s="2008"/>
      <c r="E7" s="2008"/>
      <c r="F7" s="2008"/>
      <c r="G7" s="2008"/>
      <c r="H7" s="2008"/>
      <c r="I7" s="2008"/>
      <c r="J7" s="2008"/>
      <c r="K7" s="2008"/>
      <c r="L7" s="2008"/>
      <c r="M7" s="2008"/>
      <c r="N7" s="2008"/>
      <c r="O7" s="2008"/>
      <c r="P7" s="2008"/>
      <c r="Q7" s="2008"/>
      <c r="R7" s="2008"/>
      <c r="S7" s="2008"/>
      <c r="T7" s="2008"/>
      <c r="U7" s="2008"/>
      <c r="V7" s="2008"/>
      <c r="W7" s="2009"/>
      <c r="X7" s="711"/>
    </row>
    <row r="8" spans="1:28" ht="15">
      <c r="A8" s="2004" t="s">
        <v>7176</v>
      </c>
      <c r="B8" s="2005"/>
      <c r="C8" s="2005"/>
      <c r="D8" s="2005"/>
      <c r="E8" s="2005"/>
      <c r="F8" s="2005"/>
      <c r="G8" s="2005"/>
      <c r="H8" s="2005"/>
      <c r="I8" s="2005"/>
      <c r="J8" s="2005"/>
      <c r="K8" s="2005"/>
      <c r="L8" s="2005"/>
      <c r="M8" s="2005"/>
      <c r="N8" s="2005"/>
      <c r="O8" s="2005"/>
      <c r="P8" s="2005"/>
      <c r="Q8" s="2005"/>
      <c r="R8" s="2005"/>
      <c r="S8" s="2005"/>
      <c r="T8" s="2005"/>
      <c r="U8" s="2005"/>
      <c r="V8" s="2005"/>
      <c r="W8" s="2006"/>
      <c r="Y8" s="68"/>
      <c r="Z8" s="68"/>
      <c r="AA8" s="68"/>
      <c r="AB8" s="68"/>
    </row>
    <row r="9" spans="1:28" s="710" customFormat="1" ht="8.25">
      <c r="A9" s="2010"/>
      <c r="B9" s="2011"/>
      <c r="C9" s="2011"/>
      <c r="D9" s="2011"/>
      <c r="E9" s="2011"/>
      <c r="F9" s="2011"/>
      <c r="G9" s="2011"/>
      <c r="H9" s="2011"/>
      <c r="I9" s="2011"/>
      <c r="J9" s="2011"/>
      <c r="K9" s="2011"/>
      <c r="L9" s="2011"/>
      <c r="M9" s="2011"/>
      <c r="N9" s="2011"/>
      <c r="O9" s="2011"/>
      <c r="P9" s="2011"/>
      <c r="Q9" s="2011"/>
      <c r="R9" s="2011"/>
      <c r="S9" s="2011"/>
      <c r="T9" s="2011"/>
      <c r="U9" s="2011"/>
      <c r="V9" s="2011"/>
      <c r="W9" s="2012"/>
      <c r="X9" s="709"/>
    </row>
    <row r="10" spans="1:28">
      <c r="A10" s="708" t="s">
        <v>48</v>
      </c>
      <c r="B10" s="482">
        <f t="shared" ref="B10:W10" si="0">B11+B20+B27+B34+B42+B46</f>
        <v>16</v>
      </c>
      <c r="C10" s="482">
        <f t="shared" si="0"/>
        <v>0</v>
      </c>
      <c r="D10" s="482">
        <f t="shared" si="0"/>
        <v>0</v>
      </c>
      <c r="E10" s="482">
        <f t="shared" si="0"/>
        <v>0</v>
      </c>
      <c r="F10" s="482">
        <f t="shared" si="0"/>
        <v>0</v>
      </c>
      <c r="G10" s="482">
        <f t="shared" si="0"/>
        <v>0</v>
      </c>
      <c r="H10" s="482">
        <f t="shared" si="0"/>
        <v>0</v>
      </c>
      <c r="I10" s="482">
        <f t="shared" si="0"/>
        <v>0</v>
      </c>
      <c r="J10" s="482">
        <f t="shared" si="0"/>
        <v>0</v>
      </c>
      <c r="K10" s="482">
        <f t="shared" si="0"/>
        <v>16</v>
      </c>
      <c r="L10" s="474">
        <f t="shared" si="0"/>
        <v>468461.8</v>
      </c>
      <c r="M10" s="482">
        <f t="shared" si="0"/>
        <v>16</v>
      </c>
      <c r="N10" s="482">
        <f t="shared" si="0"/>
        <v>0</v>
      </c>
      <c r="O10" s="482">
        <f t="shared" si="0"/>
        <v>0</v>
      </c>
      <c r="P10" s="482">
        <f t="shared" si="0"/>
        <v>0</v>
      </c>
      <c r="Q10" s="482">
        <f t="shared" si="0"/>
        <v>0</v>
      </c>
      <c r="R10" s="482">
        <f t="shared" si="0"/>
        <v>0</v>
      </c>
      <c r="S10" s="482">
        <f t="shared" si="0"/>
        <v>0</v>
      </c>
      <c r="T10" s="482">
        <f t="shared" si="0"/>
        <v>0</v>
      </c>
      <c r="U10" s="482">
        <f t="shared" si="0"/>
        <v>0</v>
      </c>
      <c r="V10" s="482">
        <f t="shared" si="0"/>
        <v>16</v>
      </c>
      <c r="W10" s="474">
        <f t="shared" si="0"/>
        <v>506393.8</v>
      </c>
      <c r="X10" s="55"/>
      <c r="AA10" s="68"/>
      <c r="AB10" s="68"/>
    </row>
    <row r="11" spans="1:28">
      <c r="A11" s="705" t="s">
        <v>7</v>
      </c>
      <c r="B11" s="484">
        <f t="shared" ref="B11:W11" si="1">SUM(B12:B19)</f>
        <v>4</v>
      </c>
      <c r="C11" s="484">
        <f t="shared" si="1"/>
        <v>0</v>
      </c>
      <c r="D11" s="484">
        <f t="shared" si="1"/>
        <v>0</v>
      </c>
      <c r="E11" s="484">
        <f t="shared" si="1"/>
        <v>0</v>
      </c>
      <c r="F11" s="484">
        <f t="shared" si="1"/>
        <v>0</v>
      </c>
      <c r="G11" s="484">
        <f t="shared" si="1"/>
        <v>0</v>
      </c>
      <c r="H11" s="484">
        <f t="shared" si="1"/>
        <v>0</v>
      </c>
      <c r="I11" s="484">
        <f t="shared" si="1"/>
        <v>0</v>
      </c>
      <c r="J11" s="484">
        <f t="shared" si="1"/>
        <v>0</v>
      </c>
      <c r="K11" s="484">
        <f t="shared" si="1"/>
        <v>4</v>
      </c>
      <c r="L11" s="485">
        <f t="shared" si="1"/>
        <v>153650.23999999999</v>
      </c>
      <c r="M11" s="484">
        <f t="shared" si="1"/>
        <v>4</v>
      </c>
      <c r="N11" s="484">
        <f t="shared" si="1"/>
        <v>0</v>
      </c>
      <c r="O11" s="484">
        <f t="shared" si="1"/>
        <v>0</v>
      </c>
      <c r="P11" s="484">
        <f t="shared" si="1"/>
        <v>0</v>
      </c>
      <c r="Q11" s="484">
        <f t="shared" si="1"/>
        <v>0</v>
      </c>
      <c r="R11" s="484">
        <f t="shared" si="1"/>
        <v>0</v>
      </c>
      <c r="S11" s="484">
        <f t="shared" si="1"/>
        <v>0</v>
      </c>
      <c r="T11" s="484">
        <f t="shared" si="1"/>
        <v>0</v>
      </c>
      <c r="U11" s="484">
        <f t="shared" si="1"/>
        <v>0</v>
      </c>
      <c r="V11" s="484">
        <f t="shared" si="1"/>
        <v>4</v>
      </c>
      <c r="W11" s="485">
        <f t="shared" si="1"/>
        <v>153650.23999999999</v>
      </c>
      <c r="AA11" s="68"/>
      <c r="AB11" s="68"/>
    </row>
    <row r="12" spans="1:28" hidden="1">
      <c r="A12" s="703" t="s">
        <v>3</v>
      </c>
      <c r="B12" s="13"/>
      <c r="C12" s="13"/>
      <c r="D12" s="13"/>
      <c r="E12" s="13"/>
      <c r="F12" s="13"/>
      <c r="G12" s="13"/>
      <c r="H12" s="13"/>
      <c r="I12" s="13"/>
      <c r="J12" s="13"/>
      <c r="K12" s="13"/>
      <c r="L12" s="16"/>
      <c r="M12" s="13"/>
      <c r="N12" s="13"/>
      <c r="O12" s="13"/>
      <c r="P12" s="13"/>
      <c r="Q12" s="13"/>
      <c r="R12" s="13"/>
      <c r="S12" s="13"/>
      <c r="T12" s="13"/>
      <c r="U12" s="13"/>
      <c r="V12" s="13"/>
      <c r="W12" s="16"/>
      <c r="AA12" s="68"/>
      <c r="AB12" s="68"/>
    </row>
    <row r="13" spans="1:28" hidden="1">
      <c r="A13" s="703" t="s">
        <v>7062</v>
      </c>
      <c r="B13" s="13"/>
      <c r="C13" s="13"/>
      <c r="D13" s="13"/>
      <c r="E13" s="13"/>
      <c r="F13" s="13"/>
      <c r="G13" s="13"/>
      <c r="H13" s="13"/>
      <c r="I13" s="13"/>
      <c r="J13" s="13"/>
      <c r="K13" s="13"/>
      <c r="L13" s="16"/>
      <c r="M13" s="13"/>
      <c r="N13" s="13"/>
      <c r="O13" s="13"/>
      <c r="P13" s="13"/>
      <c r="Q13" s="13"/>
      <c r="R13" s="13"/>
      <c r="S13" s="13"/>
      <c r="T13" s="13"/>
      <c r="U13" s="13"/>
      <c r="V13" s="13"/>
      <c r="W13" s="16"/>
      <c r="AA13" s="68"/>
      <c r="AB13" s="68"/>
    </row>
    <row r="14" spans="1:28" hidden="1">
      <c r="A14" s="703" t="s">
        <v>7061</v>
      </c>
      <c r="B14" s="13"/>
      <c r="C14" s="13"/>
      <c r="D14" s="13"/>
      <c r="E14" s="13"/>
      <c r="F14" s="13"/>
      <c r="G14" s="13"/>
      <c r="H14" s="13"/>
      <c r="I14" s="13"/>
      <c r="J14" s="13"/>
      <c r="K14" s="13"/>
      <c r="L14" s="16"/>
      <c r="M14" s="13"/>
      <c r="N14" s="13"/>
      <c r="O14" s="13"/>
      <c r="P14" s="13"/>
      <c r="Q14" s="13"/>
      <c r="R14" s="13"/>
      <c r="S14" s="13"/>
      <c r="T14" s="13"/>
      <c r="U14" s="13"/>
      <c r="V14" s="13"/>
      <c r="W14" s="16"/>
      <c r="AA14" s="68"/>
      <c r="AB14" s="68"/>
    </row>
    <row r="15" spans="1:28" hidden="1">
      <c r="A15" s="703" t="s">
        <v>7060</v>
      </c>
      <c r="B15" s="13"/>
      <c r="C15" s="13"/>
      <c r="D15" s="13"/>
      <c r="E15" s="13"/>
      <c r="F15" s="13"/>
      <c r="G15" s="13"/>
      <c r="H15" s="13"/>
      <c r="I15" s="13"/>
      <c r="J15" s="13"/>
      <c r="K15" s="13">
        <f>SUM(B15:J15)</f>
        <v>0</v>
      </c>
      <c r="L15" s="472"/>
      <c r="M15" s="13"/>
      <c r="N15" s="13"/>
      <c r="O15" s="13"/>
      <c r="P15" s="13"/>
      <c r="Q15" s="13"/>
      <c r="R15" s="13"/>
      <c r="S15" s="13"/>
      <c r="T15" s="13"/>
      <c r="U15" s="13"/>
      <c r="V15" s="13">
        <f>SUM(M15:U15)</f>
        <v>0</v>
      </c>
      <c r="W15" s="472"/>
      <c r="AA15" s="68"/>
      <c r="AB15" s="68"/>
    </row>
    <row r="16" spans="1:28" hidden="1">
      <c r="A16" s="703" t="s">
        <v>7059</v>
      </c>
      <c r="B16" s="13"/>
      <c r="C16" s="13"/>
      <c r="D16" s="13"/>
      <c r="E16" s="13"/>
      <c r="F16" s="13"/>
      <c r="G16" s="13"/>
      <c r="H16" s="13"/>
      <c r="I16" s="13"/>
      <c r="J16" s="13"/>
      <c r="K16" s="13">
        <f>SUM(B16:J16)</f>
        <v>0</v>
      </c>
      <c r="L16" s="472"/>
      <c r="M16" s="13"/>
      <c r="N16" s="13"/>
      <c r="O16" s="13"/>
      <c r="P16" s="13"/>
      <c r="Q16" s="13"/>
      <c r="R16" s="13"/>
      <c r="S16" s="13"/>
      <c r="T16" s="13"/>
      <c r="U16" s="13"/>
      <c r="V16" s="13">
        <f>SUM(M16:U16)</f>
        <v>0</v>
      </c>
      <c r="W16" s="472"/>
      <c r="AA16" s="68"/>
      <c r="AB16" s="68"/>
    </row>
    <row r="17" spans="1:28" hidden="1">
      <c r="A17" s="703" t="s">
        <v>7058</v>
      </c>
      <c r="B17" s="13"/>
      <c r="C17" s="13"/>
      <c r="D17" s="13"/>
      <c r="E17" s="13"/>
      <c r="F17" s="13"/>
      <c r="G17" s="13"/>
      <c r="H17" s="13"/>
      <c r="I17" s="13"/>
      <c r="J17" s="13"/>
      <c r="K17" s="13">
        <f>SUM(B17:J17)</f>
        <v>0</v>
      </c>
      <c r="L17" s="472"/>
      <c r="M17" s="13"/>
      <c r="N17" s="13"/>
      <c r="O17" s="13"/>
      <c r="P17" s="13"/>
      <c r="Q17" s="13"/>
      <c r="R17" s="13"/>
      <c r="S17" s="13"/>
      <c r="T17" s="13"/>
      <c r="U17" s="13"/>
      <c r="V17" s="13">
        <f>SUM(M17:U17)</f>
        <v>0</v>
      </c>
      <c r="W17" s="472"/>
      <c r="AA17" s="68"/>
      <c r="AB17" s="68"/>
    </row>
    <row r="18" spans="1:28">
      <c r="A18" s="703" t="s">
        <v>7057</v>
      </c>
      <c r="B18" s="13">
        <v>2</v>
      </c>
      <c r="C18" s="13"/>
      <c r="D18" s="13"/>
      <c r="E18" s="13"/>
      <c r="F18" s="13"/>
      <c r="G18" s="13"/>
      <c r="H18" s="13"/>
      <c r="I18" s="13"/>
      <c r="J18" s="13"/>
      <c r="K18" s="13">
        <f>SUM(B18:J18)</f>
        <v>2</v>
      </c>
      <c r="L18" s="472">
        <v>78191.98</v>
      </c>
      <c r="M18" s="13">
        <v>2</v>
      </c>
      <c r="N18" s="13"/>
      <c r="O18" s="13"/>
      <c r="P18" s="13"/>
      <c r="Q18" s="13"/>
      <c r="R18" s="13"/>
      <c r="S18" s="13"/>
      <c r="T18" s="13"/>
      <c r="U18" s="13"/>
      <c r="V18" s="13">
        <f>SUM(M18:U18)</f>
        <v>2</v>
      </c>
      <c r="W18" s="472">
        <v>78191.98</v>
      </c>
      <c r="X18" s="55"/>
      <c r="AA18" s="68"/>
      <c r="AB18" s="68"/>
    </row>
    <row r="19" spans="1:28">
      <c r="A19" s="703" t="s">
        <v>12</v>
      </c>
      <c r="B19" s="13">
        <v>2</v>
      </c>
      <c r="C19" s="13"/>
      <c r="D19" s="13"/>
      <c r="E19" s="13"/>
      <c r="F19" s="13"/>
      <c r="G19" s="13"/>
      <c r="H19" s="13"/>
      <c r="I19" s="13"/>
      <c r="J19" s="13"/>
      <c r="K19" s="13">
        <f>SUM(B19:J19)</f>
        <v>2</v>
      </c>
      <c r="L19" s="472">
        <v>75458.259999999995</v>
      </c>
      <c r="M19" s="13">
        <v>2</v>
      </c>
      <c r="N19" s="13"/>
      <c r="O19" s="13"/>
      <c r="P19" s="13"/>
      <c r="Q19" s="13"/>
      <c r="R19" s="13"/>
      <c r="S19" s="13"/>
      <c r="T19" s="13"/>
      <c r="U19" s="13"/>
      <c r="V19" s="13">
        <f>SUM(M19:U19)</f>
        <v>2</v>
      </c>
      <c r="W19" s="472">
        <v>75458.259999999995</v>
      </c>
      <c r="AA19" s="68"/>
      <c r="AB19" s="68"/>
    </row>
    <row r="20" spans="1:28" hidden="1">
      <c r="A20" s="705" t="s">
        <v>4</v>
      </c>
      <c r="B20" s="484">
        <f t="shared" ref="B20:W20" si="2">SUM(B21:B26)</f>
        <v>0</v>
      </c>
      <c r="C20" s="484">
        <f t="shared" si="2"/>
        <v>0</v>
      </c>
      <c r="D20" s="484">
        <f t="shared" si="2"/>
        <v>0</v>
      </c>
      <c r="E20" s="484">
        <f t="shared" si="2"/>
        <v>0</v>
      </c>
      <c r="F20" s="484">
        <f t="shared" si="2"/>
        <v>0</v>
      </c>
      <c r="G20" s="484">
        <f t="shared" si="2"/>
        <v>0</v>
      </c>
      <c r="H20" s="484">
        <f t="shared" si="2"/>
        <v>0</v>
      </c>
      <c r="I20" s="484">
        <f t="shared" si="2"/>
        <v>0</v>
      </c>
      <c r="J20" s="484">
        <f t="shared" si="2"/>
        <v>0</v>
      </c>
      <c r="K20" s="484">
        <f t="shared" si="2"/>
        <v>0</v>
      </c>
      <c r="L20" s="485">
        <f t="shared" si="2"/>
        <v>0</v>
      </c>
      <c r="M20" s="484">
        <f t="shared" si="2"/>
        <v>0</v>
      </c>
      <c r="N20" s="484">
        <f t="shared" si="2"/>
        <v>0</v>
      </c>
      <c r="O20" s="484">
        <f t="shared" si="2"/>
        <v>0</v>
      </c>
      <c r="P20" s="484">
        <f t="shared" si="2"/>
        <v>0</v>
      </c>
      <c r="Q20" s="484">
        <f t="shared" si="2"/>
        <v>0</v>
      </c>
      <c r="R20" s="484">
        <f t="shared" si="2"/>
        <v>0</v>
      </c>
      <c r="S20" s="484">
        <f t="shared" si="2"/>
        <v>0</v>
      </c>
      <c r="T20" s="484">
        <f t="shared" si="2"/>
        <v>0</v>
      </c>
      <c r="U20" s="484">
        <f t="shared" si="2"/>
        <v>0</v>
      </c>
      <c r="V20" s="484">
        <f t="shared" si="2"/>
        <v>0</v>
      </c>
      <c r="W20" s="485">
        <f t="shared" si="2"/>
        <v>0</v>
      </c>
      <c r="AA20" s="68"/>
      <c r="AB20" s="68"/>
    </row>
    <row r="21" spans="1:28" hidden="1">
      <c r="A21" s="703" t="s">
        <v>13</v>
      </c>
      <c r="B21" s="13"/>
      <c r="C21" s="13"/>
      <c r="D21" s="13"/>
      <c r="E21" s="13"/>
      <c r="F21" s="13"/>
      <c r="G21" s="13"/>
      <c r="H21" s="13"/>
      <c r="I21" s="13"/>
      <c r="J21" s="13"/>
      <c r="K21" s="13">
        <f t="shared" ref="K21:K26" si="3">SUM(B21:J21)</f>
        <v>0</v>
      </c>
      <c r="L21" s="472"/>
      <c r="M21" s="13"/>
      <c r="N21" s="13"/>
      <c r="O21" s="13"/>
      <c r="P21" s="13"/>
      <c r="Q21" s="13"/>
      <c r="R21" s="13"/>
      <c r="S21" s="13"/>
      <c r="T21" s="13"/>
      <c r="U21" s="13"/>
      <c r="V21" s="13">
        <f t="shared" ref="V21:V26" si="4">SUM(M21:U21)</f>
        <v>0</v>
      </c>
      <c r="W21" s="472"/>
      <c r="AA21" s="68"/>
      <c r="AB21" s="68"/>
    </row>
    <row r="22" spans="1:28" hidden="1">
      <c r="A22" s="703" t="s">
        <v>6978</v>
      </c>
      <c r="B22" s="13"/>
      <c r="C22" s="13"/>
      <c r="D22" s="13"/>
      <c r="E22" s="13"/>
      <c r="F22" s="13"/>
      <c r="G22" s="13"/>
      <c r="H22" s="13"/>
      <c r="I22" s="13"/>
      <c r="J22" s="13"/>
      <c r="K22" s="13">
        <f t="shared" si="3"/>
        <v>0</v>
      </c>
      <c r="L22" s="472"/>
      <c r="M22" s="13"/>
      <c r="N22" s="13"/>
      <c r="O22" s="13"/>
      <c r="P22" s="13"/>
      <c r="Q22" s="13"/>
      <c r="R22" s="13"/>
      <c r="S22" s="13"/>
      <c r="T22" s="13"/>
      <c r="U22" s="13"/>
      <c r="V22" s="13">
        <f t="shared" si="4"/>
        <v>0</v>
      </c>
      <c r="W22" s="472"/>
      <c r="AA22" s="68"/>
      <c r="AB22" s="68"/>
    </row>
    <row r="23" spans="1:28" hidden="1">
      <c r="A23" s="703" t="s">
        <v>6977</v>
      </c>
      <c r="B23" s="13"/>
      <c r="C23" s="13"/>
      <c r="D23" s="13"/>
      <c r="E23" s="13"/>
      <c r="F23" s="13"/>
      <c r="G23" s="13"/>
      <c r="H23" s="13"/>
      <c r="I23" s="13"/>
      <c r="J23" s="13"/>
      <c r="K23" s="13">
        <f t="shared" si="3"/>
        <v>0</v>
      </c>
      <c r="L23" s="472"/>
      <c r="M23" s="13"/>
      <c r="N23" s="13"/>
      <c r="O23" s="13"/>
      <c r="P23" s="13"/>
      <c r="Q23" s="13"/>
      <c r="R23" s="13"/>
      <c r="S23" s="13"/>
      <c r="T23" s="13"/>
      <c r="U23" s="13"/>
      <c r="V23" s="13">
        <f t="shared" si="4"/>
        <v>0</v>
      </c>
      <c r="W23" s="472"/>
      <c r="X23" s="55"/>
      <c r="AA23" s="68"/>
      <c r="AB23" s="68"/>
    </row>
    <row r="24" spans="1:28" hidden="1">
      <c r="A24" s="703" t="s">
        <v>6976</v>
      </c>
      <c r="B24" s="13"/>
      <c r="C24" s="13"/>
      <c r="D24" s="13"/>
      <c r="E24" s="13"/>
      <c r="F24" s="13"/>
      <c r="G24" s="13"/>
      <c r="H24" s="13"/>
      <c r="I24" s="13"/>
      <c r="J24" s="13"/>
      <c r="K24" s="13">
        <f t="shared" si="3"/>
        <v>0</v>
      </c>
      <c r="L24" s="472"/>
      <c r="M24" s="13"/>
      <c r="N24" s="13"/>
      <c r="O24" s="13"/>
      <c r="P24" s="13"/>
      <c r="Q24" s="13"/>
      <c r="R24" s="13"/>
      <c r="S24" s="13"/>
      <c r="T24" s="13"/>
      <c r="U24" s="13"/>
      <c r="V24" s="13">
        <f t="shared" si="4"/>
        <v>0</v>
      </c>
      <c r="W24" s="472"/>
      <c r="AA24" s="68"/>
      <c r="AB24" s="68"/>
    </row>
    <row r="25" spans="1:28" hidden="1">
      <c r="A25" s="703" t="s">
        <v>14</v>
      </c>
      <c r="B25" s="13"/>
      <c r="C25" s="13"/>
      <c r="D25" s="13"/>
      <c r="E25" s="13"/>
      <c r="F25" s="13"/>
      <c r="G25" s="13"/>
      <c r="H25" s="13"/>
      <c r="I25" s="13"/>
      <c r="J25" s="13"/>
      <c r="K25" s="13">
        <f t="shared" si="3"/>
        <v>0</v>
      </c>
      <c r="L25" s="472"/>
      <c r="M25" s="13"/>
      <c r="N25" s="13"/>
      <c r="O25" s="13"/>
      <c r="P25" s="13"/>
      <c r="Q25" s="13"/>
      <c r="R25" s="13"/>
      <c r="S25" s="13"/>
      <c r="T25" s="13"/>
      <c r="U25" s="13"/>
      <c r="V25" s="13">
        <f t="shared" si="4"/>
        <v>0</v>
      </c>
      <c r="W25" s="472"/>
      <c r="AA25" s="68"/>
      <c r="AB25" s="68"/>
    </row>
    <row r="26" spans="1:28" hidden="1">
      <c r="A26" s="703" t="s">
        <v>6975</v>
      </c>
      <c r="B26" s="13"/>
      <c r="C26" s="13"/>
      <c r="D26" s="13"/>
      <c r="E26" s="13"/>
      <c r="F26" s="13"/>
      <c r="G26" s="13"/>
      <c r="H26" s="13"/>
      <c r="I26" s="13"/>
      <c r="J26" s="13"/>
      <c r="K26" s="13">
        <f t="shared" si="3"/>
        <v>0</v>
      </c>
      <c r="L26" s="472"/>
      <c r="M26" s="13"/>
      <c r="N26" s="13"/>
      <c r="O26" s="13"/>
      <c r="P26" s="13"/>
      <c r="Q26" s="13"/>
      <c r="R26" s="13"/>
      <c r="S26" s="13"/>
      <c r="T26" s="13"/>
      <c r="U26" s="13"/>
      <c r="V26" s="13">
        <f t="shared" si="4"/>
        <v>0</v>
      </c>
      <c r="W26" s="472"/>
      <c r="AA26" s="68"/>
      <c r="AB26" s="68"/>
    </row>
    <row r="27" spans="1:28">
      <c r="A27" s="705" t="s">
        <v>5</v>
      </c>
      <c r="B27" s="484">
        <f t="shared" ref="B27:W27" si="5">SUM(B28:B33)</f>
        <v>11</v>
      </c>
      <c r="C27" s="484">
        <f t="shared" si="5"/>
        <v>0</v>
      </c>
      <c r="D27" s="484">
        <f t="shared" si="5"/>
        <v>0</v>
      </c>
      <c r="E27" s="484">
        <f t="shared" si="5"/>
        <v>0</v>
      </c>
      <c r="F27" s="484">
        <f t="shared" si="5"/>
        <v>0</v>
      </c>
      <c r="G27" s="484">
        <f t="shared" si="5"/>
        <v>0</v>
      </c>
      <c r="H27" s="484">
        <f t="shared" si="5"/>
        <v>0</v>
      </c>
      <c r="I27" s="484">
        <f t="shared" si="5"/>
        <v>0</v>
      </c>
      <c r="J27" s="484">
        <f t="shared" si="5"/>
        <v>0</v>
      </c>
      <c r="K27" s="484">
        <f t="shared" si="5"/>
        <v>11</v>
      </c>
      <c r="L27" s="485">
        <f t="shared" si="5"/>
        <v>272162.76</v>
      </c>
      <c r="M27" s="484">
        <f t="shared" si="5"/>
        <v>11</v>
      </c>
      <c r="N27" s="484">
        <f t="shared" si="5"/>
        <v>0</v>
      </c>
      <c r="O27" s="484">
        <f t="shared" si="5"/>
        <v>0</v>
      </c>
      <c r="P27" s="484">
        <f t="shared" si="5"/>
        <v>0</v>
      </c>
      <c r="Q27" s="484">
        <f t="shared" si="5"/>
        <v>0</v>
      </c>
      <c r="R27" s="484">
        <f t="shared" si="5"/>
        <v>0</v>
      </c>
      <c r="S27" s="484">
        <f t="shared" si="5"/>
        <v>0</v>
      </c>
      <c r="T27" s="484">
        <f t="shared" si="5"/>
        <v>0</v>
      </c>
      <c r="U27" s="484">
        <f t="shared" si="5"/>
        <v>0</v>
      </c>
      <c r="V27" s="484">
        <f t="shared" si="5"/>
        <v>11</v>
      </c>
      <c r="W27" s="485">
        <f t="shared" si="5"/>
        <v>310094.76</v>
      </c>
      <c r="AA27" s="68"/>
      <c r="AB27" s="68"/>
    </row>
    <row r="28" spans="1:28">
      <c r="A28" s="703" t="s">
        <v>15</v>
      </c>
      <c r="B28" s="13">
        <v>8</v>
      </c>
      <c r="C28" s="13"/>
      <c r="D28" s="13"/>
      <c r="E28" s="13"/>
      <c r="F28" s="13"/>
      <c r="G28" s="13"/>
      <c r="H28" s="13"/>
      <c r="I28" s="13"/>
      <c r="J28" s="13"/>
      <c r="K28" s="13">
        <f t="shared" ref="K28:K33" si="6">SUM(B28:J28)</f>
        <v>8</v>
      </c>
      <c r="L28" s="472">
        <f>137003.88+(1070*12*K18)+(1000*K18)+((930*0.09*12)*K18)</f>
        <v>166692.68</v>
      </c>
      <c r="M28" s="13">
        <v>8</v>
      </c>
      <c r="N28" s="13"/>
      <c r="O28" s="13"/>
      <c r="P28" s="13"/>
      <c r="Q28" s="13"/>
      <c r="R28" s="13"/>
      <c r="S28" s="13"/>
      <c r="T28" s="13"/>
      <c r="U28" s="13"/>
      <c r="V28" s="13">
        <f t="shared" ref="V28:V33" si="7">SUM(M28:U28)</f>
        <v>8</v>
      </c>
      <c r="W28" s="472">
        <f>137003.88+(1070*12*V18)+(1000*V18)+((930*0.09*12)*V18)+37932</f>
        <v>204624.68</v>
      </c>
      <c r="X28" s="55"/>
      <c r="AA28" s="68"/>
      <c r="AB28" s="68"/>
    </row>
    <row r="29" spans="1:28">
      <c r="A29" s="703" t="s">
        <v>7056</v>
      </c>
      <c r="B29" s="13">
        <v>1</v>
      </c>
      <c r="C29" s="13"/>
      <c r="D29" s="13"/>
      <c r="E29" s="13"/>
      <c r="F29" s="13"/>
      <c r="G29" s="13"/>
      <c r="H29" s="13"/>
      <c r="I29" s="13"/>
      <c r="J29" s="13"/>
      <c r="K29" s="13">
        <f t="shared" si="6"/>
        <v>1</v>
      </c>
      <c r="L29" s="472">
        <f>15600+(1070*12*V18)+(1000*V18)+((930*0.09*12)*V18)</f>
        <v>45288.800000000003</v>
      </c>
      <c r="M29" s="13">
        <v>1</v>
      </c>
      <c r="N29" s="13"/>
      <c r="O29" s="13"/>
      <c r="P29" s="13"/>
      <c r="Q29" s="13"/>
      <c r="R29" s="13"/>
      <c r="S29" s="13"/>
      <c r="T29" s="13"/>
      <c r="U29" s="13"/>
      <c r="V29" s="13">
        <f t="shared" si="7"/>
        <v>1</v>
      </c>
      <c r="W29" s="472">
        <f>15600+(1070*12*V18)+(1000*V18)+((930*0.09*12)*V18)</f>
        <v>45288.800000000003</v>
      </c>
      <c r="AA29" s="68"/>
      <c r="AB29" s="68"/>
    </row>
    <row r="30" spans="1:28" hidden="1">
      <c r="A30" s="703" t="s">
        <v>6972</v>
      </c>
      <c r="B30" s="13"/>
      <c r="C30" s="13"/>
      <c r="D30" s="13"/>
      <c r="E30" s="13"/>
      <c r="F30" s="13"/>
      <c r="G30" s="13"/>
      <c r="H30" s="13"/>
      <c r="I30" s="13"/>
      <c r="J30" s="13"/>
      <c r="K30" s="13">
        <f t="shared" si="6"/>
        <v>0</v>
      </c>
      <c r="L30" s="472"/>
      <c r="M30" s="13"/>
      <c r="N30" s="13"/>
      <c r="O30" s="13"/>
      <c r="P30" s="13"/>
      <c r="Q30" s="13"/>
      <c r="R30" s="13"/>
      <c r="S30" s="13"/>
      <c r="T30" s="13"/>
      <c r="U30" s="13"/>
      <c r="V30" s="13">
        <f t="shared" si="7"/>
        <v>0</v>
      </c>
      <c r="W30" s="472"/>
      <c r="AA30" s="68"/>
      <c r="AB30" s="68"/>
    </row>
    <row r="31" spans="1:28">
      <c r="A31" s="703" t="s">
        <v>6971</v>
      </c>
      <c r="B31" s="13">
        <v>2</v>
      </c>
      <c r="C31" s="13"/>
      <c r="D31" s="13"/>
      <c r="E31" s="13"/>
      <c r="F31" s="13"/>
      <c r="G31" s="13"/>
      <c r="H31" s="13"/>
      <c r="I31" s="13"/>
      <c r="J31" s="13"/>
      <c r="K31" s="13">
        <f t="shared" si="6"/>
        <v>2</v>
      </c>
      <c r="L31" s="472">
        <f>30492.48+(1070*12*V18)+(1000*V18)+((930*0.09*12)*V18)</f>
        <v>60181.279999999999</v>
      </c>
      <c r="M31" s="13">
        <v>2</v>
      </c>
      <c r="N31" s="13"/>
      <c r="O31" s="13"/>
      <c r="P31" s="13"/>
      <c r="Q31" s="13"/>
      <c r="R31" s="13"/>
      <c r="S31" s="13"/>
      <c r="T31" s="13"/>
      <c r="U31" s="13"/>
      <c r="V31" s="13">
        <f t="shared" si="7"/>
        <v>2</v>
      </c>
      <c r="W31" s="472">
        <f>30492.48+(1070*12*V18)+(1000*V18)+((930*0.09*12)*V18)</f>
        <v>60181.279999999999</v>
      </c>
      <c r="AA31" s="68"/>
      <c r="AB31" s="68"/>
    </row>
    <row r="32" spans="1:28" hidden="1">
      <c r="A32" s="703" t="s">
        <v>16</v>
      </c>
      <c r="B32" s="13"/>
      <c r="C32" s="13"/>
      <c r="D32" s="13"/>
      <c r="E32" s="13"/>
      <c r="F32" s="13"/>
      <c r="G32" s="13"/>
      <c r="H32" s="13"/>
      <c r="I32" s="13"/>
      <c r="J32" s="13"/>
      <c r="K32" s="13">
        <f t="shared" si="6"/>
        <v>0</v>
      </c>
      <c r="L32" s="472"/>
      <c r="M32" s="13"/>
      <c r="N32" s="13"/>
      <c r="O32" s="13"/>
      <c r="P32" s="13"/>
      <c r="Q32" s="13"/>
      <c r="R32" s="13"/>
      <c r="S32" s="13"/>
      <c r="T32" s="13"/>
      <c r="U32" s="13"/>
      <c r="V32" s="13">
        <f t="shared" si="7"/>
        <v>0</v>
      </c>
      <c r="W32" s="472"/>
      <c r="AA32" s="68"/>
      <c r="AB32" s="68"/>
    </row>
    <row r="33" spans="1:28" hidden="1">
      <c r="A33" s="703" t="s">
        <v>6970</v>
      </c>
      <c r="B33" s="13"/>
      <c r="C33" s="13"/>
      <c r="D33" s="13"/>
      <c r="E33" s="13"/>
      <c r="F33" s="13"/>
      <c r="G33" s="13"/>
      <c r="H33" s="13"/>
      <c r="I33" s="13"/>
      <c r="J33" s="13"/>
      <c r="K33" s="13">
        <f t="shared" si="6"/>
        <v>0</v>
      </c>
      <c r="L33" s="472"/>
      <c r="M33" s="13"/>
      <c r="N33" s="13"/>
      <c r="O33" s="13"/>
      <c r="P33" s="13"/>
      <c r="Q33" s="13"/>
      <c r="R33" s="13"/>
      <c r="S33" s="13"/>
      <c r="T33" s="13"/>
      <c r="U33" s="13"/>
      <c r="V33" s="13">
        <f t="shared" si="7"/>
        <v>0</v>
      </c>
      <c r="W33" s="472"/>
      <c r="AA33" s="68"/>
      <c r="AB33" s="68"/>
    </row>
    <row r="34" spans="1:28">
      <c r="A34" s="705" t="s">
        <v>6</v>
      </c>
      <c r="B34" s="484">
        <f t="shared" ref="B34:W34" si="8">SUM(B35:B40)</f>
        <v>1</v>
      </c>
      <c r="C34" s="484">
        <f t="shared" si="8"/>
        <v>0</v>
      </c>
      <c r="D34" s="484">
        <f t="shared" si="8"/>
        <v>0</v>
      </c>
      <c r="E34" s="484">
        <f t="shared" si="8"/>
        <v>0</v>
      </c>
      <c r="F34" s="484">
        <f t="shared" si="8"/>
        <v>0</v>
      </c>
      <c r="G34" s="484">
        <f t="shared" si="8"/>
        <v>0</v>
      </c>
      <c r="H34" s="484">
        <f t="shared" si="8"/>
        <v>0</v>
      </c>
      <c r="I34" s="484">
        <f t="shared" si="8"/>
        <v>0</v>
      </c>
      <c r="J34" s="484">
        <f t="shared" si="8"/>
        <v>0</v>
      </c>
      <c r="K34" s="484">
        <f t="shared" si="8"/>
        <v>1</v>
      </c>
      <c r="L34" s="485">
        <f t="shared" si="8"/>
        <v>42648.800000000003</v>
      </c>
      <c r="M34" s="484">
        <f t="shared" si="8"/>
        <v>1</v>
      </c>
      <c r="N34" s="484">
        <f t="shared" si="8"/>
        <v>0</v>
      </c>
      <c r="O34" s="484">
        <f t="shared" si="8"/>
        <v>0</v>
      </c>
      <c r="P34" s="484">
        <f t="shared" si="8"/>
        <v>0</v>
      </c>
      <c r="Q34" s="484">
        <f t="shared" si="8"/>
        <v>0</v>
      </c>
      <c r="R34" s="484">
        <f t="shared" si="8"/>
        <v>0</v>
      </c>
      <c r="S34" s="484">
        <f t="shared" si="8"/>
        <v>0</v>
      </c>
      <c r="T34" s="484">
        <f t="shared" si="8"/>
        <v>0</v>
      </c>
      <c r="U34" s="484">
        <f t="shared" si="8"/>
        <v>0</v>
      </c>
      <c r="V34" s="484">
        <f t="shared" si="8"/>
        <v>1</v>
      </c>
      <c r="W34" s="485">
        <f t="shared" si="8"/>
        <v>42648.800000000003</v>
      </c>
      <c r="AA34" s="68"/>
      <c r="AB34" s="68"/>
    </row>
    <row r="35" spans="1:28" hidden="1">
      <c r="A35" s="703" t="s">
        <v>17</v>
      </c>
      <c r="B35" s="13"/>
      <c r="C35" s="13"/>
      <c r="D35" s="13"/>
      <c r="E35" s="13"/>
      <c r="F35" s="13"/>
      <c r="G35" s="13"/>
      <c r="H35" s="13"/>
      <c r="I35" s="13"/>
      <c r="J35" s="13"/>
      <c r="K35" s="13">
        <f t="shared" ref="K35:K40" si="9">SUM(B35:J35)</f>
        <v>0</v>
      </c>
      <c r="L35" s="472"/>
      <c r="M35" s="13"/>
      <c r="N35" s="13"/>
      <c r="O35" s="13"/>
      <c r="P35" s="13"/>
      <c r="Q35" s="13"/>
      <c r="R35" s="13"/>
      <c r="S35" s="13"/>
      <c r="T35" s="13"/>
      <c r="U35" s="13"/>
      <c r="V35" s="13">
        <f t="shared" ref="V35:V40" si="10">SUM(M35:U35)</f>
        <v>0</v>
      </c>
      <c r="W35" s="472"/>
      <c r="AA35" s="68"/>
      <c r="AB35" s="68"/>
    </row>
    <row r="36" spans="1:28">
      <c r="A36" s="703" t="s">
        <v>6969</v>
      </c>
      <c r="B36" s="13">
        <v>1</v>
      </c>
      <c r="C36" s="13"/>
      <c r="D36" s="13"/>
      <c r="E36" s="13"/>
      <c r="F36" s="13"/>
      <c r="G36" s="13"/>
      <c r="H36" s="13"/>
      <c r="I36" s="13"/>
      <c r="J36" s="13"/>
      <c r="K36" s="13">
        <f t="shared" si="9"/>
        <v>1</v>
      </c>
      <c r="L36" s="472">
        <f>12960+(1070*12*K18)+(1000*K18)+((930*0.09*12)*K18)</f>
        <v>42648.800000000003</v>
      </c>
      <c r="M36" s="13">
        <v>1</v>
      </c>
      <c r="N36" s="13"/>
      <c r="O36" s="13"/>
      <c r="P36" s="13"/>
      <c r="Q36" s="13"/>
      <c r="R36" s="13"/>
      <c r="S36" s="13"/>
      <c r="T36" s="13"/>
      <c r="U36" s="13"/>
      <c r="V36" s="13">
        <f t="shared" si="10"/>
        <v>1</v>
      </c>
      <c r="W36" s="472">
        <f>12960+(1070*12*V18)+(1000*V18)+((930*0.09*12)*V18)</f>
        <v>42648.800000000003</v>
      </c>
      <c r="AA36" s="68"/>
      <c r="AB36" s="68"/>
    </row>
    <row r="37" spans="1:28" hidden="1">
      <c r="A37" s="703" t="s">
        <v>6968</v>
      </c>
      <c r="B37" s="13"/>
      <c r="C37" s="13"/>
      <c r="D37" s="13"/>
      <c r="E37" s="13"/>
      <c r="F37" s="13"/>
      <c r="G37" s="13"/>
      <c r="H37" s="13"/>
      <c r="I37" s="13"/>
      <c r="J37" s="13"/>
      <c r="K37" s="13">
        <f t="shared" si="9"/>
        <v>0</v>
      </c>
      <c r="L37" s="472"/>
      <c r="M37" s="13"/>
      <c r="N37" s="13"/>
      <c r="O37" s="13"/>
      <c r="P37" s="13"/>
      <c r="Q37" s="13"/>
      <c r="R37" s="13"/>
      <c r="S37" s="13"/>
      <c r="T37" s="13"/>
      <c r="U37" s="13"/>
      <c r="V37" s="13">
        <f t="shared" si="10"/>
        <v>0</v>
      </c>
      <c r="W37" s="472"/>
      <c r="AA37" s="68"/>
      <c r="AB37" s="68"/>
    </row>
    <row r="38" spans="1:28" hidden="1">
      <c r="A38" s="703" t="s">
        <v>6967</v>
      </c>
      <c r="B38" s="13"/>
      <c r="C38" s="13"/>
      <c r="D38" s="13"/>
      <c r="E38" s="13"/>
      <c r="F38" s="13"/>
      <c r="G38" s="13"/>
      <c r="H38" s="13"/>
      <c r="I38" s="13"/>
      <c r="J38" s="13"/>
      <c r="K38" s="13">
        <f t="shared" si="9"/>
        <v>0</v>
      </c>
      <c r="L38" s="472"/>
      <c r="M38" s="13"/>
      <c r="N38" s="13"/>
      <c r="O38" s="13"/>
      <c r="P38" s="13"/>
      <c r="Q38" s="13"/>
      <c r="R38" s="13"/>
      <c r="S38" s="13"/>
      <c r="T38" s="13"/>
      <c r="U38" s="13"/>
      <c r="V38" s="13">
        <f t="shared" si="10"/>
        <v>0</v>
      </c>
      <c r="W38" s="472"/>
      <c r="AA38" s="68"/>
      <c r="AB38" s="68"/>
    </row>
    <row r="39" spans="1:28" hidden="1">
      <c r="A39" s="703" t="s">
        <v>18</v>
      </c>
      <c r="B39" s="13"/>
      <c r="C39" s="13"/>
      <c r="D39" s="13"/>
      <c r="E39" s="13"/>
      <c r="F39" s="13"/>
      <c r="G39" s="13"/>
      <c r="H39" s="13"/>
      <c r="I39" s="13"/>
      <c r="J39" s="13"/>
      <c r="K39" s="13">
        <f t="shared" si="9"/>
        <v>0</v>
      </c>
      <c r="L39" s="472"/>
      <c r="M39" s="13"/>
      <c r="N39" s="13"/>
      <c r="O39" s="13"/>
      <c r="P39" s="13"/>
      <c r="Q39" s="13"/>
      <c r="R39" s="13"/>
      <c r="S39" s="13"/>
      <c r="T39" s="13"/>
      <c r="U39" s="13"/>
      <c r="V39" s="13">
        <f t="shared" si="10"/>
        <v>0</v>
      </c>
      <c r="W39" s="472"/>
      <c r="AA39" s="68"/>
      <c r="AB39" s="68"/>
    </row>
    <row r="40" spans="1:28" hidden="1">
      <c r="A40" s="703" t="s">
        <v>6966</v>
      </c>
      <c r="B40" s="13"/>
      <c r="C40" s="13"/>
      <c r="D40" s="13"/>
      <c r="E40" s="13"/>
      <c r="F40" s="13"/>
      <c r="G40" s="13"/>
      <c r="H40" s="13"/>
      <c r="I40" s="13"/>
      <c r="J40" s="13"/>
      <c r="K40" s="13">
        <f t="shared" si="9"/>
        <v>0</v>
      </c>
      <c r="L40" s="472"/>
      <c r="M40" s="13"/>
      <c r="N40" s="13"/>
      <c r="O40" s="13"/>
      <c r="P40" s="13"/>
      <c r="Q40" s="13"/>
      <c r="R40" s="13"/>
      <c r="S40" s="13"/>
      <c r="T40" s="13"/>
      <c r="U40" s="13"/>
      <c r="V40" s="13">
        <f t="shared" si="10"/>
        <v>0</v>
      </c>
      <c r="W40" s="472"/>
      <c r="AA40" s="68"/>
      <c r="AB40" s="68"/>
    </row>
    <row r="41" spans="1:28" hidden="1">
      <c r="A41" s="703" t="s">
        <v>7055</v>
      </c>
      <c r="B41" s="13"/>
      <c r="C41" s="13"/>
      <c r="D41" s="13"/>
      <c r="E41" s="13"/>
      <c r="F41" s="13"/>
      <c r="G41" s="13"/>
      <c r="H41" s="13"/>
      <c r="I41" s="13"/>
      <c r="J41" s="13"/>
      <c r="K41" s="13"/>
      <c r="L41" s="16"/>
      <c r="M41" s="13"/>
      <c r="N41" s="13"/>
      <c r="O41" s="13"/>
      <c r="P41" s="13"/>
      <c r="Q41" s="13"/>
      <c r="R41" s="13"/>
      <c r="S41" s="13"/>
      <c r="T41" s="13"/>
      <c r="U41" s="13"/>
      <c r="V41" s="13"/>
      <c r="W41" s="16"/>
      <c r="AA41" s="68"/>
      <c r="AB41" s="68"/>
    </row>
    <row r="42" spans="1:28" hidden="1">
      <c r="A42" s="705" t="s">
        <v>7064</v>
      </c>
      <c r="B42" s="484">
        <f t="shared" ref="B42:W42" si="11">SUM(B43:B44)</f>
        <v>0</v>
      </c>
      <c r="C42" s="484">
        <f t="shared" si="11"/>
        <v>0</v>
      </c>
      <c r="D42" s="484">
        <f t="shared" si="11"/>
        <v>0</v>
      </c>
      <c r="E42" s="484">
        <f t="shared" si="11"/>
        <v>0</v>
      </c>
      <c r="F42" s="484">
        <f t="shared" si="11"/>
        <v>0</v>
      </c>
      <c r="G42" s="484">
        <f t="shared" si="11"/>
        <v>0</v>
      </c>
      <c r="H42" s="484">
        <f t="shared" si="11"/>
        <v>0</v>
      </c>
      <c r="I42" s="484">
        <f t="shared" si="11"/>
        <v>0</v>
      </c>
      <c r="J42" s="484">
        <f t="shared" si="11"/>
        <v>0</v>
      </c>
      <c r="K42" s="484">
        <f t="shared" si="11"/>
        <v>0</v>
      </c>
      <c r="L42" s="485">
        <f t="shared" si="11"/>
        <v>0</v>
      </c>
      <c r="M42" s="484">
        <f t="shared" si="11"/>
        <v>0</v>
      </c>
      <c r="N42" s="484">
        <f t="shared" si="11"/>
        <v>0</v>
      </c>
      <c r="O42" s="484">
        <f t="shared" si="11"/>
        <v>0</v>
      </c>
      <c r="P42" s="484">
        <f t="shared" si="11"/>
        <v>0</v>
      </c>
      <c r="Q42" s="484">
        <f t="shared" si="11"/>
        <v>0</v>
      </c>
      <c r="R42" s="484">
        <f t="shared" si="11"/>
        <v>0</v>
      </c>
      <c r="S42" s="484">
        <f t="shared" si="11"/>
        <v>0</v>
      </c>
      <c r="T42" s="484">
        <f t="shared" si="11"/>
        <v>0</v>
      </c>
      <c r="U42" s="484">
        <f t="shared" si="11"/>
        <v>0</v>
      </c>
      <c r="V42" s="484">
        <f t="shared" si="11"/>
        <v>0</v>
      </c>
      <c r="W42" s="485">
        <f t="shared" si="11"/>
        <v>0</v>
      </c>
      <c r="AA42" s="68"/>
      <c r="AB42" s="68"/>
    </row>
    <row r="43" spans="1:28" hidden="1">
      <c r="A43" s="703" t="s">
        <v>7053</v>
      </c>
      <c r="B43" s="13"/>
      <c r="C43" s="13"/>
      <c r="D43" s="13"/>
      <c r="E43" s="13"/>
      <c r="F43" s="13"/>
      <c r="G43" s="13"/>
      <c r="H43" s="13"/>
      <c r="I43" s="13"/>
      <c r="J43" s="13"/>
      <c r="K43" s="13">
        <f>SUM(B43:J43)</f>
        <v>0</v>
      </c>
      <c r="L43" s="472"/>
      <c r="M43" s="13"/>
      <c r="N43" s="13"/>
      <c r="O43" s="13"/>
      <c r="P43" s="13"/>
      <c r="Q43" s="13"/>
      <c r="R43" s="13"/>
      <c r="S43" s="13"/>
      <c r="T43" s="13"/>
      <c r="U43" s="13"/>
      <c r="V43" s="13">
        <f>SUM(M43:U43)</f>
        <v>0</v>
      </c>
      <c r="W43" s="472"/>
      <c r="AA43" s="68"/>
      <c r="AB43" s="68"/>
    </row>
    <row r="44" spans="1:28" hidden="1">
      <c r="A44" s="703" t="s">
        <v>57</v>
      </c>
      <c r="B44" s="13"/>
      <c r="C44" s="13"/>
      <c r="D44" s="13"/>
      <c r="E44" s="13"/>
      <c r="F44" s="13"/>
      <c r="G44" s="13"/>
      <c r="H44" s="13"/>
      <c r="I44" s="13"/>
      <c r="J44" s="13"/>
      <c r="K44" s="13"/>
      <c r="L44" s="472"/>
      <c r="M44" s="13"/>
      <c r="N44" s="13"/>
      <c r="O44" s="13"/>
      <c r="P44" s="13"/>
      <c r="Q44" s="13"/>
      <c r="R44" s="13"/>
      <c r="S44" s="13"/>
      <c r="T44" s="13"/>
      <c r="U44" s="13"/>
      <c r="V44" s="13"/>
      <c r="W44" s="472"/>
      <c r="AA44" s="68"/>
      <c r="AB44" s="68"/>
    </row>
    <row r="45" spans="1:28" hidden="1">
      <c r="A45" s="703"/>
      <c r="B45" s="13"/>
      <c r="C45" s="13"/>
      <c r="D45" s="13"/>
      <c r="E45" s="13"/>
      <c r="F45" s="13"/>
      <c r="G45" s="13"/>
      <c r="H45" s="13"/>
      <c r="I45" s="13"/>
      <c r="J45" s="13"/>
      <c r="K45" s="13"/>
      <c r="L45" s="16"/>
      <c r="M45" s="13"/>
      <c r="N45" s="13"/>
      <c r="O45" s="13"/>
      <c r="P45" s="13"/>
      <c r="Q45" s="13"/>
      <c r="R45" s="13"/>
      <c r="S45" s="13"/>
      <c r="T45" s="13"/>
      <c r="U45" s="13"/>
      <c r="V45" s="13"/>
      <c r="W45" s="16"/>
      <c r="AA45" s="68"/>
      <c r="AB45" s="68"/>
    </row>
    <row r="46" spans="1:28" hidden="1">
      <c r="A46" s="705" t="s">
        <v>7052</v>
      </c>
      <c r="B46" s="484"/>
      <c r="C46" s="484"/>
      <c r="D46" s="484"/>
      <c r="E46" s="484"/>
      <c r="F46" s="484"/>
      <c r="G46" s="484"/>
      <c r="H46" s="484"/>
      <c r="I46" s="484"/>
      <c r="J46" s="484"/>
      <c r="K46" s="484"/>
      <c r="L46" s="483"/>
      <c r="M46" s="484"/>
      <c r="N46" s="484"/>
      <c r="O46" s="484"/>
      <c r="P46" s="484"/>
      <c r="Q46" s="484"/>
      <c r="R46" s="484"/>
      <c r="S46" s="484"/>
      <c r="T46" s="484"/>
      <c r="U46" s="484"/>
      <c r="V46" s="484"/>
      <c r="W46" s="483"/>
      <c r="AA46" s="68"/>
      <c r="AB46" s="68"/>
    </row>
    <row r="47" spans="1:28" hidden="1">
      <c r="A47" s="703" t="s">
        <v>7051</v>
      </c>
      <c r="B47" s="13"/>
      <c r="C47" s="13"/>
      <c r="D47" s="13"/>
      <c r="E47" s="13"/>
      <c r="F47" s="13"/>
      <c r="G47" s="13"/>
      <c r="H47" s="13"/>
      <c r="I47" s="13"/>
      <c r="J47" s="13"/>
      <c r="K47" s="13">
        <f>SUM(B47:J47)</f>
        <v>0</v>
      </c>
      <c r="L47" s="16"/>
      <c r="M47" s="13"/>
      <c r="N47" s="13"/>
      <c r="O47" s="13"/>
      <c r="P47" s="13"/>
      <c r="Q47" s="13"/>
      <c r="R47" s="13"/>
      <c r="S47" s="13"/>
      <c r="T47" s="13"/>
      <c r="U47" s="13"/>
      <c r="V47" s="13">
        <f>SUM(M47:U47)</f>
        <v>0</v>
      </c>
      <c r="W47" s="16"/>
      <c r="AA47" s="68"/>
      <c r="AB47" s="68"/>
    </row>
    <row r="48" spans="1:28" hidden="1">
      <c r="A48" s="703" t="s">
        <v>7050</v>
      </c>
      <c r="B48" s="13"/>
      <c r="C48" s="13"/>
      <c r="D48" s="13"/>
      <c r="E48" s="13"/>
      <c r="F48" s="13"/>
      <c r="G48" s="13"/>
      <c r="H48" s="13"/>
      <c r="I48" s="13"/>
      <c r="J48" s="13"/>
      <c r="K48" s="13">
        <f>SUM(B48:J48)</f>
        <v>0</v>
      </c>
      <c r="L48" s="16"/>
      <c r="M48" s="13"/>
      <c r="N48" s="13"/>
      <c r="O48" s="13"/>
      <c r="P48" s="13"/>
      <c r="Q48" s="13"/>
      <c r="R48" s="13"/>
      <c r="S48" s="13"/>
      <c r="T48" s="13"/>
      <c r="U48" s="13"/>
      <c r="V48" s="13">
        <f>SUM(M48:U48)</f>
        <v>0</v>
      </c>
      <c r="W48" s="16"/>
      <c r="AA48" s="68"/>
      <c r="AB48" s="68"/>
    </row>
    <row r="49" spans="1:28" hidden="1">
      <c r="A49" s="703" t="s">
        <v>7049</v>
      </c>
      <c r="B49" s="13"/>
      <c r="C49" s="13"/>
      <c r="D49" s="13"/>
      <c r="E49" s="13"/>
      <c r="F49" s="13"/>
      <c r="G49" s="13"/>
      <c r="H49" s="13"/>
      <c r="I49" s="13"/>
      <c r="J49" s="13"/>
      <c r="K49" s="13">
        <f>SUM(B49:J49)</f>
        <v>0</v>
      </c>
      <c r="L49" s="16"/>
      <c r="M49" s="13"/>
      <c r="N49" s="13"/>
      <c r="O49" s="13"/>
      <c r="P49" s="13"/>
      <c r="Q49" s="13"/>
      <c r="R49" s="13"/>
      <c r="S49" s="13"/>
      <c r="T49" s="13"/>
      <c r="U49" s="13"/>
      <c r="V49" s="13">
        <f>SUM(M49:U49)</f>
        <v>0</v>
      </c>
      <c r="W49" s="16"/>
      <c r="AA49" s="68"/>
      <c r="AB49" s="68"/>
    </row>
    <row r="50" spans="1:28" ht="24">
      <c r="A50" s="708" t="s">
        <v>6909</v>
      </c>
      <c r="B50" s="482"/>
      <c r="C50" s="482"/>
      <c r="D50" s="482">
        <f t="shared" ref="D50:W50" si="12">SUM(D51:D53)</f>
        <v>81</v>
      </c>
      <c r="E50" s="482">
        <f t="shared" si="12"/>
        <v>0</v>
      </c>
      <c r="F50" s="482">
        <f t="shared" si="12"/>
        <v>0</v>
      </c>
      <c r="G50" s="482">
        <f t="shared" si="12"/>
        <v>0</v>
      </c>
      <c r="H50" s="482">
        <f t="shared" si="12"/>
        <v>0</v>
      </c>
      <c r="I50" s="482">
        <f t="shared" si="12"/>
        <v>0</v>
      </c>
      <c r="J50" s="482">
        <f t="shared" si="12"/>
        <v>0</v>
      </c>
      <c r="K50" s="482">
        <f t="shared" si="12"/>
        <v>81</v>
      </c>
      <c r="L50" s="474">
        <f t="shared" si="12"/>
        <v>5385633</v>
      </c>
      <c r="M50" s="482">
        <f t="shared" si="12"/>
        <v>0</v>
      </c>
      <c r="N50" s="482">
        <f t="shared" si="12"/>
        <v>0</v>
      </c>
      <c r="O50" s="482">
        <f t="shared" si="12"/>
        <v>81</v>
      </c>
      <c r="P50" s="482">
        <f t="shared" si="12"/>
        <v>0</v>
      </c>
      <c r="Q50" s="482">
        <f t="shared" si="12"/>
        <v>0</v>
      </c>
      <c r="R50" s="482">
        <f t="shared" si="12"/>
        <v>0</v>
      </c>
      <c r="S50" s="482">
        <f t="shared" si="12"/>
        <v>0</v>
      </c>
      <c r="T50" s="482">
        <f t="shared" si="12"/>
        <v>0</v>
      </c>
      <c r="U50" s="482">
        <f t="shared" si="12"/>
        <v>0</v>
      </c>
      <c r="V50" s="482">
        <f t="shared" si="12"/>
        <v>81</v>
      </c>
      <c r="W50" s="474">
        <f t="shared" si="12"/>
        <v>4577281</v>
      </c>
      <c r="Y50" s="490"/>
      <c r="AA50" s="68"/>
      <c r="AB50" s="68"/>
    </row>
    <row r="51" spans="1:28" ht="24">
      <c r="A51" s="703" t="s">
        <v>6908</v>
      </c>
      <c r="B51" s="13"/>
      <c r="C51" s="13"/>
      <c r="D51" s="13">
        <v>81</v>
      </c>
      <c r="E51" s="13"/>
      <c r="F51" s="13"/>
      <c r="G51" s="13"/>
      <c r="H51" s="13"/>
      <c r="I51" s="13"/>
      <c r="J51" s="13"/>
      <c r="K51" s="13">
        <f>SUM(B51:J51)</f>
        <v>81</v>
      </c>
      <c r="L51" s="472">
        <v>5385633</v>
      </c>
      <c r="M51" s="13"/>
      <c r="N51" s="13"/>
      <c r="O51" s="13">
        <v>81</v>
      </c>
      <c r="P51" s="13"/>
      <c r="Q51" s="13"/>
      <c r="R51" s="13"/>
      <c r="S51" s="13"/>
      <c r="T51" s="13"/>
      <c r="U51" s="13"/>
      <c r="V51" s="13">
        <f>SUM(M51:U51)</f>
        <v>81</v>
      </c>
      <c r="W51" s="472">
        <v>4577281</v>
      </c>
      <c r="Y51" s="489"/>
      <c r="AA51" s="68"/>
      <c r="AB51" s="68"/>
    </row>
    <row r="52" spans="1:28" ht="24" hidden="1">
      <c r="A52" s="703" t="s">
        <v>6907</v>
      </c>
      <c r="B52" s="13"/>
      <c r="C52" s="13"/>
      <c r="D52" s="13"/>
      <c r="E52" s="13"/>
      <c r="F52" s="13"/>
      <c r="G52" s="13"/>
      <c r="H52" s="13"/>
      <c r="I52" s="13"/>
      <c r="J52" s="13"/>
      <c r="K52" s="13">
        <f>SUM(B52:J52)</f>
        <v>0</v>
      </c>
      <c r="L52" s="472"/>
      <c r="M52" s="13"/>
      <c r="N52" s="13"/>
      <c r="O52" s="13"/>
      <c r="P52" s="13"/>
      <c r="Q52" s="13"/>
      <c r="R52" s="13"/>
      <c r="S52" s="13"/>
      <c r="T52" s="13"/>
      <c r="U52" s="13"/>
      <c r="V52" s="13">
        <f>SUM(M52:U52)</f>
        <v>0</v>
      </c>
      <c r="W52" s="472"/>
      <c r="Y52" s="489"/>
      <c r="AA52" s="68"/>
      <c r="AB52" s="68"/>
    </row>
    <row r="53" spans="1:28" ht="24" hidden="1">
      <c r="A53" s="703" t="s">
        <v>6906</v>
      </c>
      <c r="B53" s="13"/>
      <c r="C53" s="13"/>
      <c r="D53" s="13"/>
      <c r="E53" s="13"/>
      <c r="F53" s="13"/>
      <c r="G53" s="13"/>
      <c r="H53" s="13"/>
      <c r="I53" s="13"/>
      <c r="J53" s="13"/>
      <c r="K53" s="13">
        <f>SUM(B53:J53)</f>
        <v>0</v>
      </c>
      <c r="L53" s="472"/>
      <c r="M53" s="13"/>
      <c r="N53" s="13"/>
      <c r="O53" s="13"/>
      <c r="P53" s="13"/>
      <c r="Q53" s="13"/>
      <c r="R53" s="13"/>
      <c r="S53" s="13"/>
      <c r="T53" s="13"/>
      <c r="U53" s="13"/>
      <c r="V53" s="13">
        <f>SUM(M53:U53)</f>
        <v>0</v>
      </c>
      <c r="W53" s="472"/>
      <c r="Y53" s="489"/>
      <c r="AA53" s="68"/>
      <c r="AB53" s="68"/>
    </row>
    <row r="54" spans="1:28" hidden="1">
      <c r="A54" s="703"/>
      <c r="B54" s="13"/>
      <c r="C54" s="13"/>
      <c r="D54" s="13"/>
      <c r="E54" s="13"/>
      <c r="F54" s="13"/>
      <c r="G54" s="13"/>
      <c r="H54" s="13"/>
      <c r="I54" s="13"/>
      <c r="J54" s="13"/>
      <c r="K54" s="13"/>
      <c r="L54" s="472"/>
      <c r="M54" s="13"/>
      <c r="N54" s="13"/>
      <c r="O54" s="13"/>
      <c r="P54" s="13"/>
      <c r="Q54" s="13"/>
      <c r="R54" s="13"/>
      <c r="S54" s="13"/>
      <c r="T54" s="13"/>
      <c r="U54" s="13"/>
      <c r="V54" s="13"/>
      <c r="W54" s="472"/>
      <c r="Z54" s="531"/>
      <c r="AA54" s="68"/>
      <c r="AB54" s="68"/>
    </row>
    <row r="55" spans="1:28" ht="24" hidden="1">
      <c r="A55" s="704" t="s">
        <v>6905</v>
      </c>
      <c r="B55" s="477"/>
      <c r="C55" s="477"/>
      <c r="D55" s="477"/>
      <c r="E55" s="477"/>
      <c r="F55" s="477"/>
      <c r="G55" s="477"/>
      <c r="H55" s="477"/>
      <c r="I55" s="477"/>
      <c r="J55" s="477"/>
      <c r="K55" s="477"/>
      <c r="L55" s="488"/>
      <c r="M55" s="477"/>
      <c r="N55" s="477"/>
      <c r="O55" s="477"/>
      <c r="P55" s="477"/>
      <c r="Q55" s="477"/>
      <c r="R55" s="477"/>
      <c r="S55" s="477"/>
      <c r="T55" s="477"/>
      <c r="U55" s="477"/>
      <c r="V55" s="477"/>
      <c r="W55" s="487"/>
      <c r="AA55" s="68"/>
      <c r="AB55" s="68"/>
    </row>
    <row r="56" spans="1:28" hidden="1">
      <c r="A56" s="703" t="s">
        <v>6904</v>
      </c>
      <c r="B56" s="13"/>
      <c r="C56" s="13"/>
      <c r="D56" s="13"/>
      <c r="E56" s="13"/>
      <c r="F56" s="13"/>
      <c r="G56" s="13"/>
      <c r="H56" s="13"/>
      <c r="I56" s="13"/>
      <c r="J56" s="13"/>
      <c r="K56" s="13"/>
      <c r="L56" s="472"/>
      <c r="M56" s="13"/>
      <c r="N56" s="13"/>
      <c r="O56" s="13"/>
      <c r="P56" s="13"/>
      <c r="Q56" s="13"/>
      <c r="R56" s="13"/>
      <c r="S56" s="13"/>
      <c r="T56" s="13"/>
      <c r="U56" s="13"/>
      <c r="V56" s="13"/>
      <c r="W56" s="16"/>
      <c r="AA56" s="68"/>
      <c r="AB56" s="68"/>
    </row>
    <row r="57" spans="1:28" hidden="1">
      <c r="A57" s="703"/>
      <c r="B57" s="13"/>
      <c r="C57" s="13"/>
      <c r="D57" s="13"/>
      <c r="E57" s="13"/>
      <c r="F57" s="13"/>
      <c r="G57" s="13"/>
      <c r="H57" s="13"/>
      <c r="I57" s="13"/>
      <c r="J57" s="13"/>
      <c r="K57" s="13"/>
      <c r="L57" s="472"/>
      <c r="M57" s="13"/>
      <c r="N57" s="13"/>
      <c r="O57" s="13"/>
      <c r="P57" s="13"/>
      <c r="Q57" s="13"/>
      <c r="R57" s="13"/>
      <c r="S57" s="13"/>
      <c r="T57" s="13"/>
      <c r="U57" s="13"/>
      <c r="V57" s="13"/>
      <c r="W57" s="16"/>
      <c r="AA57" s="68"/>
      <c r="AB57" s="68"/>
    </row>
    <row r="58" spans="1:28" hidden="1">
      <c r="A58" s="707" t="s">
        <v>6903</v>
      </c>
      <c r="B58" s="493"/>
      <c r="C58" s="493"/>
      <c r="D58" s="493"/>
      <c r="E58" s="493"/>
      <c r="F58" s="493"/>
      <c r="G58" s="493"/>
      <c r="H58" s="493"/>
      <c r="I58" s="493"/>
      <c r="J58" s="493"/>
      <c r="K58" s="493"/>
      <c r="L58" s="492"/>
      <c r="M58" s="493"/>
      <c r="N58" s="493"/>
      <c r="O58" s="493"/>
      <c r="P58" s="493"/>
      <c r="Q58" s="493"/>
      <c r="R58" s="493"/>
      <c r="S58" s="493"/>
      <c r="T58" s="493"/>
      <c r="U58" s="493"/>
      <c r="V58" s="493"/>
      <c r="W58" s="530"/>
      <c r="AA58" s="68"/>
      <c r="AB58" s="68"/>
    </row>
    <row r="59" spans="1:28" hidden="1">
      <c r="A59" s="703" t="s">
        <v>6902</v>
      </c>
      <c r="B59" s="13"/>
      <c r="C59" s="13"/>
      <c r="D59" s="13"/>
      <c r="E59" s="13"/>
      <c r="F59" s="13"/>
      <c r="G59" s="13"/>
      <c r="H59" s="13"/>
      <c r="I59" s="13"/>
      <c r="J59" s="13"/>
      <c r="K59" s="13"/>
      <c r="L59" s="472"/>
      <c r="M59" s="13"/>
      <c r="N59" s="13"/>
      <c r="O59" s="13"/>
      <c r="P59" s="13"/>
      <c r="Q59" s="13"/>
      <c r="R59" s="13"/>
      <c r="S59" s="13"/>
      <c r="T59" s="13"/>
      <c r="U59" s="13"/>
      <c r="V59" s="13"/>
      <c r="W59" s="16"/>
      <c r="AA59" s="68"/>
      <c r="AB59" s="68"/>
    </row>
    <row r="60" spans="1:28" hidden="1">
      <c r="A60" s="703"/>
      <c r="B60" s="13"/>
      <c r="C60" s="13"/>
      <c r="D60" s="13"/>
      <c r="E60" s="13"/>
      <c r="F60" s="13"/>
      <c r="G60" s="13"/>
      <c r="H60" s="13"/>
      <c r="I60" s="13"/>
      <c r="J60" s="13"/>
      <c r="K60" s="13"/>
      <c r="L60" s="472"/>
      <c r="M60" s="13"/>
      <c r="N60" s="13"/>
      <c r="O60" s="13"/>
      <c r="P60" s="13"/>
      <c r="Q60" s="13"/>
      <c r="R60" s="13"/>
      <c r="S60" s="13"/>
      <c r="T60" s="13"/>
      <c r="U60" s="13"/>
      <c r="V60" s="13"/>
      <c r="W60" s="16"/>
      <c r="AA60" s="68"/>
      <c r="AB60" s="68"/>
    </row>
    <row r="61" spans="1:28" hidden="1">
      <c r="A61" s="707" t="s">
        <v>6901</v>
      </c>
      <c r="B61" s="493">
        <f>B62</f>
        <v>0</v>
      </c>
      <c r="C61" s="493"/>
      <c r="D61" s="493"/>
      <c r="E61" s="493"/>
      <c r="F61" s="493"/>
      <c r="G61" s="493"/>
      <c r="H61" s="493"/>
      <c r="I61" s="493"/>
      <c r="J61" s="493"/>
      <c r="K61" s="493">
        <f>K62</f>
        <v>0</v>
      </c>
      <c r="L61" s="492">
        <f>L62</f>
        <v>0</v>
      </c>
      <c r="M61" s="493"/>
      <c r="N61" s="493"/>
      <c r="O61" s="493"/>
      <c r="P61" s="493"/>
      <c r="Q61" s="493"/>
      <c r="R61" s="493"/>
      <c r="S61" s="493"/>
      <c r="T61" s="493"/>
      <c r="U61" s="493"/>
      <c r="V61" s="493"/>
      <c r="W61" s="530">
        <f>W62</f>
        <v>0</v>
      </c>
      <c r="AA61" s="68"/>
      <c r="AB61" s="68"/>
    </row>
    <row r="62" spans="1:28" hidden="1">
      <c r="A62" s="703" t="s">
        <v>6901</v>
      </c>
      <c r="B62" s="13"/>
      <c r="C62" s="13"/>
      <c r="D62" s="13"/>
      <c r="E62" s="13"/>
      <c r="F62" s="13"/>
      <c r="G62" s="13"/>
      <c r="H62" s="13"/>
      <c r="I62" s="13"/>
      <c r="J62" s="13"/>
      <c r="K62" s="13">
        <f>SUM(B62:J62)</f>
        <v>0</v>
      </c>
      <c r="L62" s="472"/>
      <c r="M62" s="13"/>
      <c r="N62" s="13"/>
      <c r="O62" s="13"/>
      <c r="P62" s="13"/>
      <c r="Q62" s="13"/>
      <c r="R62" s="13"/>
      <c r="S62" s="13"/>
      <c r="T62" s="13"/>
      <c r="U62" s="13"/>
      <c r="V62" s="13"/>
      <c r="W62" s="16"/>
      <c r="AA62" s="68"/>
      <c r="AB62" s="68"/>
    </row>
    <row r="63" spans="1:28" hidden="1">
      <c r="A63" s="703"/>
      <c r="B63" s="13"/>
      <c r="C63" s="13"/>
      <c r="D63" s="13"/>
      <c r="E63" s="13"/>
      <c r="F63" s="13"/>
      <c r="G63" s="13"/>
      <c r="H63" s="13"/>
      <c r="I63" s="13"/>
      <c r="J63" s="13"/>
      <c r="K63" s="13"/>
      <c r="L63" s="472"/>
      <c r="M63" s="13"/>
      <c r="N63" s="13"/>
      <c r="O63" s="13"/>
      <c r="P63" s="13"/>
      <c r="Q63" s="13"/>
      <c r="R63" s="13"/>
      <c r="S63" s="13"/>
      <c r="T63" s="13"/>
      <c r="U63" s="13"/>
      <c r="V63" s="13"/>
      <c r="W63" s="16"/>
      <c r="AA63" s="68"/>
      <c r="AB63" s="68"/>
    </row>
    <row r="64" spans="1:28" hidden="1">
      <c r="A64" s="705" t="s">
        <v>6900</v>
      </c>
      <c r="B64" s="484"/>
      <c r="C64" s="484"/>
      <c r="D64" s="484"/>
      <c r="E64" s="484"/>
      <c r="F64" s="484"/>
      <c r="G64" s="484"/>
      <c r="H64" s="484"/>
      <c r="I64" s="484"/>
      <c r="J64" s="484"/>
      <c r="K64" s="484"/>
      <c r="L64" s="485"/>
      <c r="M64" s="484"/>
      <c r="N64" s="484"/>
      <c r="O64" s="484"/>
      <c r="P64" s="484"/>
      <c r="Q64" s="484"/>
      <c r="R64" s="484"/>
      <c r="S64" s="484"/>
      <c r="T64" s="484"/>
      <c r="U64" s="484"/>
      <c r="V64" s="484"/>
      <c r="W64" s="483"/>
      <c r="AA64" s="68"/>
      <c r="AB64" s="68"/>
    </row>
    <row r="65" spans="1:28" hidden="1">
      <c r="A65" s="703" t="s">
        <v>6900</v>
      </c>
      <c r="B65" s="13"/>
      <c r="C65" s="13"/>
      <c r="D65" s="13"/>
      <c r="E65" s="13"/>
      <c r="F65" s="13"/>
      <c r="G65" s="13"/>
      <c r="H65" s="13"/>
      <c r="I65" s="13"/>
      <c r="J65" s="13"/>
      <c r="K65" s="13"/>
      <c r="L65" s="472"/>
      <c r="M65" s="13"/>
      <c r="N65" s="13"/>
      <c r="O65" s="13"/>
      <c r="P65" s="13"/>
      <c r="Q65" s="13"/>
      <c r="R65" s="13"/>
      <c r="S65" s="13"/>
      <c r="T65" s="13"/>
      <c r="U65" s="13"/>
      <c r="V65" s="13"/>
      <c r="W65" s="16"/>
      <c r="AA65" s="68"/>
      <c r="AB65" s="68"/>
    </row>
    <row r="66" spans="1:28" hidden="1">
      <c r="A66" s="703"/>
      <c r="B66" s="13"/>
      <c r="C66" s="13"/>
      <c r="D66" s="13"/>
      <c r="E66" s="13"/>
      <c r="F66" s="13"/>
      <c r="G66" s="13"/>
      <c r="H66" s="13"/>
      <c r="I66" s="13"/>
      <c r="J66" s="13"/>
      <c r="K66" s="13"/>
      <c r="L66" s="472"/>
      <c r="M66" s="13"/>
      <c r="N66" s="13"/>
      <c r="O66" s="13"/>
      <c r="P66" s="13"/>
      <c r="Q66" s="13"/>
      <c r="R66" s="13"/>
      <c r="S66" s="13"/>
      <c r="T66" s="13"/>
      <c r="U66" s="13"/>
      <c r="V66" s="13"/>
      <c r="W66" s="16"/>
      <c r="AA66" s="68"/>
      <c r="AB66" s="68"/>
    </row>
    <row r="67" spans="1:28" hidden="1">
      <c r="A67" s="705" t="s">
        <v>6899</v>
      </c>
      <c r="B67" s="484"/>
      <c r="C67" s="484"/>
      <c r="D67" s="484"/>
      <c r="E67" s="484"/>
      <c r="F67" s="484"/>
      <c r="G67" s="484"/>
      <c r="H67" s="484"/>
      <c r="I67" s="484"/>
      <c r="J67" s="484"/>
      <c r="K67" s="484"/>
      <c r="L67" s="485"/>
      <c r="M67" s="484"/>
      <c r="N67" s="484"/>
      <c r="O67" s="484"/>
      <c r="P67" s="484"/>
      <c r="Q67" s="484"/>
      <c r="R67" s="484"/>
      <c r="S67" s="484"/>
      <c r="T67" s="484"/>
      <c r="U67" s="484"/>
      <c r="V67" s="484"/>
      <c r="W67" s="483"/>
      <c r="AA67" s="68"/>
      <c r="AB67" s="68"/>
    </row>
    <row r="68" spans="1:28" ht="24" hidden="1">
      <c r="A68" s="703" t="s">
        <v>6898</v>
      </c>
      <c r="B68" s="13"/>
      <c r="C68" s="13"/>
      <c r="D68" s="13"/>
      <c r="E68" s="13"/>
      <c r="F68" s="13"/>
      <c r="G68" s="13"/>
      <c r="H68" s="13"/>
      <c r="I68" s="13"/>
      <c r="J68" s="13"/>
      <c r="K68" s="13"/>
      <c r="L68" s="472"/>
      <c r="M68" s="13"/>
      <c r="N68" s="13"/>
      <c r="O68" s="13"/>
      <c r="P68" s="13"/>
      <c r="Q68" s="13"/>
      <c r="R68" s="13"/>
      <c r="S68" s="13"/>
      <c r="T68" s="13"/>
      <c r="U68" s="13"/>
      <c r="V68" s="13"/>
      <c r="W68" s="16"/>
      <c r="AA68" s="68"/>
      <c r="AB68" s="68"/>
    </row>
    <row r="69" spans="1:28" hidden="1">
      <c r="A69" s="703" t="s">
        <v>6897</v>
      </c>
      <c r="B69" s="13"/>
      <c r="C69" s="13"/>
      <c r="D69" s="13"/>
      <c r="E69" s="13"/>
      <c r="F69" s="13"/>
      <c r="G69" s="13"/>
      <c r="H69" s="13"/>
      <c r="I69" s="13"/>
      <c r="J69" s="13"/>
      <c r="K69" s="13"/>
      <c r="L69" s="472"/>
      <c r="M69" s="13"/>
      <c r="N69" s="13"/>
      <c r="O69" s="13"/>
      <c r="P69" s="13"/>
      <c r="Q69" s="13"/>
      <c r="R69" s="13"/>
      <c r="S69" s="13"/>
      <c r="T69" s="13"/>
      <c r="U69" s="13"/>
      <c r="V69" s="13"/>
      <c r="W69" s="16"/>
      <c r="AA69" s="68"/>
      <c r="AB69" s="68"/>
    </row>
    <row r="70" spans="1:28" hidden="1">
      <c r="A70" s="703" t="s">
        <v>6896</v>
      </c>
      <c r="B70" s="13"/>
      <c r="C70" s="13"/>
      <c r="D70" s="13"/>
      <c r="E70" s="13"/>
      <c r="F70" s="13"/>
      <c r="G70" s="13"/>
      <c r="H70" s="13"/>
      <c r="I70" s="13"/>
      <c r="J70" s="13"/>
      <c r="K70" s="13"/>
      <c r="L70" s="472"/>
      <c r="M70" s="13"/>
      <c r="N70" s="13"/>
      <c r="O70" s="13"/>
      <c r="P70" s="13"/>
      <c r="Q70" s="13"/>
      <c r="R70" s="13"/>
      <c r="S70" s="13"/>
      <c r="T70" s="13"/>
      <c r="U70" s="13"/>
      <c r="V70" s="13"/>
      <c r="W70" s="16"/>
      <c r="AA70" s="68"/>
      <c r="AB70" s="68"/>
    </row>
    <row r="71" spans="1:28" hidden="1">
      <c r="A71" s="703" t="s">
        <v>6895</v>
      </c>
      <c r="B71" s="13"/>
      <c r="C71" s="13"/>
      <c r="D71" s="13"/>
      <c r="E71" s="13"/>
      <c r="F71" s="13"/>
      <c r="G71" s="13"/>
      <c r="H71" s="13"/>
      <c r="I71" s="13"/>
      <c r="J71" s="13"/>
      <c r="K71" s="13"/>
      <c r="L71" s="472"/>
      <c r="M71" s="13"/>
      <c r="N71" s="13"/>
      <c r="O71" s="13"/>
      <c r="P71" s="13"/>
      <c r="Q71" s="13"/>
      <c r="R71" s="13"/>
      <c r="S71" s="13"/>
      <c r="T71" s="13"/>
      <c r="U71" s="13"/>
      <c r="V71" s="13"/>
      <c r="W71" s="16"/>
      <c r="AA71" s="68"/>
      <c r="AB71" s="68"/>
    </row>
    <row r="72" spans="1:28" hidden="1">
      <c r="A72" s="703"/>
      <c r="B72" s="13"/>
      <c r="C72" s="13"/>
      <c r="D72" s="13"/>
      <c r="E72" s="13"/>
      <c r="F72" s="13"/>
      <c r="G72" s="13"/>
      <c r="H72" s="13"/>
      <c r="I72" s="13"/>
      <c r="J72" s="13"/>
      <c r="K72" s="13"/>
      <c r="L72" s="472"/>
      <c r="M72" s="13"/>
      <c r="N72" s="13"/>
      <c r="O72" s="13"/>
      <c r="P72" s="13"/>
      <c r="Q72" s="13"/>
      <c r="R72" s="13"/>
      <c r="S72" s="13"/>
      <c r="T72" s="13"/>
      <c r="U72" s="13"/>
      <c r="V72" s="13"/>
      <c r="W72" s="16"/>
      <c r="AA72" s="68"/>
      <c r="AB72" s="68"/>
    </row>
    <row r="73" spans="1:28">
      <c r="A73" s="704" t="s">
        <v>6894</v>
      </c>
      <c r="B73" s="482"/>
      <c r="C73" s="482"/>
      <c r="D73" s="482"/>
      <c r="E73" s="482"/>
      <c r="F73" s="482"/>
      <c r="G73" s="482"/>
      <c r="H73" s="482"/>
      <c r="I73" s="482"/>
      <c r="J73" s="482">
        <f>SUM(J74:J77)</f>
        <v>0</v>
      </c>
      <c r="K73" s="482">
        <f>SUM(K74:K77)</f>
        <v>0</v>
      </c>
      <c r="L73" s="479">
        <f>SUM(L74:L79)</f>
        <v>148342</v>
      </c>
      <c r="M73" s="478"/>
      <c r="N73" s="482"/>
      <c r="O73" s="482"/>
      <c r="P73" s="482"/>
      <c r="Q73" s="482"/>
      <c r="R73" s="482"/>
      <c r="S73" s="482"/>
      <c r="T73" s="482"/>
      <c r="U73" s="482"/>
      <c r="V73" s="482"/>
      <c r="W73" s="528">
        <f>SUM(W74:W79)</f>
        <v>23528</v>
      </c>
      <c r="AA73" s="68"/>
      <c r="AB73" s="68"/>
    </row>
    <row r="74" spans="1:28" ht="24" hidden="1">
      <c r="A74" s="703" t="s">
        <v>6893</v>
      </c>
      <c r="B74" s="13"/>
      <c r="C74" s="13"/>
      <c r="D74" s="13"/>
      <c r="E74" s="13"/>
      <c r="F74" s="13"/>
      <c r="G74" s="13"/>
      <c r="H74" s="13"/>
      <c r="I74" s="13"/>
      <c r="J74" s="13"/>
      <c r="K74" s="13"/>
      <c r="L74" s="529"/>
      <c r="M74" s="503"/>
      <c r="N74" s="13"/>
      <c r="O74" s="13"/>
      <c r="P74" s="13"/>
      <c r="Q74" s="13"/>
      <c r="R74" s="13"/>
      <c r="S74" s="13"/>
      <c r="T74" s="13"/>
      <c r="U74" s="13"/>
      <c r="V74" s="13"/>
      <c r="W74" s="16"/>
      <c r="AA74" s="68"/>
      <c r="AB74" s="68"/>
    </row>
    <row r="75" spans="1:28" ht="24" hidden="1">
      <c r="A75" s="703" t="s">
        <v>6892</v>
      </c>
      <c r="B75" s="13"/>
      <c r="C75" s="13"/>
      <c r="D75" s="13"/>
      <c r="E75" s="13"/>
      <c r="F75" s="13"/>
      <c r="G75" s="13"/>
      <c r="H75" s="13"/>
      <c r="I75" s="13"/>
      <c r="J75" s="13"/>
      <c r="K75" s="13"/>
      <c r="L75" s="529"/>
      <c r="M75" s="503"/>
      <c r="N75" s="13"/>
      <c r="O75" s="13"/>
      <c r="P75" s="13"/>
      <c r="Q75" s="13"/>
      <c r="R75" s="13"/>
      <c r="S75" s="13"/>
      <c r="T75" s="13"/>
      <c r="U75" s="13"/>
      <c r="V75" s="13"/>
      <c r="W75" s="16"/>
      <c r="AA75" s="68"/>
      <c r="AB75" s="68"/>
    </row>
    <row r="76" spans="1:28" ht="24" hidden="1">
      <c r="A76" s="703" t="s">
        <v>6891</v>
      </c>
      <c r="B76" s="13"/>
      <c r="C76" s="13"/>
      <c r="D76" s="13"/>
      <c r="E76" s="13"/>
      <c r="F76" s="13"/>
      <c r="G76" s="13"/>
      <c r="H76" s="13"/>
      <c r="I76" s="13"/>
      <c r="J76" s="13"/>
      <c r="K76" s="13"/>
      <c r="L76" s="472"/>
      <c r="M76" s="13"/>
      <c r="N76" s="13"/>
      <c r="O76" s="13"/>
      <c r="P76" s="13"/>
      <c r="Q76" s="13"/>
      <c r="R76" s="13"/>
      <c r="S76" s="13"/>
      <c r="T76" s="13"/>
      <c r="U76" s="13"/>
      <c r="V76" s="13"/>
      <c r="W76" s="16"/>
      <c r="AA76" s="68"/>
      <c r="AB76" s="68"/>
    </row>
    <row r="77" spans="1:28" hidden="1">
      <c r="A77" s="703" t="s">
        <v>6890</v>
      </c>
      <c r="B77" s="13"/>
      <c r="C77" s="13"/>
      <c r="D77" s="13"/>
      <c r="E77" s="13"/>
      <c r="F77" s="13"/>
      <c r="G77" s="13"/>
      <c r="H77" s="13"/>
      <c r="I77" s="13"/>
      <c r="J77" s="13"/>
      <c r="K77" s="13"/>
      <c r="L77" s="472"/>
      <c r="M77" s="13"/>
      <c r="N77" s="13"/>
      <c r="O77" s="13"/>
      <c r="P77" s="13"/>
      <c r="Q77" s="13"/>
      <c r="R77" s="13"/>
      <c r="S77" s="13"/>
      <c r="T77" s="13"/>
      <c r="U77" s="13"/>
      <c r="V77" s="13"/>
      <c r="W77" s="16"/>
      <c r="AA77" s="68"/>
      <c r="AB77" s="68"/>
    </row>
    <row r="78" spans="1:28" ht="24">
      <c r="A78" s="703" t="s">
        <v>6889</v>
      </c>
      <c r="B78" s="13"/>
      <c r="C78" s="13"/>
      <c r="D78" s="13"/>
      <c r="E78" s="13"/>
      <c r="F78" s="13"/>
      <c r="G78" s="13"/>
      <c r="H78" s="13"/>
      <c r="I78" s="13"/>
      <c r="J78" s="13"/>
      <c r="K78" s="13"/>
      <c r="L78" s="472">
        <v>61460</v>
      </c>
      <c r="M78" s="13"/>
      <c r="N78" s="13"/>
      <c r="O78" s="13"/>
      <c r="P78" s="13"/>
      <c r="Q78" s="13"/>
      <c r="R78" s="13"/>
      <c r="S78" s="13"/>
      <c r="T78" s="13"/>
      <c r="U78" s="13"/>
      <c r="V78" s="13"/>
      <c r="W78" s="472">
        <f>19528+4000</f>
        <v>23528</v>
      </c>
      <c r="AA78" s="68"/>
      <c r="AB78" s="68"/>
    </row>
    <row r="79" spans="1:28" ht="24.75" thickBot="1">
      <c r="A79" s="703" t="s">
        <v>6888</v>
      </c>
      <c r="B79" s="13"/>
      <c r="C79" s="13"/>
      <c r="D79" s="13"/>
      <c r="E79" s="13"/>
      <c r="F79" s="13"/>
      <c r="G79" s="13"/>
      <c r="H79" s="13"/>
      <c r="I79" s="13"/>
      <c r="J79" s="13"/>
      <c r="K79" s="13"/>
      <c r="L79" s="472">
        <v>86882</v>
      </c>
      <c r="M79" s="13"/>
      <c r="N79" s="13"/>
      <c r="O79" s="13"/>
      <c r="P79" s="13"/>
      <c r="Q79" s="13"/>
      <c r="R79" s="13"/>
      <c r="S79" s="13"/>
      <c r="T79" s="13"/>
      <c r="U79" s="13"/>
      <c r="V79" s="13"/>
      <c r="W79" s="16"/>
      <c r="AA79" s="68"/>
      <c r="AB79" s="68"/>
    </row>
    <row r="80" spans="1:28" hidden="1">
      <c r="A80" s="481" t="s">
        <v>6887</v>
      </c>
      <c r="B80" s="477"/>
      <c r="C80" s="477"/>
      <c r="D80" s="477"/>
      <c r="E80" s="477"/>
      <c r="F80" s="477"/>
      <c r="G80" s="477"/>
      <c r="H80" s="477"/>
      <c r="I80" s="477"/>
      <c r="J80" s="480">
        <f>SUM(J81:J85)</f>
        <v>0</v>
      </c>
      <c r="K80" s="477"/>
      <c r="L80" s="528">
        <f>SUM(L81:L83)</f>
        <v>0</v>
      </c>
      <c r="M80" s="477"/>
      <c r="N80" s="477"/>
      <c r="O80" s="477"/>
      <c r="P80" s="477"/>
      <c r="Q80" s="477"/>
      <c r="R80" s="477"/>
      <c r="S80" s="477"/>
      <c r="T80" s="477"/>
      <c r="U80" s="477"/>
      <c r="V80" s="477"/>
      <c r="W80" s="528">
        <f>SUM(W81:W83)</f>
        <v>0</v>
      </c>
      <c r="AA80" s="68"/>
      <c r="AB80" s="68"/>
    </row>
    <row r="81" spans="1:28" hidden="1">
      <c r="A81" s="15" t="s">
        <v>6886</v>
      </c>
      <c r="B81" s="13"/>
      <c r="C81" s="13"/>
      <c r="D81" s="13"/>
      <c r="E81" s="13"/>
      <c r="F81" s="13"/>
      <c r="G81" s="13"/>
      <c r="H81" s="13"/>
      <c r="I81" s="13"/>
      <c r="J81" s="13"/>
      <c r="K81" s="13"/>
      <c r="L81" s="472"/>
      <c r="M81" s="13"/>
      <c r="N81" s="13"/>
      <c r="O81" s="13"/>
      <c r="P81" s="13"/>
      <c r="Q81" s="13"/>
      <c r="R81" s="13"/>
      <c r="S81" s="13"/>
      <c r="T81" s="13"/>
      <c r="U81" s="13"/>
      <c r="V81" s="13"/>
      <c r="W81" s="16"/>
      <c r="AA81" s="68"/>
      <c r="AB81" s="68"/>
    </row>
    <row r="82" spans="1:28" hidden="1">
      <c r="A82" s="15" t="s">
        <v>6885</v>
      </c>
      <c r="B82" s="13"/>
      <c r="C82" s="13"/>
      <c r="D82" s="13"/>
      <c r="E82" s="13"/>
      <c r="F82" s="13"/>
      <c r="G82" s="13"/>
      <c r="H82" s="13"/>
      <c r="I82" s="13"/>
      <c r="J82" s="13"/>
      <c r="K82" s="13"/>
      <c r="L82" s="472"/>
      <c r="M82" s="13"/>
      <c r="N82" s="13"/>
      <c r="O82" s="13"/>
      <c r="P82" s="13"/>
      <c r="Q82" s="13"/>
      <c r="R82" s="13"/>
      <c r="S82" s="13"/>
      <c r="T82" s="13"/>
      <c r="U82" s="13"/>
      <c r="V82" s="13"/>
      <c r="W82" s="16"/>
      <c r="AA82" s="68"/>
      <c r="AB82" s="68"/>
    </row>
    <row r="83" spans="1:28" hidden="1">
      <c r="A83" s="15" t="s">
        <v>6884</v>
      </c>
      <c r="B83" s="13"/>
      <c r="C83" s="13"/>
      <c r="D83" s="13"/>
      <c r="E83" s="13"/>
      <c r="F83" s="13"/>
      <c r="G83" s="13"/>
      <c r="H83" s="13"/>
      <c r="I83" s="13"/>
      <c r="J83" s="13"/>
      <c r="K83" s="13"/>
      <c r="L83" s="472"/>
      <c r="M83" s="13"/>
      <c r="N83" s="13"/>
      <c r="O83" s="13"/>
      <c r="P83" s="13"/>
      <c r="Q83" s="13"/>
      <c r="R83" s="13"/>
      <c r="S83" s="13"/>
      <c r="T83" s="13"/>
      <c r="U83" s="13"/>
      <c r="V83" s="13"/>
      <c r="W83" s="16"/>
      <c r="AA83" s="68"/>
      <c r="AB83" s="68"/>
    </row>
    <row r="84" spans="1:28" hidden="1">
      <c r="A84" s="527" t="s">
        <v>6883</v>
      </c>
      <c r="B84" s="493"/>
      <c r="C84" s="493"/>
      <c r="D84" s="493"/>
      <c r="E84" s="493"/>
      <c r="F84" s="493"/>
      <c r="G84" s="493"/>
      <c r="H84" s="493"/>
      <c r="I84" s="493"/>
      <c r="J84" s="493"/>
      <c r="K84" s="493"/>
      <c r="L84" s="492">
        <f>L85</f>
        <v>0</v>
      </c>
      <c r="M84" s="493"/>
      <c r="N84" s="493"/>
      <c r="O84" s="493"/>
      <c r="P84" s="493"/>
      <c r="Q84" s="493"/>
      <c r="R84" s="493"/>
      <c r="S84" s="493"/>
      <c r="T84" s="493"/>
      <c r="U84" s="493"/>
      <c r="V84" s="493">
        <f>SUM(M84:U84)</f>
        <v>0</v>
      </c>
      <c r="W84" s="492">
        <f>W85</f>
        <v>0</v>
      </c>
      <c r="AA84" s="68"/>
      <c r="AB84" s="68"/>
    </row>
    <row r="85" spans="1:28" ht="13.5" hidden="1" thickBot="1">
      <c r="A85" s="15" t="s">
        <v>6882</v>
      </c>
      <c r="B85" s="13"/>
      <c r="C85" s="13"/>
      <c r="D85" s="13"/>
      <c r="E85" s="13"/>
      <c r="F85" s="13"/>
      <c r="G85" s="13"/>
      <c r="H85" s="13"/>
      <c r="I85" s="13"/>
      <c r="J85" s="13"/>
      <c r="K85" s="13"/>
      <c r="L85" s="472"/>
      <c r="M85" s="13"/>
      <c r="N85" s="13"/>
      <c r="O85" s="13"/>
      <c r="P85" s="13"/>
      <c r="Q85" s="13"/>
      <c r="R85" s="13"/>
      <c r="S85" s="13"/>
      <c r="T85" s="13"/>
      <c r="U85" s="13"/>
      <c r="V85" s="13"/>
      <c r="W85" s="472"/>
      <c r="AA85" s="68"/>
      <c r="AB85" s="68"/>
    </row>
    <row r="86" spans="1:28" ht="13.5" thickBot="1">
      <c r="A86" s="17" t="s">
        <v>23</v>
      </c>
      <c r="B86" s="471">
        <f>B10+B50+B73+B80+B84+B61</f>
        <v>16</v>
      </c>
      <c r="C86" s="470">
        <f t="shared" ref="C86:J86" si="13">C10+C50+C73+C80+C84</f>
        <v>0</v>
      </c>
      <c r="D86" s="470">
        <f t="shared" si="13"/>
        <v>81</v>
      </c>
      <c r="E86" s="470">
        <f t="shared" si="13"/>
        <v>0</v>
      </c>
      <c r="F86" s="470">
        <f t="shared" si="13"/>
        <v>0</v>
      </c>
      <c r="G86" s="470">
        <f t="shared" si="13"/>
        <v>0</v>
      </c>
      <c r="H86" s="470">
        <f t="shared" si="13"/>
        <v>0</v>
      </c>
      <c r="I86" s="470">
        <f t="shared" si="13"/>
        <v>0</v>
      </c>
      <c r="J86" s="470">
        <f t="shared" si="13"/>
        <v>0</v>
      </c>
      <c r="K86" s="470">
        <f>K10+K50+K73+K80+K84+K61</f>
        <v>97</v>
      </c>
      <c r="L86" s="469">
        <f>L10+L50+L73+L80+L84+L61</f>
        <v>6002436.7999999998</v>
      </c>
      <c r="M86" s="471">
        <f t="shared" ref="M86:W86" si="14">M10+M50+M73+M80+M84</f>
        <v>16</v>
      </c>
      <c r="N86" s="470">
        <f t="shared" si="14"/>
        <v>0</v>
      </c>
      <c r="O86" s="470">
        <f t="shared" si="14"/>
        <v>81</v>
      </c>
      <c r="P86" s="470">
        <f t="shared" si="14"/>
        <v>0</v>
      </c>
      <c r="Q86" s="470">
        <f t="shared" si="14"/>
        <v>0</v>
      </c>
      <c r="R86" s="470">
        <f t="shared" si="14"/>
        <v>0</v>
      </c>
      <c r="S86" s="470">
        <f t="shared" si="14"/>
        <v>0</v>
      </c>
      <c r="T86" s="470">
        <f t="shared" si="14"/>
        <v>0</v>
      </c>
      <c r="U86" s="470">
        <f t="shared" si="14"/>
        <v>0</v>
      </c>
      <c r="V86" s="470">
        <f t="shared" si="14"/>
        <v>97</v>
      </c>
      <c r="W86" s="469">
        <f t="shared" si="14"/>
        <v>5107202.8</v>
      </c>
      <c r="X86" s="55"/>
      <c r="AA86" s="68"/>
      <c r="AB86" s="68"/>
    </row>
    <row r="87" spans="1:28">
      <c r="A87" s="1" t="s">
        <v>273</v>
      </c>
      <c r="B87" s="2"/>
      <c r="C87" s="2"/>
      <c r="D87" s="2"/>
      <c r="E87" s="2"/>
      <c r="F87" s="2"/>
      <c r="G87" s="2"/>
      <c r="H87" s="2"/>
      <c r="I87" s="2"/>
      <c r="J87" s="2"/>
      <c r="K87" s="2"/>
      <c r="L87" s="2"/>
      <c r="M87" s="2"/>
      <c r="N87" s="2"/>
      <c r="O87" s="2"/>
      <c r="P87" s="6"/>
      <c r="Q87" s="52"/>
      <c r="R87"/>
      <c r="S87"/>
      <c r="T87" s="68"/>
      <c r="U87" s="68"/>
      <c r="V87" s="68"/>
      <c r="W87" s="68"/>
      <c r="X87" s="68"/>
      <c r="Y87" s="68"/>
      <c r="Z87" s="68"/>
      <c r="AA87" s="68"/>
      <c r="AB87" s="68"/>
    </row>
    <row r="88" spans="1:28">
      <c r="A88" s="11" t="s">
        <v>267</v>
      </c>
      <c r="L88" s="461"/>
      <c r="P88" s="68"/>
      <c r="Q88" s="52"/>
      <c r="R88"/>
      <c r="S88"/>
      <c r="T88"/>
      <c r="U88"/>
      <c r="V88" s="68"/>
      <c r="W88" s="68"/>
      <c r="X88" s="68"/>
      <c r="Y88" s="68"/>
      <c r="Z88" s="68"/>
      <c r="AA88" s="68"/>
      <c r="AB88" s="68"/>
    </row>
    <row r="89" spans="1:28">
      <c r="A89" s="11" t="s">
        <v>271</v>
      </c>
      <c r="P89" s="68"/>
      <c r="Q89" s="52"/>
      <c r="R89"/>
      <c r="S89"/>
      <c r="T89"/>
      <c r="U89"/>
      <c r="V89" s="68"/>
      <c r="W89" s="68"/>
      <c r="X89" s="68"/>
      <c r="Y89" s="68"/>
      <c r="Z89" s="68"/>
      <c r="AA89" s="68"/>
      <c r="AB89" s="68"/>
    </row>
    <row r="90" spans="1:28">
      <c r="A90" s="11" t="s">
        <v>278</v>
      </c>
      <c r="W90" s="465"/>
    </row>
    <row r="91" spans="1:28">
      <c r="L91" s="465"/>
    </row>
    <row r="92" spans="1:28">
      <c r="W92" s="461"/>
    </row>
    <row r="93" spans="1:28">
      <c r="L93" s="465"/>
    </row>
    <row r="94" spans="1:28">
      <c r="L94" s="465"/>
      <c r="W94" s="465"/>
    </row>
    <row r="107" spans="25:28" ht="12">
      <c r="Y107" s="68"/>
      <c r="Z107" s="68"/>
      <c r="AA107" s="68"/>
      <c r="AB107" s="68"/>
    </row>
  </sheetData>
  <mergeCells count="5">
    <mergeCell ref="A7:W7"/>
    <mergeCell ref="A8:W8"/>
    <mergeCell ref="A9:W9"/>
    <mergeCell ref="B5:L5"/>
    <mergeCell ref="M5:W5"/>
  </mergeCells>
  <printOptions horizontalCentered="1"/>
  <pageMargins left="0.19685039370078741" right="0.19685039370078741" top="0.78740157480314965" bottom="0.78740157480314965" header="0.19685039370078741" footer="0.19685039370078741"/>
  <pageSetup paperSize="9" scale="87" fitToHeight="15"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2060"/>
  </sheetPr>
  <dimension ref="A1:AB112"/>
  <sheetViews>
    <sheetView view="pageBreakPreview" zoomScaleNormal="100" zoomScaleSheetLayoutView="100" workbookViewId="0">
      <pane xSplit="1" ySplit="6" topLeftCell="B105" activePane="bottomRight" state="frozen"/>
      <selection activeCell="B8" sqref="B8"/>
      <selection pane="topRight" activeCell="B8" sqref="B8"/>
      <selection pane="bottomLeft" activeCell="B8" sqref="B8"/>
      <selection pane="bottomRight" activeCell="B8" sqref="B8"/>
    </sheetView>
  </sheetViews>
  <sheetFormatPr baseColWidth="10" defaultColWidth="11.42578125" defaultRowHeight="12.75"/>
  <cols>
    <col min="1" max="1" width="29.28515625" style="11" customWidth="1"/>
    <col min="2" max="3" width="5.140625" style="11" bestFit="1" customWidth="1"/>
    <col min="4" max="4" width="7.28515625" style="11" bestFit="1" customWidth="1"/>
    <col min="5" max="8" width="5.140625" style="11" bestFit="1" customWidth="1"/>
    <col min="9" max="9" width="4.7109375" style="11" bestFit="1" customWidth="1"/>
    <col min="10" max="10" width="5.140625" style="11" bestFit="1" customWidth="1"/>
    <col min="11" max="11" width="4.140625" style="11" bestFit="1" customWidth="1"/>
    <col min="12" max="12" width="10.7109375" style="11" bestFit="1" customWidth="1"/>
    <col min="13" max="14" width="5.140625" style="11" bestFit="1" customWidth="1"/>
    <col min="15" max="15" width="7.28515625" style="11" bestFit="1" customWidth="1"/>
    <col min="16" max="19" width="5.140625" style="11" bestFit="1" customWidth="1"/>
    <col min="20" max="20" width="4.7109375" style="11" bestFit="1" customWidth="1"/>
    <col min="21" max="21" width="5.140625" style="11" bestFit="1" customWidth="1"/>
    <col min="22" max="22" width="4.140625" style="11" bestFit="1" customWidth="1"/>
    <col min="23" max="23" width="10" style="11" bestFit="1" customWidth="1"/>
    <col min="24" max="24" width="1.7109375" style="52" customWidth="1"/>
    <col min="25" max="28" width="10.7109375" customWidth="1"/>
    <col min="29" max="16384" width="11.42578125" style="68"/>
  </cols>
  <sheetData>
    <row r="1" spans="1:28" s="72" customFormat="1" ht="15.75">
      <c r="A1" s="186" t="s">
        <v>458</v>
      </c>
      <c r="B1" s="71"/>
      <c r="C1" s="71"/>
      <c r="D1" s="71"/>
      <c r="E1" s="71"/>
      <c r="F1" s="71"/>
      <c r="G1" s="71"/>
      <c r="H1" s="71"/>
      <c r="I1" s="71"/>
      <c r="J1" s="71"/>
      <c r="K1" s="71"/>
      <c r="L1" s="71"/>
      <c r="M1" s="71"/>
      <c r="N1" s="71"/>
      <c r="O1" s="71"/>
      <c r="P1" s="71"/>
      <c r="Q1" s="71"/>
      <c r="R1" s="71"/>
      <c r="S1" s="71"/>
      <c r="T1" s="71"/>
      <c r="U1" s="71"/>
      <c r="V1" s="71"/>
      <c r="W1" s="71"/>
      <c r="X1" s="73"/>
    </row>
    <row r="2" spans="1:28" s="72" customFormat="1" ht="15.75">
      <c r="A2" s="186" t="s">
        <v>1655</v>
      </c>
      <c r="B2" s="71"/>
      <c r="C2" s="71"/>
      <c r="D2" s="71"/>
      <c r="E2" s="71"/>
      <c r="F2" s="71"/>
      <c r="G2" s="71"/>
      <c r="H2" s="71"/>
      <c r="I2" s="71"/>
      <c r="J2" s="71"/>
      <c r="K2" s="71"/>
      <c r="L2" s="71"/>
      <c r="M2" s="71"/>
      <c r="N2" s="71"/>
      <c r="O2" s="71"/>
      <c r="P2" s="71"/>
      <c r="Q2" s="71"/>
      <c r="R2" s="71"/>
      <c r="S2" s="71"/>
      <c r="T2" s="71"/>
      <c r="U2" s="71"/>
      <c r="V2" s="71"/>
      <c r="W2" s="71"/>
      <c r="X2" s="73"/>
    </row>
    <row r="3" spans="1:28" s="56" customFormat="1" ht="15.75">
      <c r="A3" s="187" t="s">
        <v>1654</v>
      </c>
      <c r="X3" s="51"/>
    </row>
    <row r="4" spans="1:28" ht="13.5" thickBot="1">
      <c r="A4" s="187" t="s">
        <v>4548</v>
      </c>
      <c r="L4" s="12"/>
      <c r="W4" s="12"/>
    </row>
    <row r="5" spans="1:28" s="41" customFormat="1" ht="11.25">
      <c r="A5" s="120" t="s">
        <v>10</v>
      </c>
      <c r="B5" s="2001" t="s">
        <v>456</v>
      </c>
      <c r="C5" s="2002"/>
      <c r="D5" s="2002"/>
      <c r="E5" s="2002"/>
      <c r="F5" s="2002"/>
      <c r="G5" s="2002"/>
      <c r="H5" s="2002"/>
      <c r="I5" s="2002"/>
      <c r="J5" s="2002"/>
      <c r="K5" s="2002"/>
      <c r="L5" s="2003"/>
      <c r="M5" s="2001" t="s">
        <v>457</v>
      </c>
      <c r="N5" s="2002"/>
      <c r="O5" s="2002"/>
      <c r="P5" s="2002"/>
      <c r="Q5" s="2002"/>
      <c r="R5" s="2002"/>
      <c r="S5" s="2002"/>
      <c r="T5" s="2002"/>
      <c r="U5" s="2002"/>
      <c r="V5" s="2002"/>
      <c r="W5" s="2003"/>
      <c r="X5" s="53"/>
    </row>
    <row r="6" spans="1:28" s="42" customFormat="1" ht="98.25">
      <c r="A6" s="121" t="s">
        <v>9</v>
      </c>
      <c r="B6" s="122" t="s">
        <v>310</v>
      </c>
      <c r="C6" s="122" t="s">
        <v>118</v>
      </c>
      <c r="D6" s="123" t="s">
        <v>266</v>
      </c>
      <c r="E6" s="123" t="s">
        <v>259</v>
      </c>
      <c r="F6" s="123" t="s">
        <v>268</v>
      </c>
      <c r="G6" s="123" t="s">
        <v>269</v>
      </c>
      <c r="H6" s="123" t="s">
        <v>270</v>
      </c>
      <c r="I6" s="123" t="s">
        <v>277</v>
      </c>
      <c r="J6" s="124" t="s">
        <v>272</v>
      </c>
      <c r="K6" s="125" t="s">
        <v>274</v>
      </c>
      <c r="L6" s="126" t="s">
        <v>276</v>
      </c>
      <c r="M6" s="122" t="s">
        <v>310</v>
      </c>
      <c r="N6" s="122" t="s">
        <v>118</v>
      </c>
      <c r="O6" s="123" t="s">
        <v>266</v>
      </c>
      <c r="P6" s="123" t="s">
        <v>259</v>
      </c>
      <c r="Q6" s="123" t="s">
        <v>268</v>
      </c>
      <c r="R6" s="123" t="s">
        <v>269</v>
      </c>
      <c r="S6" s="123" t="s">
        <v>270</v>
      </c>
      <c r="T6" s="123" t="s">
        <v>277</v>
      </c>
      <c r="U6" s="124" t="s">
        <v>272</v>
      </c>
      <c r="V6" s="125" t="s">
        <v>274</v>
      </c>
      <c r="W6" s="126" t="s">
        <v>275</v>
      </c>
      <c r="X6" s="54"/>
    </row>
    <row r="7" spans="1:28" s="712" customFormat="1" ht="6">
      <c r="A7" s="2007"/>
      <c r="B7" s="2008"/>
      <c r="C7" s="2008"/>
      <c r="D7" s="2008"/>
      <c r="E7" s="2008"/>
      <c r="F7" s="2008"/>
      <c r="G7" s="2008"/>
      <c r="H7" s="2008"/>
      <c r="I7" s="2008"/>
      <c r="J7" s="2008"/>
      <c r="K7" s="2008"/>
      <c r="L7" s="2008"/>
      <c r="M7" s="2008"/>
      <c r="N7" s="2008"/>
      <c r="O7" s="2008"/>
      <c r="P7" s="2008"/>
      <c r="Q7" s="2008"/>
      <c r="R7" s="2008"/>
      <c r="S7" s="2008"/>
      <c r="T7" s="2008"/>
      <c r="U7" s="2008"/>
      <c r="V7" s="2008"/>
      <c r="W7" s="2009"/>
      <c r="X7" s="711"/>
    </row>
    <row r="8" spans="1:28" ht="15">
      <c r="A8" s="2004" t="s">
        <v>7176</v>
      </c>
      <c r="B8" s="2005"/>
      <c r="C8" s="2005"/>
      <c r="D8" s="2005"/>
      <c r="E8" s="2005"/>
      <c r="F8" s="2005"/>
      <c r="G8" s="2005"/>
      <c r="H8" s="2005"/>
      <c r="I8" s="2005"/>
      <c r="J8" s="2005"/>
      <c r="K8" s="2005"/>
      <c r="L8" s="2005"/>
      <c r="M8" s="2005"/>
      <c r="N8" s="2005"/>
      <c r="O8" s="2005"/>
      <c r="P8" s="2005"/>
      <c r="Q8" s="2005"/>
      <c r="R8" s="2005"/>
      <c r="S8" s="2005"/>
      <c r="T8" s="2005"/>
      <c r="U8" s="2005"/>
      <c r="V8" s="2005"/>
      <c r="W8" s="2006"/>
      <c r="Y8" s="68"/>
      <c r="Z8" s="68"/>
      <c r="AA8" s="68"/>
      <c r="AB8" s="68"/>
    </row>
    <row r="9" spans="1:28" s="710" customFormat="1" ht="8.25">
      <c r="A9" s="2010"/>
      <c r="B9" s="2011"/>
      <c r="C9" s="2011"/>
      <c r="D9" s="2011"/>
      <c r="E9" s="2011"/>
      <c r="F9" s="2011"/>
      <c r="G9" s="2011"/>
      <c r="H9" s="2011"/>
      <c r="I9" s="2011"/>
      <c r="J9" s="2011"/>
      <c r="K9" s="2011"/>
      <c r="L9" s="2011"/>
      <c r="M9" s="2011"/>
      <c r="N9" s="2011"/>
      <c r="O9" s="2011"/>
      <c r="P9" s="2011"/>
      <c r="Q9" s="2011"/>
      <c r="R9" s="2011"/>
      <c r="S9" s="2011"/>
      <c r="T9" s="2011"/>
      <c r="U9" s="2011"/>
      <c r="V9" s="2011"/>
      <c r="W9" s="2012"/>
      <c r="X9" s="709"/>
    </row>
    <row r="10" spans="1:28">
      <c r="A10" s="704" t="s">
        <v>48</v>
      </c>
      <c r="B10" s="482">
        <f t="shared" ref="B10:U10" si="0">B11+B20+B27+B34+B42+B46</f>
        <v>54</v>
      </c>
      <c r="C10" s="482">
        <f t="shared" si="0"/>
        <v>1</v>
      </c>
      <c r="D10" s="482">
        <f t="shared" si="0"/>
        <v>0</v>
      </c>
      <c r="E10" s="482">
        <f t="shared" si="0"/>
        <v>0</v>
      </c>
      <c r="F10" s="482">
        <f t="shared" si="0"/>
        <v>0</v>
      </c>
      <c r="G10" s="482">
        <f t="shared" si="0"/>
        <v>0</v>
      </c>
      <c r="H10" s="482">
        <f t="shared" si="0"/>
        <v>0</v>
      </c>
      <c r="I10" s="482">
        <f t="shared" si="0"/>
        <v>0</v>
      </c>
      <c r="J10" s="482">
        <f t="shared" si="0"/>
        <v>0</v>
      </c>
      <c r="K10" s="482">
        <f t="shared" si="0"/>
        <v>55</v>
      </c>
      <c r="L10" s="474">
        <f t="shared" si="0"/>
        <v>1622604.5298218939</v>
      </c>
      <c r="M10" s="482">
        <f t="shared" si="0"/>
        <v>54</v>
      </c>
      <c r="N10" s="482">
        <f t="shared" si="0"/>
        <v>1</v>
      </c>
      <c r="O10" s="482">
        <f t="shared" si="0"/>
        <v>0</v>
      </c>
      <c r="P10" s="482">
        <f t="shared" si="0"/>
        <v>0</v>
      </c>
      <c r="Q10" s="482">
        <f t="shared" si="0"/>
        <v>0</v>
      </c>
      <c r="R10" s="482">
        <f t="shared" si="0"/>
        <v>0</v>
      </c>
      <c r="S10" s="482">
        <f t="shared" si="0"/>
        <v>0</v>
      </c>
      <c r="T10" s="482">
        <f t="shared" si="0"/>
        <v>0</v>
      </c>
      <c r="U10" s="482">
        <f t="shared" si="0"/>
        <v>0</v>
      </c>
      <c r="V10" s="482">
        <f>V11+V20+V27+V34+V42</f>
        <v>55</v>
      </c>
      <c r="W10" s="474">
        <f>W11+W20+W27+W34+W42+W46</f>
        <v>1704874.9959999998</v>
      </c>
      <c r="X10" s="55"/>
      <c r="AA10" s="68"/>
      <c r="AB10" s="68"/>
    </row>
    <row r="11" spans="1:28">
      <c r="A11" s="705" t="s">
        <v>7</v>
      </c>
      <c r="B11" s="484">
        <f t="shared" ref="B11:W11" si="1">SUM(B12:B19)</f>
        <v>5</v>
      </c>
      <c r="C11" s="484">
        <f t="shared" si="1"/>
        <v>1</v>
      </c>
      <c r="D11" s="484">
        <f t="shared" si="1"/>
        <v>0</v>
      </c>
      <c r="E11" s="484">
        <f t="shared" si="1"/>
        <v>0</v>
      </c>
      <c r="F11" s="484">
        <f t="shared" si="1"/>
        <v>0</v>
      </c>
      <c r="G11" s="484">
        <f t="shared" si="1"/>
        <v>0</v>
      </c>
      <c r="H11" s="484">
        <f t="shared" si="1"/>
        <v>0</v>
      </c>
      <c r="I11" s="484">
        <f t="shared" si="1"/>
        <v>0</v>
      </c>
      <c r="J11" s="484">
        <f t="shared" si="1"/>
        <v>0</v>
      </c>
      <c r="K11" s="484">
        <f t="shared" si="1"/>
        <v>6</v>
      </c>
      <c r="L11" s="485">
        <f t="shared" si="1"/>
        <v>222536.0670646262</v>
      </c>
      <c r="M11" s="484">
        <f t="shared" si="1"/>
        <v>5</v>
      </c>
      <c r="N11" s="484">
        <f t="shared" si="1"/>
        <v>1</v>
      </c>
      <c r="O11" s="484">
        <f t="shared" si="1"/>
        <v>0</v>
      </c>
      <c r="P11" s="484">
        <f t="shared" si="1"/>
        <v>0</v>
      </c>
      <c r="Q11" s="484">
        <f t="shared" si="1"/>
        <v>0</v>
      </c>
      <c r="R11" s="484">
        <f t="shared" si="1"/>
        <v>0</v>
      </c>
      <c r="S11" s="484">
        <f t="shared" si="1"/>
        <v>0</v>
      </c>
      <c r="T11" s="484">
        <f t="shared" si="1"/>
        <v>0</v>
      </c>
      <c r="U11" s="484">
        <f t="shared" si="1"/>
        <v>0</v>
      </c>
      <c r="V11" s="484">
        <f t="shared" si="1"/>
        <v>6</v>
      </c>
      <c r="W11" s="485">
        <f t="shared" si="1"/>
        <v>299716.36000000004</v>
      </c>
      <c r="AA11" s="68"/>
      <c r="AB11" s="68"/>
    </row>
    <row r="12" spans="1:28" hidden="1">
      <c r="A12" s="703" t="s">
        <v>3</v>
      </c>
      <c r="B12" s="13"/>
      <c r="C12" s="13"/>
      <c r="D12" s="13"/>
      <c r="E12" s="13"/>
      <c r="F12" s="13"/>
      <c r="G12" s="13"/>
      <c r="H12" s="13"/>
      <c r="I12" s="13"/>
      <c r="J12" s="13"/>
      <c r="K12" s="13"/>
      <c r="L12" s="16"/>
      <c r="M12" s="13"/>
      <c r="N12" s="13"/>
      <c r="O12" s="13"/>
      <c r="P12" s="13"/>
      <c r="Q12" s="13"/>
      <c r="R12" s="13"/>
      <c r="S12" s="13"/>
      <c r="T12" s="13"/>
      <c r="U12" s="13"/>
      <c r="V12" s="13"/>
      <c r="W12" s="472"/>
      <c r="AA12" s="68"/>
      <c r="AB12" s="68"/>
    </row>
    <row r="13" spans="1:28" hidden="1">
      <c r="A13" s="703" t="s">
        <v>7062</v>
      </c>
      <c r="B13" s="13"/>
      <c r="C13" s="13"/>
      <c r="D13" s="13"/>
      <c r="E13" s="13"/>
      <c r="F13" s="13"/>
      <c r="G13" s="13"/>
      <c r="H13" s="13"/>
      <c r="I13" s="13"/>
      <c r="J13" s="13"/>
      <c r="K13" s="13"/>
      <c r="L13" s="16"/>
      <c r="M13" s="13"/>
      <c r="N13" s="13"/>
      <c r="O13" s="13"/>
      <c r="P13" s="13"/>
      <c r="Q13" s="13"/>
      <c r="R13" s="13"/>
      <c r="S13" s="13"/>
      <c r="T13" s="13"/>
      <c r="U13" s="13"/>
      <c r="V13" s="13"/>
      <c r="W13" s="472"/>
      <c r="AA13" s="68"/>
      <c r="AB13" s="68"/>
    </row>
    <row r="14" spans="1:28" hidden="1">
      <c r="A14" s="703" t="s">
        <v>7061</v>
      </c>
      <c r="B14" s="13"/>
      <c r="C14" s="13"/>
      <c r="D14" s="13"/>
      <c r="E14" s="13"/>
      <c r="F14" s="13"/>
      <c r="G14" s="13"/>
      <c r="H14" s="13"/>
      <c r="I14" s="13"/>
      <c r="J14" s="13"/>
      <c r="K14" s="13"/>
      <c r="L14" s="16"/>
      <c r="M14" s="13"/>
      <c r="N14" s="13"/>
      <c r="O14" s="13"/>
      <c r="P14" s="13"/>
      <c r="Q14" s="13"/>
      <c r="R14" s="13"/>
      <c r="S14" s="13"/>
      <c r="T14" s="13"/>
      <c r="U14" s="13"/>
      <c r="V14" s="13"/>
      <c r="W14" s="472"/>
      <c r="AA14" s="68"/>
      <c r="AB14" s="68"/>
    </row>
    <row r="15" spans="1:28" hidden="1">
      <c r="A15" s="703" t="s">
        <v>7060</v>
      </c>
      <c r="B15" s="13"/>
      <c r="C15" s="13"/>
      <c r="D15" s="13"/>
      <c r="E15" s="13"/>
      <c r="F15" s="13"/>
      <c r="G15" s="13"/>
      <c r="H15" s="13"/>
      <c r="I15" s="13"/>
      <c r="J15" s="13"/>
      <c r="K15" s="13">
        <f>SUM(B15:J15)</f>
        <v>0</v>
      </c>
      <c r="L15" s="472"/>
      <c r="M15" s="13"/>
      <c r="N15" s="13"/>
      <c r="O15" s="13"/>
      <c r="P15" s="13"/>
      <c r="Q15" s="13"/>
      <c r="R15" s="13"/>
      <c r="S15" s="13"/>
      <c r="T15" s="13"/>
      <c r="U15" s="13"/>
      <c r="V15" s="13">
        <f>SUM(M15:U15)</f>
        <v>0</v>
      </c>
      <c r="W15" s="472"/>
      <c r="AA15" s="68"/>
      <c r="AB15" s="68"/>
    </row>
    <row r="16" spans="1:28">
      <c r="A16" s="703" t="s">
        <v>7059</v>
      </c>
      <c r="B16" s="13"/>
      <c r="C16" s="13">
        <v>1</v>
      </c>
      <c r="D16" s="13"/>
      <c r="E16" s="13"/>
      <c r="F16" s="13"/>
      <c r="G16" s="13"/>
      <c r="H16" s="13"/>
      <c r="I16" s="13"/>
      <c r="J16" s="13"/>
      <c r="K16" s="13">
        <f>SUM(B16:J16)</f>
        <v>1</v>
      </c>
      <c r="L16" s="472">
        <v>48173.360000000008</v>
      </c>
      <c r="M16" s="13"/>
      <c r="N16" s="13">
        <v>1</v>
      </c>
      <c r="O16" s="13"/>
      <c r="P16" s="13"/>
      <c r="Q16" s="13"/>
      <c r="R16" s="13"/>
      <c r="S16" s="13"/>
      <c r="T16" s="13"/>
      <c r="U16" s="13"/>
      <c r="V16" s="13">
        <f>SUM(M16:U16)</f>
        <v>1</v>
      </c>
      <c r="W16" s="472">
        <f>(6667*14)+(6667*0.09*12)</f>
        <v>100538.36</v>
      </c>
      <c r="AA16" s="68"/>
      <c r="AB16" s="68"/>
    </row>
    <row r="17" spans="1:28">
      <c r="A17" s="703" t="s">
        <v>7058</v>
      </c>
      <c r="B17" s="13">
        <v>1</v>
      </c>
      <c r="C17" s="13"/>
      <c r="D17" s="13"/>
      <c r="E17" s="13"/>
      <c r="F17" s="13"/>
      <c r="G17" s="13"/>
      <c r="H17" s="13"/>
      <c r="I17" s="13"/>
      <c r="J17" s="13"/>
      <c r="K17" s="13">
        <f>SUM(B17:J17)</f>
        <v>1</v>
      </c>
      <c r="L17" s="472">
        <v>42920.388511439567</v>
      </c>
      <c r="M17" s="13">
        <v>1</v>
      </c>
      <c r="N17" s="13"/>
      <c r="O17" s="13"/>
      <c r="P17" s="13"/>
      <c r="Q17" s="13"/>
      <c r="R17" s="13"/>
      <c r="S17" s="13"/>
      <c r="T17" s="13"/>
      <c r="U17" s="13"/>
      <c r="V17" s="13">
        <f>SUM(M17:U17)</f>
        <v>1</v>
      </c>
      <c r="W17" s="472">
        <f>(1502*12*V17)+(930*0.09*12*V17)+(1000*V17)+(2000*12*V17)</f>
        <v>44028.4</v>
      </c>
      <c r="AA17" s="68"/>
      <c r="AB17" s="68"/>
    </row>
    <row r="18" spans="1:28">
      <c r="A18" s="703" t="s">
        <v>7057</v>
      </c>
      <c r="B18" s="13">
        <v>3</v>
      </c>
      <c r="C18" s="13"/>
      <c r="D18" s="13"/>
      <c r="E18" s="13"/>
      <c r="F18" s="13"/>
      <c r="G18" s="13"/>
      <c r="H18" s="13"/>
      <c r="I18" s="13"/>
      <c r="J18" s="13"/>
      <c r="K18" s="13">
        <f>SUM(B18:J18)</f>
        <v>3</v>
      </c>
      <c r="L18" s="472">
        <v>91099.240041747064</v>
      </c>
      <c r="M18" s="13">
        <v>3</v>
      </c>
      <c r="N18" s="13"/>
      <c r="O18" s="13"/>
      <c r="P18" s="13"/>
      <c r="Q18" s="13"/>
      <c r="R18" s="13"/>
      <c r="S18" s="13"/>
      <c r="T18" s="13"/>
      <c r="U18" s="13"/>
      <c r="V18" s="13">
        <f>SUM(M18:U18)</f>
        <v>3</v>
      </c>
      <c r="W18" s="472">
        <f>(1053*12*V18)+(930*0.09*12*V18)+(1000*V18)+(1900*12*V18)</f>
        <v>112321.2</v>
      </c>
      <c r="X18" s="55"/>
      <c r="AA18" s="68"/>
      <c r="AB18" s="68"/>
    </row>
    <row r="19" spans="1:28">
      <c r="A19" s="703" t="s">
        <v>12</v>
      </c>
      <c r="B19" s="13">
        <v>1</v>
      </c>
      <c r="C19" s="13"/>
      <c r="D19" s="13"/>
      <c r="E19" s="13"/>
      <c r="F19" s="13"/>
      <c r="G19" s="13"/>
      <c r="H19" s="13"/>
      <c r="I19" s="13"/>
      <c r="J19" s="13"/>
      <c r="K19" s="13">
        <f>SUM(B19:J19)</f>
        <v>1</v>
      </c>
      <c r="L19" s="472">
        <v>40343.078511439569</v>
      </c>
      <c r="M19" s="13">
        <v>1</v>
      </c>
      <c r="N19" s="13"/>
      <c r="O19" s="13"/>
      <c r="P19" s="13"/>
      <c r="Q19" s="13"/>
      <c r="R19" s="13"/>
      <c r="S19" s="13"/>
      <c r="T19" s="13"/>
      <c r="U19" s="13"/>
      <c r="V19" s="13">
        <f>SUM(M19:U19)</f>
        <v>1</v>
      </c>
      <c r="W19" s="472">
        <f>(1502*12*V19)+(930*0.09*12*V19)+(1000*V19)+(1900*12*V19)</f>
        <v>42828.4</v>
      </c>
      <c r="AA19" s="68"/>
      <c r="AB19" s="68"/>
    </row>
    <row r="20" spans="1:28">
      <c r="A20" s="705" t="s">
        <v>4</v>
      </c>
      <c r="B20" s="484">
        <f t="shared" ref="B20:W20" si="2">SUM(B21:B26)</f>
        <v>7</v>
      </c>
      <c r="C20" s="484">
        <f t="shared" si="2"/>
        <v>0</v>
      </c>
      <c r="D20" s="484">
        <f t="shared" si="2"/>
        <v>0</v>
      </c>
      <c r="E20" s="484">
        <f t="shared" si="2"/>
        <v>0</v>
      </c>
      <c r="F20" s="484">
        <f t="shared" si="2"/>
        <v>0</v>
      </c>
      <c r="G20" s="484">
        <f t="shared" si="2"/>
        <v>0</v>
      </c>
      <c r="H20" s="484">
        <f t="shared" si="2"/>
        <v>0</v>
      </c>
      <c r="I20" s="484">
        <f t="shared" si="2"/>
        <v>0</v>
      </c>
      <c r="J20" s="484">
        <f t="shared" si="2"/>
        <v>0</v>
      </c>
      <c r="K20" s="484">
        <f t="shared" si="2"/>
        <v>7</v>
      </c>
      <c r="L20" s="485">
        <f t="shared" si="2"/>
        <v>254184.83255719783</v>
      </c>
      <c r="M20" s="484">
        <f t="shared" si="2"/>
        <v>7</v>
      </c>
      <c r="N20" s="484">
        <f t="shared" si="2"/>
        <v>0</v>
      </c>
      <c r="O20" s="484">
        <f t="shared" si="2"/>
        <v>0</v>
      </c>
      <c r="P20" s="484">
        <f t="shared" si="2"/>
        <v>0</v>
      </c>
      <c r="Q20" s="484">
        <f t="shared" si="2"/>
        <v>0</v>
      </c>
      <c r="R20" s="484">
        <f t="shared" si="2"/>
        <v>0</v>
      </c>
      <c r="S20" s="484">
        <f t="shared" si="2"/>
        <v>0</v>
      </c>
      <c r="T20" s="484">
        <f t="shared" si="2"/>
        <v>0</v>
      </c>
      <c r="U20" s="484">
        <f t="shared" si="2"/>
        <v>0</v>
      </c>
      <c r="V20" s="484">
        <f t="shared" si="2"/>
        <v>7</v>
      </c>
      <c r="W20" s="485">
        <f t="shared" si="2"/>
        <v>217765.83599999989</v>
      </c>
      <c r="AA20" s="68"/>
      <c r="AB20" s="68"/>
    </row>
    <row r="21" spans="1:28" hidden="1">
      <c r="A21" s="703" t="s">
        <v>13</v>
      </c>
      <c r="B21" s="13"/>
      <c r="C21" s="13"/>
      <c r="D21" s="13"/>
      <c r="E21" s="13"/>
      <c r="F21" s="13"/>
      <c r="G21" s="13"/>
      <c r="H21" s="13"/>
      <c r="I21" s="13"/>
      <c r="J21" s="13"/>
      <c r="K21" s="13">
        <f t="shared" ref="K21:K26" si="3">SUM(B21:J21)</f>
        <v>0</v>
      </c>
      <c r="L21" s="472"/>
      <c r="M21" s="13"/>
      <c r="N21" s="13"/>
      <c r="O21" s="13"/>
      <c r="P21" s="13"/>
      <c r="Q21" s="13"/>
      <c r="R21" s="13"/>
      <c r="S21" s="13"/>
      <c r="T21" s="13"/>
      <c r="U21" s="13"/>
      <c r="V21" s="13">
        <f t="shared" ref="V21:V26" si="4">SUM(M21:U21)</f>
        <v>0</v>
      </c>
      <c r="W21" s="472"/>
      <c r="AA21" s="68"/>
      <c r="AB21" s="68"/>
    </row>
    <row r="22" spans="1:28">
      <c r="A22" s="703" t="s">
        <v>6978</v>
      </c>
      <c r="B22" s="13">
        <v>1</v>
      </c>
      <c r="C22" s="13"/>
      <c r="D22" s="13"/>
      <c r="E22" s="13"/>
      <c r="F22" s="13"/>
      <c r="G22" s="13"/>
      <c r="H22" s="13"/>
      <c r="I22" s="13"/>
      <c r="J22" s="13"/>
      <c r="K22" s="13">
        <f t="shared" si="3"/>
        <v>1</v>
      </c>
      <c r="L22" s="472">
        <v>37428.928511439568</v>
      </c>
      <c r="M22" s="13">
        <v>1</v>
      </c>
      <c r="N22" s="13"/>
      <c r="O22" s="13"/>
      <c r="P22" s="13"/>
      <c r="Q22" s="13"/>
      <c r="R22" s="13"/>
      <c r="S22" s="13"/>
      <c r="T22" s="13"/>
      <c r="U22" s="13"/>
      <c r="V22" s="13">
        <f t="shared" si="4"/>
        <v>1</v>
      </c>
      <c r="W22" s="472">
        <f>(1316*12*V22)+(930*0.09*12*V22)+(1000*V22)+(1700*12*V22)</f>
        <v>38196.400000000001</v>
      </c>
      <c r="AA22" s="68"/>
      <c r="AB22" s="68"/>
    </row>
    <row r="23" spans="1:28">
      <c r="A23" s="703" t="s">
        <v>6977</v>
      </c>
      <c r="B23" s="13">
        <v>3</v>
      </c>
      <c r="C23" s="13"/>
      <c r="D23" s="13"/>
      <c r="E23" s="13"/>
      <c r="F23" s="13"/>
      <c r="G23" s="13"/>
      <c r="H23" s="13"/>
      <c r="I23" s="13"/>
      <c r="J23" s="13"/>
      <c r="K23" s="13">
        <f t="shared" si="3"/>
        <v>3</v>
      </c>
      <c r="L23" s="472">
        <v>103591.0755343187</v>
      </c>
      <c r="M23" s="13">
        <v>3</v>
      </c>
      <c r="N23" s="13"/>
      <c r="O23" s="13"/>
      <c r="P23" s="13"/>
      <c r="Q23" s="13"/>
      <c r="R23" s="13"/>
      <c r="S23" s="13"/>
      <c r="T23" s="13"/>
      <c r="U23" s="13"/>
      <c r="V23" s="13">
        <f t="shared" si="4"/>
        <v>3</v>
      </c>
      <c r="W23" s="472">
        <f>(1243*12*V23)+(930*0.09*12*V23)+(1000*V23)+(1600*12*V23)</f>
        <v>108361.2</v>
      </c>
      <c r="X23" s="55"/>
      <c r="AA23" s="68"/>
      <c r="AB23" s="68"/>
    </row>
    <row r="24" spans="1:28">
      <c r="A24" s="703" t="s">
        <v>6976</v>
      </c>
      <c r="B24" s="13">
        <v>1</v>
      </c>
      <c r="C24" s="13"/>
      <c r="D24" s="13"/>
      <c r="E24" s="13"/>
      <c r="F24" s="13"/>
      <c r="G24" s="13"/>
      <c r="H24" s="13"/>
      <c r="I24" s="13"/>
      <c r="J24" s="13"/>
      <c r="K24" s="13">
        <f t="shared" si="3"/>
        <v>1</v>
      </c>
      <c r="L24" s="472">
        <v>36364.828511439569</v>
      </c>
      <c r="M24" s="13">
        <v>1</v>
      </c>
      <c r="N24" s="13"/>
      <c r="O24" s="13"/>
      <c r="P24" s="13"/>
      <c r="Q24" s="13"/>
      <c r="R24" s="13"/>
      <c r="S24" s="13"/>
      <c r="T24" s="13"/>
      <c r="U24" s="13"/>
      <c r="V24" s="13">
        <f t="shared" si="4"/>
        <v>1</v>
      </c>
      <c r="W24" s="472">
        <f>(1252*12*V24)+(930*0.09*12*V24)+(1000*V24)+(1300*12*V24)</f>
        <v>32628.400000000001</v>
      </c>
      <c r="AA24" s="68"/>
      <c r="AB24" s="68"/>
    </row>
    <row r="25" spans="1:28">
      <c r="A25" s="703" t="s">
        <v>7066</v>
      </c>
      <c r="B25" s="13">
        <v>2</v>
      </c>
      <c r="C25" s="13"/>
      <c r="D25" s="13"/>
      <c r="E25" s="13"/>
      <c r="F25" s="13"/>
      <c r="G25" s="13"/>
      <c r="H25" s="13"/>
      <c r="I25" s="13"/>
      <c r="J25" s="13"/>
      <c r="K25" s="13">
        <f t="shared" si="3"/>
        <v>2</v>
      </c>
      <c r="L25" s="472">
        <v>76800</v>
      </c>
      <c r="M25" s="13">
        <v>2</v>
      </c>
      <c r="N25" s="13"/>
      <c r="O25" s="13"/>
      <c r="P25" s="13"/>
      <c r="Q25" s="13"/>
      <c r="R25" s="13"/>
      <c r="S25" s="13"/>
      <c r="T25" s="13"/>
      <c r="U25" s="13"/>
      <c r="V25" s="13">
        <f t="shared" si="4"/>
        <v>2</v>
      </c>
      <c r="W25" s="472">
        <v>38579.835999999894</v>
      </c>
      <c r="AA25" s="68"/>
      <c r="AB25" s="68"/>
    </row>
    <row r="26" spans="1:28" hidden="1">
      <c r="A26" s="703" t="s">
        <v>6975</v>
      </c>
      <c r="B26" s="13"/>
      <c r="C26" s="13"/>
      <c r="D26" s="13"/>
      <c r="E26" s="13"/>
      <c r="F26" s="13"/>
      <c r="G26" s="13"/>
      <c r="H26" s="13"/>
      <c r="I26" s="13"/>
      <c r="J26" s="13"/>
      <c r="K26" s="13">
        <f t="shared" si="3"/>
        <v>0</v>
      </c>
      <c r="L26" s="472"/>
      <c r="M26" s="13"/>
      <c r="N26" s="13"/>
      <c r="O26" s="13"/>
      <c r="P26" s="13"/>
      <c r="Q26" s="13"/>
      <c r="R26" s="13"/>
      <c r="S26" s="13"/>
      <c r="T26" s="13"/>
      <c r="U26" s="13"/>
      <c r="V26" s="13">
        <f t="shared" si="4"/>
        <v>0</v>
      </c>
      <c r="W26" s="472"/>
      <c r="AA26" s="68"/>
      <c r="AB26" s="68"/>
    </row>
    <row r="27" spans="1:28">
      <c r="A27" s="705" t="s">
        <v>5</v>
      </c>
      <c r="B27" s="484">
        <f t="shared" ref="B27:W27" si="5">SUM(B28:B33)</f>
        <v>18</v>
      </c>
      <c r="C27" s="484">
        <f t="shared" si="5"/>
        <v>0</v>
      </c>
      <c r="D27" s="484">
        <f t="shared" si="5"/>
        <v>0</v>
      </c>
      <c r="E27" s="484">
        <f t="shared" si="5"/>
        <v>0</v>
      </c>
      <c r="F27" s="484">
        <f t="shared" si="5"/>
        <v>0</v>
      </c>
      <c r="G27" s="484">
        <f t="shared" si="5"/>
        <v>0</v>
      </c>
      <c r="H27" s="484">
        <f t="shared" si="5"/>
        <v>0</v>
      </c>
      <c r="I27" s="484">
        <f t="shared" si="5"/>
        <v>0</v>
      </c>
      <c r="J27" s="484">
        <f t="shared" si="5"/>
        <v>0</v>
      </c>
      <c r="K27" s="484">
        <f t="shared" si="5"/>
        <v>18</v>
      </c>
      <c r="L27" s="485">
        <f t="shared" si="5"/>
        <v>504418.4739505201</v>
      </c>
      <c r="M27" s="484">
        <f t="shared" si="5"/>
        <v>18</v>
      </c>
      <c r="N27" s="484">
        <f t="shared" si="5"/>
        <v>0</v>
      </c>
      <c r="O27" s="484">
        <f t="shared" si="5"/>
        <v>0</v>
      </c>
      <c r="P27" s="484">
        <f t="shared" si="5"/>
        <v>0</v>
      </c>
      <c r="Q27" s="484">
        <f t="shared" si="5"/>
        <v>0</v>
      </c>
      <c r="R27" s="484">
        <f t="shared" si="5"/>
        <v>0</v>
      </c>
      <c r="S27" s="484">
        <f t="shared" si="5"/>
        <v>0</v>
      </c>
      <c r="T27" s="484">
        <f t="shared" si="5"/>
        <v>0</v>
      </c>
      <c r="U27" s="484">
        <f t="shared" si="5"/>
        <v>0</v>
      </c>
      <c r="V27" s="484">
        <f t="shared" si="5"/>
        <v>18</v>
      </c>
      <c r="W27" s="485">
        <f t="shared" si="5"/>
        <v>543103.20000000007</v>
      </c>
      <c r="AA27" s="68"/>
      <c r="AB27" s="68"/>
    </row>
    <row r="28" spans="1:28">
      <c r="A28" s="703" t="s">
        <v>15</v>
      </c>
      <c r="B28" s="13">
        <v>6</v>
      </c>
      <c r="C28" s="13"/>
      <c r="D28" s="13"/>
      <c r="E28" s="13"/>
      <c r="F28" s="13"/>
      <c r="G28" s="13"/>
      <c r="H28" s="13"/>
      <c r="I28" s="13"/>
      <c r="J28" s="13"/>
      <c r="K28" s="13">
        <f t="shared" ref="K28:K33" si="6">SUM(B28:J28)</f>
        <v>6</v>
      </c>
      <c r="L28" s="472">
        <v>141683.31359886451</v>
      </c>
      <c r="M28" s="13">
        <v>6</v>
      </c>
      <c r="N28" s="13"/>
      <c r="O28" s="13"/>
      <c r="P28" s="13"/>
      <c r="Q28" s="13"/>
      <c r="R28" s="13"/>
      <c r="S28" s="13"/>
      <c r="T28" s="13"/>
      <c r="U28" s="13"/>
      <c r="V28" s="13">
        <f t="shared" ref="V28:V33" si="7">SUM(M28:U28)</f>
        <v>6</v>
      </c>
      <c r="W28" s="472">
        <f>(1081*12*V28)+(930*0.09*12*V28)+(1000*V28)+(1300*12*V28)</f>
        <v>183458.4</v>
      </c>
      <c r="X28" s="55"/>
      <c r="AA28" s="68"/>
      <c r="AB28" s="68"/>
    </row>
    <row r="29" spans="1:28">
      <c r="A29" s="703" t="s">
        <v>7056</v>
      </c>
      <c r="B29" s="13">
        <v>10</v>
      </c>
      <c r="C29" s="13"/>
      <c r="D29" s="13"/>
      <c r="E29" s="13"/>
      <c r="F29" s="13"/>
      <c r="G29" s="13"/>
      <c r="H29" s="13"/>
      <c r="I29" s="13"/>
      <c r="J29" s="13"/>
      <c r="K29" s="13">
        <f t="shared" si="6"/>
        <v>10</v>
      </c>
      <c r="L29" s="472">
        <v>301740.17332877644</v>
      </c>
      <c r="M29" s="13">
        <v>10</v>
      </c>
      <c r="N29" s="13"/>
      <c r="O29" s="13"/>
      <c r="P29" s="13"/>
      <c r="Q29" s="13"/>
      <c r="R29" s="13"/>
      <c r="S29" s="13"/>
      <c r="T29" s="13"/>
      <c r="U29" s="13"/>
      <c r="V29" s="13">
        <f t="shared" si="7"/>
        <v>10</v>
      </c>
      <c r="W29" s="472">
        <f>(1004*12*V29)+(930*0.09*12*V29)+(1000*V29)+(1300*12*V29)</f>
        <v>296524</v>
      </c>
      <c r="AA29" s="68"/>
      <c r="AB29" s="68"/>
    </row>
    <row r="30" spans="1:28">
      <c r="A30" s="703" t="s">
        <v>6972</v>
      </c>
      <c r="B30" s="13">
        <v>2</v>
      </c>
      <c r="C30" s="13"/>
      <c r="D30" s="13"/>
      <c r="E30" s="13"/>
      <c r="F30" s="13"/>
      <c r="G30" s="13"/>
      <c r="H30" s="13"/>
      <c r="I30" s="13"/>
      <c r="J30" s="13"/>
      <c r="K30" s="13">
        <f t="shared" si="6"/>
        <v>2</v>
      </c>
      <c r="L30" s="472">
        <v>60994.987022879126</v>
      </c>
      <c r="M30" s="13">
        <v>2</v>
      </c>
      <c r="N30" s="13"/>
      <c r="O30" s="13"/>
      <c r="P30" s="13"/>
      <c r="Q30" s="13"/>
      <c r="R30" s="13"/>
      <c r="S30" s="13"/>
      <c r="T30" s="13"/>
      <c r="U30" s="13"/>
      <c r="V30" s="13">
        <f t="shared" si="7"/>
        <v>2</v>
      </c>
      <c r="W30" s="472">
        <f>(1163*12*V30)+(930*0.09*12*V30)+(1000*V30)+(1300*12*V30)</f>
        <v>63120.800000000003</v>
      </c>
      <c r="AA30" s="68"/>
      <c r="AB30" s="68"/>
    </row>
    <row r="31" spans="1:28" hidden="1">
      <c r="A31" s="703" t="s">
        <v>6971</v>
      </c>
      <c r="B31" s="13"/>
      <c r="C31" s="13"/>
      <c r="D31" s="13"/>
      <c r="E31" s="13"/>
      <c r="F31" s="13"/>
      <c r="G31" s="13"/>
      <c r="H31" s="13"/>
      <c r="I31" s="13"/>
      <c r="J31" s="13"/>
      <c r="K31" s="13">
        <f t="shared" si="6"/>
        <v>0</v>
      </c>
      <c r="L31" s="472"/>
      <c r="M31" s="13"/>
      <c r="N31" s="13"/>
      <c r="O31" s="13"/>
      <c r="P31" s="13"/>
      <c r="Q31" s="13"/>
      <c r="R31" s="13"/>
      <c r="S31" s="13"/>
      <c r="T31" s="13"/>
      <c r="U31" s="13"/>
      <c r="V31" s="13">
        <f t="shared" si="7"/>
        <v>0</v>
      </c>
      <c r="W31" s="472"/>
      <c r="AA31" s="68"/>
      <c r="AB31" s="68"/>
    </row>
    <row r="32" spans="1:28" hidden="1">
      <c r="A32" s="703" t="s">
        <v>16</v>
      </c>
      <c r="B32" s="13"/>
      <c r="C32" s="13"/>
      <c r="D32" s="13"/>
      <c r="E32" s="13"/>
      <c r="F32" s="13"/>
      <c r="G32" s="13"/>
      <c r="H32" s="13"/>
      <c r="I32" s="13"/>
      <c r="J32" s="13"/>
      <c r="K32" s="13">
        <f t="shared" si="6"/>
        <v>0</v>
      </c>
      <c r="L32" s="472"/>
      <c r="M32" s="13"/>
      <c r="N32" s="13"/>
      <c r="O32" s="13"/>
      <c r="P32" s="13"/>
      <c r="Q32" s="13"/>
      <c r="R32" s="13"/>
      <c r="S32" s="13"/>
      <c r="T32" s="13"/>
      <c r="U32" s="13"/>
      <c r="V32" s="13">
        <f t="shared" si="7"/>
        <v>0</v>
      </c>
      <c r="W32" s="472"/>
      <c r="AA32" s="68"/>
      <c r="AB32" s="68"/>
    </row>
    <row r="33" spans="1:28" hidden="1">
      <c r="A33" s="703" t="s">
        <v>6970</v>
      </c>
      <c r="B33" s="13"/>
      <c r="C33" s="13"/>
      <c r="D33" s="13"/>
      <c r="E33" s="13"/>
      <c r="F33" s="13"/>
      <c r="G33" s="13"/>
      <c r="H33" s="13"/>
      <c r="I33" s="13"/>
      <c r="J33" s="13"/>
      <c r="K33" s="13">
        <f t="shared" si="6"/>
        <v>0</v>
      </c>
      <c r="L33" s="472"/>
      <c r="M33" s="13"/>
      <c r="N33" s="13"/>
      <c r="O33" s="13"/>
      <c r="P33" s="13"/>
      <c r="Q33" s="13"/>
      <c r="R33" s="13"/>
      <c r="S33" s="13"/>
      <c r="T33" s="13"/>
      <c r="U33" s="13"/>
      <c r="V33" s="13">
        <f t="shared" si="7"/>
        <v>0</v>
      </c>
      <c r="W33" s="472"/>
      <c r="AA33" s="68"/>
      <c r="AB33" s="68"/>
    </row>
    <row r="34" spans="1:28">
      <c r="A34" s="705" t="s">
        <v>6</v>
      </c>
      <c r="B34" s="484">
        <f t="shared" ref="B34:W34" si="8">SUM(B35:B40)</f>
        <v>24</v>
      </c>
      <c r="C34" s="484">
        <f t="shared" si="8"/>
        <v>0</v>
      </c>
      <c r="D34" s="484">
        <f t="shared" si="8"/>
        <v>0</v>
      </c>
      <c r="E34" s="484">
        <f t="shared" si="8"/>
        <v>0</v>
      </c>
      <c r="F34" s="484">
        <f t="shared" si="8"/>
        <v>0</v>
      </c>
      <c r="G34" s="484">
        <f t="shared" si="8"/>
        <v>0</v>
      </c>
      <c r="H34" s="484">
        <f t="shared" si="8"/>
        <v>0</v>
      </c>
      <c r="I34" s="484">
        <f t="shared" si="8"/>
        <v>0</v>
      </c>
      <c r="J34" s="484">
        <f t="shared" si="8"/>
        <v>0</v>
      </c>
      <c r="K34" s="484">
        <f t="shared" si="8"/>
        <v>24</v>
      </c>
      <c r="L34" s="485">
        <f t="shared" si="8"/>
        <v>641465.15624954971</v>
      </c>
      <c r="M34" s="484">
        <f t="shared" si="8"/>
        <v>24</v>
      </c>
      <c r="N34" s="484">
        <f t="shared" si="8"/>
        <v>0</v>
      </c>
      <c r="O34" s="484">
        <f t="shared" si="8"/>
        <v>0</v>
      </c>
      <c r="P34" s="484">
        <f t="shared" si="8"/>
        <v>0</v>
      </c>
      <c r="Q34" s="484">
        <f t="shared" si="8"/>
        <v>0</v>
      </c>
      <c r="R34" s="484">
        <f t="shared" si="8"/>
        <v>0</v>
      </c>
      <c r="S34" s="484">
        <f t="shared" si="8"/>
        <v>0</v>
      </c>
      <c r="T34" s="484">
        <f t="shared" si="8"/>
        <v>0</v>
      </c>
      <c r="U34" s="484">
        <f t="shared" si="8"/>
        <v>0</v>
      </c>
      <c r="V34" s="484">
        <f t="shared" si="8"/>
        <v>24</v>
      </c>
      <c r="W34" s="485">
        <f t="shared" si="8"/>
        <v>644289.6</v>
      </c>
      <c r="AA34" s="68"/>
      <c r="AB34" s="68"/>
    </row>
    <row r="35" spans="1:28">
      <c r="A35" s="703" t="s">
        <v>17</v>
      </c>
      <c r="B35" s="13">
        <v>8</v>
      </c>
      <c r="C35" s="13"/>
      <c r="D35" s="13"/>
      <c r="E35" s="13"/>
      <c r="F35" s="13"/>
      <c r="G35" s="13"/>
      <c r="H35" s="13"/>
      <c r="I35" s="13"/>
      <c r="J35" s="13"/>
      <c r="K35" s="13">
        <f t="shared" ref="K35:K40" si="9">SUM(B35:J35)</f>
        <v>8</v>
      </c>
      <c r="L35" s="472">
        <v>223059.24809151655</v>
      </c>
      <c r="M35" s="13">
        <v>8</v>
      </c>
      <c r="N35" s="13"/>
      <c r="O35" s="13"/>
      <c r="P35" s="13"/>
      <c r="Q35" s="13"/>
      <c r="R35" s="13"/>
      <c r="S35" s="13"/>
      <c r="T35" s="13"/>
      <c r="U35" s="13"/>
      <c r="V35" s="13">
        <f t="shared" ref="V35:V40" si="10">SUM(M35:U35)</f>
        <v>8</v>
      </c>
      <c r="W35" s="472">
        <f>(1057*12*V35)+(930*0.09*12*V35)+(1000*V35)+(1070*12*V35)</f>
        <v>220227.20000000001</v>
      </c>
      <c r="AA35" s="68"/>
      <c r="AB35" s="68"/>
    </row>
    <row r="36" spans="1:28" hidden="1">
      <c r="A36" s="703" t="s">
        <v>6969</v>
      </c>
      <c r="B36" s="13"/>
      <c r="C36" s="13"/>
      <c r="D36" s="13"/>
      <c r="E36" s="13"/>
      <c r="F36" s="13"/>
      <c r="G36" s="13"/>
      <c r="H36" s="13"/>
      <c r="I36" s="13"/>
      <c r="J36" s="13"/>
      <c r="K36" s="13">
        <f t="shared" si="9"/>
        <v>0</v>
      </c>
      <c r="L36" s="472"/>
      <c r="M36" s="13"/>
      <c r="N36" s="13"/>
      <c r="O36" s="13"/>
      <c r="P36" s="13"/>
      <c r="Q36" s="13"/>
      <c r="R36" s="13"/>
      <c r="S36" s="13"/>
      <c r="T36" s="13"/>
      <c r="U36" s="13"/>
      <c r="V36" s="13">
        <f t="shared" si="10"/>
        <v>0</v>
      </c>
      <c r="W36" s="472"/>
      <c r="AA36" s="68"/>
      <c r="AB36" s="68"/>
    </row>
    <row r="37" spans="1:28">
      <c r="A37" s="703" t="s">
        <v>6968</v>
      </c>
      <c r="B37" s="13">
        <v>6</v>
      </c>
      <c r="C37" s="13"/>
      <c r="D37" s="13"/>
      <c r="E37" s="13"/>
      <c r="F37" s="13"/>
      <c r="G37" s="13"/>
      <c r="H37" s="13"/>
      <c r="I37" s="13"/>
      <c r="J37" s="13"/>
      <c r="K37" s="13">
        <f t="shared" si="9"/>
        <v>6</v>
      </c>
      <c r="L37" s="472">
        <v>146432.19304363741</v>
      </c>
      <c r="M37" s="13">
        <v>6</v>
      </c>
      <c r="N37" s="13"/>
      <c r="O37" s="13"/>
      <c r="P37" s="13"/>
      <c r="Q37" s="13"/>
      <c r="R37" s="13"/>
      <c r="S37" s="13"/>
      <c r="T37" s="13"/>
      <c r="U37" s="13"/>
      <c r="V37" s="13">
        <f t="shared" si="10"/>
        <v>6</v>
      </c>
      <c r="W37" s="472">
        <f>(906*12*V37)+(930*0.09*12*V37)+(1000*V37)+(1070*12*V37)</f>
        <v>154298.4</v>
      </c>
      <c r="AA37" s="68"/>
      <c r="AB37" s="68"/>
    </row>
    <row r="38" spans="1:28">
      <c r="A38" s="703" t="s">
        <v>6967</v>
      </c>
      <c r="B38" s="13">
        <v>10</v>
      </c>
      <c r="C38" s="13"/>
      <c r="D38" s="13"/>
      <c r="E38" s="13"/>
      <c r="F38" s="13"/>
      <c r="G38" s="13"/>
      <c r="H38" s="13"/>
      <c r="I38" s="13"/>
      <c r="J38" s="13"/>
      <c r="K38" s="13">
        <f t="shared" si="9"/>
        <v>10</v>
      </c>
      <c r="L38" s="472">
        <v>271973.71511439572</v>
      </c>
      <c r="M38" s="13">
        <v>10</v>
      </c>
      <c r="N38" s="13"/>
      <c r="O38" s="13"/>
      <c r="P38" s="13"/>
      <c r="Q38" s="13"/>
      <c r="R38" s="13"/>
      <c r="S38" s="13"/>
      <c r="T38" s="13"/>
      <c r="U38" s="13"/>
      <c r="V38" s="13">
        <f t="shared" si="10"/>
        <v>10</v>
      </c>
      <c r="W38" s="472">
        <f>(1011*12*V38)+(930*0.09*12*V38)+(1000*V38)+(1070*12*V38)</f>
        <v>269764</v>
      </c>
      <c r="AA38" s="68"/>
      <c r="AB38" s="68"/>
    </row>
    <row r="39" spans="1:28" hidden="1">
      <c r="A39" s="703" t="s">
        <v>18</v>
      </c>
      <c r="B39" s="13"/>
      <c r="C39" s="13"/>
      <c r="D39" s="13"/>
      <c r="E39" s="13"/>
      <c r="F39" s="13"/>
      <c r="G39" s="13"/>
      <c r="H39" s="13"/>
      <c r="I39" s="13"/>
      <c r="J39" s="13"/>
      <c r="K39" s="13">
        <f t="shared" si="9"/>
        <v>0</v>
      </c>
      <c r="L39" s="472"/>
      <c r="M39" s="13"/>
      <c r="N39" s="13"/>
      <c r="O39" s="13"/>
      <c r="P39" s="13"/>
      <c r="Q39" s="13"/>
      <c r="R39" s="13"/>
      <c r="S39" s="13"/>
      <c r="T39" s="13"/>
      <c r="U39" s="13"/>
      <c r="V39" s="13">
        <f t="shared" si="10"/>
        <v>0</v>
      </c>
      <c r="W39" s="472"/>
      <c r="AA39" s="68"/>
      <c r="AB39" s="68"/>
    </row>
    <row r="40" spans="1:28" hidden="1">
      <c r="A40" s="703" t="s">
        <v>6966</v>
      </c>
      <c r="B40" s="13"/>
      <c r="C40" s="13"/>
      <c r="D40" s="13"/>
      <c r="E40" s="13"/>
      <c r="F40" s="13"/>
      <c r="G40" s="13"/>
      <c r="H40" s="13"/>
      <c r="I40" s="13"/>
      <c r="J40" s="13"/>
      <c r="K40" s="13">
        <f t="shared" si="9"/>
        <v>0</v>
      </c>
      <c r="L40" s="472"/>
      <c r="M40" s="13"/>
      <c r="N40" s="13"/>
      <c r="O40" s="13"/>
      <c r="P40" s="13"/>
      <c r="Q40" s="13"/>
      <c r="R40" s="13"/>
      <c r="S40" s="13"/>
      <c r="T40" s="13"/>
      <c r="U40" s="13"/>
      <c r="V40" s="13">
        <f t="shared" si="10"/>
        <v>0</v>
      </c>
      <c r="W40" s="472"/>
      <c r="AA40" s="68"/>
      <c r="AB40" s="68"/>
    </row>
    <row r="41" spans="1:28" hidden="1">
      <c r="A41" s="703" t="s">
        <v>7055</v>
      </c>
      <c r="B41" s="13"/>
      <c r="C41" s="13"/>
      <c r="D41" s="13"/>
      <c r="E41" s="13"/>
      <c r="F41" s="13"/>
      <c r="G41" s="13"/>
      <c r="H41" s="13"/>
      <c r="I41" s="13"/>
      <c r="J41" s="13"/>
      <c r="K41" s="13"/>
      <c r="L41" s="16"/>
      <c r="M41" s="13"/>
      <c r="N41" s="13"/>
      <c r="O41" s="13"/>
      <c r="P41" s="13"/>
      <c r="Q41" s="13"/>
      <c r="R41" s="13"/>
      <c r="S41" s="13"/>
      <c r="T41" s="13"/>
      <c r="U41" s="13"/>
      <c r="V41" s="13"/>
      <c r="W41" s="472"/>
      <c r="AA41" s="68"/>
      <c r="AB41" s="68"/>
    </row>
    <row r="42" spans="1:28" hidden="1">
      <c r="A42" s="705" t="s">
        <v>7064</v>
      </c>
      <c r="B42" s="484">
        <f t="shared" ref="B42:W42" si="11">SUM(B43:B44)</f>
        <v>0</v>
      </c>
      <c r="C42" s="484">
        <f t="shared" si="11"/>
        <v>0</v>
      </c>
      <c r="D42" s="484">
        <f t="shared" si="11"/>
        <v>0</v>
      </c>
      <c r="E42" s="484">
        <f t="shared" si="11"/>
        <v>0</v>
      </c>
      <c r="F42" s="484">
        <f t="shared" si="11"/>
        <v>0</v>
      </c>
      <c r="G42" s="484">
        <f t="shared" si="11"/>
        <v>0</v>
      </c>
      <c r="H42" s="484">
        <f t="shared" si="11"/>
        <v>0</v>
      </c>
      <c r="I42" s="484">
        <f t="shared" si="11"/>
        <v>0</v>
      </c>
      <c r="J42" s="484">
        <f t="shared" si="11"/>
        <v>0</v>
      </c>
      <c r="K42" s="484">
        <f t="shared" si="11"/>
        <v>0</v>
      </c>
      <c r="L42" s="485">
        <f t="shared" si="11"/>
        <v>0</v>
      </c>
      <c r="M42" s="484">
        <f t="shared" si="11"/>
        <v>0</v>
      </c>
      <c r="N42" s="484">
        <f t="shared" si="11"/>
        <v>0</v>
      </c>
      <c r="O42" s="484">
        <f t="shared" si="11"/>
        <v>0</v>
      </c>
      <c r="P42" s="484">
        <f t="shared" si="11"/>
        <v>0</v>
      </c>
      <c r="Q42" s="484">
        <f t="shared" si="11"/>
        <v>0</v>
      </c>
      <c r="R42" s="484">
        <f t="shared" si="11"/>
        <v>0</v>
      </c>
      <c r="S42" s="484">
        <f t="shared" si="11"/>
        <v>0</v>
      </c>
      <c r="T42" s="484">
        <f t="shared" si="11"/>
        <v>0</v>
      </c>
      <c r="U42" s="484">
        <f t="shared" si="11"/>
        <v>0</v>
      </c>
      <c r="V42" s="484">
        <f t="shared" si="11"/>
        <v>0</v>
      </c>
      <c r="W42" s="485">
        <f t="shared" si="11"/>
        <v>0</v>
      </c>
      <c r="AA42" s="68"/>
      <c r="AB42" s="68"/>
    </row>
    <row r="43" spans="1:28" hidden="1">
      <c r="A43" s="703" t="s">
        <v>7053</v>
      </c>
      <c r="B43" s="13"/>
      <c r="C43" s="13"/>
      <c r="D43" s="13"/>
      <c r="E43" s="13"/>
      <c r="F43" s="13"/>
      <c r="G43" s="13"/>
      <c r="H43" s="13"/>
      <c r="I43" s="13"/>
      <c r="J43" s="13"/>
      <c r="K43" s="13">
        <f>SUM(B43:J43)</f>
        <v>0</v>
      </c>
      <c r="L43" s="472"/>
      <c r="M43" s="13"/>
      <c r="N43" s="13"/>
      <c r="O43" s="13"/>
      <c r="P43" s="13"/>
      <c r="Q43" s="13"/>
      <c r="R43" s="13"/>
      <c r="S43" s="13"/>
      <c r="T43" s="13"/>
      <c r="U43" s="13"/>
      <c r="V43" s="13">
        <f>SUM(M43:U43)</f>
        <v>0</v>
      </c>
      <c r="W43" s="472"/>
      <c r="AA43" s="68"/>
      <c r="AB43" s="68"/>
    </row>
    <row r="44" spans="1:28" hidden="1">
      <c r="A44" s="703" t="s">
        <v>57</v>
      </c>
      <c r="B44" s="13"/>
      <c r="C44" s="13"/>
      <c r="D44" s="13"/>
      <c r="E44" s="13"/>
      <c r="F44" s="13"/>
      <c r="G44" s="13"/>
      <c r="H44" s="13"/>
      <c r="I44" s="13"/>
      <c r="J44" s="13"/>
      <c r="K44" s="13"/>
      <c r="L44" s="472"/>
      <c r="M44" s="13"/>
      <c r="N44" s="13"/>
      <c r="O44" s="13"/>
      <c r="P44" s="13"/>
      <c r="Q44" s="13"/>
      <c r="R44" s="13"/>
      <c r="S44" s="13"/>
      <c r="T44" s="13"/>
      <c r="U44" s="13"/>
      <c r="V44" s="13">
        <f>SUM(M44:U44)</f>
        <v>0</v>
      </c>
      <c r="W44" s="472"/>
      <c r="AA44" s="68"/>
      <c r="AB44" s="68"/>
    </row>
    <row r="45" spans="1:28" hidden="1">
      <c r="A45" s="703"/>
      <c r="B45" s="13"/>
      <c r="C45" s="13"/>
      <c r="D45" s="13"/>
      <c r="E45" s="13"/>
      <c r="F45" s="13"/>
      <c r="G45" s="13"/>
      <c r="H45" s="13"/>
      <c r="I45" s="13"/>
      <c r="J45" s="13"/>
      <c r="K45" s="13"/>
      <c r="L45" s="16"/>
      <c r="M45" s="13"/>
      <c r="N45" s="13"/>
      <c r="O45" s="13"/>
      <c r="P45" s="13"/>
      <c r="Q45" s="13"/>
      <c r="R45" s="13"/>
      <c r="S45" s="13"/>
      <c r="T45" s="13"/>
      <c r="U45" s="13"/>
      <c r="V45" s="13">
        <f>SUM(M45:U45)</f>
        <v>0</v>
      </c>
      <c r="W45" s="472"/>
      <c r="AA45" s="68"/>
      <c r="AB45" s="68"/>
    </row>
    <row r="46" spans="1:28" hidden="1">
      <c r="A46" s="705" t="s">
        <v>7052</v>
      </c>
      <c r="B46" s="484"/>
      <c r="C46" s="484"/>
      <c r="D46" s="484"/>
      <c r="E46" s="484"/>
      <c r="F46" s="484"/>
      <c r="G46" s="484"/>
      <c r="H46" s="484"/>
      <c r="I46" s="484"/>
      <c r="J46" s="484"/>
      <c r="K46" s="484"/>
      <c r="L46" s="483"/>
      <c r="M46" s="484"/>
      <c r="N46" s="484"/>
      <c r="O46" s="484"/>
      <c r="P46" s="484"/>
      <c r="Q46" s="484"/>
      <c r="R46" s="484"/>
      <c r="S46" s="484"/>
      <c r="T46" s="484"/>
      <c r="U46" s="484"/>
      <c r="V46" s="484"/>
      <c r="W46" s="485"/>
      <c r="AA46" s="68"/>
      <c r="AB46" s="68"/>
    </row>
    <row r="47" spans="1:28" hidden="1">
      <c r="A47" s="703" t="s">
        <v>7051</v>
      </c>
      <c r="B47" s="13"/>
      <c r="C47" s="13"/>
      <c r="D47" s="13"/>
      <c r="E47" s="13"/>
      <c r="F47" s="13"/>
      <c r="G47" s="13"/>
      <c r="H47" s="13"/>
      <c r="I47" s="13"/>
      <c r="J47" s="13"/>
      <c r="K47" s="13">
        <f>SUM(B47:J47)</f>
        <v>0</v>
      </c>
      <c r="L47" s="16"/>
      <c r="M47" s="13"/>
      <c r="N47" s="13"/>
      <c r="O47" s="13"/>
      <c r="P47" s="13"/>
      <c r="Q47" s="13"/>
      <c r="R47" s="13"/>
      <c r="S47" s="13"/>
      <c r="T47" s="13"/>
      <c r="U47" s="13"/>
      <c r="V47" s="13">
        <f>SUM(M47:U47)</f>
        <v>0</v>
      </c>
      <c r="W47" s="472"/>
      <c r="AA47" s="68"/>
      <c r="AB47" s="68"/>
    </row>
    <row r="48" spans="1:28" hidden="1">
      <c r="A48" s="703" t="s">
        <v>7050</v>
      </c>
      <c r="B48" s="13"/>
      <c r="C48" s="13"/>
      <c r="D48" s="13"/>
      <c r="E48" s="13"/>
      <c r="F48" s="13"/>
      <c r="G48" s="13"/>
      <c r="H48" s="13"/>
      <c r="I48" s="13"/>
      <c r="J48" s="13"/>
      <c r="K48" s="13">
        <f>SUM(B48:J48)</f>
        <v>0</v>
      </c>
      <c r="L48" s="16"/>
      <c r="M48" s="13"/>
      <c r="N48" s="13"/>
      <c r="O48" s="13"/>
      <c r="P48" s="13"/>
      <c r="Q48" s="13"/>
      <c r="R48" s="13"/>
      <c r="S48" s="13"/>
      <c r="T48" s="13"/>
      <c r="U48" s="13"/>
      <c r="V48" s="13">
        <f>SUM(M48:U48)</f>
        <v>0</v>
      </c>
      <c r="W48" s="472"/>
      <c r="AA48" s="68"/>
      <c r="AB48" s="68"/>
    </row>
    <row r="49" spans="1:28" hidden="1">
      <c r="A49" s="703" t="s">
        <v>7049</v>
      </c>
      <c r="B49" s="13"/>
      <c r="C49" s="13"/>
      <c r="D49" s="13"/>
      <c r="E49" s="13"/>
      <c r="F49" s="13"/>
      <c r="G49" s="13"/>
      <c r="H49" s="13"/>
      <c r="I49" s="13"/>
      <c r="J49" s="13"/>
      <c r="K49" s="13">
        <f>SUM(B49:J49)</f>
        <v>0</v>
      </c>
      <c r="L49" s="16"/>
      <c r="M49" s="13"/>
      <c r="N49" s="13"/>
      <c r="O49" s="13"/>
      <c r="P49" s="13"/>
      <c r="Q49" s="13"/>
      <c r="R49" s="13"/>
      <c r="S49" s="13"/>
      <c r="T49" s="13"/>
      <c r="U49" s="13"/>
      <c r="V49" s="13">
        <f>SUM(M49:U49)</f>
        <v>0</v>
      </c>
      <c r="W49" s="472"/>
      <c r="AA49" s="68"/>
      <c r="AB49" s="68"/>
    </row>
    <row r="50" spans="1:28">
      <c r="A50" s="704" t="s">
        <v>7019</v>
      </c>
      <c r="B50" s="482">
        <f t="shared" ref="B50:W50" si="12">B51</f>
        <v>1</v>
      </c>
      <c r="C50" s="482">
        <f t="shared" si="12"/>
        <v>0</v>
      </c>
      <c r="D50" s="482">
        <f t="shared" si="12"/>
        <v>0</v>
      </c>
      <c r="E50" s="482">
        <f t="shared" si="12"/>
        <v>0</v>
      </c>
      <c r="F50" s="482">
        <f t="shared" si="12"/>
        <v>0</v>
      </c>
      <c r="G50" s="482">
        <f t="shared" si="12"/>
        <v>0</v>
      </c>
      <c r="H50" s="482">
        <f t="shared" si="12"/>
        <v>0</v>
      </c>
      <c r="I50" s="482">
        <f t="shared" si="12"/>
        <v>0</v>
      </c>
      <c r="J50" s="482">
        <f t="shared" si="12"/>
        <v>0</v>
      </c>
      <c r="K50" s="482">
        <f t="shared" si="12"/>
        <v>1</v>
      </c>
      <c r="L50" s="474">
        <f t="shared" si="12"/>
        <v>87570.158511439557</v>
      </c>
      <c r="M50" s="482">
        <f t="shared" si="12"/>
        <v>1</v>
      </c>
      <c r="N50" s="482">
        <f t="shared" si="12"/>
        <v>0</v>
      </c>
      <c r="O50" s="482">
        <f t="shared" si="12"/>
        <v>0</v>
      </c>
      <c r="P50" s="482">
        <f t="shared" si="12"/>
        <v>0</v>
      </c>
      <c r="Q50" s="482">
        <f t="shared" si="12"/>
        <v>0</v>
      </c>
      <c r="R50" s="482">
        <f t="shared" si="12"/>
        <v>0</v>
      </c>
      <c r="S50" s="482">
        <f t="shared" si="12"/>
        <v>0</v>
      </c>
      <c r="T50" s="482">
        <f t="shared" si="12"/>
        <v>0</v>
      </c>
      <c r="U50" s="482">
        <f t="shared" si="12"/>
        <v>0</v>
      </c>
      <c r="V50" s="482">
        <f t="shared" si="12"/>
        <v>1</v>
      </c>
      <c r="W50" s="474">
        <f t="shared" si="12"/>
        <v>86507.004000000001</v>
      </c>
      <c r="AA50" s="68"/>
      <c r="AB50" s="68"/>
    </row>
    <row r="51" spans="1:28">
      <c r="A51" s="705" t="s">
        <v>7018</v>
      </c>
      <c r="B51" s="484">
        <f t="shared" ref="B51:W51" si="13">SUM(B52:B57)</f>
        <v>1</v>
      </c>
      <c r="C51" s="484">
        <f t="shared" si="13"/>
        <v>0</v>
      </c>
      <c r="D51" s="484">
        <f t="shared" si="13"/>
        <v>0</v>
      </c>
      <c r="E51" s="484">
        <f t="shared" si="13"/>
        <v>0</v>
      </c>
      <c r="F51" s="484">
        <f t="shared" si="13"/>
        <v>0</v>
      </c>
      <c r="G51" s="484">
        <f t="shared" si="13"/>
        <v>0</v>
      </c>
      <c r="H51" s="484">
        <f t="shared" si="13"/>
        <v>0</v>
      </c>
      <c r="I51" s="484">
        <f t="shared" si="13"/>
        <v>0</v>
      </c>
      <c r="J51" s="484">
        <f t="shared" si="13"/>
        <v>0</v>
      </c>
      <c r="K51" s="484">
        <f t="shared" si="13"/>
        <v>1</v>
      </c>
      <c r="L51" s="485">
        <f t="shared" si="13"/>
        <v>87570.158511439557</v>
      </c>
      <c r="M51" s="484">
        <f t="shared" si="13"/>
        <v>1</v>
      </c>
      <c r="N51" s="484">
        <f t="shared" si="13"/>
        <v>0</v>
      </c>
      <c r="O51" s="484">
        <f t="shared" si="13"/>
        <v>0</v>
      </c>
      <c r="P51" s="484">
        <f t="shared" si="13"/>
        <v>0</v>
      </c>
      <c r="Q51" s="484">
        <f t="shared" si="13"/>
        <v>0</v>
      </c>
      <c r="R51" s="484">
        <f t="shared" si="13"/>
        <v>0</v>
      </c>
      <c r="S51" s="484">
        <f t="shared" si="13"/>
        <v>0</v>
      </c>
      <c r="T51" s="484">
        <f t="shared" si="13"/>
        <v>0</v>
      </c>
      <c r="U51" s="484">
        <f t="shared" si="13"/>
        <v>0</v>
      </c>
      <c r="V51" s="484">
        <f t="shared" si="13"/>
        <v>1</v>
      </c>
      <c r="W51" s="485">
        <f t="shared" si="13"/>
        <v>86507.004000000001</v>
      </c>
      <c r="Z51" s="531"/>
      <c r="AA51" s="68"/>
      <c r="AB51" s="68"/>
    </row>
    <row r="52" spans="1:28" hidden="1">
      <c r="A52" s="703" t="s">
        <v>7001</v>
      </c>
      <c r="B52" s="13"/>
      <c r="C52" s="13"/>
      <c r="D52" s="13"/>
      <c r="E52" s="13"/>
      <c r="F52" s="13"/>
      <c r="G52" s="13"/>
      <c r="H52" s="13"/>
      <c r="I52" s="13"/>
      <c r="J52" s="13"/>
      <c r="K52" s="13">
        <f t="shared" ref="K52:K57" si="14">SUM(B52:J52)</f>
        <v>0</v>
      </c>
      <c r="L52" s="472"/>
      <c r="M52" s="13"/>
      <c r="N52" s="13"/>
      <c r="O52" s="13"/>
      <c r="P52" s="13"/>
      <c r="Q52" s="13"/>
      <c r="R52" s="13"/>
      <c r="S52" s="13"/>
      <c r="T52" s="13"/>
      <c r="U52" s="13"/>
      <c r="V52" s="13">
        <f t="shared" ref="V52:V57" si="15">SUM(M52:U52)</f>
        <v>0</v>
      </c>
      <c r="W52" s="472"/>
      <c r="AA52" s="68"/>
      <c r="AB52" s="68"/>
    </row>
    <row r="53" spans="1:28" hidden="1">
      <c r="A53" s="703" t="s">
        <v>7000</v>
      </c>
      <c r="B53" s="13"/>
      <c r="C53" s="13"/>
      <c r="D53" s="13"/>
      <c r="E53" s="13"/>
      <c r="F53" s="13"/>
      <c r="G53" s="13"/>
      <c r="H53" s="13"/>
      <c r="I53" s="13"/>
      <c r="J53" s="13"/>
      <c r="K53" s="13">
        <f t="shared" si="14"/>
        <v>0</v>
      </c>
      <c r="L53" s="472"/>
      <c r="M53" s="13"/>
      <c r="N53" s="13"/>
      <c r="O53" s="13"/>
      <c r="P53" s="13"/>
      <c r="Q53" s="13"/>
      <c r="R53" s="13"/>
      <c r="S53" s="13"/>
      <c r="T53" s="13"/>
      <c r="U53" s="13"/>
      <c r="V53" s="13">
        <f t="shared" si="15"/>
        <v>0</v>
      </c>
      <c r="W53" s="472"/>
      <c r="AA53" s="68"/>
      <c r="AB53" s="68"/>
    </row>
    <row r="54" spans="1:28" hidden="1">
      <c r="A54" s="703" t="s">
        <v>6999</v>
      </c>
      <c r="B54" s="13"/>
      <c r="C54" s="13"/>
      <c r="D54" s="13"/>
      <c r="E54" s="13"/>
      <c r="F54" s="13"/>
      <c r="G54" s="13"/>
      <c r="H54" s="13"/>
      <c r="I54" s="13"/>
      <c r="J54" s="13"/>
      <c r="K54" s="13">
        <f t="shared" si="14"/>
        <v>0</v>
      </c>
      <c r="L54" s="472"/>
      <c r="M54" s="13"/>
      <c r="N54" s="13"/>
      <c r="O54" s="13"/>
      <c r="P54" s="13"/>
      <c r="Q54" s="13"/>
      <c r="R54" s="13"/>
      <c r="S54" s="13"/>
      <c r="T54" s="13"/>
      <c r="U54" s="13"/>
      <c r="V54" s="13">
        <f t="shared" si="15"/>
        <v>0</v>
      </c>
      <c r="W54" s="472"/>
      <c r="AA54" s="68"/>
      <c r="AB54" s="68"/>
    </row>
    <row r="55" spans="1:28" hidden="1">
      <c r="A55" s="703" t="s">
        <v>6998</v>
      </c>
      <c r="B55" s="13"/>
      <c r="C55" s="13"/>
      <c r="D55" s="13"/>
      <c r="E55" s="13"/>
      <c r="F55" s="13"/>
      <c r="G55" s="13"/>
      <c r="H55" s="13"/>
      <c r="I55" s="13"/>
      <c r="J55" s="13"/>
      <c r="K55" s="13">
        <f t="shared" si="14"/>
        <v>0</v>
      </c>
      <c r="L55" s="472"/>
      <c r="M55" s="13"/>
      <c r="N55" s="13"/>
      <c r="O55" s="13"/>
      <c r="P55" s="13"/>
      <c r="Q55" s="13"/>
      <c r="R55" s="13"/>
      <c r="S55" s="13"/>
      <c r="T55" s="13"/>
      <c r="U55" s="13"/>
      <c r="V55" s="13">
        <f t="shared" si="15"/>
        <v>0</v>
      </c>
      <c r="W55" s="472"/>
      <c r="AA55" s="68"/>
      <c r="AB55" s="68"/>
    </row>
    <row r="56" spans="1:28">
      <c r="A56" s="703" t="s">
        <v>6997</v>
      </c>
      <c r="B56" s="13">
        <v>1</v>
      </c>
      <c r="C56" s="13"/>
      <c r="D56" s="13"/>
      <c r="E56" s="13"/>
      <c r="F56" s="13"/>
      <c r="G56" s="13"/>
      <c r="H56" s="13"/>
      <c r="I56" s="13"/>
      <c r="J56" s="13"/>
      <c r="K56" s="13">
        <f t="shared" si="14"/>
        <v>1</v>
      </c>
      <c r="L56" s="472">
        <v>87570.158511439557</v>
      </c>
      <c r="M56" s="13">
        <v>1</v>
      </c>
      <c r="N56" s="13"/>
      <c r="O56" s="13"/>
      <c r="P56" s="13"/>
      <c r="Q56" s="13"/>
      <c r="R56" s="13"/>
      <c r="S56" s="13"/>
      <c r="T56" s="13"/>
      <c r="U56" s="13"/>
      <c r="V56" s="13">
        <f t="shared" si="15"/>
        <v>1</v>
      </c>
      <c r="W56" s="472">
        <f>(6802*12)+((6802*0.65)*0.09*12)+108</f>
        <v>86507.004000000001</v>
      </c>
      <c r="AA56" s="68"/>
      <c r="AB56" s="68"/>
    </row>
    <row r="57" spans="1:28" hidden="1">
      <c r="A57" s="703" t="s">
        <v>7017</v>
      </c>
      <c r="B57" s="13"/>
      <c r="C57" s="13"/>
      <c r="D57" s="13"/>
      <c r="E57" s="13"/>
      <c r="F57" s="13"/>
      <c r="G57" s="13"/>
      <c r="H57" s="13"/>
      <c r="I57" s="13"/>
      <c r="J57" s="13"/>
      <c r="K57" s="13">
        <f t="shared" si="14"/>
        <v>0</v>
      </c>
      <c r="L57" s="16"/>
      <c r="M57" s="13"/>
      <c r="N57" s="13"/>
      <c r="O57" s="13"/>
      <c r="P57" s="13"/>
      <c r="Q57" s="13"/>
      <c r="R57" s="13"/>
      <c r="S57" s="13"/>
      <c r="T57" s="13"/>
      <c r="U57" s="13"/>
      <c r="V57" s="13">
        <f t="shared" si="15"/>
        <v>0</v>
      </c>
      <c r="W57" s="472"/>
      <c r="AA57" s="68"/>
      <c r="AB57" s="68"/>
    </row>
    <row r="58" spans="1:28" ht="24">
      <c r="A58" s="704" t="s">
        <v>6909</v>
      </c>
      <c r="B58" s="482"/>
      <c r="C58" s="482"/>
      <c r="D58" s="482">
        <f t="shared" ref="D58:W58" si="16">SUM(D59:D61)</f>
        <v>0</v>
      </c>
      <c r="E58" s="482">
        <f t="shared" si="16"/>
        <v>0</v>
      </c>
      <c r="F58" s="482">
        <f t="shared" si="16"/>
        <v>0</v>
      </c>
      <c r="G58" s="482">
        <f t="shared" si="16"/>
        <v>0</v>
      </c>
      <c r="H58" s="482">
        <f t="shared" si="16"/>
        <v>0</v>
      </c>
      <c r="I58" s="482">
        <f t="shared" si="16"/>
        <v>0</v>
      </c>
      <c r="J58" s="482">
        <f t="shared" si="16"/>
        <v>0</v>
      </c>
      <c r="K58" s="482">
        <f t="shared" si="16"/>
        <v>0</v>
      </c>
      <c r="L58" s="474">
        <f t="shared" si="16"/>
        <v>22200</v>
      </c>
      <c r="M58" s="482">
        <f t="shared" si="16"/>
        <v>0</v>
      </c>
      <c r="N58" s="482">
        <f t="shared" si="16"/>
        <v>0</v>
      </c>
      <c r="O58" s="482">
        <f t="shared" si="16"/>
        <v>0</v>
      </c>
      <c r="P58" s="482">
        <f t="shared" si="16"/>
        <v>0</v>
      </c>
      <c r="Q58" s="482">
        <f t="shared" si="16"/>
        <v>0</v>
      </c>
      <c r="R58" s="482">
        <f t="shared" si="16"/>
        <v>0</v>
      </c>
      <c r="S58" s="482">
        <f t="shared" si="16"/>
        <v>0</v>
      </c>
      <c r="T58" s="482">
        <f t="shared" si="16"/>
        <v>0</v>
      </c>
      <c r="U58" s="482">
        <f t="shared" si="16"/>
        <v>0</v>
      </c>
      <c r="V58" s="482">
        <f t="shared" si="16"/>
        <v>0</v>
      </c>
      <c r="W58" s="474">
        <f t="shared" si="16"/>
        <v>0</v>
      </c>
      <c r="Y58" s="490"/>
      <c r="AA58" s="68"/>
      <c r="AB58" s="68"/>
    </row>
    <row r="59" spans="1:28" ht="24">
      <c r="A59" s="703" t="s">
        <v>6908</v>
      </c>
      <c r="B59" s="13"/>
      <c r="C59" s="13"/>
      <c r="D59" s="13"/>
      <c r="E59" s="13"/>
      <c r="F59" s="13"/>
      <c r="G59" s="13"/>
      <c r="H59" s="13"/>
      <c r="I59" s="13"/>
      <c r="J59" s="13"/>
      <c r="K59" s="13"/>
      <c r="L59" s="472">
        <v>22200</v>
      </c>
      <c r="M59" s="13"/>
      <c r="N59" s="13"/>
      <c r="O59" s="13"/>
      <c r="P59" s="13"/>
      <c r="Q59" s="13"/>
      <c r="R59" s="13"/>
      <c r="S59" s="13"/>
      <c r="T59" s="13"/>
      <c r="U59" s="13"/>
      <c r="V59" s="13">
        <f>SUM(M59:U59)</f>
        <v>0</v>
      </c>
      <c r="W59" s="472"/>
      <c r="Y59" s="489"/>
      <c r="AA59" s="68"/>
      <c r="AB59" s="68"/>
    </row>
    <row r="60" spans="1:28" ht="24" hidden="1">
      <c r="A60" s="703" t="s">
        <v>6907</v>
      </c>
      <c r="B60" s="13"/>
      <c r="C60" s="13"/>
      <c r="D60" s="13"/>
      <c r="E60" s="13"/>
      <c r="F60" s="13"/>
      <c r="G60" s="13"/>
      <c r="H60" s="13"/>
      <c r="I60" s="13"/>
      <c r="J60" s="13"/>
      <c r="K60" s="13"/>
      <c r="L60" s="472"/>
      <c r="M60" s="13"/>
      <c r="N60" s="13"/>
      <c r="O60" s="13"/>
      <c r="P60" s="13"/>
      <c r="Q60" s="13"/>
      <c r="R60" s="13"/>
      <c r="S60" s="13"/>
      <c r="T60" s="13"/>
      <c r="U60" s="13"/>
      <c r="V60" s="13">
        <f>SUM(M60:U60)</f>
        <v>0</v>
      </c>
      <c r="W60" s="472"/>
      <c r="Y60" s="489"/>
      <c r="AA60" s="68"/>
      <c r="AB60" s="68"/>
    </row>
    <row r="61" spans="1:28" ht="24" hidden="1">
      <c r="A61" s="703" t="s">
        <v>6906</v>
      </c>
      <c r="B61" s="13"/>
      <c r="C61" s="13"/>
      <c r="D61" s="13"/>
      <c r="E61" s="13"/>
      <c r="F61" s="13"/>
      <c r="G61" s="13"/>
      <c r="H61" s="13"/>
      <c r="I61" s="13"/>
      <c r="J61" s="13"/>
      <c r="K61" s="13"/>
      <c r="L61" s="472"/>
      <c r="M61" s="13"/>
      <c r="N61" s="13"/>
      <c r="O61" s="13"/>
      <c r="P61" s="13"/>
      <c r="Q61" s="13"/>
      <c r="R61" s="13"/>
      <c r="S61" s="13"/>
      <c r="T61" s="13"/>
      <c r="U61" s="13"/>
      <c r="V61" s="13">
        <f>SUM(M61:U61)</f>
        <v>0</v>
      </c>
      <c r="W61" s="472"/>
      <c r="Y61" s="489"/>
      <c r="AA61" s="68"/>
      <c r="AB61" s="68"/>
    </row>
    <row r="62" spans="1:28" hidden="1">
      <c r="A62" s="703"/>
      <c r="B62" s="13"/>
      <c r="C62" s="13"/>
      <c r="D62" s="13"/>
      <c r="E62" s="13"/>
      <c r="F62" s="13"/>
      <c r="G62" s="13"/>
      <c r="H62" s="13"/>
      <c r="I62" s="13"/>
      <c r="J62" s="13"/>
      <c r="K62" s="13"/>
      <c r="L62" s="472"/>
      <c r="M62" s="13"/>
      <c r="N62" s="13"/>
      <c r="O62" s="13"/>
      <c r="P62" s="13"/>
      <c r="Q62" s="13"/>
      <c r="R62" s="13"/>
      <c r="S62" s="13"/>
      <c r="T62" s="13"/>
      <c r="U62" s="13"/>
      <c r="V62" s="13"/>
      <c r="W62" s="472"/>
      <c r="AA62" s="68"/>
      <c r="AB62" s="68"/>
    </row>
    <row r="63" spans="1:28">
      <c r="A63" s="704" t="s">
        <v>6894</v>
      </c>
      <c r="B63" s="482"/>
      <c r="C63" s="482"/>
      <c r="D63" s="482"/>
      <c r="E63" s="482"/>
      <c r="F63" s="482"/>
      <c r="G63" s="482"/>
      <c r="H63" s="482"/>
      <c r="I63" s="482"/>
      <c r="J63" s="482">
        <f>SUM(J64:J67)</f>
        <v>0</v>
      </c>
      <c r="K63" s="482">
        <f>SUM(K64:K67)</f>
        <v>0</v>
      </c>
      <c r="L63" s="479">
        <f>SUM(L64:L69)</f>
        <v>273999</v>
      </c>
      <c r="M63" s="478"/>
      <c r="N63" s="482"/>
      <c r="O63" s="482"/>
      <c r="P63" s="482"/>
      <c r="Q63" s="482"/>
      <c r="R63" s="482"/>
      <c r="S63" s="482"/>
      <c r="T63" s="482"/>
      <c r="U63" s="482"/>
      <c r="V63" s="482"/>
      <c r="W63" s="474">
        <f>SUM(W64:W69)</f>
        <v>143013</v>
      </c>
      <c r="AA63" s="68"/>
      <c r="AB63" s="68"/>
    </row>
    <row r="64" spans="1:28" ht="24" hidden="1">
      <c r="A64" s="703" t="s">
        <v>6893</v>
      </c>
      <c r="B64" s="13"/>
      <c r="C64" s="13"/>
      <c r="D64" s="13"/>
      <c r="E64" s="13"/>
      <c r="F64" s="13"/>
      <c r="G64" s="13"/>
      <c r="H64" s="13"/>
      <c r="I64" s="13"/>
      <c r="J64" s="13"/>
      <c r="K64" s="13"/>
      <c r="L64" s="529"/>
      <c r="M64" s="503"/>
      <c r="N64" s="13"/>
      <c r="O64" s="13"/>
      <c r="P64" s="13"/>
      <c r="Q64" s="13"/>
      <c r="R64" s="13"/>
      <c r="S64" s="13"/>
      <c r="T64" s="13"/>
      <c r="U64" s="13"/>
      <c r="V64" s="13"/>
      <c r="W64" s="16"/>
      <c r="AA64" s="68"/>
      <c r="AB64" s="68"/>
    </row>
    <row r="65" spans="1:28" ht="24">
      <c r="A65" s="703" t="s">
        <v>6892</v>
      </c>
      <c r="B65" s="13"/>
      <c r="C65" s="13"/>
      <c r="D65" s="13"/>
      <c r="E65" s="13"/>
      <c r="F65" s="13"/>
      <c r="G65" s="13"/>
      <c r="H65" s="13"/>
      <c r="I65" s="13"/>
      <c r="J65" s="13"/>
      <c r="K65" s="13"/>
      <c r="L65" s="529">
        <v>5600</v>
      </c>
      <c r="M65" s="503"/>
      <c r="N65" s="13"/>
      <c r="O65" s="13"/>
      <c r="P65" s="13"/>
      <c r="Q65" s="13"/>
      <c r="R65" s="13"/>
      <c r="S65" s="13"/>
      <c r="T65" s="13"/>
      <c r="U65" s="13"/>
      <c r="V65" s="13"/>
      <c r="W65" s="16">
        <v>75489</v>
      </c>
      <c r="AA65" s="68"/>
      <c r="AB65" s="68"/>
    </row>
    <row r="66" spans="1:28" ht="24">
      <c r="A66" s="703" t="s">
        <v>6891</v>
      </c>
      <c r="B66" s="13"/>
      <c r="C66" s="13"/>
      <c r="D66" s="13"/>
      <c r="E66" s="13"/>
      <c r="F66" s="13"/>
      <c r="G66" s="13"/>
      <c r="H66" s="13"/>
      <c r="I66" s="13"/>
      <c r="J66" s="13"/>
      <c r="K66" s="13"/>
      <c r="L66" s="472"/>
      <c r="M66" s="13"/>
      <c r="N66" s="13"/>
      <c r="O66" s="13"/>
      <c r="P66" s="13"/>
      <c r="Q66" s="13"/>
      <c r="R66" s="13"/>
      <c r="S66" s="13"/>
      <c r="T66" s="13"/>
      <c r="U66" s="13"/>
      <c r="V66" s="13"/>
      <c r="W66" s="16">
        <v>27524</v>
      </c>
      <c r="AA66" s="68"/>
      <c r="AB66" s="68"/>
    </row>
    <row r="67" spans="1:28" hidden="1">
      <c r="A67" s="703" t="s">
        <v>6890</v>
      </c>
      <c r="B67" s="13"/>
      <c r="C67" s="13"/>
      <c r="D67" s="13"/>
      <c r="E67" s="13"/>
      <c r="F67" s="13"/>
      <c r="G67" s="13"/>
      <c r="H67" s="13"/>
      <c r="I67" s="13"/>
      <c r="J67" s="13"/>
      <c r="K67" s="13"/>
      <c r="L67" s="472"/>
      <c r="M67" s="13"/>
      <c r="N67" s="13"/>
      <c r="O67" s="13"/>
      <c r="P67" s="13"/>
      <c r="Q67" s="13"/>
      <c r="R67" s="13"/>
      <c r="S67" s="13"/>
      <c r="T67" s="13"/>
      <c r="U67" s="13"/>
      <c r="V67" s="13"/>
      <c r="W67" s="16"/>
      <c r="AA67" s="68"/>
      <c r="AB67" s="68"/>
    </row>
    <row r="68" spans="1:28" ht="24">
      <c r="A68" s="703" t="s">
        <v>6889</v>
      </c>
      <c r="B68" s="13"/>
      <c r="C68" s="13"/>
      <c r="D68" s="13"/>
      <c r="E68" s="13"/>
      <c r="F68" s="13"/>
      <c r="G68" s="13"/>
      <c r="H68" s="13"/>
      <c r="I68" s="13"/>
      <c r="J68" s="13"/>
      <c r="K68" s="13"/>
      <c r="L68" s="472">
        <f>364424-158225+22200</f>
        <v>228399</v>
      </c>
      <c r="M68" s="13"/>
      <c r="N68" s="13"/>
      <c r="O68" s="13"/>
      <c r="P68" s="13"/>
      <c r="Q68" s="13"/>
      <c r="R68" s="13"/>
      <c r="S68" s="13"/>
      <c r="T68" s="13"/>
      <c r="U68" s="13"/>
      <c r="V68" s="13"/>
      <c r="W68" s="472"/>
      <c r="AA68" s="68"/>
      <c r="AB68" s="68"/>
    </row>
    <row r="69" spans="1:28" ht="24.75" thickBot="1">
      <c r="A69" s="703" t="s">
        <v>6888</v>
      </c>
      <c r="B69" s="13"/>
      <c r="C69" s="13"/>
      <c r="D69" s="13"/>
      <c r="E69" s="13"/>
      <c r="F69" s="13"/>
      <c r="G69" s="13"/>
      <c r="H69" s="13"/>
      <c r="I69" s="13"/>
      <c r="J69" s="13"/>
      <c r="K69" s="13"/>
      <c r="L69" s="472">
        <v>40000</v>
      </c>
      <c r="M69" s="13"/>
      <c r="N69" s="13"/>
      <c r="O69" s="13"/>
      <c r="P69" s="13"/>
      <c r="Q69" s="13"/>
      <c r="R69" s="13"/>
      <c r="S69" s="13"/>
      <c r="T69" s="13"/>
      <c r="U69" s="13"/>
      <c r="V69" s="13"/>
      <c r="W69" s="16">
        <v>40000</v>
      </c>
      <c r="AA69" s="68"/>
      <c r="AB69" s="68"/>
    </row>
    <row r="70" spans="1:28" hidden="1">
      <c r="A70" s="481" t="s">
        <v>6887</v>
      </c>
      <c r="B70" s="477"/>
      <c r="C70" s="477"/>
      <c r="D70" s="477"/>
      <c r="E70" s="477"/>
      <c r="F70" s="477"/>
      <c r="G70" s="477"/>
      <c r="H70" s="477"/>
      <c r="I70" s="477"/>
      <c r="J70" s="480">
        <f>SUM(J71:J75)</f>
        <v>0</v>
      </c>
      <c r="K70" s="477"/>
      <c r="L70" s="528">
        <f>SUM(L71:L73)</f>
        <v>0</v>
      </c>
      <c r="M70" s="477"/>
      <c r="N70" s="477"/>
      <c r="O70" s="477"/>
      <c r="P70" s="477"/>
      <c r="Q70" s="477"/>
      <c r="R70" s="477"/>
      <c r="S70" s="477"/>
      <c r="T70" s="477"/>
      <c r="U70" s="477"/>
      <c r="V70" s="477"/>
      <c r="W70" s="474">
        <f>SUM(W71:W73)</f>
        <v>0</v>
      </c>
      <c r="AA70" s="68"/>
      <c r="AB70" s="68"/>
    </row>
    <row r="71" spans="1:28" hidden="1">
      <c r="A71" s="15" t="s">
        <v>6886</v>
      </c>
      <c r="B71" s="13"/>
      <c r="C71" s="13"/>
      <c r="D71" s="13"/>
      <c r="E71" s="13"/>
      <c r="F71" s="13"/>
      <c r="G71" s="13"/>
      <c r="H71" s="13"/>
      <c r="I71" s="13"/>
      <c r="J71" s="13"/>
      <c r="K71" s="13"/>
      <c r="L71" s="472"/>
      <c r="M71" s="13"/>
      <c r="N71" s="13"/>
      <c r="O71" s="13"/>
      <c r="P71" s="13"/>
      <c r="Q71" s="13"/>
      <c r="R71" s="13"/>
      <c r="S71" s="13"/>
      <c r="T71" s="13"/>
      <c r="U71" s="13"/>
      <c r="V71" s="13"/>
      <c r="W71" s="16"/>
      <c r="AA71" s="68"/>
      <c r="AB71" s="68"/>
    </row>
    <row r="72" spans="1:28" hidden="1">
      <c r="A72" s="15" t="s">
        <v>6885</v>
      </c>
      <c r="B72" s="13"/>
      <c r="C72" s="13"/>
      <c r="D72" s="13"/>
      <c r="E72" s="13"/>
      <c r="F72" s="13"/>
      <c r="G72" s="13"/>
      <c r="H72" s="13"/>
      <c r="I72" s="13"/>
      <c r="J72" s="13"/>
      <c r="K72" s="13"/>
      <c r="L72" s="472"/>
      <c r="M72" s="13"/>
      <c r="N72" s="13"/>
      <c r="O72" s="13"/>
      <c r="P72" s="13"/>
      <c r="Q72" s="13"/>
      <c r="R72" s="13"/>
      <c r="S72" s="13"/>
      <c r="T72" s="13"/>
      <c r="U72" s="13"/>
      <c r="V72" s="13"/>
      <c r="W72" s="16"/>
      <c r="AA72" s="68"/>
      <c r="AB72" s="68"/>
    </row>
    <row r="73" spans="1:28" hidden="1">
      <c r="A73" s="15" t="s">
        <v>6884</v>
      </c>
      <c r="B73" s="13"/>
      <c r="C73" s="13"/>
      <c r="D73" s="13"/>
      <c r="E73" s="13"/>
      <c r="F73" s="13"/>
      <c r="G73" s="13"/>
      <c r="H73" s="13"/>
      <c r="I73" s="13"/>
      <c r="J73" s="13"/>
      <c r="K73" s="13"/>
      <c r="L73" s="472"/>
      <c r="M73" s="13"/>
      <c r="N73" s="13"/>
      <c r="O73" s="13"/>
      <c r="P73" s="13"/>
      <c r="Q73" s="13"/>
      <c r="R73" s="13"/>
      <c r="S73" s="13"/>
      <c r="T73" s="13"/>
      <c r="U73" s="13"/>
      <c r="V73" s="13"/>
      <c r="W73" s="16"/>
      <c r="AA73" s="68"/>
      <c r="AB73" s="68"/>
    </row>
    <row r="74" spans="1:28" hidden="1">
      <c r="A74" s="527" t="s">
        <v>6883</v>
      </c>
      <c r="B74" s="493"/>
      <c r="C74" s="493"/>
      <c r="D74" s="493"/>
      <c r="E74" s="493"/>
      <c r="F74" s="493"/>
      <c r="G74" s="493"/>
      <c r="H74" s="493"/>
      <c r="I74" s="493"/>
      <c r="J74" s="493"/>
      <c r="K74" s="493"/>
      <c r="L74" s="492">
        <f>L75</f>
        <v>0</v>
      </c>
      <c r="M74" s="493"/>
      <c r="N74" s="493"/>
      <c r="O74" s="493"/>
      <c r="P74" s="493"/>
      <c r="Q74" s="493"/>
      <c r="R74" s="493"/>
      <c r="S74" s="493"/>
      <c r="T74" s="493"/>
      <c r="U74" s="493"/>
      <c r="V74" s="493">
        <f>SUM(M74:U74)</f>
        <v>0</v>
      </c>
      <c r="W74" s="474">
        <f>W75</f>
        <v>0</v>
      </c>
      <c r="AA74" s="68"/>
      <c r="AB74" s="68"/>
    </row>
    <row r="75" spans="1:28" ht="13.5" hidden="1" thickBot="1">
      <c r="A75" s="15" t="s">
        <v>6882</v>
      </c>
      <c r="B75" s="13"/>
      <c r="C75" s="13"/>
      <c r="D75" s="13"/>
      <c r="E75" s="13"/>
      <c r="F75" s="13"/>
      <c r="G75" s="13"/>
      <c r="H75" s="13"/>
      <c r="I75" s="13"/>
      <c r="J75" s="13"/>
      <c r="K75" s="13"/>
      <c r="L75" s="472"/>
      <c r="M75" s="13"/>
      <c r="N75" s="13"/>
      <c r="O75" s="13"/>
      <c r="P75" s="13"/>
      <c r="Q75" s="13"/>
      <c r="R75" s="13"/>
      <c r="S75" s="13"/>
      <c r="T75" s="13"/>
      <c r="U75" s="13"/>
      <c r="V75" s="13"/>
      <c r="W75" s="472"/>
      <c r="AA75" s="68"/>
      <c r="AB75" s="68"/>
    </row>
    <row r="76" spans="1:28" ht="13.5" thickBot="1">
      <c r="A76" s="17" t="s">
        <v>23</v>
      </c>
      <c r="B76" s="471">
        <f t="shared" ref="B76:W76" si="17">B10+B50+B58+B63+B70+B74</f>
        <v>55</v>
      </c>
      <c r="C76" s="470">
        <f t="shared" si="17"/>
        <v>1</v>
      </c>
      <c r="D76" s="470">
        <f t="shared" si="17"/>
        <v>0</v>
      </c>
      <c r="E76" s="470">
        <f t="shared" si="17"/>
        <v>0</v>
      </c>
      <c r="F76" s="470">
        <f t="shared" si="17"/>
        <v>0</v>
      </c>
      <c r="G76" s="470">
        <f t="shared" si="17"/>
        <v>0</v>
      </c>
      <c r="H76" s="470">
        <f t="shared" si="17"/>
        <v>0</v>
      </c>
      <c r="I76" s="470">
        <f t="shared" si="17"/>
        <v>0</v>
      </c>
      <c r="J76" s="470">
        <f t="shared" si="17"/>
        <v>0</v>
      </c>
      <c r="K76" s="470">
        <f t="shared" si="17"/>
        <v>56</v>
      </c>
      <c r="L76" s="470">
        <f t="shared" si="17"/>
        <v>2006373.6883333335</v>
      </c>
      <c r="M76" s="471">
        <f t="shared" si="17"/>
        <v>55</v>
      </c>
      <c r="N76" s="470">
        <f t="shared" si="17"/>
        <v>1</v>
      </c>
      <c r="O76" s="470">
        <f t="shared" si="17"/>
        <v>0</v>
      </c>
      <c r="P76" s="470">
        <f t="shared" si="17"/>
        <v>0</v>
      </c>
      <c r="Q76" s="470">
        <f t="shared" si="17"/>
        <v>0</v>
      </c>
      <c r="R76" s="470">
        <f t="shared" si="17"/>
        <v>0</v>
      </c>
      <c r="S76" s="470">
        <f t="shared" si="17"/>
        <v>0</v>
      </c>
      <c r="T76" s="470">
        <f t="shared" si="17"/>
        <v>0</v>
      </c>
      <c r="U76" s="470">
        <f t="shared" si="17"/>
        <v>0</v>
      </c>
      <c r="V76" s="470">
        <f t="shared" si="17"/>
        <v>56</v>
      </c>
      <c r="W76" s="469">
        <f t="shared" si="17"/>
        <v>1934394.9999999998</v>
      </c>
      <c r="X76" s="55"/>
      <c r="AA76" s="68"/>
      <c r="AB76" s="68"/>
    </row>
    <row r="77" spans="1:28" s="712" customFormat="1" ht="6">
      <c r="A77" s="2007"/>
      <c r="B77" s="2008"/>
      <c r="C77" s="2008"/>
      <c r="D77" s="2008"/>
      <c r="E77" s="2008"/>
      <c r="F77" s="2008"/>
      <c r="G77" s="2008"/>
      <c r="H77" s="2008"/>
      <c r="I77" s="2008"/>
      <c r="J77" s="2008"/>
      <c r="K77" s="2008"/>
      <c r="L77" s="2008"/>
      <c r="M77" s="2008"/>
      <c r="N77" s="2008"/>
      <c r="O77" s="2008"/>
      <c r="P77" s="2008"/>
      <c r="Q77" s="2008"/>
      <c r="R77" s="2008"/>
      <c r="S77" s="2008"/>
      <c r="T77" s="2008"/>
      <c r="U77" s="2008"/>
      <c r="V77" s="2008"/>
      <c r="W77" s="2009"/>
      <c r="X77" s="711"/>
    </row>
    <row r="78" spans="1:28" ht="15">
      <c r="A78" s="2004" t="s">
        <v>7177</v>
      </c>
      <c r="B78" s="2005"/>
      <c r="C78" s="2005"/>
      <c r="D78" s="2005"/>
      <c r="E78" s="2005"/>
      <c r="F78" s="2005"/>
      <c r="G78" s="2005"/>
      <c r="H78" s="2005"/>
      <c r="I78" s="2005"/>
      <c r="J78" s="2005"/>
      <c r="K78" s="2005"/>
      <c r="L78" s="2005"/>
      <c r="M78" s="2005"/>
      <c r="N78" s="2005"/>
      <c r="O78" s="2005"/>
      <c r="P78" s="2005"/>
      <c r="Q78" s="2005"/>
      <c r="R78" s="2005"/>
      <c r="S78" s="2005"/>
      <c r="T78" s="2005"/>
      <c r="U78" s="2005"/>
      <c r="V78" s="2005"/>
      <c r="W78" s="2006"/>
      <c r="Y78" s="68"/>
      <c r="Z78" s="68"/>
      <c r="AA78" s="68"/>
      <c r="AB78" s="68"/>
    </row>
    <row r="79" spans="1:28" s="710" customFormat="1" ht="8.25">
      <c r="A79" s="2010"/>
      <c r="B79" s="2011"/>
      <c r="C79" s="2011"/>
      <c r="D79" s="2011"/>
      <c r="E79" s="2011"/>
      <c r="F79" s="2011"/>
      <c r="G79" s="2011"/>
      <c r="H79" s="2011"/>
      <c r="I79" s="2011"/>
      <c r="J79" s="2011"/>
      <c r="K79" s="2011"/>
      <c r="L79" s="2011"/>
      <c r="M79" s="2011"/>
      <c r="N79" s="2011"/>
      <c r="O79" s="2011"/>
      <c r="P79" s="2011"/>
      <c r="Q79" s="2011"/>
      <c r="R79" s="2011"/>
      <c r="S79" s="2011"/>
      <c r="T79" s="2011"/>
      <c r="U79" s="2011"/>
      <c r="V79" s="2011"/>
      <c r="W79" s="2012"/>
      <c r="X79" s="709"/>
    </row>
    <row r="80" spans="1:28">
      <c r="A80" s="704" t="s">
        <v>48</v>
      </c>
      <c r="B80" s="478">
        <f t="shared" ref="B80:W80" si="18">B81</f>
        <v>30</v>
      </c>
      <c r="C80" s="482">
        <f t="shared" si="18"/>
        <v>0</v>
      </c>
      <c r="D80" s="482">
        <f t="shared" si="18"/>
        <v>0</v>
      </c>
      <c r="E80" s="482">
        <f t="shared" si="18"/>
        <v>0</v>
      </c>
      <c r="F80" s="482">
        <f t="shared" si="18"/>
        <v>0</v>
      </c>
      <c r="G80" s="482">
        <f t="shared" si="18"/>
        <v>0</v>
      </c>
      <c r="H80" s="482">
        <f t="shared" si="18"/>
        <v>0</v>
      </c>
      <c r="I80" s="482">
        <f t="shared" si="18"/>
        <v>0</v>
      </c>
      <c r="J80" s="482">
        <f t="shared" si="18"/>
        <v>0</v>
      </c>
      <c r="K80" s="482">
        <f t="shared" si="18"/>
        <v>30</v>
      </c>
      <c r="L80" s="507">
        <f t="shared" si="18"/>
        <v>800005</v>
      </c>
      <c r="M80" s="478">
        <f t="shared" si="18"/>
        <v>30</v>
      </c>
      <c r="N80" s="482">
        <f t="shared" si="18"/>
        <v>0</v>
      </c>
      <c r="O80" s="482">
        <f t="shared" si="18"/>
        <v>0</v>
      </c>
      <c r="P80" s="482">
        <f t="shared" si="18"/>
        <v>0</v>
      </c>
      <c r="Q80" s="482">
        <f t="shared" si="18"/>
        <v>0</v>
      </c>
      <c r="R80" s="482">
        <f t="shared" si="18"/>
        <v>0</v>
      </c>
      <c r="S80" s="482">
        <f t="shared" si="18"/>
        <v>0</v>
      </c>
      <c r="T80" s="482">
        <f t="shared" si="18"/>
        <v>0</v>
      </c>
      <c r="U80" s="482">
        <f t="shared" si="18"/>
        <v>0</v>
      </c>
      <c r="V80" s="482">
        <f t="shared" si="18"/>
        <v>30</v>
      </c>
      <c r="W80" s="507">
        <f t="shared" si="18"/>
        <v>170656</v>
      </c>
      <c r="X80" s="55"/>
      <c r="AA80" s="68"/>
      <c r="AB80" s="68"/>
    </row>
    <row r="81" spans="1:28">
      <c r="A81" s="705" t="s">
        <v>4</v>
      </c>
      <c r="B81" s="506">
        <f t="shared" ref="B81:W81" si="19">SUM(B82:B87)</f>
        <v>30</v>
      </c>
      <c r="C81" s="484">
        <f t="shared" si="19"/>
        <v>0</v>
      </c>
      <c r="D81" s="484">
        <f t="shared" si="19"/>
        <v>0</v>
      </c>
      <c r="E81" s="484">
        <f t="shared" si="19"/>
        <v>0</v>
      </c>
      <c r="F81" s="484">
        <f t="shared" si="19"/>
        <v>0</v>
      </c>
      <c r="G81" s="484">
        <f t="shared" si="19"/>
        <v>0</v>
      </c>
      <c r="H81" s="484">
        <f t="shared" si="19"/>
        <v>0</v>
      </c>
      <c r="I81" s="484">
        <f t="shared" si="19"/>
        <v>0</v>
      </c>
      <c r="J81" s="484">
        <f t="shared" si="19"/>
        <v>0</v>
      </c>
      <c r="K81" s="484">
        <f t="shared" si="19"/>
        <v>30</v>
      </c>
      <c r="L81" s="550">
        <f t="shared" si="19"/>
        <v>800005</v>
      </c>
      <c r="M81" s="506">
        <f t="shared" si="19"/>
        <v>30</v>
      </c>
      <c r="N81" s="484">
        <f t="shared" si="19"/>
        <v>0</v>
      </c>
      <c r="O81" s="484">
        <f t="shared" si="19"/>
        <v>0</v>
      </c>
      <c r="P81" s="484">
        <f t="shared" si="19"/>
        <v>0</v>
      </c>
      <c r="Q81" s="484">
        <f t="shared" si="19"/>
        <v>0</v>
      </c>
      <c r="R81" s="484">
        <f t="shared" si="19"/>
        <v>0</v>
      </c>
      <c r="S81" s="484">
        <f t="shared" si="19"/>
        <v>0</v>
      </c>
      <c r="T81" s="484">
        <f t="shared" si="19"/>
        <v>0</v>
      </c>
      <c r="U81" s="484">
        <f t="shared" si="19"/>
        <v>0</v>
      </c>
      <c r="V81" s="484">
        <f t="shared" si="19"/>
        <v>30</v>
      </c>
      <c r="W81" s="550">
        <f t="shared" si="19"/>
        <v>170656</v>
      </c>
      <c r="AA81" s="68"/>
      <c r="AB81" s="68"/>
    </row>
    <row r="82" spans="1:28" hidden="1">
      <c r="A82" s="703" t="s">
        <v>13</v>
      </c>
      <c r="B82" s="503"/>
      <c r="C82" s="13"/>
      <c r="D82" s="13"/>
      <c r="E82" s="13"/>
      <c r="F82" s="13"/>
      <c r="G82" s="13"/>
      <c r="H82" s="13"/>
      <c r="I82" s="13"/>
      <c r="J82" s="13"/>
      <c r="K82" s="13"/>
      <c r="L82" s="472"/>
      <c r="M82" s="503"/>
      <c r="N82" s="13"/>
      <c r="O82" s="13"/>
      <c r="P82" s="13"/>
      <c r="Q82" s="13"/>
      <c r="R82" s="13"/>
      <c r="S82" s="13"/>
      <c r="T82" s="13"/>
      <c r="U82" s="13"/>
      <c r="V82" s="13"/>
      <c r="W82" s="472"/>
      <c r="AA82" s="68"/>
      <c r="AB82" s="68"/>
    </row>
    <row r="83" spans="1:28" hidden="1">
      <c r="A83" s="703" t="s">
        <v>6978</v>
      </c>
      <c r="B83" s="503"/>
      <c r="C83" s="13"/>
      <c r="D83" s="13"/>
      <c r="E83" s="13"/>
      <c r="F83" s="13"/>
      <c r="G83" s="13"/>
      <c r="H83" s="13"/>
      <c r="I83" s="13"/>
      <c r="J83" s="13"/>
      <c r="K83" s="13"/>
      <c r="L83" s="472"/>
      <c r="M83" s="503"/>
      <c r="N83" s="13"/>
      <c r="O83" s="13"/>
      <c r="P83" s="13"/>
      <c r="Q83" s="13"/>
      <c r="R83" s="13"/>
      <c r="S83" s="13"/>
      <c r="T83" s="13"/>
      <c r="U83" s="13"/>
      <c r="V83" s="13"/>
      <c r="W83" s="472">
        <f>(1316*12*V83)+(930*0.09*12*V83)+(1000*V83)+(1700*12*V83)</f>
        <v>0</v>
      </c>
      <c r="AA83" s="68"/>
      <c r="AB83" s="68"/>
    </row>
    <row r="84" spans="1:28" hidden="1">
      <c r="A84" s="703" t="s">
        <v>6977</v>
      </c>
      <c r="B84" s="503"/>
      <c r="C84" s="13"/>
      <c r="D84" s="13"/>
      <c r="E84" s="13"/>
      <c r="F84" s="13"/>
      <c r="G84" s="13"/>
      <c r="H84" s="13"/>
      <c r="I84" s="13"/>
      <c r="J84" s="13"/>
      <c r="K84" s="13"/>
      <c r="L84" s="472"/>
      <c r="M84" s="503"/>
      <c r="N84" s="13"/>
      <c r="O84" s="13"/>
      <c r="P84" s="13"/>
      <c r="Q84" s="13"/>
      <c r="R84" s="13"/>
      <c r="S84" s="13"/>
      <c r="T84" s="13"/>
      <c r="U84" s="13"/>
      <c r="V84" s="13"/>
      <c r="W84" s="472">
        <f>(1243*12*V84)+(930*0.09*12*V84)+(1000*V84)+(1600*12*V84)</f>
        <v>0</v>
      </c>
      <c r="X84" s="55"/>
      <c r="AA84" s="68"/>
      <c r="AB84" s="68"/>
    </row>
    <row r="85" spans="1:28" hidden="1">
      <c r="A85" s="703" t="s">
        <v>6976</v>
      </c>
      <c r="B85" s="503"/>
      <c r="C85" s="13"/>
      <c r="D85" s="13"/>
      <c r="E85" s="13"/>
      <c r="F85" s="13"/>
      <c r="G85" s="13"/>
      <c r="H85" s="13"/>
      <c r="I85" s="13"/>
      <c r="J85" s="13"/>
      <c r="K85" s="13"/>
      <c r="L85" s="472"/>
      <c r="M85" s="503"/>
      <c r="N85" s="13"/>
      <c r="O85" s="13"/>
      <c r="P85" s="13"/>
      <c r="Q85" s="13"/>
      <c r="R85" s="13"/>
      <c r="S85" s="13"/>
      <c r="T85" s="13"/>
      <c r="U85" s="13"/>
      <c r="V85" s="13"/>
      <c r="W85" s="472">
        <f>(1252*12*V85)+(930*0.09*12*V85)+(1000*V85)+(1300*12*V85)</f>
        <v>0</v>
      </c>
      <c r="AA85" s="68"/>
      <c r="AB85" s="68"/>
    </row>
    <row r="86" spans="1:28">
      <c r="A86" s="703" t="s">
        <v>7063</v>
      </c>
      <c r="B86" s="503">
        <v>3</v>
      </c>
      <c r="C86" s="13"/>
      <c r="D86" s="13"/>
      <c r="E86" s="13"/>
      <c r="F86" s="13"/>
      <c r="G86" s="13"/>
      <c r="H86" s="13"/>
      <c r="I86" s="13"/>
      <c r="J86" s="13"/>
      <c r="K86" s="13">
        <f>SUM(B86:J86)</f>
        <v>3</v>
      </c>
      <c r="L86" s="472">
        <v>128568</v>
      </c>
      <c r="M86" s="503">
        <v>3</v>
      </c>
      <c r="N86" s="13"/>
      <c r="O86" s="13"/>
      <c r="P86" s="13"/>
      <c r="Q86" s="13"/>
      <c r="R86" s="13"/>
      <c r="S86" s="13"/>
      <c r="T86" s="13"/>
      <c r="U86" s="13"/>
      <c r="V86" s="13">
        <f>SUM(M86:U86)</f>
        <v>3</v>
      </c>
      <c r="W86" s="472"/>
      <c r="AA86" s="68"/>
      <c r="AB86" s="68"/>
    </row>
    <row r="87" spans="1:28">
      <c r="A87" s="703" t="s">
        <v>7063</v>
      </c>
      <c r="B87" s="503">
        <v>27</v>
      </c>
      <c r="C87" s="13"/>
      <c r="D87" s="13"/>
      <c r="E87" s="13"/>
      <c r="F87" s="13"/>
      <c r="G87" s="13"/>
      <c r="H87" s="13"/>
      <c r="I87" s="13"/>
      <c r="J87" s="13"/>
      <c r="K87" s="13">
        <f>SUM(B87:J87)</f>
        <v>27</v>
      </c>
      <c r="L87" s="472">
        <v>671437</v>
      </c>
      <c r="M87" s="503">
        <v>27</v>
      </c>
      <c r="N87" s="13"/>
      <c r="O87" s="13"/>
      <c r="P87" s="13"/>
      <c r="Q87" s="13"/>
      <c r="R87" s="13"/>
      <c r="S87" s="13"/>
      <c r="T87" s="13"/>
      <c r="U87" s="13"/>
      <c r="V87" s="13">
        <f>SUM(M87:U87)</f>
        <v>27</v>
      </c>
      <c r="W87" s="472">
        <v>170656</v>
      </c>
      <c r="AA87" s="68"/>
      <c r="AB87" s="68"/>
    </row>
    <row r="88" spans="1:28" ht="24">
      <c r="A88" s="704" t="s">
        <v>6909</v>
      </c>
      <c r="B88" s="478"/>
      <c r="C88" s="482"/>
      <c r="D88" s="482">
        <f t="shared" ref="D88:W88" si="20">SUM(D89:D91)</f>
        <v>55</v>
      </c>
      <c r="E88" s="482">
        <f t="shared" si="20"/>
        <v>0</v>
      </c>
      <c r="F88" s="482">
        <f t="shared" si="20"/>
        <v>0</v>
      </c>
      <c r="G88" s="482">
        <f t="shared" si="20"/>
        <v>0</v>
      </c>
      <c r="H88" s="482">
        <f t="shared" si="20"/>
        <v>0</v>
      </c>
      <c r="I88" s="482">
        <f t="shared" si="20"/>
        <v>0</v>
      </c>
      <c r="J88" s="482">
        <f t="shared" si="20"/>
        <v>0</v>
      </c>
      <c r="K88" s="482">
        <f t="shared" si="20"/>
        <v>55</v>
      </c>
      <c r="L88" s="474">
        <f t="shared" si="20"/>
        <v>1822077</v>
      </c>
      <c r="M88" s="478">
        <f t="shared" si="20"/>
        <v>0</v>
      </c>
      <c r="N88" s="482">
        <f t="shared" si="20"/>
        <v>0</v>
      </c>
      <c r="O88" s="482">
        <f t="shared" si="20"/>
        <v>56</v>
      </c>
      <c r="P88" s="482">
        <f t="shared" si="20"/>
        <v>0</v>
      </c>
      <c r="Q88" s="482">
        <f t="shared" si="20"/>
        <v>0</v>
      </c>
      <c r="R88" s="482">
        <f t="shared" si="20"/>
        <v>0</v>
      </c>
      <c r="S88" s="482">
        <f t="shared" si="20"/>
        <v>0</v>
      </c>
      <c r="T88" s="482">
        <f t="shared" si="20"/>
        <v>0</v>
      </c>
      <c r="U88" s="482">
        <f t="shared" si="20"/>
        <v>0</v>
      </c>
      <c r="V88" s="482">
        <f t="shared" si="20"/>
        <v>56</v>
      </c>
      <c r="W88" s="474">
        <f t="shared" si="20"/>
        <v>1548765</v>
      </c>
      <c r="Y88" s="490"/>
      <c r="AA88" s="68"/>
      <c r="AB88" s="68"/>
    </row>
    <row r="89" spans="1:28" ht="24">
      <c r="A89" s="703" t="s">
        <v>6908</v>
      </c>
      <c r="B89" s="503"/>
      <c r="C89" s="13"/>
      <c r="D89" s="13">
        <v>55</v>
      </c>
      <c r="E89" s="13"/>
      <c r="F89" s="13"/>
      <c r="G89" s="13"/>
      <c r="H89" s="13"/>
      <c r="I89" s="13"/>
      <c r="J89" s="13"/>
      <c r="K89" s="13">
        <f>SUM(D89:J89)</f>
        <v>55</v>
      </c>
      <c r="L89" s="472">
        <v>1822077</v>
      </c>
      <c r="M89" s="503"/>
      <c r="N89" s="13"/>
      <c r="O89" s="13">
        <v>56</v>
      </c>
      <c r="P89" s="13"/>
      <c r="Q89" s="13"/>
      <c r="R89" s="13"/>
      <c r="S89" s="13"/>
      <c r="T89" s="13"/>
      <c r="U89" s="13"/>
      <c r="V89" s="13">
        <f>SUM(M89:U89)</f>
        <v>56</v>
      </c>
      <c r="W89" s="472">
        <v>1548765</v>
      </c>
      <c r="Y89" s="489"/>
      <c r="AA89" s="68"/>
      <c r="AB89" s="68"/>
    </row>
    <row r="90" spans="1:28" ht="24" hidden="1">
      <c r="A90" s="703" t="s">
        <v>6907</v>
      </c>
      <c r="B90" s="503"/>
      <c r="C90" s="13"/>
      <c r="D90" s="13"/>
      <c r="E90" s="13"/>
      <c r="F90" s="13"/>
      <c r="G90" s="13"/>
      <c r="H90" s="13"/>
      <c r="I90" s="13"/>
      <c r="J90" s="13"/>
      <c r="K90" s="13"/>
      <c r="L90" s="472"/>
      <c r="M90" s="503"/>
      <c r="N90" s="13"/>
      <c r="O90" s="13"/>
      <c r="P90" s="13"/>
      <c r="Q90" s="13"/>
      <c r="R90" s="13"/>
      <c r="S90" s="13"/>
      <c r="T90" s="13"/>
      <c r="U90" s="13"/>
      <c r="V90" s="13"/>
      <c r="W90" s="472"/>
      <c r="Y90" s="489"/>
      <c r="AA90" s="68"/>
      <c r="AB90" s="68"/>
    </row>
    <row r="91" spans="1:28" ht="24" hidden="1">
      <c r="A91" s="703" t="s">
        <v>6906</v>
      </c>
      <c r="B91" s="503"/>
      <c r="C91" s="13"/>
      <c r="D91" s="13"/>
      <c r="E91" s="13"/>
      <c r="F91" s="13"/>
      <c r="G91" s="13"/>
      <c r="H91" s="13"/>
      <c r="I91" s="13"/>
      <c r="J91" s="13"/>
      <c r="K91" s="13"/>
      <c r="L91" s="472"/>
      <c r="M91" s="503"/>
      <c r="N91" s="13"/>
      <c r="O91" s="13"/>
      <c r="P91" s="13"/>
      <c r="Q91" s="13"/>
      <c r="R91" s="13"/>
      <c r="S91" s="13"/>
      <c r="T91" s="13"/>
      <c r="U91" s="13"/>
      <c r="V91" s="13"/>
      <c r="W91" s="472"/>
      <c r="Y91" s="489"/>
      <c r="AA91" s="68"/>
      <c r="AB91" s="68"/>
    </row>
    <row r="92" spans="1:28" hidden="1">
      <c r="A92" s="703"/>
      <c r="B92" s="503"/>
      <c r="C92" s="13"/>
      <c r="D92" s="13"/>
      <c r="E92" s="13"/>
      <c r="F92" s="13"/>
      <c r="G92" s="13"/>
      <c r="H92" s="13"/>
      <c r="I92" s="13"/>
      <c r="J92" s="13"/>
      <c r="K92" s="13"/>
      <c r="L92" s="472"/>
      <c r="M92" s="503"/>
      <c r="N92" s="13"/>
      <c r="O92" s="13"/>
      <c r="P92" s="13"/>
      <c r="Q92" s="13"/>
      <c r="R92" s="13"/>
      <c r="S92" s="13"/>
      <c r="T92" s="13"/>
      <c r="U92" s="13"/>
      <c r="V92" s="13"/>
      <c r="W92" s="472"/>
      <c r="Y92" s="489"/>
      <c r="AA92" s="68"/>
      <c r="AB92" s="68"/>
    </row>
    <row r="93" spans="1:28">
      <c r="A93" s="716" t="s">
        <v>6903</v>
      </c>
      <c r="B93" s="549"/>
      <c r="C93" s="547"/>
      <c r="D93" s="547"/>
      <c r="E93" s="547"/>
      <c r="F93" s="547"/>
      <c r="G93" s="547"/>
      <c r="H93" s="547"/>
      <c r="I93" s="547">
        <f>I94</f>
        <v>2</v>
      </c>
      <c r="J93" s="547"/>
      <c r="K93" s="547">
        <f>K94</f>
        <v>2</v>
      </c>
      <c r="L93" s="546">
        <f>L94</f>
        <v>20000</v>
      </c>
      <c r="M93" s="549"/>
      <c r="N93" s="547"/>
      <c r="O93" s="547"/>
      <c r="P93" s="547"/>
      <c r="Q93" s="547"/>
      <c r="R93" s="547"/>
      <c r="S93" s="547"/>
      <c r="T93" s="547">
        <f>T94</f>
        <v>2</v>
      </c>
      <c r="U93" s="547"/>
      <c r="V93" s="547">
        <f>V94</f>
        <v>2</v>
      </c>
      <c r="W93" s="546">
        <f>W94</f>
        <v>20000</v>
      </c>
      <c r="AA93" s="68"/>
      <c r="AB93" s="68"/>
    </row>
    <row r="94" spans="1:28">
      <c r="A94" s="703" t="s">
        <v>6902</v>
      </c>
      <c r="B94" s="503"/>
      <c r="C94" s="13"/>
      <c r="D94" s="13"/>
      <c r="E94" s="13"/>
      <c r="F94" s="13"/>
      <c r="G94" s="13"/>
      <c r="H94" s="13"/>
      <c r="I94" s="13">
        <v>2</v>
      </c>
      <c r="J94" s="13"/>
      <c r="K94" s="13">
        <f>SUM(B94:J94)</f>
        <v>2</v>
      </c>
      <c r="L94" s="472">
        <v>20000</v>
      </c>
      <c r="M94" s="503"/>
      <c r="N94" s="13"/>
      <c r="O94" s="13"/>
      <c r="P94" s="13"/>
      <c r="Q94" s="13"/>
      <c r="R94" s="13"/>
      <c r="S94" s="13"/>
      <c r="T94" s="13">
        <v>2</v>
      </c>
      <c r="U94" s="13"/>
      <c r="V94" s="13">
        <f>SUM(M94:U94)</f>
        <v>2</v>
      </c>
      <c r="W94" s="504">
        <v>20000</v>
      </c>
      <c r="AA94" s="68"/>
      <c r="AB94" s="68"/>
    </row>
    <row r="95" spans="1:28" hidden="1">
      <c r="A95" s="703"/>
      <c r="B95" s="503"/>
      <c r="C95" s="13"/>
      <c r="D95" s="13"/>
      <c r="E95" s="13"/>
      <c r="F95" s="13"/>
      <c r="G95" s="13"/>
      <c r="H95" s="13"/>
      <c r="I95" s="13"/>
      <c r="J95" s="13"/>
      <c r="K95" s="13"/>
      <c r="L95" s="472"/>
      <c r="M95" s="503"/>
      <c r="N95" s="13"/>
      <c r="O95" s="13"/>
      <c r="P95" s="13"/>
      <c r="Q95" s="13"/>
      <c r="R95" s="13"/>
      <c r="S95" s="13"/>
      <c r="T95" s="13"/>
      <c r="U95" s="13"/>
      <c r="V95" s="13"/>
      <c r="W95" s="472"/>
      <c r="Y95" s="489"/>
      <c r="AA95" s="68"/>
      <c r="AB95" s="68"/>
    </row>
    <row r="96" spans="1:28" hidden="1">
      <c r="A96" s="703"/>
      <c r="B96" s="503"/>
      <c r="C96" s="13"/>
      <c r="D96" s="13"/>
      <c r="E96" s="13"/>
      <c r="F96" s="13"/>
      <c r="G96" s="13"/>
      <c r="H96" s="13"/>
      <c r="I96" s="13"/>
      <c r="J96" s="13"/>
      <c r="K96" s="13"/>
      <c r="L96" s="472"/>
      <c r="M96" s="503"/>
      <c r="N96" s="13"/>
      <c r="O96" s="13"/>
      <c r="P96" s="13"/>
      <c r="Q96" s="13"/>
      <c r="R96" s="13"/>
      <c r="S96" s="13"/>
      <c r="T96" s="13"/>
      <c r="U96" s="13"/>
      <c r="V96" s="13"/>
      <c r="W96" s="472"/>
      <c r="Y96" s="489"/>
      <c r="AA96" s="68"/>
      <c r="AB96" s="68"/>
    </row>
    <row r="97" spans="1:28">
      <c r="A97" s="704" t="s">
        <v>6894</v>
      </c>
      <c r="B97" s="478"/>
      <c r="C97" s="482"/>
      <c r="D97" s="482"/>
      <c r="E97" s="482"/>
      <c r="F97" s="482"/>
      <c r="G97" s="482"/>
      <c r="H97" s="482"/>
      <c r="I97" s="482"/>
      <c r="J97" s="482"/>
      <c r="K97" s="482"/>
      <c r="L97" s="548">
        <f>SUM(L98:L103)</f>
        <v>0</v>
      </c>
      <c r="M97" s="478"/>
      <c r="N97" s="482"/>
      <c r="O97" s="482"/>
      <c r="P97" s="482"/>
      <c r="Q97" s="482"/>
      <c r="R97" s="482"/>
      <c r="S97" s="482"/>
      <c r="T97" s="482"/>
      <c r="U97" s="482"/>
      <c r="V97" s="482"/>
      <c r="W97" s="474">
        <f>SUM(W98:W103)</f>
        <v>629349</v>
      </c>
      <c r="AA97" s="68"/>
      <c r="AB97" s="68"/>
    </row>
    <row r="98" spans="1:28" ht="24" hidden="1">
      <c r="A98" s="703" t="s">
        <v>6893</v>
      </c>
      <c r="B98" s="503"/>
      <c r="C98" s="13"/>
      <c r="D98" s="13"/>
      <c r="E98" s="13"/>
      <c r="F98" s="13"/>
      <c r="G98" s="13"/>
      <c r="H98" s="13"/>
      <c r="I98" s="13"/>
      <c r="J98" s="13"/>
      <c r="K98" s="13"/>
      <c r="L98" s="472"/>
      <c r="M98" s="503"/>
      <c r="N98" s="13"/>
      <c r="O98" s="13"/>
      <c r="P98" s="13"/>
      <c r="Q98" s="13"/>
      <c r="R98" s="13"/>
      <c r="S98" s="13"/>
      <c r="T98" s="13"/>
      <c r="U98" s="13"/>
      <c r="V98" s="13"/>
      <c r="W98" s="16"/>
      <c r="AA98" s="68"/>
      <c r="AB98" s="68"/>
    </row>
    <row r="99" spans="1:28" ht="24" hidden="1">
      <c r="A99" s="703" t="s">
        <v>6892</v>
      </c>
      <c r="B99" s="503"/>
      <c r="C99" s="13"/>
      <c r="D99" s="13"/>
      <c r="E99" s="13"/>
      <c r="F99" s="13"/>
      <c r="G99" s="13"/>
      <c r="H99" s="13"/>
      <c r="I99" s="13"/>
      <c r="J99" s="13"/>
      <c r="K99" s="13"/>
      <c r="L99" s="472"/>
      <c r="M99" s="503"/>
      <c r="N99" s="13"/>
      <c r="O99" s="13"/>
      <c r="P99" s="13"/>
      <c r="Q99" s="13"/>
      <c r="R99" s="13"/>
      <c r="S99" s="13"/>
      <c r="T99" s="13"/>
      <c r="U99" s="13"/>
      <c r="V99" s="13"/>
      <c r="W99" s="16"/>
      <c r="AA99" s="68"/>
      <c r="AB99" s="68"/>
    </row>
    <row r="100" spans="1:28" ht="24" hidden="1">
      <c r="A100" s="703" t="s">
        <v>6891</v>
      </c>
      <c r="B100" s="503"/>
      <c r="C100" s="13"/>
      <c r="D100" s="13"/>
      <c r="E100" s="13"/>
      <c r="F100" s="13"/>
      <c r="G100" s="13"/>
      <c r="H100" s="13"/>
      <c r="I100" s="13"/>
      <c r="J100" s="13"/>
      <c r="K100" s="13"/>
      <c r="L100" s="472"/>
      <c r="M100" s="503"/>
      <c r="N100" s="13"/>
      <c r="O100" s="13"/>
      <c r="P100" s="13"/>
      <c r="Q100" s="13"/>
      <c r="R100" s="13"/>
      <c r="S100" s="13"/>
      <c r="T100" s="13"/>
      <c r="U100" s="13"/>
      <c r="V100" s="13"/>
      <c r="W100" s="16"/>
      <c r="AA100" s="68"/>
      <c r="AB100" s="68"/>
    </row>
    <row r="101" spans="1:28" hidden="1">
      <c r="A101" s="703" t="s">
        <v>6890</v>
      </c>
      <c r="B101" s="503"/>
      <c r="C101" s="13"/>
      <c r="D101" s="13"/>
      <c r="E101" s="13"/>
      <c r="F101" s="13"/>
      <c r="G101" s="13"/>
      <c r="H101" s="13"/>
      <c r="I101" s="13"/>
      <c r="J101" s="13"/>
      <c r="K101" s="13"/>
      <c r="L101" s="472"/>
      <c r="M101" s="503"/>
      <c r="N101" s="13"/>
      <c r="O101" s="13"/>
      <c r="P101" s="13"/>
      <c r="Q101" s="13"/>
      <c r="R101" s="13"/>
      <c r="S101" s="13"/>
      <c r="T101" s="13"/>
      <c r="U101" s="13"/>
      <c r="V101" s="13"/>
      <c r="W101" s="16"/>
      <c r="AA101" s="68"/>
      <c r="AB101" s="68"/>
    </row>
    <row r="102" spans="1:28" ht="24.75" thickBot="1">
      <c r="A102" s="703" t="s">
        <v>6889</v>
      </c>
      <c r="B102" s="503"/>
      <c r="C102" s="13"/>
      <c r="D102" s="13"/>
      <c r="E102" s="13"/>
      <c r="F102" s="13"/>
      <c r="G102" s="13"/>
      <c r="H102" s="13"/>
      <c r="I102" s="13"/>
      <c r="J102" s="13"/>
      <c r="K102" s="13"/>
      <c r="L102" s="472"/>
      <c r="M102" s="503"/>
      <c r="N102" s="13"/>
      <c r="O102" s="13"/>
      <c r="P102" s="13"/>
      <c r="Q102" s="13"/>
      <c r="R102" s="13"/>
      <c r="S102" s="13"/>
      <c r="T102" s="13"/>
      <c r="U102" s="13"/>
      <c r="V102" s="13"/>
      <c r="W102" s="472">
        <v>629349</v>
      </c>
      <c r="AA102" s="68"/>
      <c r="AB102" s="68"/>
    </row>
    <row r="103" spans="1:28" hidden="1">
      <c r="A103" s="15" t="s">
        <v>6888</v>
      </c>
      <c r="B103" s="503"/>
      <c r="C103" s="13"/>
      <c r="D103" s="13"/>
      <c r="E103" s="13"/>
      <c r="F103" s="13"/>
      <c r="G103" s="13"/>
      <c r="H103" s="13"/>
      <c r="I103" s="13"/>
      <c r="J103" s="13"/>
      <c r="K103" s="13"/>
      <c r="L103" s="472"/>
      <c r="M103" s="503"/>
      <c r="N103" s="13"/>
      <c r="O103" s="13"/>
      <c r="P103" s="13"/>
      <c r="Q103" s="13"/>
      <c r="R103" s="13"/>
      <c r="S103" s="13"/>
      <c r="T103" s="13"/>
      <c r="U103" s="13"/>
      <c r="V103" s="13"/>
      <c r="W103" s="16"/>
      <c r="AA103" s="68"/>
      <c r="AB103" s="68"/>
    </row>
    <row r="104" spans="1:28" ht="13.5" hidden="1" thickBot="1">
      <c r="A104" s="15"/>
      <c r="B104" s="502"/>
      <c r="C104" s="501"/>
      <c r="D104" s="501"/>
      <c r="E104" s="501"/>
      <c r="F104" s="501"/>
      <c r="G104" s="501"/>
      <c r="H104" s="501"/>
      <c r="I104" s="501"/>
      <c r="J104" s="501"/>
      <c r="K104" s="501"/>
      <c r="L104" s="500"/>
      <c r="M104" s="502"/>
      <c r="N104" s="501"/>
      <c r="O104" s="501"/>
      <c r="P104" s="501"/>
      <c r="Q104" s="501"/>
      <c r="R104" s="501"/>
      <c r="S104" s="501"/>
      <c r="T104" s="501"/>
      <c r="U104" s="501"/>
      <c r="V104" s="501"/>
      <c r="W104" s="500"/>
      <c r="AA104" s="68"/>
      <c r="AB104" s="68"/>
    </row>
    <row r="105" spans="1:28" ht="13.5" thickBot="1">
      <c r="A105" s="17" t="s">
        <v>23</v>
      </c>
      <c r="B105" s="471">
        <f t="shared" ref="B105:H105" si="21">B80+B88</f>
        <v>30</v>
      </c>
      <c r="C105" s="470">
        <f t="shared" si="21"/>
        <v>0</v>
      </c>
      <c r="D105" s="470">
        <f t="shared" si="21"/>
        <v>55</v>
      </c>
      <c r="E105" s="470">
        <f t="shared" si="21"/>
        <v>0</v>
      </c>
      <c r="F105" s="470">
        <f t="shared" si="21"/>
        <v>0</v>
      </c>
      <c r="G105" s="470">
        <f t="shared" si="21"/>
        <v>0</v>
      </c>
      <c r="H105" s="470">
        <f t="shared" si="21"/>
        <v>0</v>
      </c>
      <c r="I105" s="470">
        <f>I93</f>
        <v>2</v>
      </c>
      <c r="J105" s="470">
        <f>J80+J88</f>
        <v>0</v>
      </c>
      <c r="K105" s="470">
        <f>K80+K88+K93</f>
        <v>87</v>
      </c>
      <c r="L105" s="470">
        <f>L80+L88+L97+L93</f>
        <v>2642082</v>
      </c>
      <c r="M105" s="471">
        <f t="shared" ref="M105:S105" si="22">M80+M88</f>
        <v>30</v>
      </c>
      <c r="N105" s="470">
        <f t="shared" si="22"/>
        <v>0</v>
      </c>
      <c r="O105" s="470">
        <f t="shared" si="22"/>
        <v>56</v>
      </c>
      <c r="P105" s="470">
        <f t="shared" si="22"/>
        <v>0</v>
      </c>
      <c r="Q105" s="470">
        <f t="shared" si="22"/>
        <v>0</v>
      </c>
      <c r="R105" s="470">
        <f t="shared" si="22"/>
        <v>0</v>
      </c>
      <c r="S105" s="470">
        <f t="shared" si="22"/>
        <v>0</v>
      </c>
      <c r="T105" s="470">
        <f>T93</f>
        <v>2</v>
      </c>
      <c r="U105" s="470">
        <f>U80+U88</f>
        <v>0</v>
      </c>
      <c r="V105" s="470">
        <f>V80+V88+V93</f>
        <v>88</v>
      </c>
      <c r="W105" s="469">
        <f>W80+W88+W97+W93</f>
        <v>2368770</v>
      </c>
      <c r="X105" s="55"/>
      <c r="AA105" s="68"/>
      <c r="AB105" s="68"/>
    </row>
    <row r="106" spans="1:28">
      <c r="A106" s="1" t="s">
        <v>273</v>
      </c>
      <c r="B106" s="2"/>
      <c r="C106" s="2"/>
      <c r="D106" s="2"/>
      <c r="E106" s="2"/>
      <c r="F106" s="2"/>
      <c r="G106" s="2"/>
      <c r="H106" s="2"/>
      <c r="I106" s="2"/>
      <c r="J106" s="2"/>
      <c r="K106" s="2"/>
      <c r="L106" s="2"/>
      <c r="M106" s="2"/>
      <c r="N106" s="2"/>
      <c r="O106" s="2"/>
      <c r="P106" s="6"/>
      <c r="Q106" s="52"/>
      <c r="R106"/>
      <c r="S106"/>
      <c r="T106" s="68"/>
      <c r="U106" s="68"/>
      <c r="V106" s="68"/>
      <c r="W106" s="68"/>
      <c r="X106" s="68"/>
      <c r="Y106" s="68"/>
      <c r="Z106" s="68"/>
      <c r="AA106" s="68"/>
      <c r="AB106" s="68"/>
    </row>
    <row r="107" spans="1:28">
      <c r="A107" s="11" t="s">
        <v>267</v>
      </c>
      <c r="P107" s="68"/>
      <c r="Q107" s="52"/>
      <c r="R107"/>
      <c r="S107"/>
      <c r="T107"/>
      <c r="U107"/>
      <c r="V107" s="68"/>
      <c r="W107" s="68"/>
      <c r="X107" s="68"/>
      <c r="Y107" s="68"/>
      <c r="Z107" s="68"/>
      <c r="AA107" s="68"/>
      <c r="AB107" s="68"/>
    </row>
    <row r="108" spans="1:28">
      <c r="A108" s="11" t="s">
        <v>271</v>
      </c>
      <c r="L108" s="465"/>
      <c r="P108" s="68"/>
      <c r="Q108" s="52"/>
      <c r="R108"/>
      <c r="S108"/>
      <c r="T108"/>
      <c r="U108"/>
      <c r="V108" s="68"/>
      <c r="W108" s="521"/>
      <c r="X108" s="68"/>
      <c r="Y108" s="68"/>
      <c r="Z108" s="68"/>
      <c r="AA108" s="68"/>
      <c r="AB108" s="68"/>
    </row>
    <row r="109" spans="1:28">
      <c r="A109" s="11" t="s">
        <v>278</v>
      </c>
    </row>
    <row r="110" spans="1:28">
      <c r="L110" s="465"/>
      <c r="W110" s="496"/>
    </row>
    <row r="112" spans="1:28">
      <c r="L112" s="465"/>
    </row>
  </sheetData>
  <mergeCells count="8">
    <mergeCell ref="A79:W79"/>
    <mergeCell ref="B5:L5"/>
    <mergeCell ref="M5:W5"/>
    <mergeCell ref="A7:W7"/>
    <mergeCell ref="A8:W8"/>
    <mergeCell ref="A9:W9"/>
    <mergeCell ref="A77:W77"/>
    <mergeCell ref="A78:W78"/>
  </mergeCells>
  <printOptions horizontalCentered="1"/>
  <pageMargins left="0.19685039370078741" right="0.19685039370078741" top="0.78740157480314965" bottom="0.78740157480314965" header="0.19685039370078741" footer="0.19685039370078741"/>
  <pageSetup paperSize="9" scale="95"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rowBreaks count="1" manualBreakCount="1">
    <brk id="57" max="2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2060"/>
  </sheetPr>
  <dimension ref="A1:AB65"/>
  <sheetViews>
    <sheetView view="pageBreakPreview" zoomScaleNormal="100" zoomScaleSheetLayoutView="100" workbookViewId="0">
      <selection activeCell="B8" sqref="B8"/>
    </sheetView>
  </sheetViews>
  <sheetFormatPr baseColWidth="10" defaultColWidth="11.42578125" defaultRowHeight="12.75"/>
  <cols>
    <col min="1" max="1" width="29.28515625" style="11" customWidth="1"/>
    <col min="2" max="3" width="5.140625" style="11" bestFit="1" customWidth="1"/>
    <col min="4" max="4" width="7.28515625" style="11" bestFit="1" customWidth="1"/>
    <col min="5" max="8" width="5.140625" style="11" bestFit="1" customWidth="1"/>
    <col min="9" max="9" width="4.7109375" style="11" bestFit="1" customWidth="1"/>
    <col min="10" max="10" width="5.140625" style="11" bestFit="1" customWidth="1"/>
    <col min="11" max="11" width="4.140625" style="11" bestFit="1" customWidth="1"/>
    <col min="12" max="12" width="11" style="11" bestFit="1" customWidth="1"/>
    <col min="13" max="14" width="5.140625" style="11" bestFit="1" customWidth="1"/>
    <col min="15" max="15" width="7.28515625" style="11" bestFit="1" customWidth="1"/>
    <col min="16" max="19" width="5.140625" style="11" bestFit="1" customWidth="1"/>
    <col min="20" max="20" width="4.7109375" style="11" bestFit="1" customWidth="1"/>
    <col min="21" max="21" width="5.140625" style="11" bestFit="1" customWidth="1"/>
    <col min="22" max="22" width="4.140625" style="11" bestFit="1" customWidth="1"/>
    <col min="23" max="23" width="12" style="11" bestFit="1" customWidth="1"/>
    <col min="24" max="24" width="1.7109375" style="52" customWidth="1"/>
    <col min="25" max="28" width="10.7109375" customWidth="1"/>
    <col min="29" max="16384" width="11.42578125" style="68"/>
  </cols>
  <sheetData>
    <row r="1" spans="1:28" s="72" customFormat="1" ht="15.75">
      <c r="A1" s="186" t="s">
        <v>458</v>
      </c>
      <c r="B1" s="71"/>
      <c r="C1" s="71"/>
      <c r="D1" s="71"/>
      <c r="E1" s="71"/>
      <c r="F1" s="71"/>
      <c r="G1" s="71"/>
      <c r="H1" s="71"/>
      <c r="I1" s="71"/>
      <c r="J1" s="71"/>
      <c r="K1" s="71"/>
      <c r="L1" s="71"/>
      <c r="M1" s="71"/>
      <c r="N1" s="71"/>
      <c r="O1" s="71"/>
      <c r="P1" s="71"/>
      <c r="Q1" s="71"/>
      <c r="R1" s="71"/>
      <c r="S1" s="71"/>
      <c r="T1" s="71"/>
      <c r="U1" s="71"/>
      <c r="V1" s="71"/>
      <c r="W1" s="71"/>
      <c r="X1" s="73"/>
    </row>
    <row r="2" spans="1:28" s="72" customFormat="1" ht="15.75">
      <c r="A2" s="186" t="s">
        <v>1655</v>
      </c>
      <c r="B2" s="71"/>
      <c r="C2" s="71"/>
      <c r="D2" s="71"/>
      <c r="E2" s="71"/>
      <c r="F2" s="71"/>
      <c r="G2" s="71"/>
      <c r="H2" s="71"/>
      <c r="I2" s="71"/>
      <c r="J2" s="71"/>
      <c r="K2" s="71"/>
      <c r="L2" s="71"/>
      <c r="M2" s="71"/>
      <c r="N2" s="71"/>
      <c r="O2" s="71"/>
      <c r="P2" s="71"/>
      <c r="Q2" s="71"/>
      <c r="R2" s="71"/>
      <c r="S2" s="71"/>
      <c r="T2" s="71"/>
      <c r="U2" s="71"/>
      <c r="V2" s="71"/>
      <c r="W2" s="71"/>
      <c r="X2" s="73"/>
    </row>
    <row r="3" spans="1:28" s="56" customFormat="1" ht="15.75">
      <c r="A3" s="187" t="s">
        <v>1654</v>
      </c>
      <c r="X3" s="51"/>
    </row>
    <row r="4" spans="1:28" ht="13.5" thickBot="1">
      <c r="A4" s="187" t="s">
        <v>4664</v>
      </c>
      <c r="L4" s="12"/>
      <c r="W4" s="12"/>
    </row>
    <row r="5" spans="1:28" s="41" customFormat="1" ht="11.25">
      <c r="A5" s="120" t="s">
        <v>10</v>
      </c>
      <c r="B5" s="2001" t="s">
        <v>456</v>
      </c>
      <c r="C5" s="2002"/>
      <c r="D5" s="2002"/>
      <c r="E5" s="2002"/>
      <c r="F5" s="2002"/>
      <c r="G5" s="2002"/>
      <c r="H5" s="2002"/>
      <c r="I5" s="2002"/>
      <c r="J5" s="2002"/>
      <c r="K5" s="2002"/>
      <c r="L5" s="2003"/>
      <c r="M5" s="2001" t="s">
        <v>457</v>
      </c>
      <c r="N5" s="2002"/>
      <c r="O5" s="2002"/>
      <c r="P5" s="2002"/>
      <c r="Q5" s="2002"/>
      <c r="R5" s="2002"/>
      <c r="S5" s="2002"/>
      <c r="T5" s="2002"/>
      <c r="U5" s="2002"/>
      <c r="V5" s="2002"/>
      <c r="W5" s="2003"/>
      <c r="X5" s="53"/>
    </row>
    <row r="6" spans="1:28" s="42" customFormat="1" ht="98.25">
      <c r="A6" s="121" t="s">
        <v>9</v>
      </c>
      <c r="B6" s="122" t="s">
        <v>310</v>
      </c>
      <c r="C6" s="122" t="s">
        <v>118</v>
      </c>
      <c r="D6" s="123" t="s">
        <v>266</v>
      </c>
      <c r="E6" s="123" t="s">
        <v>259</v>
      </c>
      <c r="F6" s="123" t="s">
        <v>268</v>
      </c>
      <c r="G6" s="123" t="s">
        <v>269</v>
      </c>
      <c r="H6" s="123" t="s">
        <v>270</v>
      </c>
      <c r="I6" s="123" t="s">
        <v>277</v>
      </c>
      <c r="J6" s="124" t="s">
        <v>272</v>
      </c>
      <c r="K6" s="125" t="s">
        <v>274</v>
      </c>
      <c r="L6" s="126" t="s">
        <v>276</v>
      </c>
      <c r="M6" s="122" t="s">
        <v>310</v>
      </c>
      <c r="N6" s="122" t="s">
        <v>118</v>
      </c>
      <c r="O6" s="123" t="s">
        <v>266</v>
      </c>
      <c r="P6" s="123" t="s">
        <v>259</v>
      </c>
      <c r="Q6" s="123" t="s">
        <v>268</v>
      </c>
      <c r="R6" s="123" t="s">
        <v>269</v>
      </c>
      <c r="S6" s="123" t="s">
        <v>270</v>
      </c>
      <c r="T6" s="123" t="s">
        <v>277</v>
      </c>
      <c r="U6" s="124" t="s">
        <v>272</v>
      </c>
      <c r="V6" s="125" t="s">
        <v>274</v>
      </c>
      <c r="W6" s="126" t="s">
        <v>275</v>
      </c>
      <c r="X6" s="54"/>
    </row>
    <row r="7" spans="1:28" s="712" customFormat="1" ht="6">
      <c r="A7" s="2007"/>
      <c r="B7" s="2008"/>
      <c r="C7" s="2008"/>
      <c r="D7" s="2008"/>
      <c r="E7" s="2008"/>
      <c r="F7" s="2008"/>
      <c r="G7" s="2008"/>
      <c r="H7" s="2008"/>
      <c r="I7" s="2008"/>
      <c r="J7" s="2008"/>
      <c r="K7" s="2008"/>
      <c r="L7" s="2008"/>
      <c r="M7" s="2008"/>
      <c r="N7" s="2008"/>
      <c r="O7" s="2008"/>
      <c r="P7" s="2008"/>
      <c r="Q7" s="2008"/>
      <c r="R7" s="2008"/>
      <c r="S7" s="2008"/>
      <c r="T7" s="2008"/>
      <c r="U7" s="2008"/>
      <c r="V7" s="2008"/>
      <c r="W7" s="2009"/>
      <c r="X7" s="711"/>
    </row>
    <row r="8" spans="1:28" ht="15">
      <c r="A8" s="2004" t="s">
        <v>7176</v>
      </c>
      <c r="B8" s="2005"/>
      <c r="C8" s="2005"/>
      <c r="D8" s="2005"/>
      <c r="E8" s="2005"/>
      <c r="F8" s="2005"/>
      <c r="G8" s="2005"/>
      <c r="H8" s="2005"/>
      <c r="I8" s="2005"/>
      <c r="J8" s="2005"/>
      <c r="K8" s="2005"/>
      <c r="L8" s="2005"/>
      <c r="M8" s="2005"/>
      <c r="N8" s="2005"/>
      <c r="O8" s="2005"/>
      <c r="P8" s="2005"/>
      <c r="Q8" s="2005"/>
      <c r="R8" s="2005"/>
      <c r="S8" s="2005"/>
      <c r="T8" s="2005"/>
      <c r="U8" s="2005"/>
      <c r="V8" s="2005"/>
      <c r="W8" s="2006"/>
      <c r="Y8" s="68"/>
      <c r="Z8" s="68"/>
      <c r="AA8" s="68"/>
      <c r="AB8" s="68"/>
    </row>
    <row r="9" spans="1:28" s="710" customFormat="1" ht="8.25">
      <c r="A9" s="2010"/>
      <c r="B9" s="2011"/>
      <c r="C9" s="2011"/>
      <c r="D9" s="2011"/>
      <c r="E9" s="2011"/>
      <c r="F9" s="2011"/>
      <c r="G9" s="2011"/>
      <c r="H9" s="2011"/>
      <c r="I9" s="2011"/>
      <c r="J9" s="2011"/>
      <c r="K9" s="2011"/>
      <c r="L9" s="2011"/>
      <c r="M9" s="2011"/>
      <c r="N9" s="2011"/>
      <c r="O9" s="2011"/>
      <c r="P9" s="2011"/>
      <c r="Q9" s="2011"/>
      <c r="R9" s="2011"/>
      <c r="S9" s="2011"/>
      <c r="T9" s="2011"/>
      <c r="U9" s="2011"/>
      <c r="V9" s="2011"/>
      <c r="W9" s="2012"/>
      <c r="X9" s="709"/>
    </row>
    <row r="10" spans="1:28" hidden="1">
      <c r="A10" s="476" t="s">
        <v>48</v>
      </c>
      <c r="B10" s="482">
        <f t="shared" ref="B10:W10" si="0">B11+B20+B27+B34</f>
        <v>0</v>
      </c>
      <c r="C10" s="482">
        <f t="shared" si="0"/>
        <v>0</v>
      </c>
      <c r="D10" s="482">
        <f t="shared" si="0"/>
        <v>0</v>
      </c>
      <c r="E10" s="482">
        <f t="shared" si="0"/>
        <v>0</v>
      </c>
      <c r="F10" s="482">
        <f t="shared" si="0"/>
        <v>0</v>
      </c>
      <c r="G10" s="482">
        <f t="shared" si="0"/>
        <v>0</v>
      </c>
      <c r="H10" s="482">
        <f t="shared" si="0"/>
        <v>0</v>
      </c>
      <c r="I10" s="482">
        <f t="shared" si="0"/>
        <v>0</v>
      </c>
      <c r="J10" s="482">
        <f t="shared" si="0"/>
        <v>0</v>
      </c>
      <c r="K10" s="482">
        <f t="shared" si="0"/>
        <v>0</v>
      </c>
      <c r="L10" s="474">
        <f t="shared" si="0"/>
        <v>0</v>
      </c>
      <c r="M10" s="482">
        <f t="shared" si="0"/>
        <v>0</v>
      </c>
      <c r="N10" s="482">
        <f t="shared" si="0"/>
        <v>0</v>
      </c>
      <c r="O10" s="482">
        <f t="shared" si="0"/>
        <v>0</v>
      </c>
      <c r="P10" s="482">
        <f t="shared" si="0"/>
        <v>0</v>
      </c>
      <c r="Q10" s="482">
        <f t="shared" si="0"/>
        <v>0</v>
      </c>
      <c r="R10" s="482">
        <f t="shared" si="0"/>
        <v>0</v>
      </c>
      <c r="S10" s="482">
        <f t="shared" si="0"/>
        <v>0</v>
      </c>
      <c r="T10" s="482">
        <f t="shared" si="0"/>
        <v>0</v>
      </c>
      <c r="U10" s="482">
        <f t="shared" si="0"/>
        <v>0</v>
      </c>
      <c r="V10" s="482">
        <f t="shared" si="0"/>
        <v>0</v>
      </c>
      <c r="W10" s="474">
        <f t="shared" si="0"/>
        <v>0</v>
      </c>
      <c r="X10" s="55"/>
      <c r="AA10" s="68"/>
      <c r="AB10" s="68"/>
    </row>
    <row r="11" spans="1:28" hidden="1">
      <c r="A11" s="486" t="s">
        <v>7</v>
      </c>
      <c r="B11" s="484">
        <f t="shared" ref="B11:W11" si="1">SUM(B12:B19)</f>
        <v>0</v>
      </c>
      <c r="C11" s="484">
        <f t="shared" si="1"/>
        <v>0</v>
      </c>
      <c r="D11" s="484">
        <f t="shared" si="1"/>
        <v>0</v>
      </c>
      <c r="E11" s="484">
        <f t="shared" si="1"/>
        <v>0</v>
      </c>
      <c r="F11" s="484">
        <f t="shared" si="1"/>
        <v>0</v>
      </c>
      <c r="G11" s="484">
        <f t="shared" si="1"/>
        <v>0</v>
      </c>
      <c r="H11" s="484">
        <f t="shared" si="1"/>
        <v>0</v>
      </c>
      <c r="I11" s="484">
        <f t="shared" si="1"/>
        <v>0</v>
      </c>
      <c r="J11" s="484">
        <f t="shared" si="1"/>
        <v>0</v>
      </c>
      <c r="K11" s="484">
        <f t="shared" si="1"/>
        <v>0</v>
      </c>
      <c r="L11" s="485">
        <f t="shared" si="1"/>
        <v>0</v>
      </c>
      <c r="M11" s="484">
        <f t="shared" si="1"/>
        <v>0</v>
      </c>
      <c r="N11" s="484">
        <f t="shared" si="1"/>
        <v>0</v>
      </c>
      <c r="O11" s="484">
        <f t="shared" si="1"/>
        <v>0</v>
      </c>
      <c r="P11" s="484">
        <f t="shared" si="1"/>
        <v>0</v>
      </c>
      <c r="Q11" s="484">
        <f t="shared" si="1"/>
        <v>0</v>
      </c>
      <c r="R11" s="484">
        <f t="shared" si="1"/>
        <v>0</v>
      </c>
      <c r="S11" s="484">
        <f t="shared" si="1"/>
        <v>0</v>
      </c>
      <c r="T11" s="484">
        <f t="shared" si="1"/>
        <v>0</v>
      </c>
      <c r="U11" s="484">
        <f t="shared" si="1"/>
        <v>0</v>
      </c>
      <c r="V11" s="484">
        <f t="shared" si="1"/>
        <v>0</v>
      </c>
      <c r="W11" s="485">
        <f t="shared" si="1"/>
        <v>0</v>
      </c>
      <c r="AA11" s="68"/>
      <c r="AB11" s="68"/>
    </row>
    <row r="12" spans="1:28" hidden="1">
      <c r="A12" s="15" t="s">
        <v>3</v>
      </c>
      <c r="B12" s="13"/>
      <c r="C12" s="13"/>
      <c r="D12" s="13"/>
      <c r="E12" s="13"/>
      <c r="F12" s="13"/>
      <c r="G12" s="13"/>
      <c r="H12" s="13"/>
      <c r="I12" s="13"/>
      <c r="J12" s="13"/>
      <c r="K12" s="13"/>
      <c r="L12" s="16"/>
      <c r="M12" s="13"/>
      <c r="N12" s="13"/>
      <c r="O12" s="13"/>
      <c r="P12" s="13"/>
      <c r="Q12" s="13"/>
      <c r="R12" s="13"/>
      <c r="S12" s="13"/>
      <c r="T12" s="13"/>
      <c r="U12" s="13"/>
      <c r="V12" s="13"/>
      <c r="W12" s="16"/>
      <c r="AA12" s="68"/>
      <c r="AB12" s="68"/>
    </row>
    <row r="13" spans="1:28" hidden="1">
      <c r="A13" s="15" t="s">
        <v>7062</v>
      </c>
      <c r="B13" s="13"/>
      <c r="C13" s="13"/>
      <c r="D13" s="13"/>
      <c r="E13" s="13"/>
      <c r="F13" s="13"/>
      <c r="G13" s="13"/>
      <c r="H13" s="13"/>
      <c r="I13" s="13"/>
      <c r="J13" s="13"/>
      <c r="K13" s="13"/>
      <c r="L13" s="16"/>
      <c r="M13" s="13"/>
      <c r="N13" s="13"/>
      <c r="O13" s="13"/>
      <c r="P13" s="13"/>
      <c r="Q13" s="13"/>
      <c r="R13" s="13"/>
      <c r="S13" s="13"/>
      <c r="T13" s="13"/>
      <c r="U13" s="13"/>
      <c r="V13" s="13"/>
      <c r="W13" s="16"/>
      <c r="AA13" s="68"/>
      <c r="AB13" s="68"/>
    </row>
    <row r="14" spans="1:28" hidden="1">
      <c r="A14" s="15" t="s">
        <v>7061</v>
      </c>
      <c r="B14" s="13"/>
      <c r="C14" s="13"/>
      <c r="D14" s="13"/>
      <c r="E14" s="13"/>
      <c r="F14" s="13"/>
      <c r="G14" s="13"/>
      <c r="H14" s="13"/>
      <c r="I14" s="13"/>
      <c r="J14" s="13"/>
      <c r="K14" s="13"/>
      <c r="L14" s="16"/>
      <c r="M14" s="13"/>
      <c r="N14" s="13"/>
      <c r="O14" s="13"/>
      <c r="P14" s="13"/>
      <c r="Q14" s="13"/>
      <c r="R14" s="13"/>
      <c r="S14" s="13"/>
      <c r="T14" s="13"/>
      <c r="U14" s="13"/>
      <c r="V14" s="13"/>
      <c r="W14" s="16"/>
      <c r="AA14" s="68"/>
      <c r="AB14" s="68"/>
    </row>
    <row r="15" spans="1:28" hidden="1">
      <c r="A15" s="15" t="s">
        <v>7060</v>
      </c>
      <c r="B15" s="13"/>
      <c r="C15" s="13"/>
      <c r="D15" s="13"/>
      <c r="E15" s="13"/>
      <c r="F15" s="13"/>
      <c r="G15" s="13"/>
      <c r="H15" s="13"/>
      <c r="I15" s="13"/>
      <c r="J15" s="13"/>
      <c r="K15" s="13">
        <f>SUM(B15:J15)</f>
        <v>0</v>
      </c>
      <c r="L15" s="472"/>
      <c r="M15" s="13"/>
      <c r="N15" s="13"/>
      <c r="O15" s="13"/>
      <c r="P15" s="13"/>
      <c r="Q15" s="13"/>
      <c r="R15" s="13"/>
      <c r="S15" s="13"/>
      <c r="T15" s="13"/>
      <c r="U15" s="13"/>
      <c r="V15" s="13">
        <f>SUM(M15:U15)</f>
        <v>0</v>
      </c>
      <c r="W15" s="472"/>
      <c r="AA15" s="68"/>
      <c r="AB15" s="68"/>
    </row>
    <row r="16" spans="1:28" hidden="1">
      <c r="A16" s="15" t="s">
        <v>7059</v>
      </c>
      <c r="B16" s="13"/>
      <c r="C16" s="13"/>
      <c r="D16" s="13"/>
      <c r="E16" s="13"/>
      <c r="F16" s="13"/>
      <c r="G16" s="13"/>
      <c r="H16" s="13"/>
      <c r="I16" s="13"/>
      <c r="J16" s="13"/>
      <c r="K16" s="13">
        <f>SUM(B16:J16)</f>
        <v>0</v>
      </c>
      <c r="L16" s="472"/>
      <c r="M16" s="13"/>
      <c r="N16" s="13"/>
      <c r="O16" s="13"/>
      <c r="P16" s="13"/>
      <c r="Q16" s="13"/>
      <c r="R16" s="13"/>
      <c r="S16" s="13"/>
      <c r="T16" s="13"/>
      <c r="U16" s="13"/>
      <c r="V16" s="13">
        <f>SUM(M16:U16)</f>
        <v>0</v>
      </c>
      <c r="W16" s="472"/>
      <c r="AA16" s="68"/>
      <c r="AB16" s="68"/>
    </row>
    <row r="17" spans="1:28" hidden="1">
      <c r="A17" s="15" t="s">
        <v>7058</v>
      </c>
      <c r="B17" s="13"/>
      <c r="C17" s="13"/>
      <c r="D17" s="13"/>
      <c r="E17" s="13"/>
      <c r="F17" s="13"/>
      <c r="G17" s="13"/>
      <c r="H17" s="13"/>
      <c r="I17" s="13"/>
      <c r="J17" s="13"/>
      <c r="K17" s="13">
        <f>SUM(B17:J17)</f>
        <v>0</v>
      </c>
      <c r="L17" s="472"/>
      <c r="M17" s="13"/>
      <c r="N17" s="13"/>
      <c r="O17" s="13"/>
      <c r="P17" s="13"/>
      <c r="Q17" s="13"/>
      <c r="R17" s="13"/>
      <c r="S17" s="13"/>
      <c r="T17" s="13"/>
      <c r="U17" s="13"/>
      <c r="V17" s="13">
        <f>SUM(M17:U17)</f>
        <v>0</v>
      </c>
      <c r="W17" s="472"/>
      <c r="AA17" s="68"/>
      <c r="AB17" s="68"/>
    </row>
    <row r="18" spans="1:28" hidden="1">
      <c r="A18" s="15" t="s">
        <v>7057</v>
      </c>
      <c r="B18" s="13"/>
      <c r="C18" s="13"/>
      <c r="D18" s="13"/>
      <c r="E18" s="13"/>
      <c r="F18" s="13"/>
      <c r="G18" s="13"/>
      <c r="H18" s="13"/>
      <c r="I18" s="13"/>
      <c r="J18" s="13"/>
      <c r="K18" s="13">
        <f>SUM(B18:J18)</f>
        <v>0</v>
      </c>
      <c r="L18" s="472"/>
      <c r="M18" s="13"/>
      <c r="N18" s="13"/>
      <c r="O18" s="13"/>
      <c r="P18" s="13"/>
      <c r="Q18" s="13"/>
      <c r="R18" s="13"/>
      <c r="S18" s="13"/>
      <c r="T18" s="13"/>
      <c r="U18" s="13"/>
      <c r="V18" s="13">
        <f>SUM(M18:U18)</f>
        <v>0</v>
      </c>
      <c r="W18" s="472"/>
      <c r="X18" s="55"/>
      <c r="AA18" s="68"/>
      <c r="AB18" s="68"/>
    </row>
    <row r="19" spans="1:28" hidden="1">
      <c r="A19" s="15" t="s">
        <v>12</v>
      </c>
      <c r="B19" s="13"/>
      <c r="C19" s="13"/>
      <c r="D19" s="13"/>
      <c r="E19" s="13"/>
      <c r="F19" s="13"/>
      <c r="G19" s="13"/>
      <c r="H19" s="13"/>
      <c r="I19" s="13"/>
      <c r="J19" s="13"/>
      <c r="K19" s="13">
        <f>SUM(B19:J19)</f>
        <v>0</v>
      </c>
      <c r="L19" s="472"/>
      <c r="M19" s="13"/>
      <c r="N19" s="13"/>
      <c r="O19" s="13"/>
      <c r="P19" s="13"/>
      <c r="Q19" s="13"/>
      <c r="R19" s="13"/>
      <c r="S19" s="13"/>
      <c r="T19" s="13"/>
      <c r="U19" s="13"/>
      <c r="V19" s="13">
        <f>SUM(M19:U19)</f>
        <v>0</v>
      </c>
      <c r="W19" s="472"/>
      <c r="AA19" s="68"/>
      <c r="AB19" s="68"/>
    </row>
    <row r="20" spans="1:28" hidden="1">
      <c r="A20" s="486" t="s">
        <v>4</v>
      </c>
      <c r="B20" s="484">
        <f t="shared" ref="B20:W20" si="2">SUM(B21:B26)</f>
        <v>0</v>
      </c>
      <c r="C20" s="484">
        <f t="shared" si="2"/>
        <v>0</v>
      </c>
      <c r="D20" s="484">
        <f t="shared" si="2"/>
        <v>0</v>
      </c>
      <c r="E20" s="484">
        <f t="shared" si="2"/>
        <v>0</v>
      </c>
      <c r="F20" s="484">
        <f t="shared" si="2"/>
        <v>0</v>
      </c>
      <c r="G20" s="484">
        <f t="shared" si="2"/>
        <v>0</v>
      </c>
      <c r="H20" s="484">
        <f t="shared" si="2"/>
        <v>0</v>
      </c>
      <c r="I20" s="484">
        <f t="shared" si="2"/>
        <v>0</v>
      </c>
      <c r="J20" s="484">
        <f t="shared" si="2"/>
        <v>0</v>
      </c>
      <c r="K20" s="484">
        <f t="shared" si="2"/>
        <v>0</v>
      </c>
      <c r="L20" s="485">
        <f t="shared" si="2"/>
        <v>0</v>
      </c>
      <c r="M20" s="484">
        <f t="shared" si="2"/>
        <v>0</v>
      </c>
      <c r="N20" s="484">
        <f t="shared" si="2"/>
        <v>0</v>
      </c>
      <c r="O20" s="484">
        <f t="shared" si="2"/>
        <v>0</v>
      </c>
      <c r="P20" s="484">
        <f t="shared" si="2"/>
        <v>0</v>
      </c>
      <c r="Q20" s="484">
        <f t="shared" si="2"/>
        <v>0</v>
      </c>
      <c r="R20" s="484">
        <f t="shared" si="2"/>
        <v>0</v>
      </c>
      <c r="S20" s="484">
        <f t="shared" si="2"/>
        <v>0</v>
      </c>
      <c r="T20" s="484">
        <f t="shared" si="2"/>
        <v>0</v>
      </c>
      <c r="U20" s="484">
        <f t="shared" si="2"/>
        <v>0</v>
      </c>
      <c r="V20" s="484">
        <f t="shared" si="2"/>
        <v>0</v>
      </c>
      <c r="W20" s="485">
        <f t="shared" si="2"/>
        <v>0</v>
      </c>
      <c r="AA20" s="68"/>
      <c r="AB20" s="68"/>
    </row>
    <row r="21" spans="1:28" hidden="1">
      <c r="A21" s="15" t="s">
        <v>13</v>
      </c>
      <c r="B21" s="13"/>
      <c r="C21" s="13"/>
      <c r="D21" s="13"/>
      <c r="E21" s="13"/>
      <c r="F21" s="13"/>
      <c r="G21" s="13"/>
      <c r="H21" s="13"/>
      <c r="I21" s="13"/>
      <c r="J21" s="13"/>
      <c r="K21" s="13">
        <f t="shared" ref="K21:K26" si="3">SUM(B21:J21)</f>
        <v>0</v>
      </c>
      <c r="L21" s="472"/>
      <c r="M21" s="13"/>
      <c r="N21" s="13"/>
      <c r="O21" s="13"/>
      <c r="P21" s="13"/>
      <c r="Q21" s="13"/>
      <c r="R21" s="13"/>
      <c r="S21" s="13"/>
      <c r="T21" s="13"/>
      <c r="U21" s="13"/>
      <c r="V21" s="13">
        <f t="shared" ref="V21:V26" si="4">SUM(M21:U21)</f>
        <v>0</v>
      </c>
      <c r="W21" s="472"/>
      <c r="AA21" s="68"/>
      <c r="AB21" s="68"/>
    </row>
    <row r="22" spans="1:28" hidden="1">
      <c r="A22" s="15" t="s">
        <v>6978</v>
      </c>
      <c r="B22" s="13"/>
      <c r="C22" s="13"/>
      <c r="D22" s="13"/>
      <c r="E22" s="13"/>
      <c r="F22" s="13"/>
      <c r="G22" s="13"/>
      <c r="H22" s="13"/>
      <c r="I22" s="13"/>
      <c r="J22" s="13"/>
      <c r="K22" s="13">
        <f t="shared" si="3"/>
        <v>0</v>
      </c>
      <c r="L22" s="472"/>
      <c r="M22" s="13"/>
      <c r="N22" s="13"/>
      <c r="O22" s="13"/>
      <c r="P22" s="13"/>
      <c r="Q22" s="13"/>
      <c r="R22" s="13"/>
      <c r="S22" s="13"/>
      <c r="T22" s="13"/>
      <c r="U22" s="13"/>
      <c r="V22" s="13">
        <f t="shared" si="4"/>
        <v>0</v>
      </c>
      <c r="W22" s="472"/>
      <c r="AA22" s="68"/>
      <c r="AB22" s="68"/>
    </row>
    <row r="23" spans="1:28" hidden="1">
      <c r="A23" s="15" t="s">
        <v>6977</v>
      </c>
      <c r="B23" s="13"/>
      <c r="C23" s="13"/>
      <c r="D23" s="13"/>
      <c r="E23" s="13"/>
      <c r="F23" s="13"/>
      <c r="G23" s="13"/>
      <c r="H23" s="13"/>
      <c r="I23" s="13"/>
      <c r="J23" s="13"/>
      <c r="K23" s="13">
        <f t="shared" si="3"/>
        <v>0</v>
      </c>
      <c r="L23" s="472"/>
      <c r="M23" s="13"/>
      <c r="N23" s="13"/>
      <c r="O23" s="13"/>
      <c r="P23" s="13"/>
      <c r="Q23" s="13"/>
      <c r="R23" s="13"/>
      <c r="S23" s="13"/>
      <c r="T23" s="13"/>
      <c r="U23" s="13"/>
      <c r="V23" s="13">
        <f t="shared" si="4"/>
        <v>0</v>
      </c>
      <c r="W23" s="472"/>
      <c r="X23" s="55"/>
      <c r="AA23" s="68"/>
      <c r="AB23" s="68"/>
    </row>
    <row r="24" spans="1:28" hidden="1">
      <c r="A24" s="15" t="s">
        <v>6976</v>
      </c>
      <c r="B24" s="13"/>
      <c r="C24" s="13"/>
      <c r="D24" s="13"/>
      <c r="E24" s="13"/>
      <c r="F24" s="13"/>
      <c r="G24" s="13"/>
      <c r="H24" s="13"/>
      <c r="I24" s="13"/>
      <c r="J24" s="13"/>
      <c r="K24" s="13">
        <f t="shared" si="3"/>
        <v>0</v>
      </c>
      <c r="L24" s="472"/>
      <c r="M24" s="13"/>
      <c r="N24" s="13"/>
      <c r="O24" s="13"/>
      <c r="P24" s="13"/>
      <c r="Q24" s="13"/>
      <c r="R24" s="13"/>
      <c r="S24" s="13"/>
      <c r="T24" s="13"/>
      <c r="U24" s="13"/>
      <c r="V24" s="13">
        <f t="shared" si="4"/>
        <v>0</v>
      </c>
      <c r="W24" s="472"/>
      <c r="AA24" s="68"/>
      <c r="AB24" s="68"/>
    </row>
    <row r="25" spans="1:28" hidden="1">
      <c r="A25" s="15" t="s">
        <v>14</v>
      </c>
      <c r="B25" s="13"/>
      <c r="C25" s="13"/>
      <c r="D25" s="13"/>
      <c r="E25" s="13"/>
      <c r="F25" s="13"/>
      <c r="G25" s="13"/>
      <c r="H25" s="13"/>
      <c r="I25" s="13"/>
      <c r="J25" s="13"/>
      <c r="K25" s="13">
        <f t="shared" si="3"/>
        <v>0</v>
      </c>
      <c r="L25" s="472"/>
      <c r="M25" s="13"/>
      <c r="N25" s="13"/>
      <c r="O25" s="13"/>
      <c r="P25" s="13"/>
      <c r="Q25" s="13"/>
      <c r="R25" s="13"/>
      <c r="S25" s="13"/>
      <c r="T25" s="13"/>
      <c r="U25" s="13"/>
      <c r="V25" s="13">
        <f t="shared" si="4"/>
        <v>0</v>
      </c>
      <c r="W25" s="472"/>
      <c r="AA25" s="68"/>
      <c r="AB25" s="68"/>
    </row>
    <row r="26" spans="1:28" hidden="1">
      <c r="A26" s="15" t="s">
        <v>6975</v>
      </c>
      <c r="B26" s="13"/>
      <c r="C26" s="13"/>
      <c r="D26" s="13"/>
      <c r="E26" s="13"/>
      <c r="F26" s="13"/>
      <c r="G26" s="13"/>
      <c r="H26" s="13"/>
      <c r="I26" s="13"/>
      <c r="J26" s="13"/>
      <c r="K26" s="13">
        <f t="shared" si="3"/>
        <v>0</v>
      </c>
      <c r="L26" s="472"/>
      <c r="M26" s="13"/>
      <c r="N26" s="13"/>
      <c r="O26" s="13"/>
      <c r="P26" s="13"/>
      <c r="Q26" s="13"/>
      <c r="R26" s="13"/>
      <c r="S26" s="13"/>
      <c r="T26" s="13"/>
      <c r="U26" s="13"/>
      <c r="V26" s="13">
        <f t="shared" si="4"/>
        <v>0</v>
      </c>
      <c r="W26" s="472"/>
      <c r="AA26" s="68"/>
      <c r="AB26" s="68"/>
    </row>
    <row r="27" spans="1:28" hidden="1">
      <c r="A27" s="486" t="s">
        <v>5</v>
      </c>
      <c r="B27" s="484">
        <f t="shared" ref="B27:W27" si="5">SUM(B28:B33)</f>
        <v>0</v>
      </c>
      <c r="C27" s="484">
        <f t="shared" si="5"/>
        <v>0</v>
      </c>
      <c r="D27" s="484">
        <f t="shared" si="5"/>
        <v>0</v>
      </c>
      <c r="E27" s="484">
        <f t="shared" si="5"/>
        <v>0</v>
      </c>
      <c r="F27" s="484">
        <f t="shared" si="5"/>
        <v>0</v>
      </c>
      <c r="G27" s="484">
        <f t="shared" si="5"/>
        <v>0</v>
      </c>
      <c r="H27" s="484">
        <f t="shared" si="5"/>
        <v>0</v>
      </c>
      <c r="I27" s="484">
        <f t="shared" si="5"/>
        <v>0</v>
      </c>
      <c r="J27" s="484">
        <f t="shared" si="5"/>
        <v>0</v>
      </c>
      <c r="K27" s="484">
        <f t="shared" si="5"/>
        <v>0</v>
      </c>
      <c r="L27" s="485">
        <f t="shared" si="5"/>
        <v>0</v>
      </c>
      <c r="M27" s="484">
        <f t="shared" si="5"/>
        <v>0</v>
      </c>
      <c r="N27" s="484">
        <f t="shared" si="5"/>
        <v>0</v>
      </c>
      <c r="O27" s="484">
        <f t="shared" si="5"/>
        <v>0</v>
      </c>
      <c r="P27" s="484">
        <f t="shared" si="5"/>
        <v>0</v>
      </c>
      <c r="Q27" s="484">
        <f t="shared" si="5"/>
        <v>0</v>
      </c>
      <c r="R27" s="484">
        <f t="shared" si="5"/>
        <v>0</v>
      </c>
      <c r="S27" s="484">
        <f t="shared" si="5"/>
        <v>0</v>
      </c>
      <c r="T27" s="484">
        <f t="shared" si="5"/>
        <v>0</v>
      </c>
      <c r="U27" s="484">
        <f t="shared" si="5"/>
        <v>0</v>
      </c>
      <c r="V27" s="484">
        <f t="shared" si="5"/>
        <v>0</v>
      </c>
      <c r="W27" s="485">
        <f t="shared" si="5"/>
        <v>0</v>
      </c>
      <c r="AA27" s="68"/>
      <c r="AB27" s="68"/>
    </row>
    <row r="28" spans="1:28" hidden="1">
      <c r="A28" s="15" t="s">
        <v>15</v>
      </c>
      <c r="B28" s="13"/>
      <c r="C28" s="13"/>
      <c r="D28" s="13"/>
      <c r="E28" s="13"/>
      <c r="F28" s="13"/>
      <c r="G28" s="13"/>
      <c r="H28" s="13"/>
      <c r="I28" s="13"/>
      <c r="J28" s="13"/>
      <c r="K28" s="13">
        <f t="shared" ref="K28:K33" si="6">SUM(B28:J28)</f>
        <v>0</v>
      </c>
      <c r="L28" s="472"/>
      <c r="M28" s="13"/>
      <c r="N28" s="13"/>
      <c r="O28" s="13"/>
      <c r="P28" s="13"/>
      <c r="Q28" s="13"/>
      <c r="R28" s="13"/>
      <c r="S28" s="13"/>
      <c r="T28" s="13"/>
      <c r="U28" s="13"/>
      <c r="V28" s="13">
        <f t="shared" ref="V28:V33" si="7">SUM(M28:U28)</f>
        <v>0</v>
      </c>
      <c r="W28" s="472"/>
      <c r="X28" s="55"/>
      <c r="AA28" s="68"/>
      <c r="AB28" s="68"/>
    </row>
    <row r="29" spans="1:28" hidden="1">
      <c r="A29" s="15" t="s">
        <v>7056</v>
      </c>
      <c r="B29" s="13"/>
      <c r="C29" s="13"/>
      <c r="D29" s="13"/>
      <c r="E29" s="13"/>
      <c r="F29" s="13"/>
      <c r="G29" s="13"/>
      <c r="H29" s="13"/>
      <c r="I29" s="13"/>
      <c r="J29" s="13"/>
      <c r="K29" s="13">
        <f t="shared" si="6"/>
        <v>0</v>
      </c>
      <c r="L29" s="472"/>
      <c r="M29" s="13"/>
      <c r="N29" s="13"/>
      <c r="O29" s="13"/>
      <c r="P29" s="13"/>
      <c r="Q29" s="13"/>
      <c r="R29" s="13"/>
      <c r="S29" s="13"/>
      <c r="T29" s="13"/>
      <c r="U29" s="13"/>
      <c r="V29" s="13">
        <f t="shared" si="7"/>
        <v>0</v>
      </c>
      <c r="W29" s="472"/>
      <c r="AA29" s="68"/>
      <c r="AB29" s="68"/>
    </row>
    <row r="30" spans="1:28" hidden="1">
      <c r="A30" s="15" t="s">
        <v>6972</v>
      </c>
      <c r="B30" s="13"/>
      <c r="C30" s="13"/>
      <c r="D30" s="13"/>
      <c r="E30" s="13"/>
      <c r="F30" s="13"/>
      <c r="G30" s="13"/>
      <c r="H30" s="13"/>
      <c r="I30" s="13"/>
      <c r="J30" s="13"/>
      <c r="K30" s="13">
        <f t="shared" si="6"/>
        <v>0</v>
      </c>
      <c r="L30" s="472"/>
      <c r="M30" s="13"/>
      <c r="N30" s="13"/>
      <c r="O30" s="13"/>
      <c r="P30" s="13"/>
      <c r="Q30" s="13"/>
      <c r="R30" s="13"/>
      <c r="S30" s="13"/>
      <c r="T30" s="13"/>
      <c r="U30" s="13"/>
      <c r="V30" s="13">
        <f t="shared" si="7"/>
        <v>0</v>
      </c>
      <c r="W30" s="472"/>
      <c r="AA30" s="68"/>
      <c r="AB30" s="68"/>
    </row>
    <row r="31" spans="1:28" hidden="1">
      <c r="A31" s="15" t="s">
        <v>6971</v>
      </c>
      <c r="B31" s="13"/>
      <c r="C31" s="13"/>
      <c r="D31" s="13"/>
      <c r="E31" s="13"/>
      <c r="F31" s="13"/>
      <c r="G31" s="13"/>
      <c r="H31" s="13"/>
      <c r="I31" s="13"/>
      <c r="J31" s="13"/>
      <c r="K31" s="13">
        <f t="shared" si="6"/>
        <v>0</v>
      </c>
      <c r="L31" s="472"/>
      <c r="M31" s="13"/>
      <c r="N31" s="13"/>
      <c r="O31" s="13"/>
      <c r="P31" s="13"/>
      <c r="Q31" s="13"/>
      <c r="R31" s="13"/>
      <c r="S31" s="13"/>
      <c r="T31" s="13"/>
      <c r="U31" s="13"/>
      <c r="V31" s="13">
        <f t="shared" si="7"/>
        <v>0</v>
      </c>
      <c r="W31" s="472"/>
      <c r="AA31" s="68"/>
      <c r="AB31" s="68"/>
    </row>
    <row r="32" spans="1:28" hidden="1">
      <c r="A32" s="15" t="s">
        <v>16</v>
      </c>
      <c r="B32" s="13"/>
      <c r="C32" s="13"/>
      <c r="D32" s="13"/>
      <c r="E32" s="13"/>
      <c r="F32" s="13"/>
      <c r="G32" s="13"/>
      <c r="H32" s="13"/>
      <c r="I32" s="13"/>
      <c r="J32" s="13"/>
      <c r="K32" s="13">
        <f t="shared" si="6"/>
        <v>0</v>
      </c>
      <c r="L32" s="472"/>
      <c r="M32" s="13"/>
      <c r="N32" s="13"/>
      <c r="O32" s="13"/>
      <c r="P32" s="13"/>
      <c r="Q32" s="13"/>
      <c r="R32" s="13"/>
      <c r="S32" s="13"/>
      <c r="T32" s="13"/>
      <c r="U32" s="13"/>
      <c r="V32" s="13">
        <f t="shared" si="7"/>
        <v>0</v>
      </c>
      <c r="W32" s="472"/>
      <c r="AA32" s="68"/>
      <c r="AB32" s="68"/>
    </row>
    <row r="33" spans="1:28" hidden="1">
      <c r="A33" s="15" t="s">
        <v>6970</v>
      </c>
      <c r="B33" s="13"/>
      <c r="C33" s="13"/>
      <c r="D33" s="13"/>
      <c r="E33" s="13"/>
      <c r="F33" s="13"/>
      <c r="G33" s="13"/>
      <c r="H33" s="13"/>
      <c r="I33" s="13"/>
      <c r="J33" s="13"/>
      <c r="K33" s="13">
        <f t="shared" si="6"/>
        <v>0</v>
      </c>
      <c r="L33" s="472"/>
      <c r="M33" s="13"/>
      <c r="N33" s="13"/>
      <c r="O33" s="13"/>
      <c r="P33" s="13"/>
      <c r="Q33" s="13"/>
      <c r="R33" s="13"/>
      <c r="S33" s="13"/>
      <c r="T33" s="13"/>
      <c r="U33" s="13"/>
      <c r="V33" s="13">
        <f t="shared" si="7"/>
        <v>0</v>
      </c>
      <c r="W33" s="472"/>
      <c r="AA33" s="68"/>
      <c r="AB33" s="68"/>
    </row>
    <row r="34" spans="1:28" hidden="1">
      <c r="A34" s="486" t="s">
        <v>6</v>
      </c>
      <c r="B34" s="484">
        <f t="shared" ref="B34:W34" si="8">SUM(B35:B40)</f>
        <v>0</v>
      </c>
      <c r="C34" s="484">
        <f t="shared" si="8"/>
        <v>0</v>
      </c>
      <c r="D34" s="484">
        <f t="shared" si="8"/>
        <v>0</v>
      </c>
      <c r="E34" s="484">
        <f t="shared" si="8"/>
        <v>0</v>
      </c>
      <c r="F34" s="484">
        <f t="shared" si="8"/>
        <v>0</v>
      </c>
      <c r="G34" s="484">
        <f t="shared" si="8"/>
        <v>0</v>
      </c>
      <c r="H34" s="484">
        <f t="shared" si="8"/>
        <v>0</v>
      </c>
      <c r="I34" s="484">
        <f t="shared" si="8"/>
        <v>0</v>
      </c>
      <c r="J34" s="484">
        <f t="shared" si="8"/>
        <v>0</v>
      </c>
      <c r="K34" s="484">
        <f t="shared" si="8"/>
        <v>0</v>
      </c>
      <c r="L34" s="485">
        <f t="shared" si="8"/>
        <v>0</v>
      </c>
      <c r="M34" s="484">
        <f t="shared" si="8"/>
        <v>0</v>
      </c>
      <c r="N34" s="484">
        <f t="shared" si="8"/>
        <v>0</v>
      </c>
      <c r="O34" s="484">
        <f t="shared" si="8"/>
        <v>0</v>
      </c>
      <c r="P34" s="484">
        <f t="shared" si="8"/>
        <v>0</v>
      </c>
      <c r="Q34" s="484">
        <f t="shared" si="8"/>
        <v>0</v>
      </c>
      <c r="R34" s="484">
        <f t="shared" si="8"/>
        <v>0</v>
      </c>
      <c r="S34" s="484">
        <f t="shared" si="8"/>
        <v>0</v>
      </c>
      <c r="T34" s="484">
        <f t="shared" si="8"/>
        <v>0</v>
      </c>
      <c r="U34" s="484">
        <f t="shared" si="8"/>
        <v>0</v>
      </c>
      <c r="V34" s="484">
        <f t="shared" si="8"/>
        <v>0</v>
      </c>
      <c r="W34" s="485">
        <f t="shared" si="8"/>
        <v>0</v>
      </c>
      <c r="AA34" s="68"/>
      <c r="AB34" s="68"/>
    </row>
    <row r="35" spans="1:28" hidden="1">
      <c r="A35" s="15" t="s">
        <v>17</v>
      </c>
      <c r="B35" s="13"/>
      <c r="C35" s="13"/>
      <c r="D35" s="13"/>
      <c r="E35" s="13"/>
      <c r="F35" s="13"/>
      <c r="G35" s="13"/>
      <c r="H35" s="13"/>
      <c r="I35" s="13"/>
      <c r="J35" s="13"/>
      <c r="K35" s="13">
        <f t="shared" ref="K35:K40" si="9">SUM(B35:J35)</f>
        <v>0</v>
      </c>
      <c r="L35" s="472"/>
      <c r="M35" s="13"/>
      <c r="N35" s="13"/>
      <c r="O35" s="13"/>
      <c r="P35" s="13"/>
      <c r="Q35" s="13"/>
      <c r="R35" s="13"/>
      <c r="S35" s="13"/>
      <c r="T35" s="13"/>
      <c r="U35" s="13"/>
      <c r="V35" s="13">
        <f t="shared" ref="V35:V40" si="10">SUM(M35:U35)</f>
        <v>0</v>
      </c>
      <c r="W35" s="472"/>
      <c r="AA35" s="68"/>
      <c r="AB35" s="68"/>
    </row>
    <row r="36" spans="1:28" hidden="1">
      <c r="A36" s="15" t="s">
        <v>6969</v>
      </c>
      <c r="B36" s="13"/>
      <c r="C36" s="13"/>
      <c r="D36" s="13"/>
      <c r="E36" s="13"/>
      <c r="F36" s="13"/>
      <c r="G36" s="13"/>
      <c r="H36" s="13"/>
      <c r="I36" s="13"/>
      <c r="J36" s="13"/>
      <c r="K36" s="13">
        <f t="shared" si="9"/>
        <v>0</v>
      </c>
      <c r="L36" s="472"/>
      <c r="M36" s="13"/>
      <c r="N36" s="13"/>
      <c r="O36" s="13"/>
      <c r="P36" s="13"/>
      <c r="Q36" s="13"/>
      <c r="R36" s="13"/>
      <c r="S36" s="13"/>
      <c r="T36" s="13"/>
      <c r="U36" s="13"/>
      <c r="V36" s="13">
        <f t="shared" si="10"/>
        <v>0</v>
      </c>
      <c r="W36" s="472"/>
      <c r="AA36" s="68"/>
      <c r="AB36" s="68"/>
    </row>
    <row r="37" spans="1:28" hidden="1">
      <c r="A37" s="15" t="s">
        <v>6968</v>
      </c>
      <c r="B37" s="13"/>
      <c r="C37" s="13"/>
      <c r="D37" s="13"/>
      <c r="E37" s="13"/>
      <c r="F37" s="13"/>
      <c r="G37" s="13"/>
      <c r="H37" s="13"/>
      <c r="I37" s="13"/>
      <c r="J37" s="13"/>
      <c r="K37" s="13">
        <f t="shared" si="9"/>
        <v>0</v>
      </c>
      <c r="L37" s="472"/>
      <c r="M37" s="13"/>
      <c r="N37" s="13"/>
      <c r="O37" s="13"/>
      <c r="P37" s="13"/>
      <c r="Q37" s="13"/>
      <c r="R37" s="13"/>
      <c r="S37" s="13"/>
      <c r="T37" s="13"/>
      <c r="U37" s="13"/>
      <c r="V37" s="13">
        <f t="shared" si="10"/>
        <v>0</v>
      </c>
      <c r="W37" s="472"/>
      <c r="AA37" s="68"/>
      <c r="AB37" s="68"/>
    </row>
    <row r="38" spans="1:28" hidden="1">
      <c r="A38" s="15" t="s">
        <v>6967</v>
      </c>
      <c r="B38" s="13"/>
      <c r="C38" s="13"/>
      <c r="D38" s="13"/>
      <c r="E38" s="13"/>
      <c r="F38" s="13"/>
      <c r="G38" s="13"/>
      <c r="H38" s="13"/>
      <c r="I38" s="13"/>
      <c r="J38" s="13"/>
      <c r="K38" s="13">
        <f t="shared" si="9"/>
        <v>0</v>
      </c>
      <c r="L38" s="472"/>
      <c r="M38" s="13"/>
      <c r="N38" s="13"/>
      <c r="O38" s="13"/>
      <c r="P38" s="13"/>
      <c r="Q38" s="13"/>
      <c r="R38" s="13"/>
      <c r="S38" s="13"/>
      <c r="T38" s="13"/>
      <c r="U38" s="13"/>
      <c r="V38" s="13">
        <f t="shared" si="10"/>
        <v>0</v>
      </c>
      <c r="W38" s="472"/>
      <c r="AA38" s="68"/>
      <c r="AB38" s="68"/>
    </row>
    <row r="39" spans="1:28" hidden="1">
      <c r="A39" s="15" t="s">
        <v>18</v>
      </c>
      <c r="B39" s="13"/>
      <c r="C39" s="13"/>
      <c r="D39" s="13"/>
      <c r="E39" s="13"/>
      <c r="F39" s="13"/>
      <c r="G39" s="13"/>
      <c r="H39" s="13"/>
      <c r="I39" s="13"/>
      <c r="J39" s="13"/>
      <c r="K39" s="13">
        <f t="shared" si="9"/>
        <v>0</v>
      </c>
      <c r="L39" s="472"/>
      <c r="M39" s="13"/>
      <c r="N39" s="13"/>
      <c r="O39" s="13"/>
      <c r="P39" s="13"/>
      <c r="Q39" s="13"/>
      <c r="R39" s="13"/>
      <c r="S39" s="13"/>
      <c r="T39" s="13"/>
      <c r="U39" s="13"/>
      <c r="V39" s="13">
        <f t="shared" si="10"/>
        <v>0</v>
      </c>
      <c r="W39" s="472"/>
      <c r="AA39" s="68"/>
      <c r="AB39" s="68"/>
    </row>
    <row r="40" spans="1:28" hidden="1">
      <c r="A40" s="15" t="s">
        <v>6966</v>
      </c>
      <c r="B40" s="13"/>
      <c r="C40" s="13"/>
      <c r="D40" s="13"/>
      <c r="E40" s="13"/>
      <c r="F40" s="13"/>
      <c r="G40" s="13"/>
      <c r="H40" s="13"/>
      <c r="I40" s="13"/>
      <c r="J40" s="13"/>
      <c r="K40" s="13">
        <f t="shared" si="9"/>
        <v>0</v>
      </c>
      <c r="L40" s="472"/>
      <c r="M40" s="13"/>
      <c r="N40" s="13"/>
      <c r="O40" s="13"/>
      <c r="P40" s="13"/>
      <c r="Q40" s="13"/>
      <c r="R40" s="13"/>
      <c r="S40" s="13"/>
      <c r="T40" s="13"/>
      <c r="U40" s="13"/>
      <c r="V40" s="13">
        <f t="shared" si="10"/>
        <v>0</v>
      </c>
      <c r="W40" s="472"/>
      <c r="AA40" s="68"/>
      <c r="AB40" s="68"/>
    </row>
    <row r="41" spans="1:28" hidden="1">
      <c r="A41" s="15" t="s">
        <v>7055</v>
      </c>
      <c r="B41" s="13"/>
      <c r="C41" s="13"/>
      <c r="D41" s="13"/>
      <c r="E41" s="13"/>
      <c r="F41" s="13"/>
      <c r="G41" s="13"/>
      <c r="H41" s="13"/>
      <c r="I41" s="13"/>
      <c r="J41" s="13"/>
      <c r="K41" s="13"/>
      <c r="L41" s="16"/>
      <c r="M41" s="13"/>
      <c r="N41" s="13"/>
      <c r="O41" s="13"/>
      <c r="P41" s="13"/>
      <c r="Q41" s="13"/>
      <c r="R41" s="13"/>
      <c r="S41" s="13"/>
      <c r="T41" s="13"/>
      <c r="U41" s="13"/>
      <c r="V41" s="13"/>
      <c r="W41" s="16"/>
      <c r="AA41" s="68"/>
      <c r="AB41" s="68"/>
    </row>
    <row r="42" spans="1:28" ht="24">
      <c r="A42" s="708" t="s">
        <v>6909</v>
      </c>
      <c r="B42" s="482"/>
      <c r="C42" s="482"/>
      <c r="D42" s="482">
        <f t="shared" ref="D42:W42" si="11">SUM(D43:D45)</f>
        <v>27</v>
      </c>
      <c r="E42" s="482">
        <f t="shared" si="11"/>
        <v>0</v>
      </c>
      <c r="F42" s="482">
        <f t="shared" si="11"/>
        <v>0</v>
      </c>
      <c r="G42" s="482">
        <f t="shared" si="11"/>
        <v>0</v>
      </c>
      <c r="H42" s="482">
        <f t="shared" si="11"/>
        <v>0</v>
      </c>
      <c r="I42" s="482">
        <f t="shared" si="11"/>
        <v>0</v>
      </c>
      <c r="J42" s="482">
        <f t="shared" si="11"/>
        <v>0</v>
      </c>
      <c r="K42" s="482">
        <f t="shared" si="11"/>
        <v>27</v>
      </c>
      <c r="L42" s="474">
        <f t="shared" si="11"/>
        <v>1091003.4000000001</v>
      </c>
      <c r="M42" s="482">
        <f t="shared" si="11"/>
        <v>0</v>
      </c>
      <c r="N42" s="482">
        <f t="shared" si="11"/>
        <v>0</v>
      </c>
      <c r="O42" s="482">
        <f t="shared" si="11"/>
        <v>24</v>
      </c>
      <c r="P42" s="482">
        <f t="shared" si="11"/>
        <v>0</v>
      </c>
      <c r="Q42" s="482">
        <f t="shared" si="11"/>
        <v>0</v>
      </c>
      <c r="R42" s="482">
        <f t="shared" si="11"/>
        <v>0</v>
      </c>
      <c r="S42" s="482">
        <f t="shared" si="11"/>
        <v>0</v>
      </c>
      <c r="T42" s="482">
        <f t="shared" si="11"/>
        <v>0</v>
      </c>
      <c r="U42" s="482">
        <f t="shared" si="11"/>
        <v>0</v>
      </c>
      <c r="V42" s="482">
        <f t="shared" si="11"/>
        <v>24</v>
      </c>
      <c r="W42" s="474">
        <f t="shared" si="11"/>
        <v>907757</v>
      </c>
      <c r="Y42" s="490"/>
      <c r="AA42" s="68"/>
      <c r="AB42" s="68"/>
    </row>
    <row r="43" spans="1:28" ht="24">
      <c r="A43" s="703" t="s">
        <v>6908</v>
      </c>
      <c r="B43" s="13"/>
      <c r="C43" s="13"/>
      <c r="D43" s="13">
        <v>9</v>
      </c>
      <c r="E43" s="13"/>
      <c r="F43" s="13"/>
      <c r="G43" s="13"/>
      <c r="H43" s="13"/>
      <c r="I43" s="13"/>
      <c r="J43" s="13"/>
      <c r="K43" s="13">
        <f>SUM(B43:J43)</f>
        <v>9</v>
      </c>
      <c r="L43" s="472">
        <f>798898.8-430173</f>
        <v>368725.80000000005</v>
      </c>
      <c r="M43" s="13"/>
      <c r="N43" s="13"/>
      <c r="O43" s="13">
        <v>6</v>
      </c>
      <c r="P43" s="13"/>
      <c r="Q43" s="13"/>
      <c r="R43" s="13"/>
      <c r="S43" s="13"/>
      <c r="T43" s="13"/>
      <c r="U43" s="13"/>
      <c r="V43" s="13">
        <f>SUM(M43:U43)</f>
        <v>6</v>
      </c>
      <c r="W43" s="472">
        <f>470160-230803</f>
        <v>239357</v>
      </c>
      <c r="Y43" s="489"/>
      <c r="AA43" s="68"/>
      <c r="AB43" s="68"/>
    </row>
    <row r="44" spans="1:28" ht="24">
      <c r="A44" s="703" t="s">
        <v>6907</v>
      </c>
      <c r="B44" s="13"/>
      <c r="C44" s="13"/>
      <c r="D44" s="13">
        <v>12</v>
      </c>
      <c r="E44" s="13"/>
      <c r="F44" s="13"/>
      <c r="G44" s="13"/>
      <c r="H44" s="13"/>
      <c r="I44" s="13"/>
      <c r="J44" s="13"/>
      <c r="K44" s="13">
        <f>SUM(B44:J44)</f>
        <v>12</v>
      </c>
      <c r="L44" s="472">
        <v>513518.4</v>
      </c>
      <c r="M44" s="13"/>
      <c r="N44" s="13"/>
      <c r="O44" s="13">
        <v>16</v>
      </c>
      <c r="P44" s="13"/>
      <c r="Q44" s="13"/>
      <c r="R44" s="13"/>
      <c r="S44" s="13"/>
      <c r="T44" s="13"/>
      <c r="U44" s="13"/>
      <c r="V44" s="13">
        <f>SUM(M44:U44)</f>
        <v>16</v>
      </c>
      <c r="W44" s="472">
        <f>((307200+(16*300)))*2</f>
        <v>624000</v>
      </c>
      <c r="Y44" s="489"/>
      <c r="AA44" s="68"/>
      <c r="AB44" s="68"/>
    </row>
    <row r="45" spans="1:28" ht="24">
      <c r="A45" s="703" t="s">
        <v>6906</v>
      </c>
      <c r="B45" s="13"/>
      <c r="C45" s="13"/>
      <c r="D45" s="13">
        <v>6</v>
      </c>
      <c r="E45" s="13"/>
      <c r="F45" s="13"/>
      <c r="G45" s="13"/>
      <c r="H45" s="13"/>
      <c r="I45" s="13"/>
      <c r="J45" s="13"/>
      <c r="K45" s="13">
        <f>SUM(B45:J45)</f>
        <v>6</v>
      </c>
      <c r="L45" s="472">
        <v>208759.2</v>
      </c>
      <c r="M45" s="13"/>
      <c r="N45" s="13"/>
      <c r="O45" s="13">
        <v>2</v>
      </c>
      <c r="P45" s="13"/>
      <c r="Q45" s="13"/>
      <c r="R45" s="13"/>
      <c r="S45" s="13"/>
      <c r="T45" s="13"/>
      <c r="U45" s="13"/>
      <c r="V45" s="13">
        <f>SUM(M45:U45)</f>
        <v>2</v>
      </c>
      <c r="W45" s="472">
        <f>((21600)+(300*2))*V45</f>
        <v>44400</v>
      </c>
      <c r="Y45" s="489"/>
      <c r="AA45" s="68"/>
      <c r="AB45" s="68"/>
    </row>
    <row r="46" spans="1:28" hidden="1">
      <c r="A46" s="703"/>
      <c r="B46" s="13"/>
      <c r="C46" s="13"/>
      <c r="D46" s="13"/>
      <c r="E46" s="13"/>
      <c r="F46" s="13"/>
      <c r="G46" s="13"/>
      <c r="H46" s="13"/>
      <c r="I46" s="13"/>
      <c r="J46" s="13"/>
      <c r="K46" s="13"/>
      <c r="L46" s="472"/>
      <c r="M46" s="13"/>
      <c r="N46" s="13"/>
      <c r="O46" s="13"/>
      <c r="P46" s="13"/>
      <c r="Q46" s="13"/>
      <c r="R46" s="13"/>
      <c r="S46" s="13"/>
      <c r="T46" s="13"/>
      <c r="U46" s="13"/>
      <c r="V46" s="13"/>
      <c r="W46" s="472"/>
      <c r="Z46" s="531"/>
      <c r="AA46" s="68"/>
      <c r="AB46" s="68"/>
    </row>
    <row r="47" spans="1:28" ht="24" hidden="1">
      <c r="A47" s="704" t="s">
        <v>6905</v>
      </c>
      <c r="B47" s="477"/>
      <c r="C47" s="477"/>
      <c r="D47" s="477"/>
      <c r="E47" s="477"/>
      <c r="F47" s="477"/>
      <c r="G47" s="477"/>
      <c r="H47" s="477"/>
      <c r="I47" s="477"/>
      <c r="J47" s="477"/>
      <c r="K47" s="477"/>
      <c r="L47" s="488"/>
      <c r="M47" s="477"/>
      <c r="N47" s="477"/>
      <c r="O47" s="477"/>
      <c r="P47" s="477"/>
      <c r="Q47" s="477"/>
      <c r="R47" s="477"/>
      <c r="S47" s="477"/>
      <c r="T47" s="477"/>
      <c r="U47" s="477"/>
      <c r="V47" s="477"/>
      <c r="W47" s="487"/>
      <c r="AA47" s="68"/>
      <c r="AB47" s="68"/>
    </row>
    <row r="48" spans="1:28" hidden="1">
      <c r="A48" s="703" t="s">
        <v>6904</v>
      </c>
      <c r="B48" s="13"/>
      <c r="C48" s="13"/>
      <c r="D48" s="13"/>
      <c r="E48" s="13"/>
      <c r="F48" s="13"/>
      <c r="G48" s="13"/>
      <c r="H48" s="13"/>
      <c r="I48" s="13"/>
      <c r="J48" s="13"/>
      <c r="K48" s="13"/>
      <c r="L48" s="472"/>
      <c r="M48" s="13"/>
      <c r="N48" s="13"/>
      <c r="O48" s="13"/>
      <c r="P48" s="13"/>
      <c r="Q48" s="13"/>
      <c r="R48" s="13"/>
      <c r="S48" s="13"/>
      <c r="T48" s="13"/>
      <c r="U48" s="13"/>
      <c r="V48" s="13"/>
      <c r="W48" s="16"/>
      <c r="AA48" s="68"/>
      <c r="AB48" s="68"/>
    </row>
    <row r="49" spans="1:28" hidden="1">
      <c r="A49" s="703"/>
      <c r="B49" s="13"/>
      <c r="C49" s="13"/>
      <c r="D49" s="13"/>
      <c r="E49" s="13"/>
      <c r="F49" s="13"/>
      <c r="G49" s="13"/>
      <c r="H49" s="13"/>
      <c r="I49" s="13"/>
      <c r="J49" s="13"/>
      <c r="K49" s="13"/>
      <c r="L49" s="472"/>
      <c r="M49" s="13"/>
      <c r="N49" s="13"/>
      <c r="O49" s="13"/>
      <c r="P49" s="13"/>
      <c r="Q49" s="13"/>
      <c r="R49" s="13"/>
      <c r="S49" s="13"/>
      <c r="T49" s="13"/>
      <c r="U49" s="13"/>
      <c r="V49" s="13"/>
      <c r="W49" s="16"/>
      <c r="AA49" s="68"/>
      <c r="AB49" s="68"/>
    </row>
    <row r="50" spans="1:28" hidden="1">
      <c r="A50" s="707" t="s">
        <v>6903</v>
      </c>
      <c r="B50" s="493"/>
      <c r="C50" s="493"/>
      <c r="D50" s="493"/>
      <c r="E50" s="493"/>
      <c r="F50" s="493"/>
      <c r="G50" s="493"/>
      <c r="H50" s="493"/>
      <c r="I50" s="493"/>
      <c r="J50" s="493"/>
      <c r="K50" s="493"/>
      <c r="L50" s="492"/>
      <c r="M50" s="493"/>
      <c r="N50" s="493"/>
      <c r="O50" s="493"/>
      <c r="P50" s="493"/>
      <c r="Q50" s="493"/>
      <c r="R50" s="493"/>
      <c r="S50" s="493"/>
      <c r="T50" s="493"/>
      <c r="U50" s="493"/>
      <c r="V50" s="493"/>
      <c r="W50" s="530"/>
      <c r="AA50" s="68"/>
      <c r="AB50" s="68"/>
    </row>
    <row r="51" spans="1:28" hidden="1">
      <c r="A51" s="703" t="s">
        <v>6902</v>
      </c>
      <c r="B51" s="13"/>
      <c r="C51" s="13"/>
      <c r="D51" s="13"/>
      <c r="E51" s="13"/>
      <c r="F51" s="13"/>
      <c r="G51" s="13"/>
      <c r="H51" s="13"/>
      <c r="I51" s="13"/>
      <c r="J51" s="13"/>
      <c r="K51" s="13"/>
      <c r="L51" s="472"/>
      <c r="M51" s="13"/>
      <c r="N51" s="13"/>
      <c r="O51" s="13"/>
      <c r="P51" s="13"/>
      <c r="Q51" s="13"/>
      <c r="R51" s="13"/>
      <c r="S51" s="13"/>
      <c r="T51" s="13"/>
      <c r="U51" s="13"/>
      <c r="V51" s="13"/>
      <c r="W51" s="16"/>
      <c r="AA51" s="68"/>
      <c r="AB51" s="68"/>
    </row>
    <row r="52" spans="1:28" hidden="1">
      <c r="A52" s="703"/>
      <c r="B52" s="13"/>
      <c r="C52" s="13"/>
      <c r="D52" s="13"/>
      <c r="E52" s="13"/>
      <c r="F52" s="13"/>
      <c r="G52" s="13"/>
      <c r="H52" s="13"/>
      <c r="I52" s="13"/>
      <c r="J52" s="13"/>
      <c r="K52" s="13"/>
      <c r="L52" s="472"/>
      <c r="M52" s="13"/>
      <c r="N52" s="13"/>
      <c r="O52" s="13"/>
      <c r="P52" s="13"/>
      <c r="Q52" s="13"/>
      <c r="R52" s="13"/>
      <c r="S52" s="13"/>
      <c r="T52" s="13"/>
      <c r="U52" s="13"/>
      <c r="V52" s="13"/>
      <c r="W52" s="16"/>
      <c r="AA52" s="68"/>
      <c r="AB52" s="68"/>
    </row>
    <row r="53" spans="1:28" hidden="1">
      <c r="A53" s="707" t="s">
        <v>6901</v>
      </c>
      <c r="B53" s="493"/>
      <c r="C53" s="493"/>
      <c r="D53" s="493"/>
      <c r="E53" s="493"/>
      <c r="F53" s="493"/>
      <c r="G53" s="493"/>
      <c r="H53" s="493"/>
      <c r="I53" s="493"/>
      <c r="J53" s="493"/>
      <c r="K53" s="493"/>
      <c r="L53" s="492"/>
      <c r="M53" s="493"/>
      <c r="N53" s="493"/>
      <c r="O53" s="493"/>
      <c r="P53" s="493"/>
      <c r="Q53" s="493"/>
      <c r="R53" s="493"/>
      <c r="S53" s="493"/>
      <c r="T53" s="493"/>
      <c r="U53" s="493"/>
      <c r="V53" s="493"/>
      <c r="W53" s="530">
        <f>W54</f>
        <v>0</v>
      </c>
      <c r="AA53" s="68"/>
      <c r="AB53" s="68"/>
    </row>
    <row r="54" spans="1:28" hidden="1">
      <c r="A54" s="703" t="s">
        <v>6901</v>
      </c>
      <c r="B54" s="13"/>
      <c r="C54" s="13"/>
      <c r="D54" s="13"/>
      <c r="E54" s="13"/>
      <c r="F54" s="13"/>
      <c r="G54" s="13"/>
      <c r="H54" s="13"/>
      <c r="I54" s="13"/>
      <c r="J54" s="13"/>
      <c r="K54" s="13"/>
      <c r="L54" s="472"/>
      <c r="M54" s="13"/>
      <c r="N54" s="13"/>
      <c r="O54" s="13"/>
      <c r="P54" s="13"/>
      <c r="Q54" s="13"/>
      <c r="R54" s="13"/>
      <c r="S54" s="13"/>
      <c r="T54" s="13"/>
      <c r="U54" s="13"/>
      <c r="V54" s="13"/>
      <c r="W54" s="16"/>
      <c r="AA54" s="68"/>
      <c r="AB54" s="68"/>
    </row>
    <row r="55" spans="1:28" ht="24">
      <c r="A55" s="708" t="s">
        <v>6883</v>
      </c>
      <c r="B55" s="477"/>
      <c r="C55" s="477"/>
      <c r="D55" s="477"/>
      <c r="E55" s="477"/>
      <c r="F55" s="477"/>
      <c r="G55" s="477"/>
      <c r="H55" s="477"/>
      <c r="I55" s="477"/>
      <c r="J55" s="477"/>
      <c r="K55" s="477"/>
      <c r="L55" s="488">
        <f>L56</f>
        <v>60413182</v>
      </c>
      <c r="M55" s="477"/>
      <c r="N55" s="477"/>
      <c r="O55" s="477"/>
      <c r="P55" s="477"/>
      <c r="Q55" s="477"/>
      <c r="R55" s="477"/>
      <c r="S55" s="477"/>
      <c r="T55" s="477"/>
      <c r="U55" s="477"/>
      <c r="V55" s="477">
        <f>SUM(M55:U55)</f>
        <v>0</v>
      </c>
      <c r="W55" s="474">
        <f>W56</f>
        <v>117092002</v>
      </c>
      <c r="AA55" s="68"/>
      <c r="AB55" s="68"/>
    </row>
    <row r="56" spans="1:28" ht="13.5" thickBot="1">
      <c r="A56" s="703" t="s">
        <v>6882</v>
      </c>
      <c r="B56" s="13"/>
      <c r="C56" s="13"/>
      <c r="D56" s="13"/>
      <c r="E56" s="13"/>
      <c r="F56" s="13"/>
      <c r="G56" s="13"/>
      <c r="H56" s="13"/>
      <c r="I56" s="13"/>
      <c r="J56" s="13"/>
      <c r="K56" s="13"/>
      <c r="L56" s="472">
        <v>60413182</v>
      </c>
      <c r="M56" s="13"/>
      <c r="N56" s="13"/>
      <c r="O56" s="13"/>
      <c r="P56" s="13"/>
      <c r="Q56" s="13"/>
      <c r="R56" s="13"/>
      <c r="S56" s="13"/>
      <c r="T56" s="13"/>
      <c r="U56" s="13"/>
      <c r="V56" s="13"/>
      <c r="W56" s="472">
        <v>117092002</v>
      </c>
      <c r="AA56" s="68"/>
      <c r="AB56" s="68"/>
    </row>
    <row r="57" spans="1:28" ht="13.5" thickBot="1">
      <c r="A57" s="17" t="s">
        <v>23</v>
      </c>
      <c r="B57" s="471">
        <f>B10+B42+B53</f>
        <v>0</v>
      </c>
      <c r="C57" s="470">
        <f t="shared" ref="C57:K57" si="12">C10+C42</f>
        <v>0</v>
      </c>
      <c r="D57" s="470">
        <f t="shared" si="12"/>
        <v>27</v>
      </c>
      <c r="E57" s="470">
        <f t="shared" si="12"/>
        <v>0</v>
      </c>
      <c r="F57" s="470">
        <f t="shared" si="12"/>
        <v>0</v>
      </c>
      <c r="G57" s="470">
        <f t="shared" si="12"/>
        <v>0</v>
      </c>
      <c r="H57" s="470">
        <f t="shared" si="12"/>
        <v>0</v>
      </c>
      <c r="I57" s="470">
        <f t="shared" si="12"/>
        <v>0</v>
      </c>
      <c r="J57" s="470">
        <f t="shared" si="12"/>
        <v>0</v>
      </c>
      <c r="K57" s="470">
        <f t="shared" si="12"/>
        <v>27</v>
      </c>
      <c r="L57" s="470">
        <f>L10+L42+L55</f>
        <v>61504185.399999999</v>
      </c>
      <c r="M57" s="471">
        <f>M10+M42+M53</f>
        <v>0</v>
      </c>
      <c r="N57" s="470">
        <f t="shared" ref="N57:V57" si="13">N10+N42</f>
        <v>0</v>
      </c>
      <c r="O57" s="470">
        <f t="shared" si="13"/>
        <v>24</v>
      </c>
      <c r="P57" s="470">
        <f t="shared" si="13"/>
        <v>0</v>
      </c>
      <c r="Q57" s="470">
        <f t="shared" si="13"/>
        <v>0</v>
      </c>
      <c r="R57" s="470">
        <f t="shared" si="13"/>
        <v>0</v>
      </c>
      <c r="S57" s="470">
        <f t="shared" si="13"/>
        <v>0</v>
      </c>
      <c r="T57" s="470">
        <f t="shared" si="13"/>
        <v>0</v>
      </c>
      <c r="U57" s="470">
        <f t="shared" si="13"/>
        <v>0</v>
      </c>
      <c r="V57" s="470">
        <f t="shared" si="13"/>
        <v>24</v>
      </c>
      <c r="W57" s="469">
        <f>W10+W42+W55</f>
        <v>117999759</v>
      </c>
      <c r="X57" s="55"/>
      <c r="AA57" s="68"/>
      <c r="AB57" s="68"/>
    </row>
    <row r="58" spans="1:28">
      <c r="A58" s="1" t="s">
        <v>273</v>
      </c>
      <c r="B58" s="2"/>
      <c r="C58" s="2"/>
      <c r="D58" s="2"/>
      <c r="E58" s="2"/>
      <c r="F58" s="2"/>
      <c r="G58" s="2"/>
      <c r="H58" s="2"/>
      <c r="I58" s="2"/>
      <c r="J58" s="2"/>
      <c r="K58" s="2"/>
      <c r="L58" s="2"/>
      <c r="M58" s="2"/>
      <c r="N58" s="2"/>
      <c r="O58" s="2"/>
      <c r="P58" s="6"/>
      <c r="Q58" s="52"/>
      <c r="R58"/>
      <c r="S58"/>
      <c r="T58" s="68"/>
      <c r="U58" s="68"/>
      <c r="V58" s="68"/>
      <c r="W58" s="68"/>
      <c r="X58" s="68"/>
      <c r="Y58" s="68"/>
      <c r="Z58" s="68"/>
      <c r="AA58" s="68"/>
      <c r="AB58" s="68"/>
    </row>
    <row r="59" spans="1:28">
      <c r="A59" s="11" t="s">
        <v>267</v>
      </c>
      <c r="P59" s="68"/>
      <c r="Q59" s="52"/>
      <c r="R59"/>
      <c r="S59"/>
      <c r="T59"/>
      <c r="U59"/>
      <c r="V59" s="68"/>
      <c r="W59" s="68"/>
      <c r="X59" s="68"/>
      <c r="Y59" s="68"/>
      <c r="Z59" s="68"/>
      <c r="AA59" s="68"/>
      <c r="AB59" s="68"/>
    </row>
    <row r="60" spans="1:28">
      <c r="A60" s="11" t="s">
        <v>271</v>
      </c>
      <c r="P60" s="68"/>
      <c r="Q60" s="52"/>
      <c r="R60"/>
      <c r="S60"/>
      <c r="T60"/>
      <c r="U60"/>
      <c r="V60" s="68"/>
      <c r="W60" s="467"/>
      <c r="X60" s="68"/>
      <c r="Y60" s="68"/>
      <c r="Z60" s="68"/>
      <c r="AA60" s="68"/>
      <c r="AB60" s="68"/>
    </row>
    <row r="61" spans="1:28">
      <c r="A61" s="11" t="s">
        <v>278</v>
      </c>
      <c r="L61" s="465"/>
    </row>
    <row r="63" spans="1:28">
      <c r="W63" s="465"/>
    </row>
    <row r="65" spans="24:24">
      <c r="X65" s="11"/>
    </row>
  </sheetData>
  <mergeCells count="5">
    <mergeCell ref="A7:W7"/>
    <mergeCell ref="A8:W8"/>
    <mergeCell ref="A9:W9"/>
    <mergeCell ref="B5:L5"/>
    <mergeCell ref="M5:W5"/>
  </mergeCells>
  <printOptions horizontalCentered="1"/>
  <pageMargins left="0.19685039370078741" right="0.19685039370078741" top="0.78740157480314965" bottom="0.78740157480314965" header="0.19685039370078741" footer="0.19685039370078741"/>
  <pageSetup paperSize="9" scale="93" fitToHeight="2"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pageSetUpPr fitToPage="1"/>
  </sheetPr>
  <dimension ref="A1:L33"/>
  <sheetViews>
    <sheetView view="pageBreakPreview" zoomScaleNormal="100" zoomScaleSheetLayoutView="100" workbookViewId="0">
      <selection activeCell="B8" sqref="B8"/>
    </sheetView>
  </sheetViews>
  <sheetFormatPr baseColWidth="10" defaultColWidth="2" defaultRowHeight="11.25"/>
  <cols>
    <col min="1" max="1" width="10.140625" style="740" customWidth="1"/>
    <col min="2" max="2" width="9.5703125" style="740" customWidth="1"/>
    <col min="3" max="3" width="27.140625" style="740" bestFit="1" customWidth="1"/>
    <col min="4" max="4" width="25.7109375" style="740" customWidth="1"/>
    <col min="5" max="5" width="6.5703125" style="740" bestFit="1" customWidth="1"/>
    <col min="6" max="6" width="20.5703125" style="740" bestFit="1" customWidth="1"/>
    <col min="7" max="7" width="9" style="740" customWidth="1"/>
    <col min="8" max="8" width="6.5703125" style="740" bestFit="1" customWidth="1"/>
    <col min="9" max="9" width="7" style="740" bestFit="1" customWidth="1"/>
    <col min="10" max="11" width="6.5703125" style="740" bestFit="1" customWidth="1"/>
    <col min="12" max="12" width="9.42578125" style="740" bestFit="1" customWidth="1"/>
    <col min="13" max="13" width="8.7109375" style="740" customWidth="1"/>
    <col min="14" max="16384" width="2" style="740"/>
  </cols>
  <sheetData>
    <row r="1" spans="1:12" s="1606" customFormat="1" ht="12.75">
      <c r="A1" s="1605" t="s">
        <v>305</v>
      </c>
      <c r="B1" s="110"/>
      <c r="C1" s="1605"/>
    </row>
    <row r="2" spans="1:12" s="1606" customFormat="1" ht="12" thickBot="1">
      <c r="A2" s="77" t="s">
        <v>382</v>
      </c>
      <c r="B2" s="77"/>
      <c r="C2" s="77"/>
    </row>
    <row r="3" spans="1:12" s="78" customFormat="1">
      <c r="A3" s="1948" t="s">
        <v>261</v>
      </c>
      <c r="B3" s="1948" t="s">
        <v>265</v>
      </c>
      <c r="C3" s="1948" t="s">
        <v>264</v>
      </c>
      <c r="D3" s="1944" t="s">
        <v>262</v>
      </c>
      <c r="E3" s="1944" t="s">
        <v>241</v>
      </c>
      <c r="F3" s="1944" t="s">
        <v>125</v>
      </c>
      <c r="G3" s="1944" t="s">
        <v>242</v>
      </c>
      <c r="H3" s="1946">
        <v>2019</v>
      </c>
      <c r="I3" s="1947"/>
      <c r="J3" s="115">
        <v>2020</v>
      </c>
      <c r="K3" s="115">
        <v>2021</v>
      </c>
      <c r="L3" s="1944" t="s">
        <v>7296</v>
      </c>
    </row>
    <row r="4" spans="1:12" s="78" customFormat="1" ht="23.25" thickBot="1">
      <c r="A4" s="1949"/>
      <c r="B4" s="1949"/>
      <c r="C4" s="1950"/>
      <c r="D4" s="1945"/>
      <c r="E4" s="1945"/>
      <c r="F4" s="1945"/>
      <c r="G4" s="1945"/>
      <c r="H4" s="388" t="s">
        <v>244</v>
      </c>
      <c r="I4" s="388" t="s">
        <v>243</v>
      </c>
      <c r="J4" s="388" t="s">
        <v>244</v>
      </c>
      <c r="K4" s="388" t="s">
        <v>244</v>
      </c>
      <c r="L4" s="1945"/>
    </row>
    <row r="5" spans="1:12" s="78" customFormat="1" ht="45">
      <c r="A5" s="1096" t="s">
        <v>352</v>
      </c>
      <c r="B5" s="442" t="s">
        <v>263</v>
      </c>
      <c r="C5" s="1599" t="s">
        <v>7232</v>
      </c>
      <c r="D5" s="1599" t="s">
        <v>7233</v>
      </c>
      <c r="E5" s="1096" t="s">
        <v>7234</v>
      </c>
      <c r="F5" s="1096" t="s">
        <v>7235</v>
      </c>
      <c r="G5" s="1096" t="s">
        <v>7236</v>
      </c>
      <c r="H5" s="1096" t="s">
        <v>7234</v>
      </c>
      <c r="I5" s="1096" t="str">
        <f>+H5</f>
        <v>Limitado</v>
      </c>
      <c r="J5" s="1096" t="s">
        <v>7234</v>
      </c>
      <c r="K5" s="1096" t="s">
        <v>7234</v>
      </c>
      <c r="L5" s="1943" t="s">
        <v>7237</v>
      </c>
    </row>
    <row r="6" spans="1:12" s="78" customFormat="1" ht="33.75">
      <c r="A6" s="1096" t="s">
        <v>352</v>
      </c>
      <c r="B6" s="442" t="s">
        <v>7195</v>
      </c>
      <c r="C6" s="1599" t="s">
        <v>7238</v>
      </c>
      <c r="D6" s="1599" t="s">
        <v>7239</v>
      </c>
      <c r="E6" s="1600">
        <v>0.33</v>
      </c>
      <c r="F6" s="1096" t="s">
        <v>7240</v>
      </c>
      <c r="G6" s="1096" t="s">
        <v>7241</v>
      </c>
      <c r="H6" s="1600">
        <v>0.4</v>
      </c>
      <c r="I6" s="1601">
        <f t="shared" ref="I6:I14" si="0">+H6</f>
        <v>0.4</v>
      </c>
      <c r="J6" s="1600">
        <v>0.54</v>
      </c>
      <c r="K6" s="1600">
        <v>0.75</v>
      </c>
      <c r="L6" s="1951"/>
    </row>
    <row r="7" spans="1:12" s="78" customFormat="1" ht="56.25">
      <c r="A7" s="1096" t="s">
        <v>352</v>
      </c>
      <c r="B7" s="442" t="s">
        <v>263</v>
      </c>
      <c r="C7" s="1599" t="s">
        <v>7242</v>
      </c>
      <c r="D7" s="1599" t="s">
        <v>7243</v>
      </c>
      <c r="E7" s="1600">
        <v>0</v>
      </c>
      <c r="F7" s="1096" t="s">
        <v>7244</v>
      </c>
      <c r="G7" s="1096" t="s">
        <v>7245</v>
      </c>
      <c r="H7" s="1602">
        <v>0.3</v>
      </c>
      <c r="I7" s="1601">
        <f t="shared" si="0"/>
        <v>0.3</v>
      </c>
      <c r="J7" s="1602">
        <v>0.35</v>
      </c>
      <c r="K7" s="1602">
        <v>0.45</v>
      </c>
      <c r="L7" s="1951"/>
    </row>
    <row r="8" spans="1:12" s="78" customFormat="1" ht="67.5">
      <c r="A8" s="1096" t="s">
        <v>352</v>
      </c>
      <c r="B8" s="442" t="s">
        <v>7181</v>
      </c>
      <c r="C8" s="1599" t="s">
        <v>7246</v>
      </c>
      <c r="D8" s="1599" t="s">
        <v>7247</v>
      </c>
      <c r="E8" s="1600">
        <v>0</v>
      </c>
      <c r="F8" s="1096" t="s">
        <v>7248</v>
      </c>
      <c r="G8" s="1096" t="s">
        <v>7249</v>
      </c>
      <c r="H8" s="1600">
        <v>0.56000000000000005</v>
      </c>
      <c r="I8" s="1601">
        <f t="shared" si="0"/>
        <v>0.56000000000000005</v>
      </c>
      <c r="J8" s="1600">
        <v>0.57999999999999996</v>
      </c>
      <c r="K8" s="1600">
        <v>0.6</v>
      </c>
      <c r="L8" s="1951"/>
    </row>
    <row r="9" spans="1:12" s="78" customFormat="1" ht="67.5">
      <c r="A9" s="1096" t="s">
        <v>352</v>
      </c>
      <c r="B9" s="442" t="s">
        <v>263</v>
      </c>
      <c r="C9" s="1599" t="s">
        <v>7250</v>
      </c>
      <c r="D9" s="1599" t="s">
        <v>7251</v>
      </c>
      <c r="E9" s="1600">
        <v>0.35</v>
      </c>
      <c r="F9" s="1096" t="s">
        <v>7252</v>
      </c>
      <c r="G9" s="1096" t="s">
        <v>7253</v>
      </c>
      <c r="H9" s="1600">
        <v>0.65</v>
      </c>
      <c r="I9" s="1601">
        <f t="shared" si="0"/>
        <v>0.65</v>
      </c>
      <c r="J9" s="1600">
        <v>0.7</v>
      </c>
      <c r="K9" s="1600">
        <v>0.75</v>
      </c>
      <c r="L9" s="1951"/>
    </row>
    <row r="10" spans="1:12" s="78" customFormat="1" ht="33.75">
      <c r="A10" s="1096" t="s">
        <v>352</v>
      </c>
      <c r="B10" s="442" t="s">
        <v>7181</v>
      </c>
      <c r="C10" s="1599" t="s">
        <v>7254</v>
      </c>
      <c r="D10" s="1599" t="s">
        <v>7255</v>
      </c>
      <c r="E10" s="1096">
        <v>2</v>
      </c>
      <c r="F10" s="1603" t="s">
        <v>7256</v>
      </c>
      <c r="G10" s="1096" t="s">
        <v>7257</v>
      </c>
      <c r="H10" s="1096">
        <v>11</v>
      </c>
      <c r="I10" s="1096">
        <f t="shared" si="0"/>
        <v>11</v>
      </c>
      <c r="J10" s="1096">
        <v>11</v>
      </c>
      <c r="K10" s="1096">
        <v>12</v>
      </c>
      <c r="L10" s="1951"/>
    </row>
    <row r="11" spans="1:12" s="78" customFormat="1" ht="78.75">
      <c r="A11" s="1096" t="s">
        <v>352</v>
      </c>
      <c r="B11" s="442" t="s">
        <v>263</v>
      </c>
      <c r="C11" s="1599" t="s">
        <v>7258</v>
      </c>
      <c r="D11" s="1599" t="s">
        <v>7259</v>
      </c>
      <c r="E11" s="1600">
        <v>0.73299999999999998</v>
      </c>
      <c r="F11" s="1096" t="s">
        <v>7260</v>
      </c>
      <c r="G11" s="1096" t="s">
        <v>7261</v>
      </c>
      <c r="H11" s="1600">
        <v>0.67</v>
      </c>
      <c r="I11" s="1601">
        <f t="shared" si="0"/>
        <v>0.67</v>
      </c>
      <c r="J11" s="1600">
        <v>0.68</v>
      </c>
      <c r="K11" s="1600">
        <v>0.72</v>
      </c>
      <c r="L11" s="1951"/>
    </row>
    <row r="12" spans="1:12" s="78" customFormat="1" ht="33.75">
      <c r="A12" s="1096" t="s">
        <v>352</v>
      </c>
      <c r="B12" s="442" t="s">
        <v>7181</v>
      </c>
      <c r="C12" s="1599" t="s">
        <v>7262</v>
      </c>
      <c r="D12" s="1599" t="s">
        <v>7263</v>
      </c>
      <c r="E12" s="1600">
        <v>0.8</v>
      </c>
      <c r="F12" s="1096" t="s">
        <v>7264</v>
      </c>
      <c r="G12" s="1096" t="s">
        <v>7241</v>
      </c>
      <c r="H12" s="1096">
        <v>2834</v>
      </c>
      <c r="I12" s="1096">
        <f t="shared" si="0"/>
        <v>2834</v>
      </c>
      <c r="J12" s="1096">
        <v>2950</v>
      </c>
      <c r="K12" s="1096">
        <v>3064</v>
      </c>
      <c r="L12" s="1951"/>
    </row>
    <row r="13" spans="1:12" s="78" customFormat="1" ht="56.25">
      <c r="A13" s="1096" t="s">
        <v>352</v>
      </c>
      <c r="B13" s="442" t="s">
        <v>7217</v>
      </c>
      <c r="C13" s="1599" t="s">
        <v>7265</v>
      </c>
      <c r="D13" s="1599" t="s">
        <v>7266</v>
      </c>
      <c r="E13" s="1600">
        <v>0.86699999999999999</v>
      </c>
      <c r="F13" s="1096" t="s">
        <v>7267</v>
      </c>
      <c r="G13" s="1096" t="s">
        <v>7268</v>
      </c>
      <c r="H13" s="1600">
        <v>0.85</v>
      </c>
      <c r="I13" s="1601">
        <f t="shared" si="0"/>
        <v>0.85</v>
      </c>
      <c r="J13" s="1600">
        <v>0.86</v>
      </c>
      <c r="K13" s="1600">
        <v>0.87</v>
      </c>
      <c r="L13" s="1951"/>
    </row>
    <row r="14" spans="1:12" s="78" customFormat="1" ht="45">
      <c r="A14" s="1096" t="s">
        <v>352</v>
      </c>
      <c r="B14" s="442" t="s">
        <v>263</v>
      </c>
      <c r="C14" s="1599" t="s">
        <v>7269</v>
      </c>
      <c r="D14" s="1599" t="s">
        <v>7270</v>
      </c>
      <c r="E14" s="1600">
        <v>0.15</v>
      </c>
      <c r="F14" s="1603" t="s">
        <v>7271</v>
      </c>
      <c r="G14" s="1096" t="s">
        <v>7272</v>
      </c>
      <c r="H14" s="1600">
        <v>0.76</v>
      </c>
      <c r="I14" s="1601">
        <f t="shared" si="0"/>
        <v>0.76</v>
      </c>
      <c r="J14" s="1600">
        <v>0.47</v>
      </c>
      <c r="K14" s="1600">
        <v>0.51</v>
      </c>
      <c r="L14" s="1951"/>
    </row>
    <row r="15" spans="1:12" s="78" customFormat="1" ht="56.25">
      <c r="A15" s="1595" t="s">
        <v>361</v>
      </c>
      <c r="B15" s="1607" t="s">
        <v>7195</v>
      </c>
      <c r="C15" s="1593" t="s">
        <v>7273</v>
      </c>
      <c r="D15" s="1593" t="s">
        <v>7274</v>
      </c>
      <c r="E15" s="1598">
        <v>6.6000000000000003E-2</v>
      </c>
      <c r="F15" s="1595" t="s">
        <v>7275</v>
      </c>
      <c r="G15" s="1595" t="s">
        <v>361</v>
      </c>
      <c r="H15" s="1598">
        <v>0.2</v>
      </c>
      <c r="I15" s="1598">
        <f>+H15</f>
        <v>0.2</v>
      </c>
      <c r="J15" s="1598">
        <v>0.3</v>
      </c>
      <c r="K15" s="1598">
        <v>0.45</v>
      </c>
      <c r="L15" s="1952" t="s">
        <v>7276</v>
      </c>
    </row>
    <row r="16" spans="1:12" s="78" customFormat="1" ht="22.5">
      <c r="A16" s="1595" t="s">
        <v>361</v>
      </c>
      <c r="B16" s="1607" t="s">
        <v>7195</v>
      </c>
      <c r="C16" s="1593" t="s">
        <v>7277</v>
      </c>
      <c r="D16" s="1593" t="s">
        <v>7278</v>
      </c>
      <c r="E16" s="1598">
        <v>0.41799999999999998</v>
      </c>
      <c r="F16" s="1595" t="s">
        <v>361</v>
      </c>
      <c r="G16" s="1595" t="s">
        <v>361</v>
      </c>
      <c r="H16" s="1598">
        <v>0.54700000000000004</v>
      </c>
      <c r="I16" s="1598">
        <f>+H16</f>
        <v>0.54700000000000004</v>
      </c>
      <c r="J16" s="1598">
        <v>0.53700000000000003</v>
      </c>
      <c r="K16" s="1598">
        <v>0.55900000000000005</v>
      </c>
      <c r="L16" s="1952"/>
    </row>
    <row r="17" spans="1:12" ht="180">
      <c r="A17" s="1096" t="s">
        <v>363</v>
      </c>
      <c r="B17" s="442" t="s">
        <v>7195</v>
      </c>
      <c r="C17" s="1599" t="s">
        <v>7279</v>
      </c>
      <c r="D17" s="1599" t="s">
        <v>7280</v>
      </c>
      <c r="E17" s="1096" t="s">
        <v>7281</v>
      </c>
      <c r="F17" s="1096" t="s">
        <v>7282</v>
      </c>
      <c r="G17" s="1096" t="s">
        <v>7283</v>
      </c>
      <c r="H17" s="1096" t="s">
        <v>7284</v>
      </c>
      <c r="I17" s="1096" t="str">
        <f>+H17</f>
        <v>3.18%
(61)</v>
      </c>
      <c r="J17" s="1096" t="s">
        <v>7285</v>
      </c>
      <c r="K17" s="1096" t="s">
        <v>7286</v>
      </c>
      <c r="L17" s="1943" t="s">
        <v>7287</v>
      </c>
    </row>
    <row r="18" spans="1:12" ht="56.25">
      <c r="A18" s="1096" t="s">
        <v>363</v>
      </c>
      <c r="B18" s="442" t="s">
        <v>7195</v>
      </c>
      <c r="C18" s="1599" t="s">
        <v>7288</v>
      </c>
      <c r="D18" s="1599" t="s">
        <v>7289</v>
      </c>
      <c r="E18" s="1096" t="s">
        <v>7290</v>
      </c>
      <c r="F18" s="1096" t="s">
        <v>7291</v>
      </c>
      <c r="G18" s="1096" t="s">
        <v>7292</v>
      </c>
      <c r="H18" s="1604">
        <v>0.7</v>
      </c>
      <c r="I18" s="1096">
        <f>+H18</f>
        <v>0.7</v>
      </c>
      <c r="J18" s="1096">
        <v>0.8</v>
      </c>
      <c r="K18" s="1096">
        <v>0.9</v>
      </c>
      <c r="L18" s="1943"/>
    </row>
    <row r="19" spans="1:12" ht="78.75">
      <c r="A19" s="1096" t="s">
        <v>363</v>
      </c>
      <c r="B19" s="442" t="s">
        <v>7195</v>
      </c>
      <c r="C19" s="1599" t="s">
        <v>7293</v>
      </c>
      <c r="D19" s="1599" t="s">
        <v>7294</v>
      </c>
      <c r="E19" s="1600">
        <v>0.5</v>
      </c>
      <c r="F19" s="1096" t="s">
        <v>7291</v>
      </c>
      <c r="G19" s="1096" t="s">
        <v>7295</v>
      </c>
      <c r="H19" s="1600">
        <v>1</v>
      </c>
      <c r="I19" s="1600">
        <v>1</v>
      </c>
      <c r="J19" s="1600">
        <v>1</v>
      </c>
      <c r="K19" s="1600">
        <v>1</v>
      </c>
      <c r="L19" s="1943"/>
    </row>
    <row r="20" spans="1:12" ht="33.75">
      <c r="A20" s="1595" t="s">
        <v>365</v>
      </c>
      <c r="B20" s="1607" t="s">
        <v>7181</v>
      </c>
      <c r="C20" s="1593" t="s">
        <v>7182</v>
      </c>
      <c r="D20" s="1593" t="s">
        <v>7183</v>
      </c>
      <c r="E20" s="1594">
        <v>50</v>
      </c>
      <c r="F20" s="1595" t="s">
        <v>7184</v>
      </c>
      <c r="G20" s="1595" t="s">
        <v>7184</v>
      </c>
      <c r="H20" s="1594">
        <v>80</v>
      </c>
      <c r="I20" s="1595">
        <f t="shared" ref="I20" si="1">+H20</f>
        <v>80</v>
      </c>
      <c r="J20" s="1596"/>
      <c r="K20" s="1596"/>
      <c r="L20" s="1952" t="s">
        <v>7185</v>
      </c>
    </row>
    <row r="21" spans="1:12" ht="33.75">
      <c r="A21" s="1595" t="s">
        <v>365</v>
      </c>
      <c r="B21" s="1607" t="s">
        <v>7181</v>
      </c>
      <c r="C21" s="1593" t="s">
        <v>7186</v>
      </c>
      <c r="D21" s="1593" t="s">
        <v>7187</v>
      </c>
      <c r="E21" s="1597">
        <v>0.161</v>
      </c>
      <c r="F21" s="1595" t="s">
        <v>7184</v>
      </c>
      <c r="G21" s="1595" t="s">
        <v>7184</v>
      </c>
      <c r="H21" s="1597">
        <v>0.23</v>
      </c>
      <c r="I21" s="1597">
        <f>+H21</f>
        <v>0.23</v>
      </c>
      <c r="J21" s="1596"/>
      <c r="K21" s="1596"/>
      <c r="L21" s="1952"/>
    </row>
    <row r="22" spans="1:12" ht="33.75">
      <c r="A22" s="1595" t="s">
        <v>365</v>
      </c>
      <c r="B22" s="1607" t="s">
        <v>7181</v>
      </c>
      <c r="C22" s="1593" t="s">
        <v>7188</v>
      </c>
      <c r="D22" s="1593" t="s">
        <v>7189</v>
      </c>
      <c r="E22" s="1594">
        <v>16</v>
      </c>
      <c r="F22" s="1595" t="s">
        <v>7190</v>
      </c>
      <c r="G22" s="1595" t="s">
        <v>7190</v>
      </c>
      <c r="H22" s="1595">
        <v>34</v>
      </c>
      <c r="I22" s="1595">
        <f>+H22</f>
        <v>34</v>
      </c>
      <c r="J22" s="1596"/>
      <c r="K22" s="1596"/>
      <c r="L22" s="1952"/>
    </row>
    <row r="23" spans="1:12" ht="33.75">
      <c r="A23" s="1595" t="s">
        <v>365</v>
      </c>
      <c r="B23" s="1607" t="s">
        <v>7181</v>
      </c>
      <c r="C23" s="1593" t="s">
        <v>7191</v>
      </c>
      <c r="D23" s="1593" t="s">
        <v>7192</v>
      </c>
      <c r="E23" s="1594">
        <v>84</v>
      </c>
      <c r="F23" s="1595" t="s">
        <v>7193</v>
      </c>
      <c r="G23" s="1595" t="s">
        <v>7194</v>
      </c>
      <c r="H23" s="1595">
        <v>140</v>
      </c>
      <c r="I23" s="1595">
        <f t="shared" ref="I23:I25" si="2">+H23</f>
        <v>140</v>
      </c>
      <c r="J23" s="1596"/>
      <c r="K23" s="1596"/>
      <c r="L23" s="1952"/>
    </row>
    <row r="24" spans="1:12" ht="33.75">
      <c r="A24" s="1595" t="s">
        <v>365</v>
      </c>
      <c r="B24" s="1607" t="s">
        <v>7195</v>
      </c>
      <c r="C24" s="1593" t="s">
        <v>7196</v>
      </c>
      <c r="D24" s="1593" t="s">
        <v>7197</v>
      </c>
      <c r="E24" s="1597">
        <v>0.33</v>
      </c>
      <c r="F24" s="1595" t="s">
        <v>7184</v>
      </c>
      <c r="G24" s="1595" t="s">
        <v>7184</v>
      </c>
      <c r="H24" s="1598">
        <v>1</v>
      </c>
      <c r="I24" s="1596">
        <f t="shared" si="2"/>
        <v>1</v>
      </c>
      <c r="J24" s="1596"/>
      <c r="K24" s="1596"/>
      <c r="L24" s="1952"/>
    </row>
    <row r="25" spans="1:12" ht="33.75">
      <c r="A25" s="1595" t="s">
        <v>365</v>
      </c>
      <c r="B25" s="1607" t="s">
        <v>7181</v>
      </c>
      <c r="C25" s="1593" t="s">
        <v>7198</v>
      </c>
      <c r="D25" s="1593" t="s">
        <v>7199</v>
      </c>
      <c r="E25" s="1597">
        <v>0.3</v>
      </c>
      <c r="F25" s="1595" t="s">
        <v>7200</v>
      </c>
      <c r="G25" s="1595" t="s">
        <v>7200</v>
      </c>
      <c r="H25" s="1597">
        <v>0.76</v>
      </c>
      <c r="I25" s="1596">
        <f t="shared" si="2"/>
        <v>0.76</v>
      </c>
      <c r="J25" s="1596"/>
      <c r="K25" s="1596"/>
      <c r="L25" s="1952"/>
    </row>
    <row r="26" spans="1:12" ht="67.5">
      <c r="A26" s="1595" t="s">
        <v>365</v>
      </c>
      <c r="B26" s="1607" t="s">
        <v>7181</v>
      </c>
      <c r="C26" s="1593" t="s">
        <v>7201</v>
      </c>
      <c r="D26" s="1593" t="s">
        <v>7202</v>
      </c>
      <c r="E26" s="1597">
        <v>0.153</v>
      </c>
      <c r="F26" s="1595" t="s">
        <v>7203</v>
      </c>
      <c r="G26" s="1595" t="s">
        <v>7204</v>
      </c>
      <c r="H26" s="1597"/>
      <c r="I26" s="1596"/>
      <c r="J26" s="1597">
        <v>0.186</v>
      </c>
      <c r="K26" s="1597">
        <v>0.21299999999999999</v>
      </c>
      <c r="L26" s="1952" t="s">
        <v>7205</v>
      </c>
    </row>
    <row r="27" spans="1:12" ht="67.5">
      <c r="A27" s="1595" t="s">
        <v>365</v>
      </c>
      <c r="B27" s="1607" t="s">
        <v>7181</v>
      </c>
      <c r="C27" s="1593" t="s">
        <v>7206</v>
      </c>
      <c r="D27" s="1593" t="s">
        <v>7207</v>
      </c>
      <c r="E27" s="1597">
        <v>0.56000000000000005</v>
      </c>
      <c r="F27" s="1595" t="s">
        <v>7208</v>
      </c>
      <c r="G27" s="1595" t="s">
        <v>7204</v>
      </c>
      <c r="H27" s="1596"/>
      <c r="I27" s="1596"/>
      <c r="J27" s="1598">
        <v>0.57999999999999996</v>
      </c>
      <c r="K27" s="1598">
        <v>0.6</v>
      </c>
      <c r="L27" s="1952"/>
    </row>
    <row r="28" spans="1:12" ht="45">
      <c r="A28" s="1595" t="s">
        <v>365</v>
      </c>
      <c r="B28" s="1607" t="s">
        <v>7181</v>
      </c>
      <c r="C28" s="1593" t="s">
        <v>7209</v>
      </c>
      <c r="D28" s="1593" t="s">
        <v>7210</v>
      </c>
      <c r="E28" s="1595">
        <v>287</v>
      </c>
      <c r="F28" s="1595" t="s">
        <v>7211</v>
      </c>
      <c r="G28" s="1595" t="s">
        <v>7212</v>
      </c>
      <c r="H28" s="1596"/>
      <c r="I28" s="1596"/>
      <c r="J28" s="1595">
        <v>220</v>
      </c>
      <c r="K28" s="1595">
        <v>220</v>
      </c>
      <c r="L28" s="1952"/>
    </row>
    <row r="29" spans="1:12" ht="33.75">
      <c r="A29" s="1595" t="s">
        <v>365</v>
      </c>
      <c r="B29" s="1607" t="s">
        <v>7181</v>
      </c>
      <c r="C29" s="1593" t="s">
        <v>7213</v>
      </c>
      <c r="D29" s="1593" t="s">
        <v>7214</v>
      </c>
      <c r="E29" s="1597">
        <v>1</v>
      </c>
      <c r="F29" s="1595" t="s">
        <v>7215</v>
      </c>
      <c r="G29" s="1595" t="s">
        <v>7216</v>
      </c>
      <c r="H29" s="1596"/>
      <c r="I29" s="1596"/>
      <c r="J29" s="1598">
        <v>1</v>
      </c>
      <c r="K29" s="1598">
        <v>1</v>
      </c>
      <c r="L29" s="1952"/>
    </row>
    <row r="30" spans="1:12" ht="90">
      <c r="A30" s="1595" t="s">
        <v>365</v>
      </c>
      <c r="B30" s="1607" t="s">
        <v>7217</v>
      </c>
      <c r="C30" s="1593" t="s">
        <v>7218</v>
      </c>
      <c r="D30" s="1593" t="s">
        <v>7219</v>
      </c>
      <c r="E30" s="1597">
        <v>1</v>
      </c>
      <c r="F30" s="1595" t="s">
        <v>7220</v>
      </c>
      <c r="G30" s="1595" t="s">
        <v>7221</v>
      </c>
      <c r="H30" s="1596"/>
      <c r="I30" s="1596"/>
      <c r="J30" s="1598">
        <v>1</v>
      </c>
      <c r="K30" s="1598">
        <v>1</v>
      </c>
      <c r="L30" s="1952"/>
    </row>
    <row r="31" spans="1:12" ht="45">
      <c r="A31" s="1941" t="s">
        <v>367</v>
      </c>
      <c r="B31" s="1942" t="s">
        <v>263</v>
      </c>
      <c r="C31" s="1599" t="s">
        <v>7222</v>
      </c>
      <c r="D31" s="1599" t="s">
        <v>7223</v>
      </c>
      <c r="E31" s="1600">
        <v>0.45</v>
      </c>
      <c r="F31" s="1096" t="s">
        <v>367</v>
      </c>
      <c r="G31" s="1096" t="s">
        <v>7224</v>
      </c>
      <c r="H31" s="1601">
        <v>0.55000000000000004</v>
      </c>
      <c r="I31" s="1601">
        <v>0.7</v>
      </c>
      <c r="J31" s="1601">
        <v>0.6</v>
      </c>
      <c r="K31" s="1601">
        <v>0.65</v>
      </c>
      <c r="L31" s="1943" t="s">
        <v>7225</v>
      </c>
    </row>
    <row r="32" spans="1:12" ht="22.5">
      <c r="A32" s="1941"/>
      <c r="B32" s="1942"/>
      <c r="C32" s="1599" t="s">
        <v>7226</v>
      </c>
      <c r="D32" s="1599" t="s">
        <v>7227</v>
      </c>
      <c r="E32" s="1096">
        <v>0</v>
      </c>
      <c r="F32" s="1096" t="s">
        <v>367</v>
      </c>
      <c r="G32" s="1096" t="s">
        <v>7228</v>
      </c>
      <c r="H32" s="1601">
        <v>0.75</v>
      </c>
      <c r="I32" s="1601">
        <v>0.9</v>
      </c>
      <c r="J32" s="1601">
        <v>0.8</v>
      </c>
      <c r="K32" s="1601">
        <v>0.85</v>
      </c>
      <c r="L32" s="1943"/>
    </row>
    <row r="33" spans="1:12" ht="33.75">
      <c r="A33" s="1941"/>
      <c r="B33" s="1942"/>
      <c r="C33" s="1599" t="s">
        <v>7229</v>
      </c>
      <c r="D33" s="1599" t="s">
        <v>7230</v>
      </c>
      <c r="E33" s="1096">
        <v>0</v>
      </c>
      <c r="F33" s="1096" t="s">
        <v>367</v>
      </c>
      <c r="G33" s="1096" t="s">
        <v>7231</v>
      </c>
      <c r="H33" s="1601">
        <v>1</v>
      </c>
      <c r="I33" s="1601">
        <v>1</v>
      </c>
      <c r="J33" s="1601">
        <v>1</v>
      </c>
      <c r="K33" s="1601">
        <v>1</v>
      </c>
      <c r="L33" s="1943"/>
    </row>
  </sheetData>
  <mergeCells count="17">
    <mergeCell ref="L26:L30"/>
    <mergeCell ref="A31:A33"/>
    <mergeCell ref="B31:B33"/>
    <mergeCell ref="L31:L33"/>
    <mergeCell ref="F3:F4"/>
    <mergeCell ref="G3:G4"/>
    <mergeCell ref="H3:I3"/>
    <mergeCell ref="L3:L4"/>
    <mergeCell ref="A3:A4"/>
    <mergeCell ref="B3:B4"/>
    <mergeCell ref="C3:C4"/>
    <mergeCell ref="D3:D4"/>
    <mergeCell ref="E3:E4"/>
    <mergeCell ref="L5:L14"/>
    <mergeCell ref="L15:L16"/>
    <mergeCell ref="L17:L19"/>
    <mergeCell ref="L20:L25"/>
  </mergeCells>
  <printOptions horizontalCentered="1"/>
  <pageMargins left="0.19685039370078741" right="0.19685039370078741" top="0.78740157480314965" bottom="0.78740157480314965" header="0.19685039370078741" footer="0.19685039370078741"/>
  <pageSetup paperSize="9" fitToHeight="10" orientation="landscape" r:id="rId1"/>
  <headerFooter alignWithMargins="0">
    <oddHeader>&amp;C&amp;"Arial,Negrita"&amp;18FORMATOS DEL PROYECTO DE PRESUPUESTO 2021</oddHeader>
    <oddFooter>&amp;L&amp;"Arial,Negrita"&amp;8PROYECTO DE PRESUPUESTO PARA EL AÑO FISCAL 2021
INFORMACIÓN PARA LA COMISIÓN DE PRESUPUESTO Y CUENTA GENERAL DE LA REPÚBLICA DEL CONGRESO DE LA REPÚBLICA</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2060"/>
  </sheetPr>
  <dimension ref="A1:AB60"/>
  <sheetViews>
    <sheetView view="pageBreakPreview" zoomScaleNormal="100" zoomScaleSheetLayoutView="100" workbookViewId="0">
      <selection activeCell="B8" sqref="B8"/>
    </sheetView>
  </sheetViews>
  <sheetFormatPr baseColWidth="10" defaultColWidth="11.42578125" defaultRowHeight="12.75"/>
  <cols>
    <col min="1" max="1" width="29.28515625" style="11" customWidth="1"/>
    <col min="2" max="3" width="5.140625" style="11" bestFit="1" customWidth="1"/>
    <col min="4" max="4" width="7.28515625" style="11" bestFit="1" customWidth="1"/>
    <col min="5" max="8" width="5.140625" style="11" bestFit="1" customWidth="1"/>
    <col min="9" max="9" width="4.7109375" style="11" bestFit="1" customWidth="1"/>
    <col min="10" max="10" width="5.140625" style="11" bestFit="1" customWidth="1"/>
    <col min="11" max="11" width="4.140625" style="11" bestFit="1" customWidth="1"/>
    <col min="12" max="12" width="10" style="11" bestFit="1" customWidth="1"/>
    <col min="13" max="14" width="5.140625" style="11" bestFit="1" customWidth="1"/>
    <col min="15" max="15" width="7.28515625" style="11" bestFit="1" customWidth="1"/>
    <col min="16" max="19" width="5.140625" style="11" bestFit="1" customWidth="1"/>
    <col min="20" max="20" width="4.7109375" style="11" bestFit="1" customWidth="1"/>
    <col min="21" max="21" width="5.140625" style="11" bestFit="1" customWidth="1"/>
    <col min="22" max="22" width="4.140625" style="11" bestFit="1" customWidth="1"/>
    <col min="23" max="23" width="10" style="11" bestFit="1" customWidth="1"/>
    <col min="24" max="24" width="1.7109375" style="52" customWidth="1"/>
    <col min="25" max="28" width="10.7109375" customWidth="1"/>
    <col min="29" max="16384" width="11.42578125" style="68"/>
  </cols>
  <sheetData>
    <row r="1" spans="1:28" s="72" customFormat="1" ht="15.75">
      <c r="A1" s="186" t="s">
        <v>458</v>
      </c>
      <c r="B1" s="71"/>
      <c r="C1" s="71"/>
      <c r="D1" s="71"/>
      <c r="E1" s="71"/>
      <c r="F1" s="71"/>
      <c r="G1" s="71"/>
      <c r="H1" s="71"/>
      <c r="I1" s="71"/>
      <c r="J1" s="71"/>
      <c r="K1" s="71"/>
      <c r="L1" s="71"/>
      <c r="M1" s="71"/>
      <c r="N1" s="71"/>
      <c r="O1" s="71"/>
      <c r="P1" s="71"/>
      <c r="Q1" s="71"/>
      <c r="R1" s="71"/>
      <c r="S1" s="71"/>
      <c r="T1" s="71"/>
      <c r="U1" s="71"/>
      <c r="V1" s="71"/>
      <c r="W1" s="71"/>
      <c r="X1" s="73"/>
    </row>
    <row r="2" spans="1:28" s="72" customFormat="1" ht="15.75">
      <c r="A2" s="186" t="s">
        <v>1655</v>
      </c>
      <c r="B2" s="71"/>
      <c r="C2" s="71"/>
      <c r="D2" s="71"/>
      <c r="E2" s="71"/>
      <c r="F2" s="71"/>
      <c r="G2" s="71"/>
      <c r="H2" s="71"/>
      <c r="I2" s="71"/>
      <c r="J2" s="71"/>
      <c r="K2" s="71"/>
      <c r="L2" s="71"/>
      <c r="M2" s="71"/>
      <c r="N2" s="71"/>
      <c r="O2" s="71"/>
      <c r="P2" s="71"/>
      <c r="Q2" s="71"/>
      <c r="R2" s="71"/>
      <c r="S2" s="71"/>
      <c r="T2" s="71"/>
      <c r="U2" s="71"/>
      <c r="V2" s="71"/>
      <c r="W2" s="71"/>
      <c r="X2" s="73"/>
    </row>
    <row r="3" spans="1:28" s="56" customFormat="1" ht="15.75">
      <c r="A3" s="187" t="s">
        <v>4969</v>
      </c>
      <c r="X3" s="51"/>
    </row>
    <row r="4" spans="1:28" ht="13.5" thickBot="1">
      <c r="L4" s="12"/>
      <c r="W4" s="12"/>
    </row>
    <row r="5" spans="1:28" s="41" customFormat="1" ht="11.25">
      <c r="A5" s="120" t="s">
        <v>10</v>
      </c>
      <c r="B5" s="2001" t="s">
        <v>456</v>
      </c>
      <c r="C5" s="2002"/>
      <c r="D5" s="2002"/>
      <c r="E5" s="2002"/>
      <c r="F5" s="2002"/>
      <c r="G5" s="2002"/>
      <c r="H5" s="2002"/>
      <c r="I5" s="2002"/>
      <c r="J5" s="2002"/>
      <c r="K5" s="2002"/>
      <c r="L5" s="2003"/>
      <c r="M5" s="2001" t="s">
        <v>457</v>
      </c>
      <c r="N5" s="2002"/>
      <c r="O5" s="2002"/>
      <c r="P5" s="2002"/>
      <c r="Q5" s="2002"/>
      <c r="R5" s="2002"/>
      <c r="S5" s="2002"/>
      <c r="T5" s="2002"/>
      <c r="U5" s="2002"/>
      <c r="V5" s="2002"/>
      <c r="W5" s="2003"/>
      <c r="X5" s="53"/>
    </row>
    <row r="6" spans="1:28" s="42" customFormat="1" ht="98.25">
      <c r="A6" s="121" t="s">
        <v>9</v>
      </c>
      <c r="B6" s="122" t="s">
        <v>310</v>
      </c>
      <c r="C6" s="122" t="s">
        <v>118</v>
      </c>
      <c r="D6" s="123" t="s">
        <v>266</v>
      </c>
      <c r="E6" s="123" t="s">
        <v>259</v>
      </c>
      <c r="F6" s="123" t="s">
        <v>268</v>
      </c>
      <c r="G6" s="123" t="s">
        <v>269</v>
      </c>
      <c r="H6" s="123" t="s">
        <v>270</v>
      </c>
      <c r="I6" s="123" t="s">
        <v>277</v>
      </c>
      <c r="J6" s="124" t="s">
        <v>272</v>
      </c>
      <c r="K6" s="125" t="s">
        <v>274</v>
      </c>
      <c r="L6" s="126" t="s">
        <v>276</v>
      </c>
      <c r="M6" s="122" t="s">
        <v>310</v>
      </c>
      <c r="N6" s="122" t="s">
        <v>118</v>
      </c>
      <c r="O6" s="123" t="s">
        <v>266</v>
      </c>
      <c r="P6" s="123" t="s">
        <v>259</v>
      </c>
      <c r="Q6" s="123" t="s">
        <v>268</v>
      </c>
      <c r="R6" s="123" t="s">
        <v>269</v>
      </c>
      <c r="S6" s="123" t="s">
        <v>270</v>
      </c>
      <c r="T6" s="123" t="s">
        <v>277</v>
      </c>
      <c r="U6" s="124" t="s">
        <v>272</v>
      </c>
      <c r="V6" s="125" t="s">
        <v>274</v>
      </c>
      <c r="W6" s="126" t="s">
        <v>275</v>
      </c>
      <c r="X6" s="54"/>
    </row>
    <row r="7" spans="1:28" s="712" customFormat="1" ht="6">
      <c r="A7" s="2007"/>
      <c r="B7" s="2008"/>
      <c r="C7" s="2008"/>
      <c r="D7" s="2008"/>
      <c r="E7" s="2008"/>
      <c r="F7" s="2008"/>
      <c r="G7" s="2008"/>
      <c r="H7" s="2008"/>
      <c r="I7" s="2008"/>
      <c r="J7" s="2008"/>
      <c r="K7" s="2008"/>
      <c r="L7" s="2008"/>
      <c r="M7" s="2008"/>
      <c r="N7" s="2008"/>
      <c r="O7" s="2008"/>
      <c r="P7" s="2008"/>
      <c r="Q7" s="2008"/>
      <c r="R7" s="2008"/>
      <c r="S7" s="2008"/>
      <c r="T7" s="2008"/>
      <c r="U7" s="2008"/>
      <c r="V7" s="2008"/>
      <c r="W7" s="2009"/>
      <c r="X7" s="711"/>
    </row>
    <row r="8" spans="1:28" ht="15">
      <c r="A8" s="2004" t="s">
        <v>7176</v>
      </c>
      <c r="B8" s="2005"/>
      <c r="C8" s="2005"/>
      <c r="D8" s="2005"/>
      <c r="E8" s="2005"/>
      <c r="F8" s="2005"/>
      <c r="G8" s="2005"/>
      <c r="H8" s="2005"/>
      <c r="I8" s="2005"/>
      <c r="J8" s="2005"/>
      <c r="K8" s="2005"/>
      <c r="L8" s="2005"/>
      <c r="M8" s="2005"/>
      <c r="N8" s="2005"/>
      <c r="O8" s="2005"/>
      <c r="P8" s="2005"/>
      <c r="Q8" s="2005"/>
      <c r="R8" s="2005"/>
      <c r="S8" s="2005"/>
      <c r="T8" s="2005"/>
      <c r="U8" s="2005"/>
      <c r="V8" s="2005"/>
      <c r="W8" s="2006"/>
      <c r="Y8" s="68"/>
      <c r="Z8" s="68"/>
      <c r="AA8" s="68"/>
      <c r="AB8" s="68"/>
    </row>
    <row r="9" spans="1:28" s="710" customFormat="1" ht="8.25">
      <c r="A9" s="2010"/>
      <c r="B9" s="2011"/>
      <c r="C9" s="2011"/>
      <c r="D9" s="2011"/>
      <c r="E9" s="2011"/>
      <c r="F9" s="2011"/>
      <c r="G9" s="2011"/>
      <c r="H9" s="2011"/>
      <c r="I9" s="2011"/>
      <c r="J9" s="2011"/>
      <c r="K9" s="2011"/>
      <c r="L9" s="2011"/>
      <c r="M9" s="2011"/>
      <c r="N9" s="2011"/>
      <c r="O9" s="2011"/>
      <c r="P9" s="2011"/>
      <c r="Q9" s="2011"/>
      <c r="R9" s="2011"/>
      <c r="S9" s="2011"/>
      <c r="T9" s="2011"/>
      <c r="U9" s="2011"/>
      <c r="V9" s="2011"/>
      <c r="W9" s="2012"/>
      <c r="X9" s="709"/>
    </row>
    <row r="10" spans="1:28" hidden="1">
      <c r="A10" s="476" t="s">
        <v>48</v>
      </c>
      <c r="B10" s="482">
        <f t="shared" ref="B10:W10" si="0">B11+B20+B27+B34</f>
        <v>0</v>
      </c>
      <c r="C10" s="482">
        <f t="shared" si="0"/>
        <v>0</v>
      </c>
      <c r="D10" s="482">
        <f t="shared" si="0"/>
        <v>0</v>
      </c>
      <c r="E10" s="482">
        <f t="shared" si="0"/>
        <v>0</v>
      </c>
      <c r="F10" s="482">
        <f t="shared" si="0"/>
        <v>0</v>
      </c>
      <c r="G10" s="482">
        <f t="shared" si="0"/>
        <v>0</v>
      </c>
      <c r="H10" s="482">
        <f t="shared" si="0"/>
        <v>0</v>
      </c>
      <c r="I10" s="482">
        <f t="shared" si="0"/>
        <v>0</v>
      </c>
      <c r="J10" s="482">
        <f t="shared" si="0"/>
        <v>0</v>
      </c>
      <c r="K10" s="482">
        <f t="shared" si="0"/>
        <v>0</v>
      </c>
      <c r="L10" s="474">
        <f t="shared" si="0"/>
        <v>0</v>
      </c>
      <c r="M10" s="482">
        <f t="shared" si="0"/>
        <v>0</v>
      </c>
      <c r="N10" s="482">
        <f t="shared" si="0"/>
        <v>0</v>
      </c>
      <c r="O10" s="482">
        <f t="shared" si="0"/>
        <v>0</v>
      </c>
      <c r="P10" s="482">
        <f t="shared" si="0"/>
        <v>0</v>
      </c>
      <c r="Q10" s="482">
        <f t="shared" si="0"/>
        <v>0</v>
      </c>
      <c r="R10" s="482">
        <f t="shared" si="0"/>
        <v>0</v>
      </c>
      <c r="S10" s="482">
        <f t="shared" si="0"/>
        <v>0</v>
      </c>
      <c r="T10" s="482">
        <f t="shared" si="0"/>
        <v>0</v>
      </c>
      <c r="U10" s="482">
        <f t="shared" si="0"/>
        <v>0</v>
      </c>
      <c r="V10" s="482">
        <f t="shared" si="0"/>
        <v>0</v>
      </c>
      <c r="W10" s="474">
        <f t="shared" si="0"/>
        <v>0</v>
      </c>
      <c r="X10" s="55"/>
      <c r="AA10" s="68"/>
      <c r="AB10" s="68"/>
    </row>
    <row r="11" spans="1:28" hidden="1">
      <c r="A11" s="486" t="s">
        <v>7</v>
      </c>
      <c r="B11" s="484">
        <f t="shared" ref="B11:W11" si="1">SUM(B12:B19)</f>
        <v>0</v>
      </c>
      <c r="C11" s="484">
        <f t="shared" si="1"/>
        <v>0</v>
      </c>
      <c r="D11" s="484">
        <f t="shared" si="1"/>
        <v>0</v>
      </c>
      <c r="E11" s="484">
        <f t="shared" si="1"/>
        <v>0</v>
      </c>
      <c r="F11" s="484">
        <f t="shared" si="1"/>
        <v>0</v>
      </c>
      <c r="G11" s="484">
        <f t="shared" si="1"/>
        <v>0</v>
      </c>
      <c r="H11" s="484">
        <f t="shared" si="1"/>
        <v>0</v>
      </c>
      <c r="I11" s="484">
        <f t="shared" si="1"/>
        <v>0</v>
      </c>
      <c r="J11" s="484">
        <f t="shared" si="1"/>
        <v>0</v>
      </c>
      <c r="K11" s="484">
        <f t="shared" si="1"/>
        <v>0</v>
      </c>
      <c r="L11" s="485">
        <f t="shared" si="1"/>
        <v>0</v>
      </c>
      <c r="M11" s="484">
        <f t="shared" si="1"/>
        <v>0</v>
      </c>
      <c r="N11" s="484">
        <f t="shared" si="1"/>
        <v>0</v>
      </c>
      <c r="O11" s="484">
        <f t="shared" si="1"/>
        <v>0</v>
      </c>
      <c r="P11" s="484">
        <f t="shared" si="1"/>
        <v>0</v>
      </c>
      <c r="Q11" s="484">
        <f t="shared" si="1"/>
        <v>0</v>
      </c>
      <c r="R11" s="484">
        <f t="shared" si="1"/>
        <v>0</v>
      </c>
      <c r="S11" s="484">
        <f t="shared" si="1"/>
        <v>0</v>
      </c>
      <c r="T11" s="484">
        <f t="shared" si="1"/>
        <v>0</v>
      </c>
      <c r="U11" s="484">
        <f t="shared" si="1"/>
        <v>0</v>
      </c>
      <c r="V11" s="484">
        <f t="shared" si="1"/>
        <v>0</v>
      </c>
      <c r="W11" s="485">
        <f t="shared" si="1"/>
        <v>0</v>
      </c>
      <c r="AA11" s="68"/>
      <c r="AB11" s="68"/>
    </row>
    <row r="12" spans="1:28" hidden="1">
      <c r="A12" s="15" t="s">
        <v>3</v>
      </c>
      <c r="B12" s="13"/>
      <c r="C12" s="13"/>
      <c r="D12" s="13"/>
      <c r="E12" s="13"/>
      <c r="F12" s="13"/>
      <c r="G12" s="13"/>
      <c r="H12" s="13"/>
      <c r="I12" s="13"/>
      <c r="J12" s="13"/>
      <c r="K12" s="13"/>
      <c r="L12" s="16"/>
      <c r="M12" s="13"/>
      <c r="N12" s="13"/>
      <c r="O12" s="13"/>
      <c r="P12" s="13"/>
      <c r="Q12" s="13"/>
      <c r="R12" s="13"/>
      <c r="S12" s="13"/>
      <c r="T12" s="13"/>
      <c r="U12" s="13"/>
      <c r="V12" s="13"/>
      <c r="W12" s="16"/>
      <c r="AA12" s="68"/>
      <c r="AB12" s="68"/>
    </row>
    <row r="13" spans="1:28" hidden="1">
      <c r="A13" s="15" t="s">
        <v>7062</v>
      </c>
      <c r="B13" s="13"/>
      <c r="C13" s="13"/>
      <c r="D13" s="13"/>
      <c r="E13" s="13"/>
      <c r="F13" s="13"/>
      <c r="G13" s="13"/>
      <c r="H13" s="13"/>
      <c r="I13" s="13"/>
      <c r="J13" s="13"/>
      <c r="K13" s="13"/>
      <c r="L13" s="16"/>
      <c r="M13" s="13"/>
      <c r="N13" s="13"/>
      <c r="O13" s="13"/>
      <c r="P13" s="13"/>
      <c r="Q13" s="13"/>
      <c r="R13" s="13"/>
      <c r="S13" s="13"/>
      <c r="T13" s="13"/>
      <c r="U13" s="13"/>
      <c r="V13" s="13"/>
      <c r="W13" s="16"/>
      <c r="AA13" s="68"/>
      <c r="AB13" s="68"/>
    </row>
    <row r="14" spans="1:28" hidden="1">
      <c r="A14" s="15" t="s">
        <v>7061</v>
      </c>
      <c r="B14" s="13"/>
      <c r="C14" s="13"/>
      <c r="D14" s="13"/>
      <c r="E14" s="13"/>
      <c r="F14" s="13"/>
      <c r="G14" s="13"/>
      <c r="H14" s="13"/>
      <c r="I14" s="13"/>
      <c r="J14" s="13"/>
      <c r="K14" s="13"/>
      <c r="L14" s="16"/>
      <c r="M14" s="13"/>
      <c r="N14" s="13"/>
      <c r="O14" s="13"/>
      <c r="P14" s="13"/>
      <c r="Q14" s="13"/>
      <c r="R14" s="13"/>
      <c r="S14" s="13"/>
      <c r="T14" s="13"/>
      <c r="U14" s="13"/>
      <c r="V14" s="13"/>
      <c r="W14" s="16"/>
      <c r="AA14" s="68"/>
      <c r="AB14" s="68"/>
    </row>
    <row r="15" spans="1:28" hidden="1">
      <c r="A15" s="15" t="s">
        <v>7060</v>
      </c>
      <c r="B15" s="13"/>
      <c r="C15" s="13"/>
      <c r="D15" s="13"/>
      <c r="E15" s="13"/>
      <c r="F15" s="13"/>
      <c r="G15" s="13"/>
      <c r="H15" s="13"/>
      <c r="I15" s="13"/>
      <c r="J15" s="13"/>
      <c r="K15" s="13">
        <f>SUM(B15:J15)</f>
        <v>0</v>
      </c>
      <c r="L15" s="472"/>
      <c r="M15" s="13"/>
      <c r="N15" s="13"/>
      <c r="O15" s="13"/>
      <c r="P15" s="13"/>
      <c r="Q15" s="13"/>
      <c r="R15" s="13"/>
      <c r="S15" s="13"/>
      <c r="T15" s="13"/>
      <c r="U15" s="13"/>
      <c r="V15" s="13">
        <f>SUM(M15:U15)</f>
        <v>0</v>
      </c>
      <c r="W15" s="472"/>
      <c r="AA15" s="68"/>
      <c r="AB15" s="68"/>
    </row>
    <row r="16" spans="1:28" hidden="1">
      <c r="A16" s="15" t="s">
        <v>7059</v>
      </c>
      <c r="B16" s="13"/>
      <c r="C16" s="13"/>
      <c r="D16" s="13"/>
      <c r="E16" s="13"/>
      <c r="F16" s="13"/>
      <c r="G16" s="13"/>
      <c r="H16" s="13"/>
      <c r="I16" s="13"/>
      <c r="J16" s="13"/>
      <c r="K16" s="13">
        <f>SUM(B16:J16)</f>
        <v>0</v>
      </c>
      <c r="L16" s="472"/>
      <c r="M16" s="13"/>
      <c r="N16" s="13"/>
      <c r="O16" s="13"/>
      <c r="P16" s="13"/>
      <c r="Q16" s="13"/>
      <c r="R16" s="13"/>
      <c r="S16" s="13"/>
      <c r="T16" s="13"/>
      <c r="U16" s="13"/>
      <c r="V16" s="13">
        <f>SUM(M16:U16)</f>
        <v>0</v>
      </c>
      <c r="W16" s="472"/>
      <c r="AA16" s="68"/>
      <c r="AB16" s="68"/>
    </row>
    <row r="17" spans="1:28" hidden="1">
      <c r="A17" s="15" t="s">
        <v>7058</v>
      </c>
      <c r="B17" s="13"/>
      <c r="C17" s="13"/>
      <c r="D17" s="13"/>
      <c r="E17" s="13"/>
      <c r="F17" s="13"/>
      <c r="G17" s="13"/>
      <c r="H17" s="13"/>
      <c r="I17" s="13"/>
      <c r="J17" s="13"/>
      <c r="K17" s="13">
        <f>SUM(B17:J17)</f>
        <v>0</v>
      </c>
      <c r="L17" s="472"/>
      <c r="M17" s="13"/>
      <c r="N17" s="13"/>
      <c r="O17" s="13"/>
      <c r="P17" s="13"/>
      <c r="Q17" s="13"/>
      <c r="R17" s="13"/>
      <c r="S17" s="13"/>
      <c r="T17" s="13"/>
      <c r="U17" s="13"/>
      <c r="V17" s="13">
        <f>SUM(M17:U17)</f>
        <v>0</v>
      </c>
      <c r="W17" s="472"/>
      <c r="AA17" s="68"/>
      <c r="AB17" s="68"/>
    </row>
    <row r="18" spans="1:28" hidden="1">
      <c r="A18" s="15" t="s">
        <v>7057</v>
      </c>
      <c r="B18" s="13"/>
      <c r="C18" s="13"/>
      <c r="D18" s="13"/>
      <c r="E18" s="13"/>
      <c r="F18" s="13"/>
      <c r="G18" s="13"/>
      <c r="H18" s="13"/>
      <c r="I18" s="13"/>
      <c r="J18" s="13"/>
      <c r="K18" s="13">
        <f>SUM(B18:J18)</f>
        <v>0</v>
      </c>
      <c r="L18" s="472"/>
      <c r="M18" s="13"/>
      <c r="N18" s="13"/>
      <c r="O18" s="13"/>
      <c r="P18" s="13"/>
      <c r="Q18" s="13"/>
      <c r="R18" s="13"/>
      <c r="S18" s="13"/>
      <c r="T18" s="13"/>
      <c r="U18" s="13"/>
      <c r="V18" s="13">
        <f>SUM(M18:U18)</f>
        <v>0</v>
      </c>
      <c r="W18" s="472"/>
      <c r="X18" s="55"/>
      <c r="AA18" s="68"/>
      <c r="AB18" s="68"/>
    </row>
    <row r="19" spans="1:28" hidden="1">
      <c r="A19" s="15" t="s">
        <v>12</v>
      </c>
      <c r="B19" s="13"/>
      <c r="C19" s="13"/>
      <c r="D19" s="13"/>
      <c r="E19" s="13"/>
      <c r="F19" s="13"/>
      <c r="G19" s="13"/>
      <c r="H19" s="13"/>
      <c r="I19" s="13"/>
      <c r="J19" s="13"/>
      <c r="K19" s="13">
        <f>SUM(B19:J19)</f>
        <v>0</v>
      </c>
      <c r="L19" s="472"/>
      <c r="M19" s="13"/>
      <c r="N19" s="13"/>
      <c r="O19" s="13"/>
      <c r="P19" s="13"/>
      <c r="Q19" s="13"/>
      <c r="R19" s="13"/>
      <c r="S19" s="13"/>
      <c r="T19" s="13"/>
      <c r="U19" s="13"/>
      <c r="V19" s="13">
        <f>SUM(M19:U19)</f>
        <v>0</v>
      </c>
      <c r="W19" s="472"/>
      <c r="AA19" s="68"/>
      <c r="AB19" s="68"/>
    </row>
    <row r="20" spans="1:28" hidden="1">
      <c r="A20" s="486" t="s">
        <v>4</v>
      </c>
      <c r="B20" s="484">
        <f t="shared" ref="B20:W20" si="2">SUM(B21:B26)</f>
        <v>0</v>
      </c>
      <c r="C20" s="484">
        <f t="shared" si="2"/>
        <v>0</v>
      </c>
      <c r="D20" s="484">
        <f t="shared" si="2"/>
        <v>0</v>
      </c>
      <c r="E20" s="484">
        <f t="shared" si="2"/>
        <v>0</v>
      </c>
      <c r="F20" s="484">
        <f t="shared" si="2"/>
        <v>0</v>
      </c>
      <c r="G20" s="484">
        <f t="shared" si="2"/>
        <v>0</v>
      </c>
      <c r="H20" s="484">
        <f t="shared" si="2"/>
        <v>0</v>
      </c>
      <c r="I20" s="484">
        <f t="shared" si="2"/>
        <v>0</v>
      </c>
      <c r="J20" s="484">
        <f t="shared" si="2"/>
        <v>0</v>
      </c>
      <c r="K20" s="484">
        <f t="shared" si="2"/>
        <v>0</v>
      </c>
      <c r="L20" s="485">
        <f t="shared" si="2"/>
        <v>0</v>
      </c>
      <c r="M20" s="484">
        <f t="shared" si="2"/>
        <v>0</v>
      </c>
      <c r="N20" s="484">
        <f t="shared" si="2"/>
        <v>0</v>
      </c>
      <c r="O20" s="484">
        <f t="shared" si="2"/>
        <v>0</v>
      </c>
      <c r="P20" s="484">
        <f t="shared" si="2"/>
        <v>0</v>
      </c>
      <c r="Q20" s="484">
        <f t="shared" si="2"/>
        <v>0</v>
      </c>
      <c r="R20" s="484">
        <f t="shared" si="2"/>
        <v>0</v>
      </c>
      <c r="S20" s="484">
        <f t="shared" si="2"/>
        <v>0</v>
      </c>
      <c r="T20" s="484">
        <f t="shared" si="2"/>
        <v>0</v>
      </c>
      <c r="U20" s="484">
        <f t="shared" si="2"/>
        <v>0</v>
      </c>
      <c r="V20" s="484">
        <f t="shared" si="2"/>
        <v>0</v>
      </c>
      <c r="W20" s="485">
        <f t="shared" si="2"/>
        <v>0</v>
      </c>
      <c r="AA20" s="68"/>
      <c r="AB20" s="68"/>
    </row>
    <row r="21" spans="1:28" hidden="1">
      <c r="A21" s="15" t="s">
        <v>13</v>
      </c>
      <c r="B21" s="13"/>
      <c r="C21" s="13"/>
      <c r="D21" s="13"/>
      <c r="E21" s="13"/>
      <c r="F21" s="13"/>
      <c r="G21" s="13"/>
      <c r="H21" s="13"/>
      <c r="I21" s="13"/>
      <c r="J21" s="13"/>
      <c r="K21" s="13">
        <f t="shared" ref="K21:K26" si="3">SUM(B21:J21)</f>
        <v>0</v>
      </c>
      <c r="L21" s="472"/>
      <c r="M21" s="13"/>
      <c r="N21" s="13"/>
      <c r="O21" s="13"/>
      <c r="P21" s="13"/>
      <c r="Q21" s="13"/>
      <c r="R21" s="13"/>
      <c r="S21" s="13"/>
      <c r="T21" s="13"/>
      <c r="U21" s="13"/>
      <c r="V21" s="13">
        <f t="shared" ref="V21:V26" si="4">SUM(M21:U21)</f>
        <v>0</v>
      </c>
      <c r="W21" s="472"/>
      <c r="AA21" s="68"/>
      <c r="AB21" s="68"/>
    </row>
    <row r="22" spans="1:28" hidden="1">
      <c r="A22" s="15" t="s">
        <v>6978</v>
      </c>
      <c r="B22" s="13"/>
      <c r="C22" s="13"/>
      <c r="D22" s="13"/>
      <c r="E22" s="13"/>
      <c r="F22" s="13"/>
      <c r="G22" s="13"/>
      <c r="H22" s="13"/>
      <c r="I22" s="13"/>
      <c r="J22" s="13"/>
      <c r="K22" s="13">
        <f t="shared" si="3"/>
        <v>0</v>
      </c>
      <c r="L22" s="472"/>
      <c r="M22" s="13"/>
      <c r="N22" s="13"/>
      <c r="O22" s="13"/>
      <c r="P22" s="13"/>
      <c r="Q22" s="13"/>
      <c r="R22" s="13"/>
      <c r="S22" s="13"/>
      <c r="T22" s="13"/>
      <c r="U22" s="13"/>
      <c r="V22" s="13">
        <f t="shared" si="4"/>
        <v>0</v>
      </c>
      <c r="W22" s="472"/>
      <c r="AA22" s="68"/>
      <c r="AB22" s="68"/>
    </row>
    <row r="23" spans="1:28" hidden="1">
      <c r="A23" s="15" t="s">
        <v>6977</v>
      </c>
      <c r="B23" s="13"/>
      <c r="C23" s="13"/>
      <c r="D23" s="13"/>
      <c r="E23" s="13"/>
      <c r="F23" s="13"/>
      <c r="G23" s="13"/>
      <c r="H23" s="13"/>
      <c r="I23" s="13"/>
      <c r="J23" s="13"/>
      <c r="K23" s="13">
        <f t="shared" si="3"/>
        <v>0</v>
      </c>
      <c r="L23" s="472"/>
      <c r="M23" s="13"/>
      <c r="N23" s="13"/>
      <c r="O23" s="13"/>
      <c r="P23" s="13"/>
      <c r="Q23" s="13"/>
      <c r="R23" s="13"/>
      <c r="S23" s="13"/>
      <c r="T23" s="13"/>
      <c r="U23" s="13"/>
      <c r="V23" s="13">
        <f t="shared" si="4"/>
        <v>0</v>
      </c>
      <c r="W23" s="472"/>
      <c r="X23" s="55"/>
      <c r="AA23" s="68"/>
      <c r="AB23" s="68"/>
    </row>
    <row r="24" spans="1:28" hidden="1">
      <c r="A24" s="15" t="s">
        <v>6976</v>
      </c>
      <c r="B24" s="13"/>
      <c r="C24" s="13"/>
      <c r="D24" s="13"/>
      <c r="E24" s="13"/>
      <c r="F24" s="13"/>
      <c r="G24" s="13"/>
      <c r="H24" s="13"/>
      <c r="I24" s="13"/>
      <c r="J24" s="13"/>
      <c r="K24" s="13">
        <f t="shared" si="3"/>
        <v>0</v>
      </c>
      <c r="L24" s="472"/>
      <c r="M24" s="13"/>
      <c r="N24" s="13"/>
      <c r="O24" s="13"/>
      <c r="P24" s="13"/>
      <c r="Q24" s="13"/>
      <c r="R24" s="13"/>
      <c r="S24" s="13"/>
      <c r="T24" s="13"/>
      <c r="U24" s="13"/>
      <c r="V24" s="13">
        <f t="shared" si="4"/>
        <v>0</v>
      </c>
      <c r="W24" s="472"/>
      <c r="AA24" s="68"/>
      <c r="AB24" s="68"/>
    </row>
    <row r="25" spans="1:28" hidden="1">
      <c r="A25" s="15" t="s">
        <v>14</v>
      </c>
      <c r="B25" s="13"/>
      <c r="C25" s="13"/>
      <c r="D25" s="13"/>
      <c r="E25" s="13"/>
      <c r="F25" s="13"/>
      <c r="G25" s="13"/>
      <c r="H25" s="13"/>
      <c r="I25" s="13"/>
      <c r="J25" s="13"/>
      <c r="K25" s="13">
        <f t="shared" si="3"/>
        <v>0</v>
      </c>
      <c r="L25" s="472"/>
      <c r="M25" s="13"/>
      <c r="N25" s="13"/>
      <c r="O25" s="13"/>
      <c r="P25" s="13"/>
      <c r="Q25" s="13"/>
      <c r="R25" s="13"/>
      <c r="S25" s="13"/>
      <c r="T25" s="13"/>
      <c r="U25" s="13"/>
      <c r="V25" s="13">
        <f t="shared" si="4"/>
        <v>0</v>
      </c>
      <c r="W25" s="472"/>
      <c r="AA25" s="68"/>
      <c r="AB25" s="68"/>
    </row>
    <row r="26" spans="1:28" hidden="1">
      <c r="A26" s="15" t="s">
        <v>6975</v>
      </c>
      <c r="B26" s="13"/>
      <c r="C26" s="13"/>
      <c r="D26" s="13"/>
      <c r="E26" s="13"/>
      <c r="F26" s="13"/>
      <c r="G26" s="13"/>
      <c r="H26" s="13"/>
      <c r="I26" s="13"/>
      <c r="J26" s="13"/>
      <c r="K26" s="13">
        <f t="shared" si="3"/>
        <v>0</v>
      </c>
      <c r="L26" s="472"/>
      <c r="M26" s="13"/>
      <c r="N26" s="13"/>
      <c r="O26" s="13"/>
      <c r="P26" s="13"/>
      <c r="Q26" s="13"/>
      <c r="R26" s="13"/>
      <c r="S26" s="13"/>
      <c r="T26" s="13"/>
      <c r="U26" s="13"/>
      <c r="V26" s="13">
        <f t="shared" si="4"/>
        <v>0</v>
      </c>
      <c r="W26" s="472"/>
      <c r="AA26" s="68"/>
      <c r="AB26" s="68"/>
    </row>
    <row r="27" spans="1:28" hidden="1">
      <c r="A27" s="486" t="s">
        <v>5</v>
      </c>
      <c r="B27" s="484">
        <f t="shared" ref="B27:W27" si="5">SUM(B28:B33)</f>
        <v>0</v>
      </c>
      <c r="C27" s="484">
        <f t="shared" si="5"/>
        <v>0</v>
      </c>
      <c r="D27" s="484">
        <f t="shared" si="5"/>
        <v>0</v>
      </c>
      <c r="E27" s="484">
        <f t="shared" si="5"/>
        <v>0</v>
      </c>
      <c r="F27" s="484">
        <f t="shared" si="5"/>
        <v>0</v>
      </c>
      <c r="G27" s="484">
        <f t="shared" si="5"/>
        <v>0</v>
      </c>
      <c r="H27" s="484">
        <f t="shared" si="5"/>
        <v>0</v>
      </c>
      <c r="I27" s="484">
        <f t="shared" si="5"/>
        <v>0</v>
      </c>
      <c r="J27" s="484">
        <f t="shared" si="5"/>
        <v>0</v>
      </c>
      <c r="K27" s="484">
        <f t="shared" si="5"/>
        <v>0</v>
      </c>
      <c r="L27" s="485">
        <f t="shared" si="5"/>
        <v>0</v>
      </c>
      <c r="M27" s="484">
        <f t="shared" si="5"/>
        <v>0</v>
      </c>
      <c r="N27" s="484">
        <f t="shared" si="5"/>
        <v>0</v>
      </c>
      <c r="O27" s="484">
        <f t="shared" si="5"/>
        <v>0</v>
      </c>
      <c r="P27" s="484">
        <f t="shared" si="5"/>
        <v>0</v>
      </c>
      <c r="Q27" s="484">
        <f t="shared" si="5"/>
        <v>0</v>
      </c>
      <c r="R27" s="484">
        <f t="shared" si="5"/>
        <v>0</v>
      </c>
      <c r="S27" s="484">
        <f t="shared" si="5"/>
        <v>0</v>
      </c>
      <c r="T27" s="484">
        <f t="shared" si="5"/>
        <v>0</v>
      </c>
      <c r="U27" s="484">
        <f t="shared" si="5"/>
        <v>0</v>
      </c>
      <c r="V27" s="484">
        <f t="shared" si="5"/>
        <v>0</v>
      </c>
      <c r="W27" s="485">
        <f t="shared" si="5"/>
        <v>0</v>
      </c>
      <c r="AA27" s="68"/>
      <c r="AB27" s="68"/>
    </row>
    <row r="28" spans="1:28" hidden="1">
      <c r="A28" s="15" t="s">
        <v>15</v>
      </c>
      <c r="B28" s="13"/>
      <c r="C28" s="13"/>
      <c r="D28" s="13"/>
      <c r="E28" s="13"/>
      <c r="F28" s="13"/>
      <c r="G28" s="13"/>
      <c r="H28" s="13"/>
      <c r="I28" s="13"/>
      <c r="J28" s="13"/>
      <c r="K28" s="13">
        <f t="shared" ref="K28:K33" si="6">SUM(B28:J28)</f>
        <v>0</v>
      </c>
      <c r="L28" s="472"/>
      <c r="M28" s="13"/>
      <c r="N28" s="13"/>
      <c r="O28" s="13"/>
      <c r="P28" s="13"/>
      <c r="Q28" s="13"/>
      <c r="R28" s="13"/>
      <c r="S28" s="13"/>
      <c r="T28" s="13"/>
      <c r="U28" s="13"/>
      <c r="V28" s="13">
        <f t="shared" ref="V28:V33" si="7">SUM(M28:U28)</f>
        <v>0</v>
      </c>
      <c r="W28" s="472"/>
      <c r="X28" s="55"/>
      <c r="AA28" s="68"/>
      <c r="AB28" s="68"/>
    </row>
    <row r="29" spans="1:28" hidden="1">
      <c r="A29" s="15" t="s">
        <v>7056</v>
      </c>
      <c r="B29" s="13"/>
      <c r="C29" s="13"/>
      <c r="D29" s="13"/>
      <c r="E29" s="13"/>
      <c r="F29" s="13"/>
      <c r="G29" s="13"/>
      <c r="H29" s="13"/>
      <c r="I29" s="13"/>
      <c r="J29" s="13"/>
      <c r="K29" s="13">
        <f t="shared" si="6"/>
        <v>0</v>
      </c>
      <c r="L29" s="472"/>
      <c r="M29" s="13"/>
      <c r="N29" s="13"/>
      <c r="O29" s="13"/>
      <c r="P29" s="13"/>
      <c r="Q29" s="13"/>
      <c r="R29" s="13"/>
      <c r="S29" s="13"/>
      <c r="T29" s="13"/>
      <c r="U29" s="13"/>
      <c r="V29" s="13">
        <f t="shared" si="7"/>
        <v>0</v>
      </c>
      <c r="W29" s="472"/>
      <c r="AA29" s="68"/>
      <c r="AB29" s="68"/>
    </row>
    <row r="30" spans="1:28" hidden="1">
      <c r="A30" s="15" t="s">
        <v>6972</v>
      </c>
      <c r="B30" s="13"/>
      <c r="C30" s="13"/>
      <c r="D30" s="13"/>
      <c r="E30" s="13"/>
      <c r="F30" s="13"/>
      <c r="G30" s="13"/>
      <c r="H30" s="13"/>
      <c r="I30" s="13"/>
      <c r="J30" s="13"/>
      <c r="K30" s="13">
        <f t="shared" si="6"/>
        <v>0</v>
      </c>
      <c r="L30" s="472"/>
      <c r="M30" s="13"/>
      <c r="N30" s="13"/>
      <c r="O30" s="13"/>
      <c r="P30" s="13"/>
      <c r="Q30" s="13"/>
      <c r="R30" s="13"/>
      <c r="S30" s="13"/>
      <c r="T30" s="13"/>
      <c r="U30" s="13"/>
      <c r="V30" s="13">
        <f t="shared" si="7"/>
        <v>0</v>
      </c>
      <c r="W30" s="472"/>
      <c r="AA30" s="68"/>
      <c r="AB30" s="68"/>
    </row>
    <row r="31" spans="1:28" hidden="1">
      <c r="A31" s="15" t="s">
        <v>6971</v>
      </c>
      <c r="B31" s="13"/>
      <c r="C31" s="13"/>
      <c r="D31" s="13"/>
      <c r="E31" s="13"/>
      <c r="F31" s="13"/>
      <c r="G31" s="13"/>
      <c r="H31" s="13"/>
      <c r="I31" s="13"/>
      <c r="J31" s="13"/>
      <c r="K31" s="13">
        <f t="shared" si="6"/>
        <v>0</v>
      </c>
      <c r="L31" s="472"/>
      <c r="M31" s="13"/>
      <c r="N31" s="13"/>
      <c r="O31" s="13"/>
      <c r="P31" s="13"/>
      <c r="Q31" s="13"/>
      <c r="R31" s="13"/>
      <c r="S31" s="13"/>
      <c r="T31" s="13"/>
      <c r="U31" s="13"/>
      <c r="V31" s="13">
        <f t="shared" si="7"/>
        <v>0</v>
      </c>
      <c r="W31" s="472"/>
      <c r="AA31" s="68"/>
      <c r="AB31" s="68"/>
    </row>
    <row r="32" spans="1:28" hidden="1">
      <c r="A32" s="15" t="s">
        <v>16</v>
      </c>
      <c r="B32" s="13"/>
      <c r="C32" s="13"/>
      <c r="D32" s="13"/>
      <c r="E32" s="13"/>
      <c r="F32" s="13"/>
      <c r="G32" s="13"/>
      <c r="H32" s="13"/>
      <c r="I32" s="13"/>
      <c r="J32" s="13"/>
      <c r="K32" s="13">
        <f t="shared" si="6"/>
        <v>0</v>
      </c>
      <c r="L32" s="472"/>
      <c r="M32" s="13"/>
      <c r="N32" s="13"/>
      <c r="O32" s="13"/>
      <c r="P32" s="13"/>
      <c r="Q32" s="13"/>
      <c r="R32" s="13"/>
      <c r="S32" s="13"/>
      <c r="T32" s="13"/>
      <c r="U32" s="13"/>
      <c r="V32" s="13">
        <f t="shared" si="7"/>
        <v>0</v>
      </c>
      <c r="W32" s="472"/>
      <c r="AA32" s="68"/>
      <c r="AB32" s="68"/>
    </row>
    <row r="33" spans="1:28" hidden="1">
      <c r="A33" s="15" t="s">
        <v>6970</v>
      </c>
      <c r="B33" s="13"/>
      <c r="C33" s="13"/>
      <c r="D33" s="13"/>
      <c r="E33" s="13"/>
      <c r="F33" s="13"/>
      <c r="G33" s="13"/>
      <c r="H33" s="13"/>
      <c r="I33" s="13"/>
      <c r="J33" s="13"/>
      <c r="K33" s="13">
        <f t="shared" si="6"/>
        <v>0</v>
      </c>
      <c r="L33" s="472"/>
      <c r="M33" s="13"/>
      <c r="N33" s="13"/>
      <c r="O33" s="13"/>
      <c r="P33" s="13"/>
      <c r="Q33" s="13"/>
      <c r="R33" s="13"/>
      <c r="S33" s="13"/>
      <c r="T33" s="13"/>
      <c r="U33" s="13"/>
      <c r="V33" s="13">
        <f t="shared" si="7"/>
        <v>0</v>
      </c>
      <c r="W33" s="472"/>
      <c r="AA33" s="68"/>
      <c r="AB33" s="68"/>
    </row>
    <row r="34" spans="1:28" hidden="1">
      <c r="A34" s="486" t="s">
        <v>6</v>
      </c>
      <c r="B34" s="484">
        <f t="shared" ref="B34:W34" si="8">SUM(B35:B40)</f>
        <v>0</v>
      </c>
      <c r="C34" s="484">
        <f t="shared" si="8"/>
        <v>0</v>
      </c>
      <c r="D34" s="484">
        <f t="shared" si="8"/>
        <v>0</v>
      </c>
      <c r="E34" s="484">
        <f t="shared" si="8"/>
        <v>0</v>
      </c>
      <c r="F34" s="484">
        <f t="shared" si="8"/>
        <v>0</v>
      </c>
      <c r="G34" s="484">
        <f t="shared" si="8"/>
        <v>0</v>
      </c>
      <c r="H34" s="484">
        <f t="shared" si="8"/>
        <v>0</v>
      </c>
      <c r="I34" s="484">
        <f t="shared" si="8"/>
        <v>0</v>
      </c>
      <c r="J34" s="484">
        <f t="shared" si="8"/>
        <v>0</v>
      </c>
      <c r="K34" s="484">
        <f t="shared" si="8"/>
        <v>0</v>
      </c>
      <c r="L34" s="485">
        <f t="shared" si="8"/>
        <v>0</v>
      </c>
      <c r="M34" s="484">
        <f t="shared" si="8"/>
        <v>0</v>
      </c>
      <c r="N34" s="484">
        <f t="shared" si="8"/>
        <v>0</v>
      </c>
      <c r="O34" s="484">
        <f t="shared" si="8"/>
        <v>0</v>
      </c>
      <c r="P34" s="484">
        <f t="shared" si="8"/>
        <v>0</v>
      </c>
      <c r="Q34" s="484">
        <f t="shared" si="8"/>
        <v>0</v>
      </c>
      <c r="R34" s="484">
        <f t="shared" si="8"/>
        <v>0</v>
      </c>
      <c r="S34" s="484">
        <f t="shared" si="8"/>
        <v>0</v>
      </c>
      <c r="T34" s="484">
        <f t="shared" si="8"/>
        <v>0</v>
      </c>
      <c r="U34" s="484">
        <f t="shared" si="8"/>
        <v>0</v>
      </c>
      <c r="V34" s="484">
        <f t="shared" si="8"/>
        <v>0</v>
      </c>
      <c r="W34" s="485">
        <f t="shared" si="8"/>
        <v>0</v>
      </c>
      <c r="AA34" s="68"/>
      <c r="AB34" s="68"/>
    </row>
    <row r="35" spans="1:28" hidden="1">
      <c r="A35" s="15" t="s">
        <v>17</v>
      </c>
      <c r="B35" s="13"/>
      <c r="C35" s="13"/>
      <c r="D35" s="13"/>
      <c r="E35" s="13"/>
      <c r="F35" s="13"/>
      <c r="G35" s="13"/>
      <c r="H35" s="13"/>
      <c r="I35" s="13"/>
      <c r="J35" s="13"/>
      <c r="K35" s="13">
        <f t="shared" ref="K35:K40" si="9">SUM(B35:J35)</f>
        <v>0</v>
      </c>
      <c r="L35" s="472"/>
      <c r="M35" s="13"/>
      <c r="N35" s="13"/>
      <c r="O35" s="13"/>
      <c r="P35" s="13"/>
      <c r="Q35" s="13"/>
      <c r="R35" s="13"/>
      <c r="S35" s="13"/>
      <c r="T35" s="13"/>
      <c r="U35" s="13"/>
      <c r="V35" s="13">
        <f t="shared" ref="V35:V40" si="10">SUM(M35:U35)</f>
        <v>0</v>
      </c>
      <c r="W35" s="472"/>
      <c r="AA35" s="68"/>
      <c r="AB35" s="68"/>
    </row>
    <row r="36" spans="1:28" hidden="1">
      <c r="A36" s="15" t="s">
        <v>6969</v>
      </c>
      <c r="B36" s="13"/>
      <c r="C36" s="13"/>
      <c r="D36" s="13"/>
      <c r="E36" s="13"/>
      <c r="F36" s="13"/>
      <c r="G36" s="13"/>
      <c r="H36" s="13"/>
      <c r="I36" s="13"/>
      <c r="J36" s="13"/>
      <c r="K36" s="13">
        <f t="shared" si="9"/>
        <v>0</v>
      </c>
      <c r="L36" s="472"/>
      <c r="M36" s="13"/>
      <c r="N36" s="13"/>
      <c r="O36" s="13"/>
      <c r="P36" s="13"/>
      <c r="Q36" s="13"/>
      <c r="R36" s="13"/>
      <c r="S36" s="13"/>
      <c r="T36" s="13"/>
      <c r="U36" s="13"/>
      <c r="V36" s="13">
        <f t="shared" si="10"/>
        <v>0</v>
      </c>
      <c r="W36" s="472"/>
      <c r="AA36" s="68"/>
      <c r="AB36" s="68"/>
    </row>
    <row r="37" spans="1:28" hidden="1">
      <c r="A37" s="15" t="s">
        <v>6968</v>
      </c>
      <c r="B37" s="13"/>
      <c r="C37" s="13"/>
      <c r="D37" s="13"/>
      <c r="E37" s="13"/>
      <c r="F37" s="13"/>
      <c r="G37" s="13"/>
      <c r="H37" s="13"/>
      <c r="I37" s="13"/>
      <c r="J37" s="13"/>
      <c r="K37" s="13">
        <f t="shared" si="9"/>
        <v>0</v>
      </c>
      <c r="L37" s="472"/>
      <c r="M37" s="13"/>
      <c r="N37" s="13"/>
      <c r="O37" s="13"/>
      <c r="P37" s="13"/>
      <c r="Q37" s="13"/>
      <c r="R37" s="13"/>
      <c r="S37" s="13"/>
      <c r="T37" s="13"/>
      <c r="U37" s="13"/>
      <c r="V37" s="13">
        <f t="shared" si="10"/>
        <v>0</v>
      </c>
      <c r="W37" s="472"/>
      <c r="AA37" s="68"/>
      <c r="AB37" s="68"/>
    </row>
    <row r="38" spans="1:28" hidden="1">
      <c r="A38" s="15" t="s">
        <v>6967</v>
      </c>
      <c r="B38" s="13"/>
      <c r="C38" s="13"/>
      <c r="D38" s="13"/>
      <c r="E38" s="13"/>
      <c r="F38" s="13"/>
      <c r="G38" s="13"/>
      <c r="H38" s="13"/>
      <c r="I38" s="13"/>
      <c r="J38" s="13"/>
      <c r="K38" s="13">
        <f t="shared" si="9"/>
        <v>0</v>
      </c>
      <c r="L38" s="472"/>
      <c r="M38" s="13"/>
      <c r="N38" s="13"/>
      <c r="O38" s="13"/>
      <c r="P38" s="13"/>
      <c r="Q38" s="13"/>
      <c r="R38" s="13"/>
      <c r="S38" s="13"/>
      <c r="T38" s="13"/>
      <c r="U38" s="13"/>
      <c r="V38" s="13">
        <f t="shared" si="10"/>
        <v>0</v>
      </c>
      <c r="W38" s="472"/>
      <c r="AA38" s="68"/>
      <c r="AB38" s="68"/>
    </row>
    <row r="39" spans="1:28" hidden="1">
      <c r="A39" s="15" t="s">
        <v>18</v>
      </c>
      <c r="B39" s="13"/>
      <c r="C39" s="13"/>
      <c r="D39" s="13"/>
      <c r="E39" s="13"/>
      <c r="F39" s="13"/>
      <c r="G39" s="13"/>
      <c r="H39" s="13"/>
      <c r="I39" s="13"/>
      <c r="J39" s="13"/>
      <c r="K39" s="13">
        <f t="shared" si="9"/>
        <v>0</v>
      </c>
      <c r="L39" s="472"/>
      <c r="M39" s="13"/>
      <c r="N39" s="13"/>
      <c r="O39" s="13"/>
      <c r="P39" s="13"/>
      <c r="Q39" s="13"/>
      <c r="R39" s="13"/>
      <c r="S39" s="13"/>
      <c r="T39" s="13"/>
      <c r="U39" s="13"/>
      <c r="V39" s="13">
        <f t="shared" si="10"/>
        <v>0</v>
      </c>
      <c r="W39" s="472"/>
      <c r="AA39" s="68"/>
      <c r="AB39" s="68"/>
    </row>
    <row r="40" spans="1:28" hidden="1">
      <c r="A40" s="15" t="s">
        <v>6966</v>
      </c>
      <c r="B40" s="13"/>
      <c r="C40" s="13"/>
      <c r="D40" s="13"/>
      <c r="E40" s="13"/>
      <c r="F40" s="13"/>
      <c r="G40" s="13"/>
      <c r="H40" s="13"/>
      <c r="I40" s="13"/>
      <c r="J40" s="13"/>
      <c r="K40" s="13">
        <f t="shared" si="9"/>
        <v>0</v>
      </c>
      <c r="L40" s="472"/>
      <c r="M40" s="13"/>
      <c r="N40" s="13"/>
      <c r="O40" s="13"/>
      <c r="P40" s="13"/>
      <c r="Q40" s="13"/>
      <c r="R40" s="13"/>
      <c r="S40" s="13"/>
      <c r="T40" s="13"/>
      <c r="U40" s="13"/>
      <c r="V40" s="13">
        <f t="shared" si="10"/>
        <v>0</v>
      </c>
      <c r="W40" s="472"/>
      <c r="AA40" s="68"/>
      <c r="AB40" s="68"/>
    </row>
    <row r="41" spans="1:28" hidden="1">
      <c r="A41" s="15" t="s">
        <v>7055</v>
      </c>
      <c r="B41" s="13"/>
      <c r="C41" s="13"/>
      <c r="D41" s="13"/>
      <c r="E41" s="13"/>
      <c r="F41" s="13"/>
      <c r="G41" s="13"/>
      <c r="H41" s="13"/>
      <c r="I41" s="13"/>
      <c r="J41" s="13"/>
      <c r="K41" s="13"/>
      <c r="L41" s="16"/>
      <c r="M41" s="13"/>
      <c r="N41" s="13"/>
      <c r="O41" s="13"/>
      <c r="P41" s="13"/>
      <c r="Q41" s="13"/>
      <c r="R41" s="13"/>
      <c r="S41" s="13"/>
      <c r="T41" s="13"/>
      <c r="U41" s="13"/>
      <c r="V41" s="13"/>
      <c r="W41" s="16"/>
      <c r="AA41" s="68"/>
      <c r="AB41" s="68"/>
    </row>
    <row r="42" spans="1:28" ht="24">
      <c r="A42" s="708" t="s">
        <v>6909</v>
      </c>
      <c r="B42" s="482"/>
      <c r="C42" s="482"/>
      <c r="D42" s="482">
        <f t="shared" ref="D42:W42" si="11">SUM(D43:D45)</f>
        <v>66</v>
      </c>
      <c r="E42" s="482">
        <f t="shared" si="11"/>
        <v>0</v>
      </c>
      <c r="F42" s="482">
        <f t="shared" si="11"/>
        <v>0</v>
      </c>
      <c r="G42" s="482">
        <f t="shared" si="11"/>
        <v>0</v>
      </c>
      <c r="H42" s="482">
        <f t="shared" si="11"/>
        <v>0</v>
      </c>
      <c r="I42" s="482">
        <f t="shared" si="11"/>
        <v>0</v>
      </c>
      <c r="J42" s="482">
        <f t="shared" si="11"/>
        <v>0</v>
      </c>
      <c r="K42" s="482">
        <f t="shared" si="11"/>
        <v>66</v>
      </c>
      <c r="L42" s="474">
        <f t="shared" si="11"/>
        <v>4693833.5200000005</v>
      </c>
      <c r="M42" s="482">
        <f t="shared" si="11"/>
        <v>0</v>
      </c>
      <c r="N42" s="482">
        <f t="shared" si="11"/>
        <v>0</v>
      </c>
      <c r="O42" s="482">
        <f t="shared" si="11"/>
        <v>66</v>
      </c>
      <c r="P42" s="482">
        <f t="shared" si="11"/>
        <v>0</v>
      </c>
      <c r="Q42" s="482">
        <f t="shared" si="11"/>
        <v>0</v>
      </c>
      <c r="R42" s="482">
        <f t="shared" si="11"/>
        <v>0</v>
      </c>
      <c r="S42" s="482">
        <f t="shared" si="11"/>
        <v>0</v>
      </c>
      <c r="T42" s="482">
        <f t="shared" si="11"/>
        <v>0</v>
      </c>
      <c r="U42" s="482">
        <f t="shared" si="11"/>
        <v>0</v>
      </c>
      <c r="V42" s="482">
        <f t="shared" si="11"/>
        <v>66</v>
      </c>
      <c r="W42" s="474">
        <f t="shared" si="11"/>
        <v>4095254</v>
      </c>
      <c r="Y42" s="490"/>
      <c r="AA42" s="68"/>
      <c r="AB42" s="68"/>
    </row>
    <row r="43" spans="1:28" ht="24">
      <c r="A43" s="703" t="s">
        <v>6908</v>
      </c>
      <c r="B43" s="13"/>
      <c r="C43" s="13"/>
      <c r="D43" s="13">
        <f>7+35</f>
        <v>42</v>
      </c>
      <c r="E43" s="13"/>
      <c r="F43" s="13"/>
      <c r="G43" s="13"/>
      <c r="H43" s="13"/>
      <c r="I43" s="13"/>
      <c r="J43" s="13"/>
      <c r="K43" s="13">
        <f>SUM(B43:J43)</f>
        <v>42</v>
      </c>
      <c r="L43" s="472">
        <f>868568.4+2680227.79</f>
        <v>3548796.19</v>
      </c>
      <c r="M43" s="13"/>
      <c r="N43" s="13"/>
      <c r="O43" s="13">
        <f>7+36</f>
        <v>43</v>
      </c>
      <c r="P43" s="13"/>
      <c r="Q43" s="13"/>
      <c r="R43" s="13"/>
      <c r="S43" s="13"/>
      <c r="T43" s="13"/>
      <c r="U43" s="13"/>
      <c r="V43" s="13">
        <f>SUM(M43:U43)</f>
        <v>43</v>
      </c>
      <c r="W43" s="472">
        <f>645581.6+2491690.3</f>
        <v>3137271.9</v>
      </c>
      <c r="Y43" s="489"/>
      <c r="AA43" s="68"/>
      <c r="AB43" s="68"/>
    </row>
    <row r="44" spans="1:28" ht="24">
      <c r="A44" s="703" t="s">
        <v>6907</v>
      </c>
      <c r="B44" s="13"/>
      <c r="C44" s="13"/>
      <c r="D44" s="13">
        <v>20</v>
      </c>
      <c r="E44" s="13"/>
      <c r="F44" s="13"/>
      <c r="G44" s="13"/>
      <c r="H44" s="13"/>
      <c r="I44" s="13"/>
      <c r="J44" s="13"/>
      <c r="K44" s="13">
        <f>SUM(B44:J44)</f>
        <v>20</v>
      </c>
      <c r="L44" s="472">
        <v>1027477.46</v>
      </c>
      <c r="M44" s="13"/>
      <c r="N44" s="13"/>
      <c r="O44" s="13">
        <v>19</v>
      </c>
      <c r="P44" s="13"/>
      <c r="Q44" s="13"/>
      <c r="R44" s="13"/>
      <c r="S44" s="13"/>
      <c r="T44" s="13"/>
      <c r="U44" s="13"/>
      <c r="V44" s="13">
        <f>SUM(M44:U44)</f>
        <v>19</v>
      </c>
      <c r="W44" s="472">
        <v>880338.9</v>
      </c>
      <c r="Y44" s="489"/>
      <c r="AA44" s="68"/>
      <c r="AB44" s="68"/>
    </row>
    <row r="45" spans="1:28" ht="24">
      <c r="A45" s="703" t="s">
        <v>6906</v>
      </c>
      <c r="B45" s="13"/>
      <c r="C45" s="13"/>
      <c r="D45" s="13">
        <v>4</v>
      </c>
      <c r="E45" s="13"/>
      <c r="F45" s="13"/>
      <c r="G45" s="13"/>
      <c r="H45" s="13"/>
      <c r="I45" s="13"/>
      <c r="J45" s="13"/>
      <c r="K45" s="13">
        <f>SUM(B45:J45)</f>
        <v>4</v>
      </c>
      <c r="L45" s="472">
        <v>117559.87</v>
      </c>
      <c r="M45" s="13"/>
      <c r="N45" s="13"/>
      <c r="O45" s="13">
        <v>4</v>
      </c>
      <c r="P45" s="13"/>
      <c r="Q45" s="13"/>
      <c r="R45" s="13"/>
      <c r="S45" s="13"/>
      <c r="T45" s="13"/>
      <c r="U45" s="13"/>
      <c r="V45" s="13">
        <f>SUM(M45:U45)</f>
        <v>4</v>
      </c>
      <c r="W45" s="472">
        <v>77643.199999999997</v>
      </c>
      <c r="Y45" s="489"/>
      <c r="AA45" s="68"/>
      <c r="AB45" s="68"/>
    </row>
    <row r="46" spans="1:28" ht="13.5" thickBot="1">
      <c r="A46" s="15"/>
      <c r="B46" s="13"/>
      <c r="C46" s="13"/>
      <c r="D46" s="13"/>
      <c r="E46" s="13"/>
      <c r="F46" s="13"/>
      <c r="G46" s="13"/>
      <c r="H46" s="13"/>
      <c r="I46" s="13"/>
      <c r="J46" s="13"/>
      <c r="K46" s="13"/>
      <c r="L46" s="472"/>
      <c r="M46" s="13"/>
      <c r="N46" s="13"/>
      <c r="O46" s="13"/>
      <c r="P46" s="13"/>
      <c r="Q46" s="13"/>
      <c r="R46" s="13"/>
      <c r="S46" s="13"/>
      <c r="T46" s="13"/>
      <c r="U46" s="13"/>
      <c r="V46" s="13"/>
      <c r="W46" s="472"/>
      <c r="Z46" s="531"/>
      <c r="AA46" s="68"/>
      <c r="AB46" s="68"/>
    </row>
    <row r="47" spans="1:28" hidden="1">
      <c r="A47" s="481" t="s">
        <v>6905</v>
      </c>
      <c r="B47" s="477"/>
      <c r="C47" s="477"/>
      <c r="D47" s="477"/>
      <c r="E47" s="477"/>
      <c r="F47" s="477"/>
      <c r="G47" s="477"/>
      <c r="H47" s="477"/>
      <c r="I47" s="477"/>
      <c r="J47" s="477"/>
      <c r="K47" s="477"/>
      <c r="L47" s="488"/>
      <c r="M47" s="477"/>
      <c r="N47" s="477"/>
      <c r="O47" s="477"/>
      <c r="P47" s="477"/>
      <c r="Q47" s="477"/>
      <c r="R47" s="477"/>
      <c r="S47" s="477"/>
      <c r="T47" s="477"/>
      <c r="U47" s="477"/>
      <c r="V47" s="477"/>
      <c r="W47" s="487"/>
      <c r="AA47" s="68"/>
      <c r="AB47" s="68"/>
    </row>
    <row r="48" spans="1:28" hidden="1">
      <c r="A48" s="15" t="s">
        <v>6904</v>
      </c>
      <c r="B48" s="13"/>
      <c r="C48" s="13"/>
      <c r="D48" s="13"/>
      <c r="E48" s="13"/>
      <c r="F48" s="13"/>
      <c r="G48" s="13"/>
      <c r="H48" s="13"/>
      <c r="I48" s="13"/>
      <c r="J48" s="13"/>
      <c r="K48" s="13"/>
      <c r="L48" s="472"/>
      <c r="M48" s="13"/>
      <c r="N48" s="13"/>
      <c r="O48" s="13"/>
      <c r="P48" s="13"/>
      <c r="Q48" s="13"/>
      <c r="R48" s="13"/>
      <c r="S48" s="13"/>
      <c r="T48" s="13"/>
      <c r="U48" s="13"/>
      <c r="V48" s="13"/>
      <c r="W48" s="16"/>
      <c r="AA48" s="68"/>
      <c r="AB48" s="68"/>
    </row>
    <row r="49" spans="1:28" hidden="1">
      <c r="A49" s="15"/>
      <c r="B49" s="13"/>
      <c r="C49" s="13"/>
      <c r="D49" s="13"/>
      <c r="E49" s="13"/>
      <c r="F49" s="13"/>
      <c r="G49" s="13"/>
      <c r="H49" s="13"/>
      <c r="I49" s="13"/>
      <c r="J49" s="13"/>
      <c r="K49" s="13"/>
      <c r="L49" s="472"/>
      <c r="M49" s="13"/>
      <c r="N49" s="13"/>
      <c r="O49" s="13"/>
      <c r="P49" s="13"/>
      <c r="Q49" s="13"/>
      <c r="R49" s="13"/>
      <c r="S49" s="13"/>
      <c r="T49" s="13"/>
      <c r="U49" s="13"/>
      <c r="V49" s="13"/>
      <c r="W49" s="16"/>
      <c r="AA49" s="68"/>
      <c r="AB49" s="68"/>
    </row>
    <row r="50" spans="1:28" hidden="1">
      <c r="A50" s="495" t="s">
        <v>6903</v>
      </c>
      <c r="B50" s="493"/>
      <c r="C50" s="493"/>
      <c r="D50" s="493"/>
      <c r="E50" s="493"/>
      <c r="F50" s="493"/>
      <c r="G50" s="493"/>
      <c r="H50" s="493"/>
      <c r="I50" s="493"/>
      <c r="J50" s="493"/>
      <c r="K50" s="493"/>
      <c r="L50" s="492"/>
      <c r="M50" s="493"/>
      <c r="N50" s="493"/>
      <c r="O50" s="493"/>
      <c r="P50" s="493"/>
      <c r="Q50" s="493"/>
      <c r="R50" s="493"/>
      <c r="S50" s="493"/>
      <c r="T50" s="493"/>
      <c r="U50" s="493"/>
      <c r="V50" s="493"/>
      <c r="W50" s="530"/>
      <c r="AA50" s="68"/>
      <c r="AB50" s="68"/>
    </row>
    <row r="51" spans="1:28" hidden="1">
      <c r="A51" s="15" t="s">
        <v>6902</v>
      </c>
      <c r="B51" s="13"/>
      <c r="C51" s="13"/>
      <c r="D51" s="13"/>
      <c r="E51" s="13"/>
      <c r="F51" s="13"/>
      <c r="G51" s="13"/>
      <c r="H51" s="13"/>
      <c r="I51" s="13"/>
      <c r="J51" s="13"/>
      <c r="K51" s="13"/>
      <c r="L51" s="472"/>
      <c r="M51" s="13"/>
      <c r="N51" s="13"/>
      <c r="O51" s="13"/>
      <c r="P51" s="13"/>
      <c r="Q51" s="13"/>
      <c r="R51" s="13"/>
      <c r="S51" s="13"/>
      <c r="T51" s="13"/>
      <c r="U51" s="13"/>
      <c r="V51" s="13"/>
      <c r="W51" s="16"/>
      <c r="AA51" s="68"/>
      <c r="AB51" s="68"/>
    </row>
    <row r="52" spans="1:28" hidden="1">
      <c r="A52" s="15"/>
      <c r="B52" s="13"/>
      <c r="C52" s="13"/>
      <c r="D52" s="13"/>
      <c r="E52" s="13"/>
      <c r="F52" s="13"/>
      <c r="G52" s="13"/>
      <c r="H52" s="13"/>
      <c r="I52" s="13"/>
      <c r="J52" s="13"/>
      <c r="K52" s="13"/>
      <c r="L52" s="472"/>
      <c r="M52" s="13"/>
      <c r="N52" s="13"/>
      <c r="O52" s="13"/>
      <c r="P52" s="13"/>
      <c r="Q52" s="13"/>
      <c r="R52" s="13"/>
      <c r="S52" s="13"/>
      <c r="T52" s="13"/>
      <c r="U52" s="13"/>
      <c r="V52" s="13"/>
      <c r="W52" s="16"/>
      <c r="AA52" s="68"/>
      <c r="AB52" s="68"/>
    </row>
    <row r="53" spans="1:28" hidden="1">
      <c r="A53" s="495" t="s">
        <v>6901</v>
      </c>
      <c r="B53" s="493"/>
      <c r="C53" s="493"/>
      <c r="D53" s="493"/>
      <c r="E53" s="493"/>
      <c r="F53" s="493"/>
      <c r="G53" s="493"/>
      <c r="H53" s="493"/>
      <c r="I53" s="493"/>
      <c r="J53" s="493"/>
      <c r="K53" s="493"/>
      <c r="L53" s="492"/>
      <c r="M53" s="493"/>
      <c r="N53" s="493"/>
      <c r="O53" s="493"/>
      <c r="P53" s="493"/>
      <c r="Q53" s="493"/>
      <c r="R53" s="493"/>
      <c r="S53" s="493"/>
      <c r="T53" s="493"/>
      <c r="U53" s="493"/>
      <c r="V53" s="493"/>
      <c r="W53" s="530">
        <f>W54</f>
        <v>0</v>
      </c>
      <c r="AA53" s="68"/>
      <c r="AB53" s="68"/>
    </row>
    <row r="54" spans="1:28" hidden="1">
      <c r="A54" s="15" t="s">
        <v>6901</v>
      </c>
      <c r="B54" s="13"/>
      <c r="C54" s="13"/>
      <c r="D54" s="13"/>
      <c r="E54" s="13"/>
      <c r="F54" s="13"/>
      <c r="G54" s="13"/>
      <c r="H54" s="13"/>
      <c r="I54" s="13"/>
      <c r="J54" s="13"/>
      <c r="K54" s="13"/>
      <c r="L54" s="472"/>
      <c r="M54" s="13"/>
      <c r="N54" s="13"/>
      <c r="O54" s="13"/>
      <c r="P54" s="13"/>
      <c r="Q54" s="13"/>
      <c r="R54" s="13"/>
      <c r="S54" s="13"/>
      <c r="T54" s="13"/>
      <c r="U54" s="13"/>
      <c r="V54" s="13"/>
      <c r="W54" s="16"/>
      <c r="AA54" s="68"/>
      <c r="AB54" s="68"/>
    </row>
    <row r="55" spans="1:28" ht="13.5" hidden="1" thickBot="1">
      <c r="A55" s="15"/>
      <c r="B55" s="13"/>
      <c r="C55" s="13"/>
      <c r="D55" s="13"/>
      <c r="E55" s="13"/>
      <c r="F55" s="13"/>
      <c r="G55" s="13"/>
      <c r="H55" s="13"/>
      <c r="I55" s="13"/>
      <c r="J55" s="13"/>
      <c r="K55" s="13"/>
      <c r="L55" s="472"/>
      <c r="M55" s="13"/>
      <c r="N55" s="13"/>
      <c r="O55" s="13"/>
      <c r="P55" s="13"/>
      <c r="Q55" s="13"/>
      <c r="R55" s="13"/>
      <c r="S55" s="13"/>
      <c r="T55" s="13"/>
      <c r="U55" s="13"/>
      <c r="V55" s="13"/>
      <c r="W55" s="16"/>
      <c r="AA55" s="68"/>
      <c r="AB55" s="68"/>
    </row>
    <row r="56" spans="1:28" ht="13.5" thickBot="1">
      <c r="A56" s="17" t="s">
        <v>23</v>
      </c>
      <c r="B56" s="471">
        <f>B10+B42+B53</f>
        <v>0</v>
      </c>
      <c r="C56" s="470">
        <f t="shared" ref="C56:L56" si="12">C10+C42</f>
        <v>0</v>
      </c>
      <c r="D56" s="470">
        <f t="shared" si="12"/>
        <v>66</v>
      </c>
      <c r="E56" s="470">
        <f t="shared" si="12"/>
        <v>0</v>
      </c>
      <c r="F56" s="470">
        <f t="shared" si="12"/>
        <v>0</v>
      </c>
      <c r="G56" s="470">
        <f t="shared" si="12"/>
        <v>0</v>
      </c>
      <c r="H56" s="470">
        <f t="shared" si="12"/>
        <v>0</v>
      </c>
      <c r="I56" s="470">
        <f t="shared" si="12"/>
        <v>0</v>
      </c>
      <c r="J56" s="470">
        <f t="shared" si="12"/>
        <v>0</v>
      </c>
      <c r="K56" s="470">
        <f t="shared" si="12"/>
        <v>66</v>
      </c>
      <c r="L56" s="470">
        <f t="shared" si="12"/>
        <v>4693833.5200000005</v>
      </c>
      <c r="M56" s="471">
        <f>M10+M42+M53</f>
        <v>0</v>
      </c>
      <c r="N56" s="470">
        <f t="shared" ref="N56:W56" si="13">N10+N42</f>
        <v>0</v>
      </c>
      <c r="O56" s="470">
        <f t="shared" si="13"/>
        <v>66</v>
      </c>
      <c r="P56" s="470">
        <f t="shared" si="13"/>
        <v>0</v>
      </c>
      <c r="Q56" s="470">
        <f t="shared" si="13"/>
        <v>0</v>
      </c>
      <c r="R56" s="470">
        <f t="shared" si="13"/>
        <v>0</v>
      </c>
      <c r="S56" s="470">
        <f t="shared" si="13"/>
        <v>0</v>
      </c>
      <c r="T56" s="470">
        <f t="shared" si="13"/>
        <v>0</v>
      </c>
      <c r="U56" s="470">
        <f t="shared" si="13"/>
        <v>0</v>
      </c>
      <c r="V56" s="470">
        <f t="shared" si="13"/>
        <v>66</v>
      </c>
      <c r="W56" s="469">
        <f t="shared" si="13"/>
        <v>4095254</v>
      </c>
      <c r="X56" s="55"/>
      <c r="AA56" s="68"/>
      <c r="AB56" s="68"/>
    </row>
    <row r="57" spans="1:28">
      <c r="A57" s="1" t="s">
        <v>273</v>
      </c>
      <c r="B57" s="2"/>
      <c r="C57" s="2"/>
      <c r="D57" s="2"/>
      <c r="E57" s="2"/>
      <c r="F57" s="2"/>
      <c r="G57" s="2"/>
      <c r="H57" s="2"/>
      <c r="I57" s="2"/>
      <c r="J57" s="2"/>
      <c r="K57" s="2"/>
      <c r="L57" s="2"/>
      <c r="M57" s="2"/>
      <c r="N57" s="2"/>
      <c r="O57" s="2"/>
      <c r="P57" s="6"/>
      <c r="Q57" s="52"/>
      <c r="R57"/>
      <c r="S57"/>
      <c r="T57" s="68"/>
      <c r="U57" s="68"/>
      <c r="V57" s="68"/>
      <c r="W57" s="68"/>
      <c r="X57" s="68"/>
      <c r="Y57" s="68"/>
      <c r="Z57" s="68"/>
      <c r="AA57" s="68"/>
      <c r="AB57" s="68"/>
    </row>
    <row r="58" spans="1:28">
      <c r="A58" s="11" t="s">
        <v>267</v>
      </c>
      <c r="P58" s="68"/>
      <c r="Q58" s="52"/>
      <c r="R58"/>
      <c r="S58"/>
      <c r="T58"/>
      <c r="U58"/>
      <c r="V58" s="68"/>
      <c r="W58" s="68"/>
      <c r="X58" s="68"/>
      <c r="Y58" s="68"/>
      <c r="Z58" s="68"/>
      <c r="AA58" s="68"/>
      <c r="AB58" s="68"/>
    </row>
    <row r="59" spans="1:28">
      <c r="A59" s="11" t="s">
        <v>271</v>
      </c>
      <c r="P59" s="68"/>
      <c r="Q59" s="52"/>
      <c r="R59"/>
      <c r="S59"/>
      <c r="T59"/>
      <c r="U59"/>
      <c r="V59" s="68"/>
      <c r="W59" s="68"/>
      <c r="X59" s="68"/>
      <c r="Y59" s="68"/>
      <c r="Z59" s="68"/>
      <c r="AA59" s="68"/>
      <c r="AB59" s="68"/>
    </row>
    <row r="60" spans="1:28">
      <c r="A60" s="11" t="s">
        <v>278</v>
      </c>
    </row>
  </sheetData>
  <mergeCells count="5">
    <mergeCell ref="A7:W7"/>
    <mergeCell ref="A8:W8"/>
    <mergeCell ref="A9:W9"/>
    <mergeCell ref="B5:L5"/>
    <mergeCell ref="M5:W5"/>
  </mergeCells>
  <printOptions horizontalCentered="1"/>
  <pageMargins left="0.19685039370078741" right="0.19685039370078741" top="0.78740157480314965" bottom="0.78740157480314965" header="0.19685039370078741" footer="0.19685039370078741"/>
  <pageSetup paperSize="9" scale="95"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2060"/>
  </sheetPr>
  <dimension ref="A1:AB60"/>
  <sheetViews>
    <sheetView view="pageBreakPreview" zoomScaleNormal="100" zoomScaleSheetLayoutView="100" workbookViewId="0">
      <selection activeCell="B8" sqref="B8"/>
    </sheetView>
  </sheetViews>
  <sheetFormatPr baseColWidth="10" defaultColWidth="11.42578125" defaultRowHeight="12.75"/>
  <cols>
    <col min="1" max="1" width="29.28515625" style="11" customWidth="1"/>
    <col min="2" max="3" width="5.140625" style="11" bestFit="1" customWidth="1"/>
    <col min="4" max="4" width="7.28515625" style="11" bestFit="1" customWidth="1"/>
    <col min="5" max="8" width="5.140625" style="11" bestFit="1" customWidth="1"/>
    <col min="9" max="9" width="4.7109375" style="11" bestFit="1" customWidth="1"/>
    <col min="10" max="10" width="5.140625" style="11" bestFit="1" customWidth="1"/>
    <col min="11" max="11" width="4.140625" style="11" bestFit="1" customWidth="1"/>
    <col min="12" max="12" width="10" style="11" bestFit="1" customWidth="1"/>
    <col min="13" max="14" width="5.140625" style="11" bestFit="1" customWidth="1"/>
    <col min="15" max="15" width="7.28515625" style="11" bestFit="1" customWidth="1"/>
    <col min="16" max="19" width="5.140625" style="11" bestFit="1" customWidth="1"/>
    <col min="20" max="20" width="4.7109375" style="11" bestFit="1" customWidth="1"/>
    <col min="21" max="21" width="5.140625" style="11" bestFit="1" customWidth="1"/>
    <col min="22" max="22" width="4.140625" style="11" bestFit="1" customWidth="1"/>
    <col min="23" max="23" width="10" style="11" bestFit="1" customWidth="1"/>
    <col min="24" max="24" width="1.7109375" style="52" customWidth="1"/>
    <col min="25" max="28" width="10.7109375" customWidth="1"/>
    <col min="29" max="16384" width="11.42578125" style="68"/>
  </cols>
  <sheetData>
    <row r="1" spans="1:28" s="72" customFormat="1" ht="15.75">
      <c r="A1" s="186" t="s">
        <v>458</v>
      </c>
      <c r="B1" s="71"/>
      <c r="C1" s="71"/>
      <c r="D1" s="71"/>
      <c r="E1" s="71"/>
      <c r="F1" s="71"/>
      <c r="G1" s="71"/>
      <c r="H1" s="71"/>
      <c r="I1" s="71"/>
      <c r="J1" s="71"/>
      <c r="K1" s="71"/>
      <c r="L1" s="71"/>
      <c r="M1" s="71"/>
      <c r="N1" s="71"/>
      <c r="O1" s="71"/>
      <c r="P1" s="71"/>
      <c r="Q1" s="71"/>
      <c r="R1" s="71"/>
      <c r="S1" s="71"/>
      <c r="T1" s="71"/>
      <c r="U1" s="71"/>
      <c r="V1" s="71"/>
      <c r="W1" s="71"/>
      <c r="X1" s="73"/>
    </row>
    <row r="2" spans="1:28" s="72" customFormat="1" ht="15.75">
      <c r="A2" s="186" t="s">
        <v>1655</v>
      </c>
      <c r="B2" s="71"/>
      <c r="C2" s="71"/>
      <c r="D2" s="71"/>
      <c r="E2" s="71"/>
      <c r="F2" s="71"/>
      <c r="G2" s="71"/>
      <c r="H2" s="71"/>
      <c r="I2" s="71"/>
      <c r="J2" s="71"/>
      <c r="K2" s="71"/>
      <c r="L2" s="71"/>
      <c r="M2" s="71"/>
      <c r="N2" s="71"/>
      <c r="O2" s="71"/>
      <c r="P2" s="71"/>
      <c r="Q2" s="71"/>
      <c r="R2" s="71"/>
      <c r="S2" s="71"/>
      <c r="T2" s="71"/>
      <c r="U2" s="71"/>
      <c r="V2" s="71"/>
      <c r="W2" s="71"/>
      <c r="X2" s="73"/>
    </row>
    <row r="3" spans="1:28" s="56" customFormat="1" ht="15.75">
      <c r="A3" s="187" t="s">
        <v>5104</v>
      </c>
      <c r="X3" s="51"/>
    </row>
    <row r="4" spans="1:28" ht="13.5" thickBot="1">
      <c r="L4" s="12"/>
      <c r="W4" s="12"/>
    </row>
    <row r="5" spans="1:28" s="41" customFormat="1" ht="11.25">
      <c r="A5" s="120" t="s">
        <v>10</v>
      </c>
      <c r="B5" s="2001" t="s">
        <v>456</v>
      </c>
      <c r="C5" s="2002"/>
      <c r="D5" s="2002"/>
      <c r="E5" s="2002"/>
      <c r="F5" s="2002"/>
      <c r="G5" s="2002"/>
      <c r="H5" s="2002"/>
      <c r="I5" s="2002"/>
      <c r="J5" s="2002"/>
      <c r="K5" s="2002"/>
      <c r="L5" s="2003"/>
      <c r="M5" s="2001" t="s">
        <v>457</v>
      </c>
      <c r="N5" s="2002"/>
      <c r="O5" s="2002"/>
      <c r="P5" s="2002"/>
      <c r="Q5" s="2002"/>
      <c r="R5" s="2002"/>
      <c r="S5" s="2002"/>
      <c r="T5" s="2002"/>
      <c r="U5" s="2002"/>
      <c r="V5" s="2002"/>
      <c r="W5" s="2003"/>
      <c r="X5" s="53"/>
    </row>
    <row r="6" spans="1:28" s="42" customFormat="1" ht="98.25">
      <c r="A6" s="121" t="s">
        <v>9</v>
      </c>
      <c r="B6" s="122" t="s">
        <v>310</v>
      </c>
      <c r="C6" s="122" t="s">
        <v>118</v>
      </c>
      <c r="D6" s="123" t="s">
        <v>266</v>
      </c>
      <c r="E6" s="123" t="s">
        <v>259</v>
      </c>
      <c r="F6" s="123" t="s">
        <v>268</v>
      </c>
      <c r="G6" s="123" t="s">
        <v>269</v>
      </c>
      <c r="H6" s="123" t="s">
        <v>270</v>
      </c>
      <c r="I6" s="123" t="s">
        <v>277</v>
      </c>
      <c r="J6" s="124" t="s">
        <v>272</v>
      </c>
      <c r="K6" s="125" t="s">
        <v>274</v>
      </c>
      <c r="L6" s="126" t="s">
        <v>276</v>
      </c>
      <c r="M6" s="122" t="s">
        <v>310</v>
      </c>
      <c r="N6" s="122" t="s">
        <v>118</v>
      </c>
      <c r="O6" s="123" t="s">
        <v>266</v>
      </c>
      <c r="P6" s="123" t="s">
        <v>259</v>
      </c>
      <c r="Q6" s="123" t="s">
        <v>268</v>
      </c>
      <c r="R6" s="123" t="s">
        <v>269</v>
      </c>
      <c r="S6" s="123" t="s">
        <v>270</v>
      </c>
      <c r="T6" s="123" t="s">
        <v>277</v>
      </c>
      <c r="U6" s="124" t="s">
        <v>272</v>
      </c>
      <c r="V6" s="125" t="s">
        <v>274</v>
      </c>
      <c r="W6" s="126" t="s">
        <v>275</v>
      </c>
      <c r="X6" s="54"/>
    </row>
    <row r="7" spans="1:28" s="712" customFormat="1" ht="6">
      <c r="A7" s="2007"/>
      <c r="B7" s="2008"/>
      <c r="C7" s="2008"/>
      <c r="D7" s="2008"/>
      <c r="E7" s="2008"/>
      <c r="F7" s="2008"/>
      <c r="G7" s="2008"/>
      <c r="H7" s="2008"/>
      <c r="I7" s="2008"/>
      <c r="J7" s="2008"/>
      <c r="K7" s="2008"/>
      <c r="L7" s="2008"/>
      <c r="M7" s="2008"/>
      <c r="N7" s="2008"/>
      <c r="O7" s="2008"/>
      <c r="P7" s="2008"/>
      <c r="Q7" s="2008"/>
      <c r="R7" s="2008"/>
      <c r="S7" s="2008"/>
      <c r="T7" s="2008"/>
      <c r="U7" s="2008"/>
      <c r="V7" s="2008"/>
      <c r="W7" s="2009"/>
      <c r="X7" s="711"/>
    </row>
    <row r="8" spans="1:28" ht="15">
      <c r="A8" s="2004" t="s">
        <v>7176</v>
      </c>
      <c r="B8" s="2005"/>
      <c r="C8" s="2005"/>
      <c r="D8" s="2005"/>
      <c r="E8" s="2005"/>
      <c r="F8" s="2005"/>
      <c r="G8" s="2005"/>
      <c r="H8" s="2005"/>
      <c r="I8" s="2005"/>
      <c r="J8" s="2005"/>
      <c r="K8" s="2005"/>
      <c r="L8" s="2005"/>
      <c r="M8" s="2005"/>
      <c r="N8" s="2005"/>
      <c r="O8" s="2005"/>
      <c r="P8" s="2005"/>
      <c r="Q8" s="2005"/>
      <c r="R8" s="2005"/>
      <c r="S8" s="2005"/>
      <c r="T8" s="2005"/>
      <c r="U8" s="2005"/>
      <c r="V8" s="2005"/>
      <c r="W8" s="2006"/>
      <c r="Y8" s="68"/>
      <c r="Z8" s="68"/>
      <c r="AA8" s="68"/>
      <c r="AB8" s="68"/>
    </row>
    <row r="9" spans="1:28" s="710" customFormat="1" ht="8.25">
      <c r="A9" s="2010"/>
      <c r="B9" s="2011"/>
      <c r="C9" s="2011"/>
      <c r="D9" s="2011"/>
      <c r="E9" s="2011"/>
      <c r="F9" s="2011"/>
      <c r="G9" s="2011"/>
      <c r="H9" s="2011"/>
      <c r="I9" s="2011"/>
      <c r="J9" s="2011"/>
      <c r="K9" s="2011"/>
      <c r="L9" s="2011"/>
      <c r="M9" s="2011"/>
      <c r="N9" s="2011"/>
      <c r="O9" s="2011"/>
      <c r="P9" s="2011"/>
      <c r="Q9" s="2011"/>
      <c r="R9" s="2011"/>
      <c r="S9" s="2011"/>
      <c r="T9" s="2011"/>
      <c r="U9" s="2011"/>
      <c r="V9" s="2011"/>
      <c r="W9" s="2012"/>
      <c r="X9" s="709"/>
    </row>
    <row r="10" spans="1:28" hidden="1">
      <c r="A10" s="476" t="s">
        <v>48</v>
      </c>
      <c r="B10" s="482">
        <f t="shared" ref="B10:W10" si="0">B11+B20+B27+B34</f>
        <v>0</v>
      </c>
      <c r="C10" s="482">
        <f t="shared" si="0"/>
        <v>0</v>
      </c>
      <c r="D10" s="482">
        <f t="shared" si="0"/>
        <v>0</v>
      </c>
      <c r="E10" s="482">
        <f t="shared" si="0"/>
        <v>0</v>
      </c>
      <c r="F10" s="482">
        <f t="shared" si="0"/>
        <v>0</v>
      </c>
      <c r="G10" s="482">
        <f t="shared" si="0"/>
        <v>0</v>
      </c>
      <c r="H10" s="482">
        <f t="shared" si="0"/>
        <v>0</v>
      </c>
      <c r="I10" s="482">
        <f t="shared" si="0"/>
        <v>0</v>
      </c>
      <c r="J10" s="482">
        <f t="shared" si="0"/>
        <v>0</v>
      </c>
      <c r="K10" s="482">
        <f t="shared" si="0"/>
        <v>0</v>
      </c>
      <c r="L10" s="474">
        <f t="shared" si="0"/>
        <v>0</v>
      </c>
      <c r="M10" s="482">
        <f t="shared" si="0"/>
        <v>0</v>
      </c>
      <c r="N10" s="482">
        <f t="shared" si="0"/>
        <v>0</v>
      </c>
      <c r="O10" s="482">
        <f t="shared" si="0"/>
        <v>0</v>
      </c>
      <c r="P10" s="482">
        <f t="shared" si="0"/>
        <v>0</v>
      </c>
      <c r="Q10" s="482">
        <f t="shared" si="0"/>
        <v>0</v>
      </c>
      <c r="R10" s="482">
        <f t="shared" si="0"/>
        <v>0</v>
      </c>
      <c r="S10" s="482">
        <f t="shared" si="0"/>
        <v>0</v>
      </c>
      <c r="T10" s="482">
        <f t="shared" si="0"/>
        <v>0</v>
      </c>
      <c r="U10" s="482">
        <f t="shared" si="0"/>
        <v>0</v>
      </c>
      <c r="V10" s="482">
        <f t="shared" si="0"/>
        <v>0</v>
      </c>
      <c r="W10" s="474">
        <f t="shared" si="0"/>
        <v>0</v>
      </c>
      <c r="X10" s="55"/>
      <c r="AA10" s="68"/>
      <c r="AB10" s="68"/>
    </row>
    <row r="11" spans="1:28" hidden="1">
      <c r="A11" s="486" t="s">
        <v>7</v>
      </c>
      <c r="B11" s="484">
        <f t="shared" ref="B11:W11" si="1">SUM(B12:B19)</f>
        <v>0</v>
      </c>
      <c r="C11" s="484">
        <f t="shared" si="1"/>
        <v>0</v>
      </c>
      <c r="D11" s="484">
        <f t="shared" si="1"/>
        <v>0</v>
      </c>
      <c r="E11" s="484">
        <f t="shared" si="1"/>
        <v>0</v>
      </c>
      <c r="F11" s="484">
        <f t="shared" si="1"/>
        <v>0</v>
      </c>
      <c r="G11" s="484">
        <f t="shared" si="1"/>
        <v>0</v>
      </c>
      <c r="H11" s="484">
        <f t="shared" si="1"/>
        <v>0</v>
      </c>
      <c r="I11" s="484">
        <f t="shared" si="1"/>
        <v>0</v>
      </c>
      <c r="J11" s="484">
        <f t="shared" si="1"/>
        <v>0</v>
      </c>
      <c r="K11" s="484">
        <f t="shared" si="1"/>
        <v>0</v>
      </c>
      <c r="L11" s="485">
        <f t="shared" si="1"/>
        <v>0</v>
      </c>
      <c r="M11" s="484">
        <f t="shared" si="1"/>
        <v>0</v>
      </c>
      <c r="N11" s="484">
        <f t="shared" si="1"/>
        <v>0</v>
      </c>
      <c r="O11" s="484">
        <f t="shared" si="1"/>
        <v>0</v>
      </c>
      <c r="P11" s="484">
        <f t="shared" si="1"/>
        <v>0</v>
      </c>
      <c r="Q11" s="484">
        <f t="shared" si="1"/>
        <v>0</v>
      </c>
      <c r="R11" s="484">
        <f t="shared" si="1"/>
        <v>0</v>
      </c>
      <c r="S11" s="484">
        <f t="shared" si="1"/>
        <v>0</v>
      </c>
      <c r="T11" s="484">
        <f t="shared" si="1"/>
        <v>0</v>
      </c>
      <c r="U11" s="484">
        <f t="shared" si="1"/>
        <v>0</v>
      </c>
      <c r="V11" s="484">
        <f t="shared" si="1"/>
        <v>0</v>
      </c>
      <c r="W11" s="485">
        <f t="shared" si="1"/>
        <v>0</v>
      </c>
      <c r="AA11" s="68"/>
      <c r="AB11" s="68"/>
    </row>
    <row r="12" spans="1:28" hidden="1">
      <c r="A12" s="15" t="s">
        <v>3</v>
      </c>
      <c r="B12" s="13"/>
      <c r="C12" s="13"/>
      <c r="D12" s="13"/>
      <c r="E12" s="13"/>
      <c r="F12" s="13"/>
      <c r="G12" s="13"/>
      <c r="H12" s="13"/>
      <c r="I12" s="13"/>
      <c r="J12" s="13"/>
      <c r="K12" s="13"/>
      <c r="L12" s="16"/>
      <c r="M12" s="13"/>
      <c r="N12" s="13"/>
      <c r="O12" s="13"/>
      <c r="P12" s="13"/>
      <c r="Q12" s="13"/>
      <c r="R12" s="13"/>
      <c r="S12" s="13"/>
      <c r="T12" s="13"/>
      <c r="U12" s="13"/>
      <c r="V12" s="13"/>
      <c r="W12" s="16"/>
      <c r="AA12" s="68"/>
      <c r="AB12" s="68"/>
    </row>
    <row r="13" spans="1:28" hidden="1">
      <c r="A13" s="15" t="s">
        <v>7062</v>
      </c>
      <c r="B13" s="13"/>
      <c r="C13" s="13"/>
      <c r="D13" s="13"/>
      <c r="E13" s="13"/>
      <c r="F13" s="13"/>
      <c r="G13" s="13"/>
      <c r="H13" s="13"/>
      <c r="I13" s="13"/>
      <c r="J13" s="13"/>
      <c r="K13" s="13"/>
      <c r="L13" s="16"/>
      <c r="M13" s="13"/>
      <c r="N13" s="13"/>
      <c r="O13" s="13"/>
      <c r="P13" s="13"/>
      <c r="Q13" s="13"/>
      <c r="R13" s="13"/>
      <c r="S13" s="13"/>
      <c r="T13" s="13"/>
      <c r="U13" s="13"/>
      <c r="V13" s="13"/>
      <c r="W13" s="16"/>
      <c r="AA13" s="68"/>
      <c r="AB13" s="68"/>
    </row>
    <row r="14" spans="1:28" hidden="1">
      <c r="A14" s="15" t="s">
        <v>7061</v>
      </c>
      <c r="B14" s="13"/>
      <c r="C14" s="13"/>
      <c r="D14" s="13"/>
      <c r="E14" s="13"/>
      <c r="F14" s="13"/>
      <c r="G14" s="13"/>
      <c r="H14" s="13"/>
      <c r="I14" s="13"/>
      <c r="J14" s="13"/>
      <c r="K14" s="13"/>
      <c r="L14" s="16"/>
      <c r="M14" s="13"/>
      <c r="N14" s="13"/>
      <c r="O14" s="13"/>
      <c r="P14" s="13"/>
      <c r="Q14" s="13"/>
      <c r="R14" s="13"/>
      <c r="S14" s="13"/>
      <c r="T14" s="13"/>
      <c r="U14" s="13"/>
      <c r="V14" s="13"/>
      <c r="W14" s="16"/>
      <c r="AA14" s="68"/>
      <c r="AB14" s="68"/>
    </row>
    <row r="15" spans="1:28" hidden="1">
      <c r="A15" s="15" t="s">
        <v>7060</v>
      </c>
      <c r="B15" s="13"/>
      <c r="C15" s="13"/>
      <c r="D15" s="13"/>
      <c r="E15" s="13"/>
      <c r="F15" s="13"/>
      <c r="G15" s="13"/>
      <c r="H15" s="13"/>
      <c r="I15" s="13"/>
      <c r="J15" s="13"/>
      <c r="K15" s="13">
        <f>SUM(B15:J15)</f>
        <v>0</v>
      </c>
      <c r="L15" s="472"/>
      <c r="M15" s="13"/>
      <c r="N15" s="13"/>
      <c r="O15" s="13"/>
      <c r="P15" s="13"/>
      <c r="Q15" s="13"/>
      <c r="R15" s="13"/>
      <c r="S15" s="13"/>
      <c r="T15" s="13"/>
      <c r="U15" s="13"/>
      <c r="V15" s="13">
        <f>SUM(M15:U15)</f>
        <v>0</v>
      </c>
      <c r="W15" s="472"/>
      <c r="AA15" s="68"/>
      <c r="AB15" s="68"/>
    </row>
    <row r="16" spans="1:28" hidden="1">
      <c r="A16" s="15" t="s">
        <v>7059</v>
      </c>
      <c r="B16" s="13"/>
      <c r="C16" s="13"/>
      <c r="D16" s="13"/>
      <c r="E16" s="13"/>
      <c r="F16" s="13"/>
      <c r="G16" s="13"/>
      <c r="H16" s="13"/>
      <c r="I16" s="13"/>
      <c r="J16" s="13"/>
      <c r="K16" s="13">
        <f>SUM(B16:J16)</f>
        <v>0</v>
      </c>
      <c r="L16" s="472"/>
      <c r="M16" s="13"/>
      <c r="N16" s="13"/>
      <c r="O16" s="13"/>
      <c r="P16" s="13"/>
      <c r="Q16" s="13"/>
      <c r="R16" s="13"/>
      <c r="S16" s="13"/>
      <c r="T16" s="13"/>
      <c r="U16" s="13"/>
      <c r="V16" s="13">
        <f>SUM(M16:U16)</f>
        <v>0</v>
      </c>
      <c r="W16" s="472"/>
      <c r="AA16" s="68"/>
      <c r="AB16" s="68"/>
    </row>
    <row r="17" spans="1:28" hidden="1">
      <c r="A17" s="15" t="s">
        <v>7058</v>
      </c>
      <c r="B17" s="13"/>
      <c r="C17" s="13"/>
      <c r="D17" s="13"/>
      <c r="E17" s="13"/>
      <c r="F17" s="13"/>
      <c r="G17" s="13"/>
      <c r="H17" s="13"/>
      <c r="I17" s="13"/>
      <c r="J17" s="13"/>
      <c r="K17" s="13">
        <f>SUM(B17:J17)</f>
        <v>0</v>
      </c>
      <c r="L17" s="472"/>
      <c r="M17" s="13"/>
      <c r="N17" s="13"/>
      <c r="O17" s="13"/>
      <c r="P17" s="13"/>
      <c r="Q17" s="13"/>
      <c r="R17" s="13"/>
      <c r="S17" s="13"/>
      <c r="T17" s="13"/>
      <c r="U17" s="13"/>
      <c r="V17" s="13">
        <f>SUM(M17:U17)</f>
        <v>0</v>
      </c>
      <c r="W17" s="472"/>
      <c r="AA17" s="68"/>
      <c r="AB17" s="68"/>
    </row>
    <row r="18" spans="1:28" hidden="1">
      <c r="A18" s="15" t="s">
        <v>7057</v>
      </c>
      <c r="B18" s="13"/>
      <c r="C18" s="13"/>
      <c r="D18" s="13"/>
      <c r="E18" s="13"/>
      <c r="F18" s="13"/>
      <c r="G18" s="13"/>
      <c r="H18" s="13"/>
      <c r="I18" s="13"/>
      <c r="J18" s="13"/>
      <c r="K18" s="13">
        <f>SUM(B18:J18)</f>
        <v>0</v>
      </c>
      <c r="L18" s="472"/>
      <c r="M18" s="13"/>
      <c r="N18" s="13"/>
      <c r="O18" s="13"/>
      <c r="P18" s="13"/>
      <c r="Q18" s="13"/>
      <c r="R18" s="13"/>
      <c r="S18" s="13"/>
      <c r="T18" s="13"/>
      <c r="U18" s="13"/>
      <c r="V18" s="13">
        <f>SUM(M18:U18)</f>
        <v>0</v>
      </c>
      <c r="W18" s="472"/>
      <c r="X18" s="55"/>
      <c r="AA18" s="68"/>
      <c r="AB18" s="68"/>
    </row>
    <row r="19" spans="1:28" hidden="1">
      <c r="A19" s="15" t="s">
        <v>12</v>
      </c>
      <c r="B19" s="13"/>
      <c r="C19" s="13"/>
      <c r="D19" s="13"/>
      <c r="E19" s="13"/>
      <c r="F19" s="13"/>
      <c r="G19" s="13"/>
      <c r="H19" s="13"/>
      <c r="I19" s="13"/>
      <c r="J19" s="13"/>
      <c r="K19" s="13">
        <f>SUM(B19:J19)</f>
        <v>0</v>
      </c>
      <c r="L19" s="472"/>
      <c r="M19" s="13"/>
      <c r="N19" s="13"/>
      <c r="O19" s="13"/>
      <c r="P19" s="13"/>
      <c r="Q19" s="13"/>
      <c r="R19" s="13"/>
      <c r="S19" s="13"/>
      <c r="T19" s="13"/>
      <c r="U19" s="13"/>
      <c r="V19" s="13">
        <f>SUM(M19:U19)</f>
        <v>0</v>
      </c>
      <c r="W19" s="472"/>
      <c r="AA19" s="68"/>
      <c r="AB19" s="68"/>
    </row>
    <row r="20" spans="1:28" hidden="1">
      <c r="A20" s="486" t="s">
        <v>4</v>
      </c>
      <c r="B20" s="484">
        <f t="shared" ref="B20:W20" si="2">SUM(B21:B26)</f>
        <v>0</v>
      </c>
      <c r="C20" s="484">
        <f t="shared" si="2"/>
        <v>0</v>
      </c>
      <c r="D20" s="484">
        <f t="shared" si="2"/>
        <v>0</v>
      </c>
      <c r="E20" s="484">
        <f t="shared" si="2"/>
        <v>0</v>
      </c>
      <c r="F20" s="484">
        <f t="shared" si="2"/>
        <v>0</v>
      </c>
      <c r="G20" s="484">
        <f t="shared" si="2"/>
        <v>0</v>
      </c>
      <c r="H20" s="484">
        <f t="shared" si="2"/>
        <v>0</v>
      </c>
      <c r="I20" s="484">
        <f t="shared" si="2"/>
        <v>0</v>
      </c>
      <c r="J20" s="484">
        <f t="shared" si="2"/>
        <v>0</v>
      </c>
      <c r="K20" s="484">
        <f t="shared" si="2"/>
        <v>0</v>
      </c>
      <c r="L20" s="485">
        <f t="shared" si="2"/>
        <v>0</v>
      </c>
      <c r="M20" s="484">
        <f t="shared" si="2"/>
        <v>0</v>
      </c>
      <c r="N20" s="484">
        <f t="shared" si="2"/>
        <v>0</v>
      </c>
      <c r="O20" s="484">
        <f t="shared" si="2"/>
        <v>0</v>
      </c>
      <c r="P20" s="484">
        <f t="shared" si="2"/>
        <v>0</v>
      </c>
      <c r="Q20" s="484">
        <f t="shared" si="2"/>
        <v>0</v>
      </c>
      <c r="R20" s="484">
        <f t="shared" si="2"/>
        <v>0</v>
      </c>
      <c r="S20" s="484">
        <f t="shared" si="2"/>
        <v>0</v>
      </c>
      <c r="T20" s="484">
        <f t="shared" si="2"/>
        <v>0</v>
      </c>
      <c r="U20" s="484">
        <f t="shared" si="2"/>
        <v>0</v>
      </c>
      <c r="V20" s="484">
        <f t="shared" si="2"/>
        <v>0</v>
      </c>
      <c r="W20" s="485">
        <f t="shared" si="2"/>
        <v>0</v>
      </c>
      <c r="AA20" s="68"/>
      <c r="AB20" s="68"/>
    </row>
    <row r="21" spans="1:28" hidden="1">
      <c r="A21" s="15" t="s">
        <v>13</v>
      </c>
      <c r="B21" s="13"/>
      <c r="C21" s="13"/>
      <c r="D21" s="13"/>
      <c r="E21" s="13"/>
      <c r="F21" s="13"/>
      <c r="G21" s="13"/>
      <c r="H21" s="13"/>
      <c r="I21" s="13"/>
      <c r="J21" s="13"/>
      <c r="K21" s="13">
        <f t="shared" ref="K21:K26" si="3">SUM(B21:J21)</f>
        <v>0</v>
      </c>
      <c r="L21" s="472"/>
      <c r="M21" s="13"/>
      <c r="N21" s="13"/>
      <c r="O21" s="13"/>
      <c r="P21" s="13"/>
      <c r="Q21" s="13"/>
      <c r="R21" s="13"/>
      <c r="S21" s="13"/>
      <c r="T21" s="13"/>
      <c r="U21" s="13"/>
      <c r="V21" s="13">
        <f t="shared" ref="V21:V26" si="4">SUM(M21:U21)</f>
        <v>0</v>
      </c>
      <c r="W21" s="472"/>
      <c r="AA21" s="68"/>
      <c r="AB21" s="68"/>
    </row>
    <row r="22" spans="1:28" hidden="1">
      <c r="A22" s="15" t="s">
        <v>6978</v>
      </c>
      <c r="B22" s="13"/>
      <c r="C22" s="13"/>
      <c r="D22" s="13"/>
      <c r="E22" s="13"/>
      <c r="F22" s="13"/>
      <c r="G22" s="13"/>
      <c r="H22" s="13"/>
      <c r="I22" s="13"/>
      <c r="J22" s="13"/>
      <c r="K22" s="13">
        <f t="shared" si="3"/>
        <v>0</v>
      </c>
      <c r="L22" s="472"/>
      <c r="M22" s="13"/>
      <c r="N22" s="13"/>
      <c r="O22" s="13"/>
      <c r="P22" s="13"/>
      <c r="Q22" s="13"/>
      <c r="R22" s="13"/>
      <c r="S22" s="13"/>
      <c r="T22" s="13"/>
      <c r="U22" s="13"/>
      <c r="V22" s="13">
        <f t="shared" si="4"/>
        <v>0</v>
      </c>
      <c r="W22" s="472"/>
      <c r="AA22" s="68"/>
      <c r="AB22" s="68"/>
    </row>
    <row r="23" spans="1:28" hidden="1">
      <c r="A23" s="15" t="s">
        <v>6977</v>
      </c>
      <c r="B23" s="13"/>
      <c r="C23" s="13"/>
      <c r="D23" s="13"/>
      <c r="E23" s="13"/>
      <c r="F23" s="13"/>
      <c r="G23" s="13"/>
      <c r="H23" s="13"/>
      <c r="I23" s="13"/>
      <c r="J23" s="13"/>
      <c r="K23" s="13">
        <f t="shared" si="3"/>
        <v>0</v>
      </c>
      <c r="L23" s="472"/>
      <c r="M23" s="13"/>
      <c r="N23" s="13"/>
      <c r="O23" s="13"/>
      <c r="P23" s="13"/>
      <c r="Q23" s="13"/>
      <c r="R23" s="13"/>
      <c r="S23" s="13"/>
      <c r="T23" s="13"/>
      <c r="U23" s="13"/>
      <c r="V23" s="13">
        <f t="shared" si="4"/>
        <v>0</v>
      </c>
      <c r="W23" s="472"/>
      <c r="X23" s="55"/>
      <c r="AA23" s="68"/>
      <c r="AB23" s="68"/>
    </row>
    <row r="24" spans="1:28" hidden="1">
      <c r="A24" s="15" t="s">
        <v>6976</v>
      </c>
      <c r="B24" s="13"/>
      <c r="C24" s="13"/>
      <c r="D24" s="13"/>
      <c r="E24" s="13"/>
      <c r="F24" s="13"/>
      <c r="G24" s="13"/>
      <c r="H24" s="13"/>
      <c r="I24" s="13"/>
      <c r="J24" s="13"/>
      <c r="K24" s="13">
        <f t="shared" si="3"/>
        <v>0</v>
      </c>
      <c r="L24" s="472"/>
      <c r="M24" s="13"/>
      <c r="N24" s="13"/>
      <c r="O24" s="13"/>
      <c r="P24" s="13"/>
      <c r="Q24" s="13"/>
      <c r="R24" s="13"/>
      <c r="S24" s="13"/>
      <c r="T24" s="13"/>
      <c r="U24" s="13"/>
      <c r="V24" s="13">
        <f t="shared" si="4"/>
        <v>0</v>
      </c>
      <c r="W24" s="472"/>
      <c r="AA24" s="68"/>
      <c r="AB24" s="68"/>
    </row>
    <row r="25" spans="1:28" hidden="1">
      <c r="A25" s="15" t="s">
        <v>14</v>
      </c>
      <c r="B25" s="13"/>
      <c r="C25" s="13"/>
      <c r="D25" s="13"/>
      <c r="E25" s="13"/>
      <c r="F25" s="13"/>
      <c r="G25" s="13"/>
      <c r="H25" s="13"/>
      <c r="I25" s="13"/>
      <c r="J25" s="13"/>
      <c r="K25" s="13">
        <f t="shared" si="3"/>
        <v>0</v>
      </c>
      <c r="L25" s="472"/>
      <c r="M25" s="13"/>
      <c r="N25" s="13"/>
      <c r="O25" s="13"/>
      <c r="P25" s="13"/>
      <c r="Q25" s="13"/>
      <c r="R25" s="13"/>
      <c r="S25" s="13"/>
      <c r="T25" s="13"/>
      <c r="U25" s="13"/>
      <c r="V25" s="13">
        <f t="shared" si="4"/>
        <v>0</v>
      </c>
      <c r="W25" s="472"/>
      <c r="AA25" s="68"/>
      <c r="AB25" s="68"/>
    </row>
    <row r="26" spans="1:28" hidden="1">
      <c r="A26" s="15" t="s">
        <v>6975</v>
      </c>
      <c r="B26" s="13"/>
      <c r="C26" s="13"/>
      <c r="D26" s="13"/>
      <c r="E26" s="13"/>
      <c r="F26" s="13"/>
      <c r="G26" s="13"/>
      <c r="H26" s="13"/>
      <c r="I26" s="13"/>
      <c r="J26" s="13"/>
      <c r="K26" s="13">
        <f t="shared" si="3"/>
        <v>0</v>
      </c>
      <c r="L26" s="472"/>
      <c r="M26" s="13"/>
      <c r="N26" s="13"/>
      <c r="O26" s="13"/>
      <c r="P26" s="13"/>
      <c r="Q26" s="13"/>
      <c r="R26" s="13"/>
      <c r="S26" s="13"/>
      <c r="T26" s="13"/>
      <c r="U26" s="13"/>
      <c r="V26" s="13">
        <f t="shared" si="4"/>
        <v>0</v>
      </c>
      <c r="W26" s="472"/>
      <c r="AA26" s="68"/>
      <c r="AB26" s="68"/>
    </row>
    <row r="27" spans="1:28" hidden="1">
      <c r="A27" s="486" t="s">
        <v>5</v>
      </c>
      <c r="B27" s="484">
        <f t="shared" ref="B27:W27" si="5">SUM(B28:B33)</f>
        <v>0</v>
      </c>
      <c r="C27" s="484">
        <f t="shared" si="5"/>
        <v>0</v>
      </c>
      <c r="D27" s="484">
        <f t="shared" si="5"/>
        <v>0</v>
      </c>
      <c r="E27" s="484">
        <f t="shared" si="5"/>
        <v>0</v>
      </c>
      <c r="F27" s="484">
        <f t="shared" si="5"/>
        <v>0</v>
      </c>
      <c r="G27" s="484">
        <f t="shared" si="5"/>
        <v>0</v>
      </c>
      <c r="H27" s="484">
        <f t="shared" si="5"/>
        <v>0</v>
      </c>
      <c r="I27" s="484">
        <f t="shared" si="5"/>
        <v>0</v>
      </c>
      <c r="J27" s="484">
        <f t="shared" si="5"/>
        <v>0</v>
      </c>
      <c r="K27" s="484">
        <f t="shared" si="5"/>
        <v>0</v>
      </c>
      <c r="L27" s="485">
        <f t="shared" si="5"/>
        <v>0</v>
      </c>
      <c r="M27" s="484">
        <f t="shared" si="5"/>
        <v>0</v>
      </c>
      <c r="N27" s="484">
        <f t="shared" si="5"/>
        <v>0</v>
      </c>
      <c r="O27" s="484">
        <f t="shared" si="5"/>
        <v>0</v>
      </c>
      <c r="P27" s="484">
        <f t="shared" si="5"/>
        <v>0</v>
      </c>
      <c r="Q27" s="484">
        <f t="shared" si="5"/>
        <v>0</v>
      </c>
      <c r="R27" s="484">
        <f t="shared" si="5"/>
        <v>0</v>
      </c>
      <c r="S27" s="484">
        <f t="shared" si="5"/>
        <v>0</v>
      </c>
      <c r="T27" s="484">
        <f t="shared" si="5"/>
        <v>0</v>
      </c>
      <c r="U27" s="484">
        <f t="shared" si="5"/>
        <v>0</v>
      </c>
      <c r="V27" s="484">
        <f t="shared" si="5"/>
        <v>0</v>
      </c>
      <c r="W27" s="485">
        <f t="shared" si="5"/>
        <v>0</v>
      </c>
      <c r="AA27" s="68"/>
      <c r="AB27" s="68"/>
    </row>
    <row r="28" spans="1:28" hidden="1">
      <c r="A28" s="15" t="s">
        <v>15</v>
      </c>
      <c r="B28" s="13"/>
      <c r="C28" s="13"/>
      <c r="D28" s="13"/>
      <c r="E28" s="13"/>
      <c r="F28" s="13"/>
      <c r="G28" s="13"/>
      <c r="H28" s="13"/>
      <c r="I28" s="13"/>
      <c r="J28" s="13"/>
      <c r="K28" s="13">
        <f t="shared" ref="K28:K33" si="6">SUM(B28:J28)</f>
        <v>0</v>
      </c>
      <c r="L28" s="472"/>
      <c r="M28" s="13"/>
      <c r="N28" s="13"/>
      <c r="O28" s="13"/>
      <c r="P28" s="13"/>
      <c r="Q28" s="13"/>
      <c r="R28" s="13"/>
      <c r="S28" s="13"/>
      <c r="T28" s="13"/>
      <c r="U28" s="13"/>
      <c r="V28" s="13">
        <f t="shared" ref="V28:V33" si="7">SUM(M28:U28)</f>
        <v>0</v>
      </c>
      <c r="W28" s="472"/>
      <c r="X28" s="55"/>
      <c r="AA28" s="68"/>
      <c r="AB28" s="68"/>
    </row>
    <row r="29" spans="1:28" hidden="1">
      <c r="A29" s="15" t="s">
        <v>7056</v>
      </c>
      <c r="B29" s="13"/>
      <c r="C29" s="13"/>
      <c r="D29" s="13"/>
      <c r="E29" s="13"/>
      <c r="F29" s="13"/>
      <c r="G29" s="13"/>
      <c r="H29" s="13"/>
      <c r="I29" s="13"/>
      <c r="J29" s="13"/>
      <c r="K29" s="13">
        <f t="shared" si="6"/>
        <v>0</v>
      </c>
      <c r="L29" s="472"/>
      <c r="M29" s="13"/>
      <c r="N29" s="13"/>
      <c r="O29" s="13"/>
      <c r="P29" s="13"/>
      <c r="Q29" s="13"/>
      <c r="R29" s="13"/>
      <c r="S29" s="13"/>
      <c r="T29" s="13"/>
      <c r="U29" s="13"/>
      <c r="V29" s="13">
        <f t="shared" si="7"/>
        <v>0</v>
      </c>
      <c r="W29" s="472"/>
      <c r="AA29" s="68"/>
      <c r="AB29" s="68"/>
    </row>
    <row r="30" spans="1:28" hidden="1">
      <c r="A30" s="15" t="s">
        <v>6972</v>
      </c>
      <c r="B30" s="13"/>
      <c r="C30" s="13"/>
      <c r="D30" s="13"/>
      <c r="E30" s="13"/>
      <c r="F30" s="13"/>
      <c r="G30" s="13"/>
      <c r="H30" s="13"/>
      <c r="I30" s="13"/>
      <c r="J30" s="13"/>
      <c r="K30" s="13">
        <f t="shared" si="6"/>
        <v>0</v>
      </c>
      <c r="L30" s="472"/>
      <c r="M30" s="13"/>
      <c r="N30" s="13"/>
      <c r="O30" s="13"/>
      <c r="P30" s="13"/>
      <c r="Q30" s="13"/>
      <c r="R30" s="13"/>
      <c r="S30" s="13"/>
      <c r="T30" s="13"/>
      <c r="U30" s="13"/>
      <c r="V30" s="13">
        <f t="shared" si="7"/>
        <v>0</v>
      </c>
      <c r="W30" s="472"/>
      <c r="AA30" s="68"/>
      <c r="AB30" s="68"/>
    </row>
    <row r="31" spans="1:28" hidden="1">
      <c r="A31" s="15" t="s">
        <v>6971</v>
      </c>
      <c r="B31" s="13"/>
      <c r="C31" s="13"/>
      <c r="D31" s="13"/>
      <c r="E31" s="13"/>
      <c r="F31" s="13"/>
      <c r="G31" s="13"/>
      <c r="H31" s="13"/>
      <c r="I31" s="13"/>
      <c r="J31" s="13"/>
      <c r="K31" s="13">
        <f t="shared" si="6"/>
        <v>0</v>
      </c>
      <c r="L31" s="472"/>
      <c r="M31" s="13"/>
      <c r="N31" s="13"/>
      <c r="O31" s="13"/>
      <c r="P31" s="13"/>
      <c r="Q31" s="13"/>
      <c r="R31" s="13"/>
      <c r="S31" s="13"/>
      <c r="T31" s="13"/>
      <c r="U31" s="13"/>
      <c r="V31" s="13">
        <f t="shared" si="7"/>
        <v>0</v>
      </c>
      <c r="W31" s="472"/>
      <c r="AA31" s="68"/>
      <c r="AB31" s="68"/>
    </row>
    <row r="32" spans="1:28" hidden="1">
      <c r="A32" s="15" t="s">
        <v>16</v>
      </c>
      <c r="B32" s="13"/>
      <c r="C32" s="13"/>
      <c r="D32" s="13"/>
      <c r="E32" s="13"/>
      <c r="F32" s="13"/>
      <c r="G32" s="13"/>
      <c r="H32" s="13"/>
      <c r="I32" s="13"/>
      <c r="J32" s="13"/>
      <c r="K32" s="13">
        <f t="shared" si="6"/>
        <v>0</v>
      </c>
      <c r="L32" s="472"/>
      <c r="M32" s="13"/>
      <c r="N32" s="13"/>
      <c r="O32" s="13"/>
      <c r="P32" s="13"/>
      <c r="Q32" s="13"/>
      <c r="R32" s="13"/>
      <c r="S32" s="13"/>
      <c r="T32" s="13"/>
      <c r="U32" s="13"/>
      <c r="V32" s="13">
        <f t="shared" si="7"/>
        <v>0</v>
      </c>
      <c r="W32" s="472"/>
      <c r="AA32" s="68"/>
      <c r="AB32" s="68"/>
    </row>
    <row r="33" spans="1:28" hidden="1">
      <c r="A33" s="15" t="s">
        <v>6970</v>
      </c>
      <c r="B33" s="13"/>
      <c r="C33" s="13"/>
      <c r="D33" s="13"/>
      <c r="E33" s="13"/>
      <c r="F33" s="13"/>
      <c r="G33" s="13"/>
      <c r="H33" s="13"/>
      <c r="I33" s="13"/>
      <c r="J33" s="13"/>
      <c r="K33" s="13">
        <f t="shared" si="6"/>
        <v>0</v>
      </c>
      <c r="L33" s="472"/>
      <c r="M33" s="13"/>
      <c r="N33" s="13"/>
      <c r="O33" s="13"/>
      <c r="P33" s="13"/>
      <c r="Q33" s="13"/>
      <c r="R33" s="13"/>
      <c r="S33" s="13"/>
      <c r="T33" s="13"/>
      <c r="U33" s="13"/>
      <c r="V33" s="13">
        <f t="shared" si="7"/>
        <v>0</v>
      </c>
      <c r="W33" s="472"/>
      <c r="AA33" s="68"/>
      <c r="AB33" s="68"/>
    </row>
    <row r="34" spans="1:28" hidden="1">
      <c r="A34" s="486" t="s">
        <v>6</v>
      </c>
      <c r="B34" s="484">
        <f t="shared" ref="B34:W34" si="8">SUM(B35:B40)</f>
        <v>0</v>
      </c>
      <c r="C34" s="484">
        <f t="shared" si="8"/>
        <v>0</v>
      </c>
      <c r="D34" s="484">
        <f t="shared" si="8"/>
        <v>0</v>
      </c>
      <c r="E34" s="484">
        <f t="shared" si="8"/>
        <v>0</v>
      </c>
      <c r="F34" s="484">
        <f t="shared" si="8"/>
        <v>0</v>
      </c>
      <c r="G34" s="484">
        <f t="shared" si="8"/>
        <v>0</v>
      </c>
      <c r="H34" s="484">
        <f t="shared" si="8"/>
        <v>0</v>
      </c>
      <c r="I34" s="484">
        <f t="shared" si="8"/>
        <v>0</v>
      </c>
      <c r="J34" s="484">
        <f t="shared" si="8"/>
        <v>0</v>
      </c>
      <c r="K34" s="484">
        <f t="shared" si="8"/>
        <v>0</v>
      </c>
      <c r="L34" s="485">
        <f t="shared" si="8"/>
        <v>0</v>
      </c>
      <c r="M34" s="484">
        <f t="shared" si="8"/>
        <v>0</v>
      </c>
      <c r="N34" s="484">
        <f t="shared" si="8"/>
        <v>0</v>
      </c>
      <c r="O34" s="484">
        <f t="shared" si="8"/>
        <v>0</v>
      </c>
      <c r="P34" s="484">
        <f t="shared" si="8"/>
        <v>0</v>
      </c>
      <c r="Q34" s="484">
        <f t="shared" si="8"/>
        <v>0</v>
      </c>
      <c r="R34" s="484">
        <f t="shared" si="8"/>
        <v>0</v>
      </c>
      <c r="S34" s="484">
        <f t="shared" si="8"/>
        <v>0</v>
      </c>
      <c r="T34" s="484">
        <f t="shared" si="8"/>
        <v>0</v>
      </c>
      <c r="U34" s="484">
        <f t="shared" si="8"/>
        <v>0</v>
      </c>
      <c r="V34" s="484">
        <f t="shared" si="8"/>
        <v>0</v>
      </c>
      <c r="W34" s="485">
        <f t="shared" si="8"/>
        <v>0</v>
      </c>
      <c r="AA34" s="68"/>
      <c r="AB34" s="68"/>
    </row>
    <row r="35" spans="1:28" hidden="1">
      <c r="A35" s="15" t="s">
        <v>17</v>
      </c>
      <c r="B35" s="13"/>
      <c r="C35" s="13"/>
      <c r="D35" s="13"/>
      <c r="E35" s="13"/>
      <c r="F35" s="13"/>
      <c r="G35" s="13"/>
      <c r="H35" s="13"/>
      <c r="I35" s="13"/>
      <c r="J35" s="13"/>
      <c r="K35" s="13">
        <f t="shared" ref="K35:K40" si="9">SUM(B35:J35)</f>
        <v>0</v>
      </c>
      <c r="L35" s="472"/>
      <c r="M35" s="13"/>
      <c r="N35" s="13"/>
      <c r="O35" s="13"/>
      <c r="P35" s="13"/>
      <c r="Q35" s="13"/>
      <c r="R35" s="13"/>
      <c r="S35" s="13"/>
      <c r="T35" s="13"/>
      <c r="U35" s="13"/>
      <c r="V35" s="13">
        <f t="shared" ref="V35:V40" si="10">SUM(M35:U35)</f>
        <v>0</v>
      </c>
      <c r="W35" s="472"/>
      <c r="AA35" s="68"/>
      <c r="AB35" s="68"/>
    </row>
    <row r="36" spans="1:28" hidden="1">
      <c r="A36" s="15" t="s">
        <v>6969</v>
      </c>
      <c r="B36" s="13"/>
      <c r="C36" s="13"/>
      <c r="D36" s="13"/>
      <c r="E36" s="13"/>
      <c r="F36" s="13"/>
      <c r="G36" s="13"/>
      <c r="H36" s="13"/>
      <c r="I36" s="13"/>
      <c r="J36" s="13"/>
      <c r="K36" s="13">
        <f t="shared" si="9"/>
        <v>0</v>
      </c>
      <c r="L36" s="472"/>
      <c r="M36" s="13"/>
      <c r="N36" s="13"/>
      <c r="O36" s="13"/>
      <c r="P36" s="13"/>
      <c r="Q36" s="13"/>
      <c r="R36" s="13"/>
      <c r="S36" s="13"/>
      <c r="T36" s="13"/>
      <c r="U36" s="13"/>
      <c r="V36" s="13">
        <f t="shared" si="10"/>
        <v>0</v>
      </c>
      <c r="W36" s="472"/>
      <c r="AA36" s="68"/>
      <c r="AB36" s="68"/>
    </row>
    <row r="37" spans="1:28" hidden="1">
      <c r="A37" s="15" t="s">
        <v>6968</v>
      </c>
      <c r="B37" s="13"/>
      <c r="C37" s="13"/>
      <c r="D37" s="13"/>
      <c r="E37" s="13"/>
      <c r="F37" s="13"/>
      <c r="G37" s="13"/>
      <c r="H37" s="13"/>
      <c r="I37" s="13"/>
      <c r="J37" s="13"/>
      <c r="K37" s="13">
        <f t="shared" si="9"/>
        <v>0</v>
      </c>
      <c r="L37" s="472"/>
      <c r="M37" s="13"/>
      <c r="N37" s="13"/>
      <c r="O37" s="13"/>
      <c r="P37" s="13"/>
      <c r="Q37" s="13"/>
      <c r="R37" s="13"/>
      <c r="S37" s="13"/>
      <c r="T37" s="13"/>
      <c r="U37" s="13"/>
      <c r="V37" s="13">
        <f t="shared" si="10"/>
        <v>0</v>
      </c>
      <c r="W37" s="472"/>
      <c r="AA37" s="68"/>
      <c r="AB37" s="68"/>
    </row>
    <row r="38" spans="1:28" hidden="1">
      <c r="A38" s="15" t="s">
        <v>6967</v>
      </c>
      <c r="B38" s="13"/>
      <c r="C38" s="13"/>
      <c r="D38" s="13"/>
      <c r="E38" s="13"/>
      <c r="F38" s="13"/>
      <c r="G38" s="13"/>
      <c r="H38" s="13"/>
      <c r="I38" s="13"/>
      <c r="J38" s="13"/>
      <c r="K38" s="13">
        <f t="shared" si="9"/>
        <v>0</v>
      </c>
      <c r="L38" s="472"/>
      <c r="M38" s="13"/>
      <c r="N38" s="13"/>
      <c r="O38" s="13"/>
      <c r="P38" s="13"/>
      <c r="Q38" s="13"/>
      <c r="R38" s="13"/>
      <c r="S38" s="13"/>
      <c r="T38" s="13"/>
      <c r="U38" s="13"/>
      <c r="V38" s="13">
        <f t="shared" si="10"/>
        <v>0</v>
      </c>
      <c r="W38" s="472"/>
      <c r="AA38" s="68"/>
      <c r="AB38" s="68"/>
    </row>
    <row r="39" spans="1:28" hidden="1">
      <c r="A39" s="15" t="s">
        <v>18</v>
      </c>
      <c r="B39" s="13"/>
      <c r="C39" s="13"/>
      <c r="D39" s="13"/>
      <c r="E39" s="13"/>
      <c r="F39" s="13"/>
      <c r="G39" s="13"/>
      <c r="H39" s="13"/>
      <c r="I39" s="13"/>
      <c r="J39" s="13"/>
      <c r="K39" s="13">
        <f t="shared" si="9"/>
        <v>0</v>
      </c>
      <c r="L39" s="472"/>
      <c r="M39" s="13"/>
      <c r="N39" s="13"/>
      <c r="O39" s="13"/>
      <c r="P39" s="13"/>
      <c r="Q39" s="13"/>
      <c r="R39" s="13"/>
      <c r="S39" s="13"/>
      <c r="T39" s="13"/>
      <c r="U39" s="13"/>
      <c r="V39" s="13">
        <f t="shared" si="10"/>
        <v>0</v>
      </c>
      <c r="W39" s="472"/>
      <c r="AA39" s="68"/>
      <c r="AB39" s="68"/>
    </row>
    <row r="40" spans="1:28" hidden="1">
      <c r="A40" s="15" t="s">
        <v>6966</v>
      </c>
      <c r="B40" s="13"/>
      <c r="C40" s="13"/>
      <c r="D40" s="13"/>
      <c r="E40" s="13"/>
      <c r="F40" s="13"/>
      <c r="G40" s="13"/>
      <c r="H40" s="13"/>
      <c r="I40" s="13"/>
      <c r="J40" s="13"/>
      <c r="K40" s="13">
        <f t="shared" si="9"/>
        <v>0</v>
      </c>
      <c r="L40" s="472"/>
      <c r="M40" s="13"/>
      <c r="N40" s="13"/>
      <c r="O40" s="13"/>
      <c r="P40" s="13"/>
      <c r="Q40" s="13"/>
      <c r="R40" s="13"/>
      <c r="S40" s="13"/>
      <c r="T40" s="13"/>
      <c r="U40" s="13"/>
      <c r="V40" s="13">
        <f t="shared" si="10"/>
        <v>0</v>
      </c>
      <c r="W40" s="472"/>
      <c r="AA40" s="68"/>
      <c r="AB40" s="68"/>
    </row>
    <row r="41" spans="1:28" hidden="1">
      <c r="A41" s="15" t="s">
        <v>7055</v>
      </c>
      <c r="B41" s="13"/>
      <c r="C41" s="13"/>
      <c r="D41" s="13"/>
      <c r="E41" s="13"/>
      <c r="F41" s="13"/>
      <c r="G41" s="13"/>
      <c r="H41" s="13"/>
      <c r="I41" s="13"/>
      <c r="J41" s="13"/>
      <c r="K41" s="13"/>
      <c r="L41" s="16"/>
      <c r="M41" s="13"/>
      <c r="N41" s="13"/>
      <c r="O41" s="13"/>
      <c r="P41" s="13"/>
      <c r="Q41" s="13"/>
      <c r="R41" s="13"/>
      <c r="S41" s="13"/>
      <c r="T41" s="13"/>
      <c r="U41" s="13"/>
      <c r="V41" s="13"/>
      <c r="W41" s="16"/>
      <c r="AA41" s="68"/>
      <c r="AB41" s="68"/>
    </row>
    <row r="42" spans="1:28" ht="24">
      <c r="A42" s="708" t="s">
        <v>6909</v>
      </c>
      <c r="B42" s="482"/>
      <c r="C42" s="482"/>
      <c r="D42" s="482">
        <f t="shared" ref="D42:W42" si="11">SUM(D43:D45)</f>
        <v>45</v>
      </c>
      <c r="E42" s="482">
        <f t="shared" si="11"/>
        <v>0</v>
      </c>
      <c r="F42" s="482">
        <f t="shared" si="11"/>
        <v>0</v>
      </c>
      <c r="G42" s="482">
        <f t="shared" si="11"/>
        <v>0</v>
      </c>
      <c r="H42" s="482">
        <f t="shared" si="11"/>
        <v>0</v>
      </c>
      <c r="I42" s="482">
        <f t="shared" si="11"/>
        <v>0</v>
      </c>
      <c r="J42" s="482">
        <f t="shared" si="11"/>
        <v>0</v>
      </c>
      <c r="K42" s="482">
        <f t="shared" si="11"/>
        <v>45</v>
      </c>
      <c r="L42" s="474">
        <f t="shared" si="11"/>
        <v>1255000</v>
      </c>
      <c r="M42" s="482">
        <f t="shared" si="11"/>
        <v>0</v>
      </c>
      <c r="N42" s="482">
        <f t="shared" si="11"/>
        <v>0</v>
      </c>
      <c r="O42" s="482">
        <f t="shared" si="11"/>
        <v>40</v>
      </c>
      <c r="P42" s="482">
        <f t="shared" si="11"/>
        <v>0</v>
      </c>
      <c r="Q42" s="482">
        <f t="shared" si="11"/>
        <v>0</v>
      </c>
      <c r="R42" s="482">
        <f t="shared" si="11"/>
        <v>0</v>
      </c>
      <c r="S42" s="482">
        <f t="shared" si="11"/>
        <v>0</v>
      </c>
      <c r="T42" s="482">
        <f t="shared" si="11"/>
        <v>0</v>
      </c>
      <c r="U42" s="482">
        <f t="shared" si="11"/>
        <v>0</v>
      </c>
      <c r="V42" s="482">
        <f t="shared" si="11"/>
        <v>40</v>
      </c>
      <c r="W42" s="474">
        <f t="shared" si="11"/>
        <v>1243429</v>
      </c>
      <c r="Y42" s="490"/>
      <c r="AA42" s="68"/>
      <c r="AB42" s="68"/>
    </row>
    <row r="43" spans="1:28" ht="24">
      <c r="A43" s="703" t="s">
        <v>6908</v>
      </c>
      <c r="B43" s="13"/>
      <c r="C43" s="13"/>
      <c r="D43" s="13">
        <v>26</v>
      </c>
      <c r="E43" s="13"/>
      <c r="F43" s="13"/>
      <c r="G43" s="13"/>
      <c r="H43" s="13"/>
      <c r="I43" s="13"/>
      <c r="J43" s="13"/>
      <c r="K43" s="13">
        <f>SUM(B43:J43)</f>
        <v>26</v>
      </c>
      <c r="L43" s="472">
        <v>890000</v>
      </c>
      <c r="M43" s="13"/>
      <c r="N43" s="13"/>
      <c r="O43" s="13">
        <v>25</v>
      </c>
      <c r="P43" s="13"/>
      <c r="Q43" s="13"/>
      <c r="R43" s="13"/>
      <c r="S43" s="13"/>
      <c r="T43" s="13"/>
      <c r="U43" s="13"/>
      <c r="V43" s="13">
        <f>SUM(M43:U43)</f>
        <v>25</v>
      </c>
      <c r="W43" s="472">
        <v>785429</v>
      </c>
      <c r="Y43" s="489"/>
      <c r="AA43" s="68"/>
      <c r="AB43" s="68"/>
    </row>
    <row r="44" spans="1:28" ht="24">
      <c r="A44" s="703" t="s">
        <v>6907</v>
      </c>
      <c r="B44" s="13"/>
      <c r="C44" s="13"/>
      <c r="D44" s="13">
        <v>5</v>
      </c>
      <c r="E44" s="13"/>
      <c r="F44" s="13"/>
      <c r="G44" s="13"/>
      <c r="H44" s="13"/>
      <c r="I44" s="13"/>
      <c r="J44" s="13"/>
      <c r="K44" s="13">
        <f>SUM(B44:J44)</f>
        <v>5</v>
      </c>
      <c r="L44" s="472">
        <v>235000</v>
      </c>
      <c r="M44" s="13"/>
      <c r="N44" s="13"/>
      <c r="O44" s="13">
        <v>4</v>
      </c>
      <c r="P44" s="13"/>
      <c r="Q44" s="13"/>
      <c r="R44" s="13"/>
      <c r="S44" s="13"/>
      <c r="T44" s="13"/>
      <c r="U44" s="13"/>
      <c r="V44" s="13">
        <f>SUM(M44:U44)</f>
        <v>4</v>
      </c>
      <c r="W44" s="472">
        <v>276000</v>
      </c>
      <c r="Y44" s="489"/>
      <c r="AA44" s="68"/>
      <c r="AB44" s="68"/>
    </row>
    <row r="45" spans="1:28" ht="24">
      <c r="A45" s="703" t="s">
        <v>6906</v>
      </c>
      <c r="B45" s="13"/>
      <c r="C45" s="13"/>
      <c r="D45" s="13">
        <v>14</v>
      </c>
      <c r="E45" s="13"/>
      <c r="F45" s="13"/>
      <c r="G45" s="13"/>
      <c r="H45" s="13"/>
      <c r="I45" s="13"/>
      <c r="J45" s="13"/>
      <c r="K45" s="13">
        <f>SUM(B45:J45)</f>
        <v>14</v>
      </c>
      <c r="L45" s="472">
        <v>130000</v>
      </c>
      <c r="M45" s="13"/>
      <c r="N45" s="13"/>
      <c r="O45" s="13">
        <v>11</v>
      </c>
      <c r="P45" s="13"/>
      <c r="Q45" s="13"/>
      <c r="R45" s="13"/>
      <c r="S45" s="13"/>
      <c r="T45" s="13"/>
      <c r="U45" s="13"/>
      <c r="V45" s="13">
        <f>SUM(M45:U45)</f>
        <v>11</v>
      </c>
      <c r="W45" s="472">
        <v>182000</v>
      </c>
      <c r="Y45" s="489"/>
      <c r="AA45" s="68"/>
      <c r="AB45" s="68"/>
    </row>
    <row r="46" spans="1:28" hidden="1">
      <c r="A46" s="703"/>
      <c r="B46" s="13"/>
      <c r="C46" s="13"/>
      <c r="D46" s="13"/>
      <c r="E46" s="13"/>
      <c r="F46" s="13"/>
      <c r="G46" s="13"/>
      <c r="H46" s="13"/>
      <c r="I46" s="13"/>
      <c r="J46" s="13"/>
      <c r="K46" s="13"/>
      <c r="L46" s="472"/>
      <c r="M46" s="13"/>
      <c r="N46" s="13"/>
      <c r="O46" s="13"/>
      <c r="P46" s="13"/>
      <c r="Q46" s="13"/>
      <c r="R46" s="13"/>
      <c r="S46" s="13"/>
      <c r="T46" s="13"/>
      <c r="U46" s="13"/>
      <c r="V46" s="13"/>
      <c r="W46" s="472"/>
      <c r="Z46" s="531"/>
      <c r="AA46" s="68"/>
      <c r="AB46" s="68"/>
    </row>
    <row r="47" spans="1:28" ht="24" hidden="1">
      <c r="A47" s="704" t="s">
        <v>6905</v>
      </c>
      <c r="B47" s="477"/>
      <c r="C47" s="477"/>
      <c r="D47" s="477"/>
      <c r="E47" s="477"/>
      <c r="F47" s="477"/>
      <c r="G47" s="477"/>
      <c r="H47" s="477"/>
      <c r="I47" s="477"/>
      <c r="J47" s="477"/>
      <c r="K47" s="477"/>
      <c r="L47" s="488"/>
      <c r="M47" s="477"/>
      <c r="N47" s="477"/>
      <c r="O47" s="477"/>
      <c r="P47" s="477"/>
      <c r="Q47" s="477"/>
      <c r="R47" s="477"/>
      <c r="S47" s="477"/>
      <c r="T47" s="477"/>
      <c r="U47" s="477"/>
      <c r="V47" s="477"/>
      <c r="W47" s="487"/>
      <c r="AA47" s="68"/>
      <c r="AB47" s="68"/>
    </row>
    <row r="48" spans="1:28" hidden="1">
      <c r="A48" s="703" t="s">
        <v>6904</v>
      </c>
      <c r="B48" s="13"/>
      <c r="C48" s="13"/>
      <c r="D48" s="13"/>
      <c r="E48" s="13"/>
      <c r="F48" s="13"/>
      <c r="G48" s="13"/>
      <c r="H48" s="13"/>
      <c r="I48" s="13"/>
      <c r="J48" s="13"/>
      <c r="K48" s="13"/>
      <c r="L48" s="472"/>
      <c r="M48" s="13"/>
      <c r="N48" s="13"/>
      <c r="O48" s="13"/>
      <c r="P48" s="13"/>
      <c r="Q48" s="13"/>
      <c r="R48" s="13"/>
      <c r="S48" s="13"/>
      <c r="T48" s="13"/>
      <c r="U48" s="13"/>
      <c r="V48" s="13"/>
      <c r="W48" s="16"/>
      <c r="AA48" s="68"/>
      <c r="AB48" s="68"/>
    </row>
    <row r="49" spans="1:28" hidden="1">
      <c r="A49" s="703"/>
      <c r="B49" s="13"/>
      <c r="C49" s="13"/>
      <c r="D49" s="13"/>
      <c r="E49" s="13"/>
      <c r="F49" s="13"/>
      <c r="G49" s="13"/>
      <c r="H49" s="13"/>
      <c r="I49" s="13"/>
      <c r="J49" s="13"/>
      <c r="K49" s="13"/>
      <c r="L49" s="472"/>
      <c r="M49" s="13"/>
      <c r="N49" s="13"/>
      <c r="O49" s="13"/>
      <c r="P49" s="13"/>
      <c r="Q49" s="13"/>
      <c r="R49" s="13"/>
      <c r="S49" s="13"/>
      <c r="T49" s="13"/>
      <c r="U49" s="13"/>
      <c r="V49" s="13"/>
      <c r="W49" s="16"/>
      <c r="AA49" s="68"/>
      <c r="AB49" s="68"/>
    </row>
    <row r="50" spans="1:28">
      <c r="A50" s="707" t="s">
        <v>6903</v>
      </c>
      <c r="B50" s="482"/>
      <c r="C50" s="482"/>
      <c r="D50" s="482">
        <f>SUM(D51:D52)</f>
        <v>0</v>
      </c>
      <c r="E50" s="482">
        <f>SUM(E51:E53)</f>
        <v>0</v>
      </c>
      <c r="F50" s="482">
        <f>SUM(F51:F53)</f>
        <v>0</v>
      </c>
      <c r="G50" s="482">
        <f>SUM(G51:G53)</f>
        <v>0</v>
      </c>
      <c r="H50" s="482">
        <f>SUM(H51:H52)</f>
        <v>4</v>
      </c>
      <c r="I50" s="482">
        <f>SUM(I51:I52)</f>
        <v>0</v>
      </c>
      <c r="J50" s="482">
        <f>SUM(J51:J52)</f>
        <v>0</v>
      </c>
      <c r="K50" s="482">
        <f>SUM(K51:K52)</f>
        <v>4</v>
      </c>
      <c r="L50" s="474">
        <f>SUM(L51:L52)</f>
        <v>18896.28</v>
      </c>
      <c r="M50" s="482"/>
      <c r="N50" s="482"/>
      <c r="O50" s="482">
        <f>SUM(O51:O52)</f>
        <v>0</v>
      </c>
      <c r="P50" s="482">
        <f>SUM(P51:P53)</f>
        <v>0</v>
      </c>
      <c r="Q50" s="482">
        <f>SUM(Q51:Q53)</f>
        <v>0</v>
      </c>
      <c r="R50" s="482">
        <f>SUM(R51:R53)</f>
        <v>0</v>
      </c>
      <c r="S50" s="482">
        <f>SUM(S51:S52)</f>
        <v>0</v>
      </c>
      <c r="T50" s="482">
        <f>SUM(T51:T52)</f>
        <v>0</v>
      </c>
      <c r="U50" s="482">
        <f>SUM(U51:U52)</f>
        <v>0</v>
      </c>
      <c r="V50" s="482">
        <f>SUM(V51:V52)</f>
        <v>0</v>
      </c>
      <c r="W50" s="474">
        <f>SUM(W51:W52)</f>
        <v>0</v>
      </c>
      <c r="AA50" s="68"/>
      <c r="AB50" s="68"/>
    </row>
    <row r="51" spans="1:28" ht="13.5" thickBot="1">
      <c r="A51" s="703" t="s">
        <v>6902</v>
      </c>
      <c r="B51" s="13"/>
      <c r="C51" s="13"/>
      <c r="D51" s="13"/>
      <c r="E51" s="13"/>
      <c r="F51" s="13"/>
      <c r="G51" s="13"/>
      <c r="H51" s="13">
        <v>4</v>
      </c>
      <c r="I51" s="13"/>
      <c r="J51" s="13"/>
      <c r="K51" s="13">
        <f>SUM(B51:J51)</f>
        <v>4</v>
      </c>
      <c r="L51" s="472">
        <v>18896.28</v>
      </c>
      <c r="M51" s="13"/>
      <c r="N51" s="13"/>
      <c r="O51" s="13"/>
      <c r="P51" s="13"/>
      <c r="Q51" s="13"/>
      <c r="R51" s="13"/>
      <c r="S51" s="13"/>
      <c r="T51" s="13"/>
      <c r="U51" s="13"/>
      <c r="V51" s="13"/>
      <c r="W51" s="16"/>
      <c r="AA51" s="68"/>
      <c r="AB51" s="68"/>
    </row>
    <row r="52" spans="1:28" hidden="1">
      <c r="A52" s="703"/>
      <c r="B52" s="13"/>
      <c r="C52" s="13"/>
      <c r="D52" s="13"/>
      <c r="E52" s="13"/>
      <c r="F52" s="13"/>
      <c r="G52" s="13"/>
      <c r="H52" s="13"/>
      <c r="I52" s="13"/>
      <c r="J52" s="13"/>
      <c r="K52" s="13"/>
      <c r="L52" s="472"/>
      <c r="M52" s="13"/>
      <c r="N52" s="13"/>
      <c r="O52" s="13"/>
      <c r="P52" s="13"/>
      <c r="Q52" s="13"/>
      <c r="R52" s="13"/>
      <c r="S52" s="13"/>
      <c r="T52" s="13"/>
      <c r="U52" s="13"/>
      <c r="V52" s="13"/>
      <c r="W52" s="16"/>
      <c r="AA52" s="68"/>
      <c r="AB52" s="68"/>
    </row>
    <row r="53" spans="1:28" hidden="1">
      <c r="A53" s="707" t="s">
        <v>6901</v>
      </c>
      <c r="B53" s="493"/>
      <c r="C53" s="493"/>
      <c r="D53" s="493"/>
      <c r="E53" s="493"/>
      <c r="F53" s="493"/>
      <c r="G53" s="493"/>
      <c r="H53" s="493"/>
      <c r="I53" s="493"/>
      <c r="J53" s="493"/>
      <c r="K53" s="493"/>
      <c r="L53" s="492"/>
      <c r="M53" s="493"/>
      <c r="N53" s="493"/>
      <c r="O53" s="493"/>
      <c r="P53" s="493"/>
      <c r="Q53" s="493"/>
      <c r="R53" s="493"/>
      <c r="S53" s="493"/>
      <c r="T53" s="493"/>
      <c r="U53" s="493"/>
      <c r="V53" s="493"/>
      <c r="W53" s="530">
        <f>W54</f>
        <v>0</v>
      </c>
      <c r="AA53" s="68"/>
      <c r="AB53" s="68"/>
    </row>
    <row r="54" spans="1:28" hidden="1">
      <c r="A54" s="703" t="s">
        <v>6901</v>
      </c>
      <c r="B54" s="13"/>
      <c r="C54" s="13"/>
      <c r="D54" s="13"/>
      <c r="E54" s="13"/>
      <c r="F54" s="13"/>
      <c r="G54" s="13"/>
      <c r="H54" s="13"/>
      <c r="I54" s="13"/>
      <c r="J54" s="13"/>
      <c r="K54" s="13"/>
      <c r="L54" s="472"/>
      <c r="M54" s="13"/>
      <c r="N54" s="13"/>
      <c r="O54" s="13"/>
      <c r="P54" s="13"/>
      <c r="Q54" s="13"/>
      <c r="R54" s="13"/>
      <c r="S54" s="13"/>
      <c r="T54" s="13"/>
      <c r="U54" s="13"/>
      <c r="V54" s="13"/>
      <c r="W54" s="16"/>
      <c r="AA54" s="68"/>
      <c r="AB54" s="68"/>
    </row>
    <row r="55" spans="1:28" ht="13.5" hidden="1" thickBot="1">
      <c r="A55" s="703"/>
      <c r="B55" s="13"/>
      <c r="C55" s="13"/>
      <c r="D55" s="13"/>
      <c r="E55" s="13"/>
      <c r="F55" s="13"/>
      <c r="G55" s="13"/>
      <c r="H55" s="13"/>
      <c r="I55" s="13"/>
      <c r="J55" s="13"/>
      <c r="K55" s="13"/>
      <c r="L55" s="472"/>
      <c r="M55" s="13"/>
      <c r="N55" s="13"/>
      <c r="O55" s="13"/>
      <c r="P55" s="13"/>
      <c r="Q55" s="13"/>
      <c r="R55" s="13"/>
      <c r="S55" s="13"/>
      <c r="T55" s="13"/>
      <c r="U55" s="13"/>
      <c r="V55" s="13"/>
      <c r="W55" s="16"/>
      <c r="AA55" s="68"/>
      <c r="AB55" s="68"/>
    </row>
    <row r="56" spans="1:28" ht="13.5" thickBot="1">
      <c r="A56" s="17" t="s">
        <v>23</v>
      </c>
      <c r="B56" s="471">
        <f>B10+B42+B53</f>
        <v>0</v>
      </c>
      <c r="C56" s="470">
        <f>C10+C42</f>
        <v>0</v>
      </c>
      <c r="D56" s="470">
        <f>D10+D42</f>
        <v>45</v>
      </c>
      <c r="E56" s="470">
        <f>E10+E42</f>
        <v>0</v>
      </c>
      <c r="F56" s="470">
        <f>F10+F42</f>
        <v>0</v>
      </c>
      <c r="G56" s="470">
        <f>G10+G42</f>
        <v>0</v>
      </c>
      <c r="H56" s="470">
        <f>H10+H42+H50</f>
        <v>4</v>
      </c>
      <c r="I56" s="470">
        <f>I10+I42</f>
        <v>0</v>
      </c>
      <c r="J56" s="470">
        <f>J10+J42</f>
        <v>0</v>
      </c>
      <c r="K56" s="470">
        <f>K10+K42+K50</f>
        <v>49</v>
      </c>
      <c r="L56" s="470">
        <f>L10+L42+L50</f>
        <v>1273896.28</v>
      </c>
      <c r="M56" s="471">
        <f>M10+M42+M53</f>
        <v>0</v>
      </c>
      <c r="N56" s="470">
        <f t="shared" ref="N56:W56" si="12">N10+N42</f>
        <v>0</v>
      </c>
      <c r="O56" s="470">
        <f t="shared" si="12"/>
        <v>40</v>
      </c>
      <c r="P56" s="470">
        <f t="shared" si="12"/>
        <v>0</v>
      </c>
      <c r="Q56" s="470">
        <f t="shared" si="12"/>
        <v>0</v>
      </c>
      <c r="R56" s="470">
        <f t="shared" si="12"/>
        <v>0</v>
      </c>
      <c r="S56" s="470">
        <f t="shared" si="12"/>
        <v>0</v>
      </c>
      <c r="T56" s="470">
        <f t="shared" si="12"/>
        <v>0</v>
      </c>
      <c r="U56" s="470">
        <f t="shared" si="12"/>
        <v>0</v>
      </c>
      <c r="V56" s="470">
        <f t="shared" si="12"/>
        <v>40</v>
      </c>
      <c r="W56" s="469">
        <f t="shared" si="12"/>
        <v>1243429</v>
      </c>
      <c r="X56" s="55"/>
      <c r="AA56" s="68"/>
      <c r="AB56" s="68"/>
    </row>
    <row r="57" spans="1:28">
      <c r="A57" s="1" t="s">
        <v>273</v>
      </c>
      <c r="B57" s="2"/>
      <c r="C57" s="2"/>
      <c r="D57" s="2"/>
      <c r="E57" s="2"/>
      <c r="F57" s="2"/>
      <c r="G57" s="2"/>
      <c r="H57" s="2"/>
      <c r="I57" s="2"/>
      <c r="J57" s="2"/>
      <c r="K57" s="2"/>
      <c r="L57" s="2"/>
      <c r="M57" s="2"/>
      <c r="N57" s="2"/>
      <c r="O57" s="2"/>
      <c r="P57" s="6"/>
      <c r="Q57" s="52"/>
      <c r="R57"/>
      <c r="S57"/>
      <c r="T57" s="68"/>
      <c r="U57" s="68"/>
      <c r="V57" s="68"/>
      <c r="W57" s="68"/>
      <c r="X57" s="68"/>
      <c r="Y57" s="68"/>
      <c r="Z57" s="68"/>
      <c r="AA57" s="68"/>
      <c r="AB57" s="68"/>
    </row>
    <row r="58" spans="1:28">
      <c r="A58" s="11" t="s">
        <v>267</v>
      </c>
      <c r="P58" s="68"/>
      <c r="Q58" s="52"/>
      <c r="R58"/>
      <c r="S58"/>
      <c r="T58"/>
      <c r="U58"/>
      <c r="V58" s="68"/>
      <c r="W58" s="68"/>
      <c r="X58" s="68"/>
      <c r="Y58" s="68"/>
      <c r="Z58" s="68"/>
      <c r="AA58" s="68"/>
      <c r="AB58" s="68"/>
    </row>
    <row r="59" spans="1:28">
      <c r="A59" s="11" t="s">
        <v>271</v>
      </c>
      <c r="P59" s="68"/>
      <c r="Q59" s="52"/>
      <c r="R59"/>
      <c r="S59"/>
      <c r="T59"/>
      <c r="U59"/>
      <c r="V59" s="68"/>
      <c r="W59" s="68"/>
      <c r="X59" s="68"/>
      <c r="Y59" s="68"/>
      <c r="Z59" s="68"/>
      <c r="AA59" s="68"/>
      <c r="AB59" s="68"/>
    </row>
    <row r="60" spans="1:28">
      <c r="A60" s="11" t="s">
        <v>278</v>
      </c>
    </row>
  </sheetData>
  <mergeCells count="5">
    <mergeCell ref="A7:W7"/>
    <mergeCell ref="A8:W8"/>
    <mergeCell ref="A9:W9"/>
    <mergeCell ref="B5:L5"/>
    <mergeCell ref="M5:W5"/>
  </mergeCells>
  <printOptions horizontalCentered="1"/>
  <pageMargins left="0.19685039370078741" right="0.19685039370078741" top="0.78740157480314965" bottom="0.78740157480314965" header="0.19685039370078741" footer="0.19685039370078741"/>
  <pageSetup paperSize="9" scale="95"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2060"/>
  </sheetPr>
  <dimension ref="A1:AB61"/>
  <sheetViews>
    <sheetView view="pageBreakPreview" zoomScaleNormal="100" zoomScaleSheetLayoutView="100" workbookViewId="0">
      <selection activeCell="B8" sqref="B8"/>
    </sheetView>
  </sheetViews>
  <sheetFormatPr baseColWidth="10" defaultColWidth="11.42578125" defaultRowHeight="12.75"/>
  <cols>
    <col min="1" max="1" width="29.28515625" style="11" customWidth="1"/>
    <col min="2" max="3" width="5.140625" style="11" bestFit="1" customWidth="1"/>
    <col min="4" max="4" width="7.28515625" style="11" bestFit="1" customWidth="1"/>
    <col min="5" max="8" width="5.140625" style="11" bestFit="1" customWidth="1"/>
    <col min="9" max="9" width="4.7109375" style="11" bestFit="1" customWidth="1"/>
    <col min="10" max="10" width="5.140625" style="11" bestFit="1" customWidth="1"/>
    <col min="11" max="11" width="4.140625" style="11" bestFit="1" customWidth="1"/>
    <col min="12" max="12" width="10" style="11" bestFit="1" customWidth="1"/>
    <col min="13" max="14" width="5.140625" style="11" bestFit="1" customWidth="1"/>
    <col min="15" max="15" width="7.28515625" style="11" bestFit="1" customWidth="1"/>
    <col min="16" max="19" width="5.140625" style="11" bestFit="1" customWidth="1"/>
    <col min="20" max="20" width="4.7109375" style="11" bestFit="1" customWidth="1"/>
    <col min="21" max="21" width="5.140625" style="11" bestFit="1" customWidth="1"/>
    <col min="22" max="22" width="4.140625" style="11" bestFit="1" customWidth="1"/>
    <col min="23" max="23" width="10" style="11" bestFit="1" customWidth="1"/>
    <col min="24" max="24" width="1.7109375" style="52" customWidth="1"/>
    <col min="25" max="28" width="10.7109375" customWidth="1"/>
    <col min="29" max="16384" width="11.42578125" style="68"/>
  </cols>
  <sheetData>
    <row r="1" spans="1:28" s="72" customFormat="1" ht="15.75">
      <c r="A1" s="186" t="s">
        <v>458</v>
      </c>
      <c r="B1" s="71"/>
      <c r="C1" s="71"/>
      <c r="D1" s="71"/>
      <c r="E1" s="71"/>
      <c r="F1" s="71"/>
      <c r="G1" s="71"/>
      <c r="H1" s="71"/>
      <c r="I1" s="71"/>
      <c r="J1" s="71"/>
      <c r="K1" s="71"/>
      <c r="L1" s="71"/>
      <c r="M1" s="71"/>
      <c r="N1" s="71"/>
      <c r="O1" s="71"/>
      <c r="P1" s="71"/>
      <c r="Q1" s="71"/>
      <c r="R1" s="71"/>
      <c r="S1" s="71"/>
      <c r="T1" s="71"/>
      <c r="U1" s="71"/>
      <c r="V1" s="71"/>
      <c r="W1" s="71"/>
      <c r="X1" s="73"/>
    </row>
    <row r="2" spans="1:28" s="72" customFormat="1" ht="15.75">
      <c r="A2" s="186" t="s">
        <v>1655</v>
      </c>
      <c r="B2" s="71"/>
      <c r="C2" s="71"/>
      <c r="D2" s="71"/>
      <c r="E2" s="71"/>
      <c r="F2" s="71"/>
      <c r="G2" s="71"/>
      <c r="H2" s="71"/>
      <c r="I2" s="71"/>
      <c r="J2" s="71"/>
      <c r="K2" s="71"/>
      <c r="L2" s="71"/>
      <c r="M2" s="71"/>
      <c r="N2" s="71"/>
      <c r="O2" s="71"/>
      <c r="P2" s="71"/>
      <c r="Q2" s="71"/>
      <c r="R2" s="71"/>
      <c r="S2" s="71"/>
      <c r="T2" s="71"/>
      <c r="U2" s="71"/>
      <c r="V2" s="71"/>
      <c r="W2" s="71"/>
      <c r="X2" s="73"/>
    </row>
    <row r="3" spans="1:28" s="56" customFormat="1" ht="15.75">
      <c r="A3" s="187" t="s">
        <v>5504</v>
      </c>
      <c r="X3" s="51"/>
    </row>
    <row r="4" spans="1:28" ht="13.5" thickBot="1">
      <c r="L4" s="12"/>
      <c r="W4" s="12"/>
    </row>
    <row r="5" spans="1:28" s="41" customFormat="1" ht="11.25">
      <c r="A5" s="120" t="s">
        <v>10</v>
      </c>
      <c r="B5" s="2001" t="s">
        <v>456</v>
      </c>
      <c r="C5" s="2002"/>
      <c r="D5" s="2002"/>
      <c r="E5" s="2002"/>
      <c r="F5" s="2002"/>
      <c r="G5" s="2002"/>
      <c r="H5" s="2002"/>
      <c r="I5" s="2002"/>
      <c r="J5" s="2002"/>
      <c r="K5" s="2002"/>
      <c r="L5" s="2003"/>
      <c r="M5" s="2001" t="s">
        <v>457</v>
      </c>
      <c r="N5" s="2002"/>
      <c r="O5" s="2002"/>
      <c r="P5" s="2002"/>
      <c r="Q5" s="2002"/>
      <c r="R5" s="2002"/>
      <c r="S5" s="2002"/>
      <c r="T5" s="2002"/>
      <c r="U5" s="2002"/>
      <c r="V5" s="2002"/>
      <c r="W5" s="2003"/>
      <c r="X5" s="53"/>
    </row>
    <row r="6" spans="1:28" s="42" customFormat="1" ht="98.25">
      <c r="A6" s="121" t="s">
        <v>9</v>
      </c>
      <c r="B6" s="122" t="s">
        <v>310</v>
      </c>
      <c r="C6" s="122" t="s">
        <v>118</v>
      </c>
      <c r="D6" s="123" t="s">
        <v>266</v>
      </c>
      <c r="E6" s="123" t="s">
        <v>259</v>
      </c>
      <c r="F6" s="123" t="s">
        <v>268</v>
      </c>
      <c r="G6" s="123" t="s">
        <v>269</v>
      </c>
      <c r="H6" s="123" t="s">
        <v>270</v>
      </c>
      <c r="I6" s="123" t="s">
        <v>277</v>
      </c>
      <c r="J6" s="124" t="s">
        <v>272</v>
      </c>
      <c r="K6" s="125" t="s">
        <v>274</v>
      </c>
      <c r="L6" s="126" t="s">
        <v>276</v>
      </c>
      <c r="M6" s="122" t="s">
        <v>310</v>
      </c>
      <c r="N6" s="122" t="s">
        <v>118</v>
      </c>
      <c r="O6" s="123" t="s">
        <v>266</v>
      </c>
      <c r="P6" s="123" t="s">
        <v>259</v>
      </c>
      <c r="Q6" s="123" t="s">
        <v>268</v>
      </c>
      <c r="R6" s="123" t="s">
        <v>269</v>
      </c>
      <c r="S6" s="123" t="s">
        <v>270</v>
      </c>
      <c r="T6" s="123" t="s">
        <v>277</v>
      </c>
      <c r="U6" s="124" t="s">
        <v>272</v>
      </c>
      <c r="V6" s="125" t="s">
        <v>274</v>
      </c>
      <c r="W6" s="126" t="s">
        <v>275</v>
      </c>
      <c r="X6" s="54"/>
    </row>
    <row r="7" spans="1:28" s="712" customFormat="1" ht="6">
      <c r="A7" s="2007"/>
      <c r="B7" s="2008"/>
      <c r="C7" s="2008"/>
      <c r="D7" s="2008"/>
      <c r="E7" s="2008"/>
      <c r="F7" s="2008"/>
      <c r="G7" s="2008"/>
      <c r="H7" s="2008"/>
      <c r="I7" s="2008"/>
      <c r="J7" s="2008"/>
      <c r="K7" s="2008"/>
      <c r="L7" s="2008"/>
      <c r="M7" s="2008"/>
      <c r="N7" s="2008"/>
      <c r="O7" s="2008"/>
      <c r="P7" s="2008"/>
      <c r="Q7" s="2008"/>
      <c r="R7" s="2008"/>
      <c r="S7" s="2008"/>
      <c r="T7" s="2008"/>
      <c r="U7" s="2008"/>
      <c r="V7" s="2008"/>
      <c r="W7" s="2009"/>
      <c r="X7" s="711"/>
    </row>
    <row r="8" spans="1:28" ht="15">
      <c r="A8" s="2004" t="s">
        <v>7176</v>
      </c>
      <c r="B8" s="2005"/>
      <c r="C8" s="2005"/>
      <c r="D8" s="2005"/>
      <c r="E8" s="2005"/>
      <c r="F8" s="2005"/>
      <c r="G8" s="2005"/>
      <c r="H8" s="2005"/>
      <c r="I8" s="2005"/>
      <c r="J8" s="2005"/>
      <c r="K8" s="2005"/>
      <c r="L8" s="2005"/>
      <c r="M8" s="2005"/>
      <c r="N8" s="2005"/>
      <c r="O8" s="2005"/>
      <c r="P8" s="2005"/>
      <c r="Q8" s="2005"/>
      <c r="R8" s="2005"/>
      <c r="S8" s="2005"/>
      <c r="T8" s="2005"/>
      <c r="U8" s="2005"/>
      <c r="V8" s="2005"/>
      <c r="W8" s="2006"/>
      <c r="Y8" s="68"/>
      <c r="Z8" s="68"/>
      <c r="AA8" s="68"/>
      <c r="AB8" s="68"/>
    </row>
    <row r="9" spans="1:28" s="710" customFormat="1" ht="8.25">
      <c r="A9" s="2010"/>
      <c r="B9" s="2011"/>
      <c r="C9" s="2011"/>
      <c r="D9" s="2011"/>
      <c r="E9" s="2011"/>
      <c r="F9" s="2011"/>
      <c r="G9" s="2011"/>
      <c r="H9" s="2011"/>
      <c r="I9" s="2011"/>
      <c r="J9" s="2011"/>
      <c r="K9" s="2011"/>
      <c r="L9" s="2011"/>
      <c r="M9" s="2011"/>
      <c r="N9" s="2011"/>
      <c r="O9" s="2011"/>
      <c r="P9" s="2011"/>
      <c r="Q9" s="2011"/>
      <c r="R9" s="2011"/>
      <c r="S9" s="2011"/>
      <c r="T9" s="2011"/>
      <c r="U9" s="2011"/>
      <c r="V9" s="2011"/>
      <c r="W9" s="2012"/>
      <c r="X9" s="709"/>
    </row>
    <row r="10" spans="1:28" hidden="1">
      <c r="A10" s="15"/>
      <c r="B10" s="13"/>
      <c r="C10" s="13"/>
      <c r="D10" s="13"/>
      <c r="E10" s="13"/>
      <c r="F10" s="13"/>
      <c r="G10" s="13"/>
      <c r="H10" s="13"/>
      <c r="I10" s="13"/>
      <c r="J10" s="13"/>
      <c r="K10" s="13"/>
      <c r="L10" s="16"/>
      <c r="M10" s="13"/>
      <c r="N10" s="13"/>
      <c r="O10" s="13"/>
      <c r="P10" s="13"/>
      <c r="Q10" s="13"/>
      <c r="R10" s="13"/>
      <c r="S10" s="13"/>
      <c r="T10" s="13"/>
      <c r="U10" s="13"/>
      <c r="V10" s="13"/>
      <c r="W10" s="16"/>
      <c r="AA10" s="68"/>
      <c r="AB10" s="68"/>
    </row>
    <row r="11" spans="1:28" hidden="1">
      <c r="A11" s="476" t="s">
        <v>48</v>
      </c>
      <c r="B11" s="482">
        <f t="shared" ref="B11:W11" si="0">B12+B21+B28+B35</f>
        <v>0</v>
      </c>
      <c r="C11" s="482">
        <f t="shared" si="0"/>
        <v>0</v>
      </c>
      <c r="D11" s="482">
        <f t="shared" si="0"/>
        <v>0</v>
      </c>
      <c r="E11" s="482">
        <f t="shared" si="0"/>
        <v>0</v>
      </c>
      <c r="F11" s="482">
        <f t="shared" si="0"/>
        <v>0</v>
      </c>
      <c r="G11" s="482">
        <f t="shared" si="0"/>
        <v>0</v>
      </c>
      <c r="H11" s="482">
        <f t="shared" si="0"/>
        <v>0</v>
      </c>
      <c r="I11" s="482">
        <f t="shared" si="0"/>
        <v>0</v>
      </c>
      <c r="J11" s="482">
        <f t="shared" si="0"/>
        <v>0</v>
      </c>
      <c r="K11" s="482">
        <f t="shared" si="0"/>
        <v>0</v>
      </c>
      <c r="L11" s="474">
        <f t="shared" si="0"/>
        <v>0</v>
      </c>
      <c r="M11" s="482">
        <f t="shared" si="0"/>
        <v>0</v>
      </c>
      <c r="N11" s="482">
        <f t="shared" si="0"/>
        <v>0</v>
      </c>
      <c r="O11" s="482">
        <f t="shared" si="0"/>
        <v>0</v>
      </c>
      <c r="P11" s="482">
        <f t="shared" si="0"/>
        <v>0</v>
      </c>
      <c r="Q11" s="482">
        <f t="shared" si="0"/>
        <v>0</v>
      </c>
      <c r="R11" s="482">
        <f t="shared" si="0"/>
        <v>0</v>
      </c>
      <c r="S11" s="482">
        <f t="shared" si="0"/>
        <v>0</v>
      </c>
      <c r="T11" s="482">
        <f t="shared" si="0"/>
        <v>0</v>
      </c>
      <c r="U11" s="482">
        <f t="shared" si="0"/>
        <v>0</v>
      </c>
      <c r="V11" s="482">
        <f t="shared" si="0"/>
        <v>0</v>
      </c>
      <c r="W11" s="474">
        <f t="shared" si="0"/>
        <v>0</v>
      </c>
      <c r="X11" s="55"/>
      <c r="AA11" s="68"/>
      <c r="AB11" s="68"/>
    </row>
    <row r="12" spans="1:28" hidden="1">
      <c r="A12" s="486" t="s">
        <v>7</v>
      </c>
      <c r="B12" s="484">
        <f t="shared" ref="B12:W12" si="1">SUM(B13:B20)</f>
        <v>0</v>
      </c>
      <c r="C12" s="484">
        <f t="shared" si="1"/>
        <v>0</v>
      </c>
      <c r="D12" s="484">
        <f t="shared" si="1"/>
        <v>0</v>
      </c>
      <c r="E12" s="484">
        <f t="shared" si="1"/>
        <v>0</v>
      </c>
      <c r="F12" s="484">
        <f t="shared" si="1"/>
        <v>0</v>
      </c>
      <c r="G12" s="484">
        <f t="shared" si="1"/>
        <v>0</v>
      </c>
      <c r="H12" s="484">
        <f t="shared" si="1"/>
        <v>0</v>
      </c>
      <c r="I12" s="484">
        <f t="shared" si="1"/>
        <v>0</v>
      </c>
      <c r="J12" s="484">
        <f t="shared" si="1"/>
        <v>0</v>
      </c>
      <c r="K12" s="484">
        <f t="shared" si="1"/>
        <v>0</v>
      </c>
      <c r="L12" s="485">
        <f t="shared" si="1"/>
        <v>0</v>
      </c>
      <c r="M12" s="484">
        <f t="shared" si="1"/>
        <v>0</v>
      </c>
      <c r="N12" s="484">
        <f t="shared" si="1"/>
        <v>0</v>
      </c>
      <c r="O12" s="484">
        <f t="shared" si="1"/>
        <v>0</v>
      </c>
      <c r="P12" s="484">
        <f t="shared" si="1"/>
        <v>0</v>
      </c>
      <c r="Q12" s="484">
        <f t="shared" si="1"/>
        <v>0</v>
      </c>
      <c r="R12" s="484">
        <f t="shared" si="1"/>
        <v>0</v>
      </c>
      <c r="S12" s="484">
        <f t="shared" si="1"/>
        <v>0</v>
      </c>
      <c r="T12" s="484">
        <f t="shared" si="1"/>
        <v>0</v>
      </c>
      <c r="U12" s="484">
        <f t="shared" si="1"/>
        <v>0</v>
      </c>
      <c r="V12" s="484">
        <f t="shared" si="1"/>
        <v>0</v>
      </c>
      <c r="W12" s="485">
        <f t="shared" si="1"/>
        <v>0</v>
      </c>
      <c r="AA12" s="68"/>
      <c r="AB12" s="68"/>
    </row>
    <row r="13" spans="1:28" hidden="1">
      <c r="A13" s="15" t="s">
        <v>3</v>
      </c>
      <c r="B13" s="13"/>
      <c r="C13" s="13"/>
      <c r="D13" s="13"/>
      <c r="E13" s="13"/>
      <c r="F13" s="13"/>
      <c r="G13" s="13"/>
      <c r="H13" s="13"/>
      <c r="I13" s="13"/>
      <c r="J13" s="13"/>
      <c r="K13" s="13"/>
      <c r="L13" s="16"/>
      <c r="M13" s="13"/>
      <c r="N13" s="13"/>
      <c r="O13" s="13"/>
      <c r="P13" s="13"/>
      <c r="Q13" s="13"/>
      <c r="R13" s="13"/>
      <c r="S13" s="13"/>
      <c r="T13" s="13"/>
      <c r="U13" s="13"/>
      <c r="V13" s="13"/>
      <c r="W13" s="16"/>
      <c r="AA13" s="68"/>
      <c r="AB13" s="68"/>
    </row>
    <row r="14" spans="1:28" hidden="1">
      <c r="A14" s="15" t="s">
        <v>7062</v>
      </c>
      <c r="B14" s="13"/>
      <c r="C14" s="13"/>
      <c r="D14" s="13"/>
      <c r="E14" s="13"/>
      <c r="F14" s="13"/>
      <c r="G14" s="13"/>
      <c r="H14" s="13"/>
      <c r="I14" s="13"/>
      <c r="J14" s="13"/>
      <c r="K14" s="13"/>
      <c r="L14" s="16"/>
      <c r="M14" s="13"/>
      <c r="N14" s="13"/>
      <c r="O14" s="13"/>
      <c r="P14" s="13"/>
      <c r="Q14" s="13"/>
      <c r="R14" s="13"/>
      <c r="S14" s="13"/>
      <c r="T14" s="13"/>
      <c r="U14" s="13"/>
      <c r="V14" s="13"/>
      <c r="W14" s="16"/>
      <c r="AA14" s="68"/>
      <c r="AB14" s="68"/>
    </row>
    <row r="15" spans="1:28" hidden="1">
      <c r="A15" s="15" t="s">
        <v>7061</v>
      </c>
      <c r="B15" s="13"/>
      <c r="C15" s="13"/>
      <c r="D15" s="13"/>
      <c r="E15" s="13"/>
      <c r="F15" s="13"/>
      <c r="G15" s="13"/>
      <c r="H15" s="13"/>
      <c r="I15" s="13"/>
      <c r="J15" s="13"/>
      <c r="K15" s="13"/>
      <c r="L15" s="16"/>
      <c r="M15" s="13"/>
      <c r="N15" s="13"/>
      <c r="O15" s="13"/>
      <c r="P15" s="13"/>
      <c r="Q15" s="13"/>
      <c r="R15" s="13"/>
      <c r="S15" s="13"/>
      <c r="T15" s="13"/>
      <c r="U15" s="13"/>
      <c r="V15" s="13"/>
      <c r="W15" s="16"/>
      <c r="AA15" s="68"/>
      <c r="AB15" s="68"/>
    </row>
    <row r="16" spans="1:28" hidden="1">
      <c r="A16" s="15" t="s">
        <v>7060</v>
      </c>
      <c r="B16" s="13"/>
      <c r="C16" s="13"/>
      <c r="D16" s="13"/>
      <c r="E16" s="13"/>
      <c r="F16" s="13"/>
      <c r="G16" s="13"/>
      <c r="H16" s="13"/>
      <c r="I16" s="13"/>
      <c r="J16" s="13"/>
      <c r="K16" s="13">
        <f>SUM(B16:J16)</f>
        <v>0</v>
      </c>
      <c r="L16" s="472"/>
      <c r="M16" s="13"/>
      <c r="N16" s="13"/>
      <c r="O16" s="13"/>
      <c r="P16" s="13"/>
      <c r="Q16" s="13"/>
      <c r="R16" s="13"/>
      <c r="S16" s="13"/>
      <c r="T16" s="13"/>
      <c r="U16" s="13"/>
      <c r="V16" s="13">
        <f>SUM(M16:U16)</f>
        <v>0</v>
      </c>
      <c r="W16" s="472"/>
      <c r="AA16" s="68"/>
      <c r="AB16" s="68"/>
    </row>
    <row r="17" spans="1:28" hidden="1">
      <c r="A17" s="15" t="s">
        <v>7059</v>
      </c>
      <c r="B17" s="13"/>
      <c r="C17" s="13"/>
      <c r="D17" s="13"/>
      <c r="E17" s="13"/>
      <c r="F17" s="13"/>
      <c r="G17" s="13"/>
      <c r="H17" s="13"/>
      <c r="I17" s="13"/>
      <c r="J17" s="13"/>
      <c r="K17" s="13">
        <f>SUM(B17:J17)</f>
        <v>0</v>
      </c>
      <c r="L17" s="472"/>
      <c r="M17" s="13"/>
      <c r="N17" s="13"/>
      <c r="O17" s="13"/>
      <c r="P17" s="13"/>
      <c r="Q17" s="13"/>
      <c r="R17" s="13"/>
      <c r="S17" s="13"/>
      <c r="T17" s="13"/>
      <c r="U17" s="13"/>
      <c r="V17" s="13">
        <f>SUM(M17:U17)</f>
        <v>0</v>
      </c>
      <c r="W17" s="472"/>
      <c r="AA17" s="68"/>
      <c r="AB17" s="68"/>
    </row>
    <row r="18" spans="1:28" hidden="1">
      <c r="A18" s="15" t="s">
        <v>7058</v>
      </c>
      <c r="B18" s="13"/>
      <c r="C18" s="13"/>
      <c r="D18" s="13"/>
      <c r="E18" s="13"/>
      <c r="F18" s="13"/>
      <c r="G18" s="13"/>
      <c r="H18" s="13"/>
      <c r="I18" s="13"/>
      <c r="J18" s="13"/>
      <c r="K18" s="13">
        <f>SUM(B18:J18)</f>
        <v>0</v>
      </c>
      <c r="L18" s="472"/>
      <c r="M18" s="13"/>
      <c r="N18" s="13"/>
      <c r="O18" s="13"/>
      <c r="P18" s="13"/>
      <c r="Q18" s="13"/>
      <c r="R18" s="13"/>
      <c r="S18" s="13"/>
      <c r="T18" s="13"/>
      <c r="U18" s="13"/>
      <c r="V18" s="13">
        <f>SUM(M18:U18)</f>
        <v>0</v>
      </c>
      <c r="W18" s="472"/>
      <c r="AA18" s="68"/>
      <c r="AB18" s="68"/>
    </row>
    <row r="19" spans="1:28" hidden="1">
      <c r="A19" s="15" t="s">
        <v>7057</v>
      </c>
      <c r="B19" s="13"/>
      <c r="C19" s="13"/>
      <c r="D19" s="13"/>
      <c r="E19" s="13"/>
      <c r="F19" s="13"/>
      <c r="G19" s="13"/>
      <c r="H19" s="13"/>
      <c r="I19" s="13"/>
      <c r="J19" s="13"/>
      <c r="K19" s="13">
        <f>SUM(B19:J19)</f>
        <v>0</v>
      </c>
      <c r="L19" s="472"/>
      <c r="M19" s="13"/>
      <c r="N19" s="13"/>
      <c r="O19" s="13"/>
      <c r="P19" s="13"/>
      <c r="Q19" s="13"/>
      <c r="R19" s="13"/>
      <c r="S19" s="13"/>
      <c r="T19" s="13"/>
      <c r="U19" s="13"/>
      <c r="V19" s="13">
        <f>SUM(M19:U19)</f>
        <v>0</v>
      </c>
      <c r="W19" s="472"/>
      <c r="X19" s="55"/>
      <c r="AA19" s="68"/>
      <c r="AB19" s="68"/>
    </row>
    <row r="20" spans="1:28" hidden="1">
      <c r="A20" s="15" t="s">
        <v>12</v>
      </c>
      <c r="B20" s="13"/>
      <c r="C20" s="13"/>
      <c r="D20" s="13"/>
      <c r="E20" s="13"/>
      <c r="F20" s="13"/>
      <c r="G20" s="13"/>
      <c r="H20" s="13"/>
      <c r="I20" s="13"/>
      <c r="J20" s="13"/>
      <c r="K20" s="13">
        <f>SUM(B20:J20)</f>
        <v>0</v>
      </c>
      <c r="L20" s="472"/>
      <c r="M20" s="13"/>
      <c r="N20" s="13"/>
      <c r="O20" s="13"/>
      <c r="P20" s="13"/>
      <c r="Q20" s="13"/>
      <c r="R20" s="13"/>
      <c r="S20" s="13"/>
      <c r="T20" s="13"/>
      <c r="U20" s="13"/>
      <c r="V20" s="13">
        <f>SUM(M20:U20)</f>
        <v>0</v>
      </c>
      <c r="W20" s="472"/>
      <c r="AA20" s="68"/>
      <c r="AB20" s="68"/>
    </row>
    <row r="21" spans="1:28" hidden="1">
      <c r="A21" s="486" t="s">
        <v>4</v>
      </c>
      <c r="B21" s="484">
        <f t="shared" ref="B21:W21" si="2">SUM(B22:B27)</f>
        <v>0</v>
      </c>
      <c r="C21" s="484">
        <f t="shared" si="2"/>
        <v>0</v>
      </c>
      <c r="D21" s="484">
        <f t="shared" si="2"/>
        <v>0</v>
      </c>
      <c r="E21" s="484">
        <f t="shared" si="2"/>
        <v>0</v>
      </c>
      <c r="F21" s="484">
        <f t="shared" si="2"/>
        <v>0</v>
      </c>
      <c r="G21" s="484">
        <f t="shared" si="2"/>
        <v>0</v>
      </c>
      <c r="H21" s="484">
        <f t="shared" si="2"/>
        <v>0</v>
      </c>
      <c r="I21" s="484">
        <f t="shared" si="2"/>
        <v>0</v>
      </c>
      <c r="J21" s="484">
        <f t="shared" si="2"/>
        <v>0</v>
      </c>
      <c r="K21" s="484">
        <f t="shared" si="2"/>
        <v>0</v>
      </c>
      <c r="L21" s="485">
        <f t="shared" si="2"/>
        <v>0</v>
      </c>
      <c r="M21" s="484">
        <f t="shared" si="2"/>
        <v>0</v>
      </c>
      <c r="N21" s="484">
        <f t="shared" si="2"/>
        <v>0</v>
      </c>
      <c r="O21" s="484">
        <f t="shared" si="2"/>
        <v>0</v>
      </c>
      <c r="P21" s="484">
        <f t="shared" si="2"/>
        <v>0</v>
      </c>
      <c r="Q21" s="484">
        <f t="shared" si="2"/>
        <v>0</v>
      </c>
      <c r="R21" s="484">
        <f t="shared" si="2"/>
        <v>0</v>
      </c>
      <c r="S21" s="484">
        <f t="shared" si="2"/>
        <v>0</v>
      </c>
      <c r="T21" s="484">
        <f t="shared" si="2"/>
        <v>0</v>
      </c>
      <c r="U21" s="484">
        <f t="shared" si="2"/>
        <v>0</v>
      </c>
      <c r="V21" s="484">
        <f t="shared" si="2"/>
        <v>0</v>
      </c>
      <c r="W21" s="485">
        <f t="shared" si="2"/>
        <v>0</v>
      </c>
      <c r="AA21" s="68"/>
      <c r="AB21" s="68"/>
    </row>
    <row r="22" spans="1:28" hidden="1">
      <c r="A22" s="15" t="s">
        <v>13</v>
      </c>
      <c r="B22" s="13"/>
      <c r="C22" s="13"/>
      <c r="D22" s="13"/>
      <c r="E22" s="13"/>
      <c r="F22" s="13"/>
      <c r="G22" s="13"/>
      <c r="H22" s="13"/>
      <c r="I22" s="13"/>
      <c r="J22" s="13"/>
      <c r="K22" s="13">
        <f t="shared" ref="K22:K27" si="3">SUM(B22:J22)</f>
        <v>0</v>
      </c>
      <c r="L22" s="472"/>
      <c r="M22" s="13"/>
      <c r="N22" s="13"/>
      <c r="O22" s="13"/>
      <c r="P22" s="13"/>
      <c r="Q22" s="13"/>
      <c r="R22" s="13"/>
      <c r="S22" s="13"/>
      <c r="T22" s="13"/>
      <c r="U22" s="13"/>
      <c r="V22" s="13">
        <f t="shared" ref="V22:V27" si="4">SUM(M22:U22)</f>
        <v>0</v>
      </c>
      <c r="W22" s="472"/>
      <c r="AA22" s="68"/>
      <c r="AB22" s="68"/>
    </row>
    <row r="23" spans="1:28" hidden="1">
      <c r="A23" s="15" t="s">
        <v>6978</v>
      </c>
      <c r="B23" s="13"/>
      <c r="C23" s="13"/>
      <c r="D23" s="13"/>
      <c r="E23" s="13"/>
      <c r="F23" s="13"/>
      <c r="G23" s="13"/>
      <c r="H23" s="13"/>
      <c r="I23" s="13"/>
      <c r="J23" s="13"/>
      <c r="K23" s="13">
        <f t="shared" si="3"/>
        <v>0</v>
      </c>
      <c r="L23" s="472"/>
      <c r="M23" s="13"/>
      <c r="N23" s="13"/>
      <c r="O23" s="13"/>
      <c r="P23" s="13"/>
      <c r="Q23" s="13"/>
      <c r="R23" s="13"/>
      <c r="S23" s="13"/>
      <c r="T23" s="13"/>
      <c r="U23" s="13"/>
      <c r="V23" s="13">
        <f t="shared" si="4"/>
        <v>0</v>
      </c>
      <c r="W23" s="472"/>
      <c r="AA23" s="68"/>
      <c r="AB23" s="68"/>
    </row>
    <row r="24" spans="1:28" hidden="1">
      <c r="A24" s="15" t="s">
        <v>6977</v>
      </c>
      <c r="B24" s="13"/>
      <c r="C24" s="13"/>
      <c r="D24" s="13"/>
      <c r="E24" s="13"/>
      <c r="F24" s="13"/>
      <c r="G24" s="13"/>
      <c r="H24" s="13"/>
      <c r="I24" s="13"/>
      <c r="J24" s="13"/>
      <c r="K24" s="13">
        <f t="shared" si="3"/>
        <v>0</v>
      </c>
      <c r="L24" s="472"/>
      <c r="M24" s="13"/>
      <c r="N24" s="13"/>
      <c r="O24" s="13"/>
      <c r="P24" s="13"/>
      <c r="Q24" s="13"/>
      <c r="R24" s="13"/>
      <c r="S24" s="13"/>
      <c r="T24" s="13"/>
      <c r="U24" s="13"/>
      <c r="V24" s="13">
        <f t="shared" si="4"/>
        <v>0</v>
      </c>
      <c r="W24" s="472"/>
      <c r="X24" s="55"/>
      <c r="AA24" s="68"/>
      <c r="AB24" s="68"/>
    </row>
    <row r="25" spans="1:28" hidden="1">
      <c r="A25" s="15" t="s">
        <v>6976</v>
      </c>
      <c r="B25" s="13"/>
      <c r="C25" s="13"/>
      <c r="D25" s="13"/>
      <c r="E25" s="13"/>
      <c r="F25" s="13"/>
      <c r="G25" s="13"/>
      <c r="H25" s="13"/>
      <c r="I25" s="13"/>
      <c r="J25" s="13"/>
      <c r="K25" s="13">
        <f t="shared" si="3"/>
        <v>0</v>
      </c>
      <c r="L25" s="472"/>
      <c r="M25" s="13"/>
      <c r="N25" s="13"/>
      <c r="O25" s="13"/>
      <c r="P25" s="13"/>
      <c r="Q25" s="13"/>
      <c r="R25" s="13"/>
      <c r="S25" s="13"/>
      <c r="T25" s="13"/>
      <c r="U25" s="13"/>
      <c r="V25" s="13">
        <f t="shared" si="4"/>
        <v>0</v>
      </c>
      <c r="W25" s="472"/>
      <c r="AA25" s="68"/>
      <c r="AB25" s="68"/>
    </row>
    <row r="26" spans="1:28" hidden="1">
      <c r="A26" s="15" t="s">
        <v>14</v>
      </c>
      <c r="B26" s="13"/>
      <c r="C26" s="13"/>
      <c r="D26" s="13"/>
      <c r="E26" s="13"/>
      <c r="F26" s="13"/>
      <c r="G26" s="13"/>
      <c r="H26" s="13"/>
      <c r="I26" s="13"/>
      <c r="J26" s="13"/>
      <c r="K26" s="13">
        <f t="shared" si="3"/>
        <v>0</v>
      </c>
      <c r="L26" s="472"/>
      <c r="M26" s="13"/>
      <c r="N26" s="13"/>
      <c r="O26" s="13"/>
      <c r="P26" s="13"/>
      <c r="Q26" s="13"/>
      <c r="R26" s="13"/>
      <c r="S26" s="13"/>
      <c r="T26" s="13"/>
      <c r="U26" s="13"/>
      <c r="V26" s="13">
        <f t="shared" si="4"/>
        <v>0</v>
      </c>
      <c r="W26" s="472"/>
      <c r="AA26" s="68"/>
      <c r="AB26" s="68"/>
    </row>
    <row r="27" spans="1:28" hidden="1">
      <c r="A27" s="15" t="s">
        <v>6975</v>
      </c>
      <c r="B27" s="13"/>
      <c r="C27" s="13"/>
      <c r="D27" s="13"/>
      <c r="E27" s="13"/>
      <c r="F27" s="13"/>
      <c r="G27" s="13"/>
      <c r="H27" s="13"/>
      <c r="I27" s="13"/>
      <c r="J27" s="13"/>
      <c r="K27" s="13">
        <f t="shared" si="3"/>
        <v>0</v>
      </c>
      <c r="L27" s="472"/>
      <c r="M27" s="13"/>
      <c r="N27" s="13"/>
      <c r="O27" s="13"/>
      <c r="P27" s="13"/>
      <c r="Q27" s="13"/>
      <c r="R27" s="13"/>
      <c r="S27" s="13"/>
      <c r="T27" s="13"/>
      <c r="U27" s="13"/>
      <c r="V27" s="13">
        <f t="shared" si="4"/>
        <v>0</v>
      </c>
      <c r="W27" s="472"/>
      <c r="AA27" s="68"/>
      <c r="AB27" s="68"/>
    </row>
    <row r="28" spans="1:28" hidden="1">
      <c r="A28" s="486" t="s">
        <v>5</v>
      </c>
      <c r="B28" s="484">
        <f t="shared" ref="B28:W28" si="5">SUM(B29:B34)</f>
        <v>0</v>
      </c>
      <c r="C28" s="484">
        <f t="shared" si="5"/>
        <v>0</v>
      </c>
      <c r="D28" s="484">
        <f t="shared" si="5"/>
        <v>0</v>
      </c>
      <c r="E28" s="484">
        <f t="shared" si="5"/>
        <v>0</v>
      </c>
      <c r="F28" s="484">
        <f t="shared" si="5"/>
        <v>0</v>
      </c>
      <c r="G28" s="484">
        <f t="shared" si="5"/>
        <v>0</v>
      </c>
      <c r="H28" s="484">
        <f t="shared" si="5"/>
        <v>0</v>
      </c>
      <c r="I28" s="484">
        <f t="shared" si="5"/>
        <v>0</v>
      </c>
      <c r="J28" s="484">
        <f t="shared" si="5"/>
        <v>0</v>
      </c>
      <c r="K28" s="484">
        <f t="shared" si="5"/>
        <v>0</v>
      </c>
      <c r="L28" s="485">
        <f t="shared" si="5"/>
        <v>0</v>
      </c>
      <c r="M28" s="484">
        <f t="shared" si="5"/>
        <v>0</v>
      </c>
      <c r="N28" s="484">
        <f t="shared" si="5"/>
        <v>0</v>
      </c>
      <c r="O28" s="484">
        <f t="shared" si="5"/>
        <v>0</v>
      </c>
      <c r="P28" s="484">
        <f t="shared" si="5"/>
        <v>0</v>
      </c>
      <c r="Q28" s="484">
        <f t="shared" si="5"/>
        <v>0</v>
      </c>
      <c r="R28" s="484">
        <f t="shared" si="5"/>
        <v>0</v>
      </c>
      <c r="S28" s="484">
        <f t="shared" si="5"/>
        <v>0</v>
      </c>
      <c r="T28" s="484">
        <f t="shared" si="5"/>
        <v>0</v>
      </c>
      <c r="U28" s="484">
        <f t="shared" si="5"/>
        <v>0</v>
      </c>
      <c r="V28" s="484">
        <f t="shared" si="5"/>
        <v>0</v>
      </c>
      <c r="W28" s="485">
        <f t="shared" si="5"/>
        <v>0</v>
      </c>
      <c r="AA28" s="68"/>
      <c r="AB28" s="68"/>
    </row>
    <row r="29" spans="1:28" hidden="1">
      <c r="A29" s="15" t="s">
        <v>15</v>
      </c>
      <c r="B29" s="13"/>
      <c r="C29" s="13"/>
      <c r="D29" s="13"/>
      <c r="E29" s="13"/>
      <c r="F29" s="13"/>
      <c r="G29" s="13"/>
      <c r="H29" s="13"/>
      <c r="I29" s="13"/>
      <c r="J29" s="13"/>
      <c r="K29" s="13">
        <f t="shared" ref="K29:K34" si="6">SUM(B29:J29)</f>
        <v>0</v>
      </c>
      <c r="L29" s="472"/>
      <c r="M29" s="13"/>
      <c r="N29" s="13"/>
      <c r="O29" s="13"/>
      <c r="P29" s="13"/>
      <c r="Q29" s="13"/>
      <c r="R29" s="13"/>
      <c r="S29" s="13"/>
      <c r="T29" s="13"/>
      <c r="U29" s="13"/>
      <c r="V29" s="13">
        <f t="shared" ref="V29:V34" si="7">SUM(M29:U29)</f>
        <v>0</v>
      </c>
      <c r="W29" s="472"/>
      <c r="X29" s="55"/>
      <c r="AA29" s="68"/>
      <c r="AB29" s="68"/>
    </row>
    <row r="30" spans="1:28" hidden="1">
      <c r="A30" s="15" t="s">
        <v>7056</v>
      </c>
      <c r="B30" s="13"/>
      <c r="C30" s="13"/>
      <c r="D30" s="13"/>
      <c r="E30" s="13"/>
      <c r="F30" s="13"/>
      <c r="G30" s="13"/>
      <c r="H30" s="13"/>
      <c r="I30" s="13"/>
      <c r="J30" s="13"/>
      <c r="K30" s="13">
        <f t="shared" si="6"/>
        <v>0</v>
      </c>
      <c r="L30" s="472"/>
      <c r="M30" s="13"/>
      <c r="N30" s="13"/>
      <c r="O30" s="13"/>
      <c r="P30" s="13"/>
      <c r="Q30" s="13"/>
      <c r="R30" s="13"/>
      <c r="S30" s="13"/>
      <c r="T30" s="13"/>
      <c r="U30" s="13"/>
      <c r="V30" s="13">
        <f t="shared" si="7"/>
        <v>0</v>
      </c>
      <c r="W30" s="472"/>
      <c r="AA30" s="68"/>
      <c r="AB30" s="68"/>
    </row>
    <row r="31" spans="1:28" hidden="1">
      <c r="A31" s="15" t="s">
        <v>6972</v>
      </c>
      <c r="B31" s="13"/>
      <c r="C31" s="13"/>
      <c r="D31" s="13"/>
      <c r="E31" s="13"/>
      <c r="F31" s="13"/>
      <c r="G31" s="13"/>
      <c r="H31" s="13"/>
      <c r="I31" s="13"/>
      <c r="J31" s="13"/>
      <c r="K31" s="13">
        <f t="shared" si="6"/>
        <v>0</v>
      </c>
      <c r="L31" s="472"/>
      <c r="M31" s="13"/>
      <c r="N31" s="13"/>
      <c r="O31" s="13"/>
      <c r="P31" s="13"/>
      <c r="Q31" s="13"/>
      <c r="R31" s="13"/>
      <c r="S31" s="13"/>
      <c r="T31" s="13"/>
      <c r="U31" s="13"/>
      <c r="V31" s="13">
        <f t="shared" si="7"/>
        <v>0</v>
      </c>
      <c r="W31" s="472"/>
      <c r="AA31" s="68"/>
      <c r="AB31" s="68"/>
    </row>
    <row r="32" spans="1:28" hidden="1">
      <c r="A32" s="15" t="s">
        <v>6971</v>
      </c>
      <c r="B32" s="13"/>
      <c r="C32" s="13"/>
      <c r="D32" s="13"/>
      <c r="E32" s="13"/>
      <c r="F32" s="13"/>
      <c r="G32" s="13"/>
      <c r="H32" s="13"/>
      <c r="I32" s="13"/>
      <c r="J32" s="13"/>
      <c r="K32" s="13">
        <f t="shared" si="6"/>
        <v>0</v>
      </c>
      <c r="L32" s="472"/>
      <c r="M32" s="13"/>
      <c r="N32" s="13"/>
      <c r="O32" s="13"/>
      <c r="P32" s="13"/>
      <c r="Q32" s="13"/>
      <c r="R32" s="13"/>
      <c r="S32" s="13"/>
      <c r="T32" s="13"/>
      <c r="U32" s="13"/>
      <c r="V32" s="13">
        <f t="shared" si="7"/>
        <v>0</v>
      </c>
      <c r="W32" s="472"/>
      <c r="AA32" s="68"/>
      <c r="AB32" s="68"/>
    </row>
    <row r="33" spans="1:28" hidden="1">
      <c r="A33" s="15" t="s">
        <v>16</v>
      </c>
      <c r="B33" s="13"/>
      <c r="C33" s="13"/>
      <c r="D33" s="13"/>
      <c r="E33" s="13"/>
      <c r="F33" s="13"/>
      <c r="G33" s="13"/>
      <c r="H33" s="13"/>
      <c r="I33" s="13"/>
      <c r="J33" s="13"/>
      <c r="K33" s="13">
        <f t="shared" si="6"/>
        <v>0</v>
      </c>
      <c r="L33" s="472"/>
      <c r="M33" s="13"/>
      <c r="N33" s="13"/>
      <c r="O33" s="13"/>
      <c r="P33" s="13"/>
      <c r="Q33" s="13"/>
      <c r="R33" s="13"/>
      <c r="S33" s="13"/>
      <c r="T33" s="13"/>
      <c r="U33" s="13"/>
      <c r="V33" s="13">
        <f t="shared" si="7"/>
        <v>0</v>
      </c>
      <c r="W33" s="472"/>
      <c r="AA33" s="68"/>
      <c r="AB33" s="68"/>
    </row>
    <row r="34" spans="1:28" hidden="1">
      <c r="A34" s="15" t="s">
        <v>6970</v>
      </c>
      <c r="B34" s="13"/>
      <c r="C34" s="13"/>
      <c r="D34" s="13"/>
      <c r="E34" s="13"/>
      <c r="F34" s="13"/>
      <c r="G34" s="13"/>
      <c r="H34" s="13"/>
      <c r="I34" s="13"/>
      <c r="J34" s="13"/>
      <c r="K34" s="13">
        <f t="shared" si="6"/>
        <v>0</v>
      </c>
      <c r="L34" s="472"/>
      <c r="M34" s="13"/>
      <c r="N34" s="13"/>
      <c r="O34" s="13"/>
      <c r="P34" s="13"/>
      <c r="Q34" s="13"/>
      <c r="R34" s="13"/>
      <c r="S34" s="13"/>
      <c r="T34" s="13"/>
      <c r="U34" s="13"/>
      <c r="V34" s="13">
        <f t="shared" si="7"/>
        <v>0</v>
      </c>
      <c r="W34" s="472"/>
      <c r="AA34" s="68"/>
      <c r="AB34" s="68"/>
    </row>
    <row r="35" spans="1:28" hidden="1">
      <c r="A35" s="486" t="s">
        <v>6</v>
      </c>
      <c r="B35" s="484">
        <f t="shared" ref="B35:W35" si="8">SUM(B36:B41)</f>
        <v>0</v>
      </c>
      <c r="C35" s="484">
        <f t="shared" si="8"/>
        <v>0</v>
      </c>
      <c r="D35" s="484">
        <f t="shared" si="8"/>
        <v>0</v>
      </c>
      <c r="E35" s="484">
        <f t="shared" si="8"/>
        <v>0</v>
      </c>
      <c r="F35" s="484">
        <f t="shared" si="8"/>
        <v>0</v>
      </c>
      <c r="G35" s="484">
        <f t="shared" si="8"/>
        <v>0</v>
      </c>
      <c r="H35" s="484">
        <f t="shared" si="8"/>
        <v>0</v>
      </c>
      <c r="I35" s="484">
        <f t="shared" si="8"/>
        <v>0</v>
      </c>
      <c r="J35" s="484">
        <f t="shared" si="8"/>
        <v>0</v>
      </c>
      <c r="K35" s="484">
        <f t="shared" si="8"/>
        <v>0</v>
      </c>
      <c r="L35" s="485">
        <f t="shared" si="8"/>
        <v>0</v>
      </c>
      <c r="M35" s="484">
        <f t="shared" si="8"/>
        <v>0</v>
      </c>
      <c r="N35" s="484">
        <f t="shared" si="8"/>
        <v>0</v>
      </c>
      <c r="O35" s="484">
        <f t="shared" si="8"/>
        <v>0</v>
      </c>
      <c r="P35" s="484">
        <f t="shared" si="8"/>
        <v>0</v>
      </c>
      <c r="Q35" s="484">
        <f t="shared" si="8"/>
        <v>0</v>
      </c>
      <c r="R35" s="484">
        <f t="shared" si="8"/>
        <v>0</v>
      </c>
      <c r="S35" s="484">
        <f t="shared" si="8"/>
        <v>0</v>
      </c>
      <c r="T35" s="484">
        <f t="shared" si="8"/>
        <v>0</v>
      </c>
      <c r="U35" s="484">
        <f t="shared" si="8"/>
        <v>0</v>
      </c>
      <c r="V35" s="484">
        <f t="shared" si="8"/>
        <v>0</v>
      </c>
      <c r="W35" s="485">
        <f t="shared" si="8"/>
        <v>0</v>
      </c>
      <c r="AA35" s="68"/>
      <c r="AB35" s="68"/>
    </row>
    <row r="36" spans="1:28" hidden="1">
      <c r="A36" s="15" t="s">
        <v>17</v>
      </c>
      <c r="B36" s="13"/>
      <c r="C36" s="13"/>
      <c r="D36" s="13"/>
      <c r="E36" s="13"/>
      <c r="F36" s="13"/>
      <c r="G36" s="13"/>
      <c r="H36" s="13"/>
      <c r="I36" s="13"/>
      <c r="J36" s="13"/>
      <c r="K36" s="13">
        <f t="shared" ref="K36:K41" si="9">SUM(B36:J36)</f>
        <v>0</v>
      </c>
      <c r="L36" s="472"/>
      <c r="M36" s="13"/>
      <c r="N36" s="13"/>
      <c r="O36" s="13"/>
      <c r="P36" s="13"/>
      <c r="Q36" s="13"/>
      <c r="R36" s="13"/>
      <c r="S36" s="13"/>
      <c r="T36" s="13"/>
      <c r="U36" s="13"/>
      <c r="V36" s="13">
        <f t="shared" ref="V36:V41" si="10">SUM(M36:U36)</f>
        <v>0</v>
      </c>
      <c r="W36" s="472"/>
      <c r="AA36" s="68"/>
      <c r="AB36" s="68"/>
    </row>
    <row r="37" spans="1:28" hidden="1">
      <c r="A37" s="15" t="s">
        <v>6969</v>
      </c>
      <c r="B37" s="13"/>
      <c r="C37" s="13"/>
      <c r="D37" s="13"/>
      <c r="E37" s="13"/>
      <c r="F37" s="13"/>
      <c r="G37" s="13"/>
      <c r="H37" s="13"/>
      <c r="I37" s="13"/>
      <c r="J37" s="13"/>
      <c r="K37" s="13">
        <f t="shared" si="9"/>
        <v>0</v>
      </c>
      <c r="L37" s="472"/>
      <c r="M37" s="13"/>
      <c r="N37" s="13"/>
      <c r="O37" s="13"/>
      <c r="P37" s="13"/>
      <c r="Q37" s="13"/>
      <c r="R37" s="13"/>
      <c r="S37" s="13"/>
      <c r="T37" s="13"/>
      <c r="U37" s="13"/>
      <c r="V37" s="13">
        <f t="shared" si="10"/>
        <v>0</v>
      </c>
      <c r="W37" s="472"/>
      <c r="AA37" s="68"/>
      <c r="AB37" s="68"/>
    </row>
    <row r="38" spans="1:28" hidden="1">
      <c r="A38" s="15" t="s">
        <v>6968</v>
      </c>
      <c r="B38" s="13"/>
      <c r="C38" s="13"/>
      <c r="D38" s="13"/>
      <c r="E38" s="13"/>
      <c r="F38" s="13"/>
      <c r="G38" s="13"/>
      <c r="H38" s="13"/>
      <c r="I38" s="13"/>
      <c r="J38" s="13"/>
      <c r="K38" s="13">
        <f t="shared" si="9"/>
        <v>0</v>
      </c>
      <c r="L38" s="472"/>
      <c r="M38" s="13"/>
      <c r="N38" s="13"/>
      <c r="O38" s="13"/>
      <c r="P38" s="13"/>
      <c r="Q38" s="13"/>
      <c r="R38" s="13"/>
      <c r="S38" s="13"/>
      <c r="T38" s="13"/>
      <c r="U38" s="13"/>
      <c r="V38" s="13">
        <f t="shared" si="10"/>
        <v>0</v>
      </c>
      <c r="W38" s="472"/>
      <c r="AA38" s="68"/>
      <c r="AB38" s="68"/>
    </row>
    <row r="39" spans="1:28" hidden="1">
      <c r="A39" s="15" t="s">
        <v>6967</v>
      </c>
      <c r="B39" s="13"/>
      <c r="C39" s="13"/>
      <c r="D39" s="13"/>
      <c r="E39" s="13"/>
      <c r="F39" s="13"/>
      <c r="G39" s="13"/>
      <c r="H39" s="13"/>
      <c r="I39" s="13"/>
      <c r="J39" s="13"/>
      <c r="K39" s="13">
        <f t="shared" si="9"/>
        <v>0</v>
      </c>
      <c r="L39" s="472"/>
      <c r="M39" s="13"/>
      <c r="N39" s="13"/>
      <c r="O39" s="13"/>
      <c r="P39" s="13"/>
      <c r="Q39" s="13"/>
      <c r="R39" s="13"/>
      <c r="S39" s="13"/>
      <c r="T39" s="13"/>
      <c r="U39" s="13"/>
      <c r="V39" s="13">
        <f t="shared" si="10"/>
        <v>0</v>
      </c>
      <c r="W39" s="472"/>
      <c r="AA39" s="68"/>
      <c r="AB39" s="68"/>
    </row>
    <row r="40" spans="1:28" hidden="1">
      <c r="A40" s="15" t="s">
        <v>18</v>
      </c>
      <c r="B40" s="13"/>
      <c r="C40" s="13"/>
      <c r="D40" s="13"/>
      <c r="E40" s="13"/>
      <c r="F40" s="13"/>
      <c r="G40" s="13"/>
      <c r="H40" s="13"/>
      <c r="I40" s="13"/>
      <c r="J40" s="13"/>
      <c r="K40" s="13">
        <f t="shared" si="9"/>
        <v>0</v>
      </c>
      <c r="L40" s="472"/>
      <c r="M40" s="13"/>
      <c r="N40" s="13"/>
      <c r="O40" s="13"/>
      <c r="P40" s="13"/>
      <c r="Q40" s="13"/>
      <c r="R40" s="13"/>
      <c r="S40" s="13"/>
      <c r="T40" s="13"/>
      <c r="U40" s="13"/>
      <c r="V40" s="13">
        <f t="shared" si="10"/>
        <v>0</v>
      </c>
      <c r="W40" s="472"/>
      <c r="AA40" s="68"/>
      <c r="AB40" s="68"/>
    </row>
    <row r="41" spans="1:28" hidden="1">
      <c r="A41" s="15" t="s">
        <v>6966</v>
      </c>
      <c r="B41" s="13"/>
      <c r="C41" s="13"/>
      <c r="D41" s="13"/>
      <c r="E41" s="13"/>
      <c r="F41" s="13"/>
      <c r="G41" s="13"/>
      <c r="H41" s="13"/>
      <c r="I41" s="13"/>
      <c r="J41" s="13"/>
      <c r="K41" s="13">
        <f t="shared" si="9"/>
        <v>0</v>
      </c>
      <c r="L41" s="472"/>
      <c r="M41" s="13"/>
      <c r="N41" s="13"/>
      <c r="O41" s="13"/>
      <c r="P41" s="13"/>
      <c r="Q41" s="13"/>
      <c r="R41" s="13"/>
      <c r="S41" s="13"/>
      <c r="T41" s="13"/>
      <c r="U41" s="13"/>
      <c r="V41" s="13">
        <f t="shared" si="10"/>
        <v>0</v>
      </c>
      <c r="W41" s="472"/>
      <c r="AA41" s="68"/>
      <c r="AB41" s="68"/>
    </row>
    <row r="42" spans="1:28" hidden="1">
      <c r="A42" s="15" t="s">
        <v>7055</v>
      </c>
      <c r="B42" s="13"/>
      <c r="C42" s="13"/>
      <c r="D42" s="13"/>
      <c r="E42" s="13"/>
      <c r="F42" s="13"/>
      <c r="G42" s="13"/>
      <c r="H42" s="13"/>
      <c r="I42" s="13"/>
      <c r="J42" s="13"/>
      <c r="K42" s="13"/>
      <c r="L42" s="16"/>
      <c r="M42" s="13"/>
      <c r="N42" s="13"/>
      <c r="O42" s="13"/>
      <c r="P42" s="13"/>
      <c r="Q42" s="13"/>
      <c r="R42" s="13"/>
      <c r="S42" s="13"/>
      <c r="T42" s="13"/>
      <c r="U42" s="13"/>
      <c r="V42" s="13"/>
      <c r="W42" s="16"/>
      <c r="AA42" s="68"/>
      <c r="AB42" s="68"/>
    </row>
    <row r="43" spans="1:28" ht="24">
      <c r="A43" s="708" t="s">
        <v>6909</v>
      </c>
      <c r="B43" s="482"/>
      <c r="C43" s="482"/>
      <c r="D43" s="482">
        <f t="shared" ref="D43:W43" si="11">SUM(D44:D46)</f>
        <v>91</v>
      </c>
      <c r="E43" s="482">
        <f t="shared" si="11"/>
        <v>0</v>
      </c>
      <c r="F43" s="482">
        <f t="shared" si="11"/>
        <v>0</v>
      </c>
      <c r="G43" s="482">
        <f t="shared" si="11"/>
        <v>0</v>
      </c>
      <c r="H43" s="482">
        <f t="shared" si="11"/>
        <v>0</v>
      </c>
      <c r="I43" s="482">
        <f t="shared" si="11"/>
        <v>0</v>
      </c>
      <c r="J43" s="482">
        <f t="shared" si="11"/>
        <v>0</v>
      </c>
      <c r="K43" s="482">
        <f t="shared" si="11"/>
        <v>91</v>
      </c>
      <c r="L43" s="474">
        <f t="shared" si="11"/>
        <v>6723600</v>
      </c>
      <c r="M43" s="482">
        <f t="shared" si="11"/>
        <v>0</v>
      </c>
      <c r="N43" s="482">
        <f t="shared" si="11"/>
        <v>0</v>
      </c>
      <c r="O43" s="482">
        <f t="shared" si="11"/>
        <v>91</v>
      </c>
      <c r="P43" s="482">
        <f t="shared" si="11"/>
        <v>0</v>
      </c>
      <c r="Q43" s="482">
        <f t="shared" si="11"/>
        <v>0</v>
      </c>
      <c r="R43" s="482">
        <f t="shared" si="11"/>
        <v>0</v>
      </c>
      <c r="S43" s="482">
        <f t="shared" si="11"/>
        <v>0</v>
      </c>
      <c r="T43" s="482">
        <f t="shared" si="11"/>
        <v>0</v>
      </c>
      <c r="U43" s="482">
        <f t="shared" si="11"/>
        <v>0</v>
      </c>
      <c r="V43" s="482">
        <f t="shared" si="11"/>
        <v>91</v>
      </c>
      <c r="W43" s="474">
        <f t="shared" si="11"/>
        <v>6807600</v>
      </c>
      <c r="Y43" s="490"/>
      <c r="AA43" s="68"/>
      <c r="AB43" s="68"/>
    </row>
    <row r="44" spans="1:28" ht="24">
      <c r="A44" s="703" t="s">
        <v>6908</v>
      </c>
      <c r="B44" s="13"/>
      <c r="C44" s="13"/>
      <c r="D44" s="13">
        <f>9+64</f>
        <v>73</v>
      </c>
      <c r="E44" s="13"/>
      <c r="F44" s="13"/>
      <c r="G44" s="13"/>
      <c r="H44" s="13"/>
      <c r="I44" s="13"/>
      <c r="J44" s="13"/>
      <c r="K44" s="13">
        <f>SUM(B44:J44)</f>
        <v>73</v>
      </c>
      <c r="L44" s="472">
        <f>1182000+4674000</f>
        <v>5856000</v>
      </c>
      <c r="M44" s="13"/>
      <c r="N44" s="13"/>
      <c r="O44" s="13">
        <f>10+63</f>
        <v>73</v>
      </c>
      <c r="P44" s="13"/>
      <c r="Q44" s="13"/>
      <c r="R44" s="13"/>
      <c r="S44" s="13"/>
      <c r="T44" s="13"/>
      <c r="U44" s="13"/>
      <c r="V44" s="13">
        <f>SUM(M44:U44)</f>
        <v>73</v>
      </c>
      <c r="W44" s="472">
        <f>1302000+4638000</f>
        <v>5940000</v>
      </c>
      <c r="Y44" s="489"/>
      <c r="AA44" s="68"/>
      <c r="AB44" s="68"/>
    </row>
    <row r="45" spans="1:28" ht="24">
      <c r="A45" s="703" t="s">
        <v>6907</v>
      </c>
      <c r="B45" s="13"/>
      <c r="C45" s="13"/>
      <c r="D45" s="13">
        <v>14</v>
      </c>
      <c r="E45" s="13"/>
      <c r="F45" s="13"/>
      <c r="G45" s="13"/>
      <c r="H45" s="13"/>
      <c r="I45" s="13"/>
      <c r="J45" s="13"/>
      <c r="K45" s="13">
        <f>SUM(B45:J45)</f>
        <v>14</v>
      </c>
      <c r="L45" s="472">
        <v>696000</v>
      </c>
      <c r="M45" s="13"/>
      <c r="N45" s="13"/>
      <c r="O45" s="13">
        <v>14</v>
      </c>
      <c r="P45" s="13"/>
      <c r="Q45" s="13"/>
      <c r="R45" s="13"/>
      <c r="S45" s="13"/>
      <c r="T45" s="13"/>
      <c r="U45" s="13"/>
      <c r="V45" s="13">
        <f>SUM(M45:U45)</f>
        <v>14</v>
      </c>
      <c r="W45" s="472">
        <v>696000</v>
      </c>
      <c r="Y45" s="489"/>
      <c r="AA45" s="68"/>
      <c r="AB45" s="68"/>
    </row>
    <row r="46" spans="1:28" ht="24">
      <c r="A46" s="703" t="s">
        <v>6906</v>
      </c>
      <c r="B46" s="13"/>
      <c r="C46" s="13"/>
      <c r="D46" s="13">
        <v>4</v>
      </c>
      <c r="E46" s="13"/>
      <c r="F46" s="13"/>
      <c r="G46" s="13"/>
      <c r="H46" s="13"/>
      <c r="I46" s="13"/>
      <c r="J46" s="13"/>
      <c r="K46" s="13">
        <f>SUM(B46:J46)</f>
        <v>4</v>
      </c>
      <c r="L46" s="472">
        <v>171600</v>
      </c>
      <c r="M46" s="13"/>
      <c r="N46" s="13"/>
      <c r="O46" s="13">
        <v>4</v>
      </c>
      <c r="P46" s="13"/>
      <c r="Q46" s="13"/>
      <c r="R46" s="13"/>
      <c r="S46" s="13"/>
      <c r="T46" s="13"/>
      <c r="U46" s="13"/>
      <c r="V46" s="13">
        <f>SUM(M46:U46)</f>
        <v>4</v>
      </c>
      <c r="W46" s="472">
        <v>171600</v>
      </c>
      <c r="Y46" s="489"/>
      <c r="AA46" s="68"/>
      <c r="AB46" s="68"/>
    </row>
    <row r="47" spans="1:28" ht="13.5" thickBot="1">
      <c r="A47" s="703"/>
      <c r="B47" s="13"/>
      <c r="C47" s="13"/>
      <c r="D47" s="13"/>
      <c r="E47" s="13"/>
      <c r="F47" s="13"/>
      <c r="G47" s="13"/>
      <c r="H47" s="13"/>
      <c r="I47" s="13"/>
      <c r="J47" s="13"/>
      <c r="K47" s="13"/>
      <c r="L47" s="472"/>
      <c r="M47" s="13"/>
      <c r="N47" s="13"/>
      <c r="O47" s="13"/>
      <c r="P47" s="13"/>
      <c r="Q47" s="13"/>
      <c r="R47" s="13"/>
      <c r="S47" s="13"/>
      <c r="T47" s="13"/>
      <c r="U47" s="13"/>
      <c r="V47" s="13"/>
      <c r="W47" s="472"/>
      <c r="Z47" s="531"/>
      <c r="AA47" s="68"/>
      <c r="AB47" s="68"/>
    </row>
    <row r="48" spans="1:28" ht="24" hidden="1">
      <c r="A48" s="704" t="s">
        <v>6905</v>
      </c>
      <c r="B48" s="477"/>
      <c r="C48" s="477"/>
      <c r="D48" s="477"/>
      <c r="E48" s="477"/>
      <c r="F48" s="477"/>
      <c r="G48" s="477"/>
      <c r="H48" s="477"/>
      <c r="I48" s="477"/>
      <c r="J48" s="477"/>
      <c r="K48" s="477"/>
      <c r="L48" s="488"/>
      <c r="M48" s="477"/>
      <c r="N48" s="477"/>
      <c r="O48" s="477"/>
      <c r="P48" s="477"/>
      <c r="Q48" s="477"/>
      <c r="R48" s="477"/>
      <c r="S48" s="477"/>
      <c r="T48" s="477"/>
      <c r="U48" s="477"/>
      <c r="V48" s="477"/>
      <c r="W48" s="487"/>
      <c r="AA48" s="68"/>
      <c r="AB48" s="68"/>
    </row>
    <row r="49" spans="1:28" hidden="1">
      <c r="A49" s="703" t="s">
        <v>6904</v>
      </c>
      <c r="B49" s="13"/>
      <c r="C49" s="13"/>
      <c r="D49" s="13"/>
      <c r="E49" s="13"/>
      <c r="F49" s="13"/>
      <c r="G49" s="13"/>
      <c r="H49" s="13"/>
      <c r="I49" s="13"/>
      <c r="J49" s="13"/>
      <c r="K49" s="13"/>
      <c r="L49" s="472"/>
      <c r="M49" s="13"/>
      <c r="N49" s="13"/>
      <c r="O49" s="13"/>
      <c r="P49" s="13"/>
      <c r="Q49" s="13"/>
      <c r="R49" s="13"/>
      <c r="S49" s="13"/>
      <c r="T49" s="13"/>
      <c r="U49" s="13"/>
      <c r="V49" s="13"/>
      <c r="W49" s="16"/>
      <c r="AA49" s="68"/>
      <c r="AB49" s="68"/>
    </row>
    <row r="50" spans="1:28" hidden="1">
      <c r="A50" s="703"/>
      <c r="B50" s="13"/>
      <c r="C50" s="13"/>
      <c r="D50" s="13"/>
      <c r="E50" s="13"/>
      <c r="F50" s="13"/>
      <c r="G50" s="13"/>
      <c r="H50" s="13"/>
      <c r="I50" s="13"/>
      <c r="J50" s="13"/>
      <c r="K50" s="13"/>
      <c r="L50" s="472"/>
      <c r="M50" s="13"/>
      <c r="N50" s="13"/>
      <c r="O50" s="13"/>
      <c r="P50" s="13"/>
      <c r="Q50" s="13"/>
      <c r="R50" s="13"/>
      <c r="S50" s="13"/>
      <c r="T50" s="13"/>
      <c r="U50" s="13"/>
      <c r="V50" s="13"/>
      <c r="W50" s="16"/>
      <c r="AA50" s="68"/>
      <c r="AB50" s="68"/>
    </row>
    <row r="51" spans="1:28" hidden="1">
      <c r="A51" s="707" t="s">
        <v>6903</v>
      </c>
      <c r="B51" s="482"/>
      <c r="C51" s="482"/>
      <c r="D51" s="482">
        <f>SUM(D52:D53)</f>
        <v>0</v>
      </c>
      <c r="E51" s="482">
        <f>SUM(E52:E54)</f>
        <v>0</v>
      </c>
      <c r="F51" s="482">
        <f>SUM(F52:F54)</f>
        <v>0</v>
      </c>
      <c r="G51" s="482">
        <f>SUM(G52:G54)</f>
        <v>0</v>
      </c>
      <c r="H51" s="482">
        <f>SUM(H52:H53)</f>
        <v>0</v>
      </c>
      <c r="I51" s="482">
        <f>SUM(I52:I53)</f>
        <v>0</v>
      </c>
      <c r="J51" s="482">
        <f>SUM(J52:J53)</f>
        <v>0</v>
      </c>
      <c r="K51" s="482">
        <f>SUM(K52:K53)</f>
        <v>0</v>
      </c>
      <c r="L51" s="474">
        <f>SUM(L52:L53)</f>
        <v>0</v>
      </c>
      <c r="M51" s="482"/>
      <c r="N51" s="482"/>
      <c r="O51" s="482">
        <f>SUM(O52:O53)</f>
        <v>0</v>
      </c>
      <c r="P51" s="482">
        <f>SUM(P52:P54)</f>
        <v>0</v>
      </c>
      <c r="Q51" s="482">
        <f>SUM(Q52:Q54)</f>
        <v>0</v>
      </c>
      <c r="R51" s="482">
        <f>SUM(R52:R54)</f>
        <v>0</v>
      </c>
      <c r="S51" s="482">
        <f>SUM(S52:S53)</f>
        <v>0</v>
      </c>
      <c r="T51" s="482">
        <f>SUM(T52:T53)</f>
        <v>0</v>
      </c>
      <c r="U51" s="482">
        <f>SUM(U52:U53)</f>
        <v>0</v>
      </c>
      <c r="V51" s="482">
        <f>SUM(V52:V53)</f>
        <v>0</v>
      </c>
      <c r="W51" s="474">
        <f>SUM(W52:W53)</f>
        <v>0</v>
      </c>
      <c r="AA51" s="68"/>
      <c r="AB51" s="68"/>
    </row>
    <row r="52" spans="1:28" hidden="1">
      <c r="A52" s="703" t="s">
        <v>6902</v>
      </c>
      <c r="B52" s="13"/>
      <c r="C52" s="13"/>
      <c r="D52" s="13"/>
      <c r="E52" s="13"/>
      <c r="F52" s="13"/>
      <c r="G52" s="13"/>
      <c r="H52" s="13"/>
      <c r="I52" s="13"/>
      <c r="J52" s="13"/>
      <c r="K52" s="13">
        <f>SUM(B52:J52)</f>
        <v>0</v>
      </c>
      <c r="L52" s="472"/>
      <c r="M52" s="13"/>
      <c r="N52" s="13"/>
      <c r="O52" s="13"/>
      <c r="P52" s="13"/>
      <c r="Q52" s="13"/>
      <c r="R52" s="13"/>
      <c r="S52" s="13"/>
      <c r="T52" s="13"/>
      <c r="U52" s="13"/>
      <c r="V52" s="13"/>
      <c r="W52" s="16"/>
      <c r="AA52" s="68"/>
      <c r="AB52" s="68"/>
    </row>
    <row r="53" spans="1:28" hidden="1">
      <c r="A53" s="703"/>
      <c r="B53" s="13"/>
      <c r="C53" s="13"/>
      <c r="D53" s="13"/>
      <c r="E53" s="13"/>
      <c r="F53" s="13"/>
      <c r="G53" s="13"/>
      <c r="H53" s="13"/>
      <c r="I53" s="13"/>
      <c r="J53" s="13"/>
      <c r="K53" s="13"/>
      <c r="L53" s="472"/>
      <c r="M53" s="13"/>
      <c r="N53" s="13"/>
      <c r="O53" s="13"/>
      <c r="P53" s="13"/>
      <c r="Q53" s="13"/>
      <c r="R53" s="13"/>
      <c r="S53" s="13"/>
      <c r="T53" s="13"/>
      <c r="U53" s="13"/>
      <c r="V53" s="13"/>
      <c r="W53" s="16"/>
      <c r="AA53" s="68"/>
      <c r="AB53" s="68"/>
    </row>
    <row r="54" spans="1:28" hidden="1">
      <c r="A54" s="707" t="s">
        <v>6901</v>
      </c>
      <c r="B54" s="493"/>
      <c r="C54" s="493"/>
      <c r="D54" s="493"/>
      <c r="E54" s="493"/>
      <c r="F54" s="493"/>
      <c r="G54" s="493"/>
      <c r="H54" s="493"/>
      <c r="I54" s="493"/>
      <c r="J54" s="493"/>
      <c r="K54" s="493"/>
      <c r="L54" s="492"/>
      <c r="M54" s="493"/>
      <c r="N54" s="493"/>
      <c r="O54" s="493"/>
      <c r="P54" s="493"/>
      <c r="Q54" s="493"/>
      <c r="R54" s="493"/>
      <c r="S54" s="493"/>
      <c r="T54" s="493"/>
      <c r="U54" s="493"/>
      <c r="V54" s="493"/>
      <c r="W54" s="530">
        <f>W55</f>
        <v>0</v>
      </c>
      <c r="AA54" s="68"/>
      <c r="AB54" s="68"/>
    </row>
    <row r="55" spans="1:28" hidden="1">
      <c r="A55" s="703" t="s">
        <v>6901</v>
      </c>
      <c r="B55" s="13"/>
      <c r="C55" s="13"/>
      <c r="D55" s="13"/>
      <c r="E55" s="13"/>
      <c r="F55" s="13"/>
      <c r="G55" s="13"/>
      <c r="H55" s="13"/>
      <c r="I55" s="13"/>
      <c r="J55" s="13"/>
      <c r="K55" s="13"/>
      <c r="L55" s="472"/>
      <c r="M55" s="13"/>
      <c r="N55" s="13"/>
      <c r="O55" s="13"/>
      <c r="P55" s="13"/>
      <c r="Q55" s="13"/>
      <c r="R55" s="13"/>
      <c r="S55" s="13"/>
      <c r="T55" s="13"/>
      <c r="U55" s="13"/>
      <c r="V55" s="13"/>
      <c r="W55" s="16"/>
      <c r="AA55" s="68"/>
      <c r="AB55" s="68"/>
    </row>
    <row r="56" spans="1:28" ht="13.5" hidden="1" thickBot="1">
      <c r="A56" s="703"/>
      <c r="B56" s="13"/>
      <c r="C56" s="13"/>
      <c r="D56" s="13"/>
      <c r="E56" s="13"/>
      <c r="F56" s="13"/>
      <c r="G56" s="13"/>
      <c r="H56" s="13"/>
      <c r="I56" s="13"/>
      <c r="J56" s="13"/>
      <c r="K56" s="13"/>
      <c r="L56" s="472"/>
      <c r="M56" s="13"/>
      <c r="N56" s="13"/>
      <c r="O56" s="13"/>
      <c r="P56" s="13"/>
      <c r="Q56" s="13"/>
      <c r="R56" s="13"/>
      <c r="S56" s="13"/>
      <c r="T56" s="13"/>
      <c r="U56" s="13"/>
      <c r="V56" s="13"/>
      <c r="W56" s="16"/>
      <c r="AA56" s="68"/>
      <c r="AB56" s="68"/>
    </row>
    <row r="57" spans="1:28" ht="13.5" thickBot="1">
      <c r="A57" s="17" t="s">
        <v>23</v>
      </c>
      <c r="B57" s="471">
        <f>B11+B43+B54</f>
        <v>0</v>
      </c>
      <c r="C57" s="470">
        <f>C11+C43</f>
        <v>0</v>
      </c>
      <c r="D57" s="470">
        <f>D11+D43</f>
        <v>91</v>
      </c>
      <c r="E57" s="470">
        <f>E11+E43</f>
        <v>0</v>
      </c>
      <c r="F57" s="470">
        <f>F11+F43</f>
        <v>0</v>
      </c>
      <c r="G57" s="470">
        <f>G11+G43</f>
        <v>0</v>
      </c>
      <c r="H57" s="470">
        <f>H11+H43+H51</f>
        <v>0</v>
      </c>
      <c r="I57" s="470">
        <f>I11+I43</f>
        <v>0</v>
      </c>
      <c r="J57" s="470">
        <f>J11+J43</f>
        <v>0</v>
      </c>
      <c r="K57" s="470">
        <f>K11+K43+K51</f>
        <v>91</v>
      </c>
      <c r="L57" s="470">
        <f>L11+L43+L51</f>
        <v>6723600</v>
      </c>
      <c r="M57" s="471">
        <f>M11+M43+M54</f>
        <v>0</v>
      </c>
      <c r="N57" s="470">
        <f t="shared" ref="N57:W57" si="12">N11+N43</f>
        <v>0</v>
      </c>
      <c r="O57" s="470">
        <f t="shared" si="12"/>
        <v>91</v>
      </c>
      <c r="P57" s="470">
        <f t="shared" si="12"/>
        <v>0</v>
      </c>
      <c r="Q57" s="470">
        <f t="shared" si="12"/>
        <v>0</v>
      </c>
      <c r="R57" s="470">
        <f t="shared" si="12"/>
        <v>0</v>
      </c>
      <c r="S57" s="470">
        <f t="shared" si="12"/>
        <v>0</v>
      </c>
      <c r="T57" s="470">
        <f t="shared" si="12"/>
        <v>0</v>
      </c>
      <c r="U57" s="470">
        <f t="shared" si="12"/>
        <v>0</v>
      </c>
      <c r="V57" s="470">
        <f t="shared" si="12"/>
        <v>91</v>
      </c>
      <c r="W57" s="469">
        <f t="shared" si="12"/>
        <v>6807600</v>
      </c>
      <c r="X57" s="55"/>
      <c r="AA57" s="68"/>
      <c r="AB57" s="68"/>
    </row>
    <row r="58" spans="1:28">
      <c r="A58" s="1" t="s">
        <v>273</v>
      </c>
      <c r="B58" s="2"/>
      <c r="C58" s="2"/>
      <c r="D58" s="2"/>
      <c r="E58" s="2"/>
      <c r="F58" s="2"/>
      <c r="G58" s="2"/>
      <c r="H58" s="2"/>
      <c r="I58" s="2"/>
      <c r="J58" s="2"/>
      <c r="K58" s="2"/>
      <c r="L58" s="2"/>
      <c r="M58" s="2"/>
      <c r="N58" s="2"/>
      <c r="O58" s="2"/>
      <c r="P58" s="6"/>
      <c r="Q58" s="52"/>
      <c r="R58"/>
      <c r="S58"/>
      <c r="T58" s="68"/>
      <c r="U58" s="68"/>
      <c r="V58" s="68"/>
      <c r="W58" s="68"/>
      <c r="X58" s="68"/>
      <c r="Y58" s="68"/>
      <c r="Z58" s="68"/>
      <c r="AA58" s="68"/>
      <c r="AB58" s="68"/>
    </row>
    <row r="59" spans="1:28">
      <c r="A59" s="11" t="s">
        <v>267</v>
      </c>
      <c r="P59" s="68"/>
      <c r="Q59" s="52"/>
      <c r="R59"/>
      <c r="S59"/>
      <c r="T59"/>
      <c r="U59"/>
      <c r="V59" s="68"/>
      <c r="W59" s="68"/>
      <c r="X59" s="68"/>
      <c r="Y59" s="68"/>
      <c r="Z59" s="68"/>
      <c r="AA59" s="68"/>
      <c r="AB59" s="68"/>
    </row>
    <row r="60" spans="1:28">
      <c r="A60" s="11" t="s">
        <v>271</v>
      </c>
      <c r="P60" s="68"/>
      <c r="Q60" s="52"/>
      <c r="R60"/>
      <c r="S60"/>
      <c r="T60"/>
      <c r="U60"/>
      <c r="V60" s="68"/>
      <c r="W60" s="68"/>
      <c r="X60" s="68"/>
      <c r="Y60" s="68"/>
      <c r="Z60" s="68"/>
      <c r="AA60" s="68"/>
      <c r="AB60" s="68"/>
    </row>
    <row r="61" spans="1:28">
      <c r="A61" s="11" t="s">
        <v>278</v>
      </c>
    </row>
  </sheetData>
  <mergeCells count="5">
    <mergeCell ref="A7:W7"/>
    <mergeCell ref="A8:W8"/>
    <mergeCell ref="A9:W9"/>
    <mergeCell ref="B5:L5"/>
    <mergeCell ref="M5:W5"/>
  </mergeCells>
  <printOptions horizontalCentered="1"/>
  <pageMargins left="0.19685039370078741" right="0.19685039370078741" top="0.78740157480314965" bottom="0.78740157480314965" header="0.19685039370078741" footer="0.19685039370078741"/>
  <pageSetup paperSize="9" scale="95"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2060"/>
  </sheetPr>
  <dimension ref="A1:AB76"/>
  <sheetViews>
    <sheetView view="pageBreakPreview" topLeftCell="A7" zoomScaleNormal="100" zoomScaleSheetLayoutView="100" workbookViewId="0">
      <selection activeCell="B8" sqref="B8"/>
    </sheetView>
  </sheetViews>
  <sheetFormatPr baseColWidth="10" defaultColWidth="11.42578125" defaultRowHeight="12.75"/>
  <cols>
    <col min="1" max="1" width="29.28515625" style="11" customWidth="1"/>
    <col min="2" max="3" width="5.140625" style="11" bestFit="1" customWidth="1"/>
    <col min="4" max="4" width="7.28515625" style="11" bestFit="1" customWidth="1"/>
    <col min="5" max="8" width="5.140625" style="11" bestFit="1" customWidth="1"/>
    <col min="9" max="9" width="4.7109375" style="11" bestFit="1" customWidth="1"/>
    <col min="10" max="10" width="5.140625" style="11" bestFit="1" customWidth="1"/>
    <col min="11" max="11" width="4.140625" style="11" bestFit="1" customWidth="1"/>
    <col min="12" max="12" width="10" style="11" bestFit="1" customWidth="1"/>
    <col min="13" max="14" width="5.140625" style="11" bestFit="1" customWidth="1"/>
    <col min="15" max="15" width="7.28515625" style="11" bestFit="1" customWidth="1"/>
    <col min="16" max="19" width="5.140625" style="11" bestFit="1" customWidth="1"/>
    <col min="20" max="20" width="4.7109375" style="11" bestFit="1" customWidth="1"/>
    <col min="21" max="21" width="5.140625" style="11" bestFit="1" customWidth="1"/>
    <col min="22" max="22" width="4.140625" style="11" bestFit="1" customWidth="1"/>
    <col min="23" max="23" width="10" style="11" bestFit="1" customWidth="1"/>
    <col min="24" max="24" width="1.7109375" style="52" customWidth="1"/>
    <col min="25" max="28" width="10.7109375" customWidth="1"/>
    <col min="29" max="16384" width="11.42578125" style="68"/>
  </cols>
  <sheetData>
    <row r="1" spans="1:28" s="72" customFormat="1" ht="15.75">
      <c r="A1" s="186" t="s">
        <v>458</v>
      </c>
      <c r="B1" s="71"/>
      <c r="C1" s="71"/>
      <c r="D1" s="71"/>
      <c r="E1" s="71"/>
      <c r="F1" s="71"/>
      <c r="G1" s="71"/>
      <c r="H1" s="71"/>
      <c r="I1" s="71"/>
      <c r="J1" s="71"/>
      <c r="K1" s="71"/>
      <c r="L1" s="71"/>
      <c r="M1" s="71"/>
      <c r="N1" s="71"/>
      <c r="O1" s="71"/>
      <c r="P1" s="71"/>
      <c r="Q1" s="71"/>
      <c r="R1" s="71"/>
      <c r="S1" s="71"/>
      <c r="T1" s="71"/>
      <c r="U1" s="71"/>
      <c r="V1" s="71"/>
      <c r="W1" s="71"/>
      <c r="X1" s="73"/>
    </row>
    <row r="2" spans="1:28" s="72" customFormat="1" ht="15.75">
      <c r="A2" s="186" t="s">
        <v>1655</v>
      </c>
      <c r="B2" s="71"/>
      <c r="C2" s="71"/>
      <c r="D2" s="71"/>
      <c r="E2" s="71"/>
      <c r="F2" s="71"/>
      <c r="G2" s="71"/>
      <c r="H2" s="71"/>
      <c r="I2" s="71"/>
      <c r="J2" s="71"/>
      <c r="K2" s="71"/>
      <c r="L2" s="71"/>
      <c r="M2" s="71"/>
      <c r="N2" s="71"/>
      <c r="O2" s="71"/>
      <c r="P2" s="71"/>
      <c r="Q2" s="71"/>
      <c r="R2" s="71"/>
      <c r="S2" s="71"/>
      <c r="T2" s="71"/>
      <c r="U2" s="71"/>
      <c r="V2" s="71"/>
      <c r="W2" s="71"/>
      <c r="X2" s="73"/>
    </row>
    <row r="3" spans="1:28" s="56" customFormat="1" ht="15.75">
      <c r="A3" s="187" t="s">
        <v>6864</v>
      </c>
      <c r="X3" s="51"/>
    </row>
    <row r="4" spans="1:28" ht="13.5" thickBot="1">
      <c r="L4" s="12"/>
      <c r="W4" s="12"/>
    </row>
    <row r="5" spans="1:28" s="41" customFormat="1" ht="11.25">
      <c r="A5" s="120" t="s">
        <v>10</v>
      </c>
      <c r="B5" s="2001" t="s">
        <v>456</v>
      </c>
      <c r="C5" s="2002"/>
      <c r="D5" s="2002"/>
      <c r="E5" s="2002"/>
      <c r="F5" s="2002"/>
      <c r="G5" s="2002"/>
      <c r="H5" s="2002"/>
      <c r="I5" s="2002"/>
      <c r="J5" s="2002"/>
      <c r="K5" s="2002"/>
      <c r="L5" s="2003"/>
      <c r="M5" s="2001" t="s">
        <v>457</v>
      </c>
      <c r="N5" s="2002"/>
      <c r="O5" s="2002"/>
      <c r="P5" s="2002"/>
      <c r="Q5" s="2002"/>
      <c r="R5" s="2002"/>
      <c r="S5" s="2002"/>
      <c r="T5" s="2002"/>
      <c r="U5" s="2002"/>
      <c r="V5" s="2002"/>
      <c r="W5" s="2003"/>
      <c r="X5" s="53"/>
    </row>
    <row r="6" spans="1:28" s="42" customFormat="1" ht="98.25">
      <c r="A6" s="121" t="s">
        <v>9</v>
      </c>
      <c r="B6" s="122" t="s">
        <v>310</v>
      </c>
      <c r="C6" s="122" t="s">
        <v>118</v>
      </c>
      <c r="D6" s="123" t="s">
        <v>266</v>
      </c>
      <c r="E6" s="123" t="s">
        <v>259</v>
      </c>
      <c r="F6" s="123" t="s">
        <v>268</v>
      </c>
      <c r="G6" s="123" t="s">
        <v>269</v>
      </c>
      <c r="H6" s="123" t="s">
        <v>270</v>
      </c>
      <c r="I6" s="123" t="s">
        <v>277</v>
      </c>
      <c r="J6" s="124" t="s">
        <v>272</v>
      </c>
      <c r="K6" s="125" t="s">
        <v>274</v>
      </c>
      <c r="L6" s="126" t="s">
        <v>276</v>
      </c>
      <c r="M6" s="122" t="s">
        <v>310</v>
      </c>
      <c r="N6" s="122" t="s">
        <v>118</v>
      </c>
      <c r="O6" s="123" t="s">
        <v>266</v>
      </c>
      <c r="P6" s="123" t="s">
        <v>259</v>
      </c>
      <c r="Q6" s="123" t="s">
        <v>268</v>
      </c>
      <c r="R6" s="123" t="s">
        <v>269</v>
      </c>
      <c r="S6" s="123" t="s">
        <v>270</v>
      </c>
      <c r="T6" s="123" t="s">
        <v>277</v>
      </c>
      <c r="U6" s="124" t="s">
        <v>272</v>
      </c>
      <c r="V6" s="125" t="s">
        <v>274</v>
      </c>
      <c r="W6" s="126" t="s">
        <v>275</v>
      </c>
      <c r="X6" s="54"/>
    </row>
    <row r="7" spans="1:28" s="712" customFormat="1" ht="6">
      <c r="A7" s="2007"/>
      <c r="B7" s="2008"/>
      <c r="C7" s="2008"/>
      <c r="D7" s="2008"/>
      <c r="E7" s="2008"/>
      <c r="F7" s="2008"/>
      <c r="G7" s="2008"/>
      <c r="H7" s="2008"/>
      <c r="I7" s="2008"/>
      <c r="J7" s="2008"/>
      <c r="K7" s="2008"/>
      <c r="L7" s="2008"/>
      <c r="M7" s="2008"/>
      <c r="N7" s="2008"/>
      <c r="O7" s="2008"/>
      <c r="P7" s="2008"/>
      <c r="Q7" s="2008"/>
      <c r="R7" s="2008"/>
      <c r="S7" s="2008"/>
      <c r="T7" s="2008"/>
      <c r="U7" s="2008"/>
      <c r="V7" s="2008"/>
      <c r="W7" s="2009"/>
      <c r="X7" s="711"/>
    </row>
    <row r="8" spans="1:28" ht="15">
      <c r="A8" s="2004" t="s">
        <v>7176</v>
      </c>
      <c r="B8" s="2005"/>
      <c r="C8" s="2005"/>
      <c r="D8" s="2005"/>
      <c r="E8" s="2005"/>
      <c r="F8" s="2005"/>
      <c r="G8" s="2005"/>
      <c r="H8" s="2005"/>
      <c r="I8" s="2005"/>
      <c r="J8" s="2005"/>
      <c r="K8" s="2005"/>
      <c r="L8" s="2005"/>
      <c r="M8" s="2005"/>
      <c r="N8" s="2005"/>
      <c r="O8" s="2005"/>
      <c r="P8" s="2005"/>
      <c r="Q8" s="2005"/>
      <c r="R8" s="2005"/>
      <c r="S8" s="2005"/>
      <c r="T8" s="2005"/>
      <c r="U8" s="2005"/>
      <c r="V8" s="2005"/>
      <c r="W8" s="2006"/>
      <c r="Y8" s="68"/>
      <c r="Z8" s="68"/>
      <c r="AA8" s="68"/>
      <c r="AB8" s="68"/>
    </row>
    <row r="9" spans="1:28" s="710" customFormat="1" ht="8.25">
      <c r="A9" s="2010"/>
      <c r="B9" s="2011"/>
      <c r="C9" s="2011"/>
      <c r="D9" s="2011"/>
      <c r="E9" s="2011"/>
      <c r="F9" s="2011"/>
      <c r="G9" s="2011"/>
      <c r="H9" s="2011"/>
      <c r="I9" s="2011"/>
      <c r="J9" s="2011"/>
      <c r="K9" s="2011"/>
      <c r="L9" s="2011"/>
      <c r="M9" s="2011"/>
      <c r="N9" s="2011"/>
      <c r="O9" s="2011"/>
      <c r="P9" s="2011"/>
      <c r="Q9" s="2011"/>
      <c r="R9" s="2011"/>
      <c r="S9" s="2011"/>
      <c r="T9" s="2011"/>
      <c r="U9" s="2011"/>
      <c r="V9" s="2011"/>
      <c r="W9" s="2012"/>
      <c r="X9" s="709"/>
    </row>
    <row r="10" spans="1:28">
      <c r="A10" s="708" t="s">
        <v>48</v>
      </c>
      <c r="B10" s="482">
        <f t="shared" ref="B10:W10" si="0">B11+B20+B27+B34</f>
        <v>70</v>
      </c>
      <c r="C10" s="482">
        <f t="shared" si="0"/>
        <v>0</v>
      </c>
      <c r="D10" s="482">
        <f t="shared" si="0"/>
        <v>0</v>
      </c>
      <c r="E10" s="482">
        <f t="shared" si="0"/>
        <v>0</v>
      </c>
      <c r="F10" s="482">
        <f t="shared" si="0"/>
        <v>0</v>
      </c>
      <c r="G10" s="482">
        <f t="shared" si="0"/>
        <v>0</v>
      </c>
      <c r="H10" s="482">
        <f t="shared" si="0"/>
        <v>0</v>
      </c>
      <c r="I10" s="482">
        <f t="shared" si="0"/>
        <v>0</v>
      </c>
      <c r="J10" s="482">
        <f t="shared" si="0"/>
        <v>0</v>
      </c>
      <c r="K10" s="482">
        <f t="shared" si="0"/>
        <v>70</v>
      </c>
      <c r="L10" s="474">
        <f t="shared" si="0"/>
        <v>1542791.37</v>
      </c>
      <c r="M10" s="482">
        <f t="shared" si="0"/>
        <v>85</v>
      </c>
      <c r="N10" s="482">
        <f t="shared" si="0"/>
        <v>0</v>
      </c>
      <c r="O10" s="482">
        <f t="shared" si="0"/>
        <v>0</v>
      </c>
      <c r="P10" s="482">
        <f t="shared" si="0"/>
        <v>0</v>
      </c>
      <c r="Q10" s="482">
        <f t="shared" si="0"/>
        <v>0</v>
      </c>
      <c r="R10" s="482">
        <f t="shared" si="0"/>
        <v>0</v>
      </c>
      <c r="S10" s="482">
        <f t="shared" si="0"/>
        <v>0</v>
      </c>
      <c r="T10" s="482">
        <f t="shared" si="0"/>
        <v>0</v>
      </c>
      <c r="U10" s="482">
        <f t="shared" si="0"/>
        <v>0</v>
      </c>
      <c r="V10" s="482">
        <f t="shared" si="0"/>
        <v>85</v>
      </c>
      <c r="W10" s="474">
        <f t="shared" si="0"/>
        <v>1743828</v>
      </c>
      <c r="X10" s="55"/>
      <c r="AA10" s="68"/>
      <c r="AB10" s="68"/>
    </row>
    <row r="11" spans="1:28">
      <c r="A11" s="705" t="s">
        <v>7</v>
      </c>
      <c r="B11" s="484">
        <f t="shared" ref="B11:W11" si="1">SUM(B12:B19)</f>
        <v>7</v>
      </c>
      <c r="C11" s="484">
        <f t="shared" si="1"/>
        <v>0</v>
      </c>
      <c r="D11" s="484">
        <f t="shared" si="1"/>
        <v>0</v>
      </c>
      <c r="E11" s="484">
        <f t="shared" si="1"/>
        <v>0</v>
      </c>
      <c r="F11" s="484">
        <f t="shared" si="1"/>
        <v>0</v>
      </c>
      <c r="G11" s="484">
        <f t="shared" si="1"/>
        <v>0</v>
      </c>
      <c r="H11" s="484">
        <f t="shared" si="1"/>
        <v>0</v>
      </c>
      <c r="I11" s="484">
        <f t="shared" si="1"/>
        <v>0</v>
      </c>
      <c r="J11" s="484">
        <f t="shared" si="1"/>
        <v>0</v>
      </c>
      <c r="K11" s="484">
        <f t="shared" si="1"/>
        <v>7</v>
      </c>
      <c r="L11" s="485">
        <f t="shared" si="1"/>
        <v>199105</v>
      </c>
      <c r="M11" s="484">
        <f t="shared" si="1"/>
        <v>7</v>
      </c>
      <c r="N11" s="484">
        <f t="shared" si="1"/>
        <v>0</v>
      </c>
      <c r="O11" s="484">
        <f t="shared" si="1"/>
        <v>0</v>
      </c>
      <c r="P11" s="484">
        <f t="shared" si="1"/>
        <v>0</v>
      </c>
      <c r="Q11" s="484">
        <f t="shared" si="1"/>
        <v>0</v>
      </c>
      <c r="R11" s="484">
        <f t="shared" si="1"/>
        <v>0</v>
      </c>
      <c r="S11" s="484">
        <f t="shared" si="1"/>
        <v>0</v>
      </c>
      <c r="T11" s="484">
        <f t="shared" si="1"/>
        <v>0</v>
      </c>
      <c r="U11" s="484">
        <f t="shared" si="1"/>
        <v>0</v>
      </c>
      <c r="V11" s="484">
        <f t="shared" si="1"/>
        <v>7</v>
      </c>
      <c r="W11" s="485">
        <f t="shared" si="1"/>
        <v>190119</v>
      </c>
      <c r="AA11" s="68"/>
      <c r="AB11" s="68"/>
    </row>
    <row r="12" spans="1:28" hidden="1">
      <c r="A12" s="703" t="s">
        <v>3</v>
      </c>
      <c r="B12" s="13"/>
      <c r="C12" s="13"/>
      <c r="D12" s="13"/>
      <c r="E12" s="13"/>
      <c r="F12" s="13"/>
      <c r="G12" s="13"/>
      <c r="H12" s="13"/>
      <c r="I12" s="13"/>
      <c r="J12" s="13"/>
      <c r="K12" s="13"/>
      <c r="L12" s="16"/>
      <c r="M12" s="13"/>
      <c r="N12" s="13"/>
      <c r="O12" s="13"/>
      <c r="P12" s="13"/>
      <c r="Q12" s="13"/>
      <c r="R12" s="13"/>
      <c r="S12" s="13"/>
      <c r="T12" s="13"/>
      <c r="U12" s="13"/>
      <c r="V12" s="13"/>
      <c r="W12" s="16"/>
      <c r="AA12" s="68"/>
      <c r="AB12" s="68"/>
    </row>
    <row r="13" spans="1:28" hidden="1">
      <c r="A13" s="703" t="s">
        <v>7062</v>
      </c>
      <c r="B13" s="13"/>
      <c r="C13" s="13"/>
      <c r="D13" s="13"/>
      <c r="E13" s="13"/>
      <c r="F13" s="13"/>
      <c r="G13" s="13"/>
      <c r="H13" s="13"/>
      <c r="I13" s="13"/>
      <c r="J13" s="13"/>
      <c r="K13" s="13"/>
      <c r="L13" s="16"/>
      <c r="M13" s="13"/>
      <c r="N13" s="13"/>
      <c r="O13" s="13"/>
      <c r="P13" s="13"/>
      <c r="Q13" s="13"/>
      <c r="R13" s="13"/>
      <c r="S13" s="13"/>
      <c r="T13" s="13"/>
      <c r="U13" s="13"/>
      <c r="V13" s="13"/>
      <c r="W13" s="16"/>
      <c r="AA13" s="68"/>
      <c r="AB13" s="68"/>
    </row>
    <row r="14" spans="1:28" hidden="1">
      <c r="A14" s="703" t="s">
        <v>7061</v>
      </c>
      <c r="B14" s="13"/>
      <c r="C14" s="13"/>
      <c r="D14" s="13"/>
      <c r="E14" s="13"/>
      <c r="F14" s="13"/>
      <c r="G14" s="13"/>
      <c r="H14" s="13"/>
      <c r="I14" s="13"/>
      <c r="J14" s="13"/>
      <c r="K14" s="13"/>
      <c r="L14" s="16"/>
      <c r="M14" s="13"/>
      <c r="N14" s="13"/>
      <c r="O14" s="13"/>
      <c r="P14" s="13"/>
      <c r="Q14" s="13"/>
      <c r="R14" s="13"/>
      <c r="S14" s="13"/>
      <c r="T14" s="13"/>
      <c r="U14" s="13"/>
      <c r="V14" s="13"/>
      <c r="W14" s="16"/>
      <c r="AA14" s="68"/>
      <c r="AB14" s="68"/>
    </row>
    <row r="15" spans="1:28" hidden="1">
      <c r="A15" s="703" t="s">
        <v>7060</v>
      </c>
      <c r="B15" s="13"/>
      <c r="C15" s="13"/>
      <c r="D15" s="13"/>
      <c r="E15" s="13"/>
      <c r="F15" s="13"/>
      <c r="G15" s="13"/>
      <c r="H15" s="13"/>
      <c r="I15" s="13"/>
      <c r="J15" s="13"/>
      <c r="K15" s="13">
        <f>SUM(B15:J15)</f>
        <v>0</v>
      </c>
      <c r="L15" s="472"/>
      <c r="M15" s="13"/>
      <c r="N15" s="13"/>
      <c r="O15" s="13"/>
      <c r="P15" s="13"/>
      <c r="Q15" s="13"/>
      <c r="R15" s="13"/>
      <c r="S15" s="13"/>
      <c r="T15" s="13"/>
      <c r="U15" s="13"/>
      <c r="V15" s="13">
        <f>SUM(M15:U15)</f>
        <v>0</v>
      </c>
      <c r="W15" s="472"/>
      <c r="AA15" s="68"/>
      <c r="AB15" s="68"/>
    </row>
    <row r="16" spans="1:28" hidden="1">
      <c r="A16" s="703" t="s">
        <v>7059</v>
      </c>
      <c r="B16" s="13"/>
      <c r="C16" s="13"/>
      <c r="D16" s="13"/>
      <c r="E16" s="13"/>
      <c r="F16" s="13"/>
      <c r="G16" s="13"/>
      <c r="H16" s="13"/>
      <c r="I16" s="13"/>
      <c r="J16" s="13"/>
      <c r="K16" s="13">
        <f>SUM(B16:J16)</f>
        <v>0</v>
      </c>
      <c r="L16" s="472"/>
      <c r="M16" s="13"/>
      <c r="N16" s="13"/>
      <c r="O16" s="13"/>
      <c r="P16" s="13"/>
      <c r="Q16" s="13"/>
      <c r="R16" s="13"/>
      <c r="S16" s="13"/>
      <c r="T16" s="13"/>
      <c r="U16" s="13"/>
      <c r="V16" s="13">
        <f>SUM(M16:U16)</f>
        <v>0</v>
      </c>
      <c r="W16" s="472"/>
      <c r="AA16" s="68"/>
      <c r="AB16" s="68"/>
    </row>
    <row r="17" spans="1:28">
      <c r="A17" s="703" t="s">
        <v>7058</v>
      </c>
      <c r="B17" s="13">
        <v>5</v>
      </c>
      <c r="C17" s="13"/>
      <c r="D17" s="13"/>
      <c r="E17" s="13"/>
      <c r="F17" s="13"/>
      <c r="G17" s="13"/>
      <c r="H17" s="13"/>
      <c r="I17" s="13"/>
      <c r="J17" s="13"/>
      <c r="K17" s="13">
        <f>SUM(B17:J17)</f>
        <v>5</v>
      </c>
      <c r="L17" s="472">
        <v>143434</v>
      </c>
      <c r="M17" s="13">
        <v>5</v>
      </c>
      <c r="N17" s="13"/>
      <c r="O17" s="13"/>
      <c r="P17" s="13"/>
      <c r="Q17" s="13"/>
      <c r="R17" s="13"/>
      <c r="S17" s="13"/>
      <c r="T17" s="13"/>
      <c r="U17" s="13"/>
      <c r="V17" s="13">
        <f>SUM(M17:U17)</f>
        <v>5</v>
      </c>
      <c r="W17" s="472">
        <v>136979</v>
      </c>
      <c r="AA17" s="68"/>
      <c r="AB17" s="68"/>
    </row>
    <row r="18" spans="1:28">
      <c r="A18" s="703" t="s">
        <v>7057</v>
      </c>
      <c r="B18" s="13">
        <v>1</v>
      </c>
      <c r="C18" s="13"/>
      <c r="D18" s="13"/>
      <c r="E18" s="13"/>
      <c r="F18" s="13"/>
      <c r="G18" s="13"/>
      <c r="H18" s="13"/>
      <c r="I18" s="13"/>
      <c r="J18" s="13"/>
      <c r="K18" s="13">
        <f>SUM(B18:J18)</f>
        <v>1</v>
      </c>
      <c r="L18" s="472">
        <v>27963</v>
      </c>
      <c r="M18" s="13">
        <v>1</v>
      </c>
      <c r="N18" s="13"/>
      <c r="O18" s="13"/>
      <c r="P18" s="13"/>
      <c r="Q18" s="13"/>
      <c r="R18" s="13"/>
      <c r="S18" s="13"/>
      <c r="T18" s="13"/>
      <c r="U18" s="13"/>
      <c r="V18" s="13">
        <f>SUM(M18:U18)</f>
        <v>1</v>
      </c>
      <c r="W18" s="472">
        <v>26675</v>
      </c>
      <c r="X18" s="55"/>
      <c r="AA18" s="68"/>
      <c r="AB18" s="68"/>
    </row>
    <row r="19" spans="1:28">
      <c r="A19" s="703" t="s">
        <v>12</v>
      </c>
      <c r="B19" s="13">
        <v>1</v>
      </c>
      <c r="C19" s="13"/>
      <c r="D19" s="13"/>
      <c r="E19" s="13"/>
      <c r="F19" s="13"/>
      <c r="G19" s="13"/>
      <c r="H19" s="13"/>
      <c r="I19" s="13"/>
      <c r="J19" s="13"/>
      <c r="K19" s="13">
        <f>SUM(B19:J19)</f>
        <v>1</v>
      </c>
      <c r="L19" s="472">
        <v>27708</v>
      </c>
      <c r="M19" s="13">
        <v>1</v>
      </c>
      <c r="N19" s="13"/>
      <c r="O19" s="13"/>
      <c r="P19" s="13"/>
      <c r="Q19" s="13"/>
      <c r="R19" s="13"/>
      <c r="S19" s="13"/>
      <c r="T19" s="13"/>
      <c r="U19" s="13"/>
      <c r="V19" s="13">
        <f>SUM(M19:U19)</f>
        <v>1</v>
      </c>
      <c r="W19" s="472">
        <v>26465</v>
      </c>
      <c r="AA19" s="68"/>
      <c r="AB19" s="68"/>
    </row>
    <row r="20" spans="1:28">
      <c r="A20" s="705" t="s">
        <v>4</v>
      </c>
      <c r="B20" s="484">
        <f t="shared" ref="B20:W20" si="2">SUM(B21:B26)</f>
        <v>16</v>
      </c>
      <c r="C20" s="484">
        <f t="shared" si="2"/>
        <v>0</v>
      </c>
      <c r="D20" s="484">
        <f t="shared" si="2"/>
        <v>0</v>
      </c>
      <c r="E20" s="484">
        <f t="shared" si="2"/>
        <v>0</v>
      </c>
      <c r="F20" s="484">
        <f t="shared" si="2"/>
        <v>0</v>
      </c>
      <c r="G20" s="484">
        <f t="shared" si="2"/>
        <v>0</v>
      </c>
      <c r="H20" s="484">
        <f t="shared" si="2"/>
        <v>0</v>
      </c>
      <c r="I20" s="484">
        <f t="shared" si="2"/>
        <v>0</v>
      </c>
      <c r="J20" s="484">
        <f t="shared" si="2"/>
        <v>0</v>
      </c>
      <c r="K20" s="484">
        <f t="shared" si="2"/>
        <v>16</v>
      </c>
      <c r="L20" s="485">
        <f t="shared" si="2"/>
        <v>373337</v>
      </c>
      <c r="M20" s="484">
        <f t="shared" si="2"/>
        <v>25</v>
      </c>
      <c r="N20" s="484">
        <f t="shared" si="2"/>
        <v>0</v>
      </c>
      <c r="O20" s="484">
        <f t="shared" si="2"/>
        <v>0</v>
      </c>
      <c r="P20" s="484">
        <f t="shared" si="2"/>
        <v>0</v>
      </c>
      <c r="Q20" s="484">
        <f t="shared" si="2"/>
        <v>0</v>
      </c>
      <c r="R20" s="484">
        <f t="shared" si="2"/>
        <v>0</v>
      </c>
      <c r="S20" s="484">
        <f t="shared" si="2"/>
        <v>0</v>
      </c>
      <c r="T20" s="484">
        <f t="shared" si="2"/>
        <v>0</v>
      </c>
      <c r="U20" s="484">
        <f t="shared" si="2"/>
        <v>0</v>
      </c>
      <c r="V20" s="484">
        <f t="shared" si="2"/>
        <v>25</v>
      </c>
      <c r="W20" s="485">
        <f t="shared" si="2"/>
        <v>462806</v>
      </c>
      <c r="AA20" s="68"/>
      <c r="AB20" s="68"/>
    </row>
    <row r="21" spans="1:28">
      <c r="A21" s="703" t="s">
        <v>13</v>
      </c>
      <c r="B21" s="13">
        <v>2</v>
      </c>
      <c r="C21" s="13"/>
      <c r="D21" s="13"/>
      <c r="E21" s="13"/>
      <c r="F21" s="13"/>
      <c r="G21" s="13"/>
      <c r="H21" s="13"/>
      <c r="I21" s="13"/>
      <c r="J21" s="13"/>
      <c r="K21" s="13">
        <f t="shared" ref="K21:K26" si="3">SUM(B21:J21)</f>
        <v>2</v>
      </c>
      <c r="L21" s="472">
        <v>48470</v>
      </c>
      <c r="M21" s="13">
        <v>6</v>
      </c>
      <c r="N21" s="13"/>
      <c r="O21" s="13"/>
      <c r="P21" s="13"/>
      <c r="Q21" s="13"/>
      <c r="R21" s="13"/>
      <c r="S21" s="13"/>
      <c r="T21" s="13"/>
      <c r="U21" s="13"/>
      <c r="V21" s="13">
        <f t="shared" ref="V21:V26" si="4">SUM(M21:U21)</f>
        <v>6</v>
      </c>
      <c r="W21" s="472">
        <v>100799</v>
      </c>
      <c r="AA21" s="68"/>
      <c r="AB21" s="68"/>
    </row>
    <row r="22" spans="1:28">
      <c r="A22" s="703" t="s">
        <v>6978</v>
      </c>
      <c r="B22" s="13">
        <v>1</v>
      </c>
      <c r="C22" s="13"/>
      <c r="D22" s="13"/>
      <c r="E22" s="13"/>
      <c r="F22" s="13"/>
      <c r="G22" s="13"/>
      <c r="H22" s="13"/>
      <c r="I22" s="13"/>
      <c r="J22" s="13"/>
      <c r="K22" s="13">
        <f t="shared" si="3"/>
        <v>1</v>
      </c>
      <c r="L22" s="472">
        <v>24057</v>
      </c>
      <c r="M22" s="13">
        <v>1</v>
      </c>
      <c r="N22" s="13"/>
      <c r="O22" s="13"/>
      <c r="P22" s="13"/>
      <c r="Q22" s="13"/>
      <c r="R22" s="13"/>
      <c r="S22" s="13"/>
      <c r="T22" s="13"/>
      <c r="U22" s="13"/>
      <c r="V22" s="13">
        <f t="shared" si="4"/>
        <v>1</v>
      </c>
      <c r="W22" s="472">
        <v>13320</v>
      </c>
      <c r="AA22" s="68"/>
      <c r="AB22" s="68"/>
    </row>
    <row r="23" spans="1:28">
      <c r="A23" s="703" t="s">
        <v>6977</v>
      </c>
      <c r="B23" s="13">
        <v>3</v>
      </c>
      <c r="C23" s="13"/>
      <c r="D23" s="13"/>
      <c r="E23" s="13"/>
      <c r="F23" s="13"/>
      <c r="G23" s="13"/>
      <c r="H23" s="13"/>
      <c r="I23" s="13"/>
      <c r="J23" s="13"/>
      <c r="K23" s="13">
        <f t="shared" si="3"/>
        <v>3</v>
      </c>
      <c r="L23" s="472">
        <v>69459</v>
      </c>
      <c r="M23" s="13">
        <v>7</v>
      </c>
      <c r="N23" s="13"/>
      <c r="O23" s="13"/>
      <c r="P23" s="13"/>
      <c r="Q23" s="13"/>
      <c r="R23" s="13"/>
      <c r="S23" s="13"/>
      <c r="T23" s="13"/>
      <c r="U23" s="13"/>
      <c r="V23" s="13">
        <f t="shared" si="4"/>
        <v>7</v>
      </c>
      <c r="W23" s="472">
        <v>121178</v>
      </c>
      <c r="X23" s="55"/>
      <c r="AA23" s="68"/>
      <c r="AB23" s="68"/>
    </row>
    <row r="24" spans="1:28">
      <c r="A24" s="703" t="s">
        <v>6976</v>
      </c>
      <c r="B24" s="13">
        <v>4</v>
      </c>
      <c r="C24" s="13"/>
      <c r="D24" s="13"/>
      <c r="E24" s="13"/>
      <c r="F24" s="13"/>
      <c r="G24" s="13"/>
      <c r="H24" s="13"/>
      <c r="I24" s="13"/>
      <c r="J24" s="13"/>
      <c r="K24" s="13">
        <f t="shared" si="3"/>
        <v>4</v>
      </c>
      <c r="L24" s="472">
        <v>94003</v>
      </c>
      <c r="M24" s="13">
        <v>5</v>
      </c>
      <c r="N24" s="13"/>
      <c r="O24" s="13"/>
      <c r="P24" s="13"/>
      <c r="Q24" s="13"/>
      <c r="R24" s="13"/>
      <c r="S24" s="13"/>
      <c r="T24" s="13"/>
      <c r="U24" s="13"/>
      <c r="V24" s="13">
        <f t="shared" si="4"/>
        <v>5</v>
      </c>
      <c r="W24" s="472">
        <v>93503</v>
      </c>
      <c r="AA24" s="68"/>
      <c r="AB24" s="68"/>
    </row>
    <row r="25" spans="1:28">
      <c r="A25" s="703" t="s">
        <v>14</v>
      </c>
      <c r="B25" s="13">
        <v>5</v>
      </c>
      <c r="C25" s="13"/>
      <c r="D25" s="13"/>
      <c r="E25" s="13"/>
      <c r="F25" s="13"/>
      <c r="G25" s="13"/>
      <c r="H25" s="13"/>
      <c r="I25" s="13"/>
      <c r="J25" s="13"/>
      <c r="K25" s="13">
        <f t="shared" si="3"/>
        <v>5</v>
      </c>
      <c r="L25" s="472">
        <v>115123</v>
      </c>
      <c r="M25" s="13">
        <v>5</v>
      </c>
      <c r="N25" s="13"/>
      <c r="O25" s="13"/>
      <c r="P25" s="13"/>
      <c r="Q25" s="13"/>
      <c r="R25" s="13"/>
      <c r="S25" s="13"/>
      <c r="T25" s="13"/>
      <c r="U25" s="13"/>
      <c r="V25" s="13">
        <f t="shared" si="4"/>
        <v>5</v>
      </c>
      <c r="W25" s="472">
        <v>112066</v>
      </c>
      <c r="AA25" s="68"/>
      <c r="AB25" s="68"/>
    </row>
    <row r="26" spans="1:28">
      <c r="A26" s="703" t="s">
        <v>6975</v>
      </c>
      <c r="B26" s="13">
        <v>1</v>
      </c>
      <c r="C26" s="13"/>
      <c r="D26" s="13"/>
      <c r="E26" s="13"/>
      <c r="F26" s="13"/>
      <c r="G26" s="13"/>
      <c r="H26" s="13"/>
      <c r="I26" s="13"/>
      <c r="J26" s="13"/>
      <c r="K26" s="13">
        <f t="shared" si="3"/>
        <v>1</v>
      </c>
      <c r="L26" s="472">
        <v>22225</v>
      </c>
      <c r="M26" s="13">
        <v>1</v>
      </c>
      <c r="N26" s="13"/>
      <c r="O26" s="13"/>
      <c r="P26" s="13"/>
      <c r="Q26" s="13"/>
      <c r="R26" s="13"/>
      <c r="S26" s="13"/>
      <c r="T26" s="13"/>
      <c r="U26" s="13"/>
      <c r="V26" s="13">
        <f t="shared" si="4"/>
        <v>1</v>
      </c>
      <c r="W26" s="472">
        <v>21940</v>
      </c>
      <c r="AA26" s="68"/>
      <c r="AB26" s="68"/>
    </row>
    <row r="27" spans="1:28">
      <c r="A27" s="705" t="s">
        <v>5</v>
      </c>
      <c r="B27" s="484">
        <f t="shared" ref="B27:W27" si="5">SUM(B28:B33)</f>
        <v>44</v>
      </c>
      <c r="C27" s="484">
        <f t="shared" si="5"/>
        <v>0</v>
      </c>
      <c r="D27" s="484">
        <f t="shared" si="5"/>
        <v>0</v>
      </c>
      <c r="E27" s="484">
        <f t="shared" si="5"/>
        <v>0</v>
      </c>
      <c r="F27" s="484">
        <f t="shared" si="5"/>
        <v>0</v>
      </c>
      <c r="G27" s="484">
        <f t="shared" si="5"/>
        <v>0</v>
      </c>
      <c r="H27" s="484">
        <f t="shared" si="5"/>
        <v>0</v>
      </c>
      <c r="I27" s="484">
        <f t="shared" si="5"/>
        <v>0</v>
      </c>
      <c r="J27" s="484">
        <f t="shared" si="5"/>
        <v>0</v>
      </c>
      <c r="K27" s="484">
        <f t="shared" si="5"/>
        <v>44</v>
      </c>
      <c r="L27" s="485">
        <f t="shared" si="5"/>
        <v>908680.37</v>
      </c>
      <c r="M27" s="484">
        <f t="shared" si="5"/>
        <v>49</v>
      </c>
      <c r="N27" s="484">
        <f t="shared" si="5"/>
        <v>0</v>
      </c>
      <c r="O27" s="484">
        <f t="shared" si="5"/>
        <v>0</v>
      </c>
      <c r="P27" s="484">
        <f t="shared" si="5"/>
        <v>0</v>
      </c>
      <c r="Q27" s="484">
        <f t="shared" si="5"/>
        <v>0</v>
      </c>
      <c r="R27" s="484">
        <f t="shared" si="5"/>
        <v>0</v>
      </c>
      <c r="S27" s="484">
        <f t="shared" si="5"/>
        <v>0</v>
      </c>
      <c r="T27" s="484">
        <f t="shared" si="5"/>
        <v>0</v>
      </c>
      <c r="U27" s="484">
        <f t="shared" si="5"/>
        <v>0</v>
      </c>
      <c r="V27" s="484">
        <f t="shared" si="5"/>
        <v>49</v>
      </c>
      <c r="W27" s="485">
        <f t="shared" si="5"/>
        <v>1013287</v>
      </c>
      <c r="AA27" s="68"/>
      <c r="AB27" s="68"/>
    </row>
    <row r="28" spans="1:28">
      <c r="A28" s="703" t="s">
        <v>15</v>
      </c>
      <c r="B28" s="13">
        <v>31</v>
      </c>
      <c r="C28" s="13"/>
      <c r="D28" s="13"/>
      <c r="E28" s="13"/>
      <c r="F28" s="13"/>
      <c r="G28" s="13"/>
      <c r="H28" s="13"/>
      <c r="I28" s="13"/>
      <c r="J28" s="13"/>
      <c r="K28" s="13">
        <f t="shared" ref="K28:K33" si="6">SUM(B28:J28)</f>
        <v>31</v>
      </c>
      <c r="L28" s="472">
        <v>642675.37</v>
      </c>
      <c r="M28" s="13">
        <v>32</v>
      </c>
      <c r="N28" s="13"/>
      <c r="O28" s="13"/>
      <c r="P28" s="13"/>
      <c r="Q28" s="13"/>
      <c r="R28" s="13"/>
      <c r="S28" s="13"/>
      <c r="T28" s="13"/>
      <c r="U28" s="13"/>
      <c r="V28" s="13">
        <f t="shared" ref="V28:V33" si="7">SUM(M28:U28)</f>
        <v>32</v>
      </c>
      <c r="W28" s="472">
        <v>682214</v>
      </c>
      <c r="X28" s="55"/>
      <c r="AA28" s="68"/>
      <c r="AB28" s="68"/>
    </row>
    <row r="29" spans="1:28">
      <c r="A29" s="703" t="s">
        <v>7056</v>
      </c>
      <c r="B29" s="13">
        <v>8</v>
      </c>
      <c r="C29" s="13"/>
      <c r="D29" s="13"/>
      <c r="E29" s="13"/>
      <c r="F29" s="13"/>
      <c r="G29" s="13"/>
      <c r="H29" s="13"/>
      <c r="I29" s="13"/>
      <c r="J29" s="13"/>
      <c r="K29" s="13">
        <f t="shared" si="6"/>
        <v>8</v>
      </c>
      <c r="L29" s="472">
        <v>163844</v>
      </c>
      <c r="M29" s="13">
        <v>9</v>
      </c>
      <c r="N29" s="13"/>
      <c r="O29" s="13"/>
      <c r="P29" s="13"/>
      <c r="Q29" s="13"/>
      <c r="R29" s="13"/>
      <c r="S29" s="13"/>
      <c r="T29" s="13"/>
      <c r="U29" s="13"/>
      <c r="V29" s="13">
        <f t="shared" si="7"/>
        <v>9</v>
      </c>
      <c r="W29" s="472">
        <v>184395</v>
      </c>
      <c r="AA29" s="68"/>
      <c r="AB29" s="68"/>
    </row>
    <row r="30" spans="1:28">
      <c r="A30" s="703" t="s">
        <v>6972</v>
      </c>
      <c r="B30" s="13">
        <v>3</v>
      </c>
      <c r="C30" s="13"/>
      <c r="D30" s="13"/>
      <c r="E30" s="13"/>
      <c r="F30" s="13"/>
      <c r="G30" s="13"/>
      <c r="H30" s="13"/>
      <c r="I30" s="13"/>
      <c r="J30" s="13"/>
      <c r="K30" s="13">
        <f t="shared" si="6"/>
        <v>3</v>
      </c>
      <c r="L30" s="472">
        <v>62146</v>
      </c>
      <c r="M30" s="13">
        <v>4</v>
      </c>
      <c r="N30" s="13"/>
      <c r="O30" s="13"/>
      <c r="P30" s="13"/>
      <c r="Q30" s="13"/>
      <c r="R30" s="13"/>
      <c r="S30" s="13"/>
      <c r="T30" s="13"/>
      <c r="U30" s="13"/>
      <c r="V30" s="13">
        <f t="shared" si="7"/>
        <v>4</v>
      </c>
      <c r="W30" s="472">
        <v>78462</v>
      </c>
      <c r="AA30" s="68"/>
      <c r="AB30" s="68"/>
    </row>
    <row r="31" spans="1:28">
      <c r="A31" s="703" t="s">
        <v>6971</v>
      </c>
      <c r="B31" s="13">
        <v>0</v>
      </c>
      <c r="C31" s="13"/>
      <c r="D31" s="13"/>
      <c r="E31" s="13"/>
      <c r="F31" s="13"/>
      <c r="G31" s="13"/>
      <c r="H31" s="13"/>
      <c r="I31" s="13"/>
      <c r="J31" s="13"/>
      <c r="K31" s="13">
        <f t="shared" si="6"/>
        <v>0</v>
      </c>
      <c r="L31" s="472">
        <v>0</v>
      </c>
      <c r="M31" s="13">
        <v>1</v>
      </c>
      <c r="N31" s="13"/>
      <c r="O31" s="13"/>
      <c r="P31" s="13"/>
      <c r="Q31" s="13"/>
      <c r="R31" s="13"/>
      <c r="S31" s="13"/>
      <c r="T31" s="13"/>
      <c r="U31" s="13"/>
      <c r="V31" s="13">
        <f t="shared" si="7"/>
        <v>1</v>
      </c>
      <c r="W31" s="472">
        <v>12840</v>
      </c>
      <c r="AA31" s="68"/>
      <c r="AB31" s="68"/>
    </row>
    <row r="32" spans="1:28">
      <c r="A32" s="703" t="s">
        <v>16</v>
      </c>
      <c r="B32" s="13">
        <v>1</v>
      </c>
      <c r="C32" s="13"/>
      <c r="D32" s="13"/>
      <c r="E32" s="13"/>
      <c r="F32" s="13"/>
      <c r="G32" s="13"/>
      <c r="H32" s="13"/>
      <c r="I32" s="13"/>
      <c r="J32" s="13"/>
      <c r="K32" s="13">
        <f t="shared" si="6"/>
        <v>1</v>
      </c>
      <c r="L32" s="472">
        <v>20537</v>
      </c>
      <c r="M32" s="13">
        <v>2</v>
      </c>
      <c r="N32" s="13"/>
      <c r="O32" s="13"/>
      <c r="P32" s="13"/>
      <c r="Q32" s="13"/>
      <c r="R32" s="13"/>
      <c r="S32" s="13"/>
      <c r="T32" s="13"/>
      <c r="U32" s="13"/>
      <c r="V32" s="13">
        <f t="shared" si="7"/>
        <v>2</v>
      </c>
      <c r="W32" s="472">
        <v>34413</v>
      </c>
      <c r="AA32" s="68"/>
      <c r="AB32" s="68"/>
    </row>
    <row r="33" spans="1:28">
      <c r="A33" s="703" t="s">
        <v>6970</v>
      </c>
      <c r="B33" s="13">
        <v>1</v>
      </c>
      <c r="C33" s="13"/>
      <c r="D33" s="13"/>
      <c r="E33" s="13"/>
      <c r="F33" s="13"/>
      <c r="G33" s="13"/>
      <c r="H33" s="13"/>
      <c r="I33" s="13"/>
      <c r="J33" s="13"/>
      <c r="K33" s="13">
        <f t="shared" si="6"/>
        <v>1</v>
      </c>
      <c r="L33" s="472">
        <v>19478</v>
      </c>
      <c r="M33" s="13">
        <v>1</v>
      </c>
      <c r="N33" s="13"/>
      <c r="O33" s="13"/>
      <c r="P33" s="13"/>
      <c r="Q33" s="13"/>
      <c r="R33" s="13"/>
      <c r="S33" s="13"/>
      <c r="T33" s="13"/>
      <c r="U33" s="13"/>
      <c r="V33" s="13">
        <f t="shared" si="7"/>
        <v>1</v>
      </c>
      <c r="W33" s="472">
        <v>20963</v>
      </c>
      <c r="AA33" s="68"/>
      <c r="AB33" s="68"/>
    </row>
    <row r="34" spans="1:28">
      <c r="A34" s="705" t="s">
        <v>6</v>
      </c>
      <c r="B34" s="484">
        <f t="shared" ref="B34:W34" si="8">SUM(B35:B40)</f>
        <v>3</v>
      </c>
      <c r="C34" s="484">
        <f t="shared" si="8"/>
        <v>0</v>
      </c>
      <c r="D34" s="484">
        <f t="shared" si="8"/>
        <v>0</v>
      </c>
      <c r="E34" s="484">
        <f t="shared" si="8"/>
        <v>0</v>
      </c>
      <c r="F34" s="484">
        <f t="shared" si="8"/>
        <v>0</v>
      </c>
      <c r="G34" s="484">
        <f t="shared" si="8"/>
        <v>0</v>
      </c>
      <c r="H34" s="484">
        <f t="shared" si="8"/>
        <v>0</v>
      </c>
      <c r="I34" s="484">
        <f t="shared" si="8"/>
        <v>0</v>
      </c>
      <c r="J34" s="484">
        <f t="shared" si="8"/>
        <v>0</v>
      </c>
      <c r="K34" s="484">
        <f t="shared" si="8"/>
        <v>3</v>
      </c>
      <c r="L34" s="485">
        <f t="shared" si="8"/>
        <v>61669</v>
      </c>
      <c r="M34" s="484">
        <f t="shared" si="8"/>
        <v>4</v>
      </c>
      <c r="N34" s="484">
        <f t="shared" si="8"/>
        <v>0</v>
      </c>
      <c r="O34" s="484">
        <f t="shared" si="8"/>
        <v>0</v>
      </c>
      <c r="P34" s="484">
        <f t="shared" si="8"/>
        <v>0</v>
      </c>
      <c r="Q34" s="484">
        <f t="shared" si="8"/>
        <v>0</v>
      </c>
      <c r="R34" s="484">
        <f t="shared" si="8"/>
        <v>0</v>
      </c>
      <c r="S34" s="484">
        <f t="shared" si="8"/>
        <v>0</v>
      </c>
      <c r="T34" s="484">
        <f t="shared" si="8"/>
        <v>0</v>
      </c>
      <c r="U34" s="484">
        <f t="shared" si="8"/>
        <v>0</v>
      </c>
      <c r="V34" s="484">
        <f t="shared" si="8"/>
        <v>4</v>
      </c>
      <c r="W34" s="485">
        <f t="shared" si="8"/>
        <v>77616</v>
      </c>
      <c r="AA34" s="68"/>
      <c r="AB34" s="68"/>
    </row>
    <row r="35" spans="1:28">
      <c r="A35" s="703" t="s">
        <v>17</v>
      </c>
      <c r="B35" s="13">
        <v>1</v>
      </c>
      <c r="C35" s="13"/>
      <c r="D35" s="13"/>
      <c r="E35" s="13"/>
      <c r="F35" s="13"/>
      <c r="G35" s="13"/>
      <c r="H35" s="13"/>
      <c r="I35" s="13"/>
      <c r="J35" s="13"/>
      <c r="K35" s="13">
        <f t="shared" ref="K35:K40" si="9">SUM(B35:J35)</f>
        <v>1</v>
      </c>
      <c r="L35" s="472">
        <v>20894</v>
      </c>
      <c r="M35" s="13">
        <v>1</v>
      </c>
      <c r="N35" s="13"/>
      <c r="O35" s="13"/>
      <c r="P35" s="13"/>
      <c r="Q35" s="13"/>
      <c r="R35" s="13"/>
      <c r="S35" s="13"/>
      <c r="T35" s="13"/>
      <c r="U35" s="13"/>
      <c r="V35" s="13">
        <f t="shared" ref="V35:V40" si="10">SUM(M35:U35)</f>
        <v>1</v>
      </c>
      <c r="W35" s="472">
        <v>21929</v>
      </c>
      <c r="AA35" s="68"/>
      <c r="AB35" s="68"/>
    </row>
    <row r="36" spans="1:28">
      <c r="A36" s="703" t="s">
        <v>6969</v>
      </c>
      <c r="B36" s="13">
        <v>1</v>
      </c>
      <c r="C36" s="13"/>
      <c r="D36" s="13"/>
      <c r="E36" s="13"/>
      <c r="F36" s="13"/>
      <c r="G36" s="13"/>
      <c r="H36" s="13"/>
      <c r="I36" s="13"/>
      <c r="J36" s="13"/>
      <c r="K36" s="13">
        <f t="shared" si="9"/>
        <v>1</v>
      </c>
      <c r="L36" s="472">
        <v>20812</v>
      </c>
      <c r="M36" s="13">
        <v>1</v>
      </c>
      <c r="N36" s="13"/>
      <c r="O36" s="13"/>
      <c r="P36" s="13"/>
      <c r="Q36" s="13"/>
      <c r="R36" s="13"/>
      <c r="S36" s="13"/>
      <c r="T36" s="13"/>
      <c r="U36" s="13"/>
      <c r="V36" s="13">
        <f t="shared" si="10"/>
        <v>1</v>
      </c>
      <c r="W36" s="472">
        <v>21848</v>
      </c>
      <c r="AA36" s="68"/>
      <c r="AB36" s="68"/>
    </row>
    <row r="37" spans="1:28" hidden="1">
      <c r="A37" s="703" t="s">
        <v>6968</v>
      </c>
      <c r="B37" s="13"/>
      <c r="C37" s="13"/>
      <c r="D37" s="13"/>
      <c r="E37" s="13"/>
      <c r="F37" s="13"/>
      <c r="G37" s="13"/>
      <c r="H37" s="13"/>
      <c r="I37" s="13"/>
      <c r="J37" s="13"/>
      <c r="K37" s="13">
        <f t="shared" si="9"/>
        <v>0</v>
      </c>
      <c r="L37" s="472">
        <v>0</v>
      </c>
      <c r="M37" s="13"/>
      <c r="N37" s="13"/>
      <c r="O37" s="13"/>
      <c r="P37" s="13"/>
      <c r="Q37" s="13"/>
      <c r="R37" s="13"/>
      <c r="S37" s="13"/>
      <c r="T37" s="13"/>
      <c r="U37" s="13"/>
      <c r="V37" s="13">
        <f t="shared" si="10"/>
        <v>0</v>
      </c>
      <c r="W37" s="472">
        <v>0</v>
      </c>
      <c r="AA37" s="68"/>
      <c r="AB37" s="68"/>
    </row>
    <row r="38" spans="1:28" hidden="1">
      <c r="A38" s="703" t="s">
        <v>6967</v>
      </c>
      <c r="B38" s="13"/>
      <c r="C38" s="13"/>
      <c r="D38" s="13"/>
      <c r="E38" s="13"/>
      <c r="F38" s="13"/>
      <c r="G38" s="13"/>
      <c r="H38" s="13"/>
      <c r="I38" s="13"/>
      <c r="J38" s="13"/>
      <c r="K38" s="13">
        <f t="shared" si="9"/>
        <v>0</v>
      </c>
      <c r="L38" s="472">
        <v>0</v>
      </c>
      <c r="M38" s="13"/>
      <c r="N38" s="13"/>
      <c r="O38" s="13"/>
      <c r="P38" s="13"/>
      <c r="Q38" s="13"/>
      <c r="R38" s="13"/>
      <c r="S38" s="13"/>
      <c r="T38" s="13"/>
      <c r="U38" s="13"/>
      <c r="V38" s="13">
        <f t="shared" si="10"/>
        <v>0</v>
      </c>
      <c r="W38" s="472">
        <v>0</v>
      </c>
      <c r="AA38" s="68"/>
      <c r="AB38" s="68"/>
    </row>
    <row r="39" spans="1:28" ht="13.5" thickBot="1">
      <c r="A39" s="703" t="s">
        <v>18</v>
      </c>
      <c r="B39" s="13">
        <v>1</v>
      </c>
      <c r="C39" s="13"/>
      <c r="D39" s="13"/>
      <c r="E39" s="13"/>
      <c r="F39" s="13"/>
      <c r="G39" s="13"/>
      <c r="H39" s="13"/>
      <c r="I39" s="13"/>
      <c r="J39" s="13"/>
      <c r="K39" s="13">
        <f t="shared" si="9"/>
        <v>1</v>
      </c>
      <c r="L39" s="472">
        <v>19963</v>
      </c>
      <c r="M39" s="13">
        <v>2</v>
      </c>
      <c r="N39" s="13"/>
      <c r="O39" s="13"/>
      <c r="P39" s="13"/>
      <c r="Q39" s="13"/>
      <c r="R39" s="13"/>
      <c r="S39" s="13"/>
      <c r="T39" s="13"/>
      <c r="U39" s="13"/>
      <c r="V39" s="13">
        <f t="shared" si="10"/>
        <v>2</v>
      </c>
      <c r="W39" s="472">
        <v>33839</v>
      </c>
      <c r="AA39" s="68"/>
      <c r="AB39" s="68"/>
    </row>
    <row r="40" spans="1:28" hidden="1">
      <c r="A40" s="703" t="s">
        <v>6966</v>
      </c>
      <c r="B40" s="13"/>
      <c r="C40" s="13"/>
      <c r="D40" s="13"/>
      <c r="E40" s="13"/>
      <c r="F40" s="13"/>
      <c r="G40" s="13"/>
      <c r="H40" s="13"/>
      <c r="I40" s="13"/>
      <c r="J40" s="13"/>
      <c r="K40" s="13">
        <f t="shared" si="9"/>
        <v>0</v>
      </c>
      <c r="L40" s="472"/>
      <c r="M40" s="13"/>
      <c r="N40" s="13"/>
      <c r="O40" s="13"/>
      <c r="P40" s="13"/>
      <c r="Q40" s="13"/>
      <c r="R40" s="13"/>
      <c r="S40" s="13"/>
      <c r="T40" s="13"/>
      <c r="U40" s="13"/>
      <c r="V40" s="13">
        <f t="shared" si="10"/>
        <v>0</v>
      </c>
      <c r="W40" s="472"/>
      <c r="AA40" s="68"/>
      <c r="AB40" s="68"/>
    </row>
    <row r="41" spans="1:28" hidden="1">
      <c r="A41" s="703" t="s">
        <v>7055</v>
      </c>
      <c r="B41" s="13"/>
      <c r="C41" s="13"/>
      <c r="D41" s="13"/>
      <c r="E41" s="13"/>
      <c r="F41" s="13"/>
      <c r="G41" s="13"/>
      <c r="H41" s="13"/>
      <c r="I41" s="13"/>
      <c r="J41" s="13"/>
      <c r="K41" s="13"/>
      <c r="L41" s="16"/>
      <c r="M41" s="13"/>
      <c r="N41" s="13"/>
      <c r="O41" s="13"/>
      <c r="P41" s="13"/>
      <c r="Q41" s="13"/>
      <c r="R41" s="13"/>
      <c r="S41" s="13"/>
      <c r="T41" s="13"/>
      <c r="U41" s="13"/>
      <c r="V41" s="13"/>
      <c r="W41" s="16"/>
      <c r="AA41" s="68"/>
      <c r="AB41" s="68"/>
    </row>
    <row r="42" spans="1:28" ht="24.75" hidden="1" thickBot="1">
      <c r="A42" s="708" t="s">
        <v>6909</v>
      </c>
      <c r="B42" s="482"/>
      <c r="C42" s="482"/>
      <c r="D42" s="482">
        <f t="shared" ref="D42:W42" si="11">SUM(D43:D45)</f>
        <v>0</v>
      </c>
      <c r="E42" s="482">
        <f t="shared" si="11"/>
        <v>0</v>
      </c>
      <c r="F42" s="482">
        <f t="shared" si="11"/>
        <v>0</v>
      </c>
      <c r="G42" s="482">
        <f t="shared" si="11"/>
        <v>0</v>
      </c>
      <c r="H42" s="482">
        <f t="shared" si="11"/>
        <v>0</v>
      </c>
      <c r="I42" s="482">
        <f t="shared" si="11"/>
        <v>0</v>
      </c>
      <c r="J42" s="482">
        <f t="shared" si="11"/>
        <v>0</v>
      </c>
      <c r="K42" s="482">
        <f t="shared" si="11"/>
        <v>0</v>
      </c>
      <c r="L42" s="474">
        <f t="shared" si="11"/>
        <v>0</v>
      </c>
      <c r="M42" s="482">
        <f t="shared" si="11"/>
        <v>0</v>
      </c>
      <c r="N42" s="482">
        <f t="shared" si="11"/>
        <v>0</v>
      </c>
      <c r="O42" s="482">
        <f t="shared" si="11"/>
        <v>0</v>
      </c>
      <c r="P42" s="482">
        <f t="shared" si="11"/>
        <v>0</v>
      </c>
      <c r="Q42" s="482">
        <f t="shared" si="11"/>
        <v>0</v>
      </c>
      <c r="R42" s="482">
        <f t="shared" si="11"/>
        <v>0</v>
      </c>
      <c r="S42" s="482">
        <f t="shared" si="11"/>
        <v>0</v>
      </c>
      <c r="T42" s="482">
        <f t="shared" si="11"/>
        <v>0</v>
      </c>
      <c r="U42" s="482">
        <f t="shared" si="11"/>
        <v>0</v>
      </c>
      <c r="V42" s="482">
        <f t="shared" si="11"/>
        <v>0</v>
      </c>
      <c r="W42" s="474">
        <f t="shared" si="11"/>
        <v>0</v>
      </c>
      <c r="Y42" s="490"/>
      <c r="AA42" s="68"/>
      <c r="AB42" s="68"/>
    </row>
    <row r="43" spans="1:28" ht="24" hidden="1">
      <c r="A43" s="703" t="s">
        <v>6908</v>
      </c>
      <c r="B43" s="13"/>
      <c r="C43" s="13"/>
      <c r="D43" s="13"/>
      <c r="E43" s="13"/>
      <c r="F43" s="13"/>
      <c r="G43" s="13"/>
      <c r="H43" s="13"/>
      <c r="I43" s="13"/>
      <c r="J43" s="13"/>
      <c r="K43" s="13">
        <f>SUM(B43:J43)</f>
        <v>0</v>
      </c>
      <c r="L43" s="472"/>
      <c r="M43" s="13"/>
      <c r="N43" s="13"/>
      <c r="O43" s="13"/>
      <c r="P43" s="13"/>
      <c r="Q43" s="13"/>
      <c r="R43" s="13"/>
      <c r="S43" s="13"/>
      <c r="T43" s="13"/>
      <c r="U43" s="13"/>
      <c r="V43" s="13">
        <f>SUM(M43:U43)</f>
        <v>0</v>
      </c>
      <c r="W43" s="472"/>
      <c r="Y43" s="489"/>
      <c r="AA43" s="68"/>
      <c r="AB43" s="68"/>
    </row>
    <row r="44" spans="1:28" ht="24" hidden="1">
      <c r="A44" s="703" t="s">
        <v>6907</v>
      </c>
      <c r="B44" s="13"/>
      <c r="C44" s="13"/>
      <c r="D44" s="13"/>
      <c r="E44" s="13"/>
      <c r="F44" s="13"/>
      <c r="G44" s="13"/>
      <c r="H44" s="13"/>
      <c r="I44" s="13"/>
      <c r="J44" s="13"/>
      <c r="K44" s="13">
        <f>SUM(B44:J44)</f>
        <v>0</v>
      </c>
      <c r="L44" s="472"/>
      <c r="M44" s="13"/>
      <c r="N44" s="13"/>
      <c r="O44" s="13"/>
      <c r="P44" s="13"/>
      <c r="Q44" s="13"/>
      <c r="R44" s="13"/>
      <c r="S44" s="13"/>
      <c r="T44" s="13"/>
      <c r="U44" s="13"/>
      <c r="V44" s="13">
        <f>SUM(M44:U44)</f>
        <v>0</v>
      </c>
      <c r="W44" s="472"/>
      <c r="Y44" s="489"/>
      <c r="AA44" s="68"/>
      <c r="AB44" s="68"/>
    </row>
    <row r="45" spans="1:28" ht="24" hidden="1">
      <c r="A45" s="703" t="s">
        <v>6906</v>
      </c>
      <c r="B45" s="13"/>
      <c r="C45" s="13"/>
      <c r="D45" s="13"/>
      <c r="E45" s="13"/>
      <c r="F45" s="13"/>
      <c r="G45" s="13"/>
      <c r="H45" s="13"/>
      <c r="I45" s="13"/>
      <c r="J45" s="13"/>
      <c r="K45" s="13">
        <f>SUM(B45:J45)</f>
        <v>0</v>
      </c>
      <c r="L45" s="472"/>
      <c r="M45" s="13"/>
      <c r="N45" s="13"/>
      <c r="O45" s="13"/>
      <c r="P45" s="13"/>
      <c r="Q45" s="13"/>
      <c r="R45" s="13"/>
      <c r="S45" s="13"/>
      <c r="T45" s="13"/>
      <c r="U45" s="13"/>
      <c r="V45" s="13">
        <f>SUM(M45:U45)</f>
        <v>0</v>
      </c>
      <c r="W45" s="472"/>
      <c r="Y45" s="489"/>
      <c r="AA45" s="68"/>
      <c r="AB45" s="68"/>
    </row>
    <row r="46" spans="1:28" ht="13.5" hidden="1" thickBot="1">
      <c r="A46" s="703"/>
      <c r="B46" s="13"/>
      <c r="C46" s="13"/>
      <c r="D46" s="13"/>
      <c r="E46" s="13"/>
      <c r="F46" s="13"/>
      <c r="G46" s="13"/>
      <c r="H46" s="13"/>
      <c r="I46" s="13"/>
      <c r="J46" s="13"/>
      <c r="K46" s="13"/>
      <c r="L46" s="472"/>
      <c r="M46" s="13"/>
      <c r="N46" s="13"/>
      <c r="O46" s="13"/>
      <c r="P46" s="13"/>
      <c r="Q46" s="13"/>
      <c r="R46" s="13"/>
      <c r="S46" s="13"/>
      <c r="T46" s="13"/>
      <c r="U46" s="13"/>
      <c r="V46" s="13"/>
      <c r="W46" s="472"/>
      <c r="Z46" s="531"/>
      <c r="AA46" s="68"/>
      <c r="AB46" s="68"/>
    </row>
    <row r="47" spans="1:28" ht="24" hidden="1">
      <c r="A47" s="704" t="s">
        <v>6905</v>
      </c>
      <c r="B47" s="477"/>
      <c r="C47" s="477"/>
      <c r="D47" s="477"/>
      <c r="E47" s="477"/>
      <c r="F47" s="477"/>
      <c r="G47" s="477"/>
      <c r="H47" s="477"/>
      <c r="I47" s="477"/>
      <c r="J47" s="477"/>
      <c r="K47" s="477"/>
      <c r="L47" s="488"/>
      <c r="M47" s="477"/>
      <c r="N47" s="477"/>
      <c r="O47" s="477"/>
      <c r="P47" s="477"/>
      <c r="Q47" s="477"/>
      <c r="R47" s="477"/>
      <c r="S47" s="477"/>
      <c r="T47" s="477"/>
      <c r="U47" s="477"/>
      <c r="V47" s="477"/>
      <c r="W47" s="487"/>
      <c r="AA47" s="68"/>
      <c r="AB47" s="68"/>
    </row>
    <row r="48" spans="1:28" hidden="1">
      <c r="A48" s="703" t="s">
        <v>6904</v>
      </c>
      <c r="B48" s="13"/>
      <c r="C48" s="13"/>
      <c r="D48" s="13"/>
      <c r="E48" s="13"/>
      <c r="F48" s="13"/>
      <c r="G48" s="13"/>
      <c r="H48" s="13"/>
      <c r="I48" s="13"/>
      <c r="J48" s="13"/>
      <c r="K48" s="13"/>
      <c r="L48" s="472"/>
      <c r="M48" s="13"/>
      <c r="N48" s="13"/>
      <c r="O48" s="13"/>
      <c r="P48" s="13"/>
      <c r="Q48" s="13"/>
      <c r="R48" s="13"/>
      <c r="S48" s="13"/>
      <c r="T48" s="13"/>
      <c r="U48" s="13"/>
      <c r="V48" s="13"/>
      <c r="W48" s="16"/>
      <c r="AA48" s="68"/>
      <c r="AB48" s="68"/>
    </row>
    <row r="49" spans="1:28" hidden="1">
      <c r="A49" s="703"/>
      <c r="B49" s="13"/>
      <c r="C49" s="13"/>
      <c r="D49" s="13"/>
      <c r="E49" s="13"/>
      <c r="F49" s="13"/>
      <c r="G49" s="13"/>
      <c r="H49" s="13"/>
      <c r="I49" s="13"/>
      <c r="J49" s="13"/>
      <c r="K49" s="13"/>
      <c r="L49" s="472"/>
      <c r="M49" s="13"/>
      <c r="N49" s="13"/>
      <c r="O49" s="13"/>
      <c r="P49" s="13"/>
      <c r="Q49" s="13"/>
      <c r="R49" s="13"/>
      <c r="S49" s="13"/>
      <c r="T49" s="13"/>
      <c r="U49" s="13"/>
      <c r="V49" s="13"/>
      <c r="W49" s="16"/>
      <c r="AA49" s="68"/>
      <c r="AB49" s="68"/>
    </row>
    <row r="50" spans="1:28" hidden="1">
      <c r="A50" s="707" t="s">
        <v>6903</v>
      </c>
      <c r="B50" s="482"/>
      <c r="C50" s="482"/>
      <c r="D50" s="482">
        <f>SUM(D51:D52)</f>
        <v>0</v>
      </c>
      <c r="E50" s="482">
        <f>SUM(E51:E53)</f>
        <v>0</v>
      </c>
      <c r="F50" s="482">
        <f>SUM(F51:F53)</f>
        <v>0</v>
      </c>
      <c r="G50" s="482">
        <f>SUM(G51:G53)</f>
        <v>0</v>
      </c>
      <c r="H50" s="482">
        <f>SUM(H51:H52)</f>
        <v>0</v>
      </c>
      <c r="I50" s="482">
        <f>SUM(I51:I52)</f>
        <v>0</v>
      </c>
      <c r="J50" s="482">
        <f>SUM(J51:J52)</f>
        <v>0</v>
      </c>
      <c r="K50" s="482">
        <f>SUM(K51:K52)</f>
        <v>0</v>
      </c>
      <c r="L50" s="474">
        <f>SUM(L51:L52)</f>
        <v>0</v>
      </c>
      <c r="M50" s="482"/>
      <c r="N50" s="482"/>
      <c r="O50" s="482">
        <f>SUM(O51:O52)</f>
        <v>0</v>
      </c>
      <c r="P50" s="482">
        <f>SUM(P51:P53)</f>
        <v>0</v>
      </c>
      <c r="Q50" s="482">
        <f>SUM(Q51:Q53)</f>
        <v>0</v>
      </c>
      <c r="R50" s="482">
        <f>SUM(R51:R53)</f>
        <v>0</v>
      </c>
      <c r="S50" s="482">
        <f>SUM(S51:S52)</f>
        <v>0</v>
      </c>
      <c r="T50" s="482">
        <f>SUM(T51:T52)</f>
        <v>0</v>
      </c>
      <c r="U50" s="482">
        <f>SUM(U51:U52)</f>
        <v>0</v>
      </c>
      <c r="V50" s="482">
        <f>SUM(V51:V52)</f>
        <v>0</v>
      </c>
      <c r="W50" s="474">
        <f>SUM(W51:W52)</f>
        <v>0</v>
      </c>
      <c r="AA50" s="68"/>
      <c r="AB50" s="68"/>
    </row>
    <row r="51" spans="1:28" hidden="1">
      <c r="A51" s="703" t="s">
        <v>6902</v>
      </c>
      <c r="B51" s="13"/>
      <c r="C51" s="13"/>
      <c r="D51" s="13"/>
      <c r="E51" s="13"/>
      <c r="F51" s="13"/>
      <c r="G51" s="13"/>
      <c r="H51" s="13"/>
      <c r="I51" s="13"/>
      <c r="J51" s="13"/>
      <c r="K51" s="13">
        <f>SUM(B51:J51)</f>
        <v>0</v>
      </c>
      <c r="L51" s="472"/>
      <c r="M51" s="13"/>
      <c r="N51" s="13"/>
      <c r="O51" s="13"/>
      <c r="P51" s="13"/>
      <c r="Q51" s="13"/>
      <c r="R51" s="13"/>
      <c r="S51" s="13"/>
      <c r="T51" s="13"/>
      <c r="U51" s="13"/>
      <c r="V51" s="13"/>
      <c r="W51" s="16"/>
      <c r="AA51" s="68"/>
      <c r="AB51" s="68"/>
    </row>
    <row r="52" spans="1:28" hidden="1">
      <c r="A52" s="703"/>
      <c r="B52" s="13"/>
      <c r="C52" s="13"/>
      <c r="D52" s="13"/>
      <c r="E52" s="13"/>
      <c r="F52" s="13"/>
      <c r="G52" s="13"/>
      <c r="H52" s="13"/>
      <c r="I52" s="13"/>
      <c r="J52" s="13"/>
      <c r="K52" s="13"/>
      <c r="L52" s="472"/>
      <c r="M52" s="13"/>
      <c r="N52" s="13"/>
      <c r="O52" s="13"/>
      <c r="P52" s="13"/>
      <c r="Q52" s="13"/>
      <c r="R52" s="13"/>
      <c r="S52" s="13"/>
      <c r="T52" s="13"/>
      <c r="U52" s="13"/>
      <c r="V52" s="13"/>
      <c r="W52" s="16"/>
      <c r="AA52" s="68"/>
      <c r="AB52" s="68"/>
    </row>
    <row r="53" spans="1:28" hidden="1">
      <c r="A53" s="707" t="s">
        <v>6901</v>
      </c>
      <c r="B53" s="493"/>
      <c r="C53" s="493"/>
      <c r="D53" s="493"/>
      <c r="E53" s="493"/>
      <c r="F53" s="493"/>
      <c r="G53" s="493"/>
      <c r="H53" s="493"/>
      <c r="I53" s="493"/>
      <c r="J53" s="493"/>
      <c r="K53" s="493"/>
      <c r="L53" s="492"/>
      <c r="M53" s="493"/>
      <c r="N53" s="493"/>
      <c r="O53" s="493"/>
      <c r="P53" s="493"/>
      <c r="Q53" s="493"/>
      <c r="R53" s="493"/>
      <c r="S53" s="493"/>
      <c r="T53" s="493"/>
      <c r="U53" s="493"/>
      <c r="V53" s="493"/>
      <c r="W53" s="530">
        <f>W54</f>
        <v>0</v>
      </c>
      <c r="AA53" s="68"/>
      <c r="AB53" s="68"/>
    </row>
    <row r="54" spans="1:28" hidden="1">
      <c r="A54" s="703" t="s">
        <v>6901</v>
      </c>
      <c r="B54" s="13"/>
      <c r="C54" s="13"/>
      <c r="D54" s="13"/>
      <c r="E54" s="13"/>
      <c r="F54" s="13"/>
      <c r="G54" s="13"/>
      <c r="H54" s="13"/>
      <c r="I54" s="13"/>
      <c r="J54" s="13"/>
      <c r="K54" s="13"/>
      <c r="L54" s="472"/>
      <c r="M54" s="13"/>
      <c r="N54" s="13"/>
      <c r="O54" s="13"/>
      <c r="P54" s="13"/>
      <c r="Q54" s="13"/>
      <c r="R54" s="13"/>
      <c r="S54" s="13"/>
      <c r="T54" s="13"/>
      <c r="U54" s="13"/>
      <c r="V54" s="13"/>
      <c r="W54" s="16"/>
      <c r="AA54" s="68"/>
      <c r="AB54" s="68"/>
    </row>
    <row r="55" spans="1:28" ht="13.5" hidden="1" thickBot="1">
      <c r="A55" s="703"/>
      <c r="B55" s="13"/>
      <c r="C55" s="13"/>
      <c r="D55" s="13"/>
      <c r="E55" s="13"/>
      <c r="F55" s="13"/>
      <c r="G55" s="13"/>
      <c r="H55" s="13"/>
      <c r="I55" s="13"/>
      <c r="J55" s="13"/>
      <c r="K55" s="13"/>
      <c r="L55" s="472"/>
      <c r="M55" s="13"/>
      <c r="N55" s="13"/>
      <c r="O55" s="13"/>
      <c r="P55" s="13"/>
      <c r="Q55" s="13"/>
      <c r="R55" s="13"/>
      <c r="S55" s="13"/>
      <c r="T55" s="13"/>
      <c r="U55" s="13"/>
      <c r="V55" s="13"/>
      <c r="W55" s="16"/>
      <c r="AA55" s="68"/>
      <c r="AB55" s="68"/>
    </row>
    <row r="56" spans="1:28" ht="13.5" thickBot="1">
      <c r="A56" s="17" t="s">
        <v>23</v>
      </c>
      <c r="B56" s="471">
        <f>B10+B42+B53</f>
        <v>70</v>
      </c>
      <c r="C56" s="470">
        <f>C10+C42</f>
        <v>0</v>
      </c>
      <c r="D56" s="470">
        <f>D10+D42</f>
        <v>0</v>
      </c>
      <c r="E56" s="470">
        <f>E10+E42</f>
        <v>0</v>
      </c>
      <c r="F56" s="470">
        <f>F10+F42</f>
        <v>0</v>
      </c>
      <c r="G56" s="470">
        <f>G10+G42</f>
        <v>0</v>
      </c>
      <c r="H56" s="470">
        <f>H10+H42+H50</f>
        <v>0</v>
      </c>
      <c r="I56" s="470">
        <f>I10+I42</f>
        <v>0</v>
      </c>
      <c r="J56" s="470">
        <f>J10+J42</f>
        <v>0</v>
      </c>
      <c r="K56" s="470">
        <f>K10+K42+K50</f>
        <v>70</v>
      </c>
      <c r="L56" s="470">
        <f>L10+L42+L50</f>
        <v>1542791.37</v>
      </c>
      <c r="M56" s="471">
        <f>M10+M42+M53</f>
        <v>85</v>
      </c>
      <c r="N56" s="470">
        <f t="shared" ref="N56:W56" si="12">N10+N42</f>
        <v>0</v>
      </c>
      <c r="O56" s="470">
        <f t="shared" si="12"/>
        <v>0</v>
      </c>
      <c r="P56" s="470">
        <f t="shared" si="12"/>
        <v>0</v>
      </c>
      <c r="Q56" s="470">
        <f t="shared" si="12"/>
        <v>0</v>
      </c>
      <c r="R56" s="470">
        <f t="shared" si="12"/>
        <v>0</v>
      </c>
      <c r="S56" s="470">
        <f t="shared" si="12"/>
        <v>0</v>
      </c>
      <c r="T56" s="470">
        <f t="shared" si="12"/>
        <v>0</v>
      </c>
      <c r="U56" s="470">
        <f t="shared" si="12"/>
        <v>0</v>
      </c>
      <c r="V56" s="470">
        <f t="shared" si="12"/>
        <v>85</v>
      </c>
      <c r="W56" s="469">
        <f t="shared" si="12"/>
        <v>1743828</v>
      </c>
      <c r="X56" s="55"/>
      <c r="AA56" s="68"/>
      <c r="AB56" s="68"/>
    </row>
    <row r="57" spans="1:28">
      <c r="A57" s="1" t="s">
        <v>273</v>
      </c>
      <c r="B57" s="2"/>
      <c r="C57" s="2"/>
      <c r="D57" s="2"/>
      <c r="E57" s="2"/>
      <c r="F57" s="2"/>
      <c r="G57" s="2"/>
      <c r="H57" s="2"/>
      <c r="I57" s="2"/>
      <c r="J57" s="2"/>
      <c r="K57" s="2"/>
      <c r="L57" s="2"/>
      <c r="M57" s="2"/>
      <c r="N57" s="2"/>
      <c r="O57" s="2"/>
      <c r="P57" s="6"/>
      <c r="Q57" s="52"/>
      <c r="R57"/>
      <c r="S57"/>
      <c r="T57" s="68"/>
      <c r="U57" s="68"/>
      <c r="V57" s="68"/>
      <c r="W57" s="68"/>
      <c r="X57" s="68"/>
      <c r="Y57" s="68"/>
      <c r="Z57" s="68"/>
      <c r="AA57" s="68"/>
      <c r="AB57" s="68"/>
    </row>
    <row r="58" spans="1:28">
      <c r="A58" s="11" t="s">
        <v>267</v>
      </c>
      <c r="P58" s="68"/>
      <c r="Q58" s="52"/>
      <c r="R58"/>
      <c r="S58"/>
      <c r="T58"/>
      <c r="U58"/>
      <c r="V58" s="68"/>
      <c r="W58" s="68"/>
      <c r="X58" s="68"/>
      <c r="Y58" s="68"/>
      <c r="Z58" s="68"/>
      <c r="AA58" s="68"/>
      <c r="AB58" s="68"/>
    </row>
    <row r="59" spans="1:28">
      <c r="A59" s="11" t="s">
        <v>271</v>
      </c>
      <c r="P59" s="68"/>
      <c r="Q59" s="52"/>
      <c r="R59"/>
      <c r="S59"/>
      <c r="T59"/>
      <c r="U59"/>
      <c r="V59" s="68"/>
      <c r="W59" s="68"/>
      <c r="X59" s="68"/>
      <c r="Y59" s="68"/>
      <c r="Z59" s="68"/>
      <c r="AA59" s="68"/>
      <c r="AB59" s="68"/>
    </row>
    <row r="60" spans="1:28">
      <c r="A60" s="11" t="s">
        <v>278</v>
      </c>
    </row>
    <row r="67" spans="1:28" ht="12">
      <c r="Y67" s="68"/>
      <c r="Z67" s="68"/>
      <c r="AA67" s="68"/>
      <c r="AB67" s="68"/>
    </row>
    <row r="68" spans="1:28" s="712" customFormat="1" ht="6">
      <c r="A68" s="2007"/>
      <c r="B68" s="2008"/>
      <c r="C68" s="2008"/>
      <c r="D68" s="2008"/>
      <c r="E68" s="2008"/>
      <c r="F68" s="2008"/>
      <c r="G68" s="2008"/>
      <c r="H68" s="2008"/>
      <c r="I68" s="2008"/>
      <c r="J68" s="2008"/>
      <c r="K68" s="2008"/>
      <c r="L68" s="2008"/>
      <c r="M68" s="2008"/>
      <c r="N68" s="2008"/>
      <c r="O68" s="2008"/>
      <c r="P68" s="2008"/>
      <c r="Q68" s="2008"/>
      <c r="R68" s="2008"/>
      <c r="S68" s="2008"/>
      <c r="T68" s="2008"/>
      <c r="U68" s="2008"/>
      <c r="V68" s="2008"/>
      <c r="W68" s="2009"/>
      <c r="X68" s="711"/>
    </row>
    <row r="69" spans="1:28" ht="15">
      <c r="A69" s="2004" t="s">
        <v>7176</v>
      </c>
      <c r="B69" s="2005"/>
      <c r="C69" s="2005"/>
      <c r="D69" s="2005"/>
      <c r="E69" s="2005"/>
      <c r="F69" s="2005"/>
      <c r="G69" s="2005"/>
      <c r="H69" s="2005"/>
      <c r="I69" s="2005"/>
      <c r="J69" s="2005"/>
      <c r="K69" s="2005"/>
      <c r="L69" s="2005"/>
      <c r="M69" s="2005"/>
      <c r="N69" s="2005"/>
      <c r="O69" s="2005"/>
      <c r="P69" s="2005"/>
      <c r="Q69" s="2005"/>
      <c r="R69" s="2005"/>
      <c r="S69" s="2005"/>
      <c r="T69" s="2005"/>
      <c r="U69" s="2005"/>
      <c r="V69" s="2005"/>
      <c r="W69" s="2006"/>
      <c r="Y69" s="68"/>
      <c r="Z69" s="68"/>
      <c r="AA69" s="68"/>
      <c r="AB69" s="68"/>
    </row>
    <row r="70" spans="1:28" s="710" customFormat="1" ht="8.25">
      <c r="A70" s="2010"/>
      <c r="B70" s="2011"/>
      <c r="C70" s="2011"/>
      <c r="D70" s="2011"/>
      <c r="E70" s="2011"/>
      <c r="F70" s="2011"/>
      <c r="G70" s="2011"/>
      <c r="H70" s="2011"/>
      <c r="I70" s="2011"/>
      <c r="J70" s="2011"/>
      <c r="K70" s="2011"/>
      <c r="L70" s="2011"/>
      <c r="M70" s="2011"/>
      <c r="N70" s="2011"/>
      <c r="O70" s="2011"/>
      <c r="P70" s="2011"/>
      <c r="Q70" s="2011"/>
      <c r="R70" s="2011"/>
      <c r="S70" s="2011"/>
      <c r="T70" s="2011"/>
      <c r="U70" s="2011"/>
      <c r="V70" s="2011"/>
      <c r="W70" s="2012"/>
      <c r="X70" s="709"/>
    </row>
    <row r="71" spans="1:28" s="712" customFormat="1" ht="6">
      <c r="A71" s="2007"/>
      <c r="B71" s="2008"/>
      <c r="C71" s="2008"/>
      <c r="D71" s="2008"/>
      <c r="E71" s="2008"/>
      <c r="F71" s="2008"/>
      <c r="G71" s="2008"/>
      <c r="H71" s="2008"/>
      <c r="I71" s="2008"/>
      <c r="J71" s="2008"/>
      <c r="K71" s="2008"/>
      <c r="L71" s="2008"/>
      <c r="M71" s="2008"/>
      <c r="N71" s="2008"/>
      <c r="O71" s="2008"/>
      <c r="P71" s="2008"/>
      <c r="Q71" s="2008"/>
      <c r="R71" s="2008"/>
      <c r="S71" s="2008"/>
      <c r="T71" s="2008"/>
      <c r="U71" s="2008"/>
      <c r="V71" s="2008"/>
      <c r="W71" s="2009"/>
      <c r="X71" s="711"/>
    </row>
    <row r="72" spans="1:28" ht="15">
      <c r="A72" s="2004" t="s">
        <v>7177</v>
      </c>
      <c r="B72" s="2005"/>
      <c r="C72" s="2005"/>
      <c r="D72" s="2005"/>
      <c r="E72" s="2005"/>
      <c r="F72" s="2005"/>
      <c r="G72" s="2005"/>
      <c r="H72" s="2005"/>
      <c r="I72" s="2005"/>
      <c r="J72" s="2005"/>
      <c r="K72" s="2005"/>
      <c r="L72" s="2005"/>
      <c r="M72" s="2005"/>
      <c r="N72" s="2005"/>
      <c r="O72" s="2005"/>
      <c r="P72" s="2005"/>
      <c r="Q72" s="2005"/>
      <c r="R72" s="2005"/>
      <c r="S72" s="2005"/>
      <c r="T72" s="2005"/>
      <c r="U72" s="2005"/>
      <c r="V72" s="2005"/>
      <c r="W72" s="2006"/>
      <c r="Y72" s="68"/>
      <c r="Z72" s="68"/>
      <c r="AA72" s="68"/>
      <c r="AB72" s="68"/>
    </row>
    <row r="73" spans="1:28" s="710" customFormat="1" ht="8.25">
      <c r="A73" s="2010"/>
      <c r="B73" s="2011"/>
      <c r="C73" s="2011"/>
      <c r="D73" s="2011"/>
      <c r="E73" s="2011"/>
      <c r="F73" s="2011"/>
      <c r="G73" s="2011"/>
      <c r="H73" s="2011"/>
      <c r="I73" s="2011"/>
      <c r="J73" s="2011"/>
      <c r="K73" s="2011"/>
      <c r="L73" s="2011"/>
      <c r="M73" s="2011"/>
      <c r="N73" s="2011"/>
      <c r="O73" s="2011"/>
      <c r="P73" s="2011"/>
      <c r="Q73" s="2011"/>
      <c r="R73" s="2011"/>
      <c r="S73" s="2011"/>
      <c r="T73" s="2011"/>
      <c r="U73" s="2011"/>
      <c r="V73" s="2011"/>
      <c r="W73" s="2012"/>
      <c r="X73" s="709"/>
    </row>
    <row r="74" spans="1:28" s="712" customFormat="1" ht="6">
      <c r="A74" s="2007"/>
      <c r="B74" s="2008"/>
      <c r="C74" s="2008"/>
      <c r="D74" s="2008"/>
      <c r="E74" s="2008"/>
      <c r="F74" s="2008"/>
      <c r="G74" s="2008"/>
      <c r="H74" s="2008"/>
      <c r="I74" s="2008"/>
      <c r="J74" s="2008"/>
      <c r="K74" s="2008"/>
      <c r="L74" s="2008"/>
      <c r="M74" s="2008"/>
      <c r="N74" s="2008"/>
      <c r="O74" s="2008"/>
      <c r="P74" s="2008"/>
      <c r="Q74" s="2008"/>
      <c r="R74" s="2008"/>
      <c r="S74" s="2008"/>
      <c r="T74" s="2008"/>
      <c r="U74" s="2008"/>
      <c r="V74" s="2008"/>
      <c r="W74" s="2009"/>
      <c r="X74" s="711"/>
    </row>
    <row r="75" spans="1:28" ht="15">
      <c r="A75" s="2004" t="s">
        <v>7178</v>
      </c>
      <c r="B75" s="2005"/>
      <c r="C75" s="2005"/>
      <c r="D75" s="2005"/>
      <c r="E75" s="2005"/>
      <c r="F75" s="2005"/>
      <c r="G75" s="2005"/>
      <c r="H75" s="2005"/>
      <c r="I75" s="2005"/>
      <c r="J75" s="2005"/>
      <c r="K75" s="2005"/>
      <c r="L75" s="2005"/>
      <c r="M75" s="2005"/>
      <c r="N75" s="2005"/>
      <c r="O75" s="2005"/>
      <c r="P75" s="2005"/>
      <c r="Q75" s="2005"/>
      <c r="R75" s="2005"/>
      <c r="S75" s="2005"/>
      <c r="T75" s="2005"/>
      <c r="U75" s="2005"/>
      <c r="V75" s="2005"/>
      <c r="W75" s="2006"/>
      <c r="Y75" s="68"/>
      <c r="Z75" s="68"/>
      <c r="AA75" s="68"/>
      <c r="AB75" s="68"/>
    </row>
    <row r="76" spans="1:28" s="710" customFormat="1" ht="8.25">
      <c r="A76" s="2010"/>
      <c r="B76" s="2011"/>
      <c r="C76" s="2011"/>
      <c r="D76" s="2011"/>
      <c r="E76" s="2011"/>
      <c r="F76" s="2011"/>
      <c r="G76" s="2011"/>
      <c r="H76" s="2011"/>
      <c r="I76" s="2011"/>
      <c r="J76" s="2011"/>
      <c r="K76" s="2011"/>
      <c r="L76" s="2011"/>
      <c r="M76" s="2011"/>
      <c r="N76" s="2011"/>
      <c r="O76" s="2011"/>
      <c r="P76" s="2011"/>
      <c r="Q76" s="2011"/>
      <c r="R76" s="2011"/>
      <c r="S76" s="2011"/>
      <c r="T76" s="2011"/>
      <c r="U76" s="2011"/>
      <c r="V76" s="2011"/>
      <c r="W76" s="2012"/>
      <c r="X76" s="709"/>
    </row>
  </sheetData>
  <mergeCells count="14">
    <mergeCell ref="A75:W75"/>
    <mergeCell ref="A76:W76"/>
    <mergeCell ref="B5:L5"/>
    <mergeCell ref="M5:W5"/>
    <mergeCell ref="A72:W72"/>
    <mergeCell ref="A73:W73"/>
    <mergeCell ref="A74:W74"/>
    <mergeCell ref="A68:W68"/>
    <mergeCell ref="A69:W69"/>
    <mergeCell ref="A70:W70"/>
    <mergeCell ref="A71:W71"/>
    <mergeCell ref="A7:W7"/>
    <mergeCell ref="A8:W8"/>
    <mergeCell ref="A9:W9"/>
  </mergeCells>
  <printOptions horizontalCentered="1"/>
  <pageMargins left="0.19685039370078741" right="0.19685039370078741" top="0.78740157480314965" bottom="0.78740157480314965" header="0.19685039370078741" footer="0.19685039370078741"/>
  <pageSetup paperSize="9" scale="95"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rowBreaks count="1" manualBreakCount="1">
    <brk id="56" max="2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2060"/>
  </sheetPr>
  <dimension ref="A1:V42"/>
  <sheetViews>
    <sheetView view="pageBreakPreview" zoomScaleNormal="100" zoomScaleSheetLayoutView="100" workbookViewId="0">
      <selection activeCell="B8" sqref="B8"/>
    </sheetView>
  </sheetViews>
  <sheetFormatPr baseColWidth="10" defaultColWidth="11.42578125" defaultRowHeight="12"/>
  <cols>
    <col min="1" max="1" width="62" style="68" customWidth="1"/>
    <col min="2" max="9" width="14.7109375" style="68" customWidth="1"/>
    <col min="10" max="16384" width="11.42578125" style="68"/>
  </cols>
  <sheetData>
    <row r="1" spans="1:22" s="70" customFormat="1" ht="15.75">
      <c r="A1" s="186" t="s">
        <v>459</v>
      </c>
      <c r="B1" s="75"/>
      <c r="C1" s="74"/>
      <c r="D1" s="74"/>
      <c r="E1" s="74"/>
      <c r="F1" s="74"/>
      <c r="H1" s="71"/>
      <c r="I1" s="71"/>
    </row>
    <row r="2" spans="1:22" s="72" customFormat="1" ht="15.75">
      <c r="A2" s="186" t="s">
        <v>382</v>
      </c>
      <c r="B2" s="71"/>
      <c r="C2" s="71"/>
      <c r="D2" s="71"/>
      <c r="E2" s="71"/>
      <c r="F2" s="71"/>
      <c r="G2" s="71"/>
      <c r="H2" s="71"/>
      <c r="I2" s="71"/>
      <c r="J2" s="71"/>
      <c r="K2" s="71"/>
      <c r="L2" s="71"/>
      <c r="M2" s="71"/>
      <c r="N2" s="71"/>
      <c r="O2" s="71"/>
      <c r="P2" s="71"/>
      <c r="Q2" s="71"/>
      <c r="R2" s="71"/>
      <c r="S2" s="71"/>
      <c r="T2" s="71"/>
      <c r="U2" s="71"/>
      <c r="V2" s="71"/>
    </row>
    <row r="3" spans="1:22">
      <c r="A3" s="7"/>
      <c r="B3" s="8"/>
      <c r="E3" s="8"/>
    </row>
    <row r="4" spans="1:22" ht="12.75" thickBot="1">
      <c r="A4" s="7"/>
      <c r="B4" s="8"/>
      <c r="E4" s="8"/>
    </row>
    <row r="5" spans="1:22" ht="12.75" thickBot="1">
      <c r="A5" s="127" t="s">
        <v>10</v>
      </c>
      <c r="B5" s="2013" t="s">
        <v>312</v>
      </c>
      <c r="C5" s="2014"/>
      <c r="D5" s="2015" t="s">
        <v>460</v>
      </c>
      <c r="E5" s="2015"/>
      <c r="F5" s="2016" t="s">
        <v>461</v>
      </c>
      <c r="G5" s="2017"/>
      <c r="H5" s="2016" t="s">
        <v>311</v>
      </c>
      <c r="I5" s="2017"/>
    </row>
    <row r="6" spans="1:22" s="39" customFormat="1" ht="24" customHeight="1">
      <c r="A6" s="398" t="s">
        <v>9</v>
      </c>
      <c r="B6" s="391" t="s">
        <v>136</v>
      </c>
      <c r="C6" s="129" t="s">
        <v>25</v>
      </c>
      <c r="D6" s="561" t="s">
        <v>136</v>
      </c>
      <c r="E6" s="560" t="s">
        <v>25</v>
      </c>
      <c r="F6" s="391" t="s">
        <v>136</v>
      </c>
      <c r="G6" s="129" t="s">
        <v>25</v>
      </c>
      <c r="H6" s="398" t="s">
        <v>136</v>
      </c>
      <c r="I6" s="392" t="s">
        <v>25</v>
      </c>
    </row>
    <row r="7" spans="1:22">
      <c r="A7" s="57" t="s">
        <v>133</v>
      </c>
      <c r="B7" s="559">
        <f>'F-10 OGA'!B7+'F-10 CCFFAA'!B7+'F-10 EP'!B7+'F-10 MGP'!B7+'F-10 FAP'!B7+'F-10 CONIDA'!B7+'F-10 ENAMM'!B7+'F-10 OPREFA'!B7+'F-10 INDECI'!B7</f>
        <v>112914</v>
      </c>
      <c r="C7" s="558">
        <f>'F-10 OGA'!C7+'F-10 CCFFAA'!C7+'F-10 EP'!C7+'F-10 MGP'!C7+'F-10 FAP'!C7+'F-10 CONIDA'!C7+'F-10 ENAMM'!C7+'F-10 OPREFA'!C7+'F-10 INDECI'!C7</f>
        <v>3233858022</v>
      </c>
      <c r="D7" s="559">
        <f>'F-10 OGA'!D7+'F-10 CCFFAA'!D7+'F-10 EP'!D7+'F-10 MGP'!D7+'F-10 FAP'!D7+'F-10 CONIDA'!D7+'F-10 ENAMM'!D7+'F-10 OPREFA'!D7+'F-10 INDECI'!D7</f>
        <v>113051</v>
      </c>
      <c r="E7" s="558">
        <f>'F-10 OGA'!E7+'F-10 CCFFAA'!E7+'F-10 EP'!E7+'F-10 MGP'!E7+'F-10 FAP'!E7+'F-10 CONIDA'!E7+'F-10 ENAMM'!E7+'F-10 OPREFA'!E7+'F-10 INDECI'!E7</f>
        <v>3139278671</v>
      </c>
      <c r="F7" s="559">
        <f>'F-10 OGA'!F7+'F-10 CCFFAA'!F7+'F-10 EP'!F7+'F-10 MGP'!F7+'F-10 FAP'!F7+'F-10 CONIDA'!F7+'F-10 ENAMM'!F7+'F-10 OPREFA'!F7+'F-10 INDECI'!F7</f>
        <v>108042</v>
      </c>
      <c r="G7" s="558">
        <f>'F-10 OGA'!G7+'F-10 CCFFAA'!G7+'F-10 EP'!G7+'F-10 MGP'!G7+'F-10 FAP'!G7+'F-10 CONIDA'!G7+'F-10 ENAMM'!G7+'F-10 OPREFA'!G7+'F-10 INDECI'!G7</f>
        <v>3213193903</v>
      </c>
      <c r="H7" s="557">
        <f t="shared" ref="H7:H22" si="0">F7-D7</f>
        <v>-5009</v>
      </c>
      <c r="I7" s="556">
        <f t="shared" ref="I7:I22" si="1">G7-E7</f>
        <v>73915232</v>
      </c>
    </row>
    <row r="8" spans="1:22">
      <c r="A8" s="57" t="s">
        <v>164</v>
      </c>
      <c r="B8" s="559">
        <f>'F-10 OGA'!B8+'F-10 CCFFAA'!B8+'F-10 EP'!B8+'F-10 MGP'!B8+'F-10 FAP'!B8+'F-10 CONIDA'!B8+'F-10 ENAMM'!B8+'F-10 OPREFA'!B8+'F-10 INDECI'!B8</f>
        <v>0</v>
      </c>
      <c r="C8" s="558">
        <f>'F-10 OGA'!C8+'F-10 CCFFAA'!C8+'F-10 EP'!C8+'F-10 MGP'!C8+'F-10 FAP'!C8+'F-10 CONIDA'!C8+'F-10 ENAMM'!C8+'F-10 OPREFA'!C8+'F-10 INDECI'!C8</f>
        <v>0</v>
      </c>
      <c r="D8" s="559">
        <f>'F-10 OGA'!D8+'F-10 CCFFAA'!D8+'F-10 EP'!D8+'F-10 MGP'!D8+'F-10 FAP'!D8+'F-10 CONIDA'!D8+'F-10 ENAMM'!D8+'F-10 OPREFA'!D8+'F-10 INDECI'!D8</f>
        <v>0</v>
      </c>
      <c r="E8" s="558">
        <f>'F-10 OGA'!E8+'F-10 CCFFAA'!E8+'F-10 EP'!E8+'F-10 MGP'!E8+'F-10 FAP'!E8+'F-10 CONIDA'!E8+'F-10 ENAMM'!E8+'F-10 OPREFA'!E8+'F-10 INDECI'!E8</f>
        <v>0</v>
      </c>
      <c r="F8" s="559">
        <f>'F-10 OGA'!F8+'F-10 CCFFAA'!F8+'F-10 EP'!F8+'F-10 MGP'!F8+'F-10 FAP'!F8+'F-10 CONIDA'!F8+'F-10 ENAMM'!F8+'F-10 OPREFA'!F8+'F-10 INDECI'!F8</f>
        <v>0</v>
      </c>
      <c r="G8" s="558">
        <f>'F-10 OGA'!G8+'F-10 CCFFAA'!G8+'F-10 EP'!G8+'F-10 MGP'!G8+'F-10 FAP'!G8+'F-10 CONIDA'!G8+'F-10 ENAMM'!G8+'F-10 OPREFA'!G8+'F-10 INDECI'!G8</f>
        <v>0</v>
      </c>
      <c r="H8" s="557">
        <f t="shared" si="0"/>
        <v>0</v>
      </c>
      <c r="I8" s="556">
        <f t="shared" si="1"/>
        <v>0</v>
      </c>
    </row>
    <row r="9" spans="1:22">
      <c r="A9" s="57" t="s">
        <v>162</v>
      </c>
      <c r="B9" s="559">
        <f>'F-10 OGA'!B9+'F-10 CCFFAA'!B9+'F-10 EP'!B9+'F-10 MGP'!B9+'F-10 FAP'!B9+'F-10 CONIDA'!B9+'F-10 ENAMM'!B9+'F-10 OPREFA'!B9+'F-10 INDECI'!B9</f>
        <v>0</v>
      </c>
      <c r="C9" s="558">
        <f>'F-10 OGA'!C9+'F-10 CCFFAA'!C9+'F-10 EP'!C9+'F-10 MGP'!C9+'F-10 FAP'!C9+'F-10 CONIDA'!C9+'F-10 ENAMM'!C9+'F-10 OPREFA'!C9+'F-10 INDECI'!C9</f>
        <v>0</v>
      </c>
      <c r="D9" s="559">
        <f>'F-10 OGA'!D9+'F-10 CCFFAA'!D9+'F-10 EP'!D9+'F-10 MGP'!D9+'F-10 FAP'!D9+'F-10 CONIDA'!D9+'F-10 ENAMM'!D9+'F-10 OPREFA'!D9+'F-10 INDECI'!D9</f>
        <v>0</v>
      </c>
      <c r="E9" s="558">
        <f>'F-10 OGA'!E9+'F-10 CCFFAA'!E9+'F-10 EP'!E9+'F-10 MGP'!E9+'F-10 FAP'!E9+'F-10 CONIDA'!E9+'F-10 ENAMM'!E9+'F-10 OPREFA'!E9+'F-10 INDECI'!E9</f>
        <v>0</v>
      </c>
      <c r="F9" s="559">
        <f>'F-10 OGA'!F9+'F-10 CCFFAA'!F9+'F-10 EP'!F9+'F-10 MGP'!F9+'F-10 FAP'!F9+'F-10 CONIDA'!F9+'F-10 ENAMM'!F9+'F-10 OPREFA'!F9+'F-10 INDECI'!F9</f>
        <v>0</v>
      </c>
      <c r="G9" s="558">
        <f>'F-10 OGA'!G9+'F-10 CCFFAA'!G9+'F-10 EP'!G9+'F-10 MGP'!G9+'F-10 FAP'!G9+'F-10 CONIDA'!G9+'F-10 ENAMM'!G9+'F-10 OPREFA'!G9+'F-10 INDECI'!G9</f>
        <v>0</v>
      </c>
      <c r="H9" s="557">
        <f t="shared" si="0"/>
        <v>0</v>
      </c>
      <c r="I9" s="556">
        <f t="shared" si="1"/>
        <v>0</v>
      </c>
    </row>
    <row r="10" spans="1:22">
      <c r="A10" s="25" t="s">
        <v>171</v>
      </c>
      <c r="B10" s="559">
        <f>'F-10 OGA'!B10+'F-10 CCFFAA'!B10+'F-10 EP'!B10+'F-10 MGP'!B10+'F-10 FAP'!B10+'F-10 CONIDA'!B10+'F-10 ENAMM'!B10+'F-10 OPREFA'!B10+'F-10 INDECI'!B10</f>
        <v>0</v>
      </c>
      <c r="C10" s="558">
        <f>'F-10 OGA'!C10+'F-10 CCFFAA'!C10+'F-10 EP'!C10+'F-10 MGP'!C10+'F-10 FAP'!C10+'F-10 CONIDA'!C10+'F-10 ENAMM'!C10+'F-10 OPREFA'!C10+'F-10 INDECI'!C10</f>
        <v>0</v>
      </c>
      <c r="D10" s="559">
        <f>'F-10 OGA'!D10+'F-10 CCFFAA'!D10+'F-10 EP'!D10+'F-10 MGP'!D10+'F-10 FAP'!D10+'F-10 CONIDA'!D10+'F-10 ENAMM'!D10+'F-10 OPREFA'!D10+'F-10 INDECI'!D10</f>
        <v>0</v>
      </c>
      <c r="E10" s="558">
        <f>'F-10 OGA'!E10+'F-10 CCFFAA'!E10+'F-10 EP'!E10+'F-10 MGP'!E10+'F-10 FAP'!E10+'F-10 CONIDA'!E10+'F-10 ENAMM'!E10+'F-10 OPREFA'!E10+'F-10 INDECI'!E10</f>
        <v>0</v>
      </c>
      <c r="F10" s="559">
        <f>'F-10 OGA'!F10+'F-10 CCFFAA'!F10+'F-10 EP'!F10+'F-10 MGP'!F10+'F-10 FAP'!F10+'F-10 CONIDA'!F10+'F-10 ENAMM'!F10+'F-10 OPREFA'!F10+'F-10 INDECI'!F10</f>
        <v>0</v>
      </c>
      <c r="G10" s="558">
        <f>'F-10 OGA'!G10+'F-10 CCFFAA'!G10+'F-10 EP'!G10+'F-10 MGP'!G10+'F-10 FAP'!G10+'F-10 CONIDA'!G10+'F-10 ENAMM'!G10+'F-10 OPREFA'!G10+'F-10 INDECI'!G10</f>
        <v>0</v>
      </c>
      <c r="H10" s="557">
        <f t="shared" si="0"/>
        <v>0</v>
      </c>
      <c r="I10" s="556">
        <f t="shared" si="1"/>
        <v>0</v>
      </c>
    </row>
    <row r="11" spans="1:22">
      <c r="A11" s="57" t="s">
        <v>165</v>
      </c>
      <c r="B11" s="559">
        <f>'F-10 OGA'!B11+'F-10 CCFFAA'!B11+'F-10 EP'!B11+'F-10 MGP'!B11+'F-10 FAP'!B11+'F-10 CONIDA'!B11+'F-10 ENAMM'!B11+'F-10 OPREFA'!B11+'F-10 INDECI'!B11</f>
        <v>0</v>
      </c>
      <c r="C11" s="558">
        <f>'F-10 OGA'!C11+'F-10 CCFFAA'!C11+'F-10 EP'!C11+'F-10 MGP'!C11+'F-10 FAP'!C11+'F-10 CONIDA'!C11+'F-10 ENAMM'!C11+'F-10 OPREFA'!C11+'F-10 INDECI'!C11</f>
        <v>0</v>
      </c>
      <c r="D11" s="559">
        <f>'F-10 OGA'!D11+'F-10 CCFFAA'!D11+'F-10 EP'!D11+'F-10 MGP'!D11+'F-10 FAP'!D11+'F-10 CONIDA'!D11+'F-10 ENAMM'!D11+'F-10 OPREFA'!D11+'F-10 INDECI'!D11</f>
        <v>0</v>
      </c>
      <c r="E11" s="558">
        <f>'F-10 OGA'!E11+'F-10 CCFFAA'!E11+'F-10 EP'!E11+'F-10 MGP'!E11+'F-10 FAP'!E11+'F-10 CONIDA'!E11+'F-10 ENAMM'!E11+'F-10 OPREFA'!E11+'F-10 INDECI'!E11</f>
        <v>0</v>
      </c>
      <c r="F11" s="559">
        <f>'F-10 OGA'!F11+'F-10 CCFFAA'!F11+'F-10 EP'!F11+'F-10 MGP'!F11+'F-10 FAP'!F11+'F-10 CONIDA'!F11+'F-10 ENAMM'!F11+'F-10 OPREFA'!F11+'F-10 INDECI'!F11</f>
        <v>0</v>
      </c>
      <c r="G11" s="558">
        <f>'F-10 OGA'!G11+'F-10 CCFFAA'!G11+'F-10 EP'!G11+'F-10 MGP'!G11+'F-10 FAP'!G11+'F-10 CONIDA'!G11+'F-10 ENAMM'!G11+'F-10 OPREFA'!G11+'F-10 INDECI'!G11</f>
        <v>0</v>
      </c>
      <c r="H11" s="557">
        <f t="shared" si="0"/>
        <v>0</v>
      </c>
      <c r="I11" s="556">
        <f t="shared" si="1"/>
        <v>0</v>
      </c>
    </row>
    <row r="12" spans="1:22">
      <c r="A12" s="25" t="s">
        <v>163</v>
      </c>
      <c r="B12" s="559">
        <f>'F-10 OGA'!B12+'F-10 CCFFAA'!B12+'F-10 EP'!B12+'F-10 MGP'!B12+'F-10 FAP'!B12+'F-10 CONIDA'!B12+'F-10 ENAMM'!B12+'F-10 OPREFA'!B12+'F-10 INDECI'!B12</f>
        <v>71458</v>
      </c>
      <c r="C12" s="558">
        <f>'F-10 OGA'!C12+'F-10 CCFFAA'!C12+'F-10 EP'!C12+'F-10 MGP'!C12+'F-10 FAP'!C12+'F-10 CONIDA'!C12+'F-10 ENAMM'!C12+'F-10 OPREFA'!C12+'F-10 INDECI'!C12</f>
        <v>71599853</v>
      </c>
      <c r="D12" s="559">
        <f>'F-10 OGA'!D12+'F-10 CCFFAA'!D12+'F-10 EP'!D12+'F-10 MGP'!D12+'F-10 FAP'!D12+'F-10 CONIDA'!D12+'F-10 ENAMM'!D12+'F-10 OPREFA'!D12+'F-10 INDECI'!D12</f>
        <v>71978</v>
      </c>
      <c r="E12" s="558">
        <f>'F-10 OGA'!E12+'F-10 CCFFAA'!E12+'F-10 EP'!E12+'F-10 MGP'!E12+'F-10 FAP'!E12+'F-10 CONIDA'!E12+'F-10 ENAMM'!E12+'F-10 OPREFA'!E12+'F-10 INDECI'!E12</f>
        <v>72013000</v>
      </c>
      <c r="F12" s="559">
        <f>'F-10 OGA'!F12+'F-10 CCFFAA'!F12+'F-10 EP'!F12+'F-10 MGP'!F12+'F-10 FAP'!F12+'F-10 CONIDA'!F12+'F-10 ENAMM'!F12+'F-10 OPREFA'!F12+'F-10 INDECI'!F12</f>
        <v>71197</v>
      </c>
      <c r="G12" s="558">
        <f>'F-10 OGA'!G12+'F-10 CCFFAA'!G12+'F-10 EP'!G12+'F-10 MGP'!G12+'F-10 FAP'!G12+'F-10 CONIDA'!G12+'F-10 ENAMM'!G12+'F-10 OPREFA'!G12+'F-10 INDECI'!G12</f>
        <v>71355133</v>
      </c>
      <c r="H12" s="557">
        <f t="shared" si="0"/>
        <v>-781</v>
      </c>
      <c r="I12" s="556">
        <f t="shared" si="1"/>
        <v>-657867</v>
      </c>
    </row>
    <row r="13" spans="1:22">
      <c r="A13" s="57" t="s">
        <v>170</v>
      </c>
      <c r="B13" s="559">
        <f>'F-10 OGA'!B13+'F-10 CCFFAA'!B13+'F-10 EP'!B13+'F-10 MGP'!B13+'F-10 FAP'!B13+'F-10 CONIDA'!B13+'F-10 ENAMM'!B13+'F-10 OPREFA'!B13+'F-10 INDECI'!B13</f>
        <v>0</v>
      </c>
      <c r="C13" s="558">
        <f>'F-10 OGA'!C13+'F-10 CCFFAA'!C13+'F-10 EP'!C13+'F-10 MGP'!C13+'F-10 FAP'!C13+'F-10 CONIDA'!C13+'F-10 ENAMM'!C13+'F-10 OPREFA'!C13+'F-10 INDECI'!C13</f>
        <v>0</v>
      </c>
      <c r="D13" s="559">
        <f>'F-10 OGA'!D13+'F-10 CCFFAA'!D13+'F-10 EP'!D13+'F-10 MGP'!D13+'F-10 FAP'!D13+'F-10 CONIDA'!D13+'F-10 ENAMM'!D13+'F-10 OPREFA'!D13+'F-10 INDECI'!D13</f>
        <v>0</v>
      </c>
      <c r="E13" s="558">
        <f>'F-10 OGA'!E13+'F-10 CCFFAA'!E13+'F-10 EP'!E13+'F-10 MGP'!E13+'F-10 FAP'!E13+'F-10 CONIDA'!E13+'F-10 ENAMM'!E13+'F-10 OPREFA'!E13+'F-10 INDECI'!E13</f>
        <v>0</v>
      </c>
      <c r="F13" s="559">
        <f>'F-10 OGA'!F13+'F-10 CCFFAA'!F13+'F-10 EP'!F13+'F-10 MGP'!F13+'F-10 FAP'!F13+'F-10 CONIDA'!F13+'F-10 ENAMM'!F13+'F-10 OPREFA'!F13+'F-10 INDECI'!F13</f>
        <v>0</v>
      </c>
      <c r="G13" s="558">
        <f>'F-10 OGA'!G13+'F-10 CCFFAA'!G13+'F-10 EP'!G13+'F-10 MGP'!G13+'F-10 FAP'!G13+'F-10 CONIDA'!G13+'F-10 ENAMM'!G13+'F-10 OPREFA'!G13+'F-10 INDECI'!G13</f>
        <v>0</v>
      </c>
      <c r="H13" s="557">
        <f t="shared" si="0"/>
        <v>0</v>
      </c>
      <c r="I13" s="556">
        <f t="shared" si="1"/>
        <v>0</v>
      </c>
    </row>
    <row r="14" spans="1:22">
      <c r="A14" s="57" t="s">
        <v>27</v>
      </c>
      <c r="B14" s="559">
        <f>'F-10 OGA'!B14+'F-10 CCFFAA'!B14+'F-10 EP'!B14+'F-10 MGP'!B14+'F-10 FAP'!B14+'F-10 CONIDA'!B14+'F-10 ENAMM'!B14+'F-10 OPREFA'!B14+'F-10 INDECI'!B14</f>
        <v>126</v>
      </c>
      <c r="C14" s="558">
        <f>'F-10 OGA'!C14+'F-10 CCFFAA'!C14+'F-10 EP'!C14+'F-10 MGP'!C14+'F-10 FAP'!C14+'F-10 CONIDA'!C14+'F-10 ENAMM'!C14+'F-10 OPREFA'!C14+'F-10 INDECI'!C14</f>
        <v>11002148</v>
      </c>
      <c r="D14" s="559">
        <f>'F-10 OGA'!D14+'F-10 CCFFAA'!D14+'F-10 EP'!D14+'F-10 MGP'!D14+'F-10 FAP'!D14+'F-10 CONIDA'!D14+'F-10 ENAMM'!D14+'F-10 OPREFA'!D14+'F-10 INDECI'!D14</f>
        <v>121</v>
      </c>
      <c r="E14" s="558">
        <f>'F-10 OGA'!E14+'F-10 CCFFAA'!E14+'F-10 EP'!E14+'F-10 MGP'!E14+'F-10 FAP'!E14+'F-10 CONIDA'!E14+'F-10 ENAMM'!E14+'F-10 OPREFA'!E14+'F-10 INDECI'!E14</f>
        <v>104040703</v>
      </c>
      <c r="F14" s="559">
        <f>'F-10 OGA'!F14+'F-10 CCFFAA'!F14+'F-10 EP'!F14+'F-10 MGP'!F14+'F-10 FAP'!F14+'F-10 CONIDA'!F14+'F-10 ENAMM'!F14+'F-10 OPREFA'!F14+'F-10 INDECI'!F14</f>
        <v>121</v>
      </c>
      <c r="G14" s="558">
        <f>'F-10 OGA'!G14+'F-10 CCFFAA'!G14+'F-10 EP'!G14+'F-10 MGP'!G14+'F-10 FAP'!G14+'F-10 CONIDA'!G14+'F-10 ENAMM'!G14+'F-10 OPREFA'!G14+'F-10 INDECI'!G14</f>
        <v>19782903</v>
      </c>
      <c r="H14" s="557">
        <f t="shared" si="0"/>
        <v>0</v>
      </c>
      <c r="I14" s="556">
        <f t="shared" si="1"/>
        <v>-84257800</v>
      </c>
    </row>
    <row r="15" spans="1:22">
      <c r="A15" s="57" t="s">
        <v>167</v>
      </c>
      <c r="B15" s="559">
        <f>'F-10 OGA'!B15+'F-10 CCFFAA'!B15+'F-10 EP'!B15+'F-10 MGP'!B15+'F-10 FAP'!B15+'F-10 CONIDA'!B15+'F-10 ENAMM'!B15+'F-10 OPREFA'!B15+'F-10 INDECI'!B15</f>
        <v>0</v>
      </c>
      <c r="C15" s="558">
        <f>'F-10 OGA'!C15+'F-10 CCFFAA'!C15+'F-10 EP'!C15+'F-10 MGP'!C15+'F-10 FAP'!C15+'F-10 CONIDA'!C15+'F-10 ENAMM'!C15+'F-10 OPREFA'!C15+'F-10 INDECI'!C15</f>
        <v>0</v>
      </c>
      <c r="D15" s="559">
        <f>'F-10 OGA'!D15+'F-10 CCFFAA'!D15+'F-10 EP'!D15+'F-10 MGP'!D15+'F-10 FAP'!D15+'F-10 CONIDA'!D15+'F-10 ENAMM'!D15+'F-10 OPREFA'!D15+'F-10 INDECI'!D15</f>
        <v>0</v>
      </c>
      <c r="E15" s="558">
        <f>'F-10 OGA'!E15+'F-10 CCFFAA'!E15+'F-10 EP'!E15+'F-10 MGP'!E15+'F-10 FAP'!E15+'F-10 CONIDA'!E15+'F-10 ENAMM'!E15+'F-10 OPREFA'!E15+'F-10 INDECI'!E15</f>
        <v>0</v>
      </c>
      <c r="F15" s="559">
        <f>'F-10 OGA'!F15+'F-10 CCFFAA'!F15+'F-10 EP'!F15+'F-10 MGP'!F15+'F-10 FAP'!F15+'F-10 CONIDA'!F15+'F-10 ENAMM'!F15+'F-10 OPREFA'!F15+'F-10 INDECI'!F15</f>
        <v>0</v>
      </c>
      <c r="G15" s="558">
        <f>'F-10 OGA'!G15+'F-10 CCFFAA'!G15+'F-10 EP'!G15+'F-10 MGP'!G15+'F-10 FAP'!G15+'F-10 CONIDA'!G15+'F-10 ENAMM'!G15+'F-10 OPREFA'!G15+'F-10 INDECI'!G15</f>
        <v>0</v>
      </c>
      <c r="H15" s="557">
        <f t="shared" si="0"/>
        <v>0</v>
      </c>
      <c r="I15" s="556">
        <f t="shared" si="1"/>
        <v>0</v>
      </c>
    </row>
    <row r="16" spans="1:22">
      <c r="A16" s="57" t="s">
        <v>26</v>
      </c>
      <c r="B16" s="559">
        <f>'F-10 OGA'!B16+'F-10 CCFFAA'!B16+'F-10 EP'!B16+'F-10 MGP'!B16+'F-10 FAP'!B16+'F-10 CONIDA'!B16+'F-10 ENAMM'!B16+'F-10 OPREFA'!B16+'F-10 INDECI'!B16</f>
        <v>128552</v>
      </c>
      <c r="C16" s="558">
        <f>'F-10 OGA'!C16+'F-10 CCFFAA'!C16+'F-10 EP'!C16+'F-10 MGP'!C16+'F-10 FAP'!C16+'F-10 CONIDA'!C16+'F-10 ENAMM'!C16+'F-10 OPREFA'!C16+'F-10 INDECI'!C16</f>
        <v>315359228</v>
      </c>
      <c r="D16" s="559">
        <f>'F-10 OGA'!D16+'F-10 CCFFAA'!D16+'F-10 EP'!D16+'F-10 MGP'!D16+'F-10 FAP'!D16+'F-10 CONIDA'!D16+'F-10 ENAMM'!D16+'F-10 OPREFA'!D16+'F-10 INDECI'!D16</f>
        <v>130687</v>
      </c>
      <c r="E16" s="558">
        <f>'F-10 OGA'!E16+'F-10 CCFFAA'!E16+'F-10 EP'!E16+'F-10 MGP'!E16+'F-10 FAP'!E16+'F-10 CONIDA'!E16+'F-10 ENAMM'!E16+'F-10 OPREFA'!E16+'F-10 INDECI'!E16</f>
        <v>312859732</v>
      </c>
      <c r="F16" s="559">
        <f>'F-10 OGA'!F16+'F-10 CCFFAA'!F16+'F-10 EP'!F16+'F-10 MGP'!F16+'F-10 FAP'!F16+'F-10 CONIDA'!F16+'F-10 ENAMM'!F16+'F-10 OPREFA'!F16+'F-10 INDECI'!F16</f>
        <v>135925</v>
      </c>
      <c r="G16" s="558">
        <f>'F-10 OGA'!G16+'F-10 CCFFAA'!G16+'F-10 EP'!G16+'F-10 MGP'!G16+'F-10 FAP'!G16+'F-10 CONIDA'!G16+'F-10 ENAMM'!G16+'F-10 OPREFA'!G16+'F-10 INDECI'!G16</f>
        <v>370408047</v>
      </c>
      <c r="H16" s="557">
        <f t="shared" si="0"/>
        <v>5238</v>
      </c>
      <c r="I16" s="556">
        <f t="shared" si="1"/>
        <v>57548315</v>
      </c>
    </row>
    <row r="17" spans="1:9">
      <c r="A17" s="57" t="s">
        <v>168</v>
      </c>
      <c r="B17" s="559">
        <f>'F-10 OGA'!B17+'F-10 CCFFAA'!B17+'F-10 EP'!B17+'F-10 MGP'!B17+'F-10 FAP'!B17+'F-10 CONIDA'!B17+'F-10 ENAMM'!B17+'F-10 OPREFA'!B17+'F-10 INDECI'!B17</f>
        <v>0</v>
      </c>
      <c r="C17" s="558">
        <f>'F-10 OGA'!C17+'F-10 CCFFAA'!C17+'F-10 EP'!C17+'F-10 MGP'!C17+'F-10 FAP'!C17+'F-10 CONIDA'!C17+'F-10 ENAMM'!C17+'F-10 OPREFA'!C17+'F-10 INDECI'!C17</f>
        <v>0</v>
      </c>
      <c r="D17" s="559">
        <f>'F-10 OGA'!D17+'F-10 CCFFAA'!D17+'F-10 EP'!D17+'F-10 MGP'!D17+'F-10 FAP'!D17+'F-10 CONIDA'!D17+'F-10 ENAMM'!D17+'F-10 OPREFA'!D17+'F-10 INDECI'!D17</f>
        <v>0</v>
      </c>
      <c r="E17" s="558">
        <f>'F-10 OGA'!E17+'F-10 CCFFAA'!E17+'F-10 EP'!E17+'F-10 MGP'!E17+'F-10 FAP'!E17+'F-10 CONIDA'!E17+'F-10 ENAMM'!E17+'F-10 OPREFA'!E17+'F-10 INDECI'!E17</f>
        <v>0</v>
      </c>
      <c r="F17" s="559">
        <f>'F-10 OGA'!F17+'F-10 CCFFAA'!F17+'F-10 EP'!F17+'F-10 MGP'!F17+'F-10 FAP'!F17+'F-10 CONIDA'!F17+'F-10 ENAMM'!F17+'F-10 OPREFA'!F17+'F-10 INDECI'!F17</f>
        <v>0</v>
      </c>
      <c r="G17" s="558">
        <f>'F-10 OGA'!G17+'F-10 CCFFAA'!G17+'F-10 EP'!G17+'F-10 MGP'!G17+'F-10 FAP'!G17+'F-10 CONIDA'!G17+'F-10 ENAMM'!G17+'F-10 OPREFA'!G17+'F-10 INDECI'!G17</f>
        <v>0</v>
      </c>
      <c r="H17" s="557">
        <f t="shared" si="0"/>
        <v>0</v>
      </c>
      <c r="I17" s="556">
        <f t="shared" si="1"/>
        <v>0</v>
      </c>
    </row>
    <row r="18" spans="1:9">
      <c r="A18" s="57" t="s">
        <v>166</v>
      </c>
      <c r="B18" s="559">
        <f>'F-10 OGA'!B18+'F-10 CCFFAA'!B18+'F-10 EP'!B18+'F-10 MGP'!B18+'F-10 FAP'!B18+'F-10 CONIDA'!B18+'F-10 ENAMM'!B18+'F-10 OPREFA'!B18+'F-10 INDECI'!B18</f>
        <v>0</v>
      </c>
      <c r="C18" s="558">
        <f>'F-10 OGA'!C18+'F-10 CCFFAA'!C18+'F-10 EP'!C18+'F-10 MGP'!C18+'F-10 FAP'!C18+'F-10 CONIDA'!C18+'F-10 ENAMM'!C18+'F-10 OPREFA'!C18+'F-10 INDECI'!C18</f>
        <v>0</v>
      </c>
      <c r="D18" s="559">
        <f>'F-10 OGA'!D18+'F-10 CCFFAA'!D18+'F-10 EP'!D18+'F-10 MGP'!D18+'F-10 FAP'!D18+'F-10 CONIDA'!D18+'F-10 ENAMM'!D18+'F-10 OPREFA'!D18+'F-10 INDECI'!D18</f>
        <v>0</v>
      </c>
      <c r="E18" s="558">
        <f>'F-10 OGA'!E18+'F-10 CCFFAA'!E18+'F-10 EP'!E18+'F-10 MGP'!E18+'F-10 FAP'!E18+'F-10 CONIDA'!E18+'F-10 ENAMM'!E18+'F-10 OPREFA'!E18+'F-10 INDECI'!E18</f>
        <v>0</v>
      </c>
      <c r="F18" s="559">
        <f>'F-10 OGA'!F18+'F-10 CCFFAA'!F18+'F-10 EP'!F18+'F-10 MGP'!F18+'F-10 FAP'!F18+'F-10 CONIDA'!F18+'F-10 ENAMM'!F18+'F-10 OPREFA'!F18+'F-10 INDECI'!F18</f>
        <v>0</v>
      </c>
      <c r="G18" s="558">
        <f>'F-10 OGA'!G18+'F-10 CCFFAA'!G18+'F-10 EP'!G18+'F-10 MGP'!G18+'F-10 FAP'!G18+'F-10 CONIDA'!G18+'F-10 ENAMM'!G18+'F-10 OPREFA'!G18+'F-10 INDECI'!G18</f>
        <v>0</v>
      </c>
      <c r="H18" s="557">
        <f t="shared" si="0"/>
        <v>0</v>
      </c>
      <c r="I18" s="556">
        <f t="shared" si="1"/>
        <v>0</v>
      </c>
    </row>
    <row r="19" spans="1:9">
      <c r="A19" s="57" t="s">
        <v>169</v>
      </c>
      <c r="B19" s="559">
        <f>'F-10 OGA'!B19+'F-10 CCFFAA'!B19+'F-10 EP'!B19+'F-10 MGP'!B19+'F-10 FAP'!B19+'F-10 CONIDA'!B19+'F-10 ENAMM'!B19+'F-10 OPREFA'!B19+'F-10 INDECI'!B19</f>
        <v>0</v>
      </c>
      <c r="C19" s="558">
        <f>'F-10 OGA'!C19+'F-10 CCFFAA'!C19+'F-10 EP'!C19+'F-10 MGP'!C19+'F-10 FAP'!C19+'F-10 CONIDA'!C19+'F-10 ENAMM'!C19+'F-10 OPREFA'!C19+'F-10 INDECI'!C19</f>
        <v>0</v>
      </c>
      <c r="D19" s="559">
        <f>'F-10 OGA'!D19+'F-10 CCFFAA'!D19+'F-10 EP'!D19+'F-10 MGP'!D19+'F-10 FAP'!D19+'F-10 CONIDA'!D19+'F-10 ENAMM'!D19+'F-10 OPREFA'!D19+'F-10 INDECI'!D19</f>
        <v>0</v>
      </c>
      <c r="E19" s="558">
        <f>'F-10 OGA'!E19+'F-10 CCFFAA'!E19+'F-10 EP'!E19+'F-10 MGP'!E19+'F-10 FAP'!E19+'F-10 CONIDA'!E19+'F-10 ENAMM'!E19+'F-10 OPREFA'!E19+'F-10 INDECI'!E19</f>
        <v>0</v>
      </c>
      <c r="F19" s="559">
        <f>'F-10 OGA'!F19+'F-10 CCFFAA'!F19+'F-10 EP'!F19+'F-10 MGP'!F19+'F-10 FAP'!F19+'F-10 CONIDA'!F19+'F-10 ENAMM'!F19+'F-10 OPREFA'!F19+'F-10 INDECI'!F19</f>
        <v>0</v>
      </c>
      <c r="G19" s="558">
        <f>'F-10 OGA'!G19+'F-10 CCFFAA'!G19+'F-10 EP'!G19+'F-10 MGP'!G19+'F-10 FAP'!G19+'F-10 CONIDA'!G19+'F-10 ENAMM'!G19+'F-10 OPREFA'!G19+'F-10 INDECI'!G19</f>
        <v>0</v>
      </c>
      <c r="H19" s="557">
        <f t="shared" si="0"/>
        <v>0</v>
      </c>
      <c r="I19" s="556">
        <f t="shared" si="1"/>
        <v>0</v>
      </c>
    </row>
    <row r="20" spans="1:9">
      <c r="A20" s="57" t="s">
        <v>28</v>
      </c>
      <c r="B20" s="559">
        <f>'F-10 OGA'!B20+'F-10 CCFFAA'!B20+'F-10 EP'!B20+'F-10 MGP'!B20+'F-10 FAP'!B20+'F-10 CONIDA'!B20+'F-10 ENAMM'!B20+'F-10 OPREFA'!B20+'F-10 INDECI'!B20</f>
        <v>11803</v>
      </c>
      <c r="C20" s="558">
        <f>'F-10 OGA'!C20+'F-10 CCFFAA'!C20+'F-10 EP'!C20+'F-10 MGP'!C20+'F-10 FAP'!C20+'F-10 CONIDA'!C20+'F-10 ENAMM'!C20+'F-10 OPREFA'!C20+'F-10 INDECI'!C20</f>
        <v>123673764</v>
      </c>
      <c r="D20" s="559">
        <f>'F-10 OGA'!D20+'F-10 CCFFAA'!D20+'F-10 EP'!D20+'F-10 MGP'!D20+'F-10 FAP'!D20+'F-10 CONIDA'!D20+'F-10 ENAMM'!D20+'F-10 OPREFA'!D20+'F-10 INDECI'!D20</f>
        <v>11817</v>
      </c>
      <c r="E20" s="558">
        <f>'F-10 OGA'!E20+'F-10 CCFFAA'!E20+'F-10 EP'!E20+'F-10 MGP'!E20+'F-10 FAP'!E20+'F-10 CONIDA'!E20+'F-10 ENAMM'!E20+'F-10 OPREFA'!E20+'F-10 INDECI'!E20</f>
        <v>151179761</v>
      </c>
      <c r="F20" s="559">
        <f>'F-10 OGA'!F20+'F-10 CCFFAA'!F20+'F-10 EP'!F20+'F-10 MGP'!F20+'F-10 FAP'!F20+'F-10 CONIDA'!F20+'F-10 ENAMM'!F20+'F-10 OPREFA'!F20+'F-10 INDECI'!F20</f>
        <v>11590</v>
      </c>
      <c r="G20" s="558">
        <f>'F-10 OGA'!G20+'F-10 CCFFAA'!G20+'F-10 EP'!G20+'F-10 MGP'!G20+'F-10 FAP'!G20+'F-10 CONIDA'!G20+'F-10 ENAMM'!G20+'F-10 OPREFA'!G20+'F-10 INDECI'!G20</f>
        <v>149150821</v>
      </c>
      <c r="H20" s="557">
        <f t="shared" si="0"/>
        <v>-227</v>
      </c>
      <c r="I20" s="556">
        <f t="shared" si="1"/>
        <v>-2028940</v>
      </c>
    </row>
    <row r="21" spans="1:9">
      <c r="A21" s="57" t="s">
        <v>161</v>
      </c>
      <c r="B21" s="559">
        <f>'F-10 OGA'!B21+'F-10 CCFFAA'!B21+'F-10 EP'!B21+'F-10 MGP'!B21+'F-10 FAP'!B21+'F-10 CONIDA'!B21+'F-10 ENAMM'!B21+'F-10 OPREFA'!B21+'F-10 INDECI'!B21</f>
        <v>19</v>
      </c>
      <c r="C21" s="558">
        <f>'F-10 OGA'!C21+'F-10 CCFFAA'!C21+'F-10 EP'!C21+'F-10 MGP'!C21+'F-10 FAP'!C21+'F-10 CONIDA'!C21+'F-10 ENAMM'!C21+'F-10 OPREFA'!C21+'F-10 INDECI'!C21</f>
        <v>539950</v>
      </c>
      <c r="D21" s="559">
        <f>'F-10 OGA'!D21+'F-10 CCFFAA'!D21+'F-10 EP'!D21+'F-10 MGP'!D21+'F-10 FAP'!D21+'F-10 CONIDA'!D21+'F-10 ENAMM'!D21+'F-10 OPREFA'!D21+'F-10 INDECI'!D21</f>
        <v>16</v>
      </c>
      <c r="E21" s="558">
        <f>'F-10 OGA'!E21+'F-10 CCFFAA'!E21+'F-10 EP'!E21+'F-10 MGP'!E21+'F-10 FAP'!E21+'F-10 CONIDA'!E21+'F-10 ENAMM'!E21+'F-10 OPREFA'!E21+'F-10 INDECI'!E21</f>
        <v>351350</v>
      </c>
      <c r="F21" s="559">
        <f>'F-10 OGA'!F21+'F-10 CCFFAA'!F21+'F-10 EP'!F21+'F-10 MGP'!F21+'F-10 FAP'!F21+'F-10 CONIDA'!F21+'F-10 ENAMM'!F21+'F-10 OPREFA'!F21+'F-10 INDECI'!F21</f>
        <v>15</v>
      </c>
      <c r="G21" s="558">
        <f>'F-10 OGA'!G21+'F-10 CCFFAA'!G21+'F-10 EP'!G21+'F-10 MGP'!G21+'F-10 FAP'!G21+'F-10 CONIDA'!G21+'F-10 ENAMM'!G21+'F-10 OPREFA'!G21+'F-10 INDECI'!G21</f>
        <v>291961</v>
      </c>
      <c r="H21" s="557">
        <f t="shared" si="0"/>
        <v>-1</v>
      </c>
      <c r="I21" s="556">
        <f t="shared" si="1"/>
        <v>-59389</v>
      </c>
    </row>
    <row r="22" spans="1:9" ht="12.75" thickBot="1">
      <c r="A22" s="57" t="s">
        <v>39</v>
      </c>
      <c r="B22" s="559">
        <f>'F-10 OGA'!B22+'F-10 CCFFAA'!B22+'F-10 EP'!B22+'F-10 MGP'!B22+'F-10 FAP'!B22+'F-10 CONIDA'!B22+'F-10 ENAMM'!B22+'F-10 OPREFA'!B22+'F-10 INDECI'!B22</f>
        <v>0</v>
      </c>
      <c r="C22" s="558">
        <f>'F-10 OGA'!C22+'F-10 CCFFAA'!C22+'F-10 EP'!C22+'F-10 MGP'!C22+'F-10 FAP'!C22+'F-10 CONIDA'!C22+'F-10 ENAMM'!C22+'F-10 OPREFA'!C22+'F-10 INDECI'!C22</f>
        <v>0</v>
      </c>
      <c r="D22" s="559">
        <f>'F-10 OGA'!D22+'F-10 CCFFAA'!D22+'F-10 EP'!D22+'F-10 MGP'!D22+'F-10 FAP'!D22+'F-10 CONIDA'!D22+'F-10 ENAMM'!D22+'F-10 OPREFA'!D22+'F-10 INDECI'!D22</f>
        <v>0</v>
      </c>
      <c r="E22" s="558">
        <f>'F-10 OGA'!E22+'F-10 CCFFAA'!E22+'F-10 EP'!E22+'F-10 MGP'!E22+'F-10 FAP'!E22+'F-10 CONIDA'!E22+'F-10 ENAMM'!E22+'F-10 OPREFA'!E22+'F-10 INDECI'!E22</f>
        <v>0</v>
      </c>
      <c r="F22" s="559">
        <f>'F-10 OGA'!F22+'F-10 CCFFAA'!F22+'F-10 EP'!F22+'F-10 MGP'!F22+'F-10 FAP'!F22+'F-10 CONIDA'!F22+'F-10 ENAMM'!F22+'F-10 OPREFA'!F22+'F-10 INDECI'!F22</f>
        <v>0</v>
      </c>
      <c r="G22" s="558">
        <f>'F-10 OGA'!G22+'F-10 CCFFAA'!G22+'F-10 EP'!G22+'F-10 MGP'!G22+'F-10 FAP'!G22+'F-10 CONIDA'!G22+'F-10 ENAMM'!G22+'F-10 OPREFA'!G22+'F-10 INDECI'!G22</f>
        <v>0</v>
      </c>
      <c r="H22" s="557">
        <f t="shared" si="0"/>
        <v>0</v>
      </c>
      <c r="I22" s="556">
        <f t="shared" si="1"/>
        <v>0</v>
      </c>
    </row>
    <row r="23" spans="1:9" ht="12.75" thickBot="1">
      <c r="A23" s="17" t="s">
        <v>38</v>
      </c>
      <c r="B23" s="553">
        <f>B7</f>
        <v>112914</v>
      </c>
      <c r="C23" s="551">
        <f>SUM(C7:C22)</f>
        <v>3756032965</v>
      </c>
      <c r="D23" s="555">
        <f>D7</f>
        <v>113051</v>
      </c>
      <c r="E23" s="554">
        <f>SUM(E7:E22)</f>
        <v>3779723217</v>
      </c>
      <c r="F23" s="553">
        <f>F7</f>
        <v>108042</v>
      </c>
      <c r="G23" s="551">
        <f>SUM(G7:G22)</f>
        <v>3824182768</v>
      </c>
      <c r="H23" s="552">
        <f>H7</f>
        <v>-5009</v>
      </c>
      <c r="I23" s="551">
        <f>SUM(I7:I22)</f>
        <v>44459551</v>
      </c>
    </row>
    <row r="24" spans="1:9">
      <c r="A24" s="1" t="s">
        <v>313</v>
      </c>
      <c r="B24" s="2"/>
      <c r="C24" s="2"/>
      <c r="D24" s="2"/>
      <c r="E24" s="2"/>
      <c r="F24" s="2"/>
      <c r="G24" s="2"/>
      <c r="H24" s="2"/>
      <c r="I24" s="2"/>
    </row>
    <row r="25" spans="1:9">
      <c r="A25" s="1" t="s">
        <v>90</v>
      </c>
      <c r="B25" s="2"/>
      <c r="C25" s="2"/>
      <c r="D25" s="2"/>
      <c r="E25" s="2"/>
      <c r="F25" s="2"/>
      <c r="G25" s="2"/>
      <c r="H25" s="2"/>
      <c r="I25" s="2"/>
    </row>
    <row r="26" spans="1:9">
      <c r="A26" s="1"/>
      <c r="B26" s="2"/>
      <c r="C26" s="2"/>
      <c r="D26" s="2"/>
      <c r="E26" s="2"/>
      <c r="F26" s="2"/>
      <c r="G26" s="2"/>
      <c r="H26" s="2"/>
      <c r="I26" s="2"/>
    </row>
    <row r="27" spans="1:9">
      <c r="C27" s="467"/>
      <c r="E27" s="467"/>
    </row>
    <row r="29" spans="1:9">
      <c r="E29" s="526"/>
    </row>
    <row r="31" spans="1:9">
      <c r="E31" s="467"/>
    </row>
    <row r="32" spans="1:9">
      <c r="E32" s="467"/>
    </row>
    <row r="33" spans="5:10">
      <c r="E33" s="467"/>
    </row>
    <row r="34" spans="5:10">
      <c r="E34" s="467"/>
    </row>
    <row r="35" spans="5:10">
      <c r="E35" s="467"/>
    </row>
    <row r="36" spans="5:10">
      <c r="E36" s="467"/>
    </row>
    <row r="37" spans="5:10">
      <c r="E37" s="467"/>
    </row>
    <row r="38" spans="5:10">
      <c r="E38" s="467"/>
    </row>
    <row r="39" spans="5:10">
      <c r="E39" s="526"/>
    </row>
    <row r="41" spans="5:10">
      <c r="I41" s="467"/>
    </row>
    <row r="42" spans="5:10">
      <c r="J42" s="265"/>
    </row>
  </sheetData>
  <mergeCells count="4">
    <mergeCell ref="B5:C5"/>
    <mergeCell ref="D5:E5"/>
    <mergeCell ref="F5:G5"/>
    <mergeCell ref="H5:I5"/>
  </mergeCells>
  <printOptions horizontalCentered="1"/>
  <pageMargins left="0.19685039370078741" right="0.19685039370078741" top="0.78740157480314965" bottom="0.78740157480314965" header="0.19685039370078741" footer="0.19685039370078741"/>
  <pageSetup paperSize="9" scale="81"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2060"/>
  </sheetPr>
  <dimension ref="A1:V42"/>
  <sheetViews>
    <sheetView view="pageBreakPreview" topLeftCell="D1" zoomScaleNormal="100" zoomScaleSheetLayoutView="100" workbookViewId="0">
      <selection activeCell="B8" sqref="B8"/>
    </sheetView>
  </sheetViews>
  <sheetFormatPr baseColWidth="10" defaultColWidth="11.42578125" defaultRowHeight="12"/>
  <cols>
    <col min="1" max="1" width="62" style="68" customWidth="1"/>
    <col min="2" max="9" width="14.7109375" style="68" customWidth="1"/>
    <col min="10" max="16384" width="11.42578125" style="68"/>
  </cols>
  <sheetData>
    <row r="1" spans="1:22" s="70" customFormat="1" ht="15.75">
      <c r="A1" s="186" t="s">
        <v>459</v>
      </c>
      <c r="B1" s="75"/>
      <c r="C1" s="74"/>
      <c r="D1" s="74"/>
      <c r="E1" s="74"/>
      <c r="F1" s="74"/>
      <c r="H1" s="71"/>
      <c r="I1" s="71"/>
    </row>
    <row r="2" spans="1:22" s="72" customFormat="1" ht="15.75">
      <c r="A2" s="186" t="s">
        <v>1655</v>
      </c>
      <c r="B2" s="71"/>
      <c r="C2" s="71"/>
      <c r="D2" s="71"/>
      <c r="E2" s="71"/>
      <c r="F2" s="71"/>
      <c r="G2" s="71"/>
      <c r="H2" s="71"/>
      <c r="I2" s="71"/>
      <c r="J2" s="71"/>
      <c r="K2" s="71"/>
      <c r="L2" s="71"/>
      <c r="M2" s="71"/>
      <c r="N2" s="71"/>
      <c r="O2" s="71"/>
      <c r="P2" s="71"/>
      <c r="Q2" s="71"/>
      <c r="R2" s="71"/>
      <c r="S2" s="71"/>
      <c r="T2" s="71"/>
      <c r="U2" s="71"/>
      <c r="V2" s="71"/>
    </row>
    <row r="3" spans="1:22" s="72" customFormat="1" ht="15.75">
      <c r="A3" s="187" t="s">
        <v>1654</v>
      </c>
      <c r="B3" s="71"/>
      <c r="C3" s="71"/>
      <c r="D3" s="71"/>
      <c r="E3" s="71"/>
      <c r="F3" s="71"/>
      <c r="G3" s="71"/>
      <c r="H3" s="71"/>
      <c r="I3" s="71"/>
      <c r="J3" s="71"/>
      <c r="K3" s="71"/>
      <c r="L3" s="71"/>
      <c r="M3" s="71"/>
      <c r="N3" s="71"/>
      <c r="O3" s="71"/>
      <c r="P3" s="71"/>
      <c r="Q3" s="71"/>
      <c r="R3" s="71"/>
      <c r="S3" s="71"/>
      <c r="T3" s="71"/>
      <c r="U3" s="71"/>
      <c r="V3" s="71"/>
    </row>
    <row r="4" spans="1:22" ht="12.75" thickBot="1">
      <c r="A4" s="7"/>
      <c r="B4" s="8"/>
      <c r="E4" s="8"/>
    </row>
    <row r="5" spans="1:22" ht="12.75" thickBot="1">
      <c r="A5" s="127" t="s">
        <v>10</v>
      </c>
      <c r="B5" s="2013" t="s">
        <v>312</v>
      </c>
      <c r="C5" s="2014"/>
      <c r="D5" s="2015" t="s">
        <v>460</v>
      </c>
      <c r="E5" s="2015"/>
      <c r="F5" s="2016" t="s">
        <v>461</v>
      </c>
      <c r="G5" s="2017"/>
      <c r="H5" s="2016" t="s">
        <v>311</v>
      </c>
      <c r="I5" s="2017"/>
    </row>
    <row r="6" spans="1:22" s="39" customFormat="1" ht="24" customHeight="1">
      <c r="A6" s="398" t="s">
        <v>9</v>
      </c>
      <c r="B6" s="391" t="s">
        <v>136</v>
      </c>
      <c r="C6" s="129" t="s">
        <v>25</v>
      </c>
      <c r="D6" s="561" t="s">
        <v>136</v>
      </c>
      <c r="E6" s="560" t="s">
        <v>25</v>
      </c>
      <c r="F6" s="391" t="s">
        <v>136</v>
      </c>
      <c r="G6" s="129" t="s">
        <v>25</v>
      </c>
      <c r="H6" s="398" t="s">
        <v>136</v>
      </c>
      <c r="I6" s="392" t="s">
        <v>25</v>
      </c>
    </row>
    <row r="7" spans="1:22">
      <c r="A7" s="57" t="s">
        <v>133</v>
      </c>
      <c r="B7" s="562">
        <f>'F-10 OGA'!B7+'F-10 CCFFAA'!B7+'F-10 EP'!B7+'F-10 MGP'!B7+'F-10 FAP'!B7+'F-10 CONIDA'!B7+'F-10 ENAMM'!B7+'F-10 OPREFA'!B7</f>
        <v>112819</v>
      </c>
      <c r="C7" s="558">
        <f>'F-10 OGA'!C7+'F-10 CCFFAA'!C7+'F-10 EP'!C7+'F-10 MGP'!C7+'F-10 FAP'!C7+'F-10 CONIDA'!C7+'F-10 ENAMM'!C7+'F-10 OPREFA'!C7</f>
        <v>3233053302</v>
      </c>
      <c r="D7" s="563">
        <f>'F-10 OGA'!D7+'F-10 CCFFAA'!D7+'F-10 EP'!D7+'F-10 MGP'!D7+'F-10 FAP'!D7+'F-10 CONIDA'!D7+'F-10 ENAMM'!D7+'F-10 OPREFA'!D7</f>
        <v>112956</v>
      </c>
      <c r="E7" s="558">
        <f>'F-10 OGA'!E7+'F-10 CCFFAA'!E7+'F-10 EP'!E7+'F-10 MGP'!E7+'F-10 FAP'!E7+'F-10 CONIDA'!E7+'F-10 ENAMM'!E7+'F-10 OPREFA'!E7</f>
        <v>3138686211</v>
      </c>
      <c r="F7" s="562">
        <f>'F-10 OGA'!F7+'F-10 CCFFAA'!F7+'F-10 EP'!F7+'F-10 MGP'!F7+'F-10 FAP'!F7+'F-10 CONIDA'!F7+'F-10 ENAMM'!F7+'F-10 OPREFA'!F7</f>
        <v>107947</v>
      </c>
      <c r="G7" s="558">
        <f>'F-10 OGA'!G7+'F-10 CCFFAA'!G7+'F-10 EP'!G7+'F-10 MGP'!G7+'F-10 FAP'!G7+'F-10 CONIDA'!G7+'F-10 ENAMM'!G7+'F-10 OPREFA'!G7</f>
        <v>3212633234</v>
      </c>
      <c r="H7" s="557">
        <f t="shared" ref="H7:H22" si="0">F7-D7</f>
        <v>-5009</v>
      </c>
      <c r="I7" s="556">
        <f t="shared" ref="I7:I22" si="1">G7-E7</f>
        <v>73947023</v>
      </c>
    </row>
    <row r="8" spans="1:22">
      <c r="A8" s="57" t="s">
        <v>164</v>
      </c>
      <c r="B8" s="562">
        <f>'F-10 OGA'!B8+'F-10 CCFFAA'!B8+'F-10 EP'!B8+'F-10 MGP'!B8+'F-10 FAP'!B8+'F-10 CONIDA'!B8+'F-10 ENAMM'!B8+'F-10 OPREFA'!B8</f>
        <v>0</v>
      </c>
      <c r="C8" s="558">
        <f>'F-10 OGA'!C8+'F-10 CCFFAA'!C8+'F-10 EP'!C8+'F-10 MGP'!C8+'F-10 FAP'!C8+'F-10 CONIDA'!C8+'F-10 ENAMM'!C8+'F-10 OPREFA'!C8</f>
        <v>0</v>
      </c>
      <c r="D8" s="563">
        <f>'F-10 OGA'!D8+'F-10 CCFFAA'!D8+'F-10 EP'!D8+'F-10 MGP'!D8+'F-10 FAP'!D8+'F-10 CONIDA'!D8+'F-10 ENAMM'!D8+'F-10 OPREFA'!D8</f>
        <v>0</v>
      </c>
      <c r="E8" s="558">
        <f>'F-10 OGA'!E8+'F-10 CCFFAA'!E8+'F-10 EP'!E8+'F-10 MGP'!E8+'F-10 FAP'!E8+'F-10 CONIDA'!E8+'F-10 ENAMM'!E8+'F-10 OPREFA'!E8</f>
        <v>0</v>
      </c>
      <c r="F8" s="562">
        <f>'F-10 OGA'!F8+'F-10 CCFFAA'!F8+'F-10 EP'!F8+'F-10 MGP'!F8+'F-10 FAP'!F8+'F-10 CONIDA'!F8+'F-10 ENAMM'!F8+'F-10 OPREFA'!F8</f>
        <v>0</v>
      </c>
      <c r="G8" s="558">
        <f>'F-10 OGA'!G8+'F-10 CCFFAA'!G8+'F-10 EP'!G8+'F-10 MGP'!G8+'F-10 FAP'!G8+'F-10 CONIDA'!G8+'F-10 ENAMM'!G8+'F-10 OPREFA'!G8</f>
        <v>0</v>
      </c>
      <c r="H8" s="557">
        <f t="shared" si="0"/>
        <v>0</v>
      </c>
      <c r="I8" s="556">
        <f t="shared" si="1"/>
        <v>0</v>
      </c>
    </row>
    <row r="9" spans="1:22">
      <c r="A9" s="57" t="s">
        <v>162</v>
      </c>
      <c r="B9" s="562">
        <f>'F-10 OGA'!B9+'F-10 CCFFAA'!B9+'F-10 EP'!B9+'F-10 MGP'!B9+'F-10 FAP'!B9+'F-10 CONIDA'!B9+'F-10 ENAMM'!B9+'F-10 OPREFA'!B9</f>
        <v>0</v>
      </c>
      <c r="C9" s="558">
        <f>'F-10 OGA'!C9+'F-10 CCFFAA'!C9+'F-10 EP'!C9+'F-10 MGP'!C9+'F-10 FAP'!C9+'F-10 CONIDA'!C9+'F-10 ENAMM'!C9+'F-10 OPREFA'!C9</f>
        <v>0</v>
      </c>
      <c r="D9" s="563">
        <f>'F-10 OGA'!D9+'F-10 CCFFAA'!D9+'F-10 EP'!D9+'F-10 MGP'!D9+'F-10 FAP'!D9+'F-10 CONIDA'!D9+'F-10 ENAMM'!D9+'F-10 OPREFA'!D9</f>
        <v>0</v>
      </c>
      <c r="E9" s="558">
        <f>'F-10 OGA'!E9+'F-10 CCFFAA'!E9+'F-10 EP'!E9+'F-10 MGP'!E9+'F-10 FAP'!E9+'F-10 CONIDA'!E9+'F-10 ENAMM'!E9+'F-10 OPREFA'!E9</f>
        <v>0</v>
      </c>
      <c r="F9" s="562">
        <f>'F-10 OGA'!F9+'F-10 CCFFAA'!F9+'F-10 EP'!F9+'F-10 MGP'!F9+'F-10 FAP'!F9+'F-10 CONIDA'!F9+'F-10 ENAMM'!F9+'F-10 OPREFA'!F9</f>
        <v>0</v>
      </c>
      <c r="G9" s="558">
        <f>'F-10 OGA'!G9+'F-10 CCFFAA'!G9+'F-10 EP'!G9+'F-10 MGP'!G9+'F-10 FAP'!G9+'F-10 CONIDA'!G9+'F-10 ENAMM'!G9+'F-10 OPREFA'!G9</f>
        <v>0</v>
      </c>
      <c r="H9" s="557">
        <f t="shared" si="0"/>
        <v>0</v>
      </c>
      <c r="I9" s="556">
        <f t="shared" si="1"/>
        <v>0</v>
      </c>
    </row>
    <row r="10" spans="1:22">
      <c r="A10" s="25" t="s">
        <v>171</v>
      </c>
      <c r="B10" s="562">
        <f>'F-10 OGA'!B10+'F-10 CCFFAA'!B10+'F-10 EP'!B10+'F-10 MGP'!B10+'F-10 FAP'!B10+'F-10 CONIDA'!B10+'F-10 ENAMM'!B10+'F-10 OPREFA'!B10</f>
        <v>0</v>
      </c>
      <c r="C10" s="558">
        <f>'F-10 OGA'!C10+'F-10 CCFFAA'!C10+'F-10 EP'!C10+'F-10 MGP'!C10+'F-10 FAP'!C10+'F-10 CONIDA'!C10+'F-10 ENAMM'!C10+'F-10 OPREFA'!C10</f>
        <v>0</v>
      </c>
      <c r="D10" s="563">
        <f>'F-10 OGA'!D10+'F-10 CCFFAA'!D10+'F-10 EP'!D10+'F-10 MGP'!D10+'F-10 FAP'!D10+'F-10 CONIDA'!D10+'F-10 ENAMM'!D10+'F-10 OPREFA'!D10</f>
        <v>0</v>
      </c>
      <c r="E10" s="558">
        <f>'F-10 OGA'!E10+'F-10 CCFFAA'!E10+'F-10 EP'!E10+'F-10 MGP'!E10+'F-10 FAP'!E10+'F-10 CONIDA'!E10+'F-10 ENAMM'!E10+'F-10 OPREFA'!E10</f>
        <v>0</v>
      </c>
      <c r="F10" s="562">
        <f>'F-10 OGA'!F10+'F-10 CCFFAA'!F10+'F-10 EP'!F10+'F-10 MGP'!F10+'F-10 FAP'!F10+'F-10 CONIDA'!F10+'F-10 ENAMM'!F10+'F-10 OPREFA'!F10</f>
        <v>0</v>
      </c>
      <c r="G10" s="558">
        <f>'F-10 OGA'!G10+'F-10 CCFFAA'!G10+'F-10 EP'!G10+'F-10 MGP'!G10+'F-10 FAP'!G10+'F-10 CONIDA'!G10+'F-10 ENAMM'!G10+'F-10 OPREFA'!G10</f>
        <v>0</v>
      </c>
      <c r="H10" s="557">
        <f t="shared" si="0"/>
        <v>0</v>
      </c>
      <c r="I10" s="556">
        <f t="shared" si="1"/>
        <v>0</v>
      </c>
    </row>
    <row r="11" spans="1:22">
      <c r="A11" s="57" t="s">
        <v>165</v>
      </c>
      <c r="B11" s="562">
        <f>'F-10 OGA'!B11+'F-10 CCFFAA'!B11+'F-10 EP'!B11+'F-10 MGP'!B11+'F-10 FAP'!B11+'F-10 CONIDA'!B11+'F-10 ENAMM'!B11+'F-10 OPREFA'!B11</f>
        <v>0</v>
      </c>
      <c r="C11" s="558">
        <f>'F-10 OGA'!C11+'F-10 CCFFAA'!C11+'F-10 EP'!C11+'F-10 MGP'!C11+'F-10 FAP'!C11+'F-10 CONIDA'!C11+'F-10 ENAMM'!C11+'F-10 OPREFA'!C11</f>
        <v>0</v>
      </c>
      <c r="D11" s="563">
        <f>'F-10 OGA'!D11+'F-10 CCFFAA'!D11+'F-10 EP'!D11+'F-10 MGP'!D11+'F-10 FAP'!D11+'F-10 CONIDA'!D11+'F-10 ENAMM'!D11+'F-10 OPREFA'!D11</f>
        <v>0</v>
      </c>
      <c r="E11" s="558">
        <f>'F-10 OGA'!E11+'F-10 CCFFAA'!E11+'F-10 EP'!E11+'F-10 MGP'!E11+'F-10 FAP'!E11+'F-10 CONIDA'!E11+'F-10 ENAMM'!E11+'F-10 OPREFA'!E11</f>
        <v>0</v>
      </c>
      <c r="F11" s="562">
        <f>'F-10 OGA'!F11+'F-10 CCFFAA'!F11+'F-10 EP'!F11+'F-10 MGP'!F11+'F-10 FAP'!F11+'F-10 CONIDA'!F11+'F-10 ENAMM'!F11+'F-10 OPREFA'!F11</f>
        <v>0</v>
      </c>
      <c r="G11" s="558">
        <f>'F-10 OGA'!G11+'F-10 CCFFAA'!G11+'F-10 EP'!G11+'F-10 MGP'!G11+'F-10 FAP'!G11+'F-10 CONIDA'!G11+'F-10 ENAMM'!G11+'F-10 OPREFA'!G11</f>
        <v>0</v>
      </c>
      <c r="H11" s="557">
        <f t="shared" si="0"/>
        <v>0</v>
      </c>
      <c r="I11" s="556">
        <f t="shared" si="1"/>
        <v>0</v>
      </c>
    </row>
    <row r="12" spans="1:22">
      <c r="A12" s="25" t="s">
        <v>163</v>
      </c>
      <c r="B12" s="562">
        <f>'F-10 OGA'!B12+'F-10 CCFFAA'!B12+'F-10 EP'!B12+'F-10 MGP'!B12+'F-10 FAP'!B12+'F-10 CONIDA'!B12+'F-10 ENAMM'!B12+'F-10 OPREFA'!B12</f>
        <v>71364</v>
      </c>
      <c r="C12" s="558">
        <f>'F-10 OGA'!C12+'F-10 CCFFAA'!C12+'F-10 EP'!C12+'F-10 MGP'!C12+'F-10 FAP'!C12+'F-10 CONIDA'!C12+'F-10 ENAMM'!C12+'F-10 OPREFA'!C12</f>
        <v>71505853</v>
      </c>
      <c r="D12" s="563">
        <f>'F-10 OGA'!D12+'F-10 CCFFAA'!D12+'F-10 EP'!D12+'F-10 MGP'!D12+'F-10 FAP'!D12+'F-10 CONIDA'!D12+'F-10 ENAMM'!D12+'F-10 OPREFA'!D12</f>
        <v>71907</v>
      </c>
      <c r="E12" s="558">
        <f>'F-10 OGA'!E12+'F-10 CCFFAA'!E12+'F-10 EP'!E12+'F-10 MGP'!E12+'F-10 FAP'!E12+'F-10 CONIDA'!E12+'F-10 ENAMM'!E12+'F-10 OPREFA'!E12</f>
        <v>71942000</v>
      </c>
      <c r="F12" s="562">
        <f>'F-10 OGA'!F12+'F-10 CCFFAA'!F12+'F-10 EP'!F12+'F-10 MGP'!F12+'F-10 FAP'!F12+'F-10 CONIDA'!F12+'F-10 ENAMM'!F12+'F-10 OPREFA'!F12</f>
        <v>71129</v>
      </c>
      <c r="G12" s="558">
        <f>'F-10 OGA'!G12+'F-10 CCFFAA'!G12+'F-10 EP'!G12+'F-10 MGP'!G12+'F-10 FAP'!G12+'F-10 CONIDA'!G12+'F-10 ENAMM'!G12+'F-10 OPREFA'!G12</f>
        <v>71287133</v>
      </c>
      <c r="H12" s="557">
        <f t="shared" si="0"/>
        <v>-778</v>
      </c>
      <c r="I12" s="556">
        <f t="shared" si="1"/>
        <v>-654867</v>
      </c>
    </row>
    <row r="13" spans="1:22">
      <c r="A13" s="57" t="s">
        <v>170</v>
      </c>
      <c r="B13" s="562">
        <f>'F-10 OGA'!B13+'F-10 CCFFAA'!B13+'F-10 EP'!B13+'F-10 MGP'!B13+'F-10 FAP'!B13+'F-10 CONIDA'!B13+'F-10 ENAMM'!B13+'F-10 OPREFA'!B13</f>
        <v>0</v>
      </c>
      <c r="C13" s="558">
        <f>'F-10 OGA'!C13+'F-10 CCFFAA'!C13+'F-10 EP'!C13+'F-10 MGP'!C13+'F-10 FAP'!C13+'F-10 CONIDA'!C13+'F-10 ENAMM'!C13+'F-10 OPREFA'!C13</f>
        <v>0</v>
      </c>
      <c r="D13" s="563">
        <f>'F-10 OGA'!D13+'F-10 CCFFAA'!D13+'F-10 EP'!D13+'F-10 MGP'!D13+'F-10 FAP'!D13+'F-10 CONIDA'!D13+'F-10 ENAMM'!D13+'F-10 OPREFA'!D13</f>
        <v>0</v>
      </c>
      <c r="E13" s="558">
        <f>'F-10 OGA'!E13+'F-10 CCFFAA'!E13+'F-10 EP'!E13+'F-10 MGP'!E13+'F-10 FAP'!E13+'F-10 CONIDA'!E13+'F-10 ENAMM'!E13+'F-10 OPREFA'!E13</f>
        <v>0</v>
      </c>
      <c r="F13" s="562">
        <f>'F-10 OGA'!F13+'F-10 CCFFAA'!F13+'F-10 EP'!F13+'F-10 MGP'!F13+'F-10 FAP'!F13+'F-10 CONIDA'!F13+'F-10 ENAMM'!F13+'F-10 OPREFA'!F13</f>
        <v>0</v>
      </c>
      <c r="G13" s="558">
        <f>'F-10 OGA'!G13+'F-10 CCFFAA'!G13+'F-10 EP'!G13+'F-10 MGP'!G13+'F-10 FAP'!G13+'F-10 CONIDA'!G13+'F-10 ENAMM'!G13+'F-10 OPREFA'!G13</f>
        <v>0</v>
      </c>
      <c r="H13" s="557">
        <f t="shared" si="0"/>
        <v>0</v>
      </c>
      <c r="I13" s="556">
        <f t="shared" si="1"/>
        <v>0</v>
      </c>
    </row>
    <row r="14" spans="1:22">
      <c r="A14" s="57" t="s">
        <v>27</v>
      </c>
      <c r="B14" s="562">
        <f>'F-10 OGA'!B14+'F-10 CCFFAA'!B14+'F-10 EP'!B14+'F-10 MGP'!B14+'F-10 FAP'!B14+'F-10 CONIDA'!B14+'F-10 ENAMM'!B14+'F-10 OPREFA'!B14</f>
        <v>126</v>
      </c>
      <c r="C14" s="558">
        <f>'F-10 OGA'!C14+'F-10 CCFFAA'!C14+'F-10 EP'!C14+'F-10 MGP'!C14+'F-10 FAP'!C14+'F-10 CONIDA'!C14+'F-10 ENAMM'!C14+'F-10 OPREFA'!C14</f>
        <v>10965790</v>
      </c>
      <c r="D14" s="563">
        <f>'F-10 OGA'!D14+'F-10 CCFFAA'!D14+'F-10 EP'!D14+'F-10 MGP'!D14+'F-10 FAP'!D14+'F-10 CONIDA'!D14+'F-10 ENAMM'!D14+'F-10 OPREFA'!D14</f>
        <v>121</v>
      </c>
      <c r="E14" s="558">
        <f>'F-10 OGA'!E14+'F-10 CCFFAA'!E14+'F-10 EP'!E14+'F-10 MGP'!E14+'F-10 FAP'!E14+'F-10 CONIDA'!E14+'F-10 ENAMM'!E14+'F-10 OPREFA'!E14</f>
        <v>104001008</v>
      </c>
      <c r="F14" s="562">
        <f>'F-10 OGA'!F14+'F-10 CCFFAA'!F14+'F-10 EP'!F14+'F-10 MGP'!F14+'F-10 FAP'!F14+'F-10 CONIDA'!F14+'F-10 ENAMM'!F14+'F-10 OPREFA'!F14</f>
        <v>121</v>
      </c>
      <c r="G14" s="558">
        <f>'F-10 OGA'!G14+'F-10 CCFFAA'!G14+'F-10 EP'!G14+'F-10 MGP'!G14+'F-10 FAP'!G14+'F-10 CONIDA'!G14+'F-10 ENAMM'!G14+'F-10 OPREFA'!G14</f>
        <v>19722617</v>
      </c>
      <c r="H14" s="557">
        <f t="shared" si="0"/>
        <v>0</v>
      </c>
      <c r="I14" s="556">
        <f t="shared" si="1"/>
        <v>-84278391</v>
      </c>
    </row>
    <row r="15" spans="1:22">
      <c r="A15" s="57" t="s">
        <v>167</v>
      </c>
      <c r="B15" s="562">
        <f>'F-10 OGA'!B15+'F-10 CCFFAA'!B15+'F-10 EP'!B15+'F-10 MGP'!B15+'F-10 FAP'!B15+'F-10 CONIDA'!B15+'F-10 ENAMM'!B15+'F-10 OPREFA'!B15</f>
        <v>0</v>
      </c>
      <c r="C15" s="558">
        <f>'F-10 OGA'!C15+'F-10 CCFFAA'!C15+'F-10 EP'!C15+'F-10 MGP'!C15+'F-10 FAP'!C15+'F-10 CONIDA'!C15+'F-10 ENAMM'!C15+'F-10 OPREFA'!C15</f>
        <v>0</v>
      </c>
      <c r="D15" s="563">
        <f>'F-10 OGA'!D15+'F-10 CCFFAA'!D15+'F-10 EP'!D15+'F-10 MGP'!D15+'F-10 FAP'!D15+'F-10 CONIDA'!D15+'F-10 ENAMM'!D15+'F-10 OPREFA'!D15</f>
        <v>0</v>
      </c>
      <c r="E15" s="558">
        <f>'F-10 OGA'!E15+'F-10 CCFFAA'!E15+'F-10 EP'!E15+'F-10 MGP'!E15+'F-10 FAP'!E15+'F-10 CONIDA'!E15+'F-10 ENAMM'!E15+'F-10 OPREFA'!E15</f>
        <v>0</v>
      </c>
      <c r="F15" s="562">
        <f>'F-10 OGA'!F15+'F-10 CCFFAA'!F15+'F-10 EP'!F15+'F-10 MGP'!F15+'F-10 FAP'!F15+'F-10 CONIDA'!F15+'F-10 ENAMM'!F15+'F-10 OPREFA'!F15</f>
        <v>0</v>
      </c>
      <c r="G15" s="558">
        <f>'F-10 OGA'!G15+'F-10 CCFFAA'!G15+'F-10 EP'!G15+'F-10 MGP'!G15+'F-10 FAP'!G15+'F-10 CONIDA'!G15+'F-10 ENAMM'!G15+'F-10 OPREFA'!G15</f>
        <v>0</v>
      </c>
      <c r="H15" s="557">
        <f t="shared" si="0"/>
        <v>0</v>
      </c>
      <c r="I15" s="556">
        <f t="shared" si="1"/>
        <v>0</v>
      </c>
    </row>
    <row r="16" spans="1:22">
      <c r="A16" s="57" t="s">
        <v>26</v>
      </c>
      <c r="B16" s="562">
        <f>'F-10 OGA'!B16+'F-10 CCFFAA'!B16+'F-10 EP'!B16+'F-10 MGP'!B16+'F-10 FAP'!B16+'F-10 CONIDA'!B16+'F-10 ENAMM'!B16+'F-10 OPREFA'!B16</f>
        <v>128458</v>
      </c>
      <c r="C16" s="558">
        <f>'F-10 OGA'!C16+'F-10 CCFFAA'!C16+'F-10 EP'!C16+'F-10 MGP'!C16+'F-10 FAP'!C16+'F-10 CONIDA'!C16+'F-10 ENAMM'!C16+'F-10 OPREFA'!C16</f>
        <v>315263873</v>
      </c>
      <c r="D16" s="563">
        <f>'F-10 OGA'!D16+'F-10 CCFFAA'!D16+'F-10 EP'!D16+'F-10 MGP'!D16+'F-10 FAP'!D16+'F-10 CONIDA'!D16+'F-10 ENAMM'!D16+'F-10 OPREFA'!D16</f>
        <v>130593</v>
      </c>
      <c r="E16" s="558">
        <f>'F-10 OGA'!E16+'F-10 CCFFAA'!E16+'F-10 EP'!E16+'F-10 MGP'!E16+'F-10 FAP'!E16+'F-10 CONIDA'!E16+'F-10 ENAMM'!E16+'F-10 OPREFA'!E16</f>
        <v>312773642</v>
      </c>
      <c r="F16" s="562">
        <f>'F-10 OGA'!F16+'F-10 CCFFAA'!F16+'F-10 EP'!F16+'F-10 MGP'!F16+'F-10 FAP'!F16+'F-10 CONIDA'!F16+'F-10 ENAMM'!F16+'F-10 OPREFA'!F16</f>
        <v>135831</v>
      </c>
      <c r="G16" s="558">
        <f>'F-10 OGA'!G16+'F-10 CCFFAA'!G16+'F-10 EP'!G16+'F-10 MGP'!G16+'F-10 FAP'!G16+'F-10 CONIDA'!G16+'F-10 ENAMM'!G16+'F-10 OPREFA'!G16</f>
        <v>370317942</v>
      </c>
      <c r="H16" s="557">
        <f t="shared" si="0"/>
        <v>5238</v>
      </c>
      <c r="I16" s="556">
        <f t="shared" si="1"/>
        <v>57544300</v>
      </c>
    </row>
    <row r="17" spans="1:9">
      <c r="A17" s="57" t="s">
        <v>168</v>
      </c>
      <c r="B17" s="562">
        <f>'F-10 OGA'!B17+'F-10 CCFFAA'!B17+'F-10 EP'!B17+'F-10 MGP'!B17+'F-10 FAP'!B17+'F-10 CONIDA'!B17+'F-10 ENAMM'!B17+'F-10 OPREFA'!B17</f>
        <v>0</v>
      </c>
      <c r="C17" s="558">
        <f>'F-10 OGA'!C17+'F-10 CCFFAA'!C17+'F-10 EP'!C17+'F-10 MGP'!C17+'F-10 FAP'!C17+'F-10 CONIDA'!C17+'F-10 ENAMM'!C17+'F-10 OPREFA'!C17</f>
        <v>0</v>
      </c>
      <c r="D17" s="563">
        <f>'F-10 OGA'!D17+'F-10 CCFFAA'!D17+'F-10 EP'!D17+'F-10 MGP'!D17+'F-10 FAP'!D17+'F-10 CONIDA'!D17+'F-10 ENAMM'!D17+'F-10 OPREFA'!D17</f>
        <v>0</v>
      </c>
      <c r="E17" s="558">
        <f>'F-10 OGA'!E17+'F-10 CCFFAA'!E17+'F-10 EP'!E17+'F-10 MGP'!E17+'F-10 FAP'!E17+'F-10 CONIDA'!E17+'F-10 ENAMM'!E17+'F-10 OPREFA'!E17</f>
        <v>0</v>
      </c>
      <c r="F17" s="562">
        <f>'F-10 OGA'!F17+'F-10 CCFFAA'!F17+'F-10 EP'!F17+'F-10 MGP'!F17+'F-10 FAP'!F17+'F-10 CONIDA'!F17+'F-10 ENAMM'!F17+'F-10 OPREFA'!F17</f>
        <v>0</v>
      </c>
      <c r="G17" s="558">
        <f>'F-10 OGA'!G17+'F-10 CCFFAA'!G17+'F-10 EP'!G17+'F-10 MGP'!G17+'F-10 FAP'!G17+'F-10 CONIDA'!G17+'F-10 ENAMM'!G17+'F-10 OPREFA'!G17</f>
        <v>0</v>
      </c>
      <c r="H17" s="557">
        <f t="shared" si="0"/>
        <v>0</v>
      </c>
      <c r="I17" s="556">
        <f t="shared" si="1"/>
        <v>0</v>
      </c>
    </row>
    <row r="18" spans="1:9">
      <c r="A18" s="57" t="s">
        <v>166</v>
      </c>
      <c r="B18" s="562">
        <f>'F-10 OGA'!B18+'F-10 CCFFAA'!B18+'F-10 EP'!B18+'F-10 MGP'!B18+'F-10 FAP'!B18+'F-10 CONIDA'!B18+'F-10 ENAMM'!B18+'F-10 OPREFA'!B18</f>
        <v>0</v>
      </c>
      <c r="C18" s="558">
        <f>'F-10 OGA'!C18+'F-10 CCFFAA'!C18+'F-10 EP'!C18+'F-10 MGP'!C18+'F-10 FAP'!C18+'F-10 CONIDA'!C18+'F-10 ENAMM'!C18+'F-10 OPREFA'!C18</f>
        <v>0</v>
      </c>
      <c r="D18" s="563">
        <f>'F-10 OGA'!D18+'F-10 CCFFAA'!D18+'F-10 EP'!D18+'F-10 MGP'!D18+'F-10 FAP'!D18+'F-10 CONIDA'!D18+'F-10 ENAMM'!D18+'F-10 OPREFA'!D18</f>
        <v>0</v>
      </c>
      <c r="E18" s="558">
        <f>'F-10 OGA'!E18+'F-10 CCFFAA'!E18+'F-10 EP'!E18+'F-10 MGP'!E18+'F-10 FAP'!E18+'F-10 CONIDA'!E18+'F-10 ENAMM'!E18+'F-10 OPREFA'!E18</f>
        <v>0</v>
      </c>
      <c r="F18" s="562">
        <f>'F-10 OGA'!F18+'F-10 CCFFAA'!F18+'F-10 EP'!F18+'F-10 MGP'!F18+'F-10 FAP'!F18+'F-10 CONIDA'!F18+'F-10 ENAMM'!F18+'F-10 OPREFA'!F18</f>
        <v>0</v>
      </c>
      <c r="G18" s="558">
        <f>'F-10 OGA'!G18+'F-10 CCFFAA'!G18+'F-10 EP'!G18+'F-10 MGP'!G18+'F-10 FAP'!G18+'F-10 CONIDA'!G18+'F-10 ENAMM'!G18+'F-10 OPREFA'!G18</f>
        <v>0</v>
      </c>
      <c r="H18" s="557">
        <f t="shared" si="0"/>
        <v>0</v>
      </c>
      <c r="I18" s="556">
        <f t="shared" si="1"/>
        <v>0</v>
      </c>
    </row>
    <row r="19" spans="1:9">
      <c r="A19" s="57" t="s">
        <v>169</v>
      </c>
      <c r="B19" s="562">
        <f>'F-10 OGA'!B19+'F-10 CCFFAA'!B19+'F-10 EP'!B19+'F-10 MGP'!B19+'F-10 FAP'!B19+'F-10 CONIDA'!B19+'F-10 ENAMM'!B19+'F-10 OPREFA'!B19</f>
        <v>0</v>
      </c>
      <c r="C19" s="558">
        <f>'F-10 OGA'!C19+'F-10 CCFFAA'!C19+'F-10 EP'!C19+'F-10 MGP'!C19+'F-10 FAP'!C19+'F-10 CONIDA'!C19+'F-10 ENAMM'!C19+'F-10 OPREFA'!C19</f>
        <v>0</v>
      </c>
      <c r="D19" s="563">
        <f>'F-10 OGA'!D19+'F-10 CCFFAA'!D19+'F-10 EP'!D19+'F-10 MGP'!D19+'F-10 FAP'!D19+'F-10 CONIDA'!D19+'F-10 ENAMM'!D19+'F-10 OPREFA'!D19</f>
        <v>0</v>
      </c>
      <c r="E19" s="558">
        <f>'F-10 OGA'!E19+'F-10 CCFFAA'!E19+'F-10 EP'!E19+'F-10 MGP'!E19+'F-10 FAP'!E19+'F-10 CONIDA'!E19+'F-10 ENAMM'!E19+'F-10 OPREFA'!E19</f>
        <v>0</v>
      </c>
      <c r="F19" s="562">
        <f>'F-10 OGA'!F19+'F-10 CCFFAA'!F19+'F-10 EP'!F19+'F-10 MGP'!F19+'F-10 FAP'!F19+'F-10 CONIDA'!F19+'F-10 ENAMM'!F19+'F-10 OPREFA'!F19</f>
        <v>0</v>
      </c>
      <c r="G19" s="558">
        <f>'F-10 OGA'!G19+'F-10 CCFFAA'!G19+'F-10 EP'!G19+'F-10 MGP'!G19+'F-10 FAP'!G19+'F-10 CONIDA'!G19+'F-10 ENAMM'!G19+'F-10 OPREFA'!G19</f>
        <v>0</v>
      </c>
      <c r="H19" s="557">
        <f t="shared" si="0"/>
        <v>0</v>
      </c>
      <c r="I19" s="556">
        <f t="shared" si="1"/>
        <v>0</v>
      </c>
    </row>
    <row r="20" spans="1:9">
      <c r="A20" s="57" t="s">
        <v>28</v>
      </c>
      <c r="B20" s="562">
        <f>'F-10 OGA'!B20+'F-10 CCFFAA'!B20+'F-10 EP'!B20+'F-10 MGP'!B20+'F-10 FAP'!B20+'F-10 CONIDA'!B20+'F-10 ENAMM'!B20+'F-10 OPREFA'!B20</f>
        <v>11709</v>
      </c>
      <c r="C20" s="558">
        <f>'F-10 OGA'!C20+'F-10 CCFFAA'!C20+'F-10 EP'!C20+'F-10 MGP'!C20+'F-10 FAP'!C20+'F-10 CONIDA'!C20+'F-10 ENAMM'!C20+'F-10 OPREFA'!C20</f>
        <v>122746508</v>
      </c>
      <c r="D20" s="563">
        <f>'F-10 OGA'!D20+'F-10 CCFFAA'!D20+'F-10 EP'!D20+'F-10 MGP'!D20+'F-10 FAP'!D20+'F-10 CONIDA'!D20+'F-10 ENAMM'!D20+'F-10 OPREFA'!D20</f>
        <v>11723</v>
      </c>
      <c r="E20" s="558">
        <f>'F-10 OGA'!E20+'F-10 CCFFAA'!E20+'F-10 EP'!E20+'F-10 MGP'!E20+'F-10 FAP'!E20+'F-10 CONIDA'!E20+'F-10 ENAMM'!E20+'F-10 OPREFA'!E20</f>
        <v>150023561</v>
      </c>
      <c r="F20" s="562">
        <f>'F-10 OGA'!F20+'F-10 CCFFAA'!F20+'F-10 EP'!F20+'F-10 MGP'!F20+'F-10 FAP'!F20+'F-10 CONIDA'!F20+'F-10 ENAMM'!F20+'F-10 OPREFA'!F20</f>
        <v>11496</v>
      </c>
      <c r="G20" s="558">
        <f>'F-10 OGA'!G20+'F-10 CCFFAA'!G20+'F-10 EP'!G20+'F-10 MGP'!G20+'F-10 FAP'!G20+'F-10 CONIDA'!G20+'F-10 ENAMM'!G20+'F-10 OPREFA'!G20</f>
        <v>148035661</v>
      </c>
      <c r="H20" s="557">
        <f t="shared" si="0"/>
        <v>-227</v>
      </c>
      <c r="I20" s="556">
        <f t="shared" si="1"/>
        <v>-1987900</v>
      </c>
    </row>
    <row r="21" spans="1:9">
      <c r="A21" s="57" t="s">
        <v>161</v>
      </c>
      <c r="B21" s="562">
        <f>'F-10 OGA'!B21+'F-10 CCFFAA'!B21+'F-10 EP'!B21+'F-10 MGP'!B21+'F-10 FAP'!B21+'F-10 CONIDA'!B21+'F-10 ENAMM'!B21+'F-10 OPREFA'!B21</f>
        <v>19</v>
      </c>
      <c r="C21" s="558">
        <f>'F-10 OGA'!C21+'F-10 CCFFAA'!C21+'F-10 EP'!C21+'F-10 MGP'!C21+'F-10 FAP'!C21+'F-10 CONIDA'!C21+'F-10 ENAMM'!C21+'F-10 OPREFA'!C21</f>
        <v>278950</v>
      </c>
      <c r="D21" s="563">
        <f>'F-10 OGA'!D21+'F-10 CCFFAA'!D21+'F-10 EP'!D21+'F-10 MGP'!D21+'F-10 FAP'!D21+'F-10 CONIDA'!D21+'F-10 ENAMM'!D21+'F-10 OPREFA'!D21</f>
        <v>16</v>
      </c>
      <c r="E21" s="558">
        <f>'F-10 OGA'!E21+'F-10 CCFFAA'!E21+'F-10 EP'!E21+'F-10 MGP'!E21+'F-10 FAP'!E21+'F-10 CONIDA'!E21+'F-10 ENAMM'!E21+'F-10 OPREFA'!E21</f>
        <v>198274</v>
      </c>
      <c r="F21" s="562">
        <f>'F-10 OGA'!F21+'F-10 CCFFAA'!F21+'F-10 EP'!F21+'F-10 MGP'!F21+'F-10 FAP'!F21+'F-10 CONIDA'!F21+'F-10 ENAMM'!F21+'F-10 OPREFA'!F21</f>
        <v>15</v>
      </c>
      <c r="G21" s="558">
        <f>'F-10 OGA'!G21+'F-10 CCFFAA'!G21+'F-10 EP'!G21+'F-10 MGP'!G21+'F-10 FAP'!G21+'F-10 CONIDA'!G21+'F-10 ENAMM'!G21+'F-10 OPREFA'!G21</f>
        <v>155757</v>
      </c>
      <c r="H21" s="557">
        <f t="shared" si="0"/>
        <v>-1</v>
      </c>
      <c r="I21" s="556">
        <f t="shared" si="1"/>
        <v>-42517</v>
      </c>
    </row>
    <row r="22" spans="1:9" ht="12.75" thickBot="1">
      <c r="A22" s="57" t="s">
        <v>39</v>
      </c>
      <c r="B22" s="562">
        <f>'F-10 OGA'!B22+'F-10 CCFFAA'!B22+'F-10 EP'!B22+'F-10 MGP'!B22+'F-10 FAP'!B22+'F-10 CONIDA'!B22+'F-10 ENAMM'!B22+'F-10 OPREFA'!B22</f>
        <v>0</v>
      </c>
      <c r="C22" s="558">
        <f>'F-10 OGA'!C22+'F-10 CCFFAA'!C22+'F-10 EP'!C22+'F-10 MGP'!C22+'F-10 FAP'!C22+'F-10 CONIDA'!C22+'F-10 ENAMM'!C22+'F-10 OPREFA'!C22</f>
        <v>0</v>
      </c>
      <c r="D22" s="563">
        <f>'F-10 OGA'!D22+'F-10 CCFFAA'!D22+'F-10 EP'!D22+'F-10 MGP'!D22+'F-10 FAP'!D22+'F-10 CONIDA'!D22+'F-10 ENAMM'!D22+'F-10 OPREFA'!D22</f>
        <v>0</v>
      </c>
      <c r="E22" s="558">
        <f>'F-10 OGA'!E22+'F-10 CCFFAA'!E22+'F-10 EP'!E22+'F-10 MGP'!E22+'F-10 FAP'!E22+'F-10 CONIDA'!E22+'F-10 ENAMM'!E22+'F-10 OPREFA'!E22</f>
        <v>0</v>
      </c>
      <c r="F22" s="562">
        <f>'F-10 OGA'!F22+'F-10 CCFFAA'!F22+'F-10 EP'!F22+'F-10 MGP'!F22+'F-10 FAP'!F22+'F-10 CONIDA'!F22+'F-10 ENAMM'!F22+'F-10 OPREFA'!F22</f>
        <v>0</v>
      </c>
      <c r="G22" s="558">
        <f>'F-10 OGA'!G22+'F-10 CCFFAA'!G22+'F-10 EP'!G22+'F-10 MGP'!G22+'F-10 FAP'!G22+'F-10 CONIDA'!G22+'F-10 ENAMM'!G22+'F-10 OPREFA'!G22</f>
        <v>0</v>
      </c>
      <c r="H22" s="557">
        <f t="shared" si="0"/>
        <v>0</v>
      </c>
      <c r="I22" s="556">
        <f t="shared" si="1"/>
        <v>0</v>
      </c>
    </row>
    <row r="23" spans="1:9" ht="12.75" thickBot="1">
      <c r="A23" s="17" t="s">
        <v>38</v>
      </c>
      <c r="B23" s="553">
        <f>B7</f>
        <v>112819</v>
      </c>
      <c r="C23" s="551">
        <f>SUM(C7:C22)</f>
        <v>3753814276</v>
      </c>
      <c r="D23" s="555">
        <f>D7</f>
        <v>112956</v>
      </c>
      <c r="E23" s="554">
        <f>SUM(E7:E22)</f>
        <v>3777624696</v>
      </c>
      <c r="F23" s="553">
        <f>F7</f>
        <v>107947</v>
      </c>
      <c r="G23" s="551">
        <f>SUM(G7:G22)</f>
        <v>3822152344</v>
      </c>
      <c r="H23" s="552">
        <f>H7</f>
        <v>-5009</v>
      </c>
      <c r="I23" s="551">
        <f>SUM(I7:I22)</f>
        <v>44527648</v>
      </c>
    </row>
    <row r="24" spans="1:9">
      <c r="A24" s="1" t="s">
        <v>313</v>
      </c>
      <c r="B24" s="2"/>
      <c r="C24" s="2"/>
      <c r="D24" s="2"/>
      <c r="E24" s="2"/>
      <c r="F24" s="2"/>
      <c r="G24" s="2"/>
      <c r="H24" s="2"/>
      <c r="I24" s="2"/>
    </row>
    <row r="25" spans="1:9">
      <c r="A25" s="1" t="s">
        <v>90</v>
      </c>
      <c r="B25" s="2"/>
      <c r="C25" s="2"/>
      <c r="D25" s="2"/>
      <c r="E25" s="2"/>
      <c r="F25" s="2"/>
      <c r="G25" s="2"/>
      <c r="H25" s="2"/>
      <c r="I25" s="2"/>
    </row>
    <row r="26" spans="1:9">
      <c r="A26" s="1"/>
      <c r="B26" s="2"/>
      <c r="C26" s="2"/>
      <c r="D26" s="2"/>
      <c r="E26" s="2"/>
      <c r="F26" s="2"/>
      <c r="G26" s="2"/>
      <c r="H26" s="2"/>
      <c r="I26" s="2"/>
    </row>
    <row r="27" spans="1:9">
      <c r="C27" s="467"/>
      <c r="E27" s="467"/>
    </row>
    <row r="29" spans="1:9">
      <c r="E29" s="526"/>
    </row>
    <row r="31" spans="1:9">
      <c r="E31" s="467"/>
    </row>
    <row r="32" spans="1:9">
      <c r="E32" s="467"/>
    </row>
    <row r="33" spans="5:10">
      <c r="E33" s="467"/>
    </row>
    <row r="34" spans="5:10">
      <c r="E34" s="467"/>
    </row>
    <row r="35" spans="5:10">
      <c r="E35" s="467"/>
    </row>
    <row r="36" spans="5:10">
      <c r="E36" s="467"/>
    </row>
    <row r="37" spans="5:10">
      <c r="E37" s="467"/>
    </row>
    <row r="38" spans="5:10">
      <c r="E38" s="467"/>
    </row>
    <row r="39" spans="5:10">
      <c r="E39" s="526"/>
    </row>
    <row r="42" spans="5:10">
      <c r="J42" s="265"/>
    </row>
  </sheetData>
  <mergeCells count="4">
    <mergeCell ref="B5:C5"/>
    <mergeCell ref="D5:E5"/>
    <mergeCell ref="F5:G5"/>
    <mergeCell ref="H5:I5"/>
  </mergeCells>
  <printOptions horizontalCentered="1"/>
  <pageMargins left="0.19685039370078741" right="0.19685039370078741" top="0.78740157480314965" bottom="0.78740157480314965" header="0.19685039370078741" footer="0.19685039370078741"/>
  <pageSetup paperSize="9" scale="81"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2060"/>
  </sheetPr>
  <dimension ref="A1:V42"/>
  <sheetViews>
    <sheetView view="pageBreakPreview" zoomScaleNormal="100" zoomScaleSheetLayoutView="100" workbookViewId="0">
      <selection activeCell="B8" sqref="B8"/>
    </sheetView>
  </sheetViews>
  <sheetFormatPr baseColWidth="10" defaultColWidth="11.42578125" defaultRowHeight="12"/>
  <cols>
    <col min="1" max="1" width="62" style="68" customWidth="1"/>
    <col min="2" max="9" width="14.7109375" style="68" customWidth="1"/>
    <col min="10" max="16384" width="11.42578125" style="68"/>
  </cols>
  <sheetData>
    <row r="1" spans="1:22" s="70" customFormat="1" ht="15.75">
      <c r="A1" s="186" t="s">
        <v>459</v>
      </c>
      <c r="B1" s="75"/>
      <c r="C1" s="74"/>
      <c r="D1" s="74"/>
      <c r="E1" s="74"/>
      <c r="F1" s="74"/>
      <c r="H1" s="71"/>
      <c r="I1" s="71"/>
    </row>
    <row r="2" spans="1:22" s="72" customFormat="1" ht="15.75">
      <c r="A2" s="186" t="s">
        <v>382</v>
      </c>
      <c r="B2" s="71"/>
      <c r="C2" s="71"/>
      <c r="D2" s="71"/>
      <c r="E2" s="71"/>
      <c r="F2" s="71"/>
      <c r="G2" s="71"/>
      <c r="H2" s="71"/>
      <c r="I2" s="71"/>
      <c r="J2" s="71"/>
      <c r="K2" s="71"/>
      <c r="L2" s="71"/>
      <c r="M2" s="71"/>
      <c r="N2" s="71"/>
      <c r="O2" s="71"/>
      <c r="P2" s="71"/>
      <c r="Q2" s="71"/>
      <c r="R2" s="71"/>
      <c r="S2" s="71"/>
      <c r="T2" s="71"/>
      <c r="U2" s="71"/>
      <c r="V2" s="71"/>
    </row>
    <row r="3" spans="1:22" s="72" customFormat="1" ht="15.75">
      <c r="A3" s="187" t="s">
        <v>1654</v>
      </c>
      <c r="B3" s="71"/>
      <c r="C3" s="71"/>
      <c r="D3" s="71"/>
      <c r="E3" s="71"/>
      <c r="F3" s="71"/>
      <c r="G3" s="71"/>
      <c r="H3" s="71"/>
      <c r="I3" s="71"/>
      <c r="J3" s="71"/>
      <c r="K3" s="71"/>
      <c r="L3" s="71"/>
      <c r="M3" s="71"/>
      <c r="N3" s="71"/>
      <c r="O3" s="71"/>
      <c r="P3" s="71"/>
      <c r="Q3" s="71"/>
      <c r="R3" s="71"/>
      <c r="S3" s="71"/>
      <c r="T3" s="71"/>
      <c r="U3" s="71"/>
      <c r="V3" s="71"/>
    </row>
    <row r="4" spans="1:22" ht="13.5" thickBot="1">
      <c r="A4" s="187" t="s">
        <v>1653</v>
      </c>
      <c r="B4" s="8"/>
      <c r="E4" s="8"/>
    </row>
    <row r="5" spans="1:22" ht="12.75" thickBot="1">
      <c r="A5" s="127" t="s">
        <v>10</v>
      </c>
      <c r="B5" s="2018" t="s">
        <v>312</v>
      </c>
      <c r="C5" s="2018"/>
      <c r="D5" s="2016" t="s">
        <v>460</v>
      </c>
      <c r="E5" s="2015"/>
      <c r="F5" s="2016" t="s">
        <v>461</v>
      </c>
      <c r="G5" s="2017"/>
      <c r="H5" s="2016" t="s">
        <v>7067</v>
      </c>
      <c r="I5" s="2017"/>
    </row>
    <row r="6" spans="1:22" s="39" customFormat="1" ht="24" customHeight="1">
      <c r="A6" s="398" t="s">
        <v>9</v>
      </c>
      <c r="B6" s="391" t="s">
        <v>136</v>
      </c>
      <c r="C6" s="129" t="s">
        <v>25</v>
      </c>
      <c r="D6" s="391" t="s">
        <v>136</v>
      </c>
      <c r="E6" s="129" t="s">
        <v>25</v>
      </c>
      <c r="F6" s="391" t="s">
        <v>136</v>
      </c>
      <c r="G6" s="129" t="s">
        <v>25</v>
      </c>
      <c r="H6" s="391" t="s">
        <v>136</v>
      </c>
      <c r="I6" s="129" t="s">
        <v>25</v>
      </c>
    </row>
    <row r="7" spans="1:22">
      <c r="A7" s="57" t="s">
        <v>133</v>
      </c>
      <c r="B7" s="37">
        <v>129</v>
      </c>
      <c r="C7" s="564">
        <v>4622270</v>
      </c>
      <c r="D7" s="30">
        <v>124</v>
      </c>
      <c r="E7" s="564">
        <v>4256614</v>
      </c>
      <c r="F7" s="30">
        <v>122</v>
      </c>
      <c r="G7" s="564">
        <v>3372690</v>
      </c>
      <c r="H7" s="557">
        <f t="shared" ref="H7:H22" si="0">F7-D7</f>
        <v>-2</v>
      </c>
      <c r="I7" s="556">
        <f t="shared" ref="I7:I22" si="1">G7-E7</f>
        <v>-883924</v>
      </c>
    </row>
    <row r="8" spans="1:22">
      <c r="A8" s="57" t="s">
        <v>164</v>
      </c>
      <c r="B8" s="37"/>
      <c r="C8" s="34"/>
      <c r="D8" s="30"/>
      <c r="E8" s="564"/>
      <c r="F8" s="30"/>
      <c r="G8" s="564"/>
      <c r="H8" s="557">
        <f t="shared" si="0"/>
        <v>0</v>
      </c>
      <c r="I8" s="556">
        <f t="shared" si="1"/>
        <v>0</v>
      </c>
    </row>
    <row r="9" spans="1:22">
      <c r="A9" s="57" t="s">
        <v>162</v>
      </c>
      <c r="B9" s="37"/>
      <c r="C9" s="34"/>
      <c r="D9" s="30"/>
      <c r="E9" s="564"/>
      <c r="F9" s="30"/>
      <c r="G9" s="564"/>
      <c r="H9" s="557">
        <f t="shared" si="0"/>
        <v>0</v>
      </c>
      <c r="I9" s="556">
        <f t="shared" si="1"/>
        <v>0</v>
      </c>
    </row>
    <row r="10" spans="1:22">
      <c r="A10" s="25" t="s">
        <v>171</v>
      </c>
      <c r="B10" s="37"/>
      <c r="C10" s="34"/>
      <c r="D10" s="30"/>
      <c r="E10" s="564"/>
      <c r="F10" s="30"/>
      <c r="G10" s="564"/>
      <c r="H10" s="557">
        <f t="shared" si="0"/>
        <v>0</v>
      </c>
      <c r="I10" s="556">
        <f t="shared" si="1"/>
        <v>0</v>
      </c>
    </row>
    <row r="11" spans="1:22">
      <c r="A11" s="57" t="s">
        <v>165</v>
      </c>
      <c r="B11" s="37"/>
      <c r="C11" s="34"/>
      <c r="D11" s="30"/>
      <c r="E11" s="564"/>
      <c r="F11" s="30"/>
      <c r="G11" s="564"/>
      <c r="H11" s="557">
        <f t="shared" si="0"/>
        <v>0</v>
      </c>
      <c r="I11" s="556">
        <f t="shared" si="1"/>
        <v>0</v>
      </c>
    </row>
    <row r="12" spans="1:22">
      <c r="A12" s="25" t="s">
        <v>163</v>
      </c>
      <c r="B12" s="37">
        <v>126</v>
      </c>
      <c r="C12" s="564">
        <v>354000</v>
      </c>
      <c r="D12" s="30">
        <v>121</v>
      </c>
      <c r="E12" s="564">
        <v>346000</v>
      </c>
      <c r="F12" s="30">
        <v>121</v>
      </c>
      <c r="G12" s="564">
        <v>335000</v>
      </c>
      <c r="H12" s="557">
        <f t="shared" si="0"/>
        <v>0</v>
      </c>
      <c r="I12" s="556">
        <f t="shared" si="1"/>
        <v>-11000</v>
      </c>
    </row>
    <row r="13" spans="1:22">
      <c r="A13" s="57" t="s">
        <v>170</v>
      </c>
      <c r="B13" s="37"/>
      <c r="C13" s="34"/>
      <c r="D13" s="30"/>
      <c r="E13" s="564"/>
      <c r="F13" s="30"/>
      <c r="G13" s="564"/>
      <c r="H13" s="557">
        <f t="shared" si="0"/>
        <v>0</v>
      </c>
      <c r="I13" s="556">
        <f t="shared" si="1"/>
        <v>0</v>
      </c>
    </row>
    <row r="14" spans="1:22">
      <c r="A14" s="57" t="s">
        <v>27</v>
      </c>
      <c r="B14" s="37">
        <v>126</v>
      </c>
      <c r="C14" s="564">
        <f>111000+120900</f>
        <v>231900</v>
      </c>
      <c r="D14" s="30">
        <v>121</v>
      </c>
      <c r="E14" s="564">
        <v>808791</v>
      </c>
      <c r="F14" s="30">
        <v>121</v>
      </c>
      <c r="G14" s="564">
        <v>581984</v>
      </c>
      <c r="H14" s="557">
        <f t="shared" si="0"/>
        <v>0</v>
      </c>
      <c r="I14" s="556">
        <f t="shared" si="1"/>
        <v>-226807</v>
      </c>
    </row>
    <row r="15" spans="1:22">
      <c r="A15" s="57" t="s">
        <v>167</v>
      </c>
      <c r="B15" s="37"/>
      <c r="C15" s="34"/>
      <c r="D15" s="30"/>
      <c r="E15" s="564"/>
      <c r="F15" s="30"/>
      <c r="G15" s="564"/>
      <c r="H15" s="557">
        <f t="shared" si="0"/>
        <v>0</v>
      </c>
      <c r="I15" s="556">
        <f t="shared" si="1"/>
        <v>0</v>
      </c>
    </row>
    <row r="16" spans="1:22">
      <c r="A16" s="57" t="s">
        <v>26</v>
      </c>
      <c r="B16" s="37"/>
      <c r="C16" s="564">
        <v>333287</v>
      </c>
      <c r="D16" s="30"/>
      <c r="E16" s="564">
        <v>307032</v>
      </c>
      <c r="F16" s="30"/>
      <c r="G16" s="564">
        <v>291656</v>
      </c>
      <c r="H16" s="557">
        <f t="shared" si="0"/>
        <v>0</v>
      </c>
      <c r="I16" s="556">
        <f t="shared" si="1"/>
        <v>-15376</v>
      </c>
    </row>
    <row r="17" spans="1:9">
      <c r="A17" s="57" t="s">
        <v>168</v>
      </c>
      <c r="B17" s="37"/>
      <c r="C17" s="34"/>
      <c r="D17" s="30"/>
      <c r="E17" s="564"/>
      <c r="F17" s="30"/>
      <c r="G17" s="564"/>
      <c r="H17" s="557">
        <f t="shared" si="0"/>
        <v>0</v>
      </c>
      <c r="I17" s="556">
        <f t="shared" si="1"/>
        <v>0</v>
      </c>
    </row>
    <row r="18" spans="1:9">
      <c r="A18" s="57" t="s">
        <v>166</v>
      </c>
      <c r="B18" s="37"/>
      <c r="C18" s="34"/>
      <c r="D18" s="30"/>
      <c r="E18" s="564"/>
      <c r="F18" s="30"/>
      <c r="G18" s="564"/>
      <c r="H18" s="557">
        <f t="shared" si="0"/>
        <v>0</v>
      </c>
      <c r="I18" s="556">
        <f t="shared" si="1"/>
        <v>0</v>
      </c>
    </row>
    <row r="19" spans="1:9">
      <c r="A19" s="57" t="s">
        <v>169</v>
      </c>
      <c r="B19" s="37"/>
      <c r="C19" s="34"/>
      <c r="D19" s="30"/>
      <c r="E19" s="564"/>
      <c r="F19" s="30"/>
      <c r="G19" s="564"/>
      <c r="H19" s="557">
        <f t="shared" si="0"/>
        <v>0</v>
      </c>
      <c r="I19" s="556">
        <f t="shared" si="1"/>
        <v>0</v>
      </c>
    </row>
    <row r="20" spans="1:9">
      <c r="A20" s="57" t="s">
        <v>28</v>
      </c>
      <c r="B20" s="37">
        <v>158</v>
      </c>
      <c r="C20" s="564">
        <v>1955799</v>
      </c>
      <c r="D20" s="30">
        <v>135</v>
      </c>
      <c r="E20" s="564">
        <v>1846800</v>
      </c>
      <c r="F20" s="30">
        <v>135</v>
      </c>
      <c r="G20" s="564">
        <v>1705920</v>
      </c>
      <c r="H20" s="557">
        <f t="shared" si="0"/>
        <v>0</v>
      </c>
      <c r="I20" s="556">
        <f t="shared" si="1"/>
        <v>-140880</v>
      </c>
    </row>
    <row r="21" spans="1:9">
      <c r="A21" s="57" t="s">
        <v>161</v>
      </c>
      <c r="B21" s="37"/>
      <c r="C21" s="564">
        <v>200000</v>
      </c>
      <c r="D21" s="30"/>
      <c r="E21" s="564">
        <v>71392</v>
      </c>
      <c r="F21" s="30"/>
      <c r="G21" s="564">
        <v>115757</v>
      </c>
      <c r="H21" s="557">
        <f t="shared" si="0"/>
        <v>0</v>
      </c>
      <c r="I21" s="556">
        <f t="shared" si="1"/>
        <v>44365</v>
      </c>
    </row>
    <row r="22" spans="1:9" ht="12.75" thickBot="1">
      <c r="A22" s="57" t="s">
        <v>39</v>
      </c>
      <c r="B22" s="37"/>
      <c r="C22" s="34"/>
      <c r="D22" s="30"/>
      <c r="E22" s="564"/>
      <c r="F22" s="30"/>
      <c r="G22" s="564"/>
      <c r="H22" s="557">
        <f t="shared" si="0"/>
        <v>0</v>
      </c>
      <c r="I22" s="556">
        <f t="shared" si="1"/>
        <v>0</v>
      </c>
    </row>
    <row r="23" spans="1:9" ht="12.75" thickBot="1">
      <c r="A23" s="17" t="s">
        <v>38</v>
      </c>
      <c r="B23" s="18"/>
      <c r="C23" s="551">
        <f>SUM(C7:C22)</f>
        <v>7697256</v>
      </c>
      <c r="D23" s="18"/>
      <c r="E23" s="551">
        <f>SUM(E7:E22)</f>
        <v>7636629</v>
      </c>
      <c r="F23" s="18"/>
      <c r="G23" s="551">
        <f>SUM(G7:G22)</f>
        <v>6403007</v>
      </c>
      <c r="H23" s="552">
        <f>H7</f>
        <v>-2</v>
      </c>
      <c r="I23" s="551">
        <f>SUM(I7:I22)</f>
        <v>-1233622</v>
      </c>
    </row>
    <row r="24" spans="1:9">
      <c r="A24" s="1" t="s">
        <v>313</v>
      </c>
      <c r="B24" s="2"/>
      <c r="C24" s="2"/>
      <c r="D24" s="2"/>
      <c r="E24" s="2"/>
      <c r="F24" s="2"/>
      <c r="G24" s="2"/>
      <c r="H24" s="2"/>
      <c r="I24" s="2"/>
    </row>
    <row r="25" spans="1:9">
      <c r="A25" s="1" t="s">
        <v>90</v>
      </c>
      <c r="B25" s="2"/>
      <c r="C25" s="2"/>
      <c r="D25" s="2"/>
      <c r="E25" s="2"/>
      <c r="F25" s="2"/>
      <c r="G25" s="2"/>
      <c r="H25" s="2"/>
      <c r="I25" s="2"/>
    </row>
    <row r="26" spans="1:9">
      <c r="A26" s="1"/>
      <c r="B26" s="2"/>
      <c r="C26" s="2"/>
      <c r="D26" s="2"/>
      <c r="E26" s="2"/>
      <c r="F26" s="2"/>
      <c r="G26" s="2"/>
      <c r="H26" s="2"/>
      <c r="I26" s="2"/>
    </row>
    <row r="42" spans="10:10">
      <c r="J42" s="265"/>
    </row>
  </sheetData>
  <mergeCells count="4">
    <mergeCell ref="B5:C5"/>
    <mergeCell ref="D5:E5"/>
    <mergeCell ref="F5:G5"/>
    <mergeCell ref="H5:I5"/>
  </mergeCells>
  <printOptions horizontalCentered="1"/>
  <pageMargins left="0.19685039370078741" right="0.19685039370078741" top="0.78740157480314965" bottom="0.78740157480314965" header="0.19685039370078741" footer="0.19685039370078741"/>
  <pageSetup paperSize="9" scale="81"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2060"/>
  </sheetPr>
  <dimension ref="A1:V42"/>
  <sheetViews>
    <sheetView view="pageBreakPreview" zoomScaleNormal="100" zoomScaleSheetLayoutView="100" workbookViewId="0">
      <selection activeCell="B8" sqref="B8"/>
    </sheetView>
  </sheetViews>
  <sheetFormatPr baseColWidth="10" defaultColWidth="11.42578125" defaultRowHeight="12"/>
  <cols>
    <col min="1" max="1" width="62" style="68" customWidth="1"/>
    <col min="2" max="9" width="14.7109375" style="68" customWidth="1"/>
    <col min="10" max="16384" width="11.42578125" style="68"/>
  </cols>
  <sheetData>
    <row r="1" spans="1:22" s="70" customFormat="1" ht="15.75">
      <c r="A1" s="186" t="s">
        <v>459</v>
      </c>
      <c r="B1" s="75"/>
      <c r="C1" s="74"/>
      <c r="D1" s="74"/>
      <c r="E1" s="74"/>
      <c r="F1" s="74"/>
      <c r="H1" s="71"/>
      <c r="I1" s="71"/>
    </row>
    <row r="2" spans="1:22" s="72" customFormat="1" ht="15.75">
      <c r="A2" s="186" t="s">
        <v>382</v>
      </c>
      <c r="B2" s="71"/>
      <c r="C2" s="71"/>
      <c r="D2" s="71"/>
      <c r="E2" s="71"/>
      <c r="F2" s="71"/>
      <c r="G2" s="71"/>
      <c r="H2" s="71"/>
      <c r="I2" s="71"/>
      <c r="J2" s="71"/>
      <c r="K2" s="71"/>
      <c r="L2" s="71"/>
      <c r="M2" s="71"/>
      <c r="N2" s="71"/>
      <c r="O2" s="71"/>
      <c r="P2" s="71"/>
      <c r="Q2" s="71"/>
      <c r="R2" s="71"/>
      <c r="S2" s="71"/>
      <c r="T2" s="71"/>
      <c r="U2" s="71"/>
      <c r="V2" s="71"/>
    </row>
    <row r="3" spans="1:22" s="72" customFormat="1" ht="15.75">
      <c r="A3" s="187" t="s">
        <v>1654</v>
      </c>
      <c r="B3" s="71"/>
      <c r="C3" s="71"/>
      <c r="D3" s="71"/>
      <c r="E3" s="71"/>
      <c r="F3" s="71"/>
      <c r="G3" s="71"/>
      <c r="H3" s="71"/>
      <c r="I3" s="71"/>
      <c r="J3" s="71"/>
      <c r="K3" s="71"/>
      <c r="L3" s="71"/>
      <c r="M3" s="71"/>
      <c r="N3" s="71"/>
      <c r="O3" s="71"/>
      <c r="P3" s="71"/>
      <c r="Q3" s="71"/>
      <c r="R3" s="71"/>
      <c r="S3" s="71"/>
      <c r="T3" s="71"/>
      <c r="U3" s="71"/>
      <c r="V3" s="71"/>
    </row>
    <row r="4" spans="1:22" ht="13.5" thickBot="1">
      <c r="A4" s="187" t="s">
        <v>1864</v>
      </c>
      <c r="B4" s="8"/>
      <c r="E4" s="8"/>
    </row>
    <row r="5" spans="1:22" ht="12.75" thickBot="1">
      <c r="A5" s="127" t="s">
        <v>10</v>
      </c>
      <c r="B5" s="2018" t="s">
        <v>312</v>
      </c>
      <c r="C5" s="2018"/>
      <c r="D5" s="2016" t="s">
        <v>460</v>
      </c>
      <c r="E5" s="2015"/>
      <c r="F5" s="2016" t="s">
        <v>461</v>
      </c>
      <c r="G5" s="2017"/>
      <c r="H5" s="2016" t="s">
        <v>7067</v>
      </c>
      <c r="I5" s="2017"/>
    </row>
    <row r="6" spans="1:22" s="39" customFormat="1" ht="24" customHeight="1">
      <c r="A6" s="398" t="s">
        <v>9</v>
      </c>
      <c r="B6" s="391" t="s">
        <v>136</v>
      </c>
      <c r="C6" s="129" t="s">
        <v>25</v>
      </c>
      <c r="D6" s="391" t="s">
        <v>136</v>
      </c>
      <c r="E6" s="129" t="s">
        <v>25</v>
      </c>
      <c r="F6" s="391" t="s">
        <v>136</v>
      </c>
      <c r="G6" s="129" t="s">
        <v>25</v>
      </c>
      <c r="H6" s="398" t="s">
        <v>136</v>
      </c>
      <c r="I6" s="392" t="s">
        <v>25</v>
      </c>
    </row>
    <row r="7" spans="1:22">
      <c r="A7" s="57" t="s">
        <v>133</v>
      </c>
      <c r="B7" s="37">
        <v>39</v>
      </c>
      <c r="C7" s="564">
        <v>758118</v>
      </c>
      <c r="D7" s="30">
        <v>39</v>
      </c>
      <c r="E7" s="564">
        <v>498667</v>
      </c>
      <c r="F7" s="30">
        <v>28</v>
      </c>
      <c r="G7" s="564">
        <v>379949</v>
      </c>
      <c r="H7" s="557">
        <f t="shared" ref="H7:H22" si="0">F7-D7</f>
        <v>-11</v>
      </c>
      <c r="I7" s="556">
        <f t="shared" ref="I7:I22" si="1">G7-E7</f>
        <v>-118718</v>
      </c>
    </row>
    <row r="8" spans="1:22">
      <c r="A8" s="57" t="s">
        <v>164</v>
      </c>
      <c r="B8" s="37"/>
      <c r="C8" s="34"/>
      <c r="D8" s="30"/>
      <c r="E8" s="564"/>
      <c r="F8" s="30"/>
      <c r="G8" s="564"/>
      <c r="H8" s="557">
        <f t="shared" si="0"/>
        <v>0</v>
      </c>
      <c r="I8" s="556">
        <f t="shared" si="1"/>
        <v>0</v>
      </c>
    </row>
    <row r="9" spans="1:22">
      <c r="A9" s="57" t="s">
        <v>162</v>
      </c>
      <c r="B9" s="37"/>
      <c r="C9" s="34"/>
      <c r="D9" s="30"/>
      <c r="E9" s="564"/>
      <c r="F9" s="30"/>
      <c r="G9" s="564"/>
      <c r="H9" s="557">
        <f t="shared" si="0"/>
        <v>0</v>
      </c>
      <c r="I9" s="556">
        <f t="shared" si="1"/>
        <v>0</v>
      </c>
    </row>
    <row r="10" spans="1:22">
      <c r="A10" s="25" t="s">
        <v>171</v>
      </c>
      <c r="B10" s="37"/>
      <c r="C10" s="34"/>
      <c r="D10" s="30"/>
      <c r="E10" s="564"/>
      <c r="F10" s="30"/>
      <c r="G10" s="564"/>
      <c r="H10" s="557">
        <f t="shared" si="0"/>
        <v>0</v>
      </c>
      <c r="I10" s="556">
        <f t="shared" si="1"/>
        <v>0</v>
      </c>
    </row>
    <row r="11" spans="1:22">
      <c r="A11" s="57" t="s">
        <v>165</v>
      </c>
      <c r="B11" s="37"/>
      <c r="C11" s="34"/>
      <c r="D11" s="30"/>
      <c r="E11" s="564"/>
      <c r="F11" s="30"/>
      <c r="G11" s="564"/>
      <c r="H11" s="557">
        <f t="shared" si="0"/>
        <v>0</v>
      </c>
      <c r="I11" s="556">
        <f t="shared" si="1"/>
        <v>0</v>
      </c>
    </row>
    <row r="12" spans="1:22">
      <c r="A12" s="25" t="s">
        <v>163</v>
      </c>
      <c r="B12" s="37">
        <v>39</v>
      </c>
      <c r="C12" s="564">
        <v>113000</v>
      </c>
      <c r="D12" s="30">
        <v>39</v>
      </c>
      <c r="E12" s="564">
        <v>35000</v>
      </c>
      <c r="F12" s="30">
        <v>28</v>
      </c>
      <c r="G12" s="564">
        <v>28000</v>
      </c>
      <c r="H12" s="557">
        <f t="shared" si="0"/>
        <v>-11</v>
      </c>
      <c r="I12" s="556">
        <f t="shared" si="1"/>
        <v>-7000</v>
      </c>
    </row>
    <row r="13" spans="1:22">
      <c r="A13" s="57" t="s">
        <v>170</v>
      </c>
      <c r="B13" s="37"/>
      <c r="C13" s="34"/>
      <c r="D13" s="30"/>
      <c r="E13" s="564"/>
      <c r="F13" s="30"/>
      <c r="G13" s="564"/>
      <c r="H13" s="557">
        <f t="shared" si="0"/>
        <v>0</v>
      </c>
      <c r="I13" s="556">
        <f t="shared" si="1"/>
        <v>0</v>
      </c>
    </row>
    <row r="14" spans="1:22">
      <c r="A14" s="57" t="s">
        <v>27</v>
      </c>
      <c r="B14" s="37"/>
      <c r="C14" s="564">
        <v>51396</v>
      </c>
      <c r="D14" s="30"/>
      <c r="E14" s="564">
        <v>469689</v>
      </c>
      <c r="F14" s="30"/>
      <c r="G14" s="564">
        <v>0</v>
      </c>
      <c r="H14" s="557">
        <f t="shared" si="0"/>
        <v>0</v>
      </c>
      <c r="I14" s="556">
        <f t="shared" si="1"/>
        <v>-469689</v>
      </c>
    </row>
    <row r="15" spans="1:22">
      <c r="A15" s="57" t="s">
        <v>167</v>
      </c>
      <c r="B15" s="37"/>
      <c r="C15" s="34"/>
      <c r="D15" s="30"/>
      <c r="E15" s="564"/>
      <c r="F15" s="30"/>
      <c r="G15" s="564"/>
      <c r="H15" s="557">
        <f t="shared" si="0"/>
        <v>0</v>
      </c>
      <c r="I15" s="556">
        <f t="shared" si="1"/>
        <v>0</v>
      </c>
    </row>
    <row r="16" spans="1:22">
      <c r="A16" s="57" t="s">
        <v>26</v>
      </c>
      <c r="B16" s="37">
        <v>39</v>
      </c>
      <c r="C16" s="564">
        <v>56227</v>
      </c>
      <c r="D16" s="30">
        <v>39</v>
      </c>
      <c r="E16" s="564">
        <v>46283</v>
      </c>
      <c r="F16" s="30">
        <v>28</v>
      </c>
      <c r="G16" s="564">
        <v>38614</v>
      </c>
      <c r="H16" s="557">
        <f t="shared" si="0"/>
        <v>-11</v>
      </c>
      <c r="I16" s="556">
        <f t="shared" si="1"/>
        <v>-7669</v>
      </c>
    </row>
    <row r="17" spans="1:9">
      <c r="A17" s="57" t="s">
        <v>168</v>
      </c>
      <c r="B17" s="37"/>
      <c r="C17" s="34"/>
      <c r="D17" s="30"/>
      <c r="E17" s="564"/>
      <c r="F17" s="30"/>
      <c r="G17" s="564"/>
      <c r="H17" s="557">
        <f t="shared" si="0"/>
        <v>0</v>
      </c>
      <c r="I17" s="556">
        <f t="shared" si="1"/>
        <v>0</v>
      </c>
    </row>
    <row r="18" spans="1:9">
      <c r="A18" s="57" t="s">
        <v>166</v>
      </c>
      <c r="B18" s="37"/>
      <c r="C18" s="34"/>
      <c r="D18" s="30"/>
      <c r="E18" s="564"/>
      <c r="F18" s="30"/>
      <c r="G18" s="564"/>
      <c r="H18" s="557">
        <f t="shared" si="0"/>
        <v>0</v>
      </c>
      <c r="I18" s="556">
        <f t="shared" si="1"/>
        <v>0</v>
      </c>
    </row>
    <row r="19" spans="1:9">
      <c r="A19" s="57" t="s">
        <v>169</v>
      </c>
      <c r="B19" s="37"/>
      <c r="C19" s="34"/>
      <c r="D19" s="30"/>
      <c r="E19" s="564"/>
      <c r="F19" s="30"/>
      <c r="G19" s="564"/>
      <c r="H19" s="557">
        <f t="shared" si="0"/>
        <v>0</v>
      </c>
      <c r="I19" s="556">
        <f t="shared" si="1"/>
        <v>0</v>
      </c>
    </row>
    <row r="20" spans="1:9">
      <c r="A20" s="57" t="s">
        <v>28</v>
      </c>
      <c r="B20" s="37">
        <v>90</v>
      </c>
      <c r="C20" s="564">
        <v>902013</v>
      </c>
      <c r="D20" s="30">
        <v>90</v>
      </c>
      <c r="E20" s="564">
        <v>877065</v>
      </c>
      <c r="F20" s="30">
        <v>79</v>
      </c>
      <c r="G20" s="564">
        <v>725860</v>
      </c>
      <c r="H20" s="557">
        <f t="shared" si="0"/>
        <v>-11</v>
      </c>
      <c r="I20" s="556">
        <f t="shared" si="1"/>
        <v>-151205</v>
      </c>
    </row>
    <row r="21" spans="1:9">
      <c r="A21" s="57" t="s">
        <v>161</v>
      </c>
      <c r="B21" s="37"/>
      <c r="C21" s="34"/>
      <c r="D21" s="30"/>
      <c r="E21" s="564"/>
      <c r="F21" s="30"/>
      <c r="G21" s="564">
        <v>0</v>
      </c>
      <c r="H21" s="557">
        <f t="shared" si="0"/>
        <v>0</v>
      </c>
      <c r="I21" s="556">
        <f t="shared" si="1"/>
        <v>0</v>
      </c>
    </row>
    <row r="22" spans="1:9" ht="12.75" thickBot="1">
      <c r="A22" s="57" t="s">
        <v>39</v>
      </c>
      <c r="B22" s="37"/>
      <c r="C22" s="34"/>
      <c r="D22" s="30"/>
      <c r="E22" s="564"/>
      <c r="F22" s="30"/>
      <c r="G22" s="564"/>
      <c r="H22" s="557">
        <f t="shared" si="0"/>
        <v>0</v>
      </c>
      <c r="I22" s="556">
        <f t="shared" si="1"/>
        <v>0</v>
      </c>
    </row>
    <row r="23" spans="1:9" ht="12.75" thickBot="1">
      <c r="A23" s="17" t="s">
        <v>38</v>
      </c>
      <c r="B23" s="18"/>
      <c r="C23" s="551">
        <f>SUM(C7:C22)</f>
        <v>1880754</v>
      </c>
      <c r="D23" s="18"/>
      <c r="E23" s="551">
        <f>SUM(E7:E22)</f>
        <v>1926704</v>
      </c>
      <c r="F23" s="18"/>
      <c r="G23" s="551">
        <f>SUM(G7:G22)</f>
        <v>1172423</v>
      </c>
      <c r="H23" s="552">
        <f>H7</f>
        <v>-11</v>
      </c>
      <c r="I23" s="551">
        <f>SUM(I7:I22)</f>
        <v>-754281</v>
      </c>
    </row>
    <row r="24" spans="1:9">
      <c r="A24" s="1" t="s">
        <v>313</v>
      </c>
      <c r="B24" s="2"/>
      <c r="C24" s="2"/>
      <c r="D24" s="2"/>
      <c r="E24" s="2"/>
      <c r="F24" s="2"/>
      <c r="G24" s="2"/>
      <c r="H24" s="2"/>
      <c r="I24" s="2"/>
    </row>
    <row r="25" spans="1:9">
      <c r="A25" s="1" t="s">
        <v>90</v>
      </c>
      <c r="B25" s="2"/>
      <c r="C25" s="2"/>
      <c r="D25" s="2"/>
      <c r="E25" s="2"/>
      <c r="F25" s="2"/>
      <c r="G25" s="2"/>
      <c r="H25" s="2"/>
      <c r="I25" s="2"/>
    </row>
    <row r="26" spans="1:9">
      <c r="A26" s="1"/>
      <c r="B26" s="2"/>
      <c r="C26" s="2"/>
      <c r="D26" s="2"/>
      <c r="E26" s="2"/>
      <c r="F26" s="2"/>
      <c r="G26" s="2"/>
      <c r="H26" s="2"/>
      <c r="I26" s="2"/>
    </row>
    <row r="42" spans="10:10">
      <c r="J42" s="265"/>
    </row>
  </sheetData>
  <mergeCells count="4">
    <mergeCell ref="B5:C5"/>
    <mergeCell ref="D5:E5"/>
    <mergeCell ref="F5:G5"/>
    <mergeCell ref="H5:I5"/>
  </mergeCells>
  <printOptions horizontalCentered="1"/>
  <pageMargins left="0.19685039370078741" right="0.19685039370078741" top="0.78740157480314965" bottom="0.78740157480314965" header="0.19685039370078741" footer="0.19685039370078741"/>
  <pageSetup paperSize="9" scale="81"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2060"/>
  </sheetPr>
  <dimension ref="A1:U42"/>
  <sheetViews>
    <sheetView view="pageBreakPreview" zoomScaleNormal="100" zoomScaleSheetLayoutView="100" zoomScalePageLayoutView="89" workbookViewId="0">
      <selection activeCell="B8" sqref="B8"/>
    </sheetView>
  </sheetViews>
  <sheetFormatPr baseColWidth="10" defaultColWidth="11.42578125" defaultRowHeight="12"/>
  <cols>
    <col min="1" max="1" width="62" style="68" customWidth="1"/>
    <col min="2" max="9" width="14.7109375" style="68" customWidth="1"/>
    <col min="10" max="16384" width="11.42578125" style="68"/>
  </cols>
  <sheetData>
    <row r="1" spans="1:21" s="70" customFormat="1" ht="15.75">
      <c r="A1" s="186" t="s">
        <v>459</v>
      </c>
      <c r="B1" s="75"/>
      <c r="C1" s="74"/>
      <c r="D1" s="74"/>
      <c r="E1" s="74"/>
      <c r="F1" s="74"/>
      <c r="H1" s="71"/>
      <c r="I1" s="71"/>
    </row>
    <row r="2" spans="1:21" s="72" customFormat="1" ht="15.75">
      <c r="A2" s="186" t="s">
        <v>382</v>
      </c>
      <c r="B2" s="71"/>
      <c r="C2" s="71"/>
      <c r="D2" s="71"/>
      <c r="E2" s="71"/>
      <c r="F2" s="71"/>
      <c r="G2" s="71"/>
      <c r="H2" s="71"/>
      <c r="I2" s="71"/>
      <c r="J2" s="71"/>
      <c r="K2" s="71"/>
      <c r="L2" s="71"/>
      <c r="M2" s="71"/>
      <c r="N2" s="71"/>
      <c r="O2" s="71"/>
      <c r="P2" s="71"/>
      <c r="Q2" s="71"/>
      <c r="R2" s="71"/>
      <c r="S2" s="71"/>
      <c r="T2" s="71"/>
      <c r="U2" s="71"/>
    </row>
    <row r="3" spans="1:21">
      <c r="A3" s="69" t="s">
        <v>2415</v>
      </c>
      <c r="B3" s="8"/>
      <c r="E3" s="8"/>
    </row>
    <row r="4" spans="1:21" ht="12.75" thickBot="1">
      <c r="A4" s="69" t="s">
        <v>2414</v>
      </c>
      <c r="B4" s="8"/>
      <c r="E4" s="8"/>
    </row>
    <row r="5" spans="1:21" ht="12.75" thickBot="1">
      <c r="A5" s="127" t="s">
        <v>10</v>
      </c>
      <c r="B5" s="2018" t="s">
        <v>312</v>
      </c>
      <c r="C5" s="2018"/>
      <c r="D5" s="2016" t="s">
        <v>460</v>
      </c>
      <c r="E5" s="2015"/>
      <c r="F5" s="2016" t="s">
        <v>461</v>
      </c>
      <c r="G5" s="2017"/>
      <c r="H5" s="2016" t="s">
        <v>7067</v>
      </c>
      <c r="I5" s="2017"/>
    </row>
    <row r="6" spans="1:21" s="39" customFormat="1" ht="24" customHeight="1">
      <c r="A6" s="398" t="s">
        <v>9</v>
      </c>
      <c r="B6" s="391" t="s">
        <v>136</v>
      </c>
      <c r="C6" s="129" t="s">
        <v>25</v>
      </c>
      <c r="D6" s="398" t="s">
        <v>136</v>
      </c>
      <c r="E6" s="392" t="s">
        <v>25</v>
      </c>
      <c r="F6" s="391" t="s">
        <v>136</v>
      </c>
      <c r="G6" s="129" t="s">
        <v>25</v>
      </c>
      <c r="H6" s="391" t="s">
        <v>136</v>
      </c>
      <c r="I6" s="129" t="s">
        <v>25</v>
      </c>
    </row>
    <row r="7" spans="1:21">
      <c r="A7" s="57" t="s">
        <v>133</v>
      </c>
      <c r="B7" s="569">
        <f>29184+34100</f>
        <v>63284</v>
      </c>
      <c r="C7" s="558">
        <v>1514651066</v>
      </c>
      <c r="D7" s="569">
        <f>29523+34100</f>
        <v>63623</v>
      </c>
      <c r="E7" s="558">
        <v>1475128804</v>
      </c>
      <c r="F7" s="569">
        <f>29422+34100</f>
        <v>63522</v>
      </c>
      <c r="G7" s="558">
        <v>1505546393</v>
      </c>
      <c r="H7" s="557">
        <f t="shared" ref="H7:H22" si="0">F7-D7</f>
        <v>-101</v>
      </c>
      <c r="I7" s="556">
        <f t="shared" ref="I7:I22" si="1">G7-E7</f>
        <v>30417589</v>
      </c>
    </row>
    <row r="8" spans="1:21">
      <c r="A8" s="57" t="s">
        <v>164</v>
      </c>
      <c r="B8" s="37"/>
      <c r="C8" s="34"/>
      <c r="D8" s="30"/>
      <c r="E8" s="31"/>
      <c r="F8" s="30"/>
      <c r="G8" s="31"/>
      <c r="H8" s="557">
        <f t="shared" si="0"/>
        <v>0</v>
      </c>
      <c r="I8" s="556">
        <f t="shared" si="1"/>
        <v>0</v>
      </c>
    </row>
    <row r="9" spans="1:21">
      <c r="A9" s="57" t="s">
        <v>162</v>
      </c>
      <c r="B9" s="37"/>
      <c r="C9" s="34"/>
      <c r="D9" s="30"/>
      <c r="E9" s="31"/>
      <c r="F9" s="30"/>
      <c r="G9" s="31"/>
      <c r="H9" s="557">
        <f t="shared" si="0"/>
        <v>0</v>
      </c>
      <c r="I9" s="556">
        <f t="shared" si="1"/>
        <v>0</v>
      </c>
    </row>
    <row r="10" spans="1:21">
      <c r="A10" s="25" t="s">
        <v>171</v>
      </c>
      <c r="B10" s="37"/>
      <c r="C10" s="34"/>
      <c r="D10" s="30"/>
      <c r="E10" s="31"/>
      <c r="F10" s="30"/>
      <c r="G10" s="31"/>
      <c r="H10" s="557">
        <f t="shared" si="0"/>
        <v>0</v>
      </c>
      <c r="I10" s="556">
        <f t="shared" si="1"/>
        <v>0</v>
      </c>
    </row>
    <row r="11" spans="1:21">
      <c r="A11" s="57" t="s">
        <v>165</v>
      </c>
      <c r="B11" s="37"/>
      <c r="C11" s="34"/>
      <c r="D11" s="30"/>
      <c r="E11" s="31"/>
      <c r="F11" s="30"/>
      <c r="G11" s="31"/>
      <c r="H11" s="557">
        <f t="shared" si="0"/>
        <v>0</v>
      </c>
      <c r="I11" s="556">
        <f t="shared" si="1"/>
        <v>0</v>
      </c>
    </row>
    <row r="12" spans="1:21">
      <c r="A12" s="25" t="s">
        <v>163</v>
      </c>
      <c r="B12" s="569">
        <v>29378</v>
      </c>
      <c r="C12" s="558">
        <v>28598953</v>
      </c>
      <c r="D12" s="569">
        <v>29600</v>
      </c>
      <c r="E12" s="558">
        <v>29418400</v>
      </c>
      <c r="F12" s="569">
        <v>29205</v>
      </c>
      <c r="G12" s="558">
        <v>29135400</v>
      </c>
      <c r="H12" s="557">
        <f t="shared" si="0"/>
        <v>-395</v>
      </c>
      <c r="I12" s="556">
        <f t="shared" si="1"/>
        <v>-283000</v>
      </c>
    </row>
    <row r="13" spans="1:21">
      <c r="A13" s="57" t="s">
        <v>170</v>
      </c>
      <c r="B13" s="37"/>
      <c r="C13" s="558"/>
      <c r="D13" s="30"/>
      <c r="E13" s="31"/>
      <c r="F13" s="30"/>
      <c r="G13" s="31"/>
      <c r="H13" s="557">
        <f t="shared" si="0"/>
        <v>0</v>
      </c>
      <c r="I13" s="556">
        <f t="shared" si="1"/>
        <v>0</v>
      </c>
    </row>
    <row r="14" spans="1:21">
      <c r="A14" s="57" t="s">
        <v>27</v>
      </c>
      <c r="B14" s="37"/>
      <c r="C14" s="558">
        <v>10682494</v>
      </c>
      <c r="D14" s="30"/>
      <c r="E14" s="558">
        <v>45080492</v>
      </c>
      <c r="F14" s="30"/>
      <c r="G14" s="558">
        <v>19014092</v>
      </c>
      <c r="H14" s="557">
        <f t="shared" si="0"/>
        <v>0</v>
      </c>
      <c r="I14" s="556">
        <f t="shared" si="1"/>
        <v>-26066400</v>
      </c>
    </row>
    <row r="15" spans="1:21">
      <c r="A15" s="57" t="s">
        <v>167</v>
      </c>
      <c r="B15" s="37"/>
      <c r="C15" s="34"/>
      <c r="D15" s="30"/>
      <c r="E15" s="31"/>
      <c r="F15" s="30"/>
      <c r="G15" s="31"/>
      <c r="H15" s="557">
        <f t="shared" si="0"/>
        <v>0</v>
      </c>
      <c r="I15" s="556">
        <f t="shared" si="1"/>
        <v>0</v>
      </c>
    </row>
    <row r="16" spans="1:21">
      <c r="A16" s="57" t="s">
        <v>26</v>
      </c>
      <c r="B16" s="569">
        <v>29184</v>
      </c>
      <c r="C16" s="558">
        <v>105820520</v>
      </c>
      <c r="D16" s="569">
        <v>29523</v>
      </c>
      <c r="E16" s="558">
        <v>108245469</v>
      </c>
      <c r="F16" s="569">
        <v>29118</v>
      </c>
      <c r="G16" s="558">
        <v>109800427</v>
      </c>
      <c r="H16" s="557">
        <f t="shared" si="0"/>
        <v>-405</v>
      </c>
      <c r="I16" s="556">
        <f t="shared" si="1"/>
        <v>1554958</v>
      </c>
    </row>
    <row r="17" spans="1:11">
      <c r="A17" s="57" t="s">
        <v>168</v>
      </c>
      <c r="B17" s="37"/>
      <c r="C17" s="34"/>
      <c r="D17" s="30"/>
      <c r="E17" s="31"/>
      <c r="F17" s="30"/>
      <c r="G17" s="31"/>
      <c r="H17" s="557">
        <f t="shared" si="0"/>
        <v>0</v>
      </c>
      <c r="I17" s="556">
        <f t="shared" si="1"/>
        <v>0</v>
      </c>
    </row>
    <row r="18" spans="1:11">
      <c r="A18" s="57" t="s">
        <v>166</v>
      </c>
      <c r="B18" s="37"/>
      <c r="C18" s="34"/>
      <c r="D18" s="30"/>
      <c r="E18" s="31"/>
      <c r="F18" s="30"/>
      <c r="G18" s="31"/>
      <c r="H18" s="557">
        <f t="shared" si="0"/>
        <v>0</v>
      </c>
      <c r="I18" s="556">
        <f t="shared" si="1"/>
        <v>0</v>
      </c>
    </row>
    <row r="19" spans="1:11">
      <c r="A19" s="57" t="s">
        <v>169</v>
      </c>
      <c r="B19" s="37"/>
      <c r="C19" s="34"/>
      <c r="D19" s="30"/>
      <c r="E19" s="31"/>
      <c r="F19" s="30"/>
      <c r="G19" s="31"/>
      <c r="H19" s="557">
        <f t="shared" si="0"/>
        <v>0</v>
      </c>
      <c r="I19" s="556">
        <f t="shared" si="1"/>
        <v>0</v>
      </c>
    </row>
    <row r="20" spans="1:11">
      <c r="A20" s="57" t="s">
        <v>28</v>
      </c>
      <c r="B20" s="569">
        <v>3860</v>
      </c>
      <c r="C20" s="558">
        <v>40305000</v>
      </c>
      <c r="D20" s="569">
        <v>3901</v>
      </c>
      <c r="E20" s="558">
        <v>50267400</v>
      </c>
      <c r="F20" s="569">
        <v>3836</v>
      </c>
      <c r="G20" s="558">
        <v>49524720</v>
      </c>
      <c r="H20" s="557">
        <f t="shared" si="0"/>
        <v>-65</v>
      </c>
      <c r="I20" s="556">
        <f t="shared" si="1"/>
        <v>-742680</v>
      </c>
    </row>
    <row r="21" spans="1:11">
      <c r="A21" s="57" t="s">
        <v>161</v>
      </c>
      <c r="B21" s="37"/>
      <c r="C21" s="34"/>
      <c r="D21" s="30"/>
      <c r="E21" s="31"/>
      <c r="F21" s="30"/>
      <c r="G21" s="31"/>
      <c r="H21" s="557">
        <f t="shared" si="0"/>
        <v>0</v>
      </c>
      <c r="I21" s="556">
        <f t="shared" si="1"/>
        <v>0</v>
      </c>
    </row>
    <row r="22" spans="1:11" ht="12.75" thickBot="1">
      <c r="A22" s="57" t="s">
        <v>39</v>
      </c>
      <c r="B22" s="37"/>
      <c r="C22" s="34"/>
      <c r="D22" s="30"/>
      <c r="E22" s="31"/>
      <c r="F22" s="30"/>
      <c r="G22" s="31"/>
      <c r="H22" s="557">
        <f t="shared" si="0"/>
        <v>0</v>
      </c>
      <c r="I22" s="556">
        <f t="shared" si="1"/>
        <v>0</v>
      </c>
    </row>
    <row r="23" spans="1:11" ht="12.75" thickBot="1">
      <c r="A23" s="17" t="s">
        <v>38</v>
      </c>
      <c r="B23" s="568">
        <f>B7</f>
        <v>63284</v>
      </c>
      <c r="C23" s="567">
        <f>SUM(C7:C22)</f>
        <v>1700058033</v>
      </c>
      <c r="D23" s="568">
        <f>D7</f>
        <v>63623</v>
      </c>
      <c r="E23" s="567">
        <f>SUM(E7:E22)</f>
        <v>1708140565</v>
      </c>
      <c r="F23" s="568">
        <f>F7</f>
        <v>63522</v>
      </c>
      <c r="G23" s="567">
        <f>SUM(G7:G22)</f>
        <v>1713021032</v>
      </c>
      <c r="H23" s="568">
        <f>H7</f>
        <v>-101</v>
      </c>
      <c r="I23" s="567">
        <f>SUM(I7:I22)</f>
        <v>4880467</v>
      </c>
      <c r="K23" s="566"/>
    </row>
    <row r="24" spans="1:11">
      <c r="A24" s="1" t="s">
        <v>313</v>
      </c>
      <c r="B24" s="2"/>
      <c r="C24" s="2"/>
      <c r="D24" s="2"/>
      <c r="E24" s="2"/>
      <c r="F24" s="2"/>
      <c r="G24" s="2"/>
      <c r="H24" s="2"/>
      <c r="I24" s="2"/>
    </row>
    <row r="25" spans="1:11">
      <c r="A25" s="1" t="s">
        <v>90</v>
      </c>
      <c r="B25" s="2"/>
      <c r="C25" s="2"/>
      <c r="D25" s="2"/>
      <c r="E25" s="2"/>
      <c r="F25" s="2"/>
      <c r="G25" s="2"/>
      <c r="H25" s="2"/>
      <c r="I25" s="2"/>
    </row>
    <row r="26" spans="1:11">
      <c r="A26" s="1"/>
      <c r="B26" s="2"/>
      <c r="C26" s="2"/>
      <c r="D26" s="2"/>
      <c r="E26" s="565"/>
      <c r="F26" s="2"/>
      <c r="G26" s="2"/>
      <c r="H26" s="2"/>
      <c r="I26" s="2"/>
    </row>
    <row r="28" spans="1:11">
      <c r="E28" s="526"/>
      <c r="G28" s="526"/>
    </row>
    <row r="42" spans="10:10">
      <c r="J42" s="265"/>
    </row>
  </sheetData>
  <mergeCells count="4">
    <mergeCell ref="B5:C5"/>
    <mergeCell ref="D5:E5"/>
    <mergeCell ref="F5:G5"/>
    <mergeCell ref="H5:I5"/>
  </mergeCells>
  <printOptions horizontalCentered="1"/>
  <pageMargins left="0.19685039370078741" right="0.19685039370078741" top="0.78740157480314965" bottom="0.78740157480314965" header="0.19685039370078741" footer="0.19685039370078741"/>
  <pageSetup paperSize="9" scale="81"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2060"/>
  </sheetPr>
  <dimension ref="A1:V42"/>
  <sheetViews>
    <sheetView view="pageBreakPreview" zoomScaleNormal="100" zoomScaleSheetLayoutView="100" workbookViewId="0">
      <pane xSplit="1" ySplit="6" topLeftCell="B7" activePane="bottomRight" state="frozen"/>
      <selection activeCell="B8" sqref="B8"/>
      <selection pane="topRight" activeCell="B8" sqref="B8"/>
      <selection pane="bottomLeft" activeCell="B8" sqref="B8"/>
      <selection pane="bottomRight" activeCell="B8" sqref="B8"/>
    </sheetView>
  </sheetViews>
  <sheetFormatPr baseColWidth="10" defaultColWidth="11.42578125" defaultRowHeight="12"/>
  <cols>
    <col min="1" max="1" width="62" style="68" customWidth="1"/>
    <col min="2" max="9" width="14.7109375" style="68" customWidth="1"/>
    <col min="10" max="16384" width="11.42578125" style="68"/>
  </cols>
  <sheetData>
    <row r="1" spans="1:22" s="70" customFormat="1" ht="15.75">
      <c r="A1" s="186" t="s">
        <v>459</v>
      </c>
      <c r="B1" s="75"/>
      <c r="C1" s="74"/>
      <c r="D1" s="74"/>
      <c r="E1" s="74"/>
      <c r="F1" s="74"/>
      <c r="H1" s="71"/>
      <c r="I1" s="71"/>
    </row>
    <row r="2" spans="1:22" s="72" customFormat="1" ht="15.75">
      <c r="A2" s="186" t="s">
        <v>382</v>
      </c>
      <c r="B2" s="71"/>
      <c r="C2" s="71"/>
      <c r="D2" s="71"/>
      <c r="E2" s="71"/>
      <c r="F2" s="71"/>
      <c r="G2" s="71"/>
      <c r="H2" s="71"/>
      <c r="I2" s="71"/>
      <c r="J2" s="71"/>
      <c r="K2" s="71"/>
      <c r="L2" s="71"/>
      <c r="M2" s="71"/>
      <c r="N2" s="71"/>
      <c r="O2" s="71"/>
      <c r="P2" s="71"/>
      <c r="Q2" s="71"/>
      <c r="R2" s="71"/>
      <c r="S2" s="71"/>
      <c r="T2" s="71"/>
      <c r="U2" s="71"/>
      <c r="V2" s="71"/>
    </row>
    <row r="3" spans="1:22" s="72" customFormat="1" ht="15.75">
      <c r="A3" s="186" t="s">
        <v>1654</v>
      </c>
      <c r="B3" s="71"/>
      <c r="C3" s="71"/>
      <c r="D3" s="71"/>
      <c r="E3" s="71"/>
      <c r="F3" s="71"/>
      <c r="G3" s="71"/>
      <c r="H3" s="71"/>
      <c r="I3" s="71"/>
      <c r="J3" s="71"/>
      <c r="K3" s="71"/>
      <c r="L3" s="71"/>
      <c r="M3" s="71"/>
      <c r="N3" s="71"/>
      <c r="O3" s="71"/>
      <c r="P3" s="71"/>
      <c r="Q3" s="71"/>
      <c r="R3" s="71"/>
      <c r="S3" s="71"/>
      <c r="T3" s="71"/>
      <c r="U3" s="71"/>
      <c r="V3" s="71"/>
    </row>
    <row r="4" spans="1:22" ht="16.5" customHeight="1" thickBot="1">
      <c r="A4" s="186" t="s">
        <v>3624</v>
      </c>
      <c r="B4" s="8"/>
      <c r="E4" s="8"/>
    </row>
    <row r="5" spans="1:22" ht="12.75" thickBot="1">
      <c r="A5" s="127" t="s">
        <v>10</v>
      </c>
      <c r="B5" s="2018" t="s">
        <v>312</v>
      </c>
      <c r="C5" s="2018"/>
      <c r="D5" s="2016" t="s">
        <v>460</v>
      </c>
      <c r="E5" s="2015"/>
      <c r="F5" s="2016" t="s">
        <v>461</v>
      </c>
      <c r="G5" s="2017"/>
      <c r="H5" s="2016" t="s">
        <v>7067</v>
      </c>
      <c r="I5" s="2017"/>
    </row>
    <row r="6" spans="1:22" s="39" customFormat="1" ht="24" customHeight="1">
      <c r="A6" s="398" t="s">
        <v>9</v>
      </c>
      <c r="B6" s="128" t="s">
        <v>136</v>
      </c>
      <c r="C6" s="129" t="s">
        <v>25</v>
      </c>
      <c r="D6" s="398" t="s">
        <v>136</v>
      </c>
      <c r="E6" s="392" t="s">
        <v>25</v>
      </c>
      <c r="F6" s="398" t="s">
        <v>136</v>
      </c>
      <c r="G6" s="392" t="s">
        <v>25</v>
      </c>
      <c r="H6" s="398" t="s">
        <v>136</v>
      </c>
      <c r="I6" s="392" t="s">
        <v>25</v>
      </c>
    </row>
    <row r="7" spans="1:22">
      <c r="A7" s="57" t="s">
        <v>133</v>
      </c>
      <c r="B7" s="569">
        <f>2234+2+18757+36+4474+5108+42-4474+4474</f>
        <v>30653</v>
      </c>
      <c r="C7" s="558">
        <f>696068467+13867200+3988510+1534645+353117654+18931764+5553693</f>
        <v>1093061933</v>
      </c>
      <c r="D7" s="569">
        <f>2279+18953+4687+5108+42-4687+4687</f>
        <v>31069</v>
      </c>
      <c r="E7" s="558">
        <v>1092935338</v>
      </c>
      <c r="F7" s="569">
        <f>2340+19042+4901+5108+42-4901</f>
        <v>26532</v>
      </c>
      <c r="G7" s="558">
        <v>1097954518</v>
      </c>
      <c r="H7" s="557">
        <f t="shared" ref="H7:H22" si="0">F7-D7</f>
        <v>-4537</v>
      </c>
      <c r="I7" s="556">
        <f t="shared" ref="I7:I22" si="1">G7-E7</f>
        <v>5019180</v>
      </c>
    </row>
    <row r="8" spans="1:22">
      <c r="A8" s="57" t="s">
        <v>164</v>
      </c>
      <c r="B8" s="37"/>
      <c r="C8" s="34"/>
      <c r="D8" s="30"/>
      <c r="E8" s="31"/>
      <c r="F8" s="30"/>
      <c r="G8" s="31"/>
      <c r="H8" s="557">
        <f t="shared" si="0"/>
        <v>0</v>
      </c>
      <c r="I8" s="556">
        <f t="shared" si="1"/>
        <v>0</v>
      </c>
    </row>
    <row r="9" spans="1:22">
      <c r="A9" s="57" t="s">
        <v>162</v>
      </c>
      <c r="B9" s="37"/>
      <c r="C9" s="34"/>
      <c r="D9" s="30"/>
      <c r="E9" s="31"/>
      <c r="F9" s="30"/>
      <c r="G9" s="31"/>
      <c r="H9" s="557">
        <f t="shared" si="0"/>
        <v>0</v>
      </c>
      <c r="I9" s="556">
        <f t="shared" si="1"/>
        <v>0</v>
      </c>
    </row>
    <row r="10" spans="1:22">
      <c r="A10" s="25" t="s">
        <v>171</v>
      </c>
      <c r="B10" s="37"/>
      <c r="C10" s="34"/>
      <c r="D10" s="30"/>
      <c r="E10" s="31"/>
      <c r="F10" s="30"/>
      <c r="G10" s="31"/>
      <c r="H10" s="557">
        <f t="shared" si="0"/>
        <v>0</v>
      </c>
      <c r="I10" s="556">
        <f t="shared" si="1"/>
        <v>0</v>
      </c>
    </row>
    <row r="11" spans="1:22">
      <c r="A11" s="57" t="s">
        <v>165</v>
      </c>
      <c r="B11" s="37"/>
      <c r="C11" s="34"/>
      <c r="D11" s="30"/>
      <c r="E11" s="31"/>
      <c r="F11" s="30"/>
      <c r="G11" s="31"/>
      <c r="H11" s="557">
        <f t="shared" si="0"/>
        <v>0</v>
      </c>
      <c r="I11" s="556">
        <f t="shared" si="1"/>
        <v>0</v>
      </c>
    </row>
    <row r="12" spans="1:22">
      <c r="A12" s="25" t="s">
        <v>163</v>
      </c>
      <c r="B12" s="569">
        <v>26141</v>
      </c>
      <c r="C12" s="558">
        <v>26628000</v>
      </c>
      <c r="D12" s="569">
        <f>2279+18953+4687+5108+42-4687</f>
        <v>26382</v>
      </c>
      <c r="E12" s="558">
        <v>26405200</v>
      </c>
      <c r="F12" s="569">
        <f>2889+771+1483+7+21382</f>
        <v>26532</v>
      </c>
      <c r="G12" s="558">
        <v>26532000</v>
      </c>
      <c r="H12" s="557">
        <f t="shared" si="0"/>
        <v>150</v>
      </c>
      <c r="I12" s="556">
        <f t="shared" si="1"/>
        <v>126800</v>
      </c>
    </row>
    <row r="13" spans="1:22">
      <c r="A13" s="57" t="s">
        <v>170</v>
      </c>
      <c r="B13" s="37"/>
      <c r="C13" s="558"/>
      <c r="D13" s="30"/>
      <c r="E13" s="31"/>
      <c r="F13" s="30"/>
      <c r="G13" s="31"/>
      <c r="H13" s="557">
        <f t="shared" si="0"/>
        <v>0</v>
      </c>
      <c r="I13" s="556">
        <f t="shared" si="1"/>
        <v>0</v>
      </c>
    </row>
    <row r="14" spans="1:22">
      <c r="A14" s="57" t="s">
        <v>27</v>
      </c>
      <c r="B14" s="37"/>
      <c r="C14" s="558"/>
      <c r="D14" s="30"/>
      <c r="E14" s="558">
        <v>583918</v>
      </c>
      <c r="F14" s="30"/>
      <c r="G14" s="31"/>
      <c r="H14" s="557">
        <f t="shared" si="0"/>
        <v>0</v>
      </c>
      <c r="I14" s="556">
        <f t="shared" si="1"/>
        <v>-583918</v>
      </c>
    </row>
    <row r="15" spans="1:22">
      <c r="A15" s="57" t="s">
        <v>167</v>
      </c>
      <c r="B15" s="37"/>
      <c r="C15" s="34"/>
      <c r="D15" s="30"/>
      <c r="E15" s="31"/>
      <c r="F15" s="30"/>
      <c r="G15" s="31"/>
      <c r="H15" s="557">
        <f t="shared" si="0"/>
        <v>0</v>
      </c>
      <c r="I15" s="556">
        <f t="shared" si="1"/>
        <v>0</v>
      </c>
    </row>
    <row r="16" spans="1:22">
      <c r="A16" s="57" t="s">
        <v>26</v>
      </c>
      <c r="B16" s="569">
        <v>26141</v>
      </c>
      <c r="C16" s="558">
        <v>92790292</v>
      </c>
      <c r="D16" s="569">
        <f>2279+18953+4687+5108+42-4687</f>
        <v>26382</v>
      </c>
      <c r="E16" s="558">
        <v>92842348</v>
      </c>
      <c r="F16" s="569">
        <f>2340+19042+4901+5108+42-4901</f>
        <v>26532</v>
      </c>
      <c r="G16" s="558">
        <v>92108193</v>
      </c>
      <c r="H16" s="557">
        <f t="shared" si="0"/>
        <v>150</v>
      </c>
      <c r="I16" s="556">
        <f t="shared" si="1"/>
        <v>-734155</v>
      </c>
    </row>
    <row r="17" spans="1:9">
      <c r="A17" s="57" t="s">
        <v>168</v>
      </c>
      <c r="B17" s="37"/>
      <c r="C17" s="34"/>
      <c r="D17" s="30"/>
      <c r="E17" s="31"/>
      <c r="F17" s="30"/>
      <c r="G17" s="31"/>
      <c r="H17" s="557">
        <f t="shared" si="0"/>
        <v>0</v>
      </c>
      <c r="I17" s="556">
        <f t="shared" si="1"/>
        <v>0</v>
      </c>
    </row>
    <row r="18" spans="1:9">
      <c r="A18" s="57" t="s">
        <v>166</v>
      </c>
      <c r="B18" s="37"/>
      <c r="C18" s="34"/>
      <c r="D18" s="30"/>
      <c r="E18" s="31"/>
      <c r="F18" s="30"/>
      <c r="G18" s="31"/>
      <c r="H18" s="557">
        <f t="shared" si="0"/>
        <v>0</v>
      </c>
      <c r="I18" s="556">
        <f t="shared" si="1"/>
        <v>0</v>
      </c>
    </row>
    <row r="19" spans="1:9">
      <c r="A19" s="57" t="s">
        <v>169</v>
      </c>
      <c r="B19" s="37"/>
      <c r="C19" s="34"/>
      <c r="D19" s="30"/>
      <c r="E19" s="31"/>
      <c r="F19" s="30"/>
      <c r="G19" s="31"/>
      <c r="H19" s="557">
        <f t="shared" si="0"/>
        <v>0</v>
      </c>
      <c r="I19" s="556">
        <f t="shared" si="1"/>
        <v>0</v>
      </c>
    </row>
    <row r="20" spans="1:9">
      <c r="A20" s="57" t="s">
        <v>28</v>
      </c>
      <c r="B20" s="569">
        <v>2889</v>
      </c>
      <c r="C20" s="558">
        <v>30948000</v>
      </c>
      <c r="D20" s="569">
        <v>2889</v>
      </c>
      <c r="E20" s="558">
        <v>36879000</v>
      </c>
      <c r="F20" s="569">
        <v>2889</v>
      </c>
      <c r="G20" s="558">
        <v>37231800</v>
      </c>
      <c r="H20" s="557">
        <f t="shared" si="0"/>
        <v>0</v>
      </c>
      <c r="I20" s="556">
        <f t="shared" si="1"/>
        <v>352800</v>
      </c>
    </row>
    <row r="21" spans="1:9">
      <c r="A21" s="57" t="s">
        <v>161</v>
      </c>
      <c r="B21" s="37"/>
      <c r="C21" s="34"/>
      <c r="D21" s="30"/>
      <c r="E21" s="31"/>
      <c r="F21" s="30"/>
      <c r="G21" s="31"/>
      <c r="H21" s="557">
        <f t="shared" si="0"/>
        <v>0</v>
      </c>
      <c r="I21" s="556">
        <f t="shared" si="1"/>
        <v>0</v>
      </c>
    </row>
    <row r="22" spans="1:9" ht="12.75" thickBot="1">
      <c r="A22" s="57" t="s">
        <v>39</v>
      </c>
      <c r="B22" s="37"/>
      <c r="C22" s="34"/>
      <c r="D22" s="30"/>
      <c r="E22" s="31"/>
      <c r="F22" s="30"/>
      <c r="G22" s="31"/>
      <c r="H22" s="557">
        <f t="shared" si="0"/>
        <v>0</v>
      </c>
      <c r="I22" s="556">
        <f t="shared" si="1"/>
        <v>0</v>
      </c>
    </row>
    <row r="23" spans="1:9" ht="12.75" thickBot="1">
      <c r="A23" s="17" t="s">
        <v>38</v>
      </c>
      <c r="B23" s="568">
        <f>B7</f>
        <v>30653</v>
      </c>
      <c r="C23" s="567">
        <f>SUM(C7:C22)</f>
        <v>1243428225</v>
      </c>
      <c r="D23" s="568">
        <f>D7</f>
        <v>31069</v>
      </c>
      <c r="E23" s="567">
        <f>SUM(E7:E22)</f>
        <v>1249645804</v>
      </c>
      <c r="F23" s="568">
        <f>F7</f>
        <v>26532</v>
      </c>
      <c r="G23" s="567">
        <f>SUM(G7:G22)</f>
        <v>1253826511</v>
      </c>
      <c r="H23" s="568">
        <f>H7</f>
        <v>-4537</v>
      </c>
      <c r="I23" s="567">
        <f>SUM(I7:I22)</f>
        <v>4180707</v>
      </c>
    </row>
    <row r="24" spans="1:9">
      <c r="A24" s="1" t="s">
        <v>313</v>
      </c>
      <c r="B24" s="2"/>
      <c r="C24" s="2"/>
      <c r="D24" s="2"/>
      <c r="E24" s="2"/>
      <c r="F24" s="2"/>
      <c r="G24" s="2"/>
      <c r="H24" s="2"/>
      <c r="I24" s="2"/>
    </row>
    <row r="25" spans="1:9">
      <c r="A25" s="1" t="s">
        <v>90</v>
      </c>
      <c r="B25" s="2"/>
      <c r="C25" s="2"/>
      <c r="D25" s="2"/>
      <c r="E25" s="2"/>
      <c r="F25" s="2"/>
      <c r="G25" s="570"/>
      <c r="H25" s="2"/>
      <c r="I25" s="2"/>
    </row>
    <row r="26" spans="1:9">
      <c r="A26" s="1"/>
      <c r="B26" s="2"/>
      <c r="C26" s="2"/>
      <c r="D26" s="2"/>
      <c r="E26" s="2"/>
      <c r="F26" s="2"/>
      <c r="G26" s="2"/>
      <c r="H26" s="2"/>
      <c r="I26" s="2"/>
    </row>
    <row r="27" spans="1:9">
      <c r="C27" s="566"/>
    </row>
    <row r="42" spans="10:10">
      <c r="J42" s="265"/>
    </row>
  </sheetData>
  <mergeCells count="4">
    <mergeCell ref="B5:C5"/>
    <mergeCell ref="D5:E5"/>
    <mergeCell ref="F5:G5"/>
    <mergeCell ref="H5:I5"/>
  </mergeCells>
  <printOptions horizontalCentered="1"/>
  <pageMargins left="0.19685039370078741" right="0.19685039370078741" top="0.78740157480314965" bottom="0.78740157480314965" header="0.19685039370078741" footer="0.19685039370078741"/>
  <pageSetup paperSize="9" scale="81"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J42"/>
  <sheetViews>
    <sheetView view="pageBreakPreview" zoomScaleNormal="100" zoomScaleSheetLayoutView="100" workbookViewId="0">
      <selection activeCell="B8" sqref="B8"/>
    </sheetView>
  </sheetViews>
  <sheetFormatPr baseColWidth="10" defaultColWidth="11.28515625" defaultRowHeight="12.75"/>
  <cols>
    <col min="1" max="1" width="86.28515625" bestFit="1" customWidth="1"/>
    <col min="2" max="4" width="12.7109375" bestFit="1" customWidth="1"/>
    <col min="5" max="5" width="13.5703125" bestFit="1" customWidth="1"/>
  </cols>
  <sheetData>
    <row r="1" spans="1:5">
      <c r="A1" s="76" t="s">
        <v>444</v>
      </c>
    </row>
    <row r="2" spans="1:5">
      <c r="A2" s="77" t="s">
        <v>382</v>
      </c>
    </row>
    <row r="3" spans="1:5" s="103" customFormat="1" ht="28.35" customHeight="1">
      <c r="A3" s="113" t="s">
        <v>299</v>
      </c>
      <c r="B3" s="114">
        <v>2019</v>
      </c>
      <c r="C3" s="114">
        <v>2020</v>
      </c>
      <c r="D3" s="114">
        <v>2021</v>
      </c>
    </row>
    <row r="4" spans="1:5" s="106" customFormat="1">
      <c r="A4" s="196" t="s">
        <v>296</v>
      </c>
      <c r="B4" s="194">
        <v>5698257137</v>
      </c>
      <c r="C4" s="194">
        <v>5718799368</v>
      </c>
      <c r="D4" s="194">
        <v>5489970058</v>
      </c>
    </row>
    <row r="5" spans="1:5" s="106" customFormat="1">
      <c r="A5" s="196" t="s">
        <v>297</v>
      </c>
      <c r="B5" s="194">
        <v>300360788</v>
      </c>
      <c r="C5" s="194">
        <v>344314088</v>
      </c>
      <c r="D5" s="194">
        <v>226304504</v>
      </c>
    </row>
    <row r="6" spans="1:5" s="106" customFormat="1">
      <c r="A6" s="196" t="s">
        <v>298</v>
      </c>
      <c r="B6" s="194">
        <v>1862944846</v>
      </c>
      <c r="C6" s="194">
        <v>1810907261</v>
      </c>
      <c r="D6" s="194">
        <v>1711240929</v>
      </c>
    </row>
    <row r="7" spans="1:5" s="110" customFormat="1" ht="28.35" customHeight="1">
      <c r="A7" s="111" t="s">
        <v>292</v>
      </c>
      <c r="B7" s="195">
        <f>SUM(B4:B6)</f>
        <v>7861562771</v>
      </c>
      <c r="C7" s="195">
        <f t="shared" ref="C7:D7" si="0">SUM(C4:C6)</f>
        <v>7874020717</v>
      </c>
      <c r="D7" s="195">
        <f t="shared" si="0"/>
        <v>7427515491</v>
      </c>
    </row>
    <row r="9" spans="1:5" s="103" customFormat="1" ht="28.35" customHeight="1">
      <c r="A9" s="113" t="s">
        <v>300</v>
      </c>
      <c r="B9" s="114">
        <v>2019</v>
      </c>
      <c r="C9" s="114" t="s">
        <v>440</v>
      </c>
      <c r="D9" s="114" t="s">
        <v>441</v>
      </c>
      <c r="E9"/>
    </row>
    <row r="10" spans="1:5" s="106" customFormat="1">
      <c r="A10" s="196" t="s">
        <v>296</v>
      </c>
      <c r="B10" s="194">
        <v>6208794108</v>
      </c>
      <c r="C10" s="194">
        <v>5951876391</v>
      </c>
      <c r="D10" s="194">
        <v>5489970058</v>
      </c>
      <c r="E10"/>
    </row>
    <row r="11" spans="1:5" s="106" customFormat="1">
      <c r="A11" s="196" t="s">
        <v>297</v>
      </c>
      <c r="B11" s="194">
        <v>276887767</v>
      </c>
      <c r="C11" s="194">
        <v>323489810</v>
      </c>
      <c r="D11" s="194">
        <v>226304504</v>
      </c>
      <c r="E11"/>
    </row>
    <row r="12" spans="1:5" s="106" customFormat="1">
      <c r="A12" s="196" t="s">
        <v>298</v>
      </c>
      <c r="B12" s="194">
        <v>2829095763</v>
      </c>
      <c r="C12" s="194">
        <v>2763899612</v>
      </c>
      <c r="D12" s="194">
        <v>1711240929</v>
      </c>
      <c r="E12"/>
    </row>
    <row r="13" spans="1:5" s="110" customFormat="1" ht="28.35" customHeight="1">
      <c r="A13" s="111" t="s">
        <v>293</v>
      </c>
      <c r="B13" s="195">
        <f>SUM(B10:B12)</f>
        <v>9314777638</v>
      </c>
      <c r="C13" s="195">
        <f t="shared" ref="C13" si="1">SUM(C10:C12)</f>
        <v>9039265813</v>
      </c>
      <c r="D13" s="195">
        <f t="shared" ref="D13" si="2">SUM(D10:D12)</f>
        <v>7427515491</v>
      </c>
      <c r="E13"/>
    </row>
    <row r="15" spans="1:5" s="103" customFormat="1" ht="28.35" customHeight="1">
      <c r="A15" s="113" t="s">
        <v>301</v>
      </c>
      <c r="B15" s="114">
        <v>2019</v>
      </c>
      <c r="C15" s="114" t="s">
        <v>440</v>
      </c>
      <c r="D15" s="114" t="s">
        <v>441</v>
      </c>
    </row>
    <row r="16" spans="1:5" s="106" customFormat="1">
      <c r="A16" s="196" t="s">
        <v>296</v>
      </c>
      <c r="B16" s="194">
        <v>5828832113.5999899</v>
      </c>
      <c r="C16" s="194">
        <v>5851626391</v>
      </c>
      <c r="D16" s="194">
        <v>5489970058</v>
      </c>
    </row>
    <row r="17" spans="1:4" s="106" customFormat="1">
      <c r="A17" s="196" t="s">
        <v>297</v>
      </c>
      <c r="B17" s="194">
        <v>261791954.34999982</v>
      </c>
      <c r="C17" s="194">
        <v>319089810</v>
      </c>
      <c r="D17" s="194">
        <v>226304504</v>
      </c>
    </row>
    <row r="18" spans="1:4" s="106" customFormat="1">
      <c r="A18" s="196" t="s">
        <v>298</v>
      </c>
      <c r="B18" s="194">
        <v>2784106852.1199989</v>
      </c>
      <c r="C18" s="194">
        <f>2679099612</f>
        <v>2679099612</v>
      </c>
      <c r="D18" s="194">
        <v>1711240929</v>
      </c>
    </row>
    <row r="19" spans="1:4" s="110" customFormat="1" ht="28.35" customHeight="1">
      <c r="A19" s="111" t="s">
        <v>294</v>
      </c>
      <c r="B19" s="195">
        <f>SUM(B16:B18)</f>
        <v>8874730920.0699883</v>
      </c>
      <c r="C19" s="195">
        <f>SUM(C16:C18)</f>
        <v>8849815813</v>
      </c>
      <c r="D19" s="195">
        <f>SUM(D16:D18)</f>
        <v>7427515491</v>
      </c>
    </row>
    <row r="20" spans="1:4">
      <c r="A20" s="341" t="s">
        <v>442</v>
      </c>
    </row>
    <row r="21" spans="1:4">
      <c r="A21" s="342" t="s">
        <v>443</v>
      </c>
    </row>
    <row r="22" spans="1:4">
      <c r="B22" s="405">
        <f>+B19/B13</f>
        <v>0.95275821549031681</v>
      </c>
      <c r="C22" s="1608">
        <f>+C19/C13</f>
        <v>0.97904143943554145</v>
      </c>
      <c r="D22" s="405">
        <f t="shared" ref="D22" si="3">+D19/D13</f>
        <v>1</v>
      </c>
    </row>
    <row r="42" spans="10:10">
      <c r="J42" s="63"/>
    </row>
  </sheetData>
  <printOptions horizontalCentered="1"/>
  <pageMargins left="0.19685039370078741" right="0.19685039370078741" top="0.78740157480314965" bottom="0.78740157480314965" header="0.19685039370078741" footer="0.19685039370078741"/>
  <pageSetup paperSize="9" orientation="landscape" r:id="rId1"/>
  <headerFooter alignWithMargins="0">
    <oddHeader>&amp;C&amp;"Arial,Negrita"&amp;18FORMATOS DEL 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2060"/>
  </sheetPr>
  <dimension ref="A1:V42"/>
  <sheetViews>
    <sheetView view="pageBreakPreview" zoomScaleNormal="100" zoomScaleSheetLayoutView="100" workbookViewId="0">
      <selection activeCell="B8" sqref="B8"/>
    </sheetView>
  </sheetViews>
  <sheetFormatPr baseColWidth="10" defaultColWidth="11.42578125" defaultRowHeight="12"/>
  <cols>
    <col min="1" max="1" width="62" style="68" customWidth="1"/>
    <col min="2" max="9" width="14.7109375" style="68" customWidth="1"/>
    <col min="10" max="16384" width="11.42578125" style="68"/>
  </cols>
  <sheetData>
    <row r="1" spans="1:22" s="70" customFormat="1" ht="15.75">
      <c r="A1" s="186" t="s">
        <v>459</v>
      </c>
      <c r="B1" s="75"/>
      <c r="C1" s="74"/>
      <c r="D1" s="74"/>
      <c r="E1" s="74"/>
      <c r="F1" s="74"/>
      <c r="H1" s="71"/>
      <c r="I1" s="71"/>
    </row>
    <row r="2" spans="1:22" s="72" customFormat="1" ht="15.75">
      <c r="A2" s="186" t="s">
        <v>382</v>
      </c>
      <c r="B2" s="71"/>
      <c r="C2" s="71"/>
      <c r="D2" s="71"/>
      <c r="E2" s="71"/>
      <c r="F2" s="71"/>
      <c r="G2" s="71"/>
      <c r="H2" s="71"/>
      <c r="I2" s="71"/>
      <c r="J2" s="71"/>
      <c r="K2" s="71"/>
      <c r="L2" s="71"/>
      <c r="M2" s="71"/>
      <c r="N2" s="71"/>
      <c r="O2" s="71"/>
      <c r="P2" s="71"/>
      <c r="Q2" s="71"/>
      <c r="R2" s="71"/>
      <c r="S2" s="71"/>
      <c r="T2" s="71"/>
      <c r="U2" s="71"/>
      <c r="V2" s="71"/>
    </row>
    <row r="3" spans="1:22" s="72" customFormat="1" ht="15.75">
      <c r="A3" s="187" t="s">
        <v>1654</v>
      </c>
      <c r="B3" s="71"/>
      <c r="C3" s="71"/>
      <c r="D3" s="71"/>
      <c r="E3" s="71"/>
      <c r="F3" s="71"/>
      <c r="G3" s="71"/>
      <c r="H3" s="71"/>
      <c r="I3" s="71"/>
      <c r="J3" s="71"/>
      <c r="K3" s="71"/>
      <c r="L3" s="71"/>
      <c r="M3" s="71"/>
      <c r="N3" s="71"/>
      <c r="O3" s="71"/>
      <c r="P3" s="71"/>
      <c r="Q3" s="71"/>
      <c r="R3" s="71"/>
      <c r="S3" s="71"/>
      <c r="T3" s="71"/>
      <c r="U3" s="71"/>
      <c r="V3" s="71"/>
    </row>
    <row r="4" spans="1:22" ht="13.5" thickBot="1">
      <c r="A4" s="187" t="s">
        <v>4239</v>
      </c>
      <c r="B4" s="8"/>
      <c r="E4" s="8"/>
    </row>
    <row r="5" spans="1:22" ht="12.75" thickBot="1">
      <c r="A5" s="127" t="s">
        <v>10</v>
      </c>
      <c r="B5" s="2018" t="s">
        <v>312</v>
      </c>
      <c r="C5" s="2018"/>
      <c r="D5" s="2016" t="s">
        <v>460</v>
      </c>
      <c r="E5" s="2015"/>
      <c r="F5" s="2016" t="s">
        <v>461</v>
      </c>
      <c r="G5" s="2017"/>
      <c r="H5" s="2016" t="s">
        <v>7067</v>
      </c>
      <c r="I5" s="2017"/>
    </row>
    <row r="6" spans="1:22" s="39" customFormat="1" ht="24" customHeight="1" thickBot="1">
      <c r="A6" s="398" t="s">
        <v>9</v>
      </c>
      <c r="B6" s="576" t="s">
        <v>136</v>
      </c>
      <c r="C6" s="129" t="s">
        <v>25</v>
      </c>
      <c r="D6" s="576" t="s">
        <v>136</v>
      </c>
      <c r="E6" s="129" t="s">
        <v>25</v>
      </c>
      <c r="F6" s="576" t="s">
        <v>136</v>
      </c>
      <c r="G6" s="129" t="s">
        <v>25</v>
      </c>
      <c r="H6" s="391" t="s">
        <v>136</v>
      </c>
      <c r="I6" s="129" t="s">
        <v>25</v>
      </c>
    </row>
    <row r="7" spans="1:22">
      <c r="A7" s="57" t="s">
        <v>133</v>
      </c>
      <c r="B7" s="575">
        <f>4655+1683+1062+8225+3015</f>
        <v>18640</v>
      </c>
      <c r="C7" s="564">
        <v>618754818</v>
      </c>
      <c r="D7" s="575">
        <f>4655+1062+1683+8259+2372</f>
        <v>18031</v>
      </c>
      <c r="E7" s="564">
        <v>564753751</v>
      </c>
      <c r="F7" s="575">
        <f>4488+1062+1683+7941+2500</f>
        <v>17674</v>
      </c>
      <c r="G7" s="564">
        <v>604247063</v>
      </c>
      <c r="H7" s="557">
        <f t="shared" ref="H7:H22" si="0">F7-D7</f>
        <v>-357</v>
      </c>
      <c r="I7" s="556">
        <f t="shared" ref="I7:I22" si="1">G7-E7</f>
        <v>39493312</v>
      </c>
    </row>
    <row r="8" spans="1:22">
      <c r="A8" s="57" t="s">
        <v>164</v>
      </c>
      <c r="B8" s="574"/>
      <c r="C8" s="564"/>
      <c r="D8" s="573"/>
      <c r="E8" s="564"/>
      <c r="F8" s="573"/>
      <c r="G8" s="564"/>
      <c r="H8" s="557">
        <f t="shared" si="0"/>
        <v>0</v>
      </c>
      <c r="I8" s="556">
        <f t="shared" si="1"/>
        <v>0</v>
      </c>
    </row>
    <row r="9" spans="1:22">
      <c r="A9" s="57" t="s">
        <v>162</v>
      </c>
      <c r="B9" s="574"/>
      <c r="C9" s="564"/>
      <c r="D9" s="573"/>
      <c r="E9" s="564"/>
      <c r="F9" s="573"/>
      <c r="G9" s="564"/>
      <c r="H9" s="557">
        <f t="shared" si="0"/>
        <v>0</v>
      </c>
      <c r="I9" s="556">
        <f t="shared" si="1"/>
        <v>0</v>
      </c>
    </row>
    <row r="10" spans="1:22">
      <c r="A10" s="25" t="s">
        <v>171</v>
      </c>
      <c r="B10" s="574"/>
      <c r="C10" s="564"/>
      <c r="D10" s="573"/>
      <c r="E10" s="564"/>
      <c r="F10" s="573"/>
      <c r="G10" s="564"/>
      <c r="H10" s="557">
        <f t="shared" si="0"/>
        <v>0</v>
      </c>
      <c r="I10" s="556">
        <f t="shared" si="1"/>
        <v>0</v>
      </c>
    </row>
    <row r="11" spans="1:22">
      <c r="A11" s="57" t="s">
        <v>165</v>
      </c>
      <c r="B11" s="574"/>
      <c r="C11" s="564"/>
      <c r="D11" s="573"/>
      <c r="E11" s="564"/>
      <c r="F11" s="573"/>
      <c r="G11" s="564"/>
      <c r="H11" s="557">
        <f t="shared" si="0"/>
        <v>0</v>
      </c>
      <c r="I11" s="556">
        <f t="shared" si="1"/>
        <v>0</v>
      </c>
    </row>
    <row r="12" spans="1:22">
      <c r="A12" s="25" t="s">
        <v>163</v>
      </c>
      <c r="B12" s="559">
        <f>4655+1719+1062+8225</f>
        <v>15661</v>
      </c>
      <c r="C12" s="564">
        <v>15792900</v>
      </c>
      <c r="D12" s="559">
        <f>4655+1062+1719+8259</f>
        <v>15695</v>
      </c>
      <c r="E12" s="564">
        <v>15680600</v>
      </c>
      <c r="F12" s="559">
        <f>4488+1062+1683+7941</f>
        <v>15174</v>
      </c>
      <c r="G12" s="564">
        <v>15174000</v>
      </c>
      <c r="H12" s="557">
        <f t="shared" si="0"/>
        <v>-521</v>
      </c>
      <c r="I12" s="556">
        <f t="shared" si="1"/>
        <v>-506600</v>
      </c>
    </row>
    <row r="13" spans="1:22">
      <c r="A13" s="57" t="s">
        <v>170</v>
      </c>
      <c r="B13" s="574"/>
      <c r="C13" s="564"/>
      <c r="D13" s="573"/>
      <c r="E13" s="564"/>
      <c r="F13" s="573"/>
      <c r="G13" s="564"/>
      <c r="H13" s="557">
        <f t="shared" si="0"/>
        <v>0</v>
      </c>
      <c r="I13" s="556">
        <f t="shared" si="1"/>
        <v>0</v>
      </c>
    </row>
    <row r="14" spans="1:22">
      <c r="A14" s="57" t="s">
        <v>27</v>
      </c>
      <c r="B14" s="574"/>
      <c r="C14" s="564"/>
      <c r="D14" s="573"/>
      <c r="E14" s="564">
        <v>57058118</v>
      </c>
      <c r="F14" s="573"/>
      <c r="G14" s="564">
        <v>0</v>
      </c>
      <c r="H14" s="557">
        <f t="shared" si="0"/>
        <v>0</v>
      </c>
      <c r="I14" s="556">
        <f t="shared" si="1"/>
        <v>-57058118</v>
      </c>
    </row>
    <row r="15" spans="1:22">
      <c r="A15" s="57" t="s">
        <v>167</v>
      </c>
      <c r="B15" s="574"/>
      <c r="C15" s="564"/>
      <c r="D15" s="573"/>
      <c r="E15" s="564"/>
      <c r="F15" s="573"/>
      <c r="G15" s="564"/>
      <c r="H15" s="557">
        <f t="shared" si="0"/>
        <v>0</v>
      </c>
      <c r="I15" s="556">
        <f t="shared" si="1"/>
        <v>0</v>
      </c>
    </row>
    <row r="16" spans="1:22">
      <c r="A16" s="57" t="s">
        <v>26</v>
      </c>
      <c r="B16" s="559">
        <f>4655+1683+1062+8225+1249</f>
        <v>16874</v>
      </c>
      <c r="C16" s="564">
        <v>55780762</v>
      </c>
      <c r="D16" s="559">
        <f>4655+1062+1683+8259+1118</f>
        <v>16777</v>
      </c>
      <c r="E16" s="564">
        <v>50866840</v>
      </c>
      <c r="F16" s="559">
        <f>4488+1062+1683+7941+936</f>
        <v>16110</v>
      </c>
      <c r="G16" s="564">
        <v>50906469</v>
      </c>
      <c r="H16" s="557">
        <f t="shared" si="0"/>
        <v>-667</v>
      </c>
      <c r="I16" s="556">
        <f t="shared" si="1"/>
        <v>39629</v>
      </c>
    </row>
    <row r="17" spans="1:9">
      <c r="A17" s="57" t="s">
        <v>168</v>
      </c>
      <c r="B17" s="574"/>
      <c r="C17" s="564"/>
      <c r="D17" s="573"/>
      <c r="E17" s="564"/>
      <c r="F17" s="573"/>
      <c r="G17" s="564"/>
      <c r="H17" s="557">
        <f t="shared" si="0"/>
        <v>0</v>
      </c>
      <c r="I17" s="556">
        <f t="shared" si="1"/>
        <v>0</v>
      </c>
    </row>
    <row r="18" spans="1:9">
      <c r="A18" s="57" t="s">
        <v>166</v>
      </c>
      <c r="B18" s="574"/>
      <c r="C18" s="564"/>
      <c r="D18" s="573"/>
      <c r="E18" s="564"/>
      <c r="F18" s="573"/>
      <c r="G18" s="564"/>
      <c r="H18" s="557">
        <f t="shared" si="0"/>
        <v>0</v>
      </c>
      <c r="I18" s="556">
        <f t="shared" si="1"/>
        <v>0</v>
      </c>
    </row>
    <row r="19" spans="1:9">
      <c r="A19" s="57" t="s">
        <v>169</v>
      </c>
      <c r="B19" s="574"/>
      <c r="C19" s="564"/>
      <c r="D19" s="573"/>
      <c r="E19" s="564"/>
      <c r="F19" s="573"/>
      <c r="G19" s="564"/>
      <c r="H19" s="557">
        <f t="shared" si="0"/>
        <v>0</v>
      </c>
      <c r="I19" s="556">
        <f t="shared" si="1"/>
        <v>0</v>
      </c>
    </row>
    <row r="20" spans="1:9">
      <c r="A20" s="57" t="s">
        <v>28</v>
      </c>
      <c r="B20" s="559">
        <v>4638</v>
      </c>
      <c r="C20" s="564">
        <v>47845200</v>
      </c>
      <c r="D20" s="559">
        <v>4638</v>
      </c>
      <c r="E20" s="564">
        <v>59328000</v>
      </c>
      <c r="F20" s="559">
        <v>4488</v>
      </c>
      <c r="G20" s="564">
        <v>57845520</v>
      </c>
      <c r="H20" s="557">
        <f t="shared" si="0"/>
        <v>-150</v>
      </c>
      <c r="I20" s="556">
        <f t="shared" si="1"/>
        <v>-1482480</v>
      </c>
    </row>
    <row r="21" spans="1:9">
      <c r="A21" s="57" t="s">
        <v>161</v>
      </c>
      <c r="B21" s="574"/>
      <c r="C21" s="564"/>
      <c r="D21" s="573"/>
      <c r="E21" s="564"/>
      <c r="F21" s="573"/>
      <c r="G21" s="564">
        <v>0</v>
      </c>
      <c r="H21" s="557">
        <f t="shared" si="0"/>
        <v>0</v>
      </c>
      <c r="I21" s="556">
        <f t="shared" si="1"/>
        <v>0</v>
      </c>
    </row>
    <row r="22" spans="1:9" ht="12.75" thickBot="1">
      <c r="A22" s="57" t="s">
        <v>39</v>
      </c>
      <c r="B22" s="574"/>
      <c r="C22" s="564"/>
      <c r="D22" s="573"/>
      <c r="E22" s="564"/>
      <c r="F22" s="573"/>
      <c r="G22" s="564"/>
      <c r="H22" s="557">
        <f t="shared" si="0"/>
        <v>0</v>
      </c>
      <c r="I22" s="556">
        <f t="shared" si="1"/>
        <v>0</v>
      </c>
    </row>
    <row r="23" spans="1:9" ht="12.75" thickBot="1">
      <c r="A23" s="17" t="s">
        <v>38</v>
      </c>
      <c r="B23" s="553">
        <f>B7</f>
        <v>18640</v>
      </c>
      <c r="C23" s="572">
        <f>SUM(C7:C22)</f>
        <v>738173680</v>
      </c>
      <c r="D23" s="553">
        <f>D7</f>
        <v>18031</v>
      </c>
      <c r="E23" s="571">
        <f>SUM(E7:E22)</f>
        <v>747687309</v>
      </c>
      <c r="F23" s="553">
        <f>F7</f>
        <v>17674</v>
      </c>
      <c r="G23" s="571">
        <f>SUM(G7:G22)</f>
        <v>728173052</v>
      </c>
      <c r="H23" s="552">
        <f>H7</f>
        <v>-357</v>
      </c>
      <c r="I23" s="571">
        <f>SUM(I7:I22)</f>
        <v>-19514257</v>
      </c>
    </row>
    <row r="24" spans="1:9">
      <c r="A24" s="1" t="s">
        <v>313</v>
      </c>
      <c r="B24" s="2"/>
      <c r="C24" s="2"/>
      <c r="D24" s="2"/>
      <c r="E24" s="2"/>
      <c r="F24" s="2"/>
      <c r="G24" s="2"/>
      <c r="H24" s="2"/>
      <c r="I24" s="2"/>
    </row>
    <row r="25" spans="1:9">
      <c r="A25" s="1" t="s">
        <v>90</v>
      </c>
      <c r="B25" s="2"/>
      <c r="C25" s="2"/>
      <c r="D25" s="2"/>
      <c r="E25" s="2"/>
      <c r="F25" s="2"/>
      <c r="G25" s="2"/>
      <c r="H25" s="2"/>
      <c r="I25" s="2"/>
    </row>
    <row r="26" spans="1:9">
      <c r="A26" s="1"/>
      <c r="B26" s="2"/>
      <c r="C26" s="2"/>
      <c r="D26" s="2"/>
      <c r="E26" s="2"/>
      <c r="F26" s="2"/>
      <c r="G26" s="2"/>
      <c r="H26" s="2"/>
      <c r="I26" s="2"/>
    </row>
    <row r="42" spans="10:10">
      <c r="J42" s="265"/>
    </row>
  </sheetData>
  <mergeCells count="4">
    <mergeCell ref="B5:C5"/>
    <mergeCell ref="D5:E5"/>
    <mergeCell ref="F5:G5"/>
    <mergeCell ref="H5:I5"/>
  </mergeCells>
  <printOptions horizontalCentered="1"/>
  <pageMargins left="0.19685039370078741" right="0.19685039370078741" top="0.78740157480314965" bottom="0.78740157480314965" header="0.19685039370078741" footer="0.19685039370078741"/>
  <pageSetup paperSize="9" scale="81"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2060"/>
  </sheetPr>
  <dimension ref="A1:V42"/>
  <sheetViews>
    <sheetView view="pageBreakPreview" zoomScaleNormal="100" zoomScaleSheetLayoutView="100" workbookViewId="0">
      <selection activeCell="B8" sqref="B8"/>
    </sheetView>
  </sheetViews>
  <sheetFormatPr baseColWidth="10" defaultColWidth="11.42578125" defaultRowHeight="12"/>
  <cols>
    <col min="1" max="1" width="62" style="68" customWidth="1"/>
    <col min="2" max="9" width="14.7109375" style="68" customWidth="1"/>
    <col min="10" max="16384" width="11.42578125" style="68"/>
  </cols>
  <sheetData>
    <row r="1" spans="1:22" s="70" customFormat="1" ht="15.75">
      <c r="A1" s="186" t="s">
        <v>459</v>
      </c>
      <c r="B1" s="75"/>
      <c r="C1" s="74"/>
      <c r="D1" s="74"/>
      <c r="E1" s="74"/>
      <c r="F1" s="74"/>
      <c r="H1" s="71"/>
      <c r="I1" s="71"/>
    </row>
    <row r="2" spans="1:22" s="72" customFormat="1" ht="15.75">
      <c r="A2" s="186" t="s">
        <v>382</v>
      </c>
      <c r="B2" s="71"/>
      <c r="C2" s="71"/>
      <c r="D2" s="71"/>
      <c r="E2" s="71"/>
      <c r="F2" s="71"/>
      <c r="G2" s="71"/>
      <c r="H2" s="71"/>
      <c r="I2" s="71"/>
      <c r="J2" s="71"/>
      <c r="K2" s="71"/>
      <c r="L2" s="71"/>
      <c r="M2" s="71"/>
      <c r="N2" s="71"/>
      <c r="O2" s="71"/>
      <c r="P2" s="71"/>
      <c r="Q2" s="71"/>
      <c r="R2" s="71"/>
      <c r="S2" s="71"/>
      <c r="T2" s="71"/>
      <c r="U2" s="71"/>
      <c r="V2" s="71"/>
    </row>
    <row r="3" spans="1:22" s="72" customFormat="1" ht="15.75">
      <c r="A3" s="187" t="s">
        <v>1654</v>
      </c>
      <c r="B3" s="71"/>
      <c r="C3" s="71"/>
      <c r="D3" s="71"/>
      <c r="E3" s="71"/>
      <c r="F3" s="71"/>
      <c r="G3" s="71"/>
      <c r="H3" s="71"/>
      <c r="I3" s="71"/>
      <c r="J3" s="71"/>
      <c r="K3" s="71"/>
      <c r="L3" s="71"/>
      <c r="M3" s="71"/>
      <c r="N3" s="71"/>
      <c r="O3" s="71"/>
      <c r="P3" s="71"/>
      <c r="Q3" s="71"/>
      <c r="R3" s="71"/>
      <c r="S3" s="71"/>
      <c r="T3" s="71"/>
      <c r="U3" s="71"/>
      <c r="V3" s="71"/>
    </row>
    <row r="4" spans="1:22" ht="13.5" thickBot="1">
      <c r="A4" s="187" t="s">
        <v>4387</v>
      </c>
      <c r="B4" s="8"/>
      <c r="E4" s="8"/>
    </row>
    <row r="5" spans="1:22" ht="12.75" thickBot="1">
      <c r="A5" s="127" t="s">
        <v>10</v>
      </c>
      <c r="B5" s="2018" t="s">
        <v>312</v>
      </c>
      <c r="C5" s="2018"/>
      <c r="D5" s="2016" t="s">
        <v>460</v>
      </c>
      <c r="E5" s="2015"/>
      <c r="F5" s="2016" t="s">
        <v>461</v>
      </c>
      <c r="G5" s="2017"/>
      <c r="H5" s="2016" t="s">
        <v>7067</v>
      </c>
      <c r="I5" s="2017"/>
    </row>
    <row r="6" spans="1:22" s="39" customFormat="1" ht="24" customHeight="1">
      <c r="A6" s="398" t="s">
        <v>9</v>
      </c>
      <c r="B6" s="128" t="s">
        <v>136</v>
      </c>
      <c r="C6" s="129" t="s">
        <v>25</v>
      </c>
      <c r="D6" s="398" t="s">
        <v>136</v>
      </c>
      <c r="E6" s="392" t="s">
        <v>25</v>
      </c>
      <c r="F6" s="398" t="s">
        <v>136</v>
      </c>
      <c r="G6" s="392" t="s">
        <v>25</v>
      </c>
      <c r="H6" s="398" t="s">
        <v>136</v>
      </c>
      <c r="I6" s="392" t="s">
        <v>25</v>
      </c>
    </row>
    <row r="7" spans="1:22">
      <c r="A7" s="57" t="s">
        <v>133</v>
      </c>
      <c r="B7" s="37">
        <v>19</v>
      </c>
      <c r="C7" s="564">
        <v>319062</v>
      </c>
      <c r="D7" s="30">
        <v>16</v>
      </c>
      <c r="E7" s="564">
        <v>255444</v>
      </c>
      <c r="F7" s="30">
        <v>15</v>
      </c>
      <c r="G7" s="564">
        <v>262164</v>
      </c>
      <c r="H7" s="557">
        <f t="shared" ref="H7:H22" si="0">F7-D7</f>
        <v>-1</v>
      </c>
      <c r="I7" s="556">
        <f t="shared" ref="I7:I22" si="1">G7-E7</f>
        <v>6720</v>
      </c>
    </row>
    <row r="8" spans="1:22">
      <c r="A8" s="57" t="s">
        <v>164</v>
      </c>
      <c r="B8" s="37"/>
      <c r="C8" s="34"/>
      <c r="D8" s="30"/>
      <c r="E8" s="31"/>
      <c r="F8" s="30"/>
      <c r="G8" s="31"/>
      <c r="H8" s="557">
        <f t="shared" si="0"/>
        <v>0</v>
      </c>
      <c r="I8" s="556">
        <f t="shared" si="1"/>
        <v>0</v>
      </c>
    </row>
    <row r="9" spans="1:22">
      <c r="A9" s="57" t="s">
        <v>162</v>
      </c>
      <c r="B9" s="37"/>
      <c r="C9" s="34"/>
      <c r="D9" s="30"/>
      <c r="E9" s="31"/>
      <c r="F9" s="30"/>
      <c r="G9" s="31"/>
      <c r="H9" s="557">
        <f t="shared" si="0"/>
        <v>0</v>
      </c>
      <c r="I9" s="556">
        <f t="shared" si="1"/>
        <v>0</v>
      </c>
    </row>
    <row r="10" spans="1:22">
      <c r="A10" s="25" t="s">
        <v>171</v>
      </c>
      <c r="B10" s="37"/>
      <c r="C10" s="34"/>
      <c r="D10" s="30"/>
      <c r="E10" s="31"/>
      <c r="F10" s="30"/>
      <c r="G10" s="31"/>
      <c r="H10" s="557">
        <f t="shared" si="0"/>
        <v>0</v>
      </c>
      <c r="I10" s="556">
        <f t="shared" si="1"/>
        <v>0</v>
      </c>
    </row>
    <row r="11" spans="1:22">
      <c r="A11" s="57" t="s">
        <v>165</v>
      </c>
      <c r="B11" s="37"/>
      <c r="C11" s="34"/>
      <c r="D11" s="30"/>
      <c r="E11" s="31"/>
      <c r="F11" s="30"/>
      <c r="G11" s="31"/>
      <c r="H11" s="557">
        <f t="shared" si="0"/>
        <v>0</v>
      </c>
      <c r="I11" s="556">
        <f t="shared" si="1"/>
        <v>0</v>
      </c>
    </row>
    <row r="12" spans="1:22">
      <c r="A12" s="25" t="s">
        <v>163</v>
      </c>
      <c r="B12" s="37">
        <v>19</v>
      </c>
      <c r="C12" s="564">
        <v>19000</v>
      </c>
      <c r="D12" s="30">
        <v>16</v>
      </c>
      <c r="E12" s="564">
        <v>16000</v>
      </c>
      <c r="F12" s="30">
        <v>15</v>
      </c>
      <c r="G12" s="564">
        <v>16000</v>
      </c>
      <c r="H12" s="557">
        <f t="shared" si="0"/>
        <v>-1</v>
      </c>
      <c r="I12" s="556">
        <f t="shared" si="1"/>
        <v>0</v>
      </c>
    </row>
    <row r="13" spans="1:22">
      <c r="A13" s="57" t="s">
        <v>170</v>
      </c>
      <c r="B13" s="37"/>
      <c r="C13" s="34"/>
      <c r="D13" s="30"/>
      <c r="E13" s="31"/>
      <c r="F13" s="30"/>
      <c r="G13" s="31"/>
      <c r="H13" s="557">
        <f t="shared" si="0"/>
        <v>0</v>
      </c>
      <c r="I13" s="556">
        <f t="shared" si="1"/>
        <v>0</v>
      </c>
    </row>
    <row r="14" spans="1:22">
      <c r="A14" s="57" t="s">
        <v>27</v>
      </c>
      <c r="B14" s="37"/>
      <c r="C14" s="34"/>
      <c r="D14" s="30"/>
      <c r="E14" s="31"/>
      <c r="F14" s="30"/>
      <c r="G14" s="564">
        <v>23528</v>
      </c>
      <c r="H14" s="557">
        <f t="shared" si="0"/>
        <v>0</v>
      </c>
      <c r="I14" s="556">
        <f t="shared" si="1"/>
        <v>23528</v>
      </c>
    </row>
    <row r="15" spans="1:22">
      <c r="A15" s="57" t="s">
        <v>167</v>
      </c>
      <c r="B15" s="37"/>
      <c r="C15" s="34"/>
      <c r="D15" s="30"/>
      <c r="E15" s="31"/>
      <c r="F15" s="30"/>
      <c r="G15" s="31"/>
      <c r="H15" s="557">
        <f t="shared" si="0"/>
        <v>0</v>
      </c>
      <c r="I15" s="556">
        <f t="shared" si="1"/>
        <v>0</v>
      </c>
    </row>
    <row r="16" spans="1:22">
      <c r="A16" s="57" t="s">
        <v>26</v>
      </c>
      <c r="B16" s="37">
        <v>19</v>
      </c>
      <c r="C16" s="564">
        <v>23142</v>
      </c>
      <c r="D16" s="30">
        <v>16</v>
      </c>
      <c r="E16" s="564">
        <v>16078</v>
      </c>
      <c r="F16" s="30">
        <v>15</v>
      </c>
      <c r="G16" s="564">
        <v>16070</v>
      </c>
      <c r="H16" s="557">
        <f t="shared" si="0"/>
        <v>-1</v>
      </c>
      <c r="I16" s="556">
        <f t="shared" si="1"/>
        <v>-8</v>
      </c>
    </row>
    <row r="17" spans="1:9">
      <c r="A17" s="57" t="s">
        <v>168</v>
      </c>
      <c r="B17" s="37"/>
      <c r="C17" s="34"/>
      <c r="D17" s="30"/>
      <c r="E17" s="31"/>
      <c r="F17" s="30"/>
      <c r="G17" s="31"/>
      <c r="H17" s="557">
        <f t="shared" si="0"/>
        <v>0</v>
      </c>
      <c r="I17" s="556">
        <f t="shared" si="1"/>
        <v>0</v>
      </c>
    </row>
    <row r="18" spans="1:9">
      <c r="A18" s="57" t="s">
        <v>166</v>
      </c>
      <c r="B18" s="37"/>
      <c r="C18" s="34"/>
      <c r="D18" s="30"/>
      <c r="E18" s="31"/>
      <c r="F18" s="30"/>
      <c r="G18" s="31"/>
      <c r="H18" s="557">
        <f t="shared" si="0"/>
        <v>0</v>
      </c>
      <c r="I18" s="556">
        <f t="shared" si="1"/>
        <v>0</v>
      </c>
    </row>
    <row r="19" spans="1:9">
      <c r="A19" s="57" t="s">
        <v>169</v>
      </c>
      <c r="B19" s="37"/>
      <c r="C19" s="34"/>
      <c r="D19" s="30"/>
      <c r="E19" s="31"/>
      <c r="F19" s="30"/>
      <c r="G19" s="31"/>
      <c r="H19" s="557">
        <f t="shared" si="0"/>
        <v>0</v>
      </c>
      <c r="I19" s="556">
        <f t="shared" si="1"/>
        <v>0</v>
      </c>
    </row>
    <row r="20" spans="1:9">
      <c r="A20" s="57" t="s">
        <v>28</v>
      </c>
      <c r="B20" s="37">
        <v>19</v>
      </c>
      <c r="C20" s="564">
        <v>207600</v>
      </c>
      <c r="D20" s="30">
        <v>16</v>
      </c>
      <c r="E20" s="564">
        <v>242400</v>
      </c>
      <c r="F20" s="30">
        <v>15</v>
      </c>
      <c r="G20" s="564">
        <v>212160</v>
      </c>
      <c r="H20" s="557">
        <f t="shared" si="0"/>
        <v>-1</v>
      </c>
      <c r="I20" s="556">
        <f t="shared" si="1"/>
        <v>-30240</v>
      </c>
    </row>
    <row r="21" spans="1:9">
      <c r="A21" s="57" t="s">
        <v>161</v>
      </c>
      <c r="B21" s="37">
        <v>19</v>
      </c>
      <c r="C21" s="564">
        <v>38950</v>
      </c>
      <c r="D21" s="30">
        <v>16</v>
      </c>
      <c r="E21" s="564">
        <v>86882</v>
      </c>
      <c r="F21" s="30">
        <v>15</v>
      </c>
      <c r="G21" s="564">
        <v>0</v>
      </c>
      <c r="H21" s="557">
        <f t="shared" si="0"/>
        <v>-1</v>
      </c>
      <c r="I21" s="556">
        <f t="shared" si="1"/>
        <v>-86882</v>
      </c>
    </row>
    <row r="22" spans="1:9" ht="12.75" thickBot="1">
      <c r="A22" s="57" t="s">
        <v>39</v>
      </c>
      <c r="B22" s="37"/>
      <c r="C22" s="34"/>
      <c r="D22" s="30"/>
      <c r="E22" s="31"/>
      <c r="F22" s="30"/>
      <c r="G22" s="31"/>
      <c r="H22" s="557">
        <f t="shared" si="0"/>
        <v>0</v>
      </c>
      <c r="I22" s="556">
        <f t="shared" si="1"/>
        <v>0</v>
      </c>
    </row>
    <row r="23" spans="1:9" ht="12.75" thickBot="1">
      <c r="A23" s="17" t="s">
        <v>38</v>
      </c>
      <c r="B23" s="18">
        <v>19</v>
      </c>
      <c r="C23" s="551">
        <f>SUM(C7:C22)</f>
        <v>607754</v>
      </c>
      <c r="D23" s="18">
        <v>16</v>
      </c>
      <c r="E23" s="551">
        <f>SUM(E7:E22)</f>
        <v>616804</v>
      </c>
      <c r="F23" s="18">
        <v>15</v>
      </c>
      <c r="G23" s="551">
        <f>SUM(G7:G22)</f>
        <v>529922</v>
      </c>
      <c r="H23" s="552">
        <f>H7</f>
        <v>-1</v>
      </c>
      <c r="I23" s="551">
        <f>SUM(I7:I22)</f>
        <v>-86882</v>
      </c>
    </row>
    <row r="24" spans="1:9">
      <c r="A24" s="1" t="s">
        <v>313</v>
      </c>
      <c r="B24" s="2"/>
      <c r="C24" s="2"/>
      <c r="D24" s="2"/>
      <c r="E24" s="2"/>
      <c r="F24" s="2"/>
      <c r="G24" s="2"/>
      <c r="H24" s="2"/>
      <c r="I24" s="2"/>
    </row>
    <row r="25" spans="1:9">
      <c r="A25" s="1" t="s">
        <v>90</v>
      </c>
      <c r="B25" s="2"/>
      <c r="C25" s="2"/>
      <c r="D25" s="2"/>
      <c r="E25" s="2"/>
      <c r="F25" s="2"/>
      <c r="G25" s="2"/>
      <c r="H25" s="2"/>
      <c r="I25" s="2"/>
    </row>
    <row r="26" spans="1:9">
      <c r="A26" s="1"/>
      <c r="B26" s="2"/>
      <c r="C26" s="2"/>
      <c r="D26" s="2"/>
      <c r="E26" s="2"/>
      <c r="F26" s="2"/>
      <c r="G26" s="2"/>
      <c r="H26" s="2"/>
      <c r="I26" s="2"/>
    </row>
    <row r="42" spans="10:10">
      <c r="J42" s="265"/>
    </row>
  </sheetData>
  <mergeCells count="4">
    <mergeCell ref="B5:C5"/>
    <mergeCell ref="D5:E5"/>
    <mergeCell ref="F5:G5"/>
    <mergeCell ref="H5:I5"/>
  </mergeCells>
  <printOptions horizontalCentered="1"/>
  <pageMargins left="0.19685039370078741" right="0.19685039370078741" top="0.78740157480314965" bottom="0.78740157480314965" header="0.19685039370078741" footer="0.19685039370078741"/>
  <pageSetup paperSize="9" scale="81"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2060"/>
  </sheetPr>
  <dimension ref="A1:V42"/>
  <sheetViews>
    <sheetView view="pageBreakPreview" zoomScaleNormal="100" zoomScaleSheetLayoutView="100" workbookViewId="0">
      <selection activeCell="B8" sqref="B8"/>
    </sheetView>
  </sheetViews>
  <sheetFormatPr baseColWidth="10" defaultColWidth="11.42578125" defaultRowHeight="12"/>
  <cols>
    <col min="1" max="1" width="62" style="68" customWidth="1"/>
    <col min="2" max="9" width="14.7109375" style="68" customWidth="1"/>
    <col min="10" max="16384" width="11.42578125" style="68"/>
  </cols>
  <sheetData>
    <row r="1" spans="1:22" s="70" customFormat="1" ht="15.75">
      <c r="A1" s="186" t="s">
        <v>459</v>
      </c>
      <c r="B1" s="75"/>
      <c r="C1" s="74"/>
      <c r="D1" s="74"/>
      <c r="E1" s="74"/>
      <c r="F1" s="74"/>
      <c r="H1" s="71"/>
      <c r="I1" s="71"/>
    </row>
    <row r="2" spans="1:22" s="72" customFormat="1" ht="15.75">
      <c r="A2" s="186" t="s">
        <v>382</v>
      </c>
      <c r="B2" s="71"/>
      <c r="C2" s="71"/>
      <c r="D2" s="71"/>
      <c r="E2" s="71"/>
      <c r="F2" s="71"/>
      <c r="G2" s="71"/>
      <c r="H2" s="71"/>
      <c r="I2" s="71"/>
      <c r="J2" s="71"/>
      <c r="K2" s="71"/>
      <c r="L2" s="71"/>
      <c r="M2" s="71"/>
      <c r="N2" s="71"/>
      <c r="O2" s="71"/>
      <c r="P2" s="71"/>
      <c r="Q2" s="71"/>
      <c r="R2" s="71"/>
      <c r="S2" s="71"/>
      <c r="T2" s="71"/>
      <c r="U2" s="71"/>
      <c r="V2" s="71"/>
    </row>
    <row r="3" spans="1:22" s="72" customFormat="1" ht="15.75">
      <c r="A3" s="187" t="s">
        <v>1654</v>
      </c>
      <c r="B3" s="71"/>
      <c r="C3" s="71"/>
      <c r="D3" s="71"/>
      <c r="E3" s="71"/>
      <c r="F3" s="71"/>
      <c r="G3" s="71"/>
      <c r="H3" s="71"/>
      <c r="I3" s="71"/>
      <c r="J3" s="71"/>
      <c r="K3" s="71"/>
      <c r="L3" s="71"/>
      <c r="M3" s="71"/>
      <c r="N3" s="71"/>
      <c r="O3" s="71"/>
      <c r="P3" s="71"/>
      <c r="Q3" s="71"/>
      <c r="R3" s="71"/>
      <c r="S3" s="71"/>
      <c r="T3" s="71"/>
      <c r="U3" s="71"/>
      <c r="V3" s="71"/>
    </row>
    <row r="4" spans="1:22" ht="13.5" thickBot="1">
      <c r="A4" s="187" t="s">
        <v>4548</v>
      </c>
      <c r="B4" s="8"/>
      <c r="E4" s="8"/>
    </row>
    <row r="5" spans="1:22" ht="12.75" thickBot="1">
      <c r="A5" s="127" t="s">
        <v>10</v>
      </c>
      <c r="B5" s="2018" t="s">
        <v>312</v>
      </c>
      <c r="C5" s="2018"/>
      <c r="D5" s="2016" t="s">
        <v>460</v>
      </c>
      <c r="E5" s="2015"/>
      <c r="F5" s="2016" t="s">
        <v>461</v>
      </c>
      <c r="G5" s="2017"/>
      <c r="H5" s="2016" t="s">
        <v>7067</v>
      </c>
      <c r="I5" s="2017"/>
    </row>
    <row r="6" spans="1:22" s="39" customFormat="1" ht="24" customHeight="1">
      <c r="A6" s="398" t="s">
        <v>9</v>
      </c>
      <c r="B6" s="128" t="s">
        <v>136</v>
      </c>
      <c r="C6" s="129" t="s">
        <v>25</v>
      </c>
      <c r="D6" s="398" t="s">
        <v>136</v>
      </c>
      <c r="E6" s="392" t="s">
        <v>25</v>
      </c>
      <c r="F6" s="398" t="s">
        <v>136</v>
      </c>
      <c r="G6" s="392" t="s">
        <v>25</v>
      </c>
      <c r="H6" s="398" t="s">
        <v>136</v>
      </c>
      <c r="I6" s="392" t="s">
        <v>25</v>
      </c>
    </row>
    <row r="7" spans="1:22">
      <c r="A7" s="57" t="s">
        <v>133</v>
      </c>
      <c r="B7" s="574">
        <v>55</v>
      </c>
      <c r="C7" s="564">
        <v>886035</v>
      </c>
      <c r="D7" s="573">
        <v>54</v>
      </c>
      <c r="E7" s="564">
        <v>857593</v>
      </c>
      <c r="F7" s="573">
        <v>54</v>
      </c>
      <c r="G7" s="564">
        <v>870457</v>
      </c>
      <c r="H7" s="557">
        <f t="shared" ref="H7:H22" si="0">F7-D7</f>
        <v>0</v>
      </c>
      <c r="I7" s="556">
        <f t="shared" ref="I7:I22" si="1">G7-E7</f>
        <v>12864</v>
      </c>
    </row>
    <row r="8" spans="1:22">
      <c r="A8" s="57" t="s">
        <v>164</v>
      </c>
      <c r="B8" s="574"/>
      <c r="C8" s="34"/>
      <c r="D8" s="573"/>
      <c r="E8" s="34"/>
      <c r="F8" s="573"/>
      <c r="G8" s="34"/>
      <c r="H8" s="557">
        <f t="shared" si="0"/>
        <v>0</v>
      </c>
      <c r="I8" s="556">
        <f t="shared" si="1"/>
        <v>0</v>
      </c>
    </row>
    <row r="9" spans="1:22">
      <c r="A9" s="57" t="s">
        <v>162</v>
      </c>
      <c r="B9" s="574"/>
      <c r="C9" s="34"/>
      <c r="D9" s="573"/>
      <c r="E9" s="34"/>
      <c r="F9" s="573"/>
      <c r="G9" s="34"/>
      <c r="H9" s="557">
        <f t="shared" si="0"/>
        <v>0</v>
      </c>
      <c r="I9" s="556">
        <f t="shared" si="1"/>
        <v>0</v>
      </c>
    </row>
    <row r="10" spans="1:22">
      <c r="A10" s="25" t="s">
        <v>171</v>
      </c>
      <c r="B10" s="574"/>
      <c r="C10" s="34"/>
      <c r="D10" s="573"/>
      <c r="E10" s="34"/>
      <c r="F10" s="573"/>
      <c r="G10" s="34"/>
      <c r="H10" s="557">
        <f t="shared" si="0"/>
        <v>0</v>
      </c>
      <c r="I10" s="556">
        <f t="shared" si="1"/>
        <v>0</v>
      </c>
    </row>
    <row r="11" spans="1:22">
      <c r="A11" s="57" t="s">
        <v>165</v>
      </c>
      <c r="B11" s="574"/>
      <c r="C11" s="34"/>
      <c r="D11" s="573"/>
      <c r="E11" s="34"/>
      <c r="F11" s="573"/>
      <c r="G11" s="34"/>
      <c r="H11" s="557">
        <f t="shared" si="0"/>
        <v>0</v>
      </c>
      <c r="I11" s="556">
        <f t="shared" si="1"/>
        <v>0</v>
      </c>
    </row>
    <row r="12" spans="1:22">
      <c r="A12" s="25" t="s">
        <v>163</v>
      </c>
      <c r="B12" s="574"/>
      <c r="C12" s="34"/>
      <c r="D12" s="573">
        <v>54</v>
      </c>
      <c r="E12" s="564">
        <v>40800</v>
      </c>
      <c r="F12" s="573">
        <v>54</v>
      </c>
      <c r="G12" s="564">
        <v>66733</v>
      </c>
      <c r="H12" s="557">
        <f t="shared" si="0"/>
        <v>0</v>
      </c>
      <c r="I12" s="556">
        <f t="shared" si="1"/>
        <v>25933</v>
      </c>
    </row>
    <row r="13" spans="1:22">
      <c r="A13" s="57" t="s">
        <v>170</v>
      </c>
      <c r="B13" s="574"/>
      <c r="C13" s="34"/>
      <c r="D13" s="573"/>
      <c r="E13" s="34"/>
      <c r="F13" s="573"/>
      <c r="G13" s="34"/>
      <c r="H13" s="557">
        <f t="shared" si="0"/>
        <v>0</v>
      </c>
      <c r="I13" s="556">
        <f t="shared" si="1"/>
        <v>0</v>
      </c>
    </row>
    <row r="14" spans="1:22">
      <c r="A14" s="57" t="s">
        <v>27</v>
      </c>
      <c r="B14" s="574"/>
      <c r="C14" s="34"/>
      <c r="D14" s="573"/>
      <c r="E14" s="34"/>
      <c r="F14" s="573"/>
      <c r="G14" s="564">
        <v>103013</v>
      </c>
      <c r="H14" s="557">
        <f t="shared" si="0"/>
        <v>0</v>
      </c>
      <c r="I14" s="556">
        <f t="shared" si="1"/>
        <v>103013</v>
      </c>
    </row>
    <row r="15" spans="1:22">
      <c r="A15" s="57" t="s">
        <v>167</v>
      </c>
      <c r="B15" s="574"/>
      <c r="C15" s="34"/>
      <c r="D15" s="573"/>
      <c r="E15" s="34"/>
      <c r="F15" s="573"/>
      <c r="G15" s="34"/>
      <c r="H15" s="557">
        <f t="shared" si="0"/>
        <v>0</v>
      </c>
      <c r="I15" s="556">
        <f t="shared" si="1"/>
        <v>0</v>
      </c>
    </row>
    <row r="16" spans="1:22">
      <c r="A16" s="57" t="s">
        <v>26</v>
      </c>
      <c r="B16" s="574">
        <v>55</v>
      </c>
      <c r="C16" s="564">
        <v>46461</v>
      </c>
      <c r="D16" s="573">
        <v>54</v>
      </c>
      <c r="E16" s="564">
        <v>36410</v>
      </c>
      <c r="F16" s="573">
        <v>54</v>
      </c>
      <c r="G16" s="564">
        <v>64511</v>
      </c>
      <c r="H16" s="557">
        <f t="shared" si="0"/>
        <v>0</v>
      </c>
      <c r="I16" s="556">
        <f t="shared" si="1"/>
        <v>28101</v>
      </c>
    </row>
    <row r="17" spans="1:9">
      <c r="A17" s="57" t="s">
        <v>168</v>
      </c>
      <c r="B17" s="574"/>
      <c r="C17" s="34"/>
      <c r="D17" s="573"/>
      <c r="E17" s="34"/>
      <c r="F17" s="573"/>
      <c r="G17" s="34"/>
      <c r="H17" s="557">
        <f t="shared" si="0"/>
        <v>0</v>
      </c>
      <c r="I17" s="556">
        <f t="shared" si="1"/>
        <v>0</v>
      </c>
    </row>
    <row r="18" spans="1:9">
      <c r="A18" s="57" t="s">
        <v>166</v>
      </c>
      <c r="B18" s="574"/>
      <c r="C18" s="34"/>
      <c r="D18" s="573"/>
      <c r="E18" s="34"/>
      <c r="F18" s="573"/>
      <c r="G18" s="34"/>
      <c r="H18" s="557">
        <f t="shared" si="0"/>
        <v>0</v>
      </c>
      <c r="I18" s="556">
        <f t="shared" si="1"/>
        <v>0</v>
      </c>
    </row>
    <row r="19" spans="1:9">
      <c r="A19" s="57" t="s">
        <v>169</v>
      </c>
      <c r="B19" s="574"/>
      <c r="C19" s="34"/>
      <c r="D19" s="573"/>
      <c r="E19" s="34"/>
      <c r="F19" s="573"/>
      <c r="G19" s="34"/>
      <c r="H19" s="557">
        <f t="shared" si="0"/>
        <v>0</v>
      </c>
      <c r="I19" s="556">
        <f t="shared" si="1"/>
        <v>0</v>
      </c>
    </row>
    <row r="20" spans="1:9">
      <c r="A20" s="57" t="s">
        <v>28</v>
      </c>
      <c r="B20" s="574">
        <v>55</v>
      </c>
      <c r="C20" s="564">
        <v>582896</v>
      </c>
      <c r="D20" s="573">
        <v>54</v>
      </c>
      <c r="E20" s="564">
        <v>582896</v>
      </c>
      <c r="F20" s="573">
        <v>54</v>
      </c>
      <c r="G20" s="564">
        <v>789681</v>
      </c>
      <c r="H20" s="557">
        <f t="shared" si="0"/>
        <v>0</v>
      </c>
      <c r="I20" s="556">
        <f t="shared" si="1"/>
        <v>206785</v>
      </c>
    </row>
    <row r="21" spans="1:9">
      <c r="A21" s="57" t="s">
        <v>161</v>
      </c>
      <c r="B21" s="574"/>
      <c r="C21" s="564">
        <v>40000</v>
      </c>
      <c r="D21" s="573"/>
      <c r="E21" s="564">
        <v>40000</v>
      </c>
      <c r="F21" s="573"/>
      <c r="G21" s="564">
        <v>40000</v>
      </c>
      <c r="H21" s="557">
        <f t="shared" si="0"/>
        <v>0</v>
      </c>
      <c r="I21" s="556">
        <f t="shared" si="1"/>
        <v>0</v>
      </c>
    </row>
    <row r="22" spans="1:9" ht="12.75" thickBot="1">
      <c r="A22" s="57" t="s">
        <v>39</v>
      </c>
      <c r="B22" s="574"/>
      <c r="C22" s="34"/>
      <c r="D22" s="573"/>
      <c r="E22" s="34"/>
      <c r="F22" s="573"/>
      <c r="G22" s="34"/>
      <c r="H22" s="557">
        <f t="shared" si="0"/>
        <v>0</v>
      </c>
      <c r="I22" s="556">
        <f t="shared" si="1"/>
        <v>0</v>
      </c>
    </row>
    <row r="23" spans="1:9" ht="12.75" thickBot="1">
      <c r="A23" s="17" t="s">
        <v>38</v>
      </c>
      <c r="B23" s="18">
        <v>55</v>
      </c>
      <c r="C23" s="551">
        <f>SUM(C7:C22)</f>
        <v>1555392</v>
      </c>
      <c r="D23" s="18">
        <v>54</v>
      </c>
      <c r="E23" s="551">
        <f>SUM(E7:E22)</f>
        <v>1557699</v>
      </c>
      <c r="F23" s="18">
        <v>54</v>
      </c>
      <c r="G23" s="551">
        <f>SUM(G7:G22)</f>
        <v>1934395</v>
      </c>
      <c r="H23" s="18"/>
      <c r="I23" s="551">
        <f>SUM(I7:I22)</f>
        <v>376696</v>
      </c>
    </row>
    <row r="24" spans="1:9">
      <c r="A24" s="1" t="s">
        <v>313</v>
      </c>
      <c r="B24" s="2"/>
      <c r="C24" s="2"/>
      <c r="D24" s="2"/>
      <c r="E24" s="2"/>
      <c r="F24" s="2"/>
      <c r="G24" s="2"/>
      <c r="H24" s="2"/>
      <c r="I24" s="2"/>
    </row>
    <row r="25" spans="1:9">
      <c r="A25" s="1" t="s">
        <v>90</v>
      </c>
      <c r="B25" s="2"/>
      <c r="C25" s="2"/>
      <c r="D25" s="2"/>
      <c r="E25" s="2"/>
      <c r="F25" s="2"/>
      <c r="G25" s="2"/>
      <c r="H25" s="2"/>
      <c r="I25" s="2"/>
    </row>
    <row r="26" spans="1:9">
      <c r="A26" s="1"/>
      <c r="B26" s="2"/>
      <c r="C26" s="2"/>
      <c r="D26" s="2"/>
      <c r="E26" s="2"/>
      <c r="F26" s="2"/>
      <c r="G26" s="2"/>
      <c r="H26" s="2"/>
      <c r="I26" s="2"/>
    </row>
    <row r="42" spans="10:10">
      <c r="J42" s="265"/>
    </row>
  </sheetData>
  <mergeCells count="4">
    <mergeCell ref="B5:C5"/>
    <mergeCell ref="D5:E5"/>
    <mergeCell ref="F5:G5"/>
    <mergeCell ref="H5:I5"/>
  </mergeCells>
  <printOptions horizontalCentered="1"/>
  <pageMargins left="0.19685039370078741" right="0.19685039370078741" top="0.78740157480314965" bottom="0.78740157480314965" header="0.19685039370078741" footer="0.19685039370078741"/>
  <pageSetup paperSize="9" scale="81"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2060"/>
  </sheetPr>
  <dimension ref="A1:V42"/>
  <sheetViews>
    <sheetView view="pageBreakPreview" zoomScaleNormal="100" zoomScaleSheetLayoutView="100" workbookViewId="0">
      <selection activeCell="B8" sqref="B8"/>
    </sheetView>
  </sheetViews>
  <sheetFormatPr baseColWidth="10" defaultColWidth="11.42578125" defaultRowHeight="12"/>
  <cols>
    <col min="1" max="1" width="62" style="68" customWidth="1"/>
    <col min="2" max="9" width="14.7109375" style="68" customWidth="1"/>
    <col min="10" max="16384" width="11.42578125" style="68"/>
  </cols>
  <sheetData>
    <row r="1" spans="1:22" s="70" customFormat="1" ht="15.75">
      <c r="A1" s="186" t="s">
        <v>459</v>
      </c>
      <c r="B1" s="75"/>
      <c r="C1" s="74"/>
      <c r="D1" s="74"/>
      <c r="E1" s="74"/>
      <c r="F1" s="74"/>
      <c r="H1" s="71"/>
      <c r="I1" s="71"/>
    </row>
    <row r="2" spans="1:22" s="72" customFormat="1" ht="15.75">
      <c r="A2" s="186" t="s">
        <v>382</v>
      </c>
      <c r="B2" s="71"/>
      <c r="C2" s="71"/>
      <c r="D2" s="71"/>
      <c r="E2" s="71"/>
      <c r="F2" s="71"/>
      <c r="G2" s="71"/>
      <c r="H2" s="71"/>
      <c r="I2" s="71"/>
      <c r="J2" s="71"/>
      <c r="K2" s="71"/>
      <c r="L2" s="71"/>
      <c r="M2" s="71"/>
      <c r="N2" s="71"/>
      <c r="O2" s="71"/>
      <c r="P2" s="71"/>
      <c r="Q2" s="71"/>
      <c r="R2" s="71"/>
      <c r="S2" s="71"/>
      <c r="T2" s="71"/>
      <c r="U2" s="71"/>
      <c r="V2" s="71"/>
    </row>
    <row r="3" spans="1:22" s="72" customFormat="1" ht="15.75">
      <c r="A3" s="187" t="s">
        <v>1654</v>
      </c>
      <c r="B3" s="71"/>
      <c r="C3" s="71"/>
      <c r="D3" s="71"/>
      <c r="E3" s="71"/>
      <c r="F3" s="71"/>
      <c r="G3" s="71"/>
      <c r="H3" s="71"/>
      <c r="I3" s="71"/>
      <c r="J3" s="71"/>
      <c r="K3" s="71"/>
      <c r="L3" s="71"/>
      <c r="M3" s="71"/>
      <c r="N3" s="71"/>
      <c r="O3" s="71"/>
      <c r="P3" s="71"/>
      <c r="Q3" s="71"/>
      <c r="R3" s="71"/>
      <c r="S3" s="71"/>
      <c r="T3" s="71"/>
      <c r="U3" s="71"/>
      <c r="V3" s="71"/>
    </row>
    <row r="4" spans="1:22" ht="13.5" thickBot="1">
      <c r="A4" s="187" t="s">
        <v>4664</v>
      </c>
      <c r="B4" s="8"/>
      <c r="E4" s="8"/>
    </row>
    <row r="5" spans="1:22" ht="12.75" thickBot="1">
      <c r="A5" s="127" t="s">
        <v>10</v>
      </c>
      <c r="B5" s="2018" t="s">
        <v>312</v>
      </c>
      <c r="C5" s="2018"/>
      <c r="D5" s="2016" t="s">
        <v>460</v>
      </c>
      <c r="E5" s="2015"/>
      <c r="F5" s="2016" t="s">
        <v>461</v>
      </c>
      <c r="G5" s="2017"/>
      <c r="H5" s="2016" t="s">
        <v>7067</v>
      </c>
      <c r="I5" s="2017"/>
    </row>
    <row r="6" spans="1:22" s="39" customFormat="1" ht="24" customHeight="1">
      <c r="A6" s="398" t="s">
        <v>9</v>
      </c>
      <c r="B6" s="128" t="s">
        <v>136</v>
      </c>
      <c r="C6" s="129" t="s">
        <v>25</v>
      </c>
      <c r="D6" s="398" t="s">
        <v>136</v>
      </c>
      <c r="E6" s="392" t="s">
        <v>25</v>
      </c>
      <c r="F6" s="398" t="s">
        <v>136</v>
      </c>
      <c r="G6" s="392" t="s">
        <v>25</v>
      </c>
      <c r="H6" s="398" t="s">
        <v>136</v>
      </c>
      <c r="I6" s="392" t="s">
        <v>25</v>
      </c>
    </row>
    <row r="7" spans="1:22">
      <c r="A7" s="57" t="s">
        <v>133</v>
      </c>
      <c r="B7" s="37"/>
      <c r="C7" s="34"/>
      <c r="D7" s="30"/>
      <c r="E7" s="31"/>
      <c r="F7" s="30"/>
      <c r="G7" s="31"/>
      <c r="H7" s="557">
        <f t="shared" ref="H7:H22" si="0">F7-D7</f>
        <v>0</v>
      </c>
      <c r="I7" s="556">
        <f t="shared" ref="I7:I22" si="1">G7-E7</f>
        <v>0</v>
      </c>
    </row>
    <row r="8" spans="1:22">
      <c r="A8" s="57" t="s">
        <v>164</v>
      </c>
      <c r="B8" s="37"/>
      <c r="C8" s="34"/>
      <c r="D8" s="30"/>
      <c r="E8" s="31"/>
      <c r="F8" s="30"/>
      <c r="G8" s="31"/>
      <c r="H8" s="557">
        <f t="shared" si="0"/>
        <v>0</v>
      </c>
      <c r="I8" s="556">
        <f t="shared" si="1"/>
        <v>0</v>
      </c>
    </row>
    <row r="9" spans="1:22">
      <c r="A9" s="57" t="s">
        <v>162</v>
      </c>
      <c r="B9" s="37"/>
      <c r="C9" s="34"/>
      <c r="D9" s="30"/>
      <c r="E9" s="31"/>
      <c r="F9" s="30"/>
      <c r="G9" s="31"/>
      <c r="H9" s="557">
        <f t="shared" si="0"/>
        <v>0</v>
      </c>
      <c r="I9" s="556">
        <f t="shared" si="1"/>
        <v>0</v>
      </c>
    </row>
    <row r="10" spans="1:22">
      <c r="A10" s="25" t="s">
        <v>171</v>
      </c>
      <c r="B10" s="37"/>
      <c r="C10" s="34"/>
      <c r="D10" s="30"/>
      <c r="E10" s="31"/>
      <c r="F10" s="30"/>
      <c r="G10" s="31"/>
      <c r="H10" s="557">
        <f t="shared" si="0"/>
        <v>0</v>
      </c>
      <c r="I10" s="556">
        <f t="shared" si="1"/>
        <v>0</v>
      </c>
    </row>
    <row r="11" spans="1:22">
      <c r="A11" s="57" t="s">
        <v>165</v>
      </c>
      <c r="B11" s="37"/>
      <c r="C11" s="34"/>
      <c r="D11" s="30"/>
      <c r="E11" s="31"/>
      <c r="F11" s="30"/>
      <c r="G11" s="31"/>
      <c r="H11" s="557">
        <f t="shared" si="0"/>
        <v>0</v>
      </c>
      <c r="I11" s="556">
        <f t="shared" si="1"/>
        <v>0</v>
      </c>
    </row>
    <row r="12" spans="1:22">
      <c r="A12" s="25" t="s">
        <v>163</v>
      </c>
      <c r="B12" s="37"/>
      <c r="C12" s="34"/>
      <c r="D12" s="30"/>
      <c r="E12" s="31"/>
      <c r="F12" s="30"/>
      <c r="G12" s="31"/>
      <c r="H12" s="557">
        <f t="shared" si="0"/>
        <v>0</v>
      </c>
      <c r="I12" s="556">
        <f t="shared" si="1"/>
        <v>0</v>
      </c>
    </row>
    <row r="13" spans="1:22">
      <c r="A13" s="57" t="s">
        <v>170</v>
      </c>
      <c r="B13" s="37"/>
      <c r="C13" s="34"/>
      <c r="D13" s="30"/>
      <c r="E13" s="31"/>
      <c r="F13" s="30"/>
      <c r="G13" s="31"/>
      <c r="H13" s="557">
        <f t="shared" si="0"/>
        <v>0</v>
      </c>
      <c r="I13" s="556">
        <f t="shared" si="1"/>
        <v>0</v>
      </c>
    </row>
    <row r="14" spans="1:22">
      <c r="A14" s="57" t="s">
        <v>27</v>
      </c>
      <c r="B14" s="37"/>
      <c r="C14" s="34"/>
      <c r="D14" s="30"/>
      <c r="E14" s="31"/>
      <c r="F14" s="30"/>
      <c r="G14" s="31"/>
      <c r="H14" s="557">
        <f t="shared" si="0"/>
        <v>0</v>
      </c>
      <c r="I14" s="556">
        <f t="shared" si="1"/>
        <v>0</v>
      </c>
    </row>
    <row r="15" spans="1:22">
      <c r="A15" s="57" t="s">
        <v>167</v>
      </c>
      <c r="B15" s="37"/>
      <c r="C15" s="34"/>
      <c r="D15" s="30"/>
      <c r="E15" s="31"/>
      <c r="F15" s="30"/>
      <c r="G15" s="31"/>
      <c r="H15" s="557">
        <f t="shared" si="0"/>
        <v>0</v>
      </c>
      <c r="I15" s="556">
        <f t="shared" si="1"/>
        <v>0</v>
      </c>
    </row>
    <row r="16" spans="1:22">
      <c r="A16" s="57" t="s">
        <v>26</v>
      </c>
      <c r="B16" s="557">
        <v>56146</v>
      </c>
      <c r="C16" s="564">
        <v>60413182</v>
      </c>
      <c r="D16" s="557">
        <v>57802</v>
      </c>
      <c r="E16" s="564">
        <v>60413182</v>
      </c>
      <c r="F16" s="557">
        <v>63974</v>
      </c>
      <c r="G16" s="564">
        <v>117092002</v>
      </c>
      <c r="H16" s="557">
        <f t="shared" si="0"/>
        <v>6172</v>
      </c>
      <c r="I16" s="556">
        <f t="shared" si="1"/>
        <v>56678820</v>
      </c>
    </row>
    <row r="17" spans="1:9">
      <c r="A17" s="57" t="s">
        <v>168</v>
      </c>
      <c r="B17" s="37"/>
      <c r="C17" s="34"/>
      <c r="D17" s="30"/>
      <c r="E17" s="31"/>
      <c r="F17" s="30"/>
      <c r="G17" s="31"/>
      <c r="H17" s="557">
        <f t="shared" si="0"/>
        <v>0</v>
      </c>
      <c r="I17" s="556">
        <f t="shared" si="1"/>
        <v>0</v>
      </c>
    </row>
    <row r="18" spans="1:9">
      <c r="A18" s="57" t="s">
        <v>166</v>
      </c>
      <c r="B18" s="37"/>
      <c r="C18" s="34"/>
      <c r="D18" s="30"/>
      <c r="E18" s="31"/>
      <c r="F18" s="30"/>
      <c r="G18" s="31"/>
      <c r="H18" s="557">
        <f t="shared" si="0"/>
        <v>0</v>
      </c>
      <c r="I18" s="556">
        <f t="shared" si="1"/>
        <v>0</v>
      </c>
    </row>
    <row r="19" spans="1:9">
      <c r="A19" s="57" t="s">
        <v>169</v>
      </c>
      <c r="B19" s="37"/>
      <c r="C19" s="34"/>
      <c r="D19" s="30"/>
      <c r="E19" s="31"/>
      <c r="F19" s="30"/>
      <c r="G19" s="31"/>
      <c r="H19" s="557">
        <f t="shared" si="0"/>
        <v>0</v>
      </c>
      <c r="I19" s="556">
        <f t="shared" si="1"/>
        <v>0</v>
      </c>
    </row>
    <row r="20" spans="1:9">
      <c r="A20" s="57" t="s">
        <v>28</v>
      </c>
      <c r="B20" s="37"/>
      <c r="C20" s="34"/>
      <c r="D20" s="30"/>
      <c r="E20" s="31"/>
      <c r="F20" s="30"/>
      <c r="G20" s="31"/>
      <c r="H20" s="557">
        <f t="shared" si="0"/>
        <v>0</v>
      </c>
      <c r="I20" s="556">
        <f t="shared" si="1"/>
        <v>0</v>
      </c>
    </row>
    <row r="21" spans="1:9">
      <c r="A21" s="57" t="s">
        <v>161</v>
      </c>
      <c r="B21" s="37"/>
      <c r="C21" s="34"/>
      <c r="D21" s="30"/>
      <c r="E21" s="31"/>
      <c r="F21" s="30"/>
      <c r="G21" s="31"/>
      <c r="H21" s="557">
        <f t="shared" si="0"/>
        <v>0</v>
      </c>
      <c r="I21" s="556">
        <f t="shared" si="1"/>
        <v>0</v>
      </c>
    </row>
    <row r="22" spans="1:9" ht="12.75" thickBot="1">
      <c r="A22" s="57" t="s">
        <v>39</v>
      </c>
      <c r="B22" s="37"/>
      <c r="C22" s="34"/>
      <c r="D22" s="30"/>
      <c r="E22" s="31"/>
      <c r="F22" s="30"/>
      <c r="G22" s="31"/>
      <c r="H22" s="557">
        <f t="shared" si="0"/>
        <v>0</v>
      </c>
      <c r="I22" s="556">
        <f t="shared" si="1"/>
        <v>0</v>
      </c>
    </row>
    <row r="23" spans="1:9" ht="12.75" thickBot="1">
      <c r="A23" s="17" t="s">
        <v>38</v>
      </c>
      <c r="B23" s="552">
        <f>B16</f>
        <v>56146</v>
      </c>
      <c r="C23" s="551">
        <f>SUM(C9:C22)</f>
        <v>60413182</v>
      </c>
      <c r="D23" s="552">
        <f>D16</f>
        <v>57802</v>
      </c>
      <c r="E23" s="551">
        <f>SUM(E9:E22)</f>
        <v>60413182</v>
      </c>
      <c r="F23" s="552">
        <f>F16</f>
        <v>63974</v>
      </c>
      <c r="G23" s="551">
        <f>SUM(G9:G22)</f>
        <v>117092002</v>
      </c>
      <c r="H23" s="552">
        <f>H16</f>
        <v>6172</v>
      </c>
      <c r="I23" s="551">
        <f>SUM(I9:I22)</f>
        <v>56678820</v>
      </c>
    </row>
    <row r="24" spans="1:9">
      <c r="A24" s="1" t="s">
        <v>313</v>
      </c>
      <c r="B24" s="2"/>
      <c r="C24" s="2"/>
      <c r="D24" s="2"/>
      <c r="E24" s="2"/>
      <c r="F24" s="2"/>
      <c r="G24" s="2"/>
      <c r="H24" s="2"/>
      <c r="I24" s="2"/>
    </row>
    <row r="25" spans="1:9">
      <c r="A25" s="1" t="s">
        <v>90</v>
      </c>
      <c r="B25" s="2"/>
      <c r="C25" s="2"/>
      <c r="D25" s="2"/>
      <c r="E25" s="2"/>
      <c r="F25" s="2"/>
      <c r="G25" s="2"/>
      <c r="H25" s="2"/>
      <c r="I25" s="2"/>
    </row>
    <row r="26" spans="1:9">
      <c r="A26" s="1"/>
      <c r="B26" s="2"/>
      <c r="C26" s="2"/>
      <c r="D26" s="2"/>
      <c r="E26" s="2"/>
      <c r="F26" s="2"/>
      <c r="G26" s="2"/>
      <c r="H26" s="2"/>
      <c r="I26" s="2"/>
    </row>
    <row r="42" spans="10:10">
      <c r="J42" s="265"/>
    </row>
  </sheetData>
  <mergeCells count="4">
    <mergeCell ref="B5:C5"/>
    <mergeCell ref="D5:E5"/>
    <mergeCell ref="F5:G5"/>
    <mergeCell ref="H5:I5"/>
  </mergeCells>
  <printOptions horizontalCentered="1"/>
  <pageMargins left="0.19685039370078741" right="0.19685039370078741" top="0.78740157480314965" bottom="0.78740157480314965" header="0.19685039370078741" footer="0.19685039370078741"/>
  <pageSetup paperSize="9" scale="81"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2060"/>
  </sheetPr>
  <dimension ref="A1:V42"/>
  <sheetViews>
    <sheetView view="pageBreakPreview" zoomScaleNormal="100" zoomScaleSheetLayoutView="100" workbookViewId="0">
      <selection activeCell="B8" sqref="B8"/>
    </sheetView>
  </sheetViews>
  <sheetFormatPr baseColWidth="10" defaultColWidth="11.42578125" defaultRowHeight="12"/>
  <cols>
    <col min="1" max="1" width="62" style="68" customWidth="1"/>
    <col min="2" max="9" width="14.7109375" style="68" customWidth="1"/>
    <col min="10" max="16384" width="11.42578125" style="68"/>
  </cols>
  <sheetData>
    <row r="1" spans="1:22" s="70" customFormat="1" ht="15.75">
      <c r="A1" s="186" t="s">
        <v>459</v>
      </c>
      <c r="B1" s="75"/>
      <c r="C1" s="74"/>
      <c r="D1" s="74"/>
      <c r="E1" s="74"/>
      <c r="F1" s="74"/>
      <c r="H1" s="71"/>
      <c r="I1" s="71"/>
    </row>
    <row r="2" spans="1:22" s="72" customFormat="1" ht="15.75">
      <c r="A2" s="186" t="s">
        <v>382</v>
      </c>
      <c r="B2" s="71"/>
      <c r="C2" s="71"/>
      <c r="D2" s="71"/>
      <c r="E2" s="71"/>
      <c r="F2" s="71"/>
      <c r="G2" s="71"/>
      <c r="H2" s="71"/>
      <c r="I2" s="71"/>
      <c r="J2" s="71"/>
      <c r="K2" s="71"/>
      <c r="L2" s="71"/>
      <c r="M2" s="71"/>
      <c r="N2" s="71"/>
      <c r="O2" s="71"/>
      <c r="P2" s="71"/>
      <c r="Q2" s="71"/>
      <c r="R2" s="71"/>
      <c r="S2" s="71"/>
      <c r="T2" s="71"/>
      <c r="U2" s="71"/>
      <c r="V2" s="71"/>
    </row>
    <row r="3" spans="1:22" s="72" customFormat="1" ht="15.75">
      <c r="A3" s="187" t="s">
        <v>4969</v>
      </c>
      <c r="B3" s="71"/>
      <c r="C3" s="71"/>
      <c r="D3" s="71"/>
      <c r="E3" s="71"/>
      <c r="F3" s="71"/>
      <c r="G3" s="71"/>
      <c r="H3" s="71"/>
      <c r="I3" s="71"/>
      <c r="J3" s="71"/>
      <c r="K3" s="71"/>
      <c r="L3" s="71"/>
      <c r="M3" s="71"/>
      <c r="N3" s="71"/>
      <c r="O3" s="71"/>
      <c r="P3" s="71"/>
      <c r="Q3" s="71"/>
      <c r="R3" s="71"/>
      <c r="S3" s="71"/>
      <c r="T3" s="71"/>
      <c r="U3" s="71"/>
      <c r="V3" s="71"/>
    </row>
    <row r="4" spans="1:22" ht="12.75" thickBot="1">
      <c r="A4" s="7"/>
      <c r="B4" s="8"/>
      <c r="E4" s="8"/>
    </row>
    <row r="5" spans="1:22" ht="12.75" thickBot="1">
      <c r="A5" s="127" t="s">
        <v>10</v>
      </c>
      <c r="B5" s="2018" t="s">
        <v>312</v>
      </c>
      <c r="C5" s="2018"/>
      <c r="D5" s="2016" t="s">
        <v>460</v>
      </c>
      <c r="E5" s="2015"/>
      <c r="F5" s="2016" t="s">
        <v>461</v>
      </c>
      <c r="G5" s="2017"/>
      <c r="H5" s="2016" t="s">
        <v>311</v>
      </c>
      <c r="I5" s="2017"/>
    </row>
    <row r="6" spans="1:22" s="39" customFormat="1" ht="24" customHeight="1">
      <c r="A6" s="398" t="s">
        <v>9</v>
      </c>
      <c r="B6" s="128" t="s">
        <v>136</v>
      </c>
      <c r="C6" s="129" t="s">
        <v>25</v>
      </c>
      <c r="D6" s="398" t="s">
        <v>136</v>
      </c>
      <c r="E6" s="392" t="s">
        <v>25</v>
      </c>
      <c r="F6" s="398" t="s">
        <v>136</v>
      </c>
      <c r="G6" s="392" t="s">
        <v>25</v>
      </c>
      <c r="H6" s="398" t="s">
        <v>136</v>
      </c>
      <c r="I6" s="392" t="s">
        <v>25</v>
      </c>
    </row>
    <row r="7" spans="1:22">
      <c r="A7" s="57" t="s">
        <v>133</v>
      </c>
      <c r="B7" s="37"/>
      <c r="C7" s="34"/>
      <c r="D7" s="30"/>
      <c r="E7" s="31"/>
      <c r="F7" s="30"/>
      <c r="G7" s="31"/>
      <c r="H7" s="30"/>
      <c r="I7" s="31"/>
    </row>
    <row r="8" spans="1:22">
      <c r="A8" s="57" t="s">
        <v>164</v>
      </c>
      <c r="B8" s="37"/>
      <c r="C8" s="34"/>
      <c r="D8" s="30"/>
      <c r="E8" s="31"/>
      <c r="F8" s="30"/>
      <c r="G8" s="31"/>
      <c r="H8" s="30"/>
      <c r="I8" s="31"/>
    </row>
    <row r="9" spans="1:22">
      <c r="A9" s="57" t="s">
        <v>162</v>
      </c>
      <c r="B9" s="37"/>
      <c r="C9" s="34"/>
      <c r="D9" s="30"/>
      <c r="E9" s="31"/>
      <c r="F9" s="30"/>
      <c r="G9" s="31"/>
      <c r="H9" s="30"/>
      <c r="I9" s="31"/>
    </row>
    <row r="10" spans="1:22">
      <c r="A10" s="25" t="s">
        <v>171</v>
      </c>
      <c r="B10" s="37"/>
      <c r="C10" s="34"/>
      <c r="D10" s="30"/>
      <c r="E10" s="31"/>
      <c r="F10" s="30"/>
      <c r="G10" s="31"/>
      <c r="H10" s="30"/>
      <c r="I10" s="31"/>
    </row>
    <row r="11" spans="1:22">
      <c r="A11" s="57" t="s">
        <v>165</v>
      </c>
      <c r="B11" s="37"/>
      <c r="C11" s="34"/>
      <c r="D11" s="30"/>
      <c r="E11" s="31"/>
      <c r="F11" s="30"/>
      <c r="G11" s="31"/>
      <c r="H11" s="30"/>
      <c r="I11" s="31"/>
    </row>
    <row r="12" spans="1:22">
      <c r="A12" s="25" t="s">
        <v>163</v>
      </c>
      <c r="B12" s="37"/>
      <c r="C12" s="34"/>
      <c r="D12" s="30"/>
      <c r="E12" s="31"/>
      <c r="F12" s="30"/>
      <c r="G12" s="31"/>
      <c r="H12" s="30"/>
      <c r="I12" s="31"/>
    </row>
    <row r="13" spans="1:22">
      <c r="A13" s="57" t="s">
        <v>170</v>
      </c>
      <c r="B13" s="37"/>
      <c r="C13" s="34"/>
      <c r="D13" s="30"/>
      <c r="E13" s="31"/>
      <c r="F13" s="30"/>
      <c r="G13" s="31"/>
      <c r="H13" s="30"/>
      <c r="I13" s="31"/>
    </row>
    <row r="14" spans="1:22">
      <c r="A14" s="57" t="s">
        <v>27</v>
      </c>
      <c r="B14" s="37"/>
      <c r="C14" s="34"/>
      <c r="D14" s="30"/>
      <c r="E14" s="31"/>
      <c r="F14" s="30"/>
      <c r="G14" s="31"/>
      <c r="H14" s="30"/>
      <c r="I14" s="31"/>
    </row>
    <row r="15" spans="1:22">
      <c r="A15" s="57" t="s">
        <v>167</v>
      </c>
      <c r="B15" s="37"/>
      <c r="C15" s="34"/>
      <c r="D15" s="30"/>
      <c r="E15" s="31"/>
      <c r="F15" s="30"/>
      <c r="G15" s="31"/>
      <c r="H15" s="30"/>
      <c r="I15" s="31"/>
    </row>
    <row r="16" spans="1:22">
      <c r="A16" s="57" t="s">
        <v>26</v>
      </c>
      <c r="B16" s="37"/>
      <c r="C16" s="34"/>
      <c r="D16" s="30"/>
      <c r="E16" s="31"/>
      <c r="F16" s="30"/>
      <c r="G16" s="31"/>
      <c r="H16" s="30"/>
      <c r="I16" s="31"/>
    </row>
    <row r="17" spans="1:9">
      <c r="A17" s="57" t="s">
        <v>168</v>
      </c>
      <c r="B17" s="37"/>
      <c r="C17" s="34"/>
      <c r="D17" s="30"/>
      <c r="E17" s="31"/>
      <c r="F17" s="30"/>
      <c r="G17" s="31"/>
      <c r="H17" s="30"/>
      <c r="I17" s="31"/>
    </row>
    <row r="18" spans="1:9">
      <c r="A18" s="57" t="s">
        <v>166</v>
      </c>
      <c r="B18" s="37"/>
      <c r="C18" s="34"/>
      <c r="D18" s="30"/>
      <c r="E18" s="31"/>
      <c r="F18" s="30"/>
      <c r="G18" s="31"/>
      <c r="H18" s="30"/>
      <c r="I18" s="31"/>
    </row>
    <row r="19" spans="1:9">
      <c r="A19" s="57" t="s">
        <v>169</v>
      </c>
      <c r="B19" s="37"/>
      <c r="C19" s="34"/>
      <c r="D19" s="30"/>
      <c r="E19" s="31"/>
      <c r="F19" s="30"/>
      <c r="G19" s="31"/>
      <c r="H19" s="30"/>
      <c r="I19" s="31"/>
    </row>
    <row r="20" spans="1:9">
      <c r="A20" s="57" t="s">
        <v>28</v>
      </c>
      <c r="B20" s="37"/>
      <c r="C20" s="34"/>
      <c r="D20" s="30"/>
      <c r="E20" s="31"/>
      <c r="F20" s="30"/>
      <c r="G20" s="31"/>
      <c r="H20" s="30"/>
      <c r="I20" s="31"/>
    </row>
    <row r="21" spans="1:9">
      <c r="A21" s="57" t="s">
        <v>161</v>
      </c>
      <c r="B21" s="37"/>
      <c r="C21" s="34"/>
      <c r="D21" s="30"/>
      <c r="E21" s="31"/>
      <c r="F21" s="30"/>
      <c r="G21" s="31"/>
      <c r="H21" s="30"/>
      <c r="I21" s="31"/>
    </row>
    <row r="22" spans="1:9" ht="12.75" thickBot="1">
      <c r="A22" s="57" t="s">
        <v>39</v>
      </c>
      <c r="B22" s="37"/>
      <c r="C22" s="34"/>
      <c r="D22" s="30"/>
      <c r="E22" s="31"/>
      <c r="F22" s="30"/>
      <c r="G22" s="31"/>
      <c r="H22" s="30"/>
      <c r="I22" s="31"/>
    </row>
    <row r="23" spans="1:9" ht="12.75" thickBot="1">
      <c r="A23" s="17" t="s">
        <v>38</v>
      </c>
      <c r="B23" s="20"/>
      <c r="C23" s="20"/>
      <c r="D23" s="18"/>
      <c r="E23" s="21"/>
      <c r="F23" s="18"/>
      <c r="G23" s="21"/>
      <c r="H23" s="18"/>
      <c r="I23" s="21"/>
    </row>
    <row r="24" spans="1:9">
      <c r="A24" s="1" t="s">
        <v>313</v>
      </c>
      <c r="B24" s="2"/>
      <c r="C24" s="2"/>
      <c r="D24" s="2"/>
      <c r="E24" s="2"/>
      <c r="F24" s="2"/>
      <c r="G24" s="2"/>
      <c r="H24" s="2"/>
      <c r="I24" s="2"/>
    </row>
    <row r="25" spans="1:9">
      <c r="A25" s="1" t="s">
        <v>90</v>
      </c>
      <c r="B25" s="2"/>
      <c r="C25" s="2"/>
      <c r="D25" s="2"/>
      <c r="E25" s="2"/>
      <c r="F25" s="2"/>
      <c r="G25" s="2"/>
      <c r="H25" s="2"/>
      <c r="I25" s="2"/>
    </row>
    <row r="26" spans="1:9">
      <c r="A26" s="1"/>
      <c r="B26" s="2"/>
      <c r="C26" s="2"/>
      <c r="D26" s="2"/>
      <c r="E26" s="2"/>
      <c r="F26" s="2"/>
      <c r="G26" s="2"/>
      <c r="H26" s="2"/>
      <c r="I26" s="2"/>
    </row>
    <row r="42" spans="10:10">
      <c r="J42" s="265"/>
    </row>
  </sheetData>
  <mergeCells count="4">
    <mergeCell ref="B5:C5"/>
    <mergeCell ref="D5:E5"/>
    <mergeCell ref="F5:G5"/>
    <mergeCell ref="H5:I5"/>
  </mergeCells>
  <printOptions horizontalCentered="1"/>
  <pageMargins left="0.19685039370078741" right="0.19685039370078741" top="0.78740157480314965" bottom="0.78740157480314965" header="0.19685039370078741" footer="0.19685039370078741"/>
  <pageSetup paperSize="9" scale="81"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2060"/>
  </sheetPr>
  <dimension ref="A1:V42"/>
  <sheetViews>
    <sheetView view="pageBreakPreview" zoomScaleNormal="100" zoomScaleSheetLayoutView="100" workbookViewId="0">
      <selection activeCell="B8" sqref="B8"/>
    </sheetView>
  </sheetViews>
  <sheetFormatPr baseColWidth="10" defaultColWidth="11.42578125" defaultRowHeight="12"/>
  <cols>
    <col min="1" max="1" width="62" style="68" customWidth="1"/>
    <col min="2" max="9" width="14.7109375" style="68" customWidth="1"/>
    <col min="10" max="16384" width="11.42578125" style="68"/>
  </cols>
  <sheetData>
    <row r="1" spans="1:22" s="70" customFormat="1" ht="15.75">
      <c r="A1" s="186" t="s">
        <v>459</v>
      </c>
      <c r="B1" s="75"/>
      <c r="C1" s="74"/>
      <c r="D1" s="74"/>
      <c r="E1" s="74"/>
      <c r="F1" s="74"/>
      <c r="H1" s="71"/>
      <c r="I1" s="71"/>
    </row>
    <row r="2" spans="1:22" s="72" customFormat="1" ht="15.75">
      <c r="A2" s="186" t="s">
        <v>382</v>
      </c>
      <c r="B2" s="71"/>
      <c r="C2" s="71"/>
      <c r="D2" s="71"/>
      <c r="E2" s="71"/>
      <c r="F2" s="71"/>
      <c r="G2" s="71"/>
      <c r="H2" s="71"/>
      <c r="I2" s="71"/>
      <c r="J2" s="71"/>
      <c r="K2" s="71"/>
      <c r="L2" s="71"/>
      <c r="M2" s="71"/>
      <c r="N2" s="71"/>
      <c r="O2" s="71"/>
      <c r="P2" s="71"/>
      <c r="Q2" s="71"/>
      <c r="R2" s="71"/>
      <c r="S2" s="71"/>
      <c r="T2" s="71"/>
      <c r="U2" s="71"/>
      <c r="V2" s="71"/>
    </row>
    <row r="3" spans="1:22" s="72" customFormat="1" ht="15.75">
      <c r="A3" s="187" t="s">
        <v>5104</v>
      </c>
      <c r="B3" s="71"/>
      <c r="C3" s="71"/>
      <c r="D3" s="71"/>
      <c r="E3" s="71"/>
      <c r="F3" s="71"/>
      <c r="G3" s="71"/>
      <c r="H3" s="71"/>
      <c r="I3" s="71"/>
      <c r="J3" s="71"/>
      <c r="K3" s="71"/>
      <c r="L3" s="71"/>
      <c r="M3" s="71"/>
      <c r="N3" s="71"/>
      <c r="O3" s="71"/>
      <c r="P3" s="71"/>
      <c r="Q3" s="71"/>
      <c r="R3" s="71"/>
      <c r="S3" s="71"/>
      <c r="T3" s="71"/>
      <c r="U3" s="71"/>
      <c r="V3" s="71"/>
    </row>
    <row r="4" spans="1:22" ht="12.75" thickBot="1">
      <c r="A4" s="7"/>
      <c r="B4" s="8"/>
      <c r="E4" s="8"/>
    </row>
    <row r="5" spans="1:22" ht="12.75" thickBot="1">
      <c r="A5" s="127" t="s">
        <v>10</v>
      </c>
      <c r="B5" s="2018" t="s">
        <v>312</v>
      </c>
      <c r="C5" s="2018"/>
      <c r="D5" s="2016" t="s">
        <v>460</v>
      </c>
      <c r="E5" s="2015"/>
      <c r="F5" s="2016" t="s">
        <v>461</v>
      </c>
      <c r="G5" s="2017"/>
      <c r="H5" s="2016" t="s">
        <v>311</v>
      </c>
      <c r="I5" s="2017"/>
    </row>
    <row r="6" spans="1:22" s="39" customFormat="1" ht="24" customHeight="1">
      <c r="A6" s="398" t="s">
        <v>9</v>
      </c>
      <c r="B6" s="128" t="s">
        <v>136</v>
      </c>
      <c r="C6" s="129" t="s">
        <v>25</v>
      </c>
      <c r="D6" s="398" t="s">
        <v>136</v>
      </c>
      <c r="E6" s="392" t="s">
        <v>25</v>
      </c>
      <c r="F6" s="398" t="s">
        <v>136</v>
      </c>
      <c r="G6" s="392" t="s">
        <v>25</v>
      </c>
      <c r="H6" s="398" t="s">
        <v>136</v>
      </c>
      <c r="I6" s="392" t="s">
        <v>25</v>
      </c>
    </row>
    <row r="7" spans="1:22">
      <c r="A7" s="57" t="s">
        <v>133</v>
      </c>
      <c r="B7" s="37"/>
      <c r="C7" s="34"/>
      <c r="D7" s="30"/>
      <c r="E7" s="31"/>
      <c r="F7" s="30"/>
      <c r="G7" s="31"/>
      <c r="H7" s="30"/>
      <c r="I7" s="31"/>
    </row>
    <row r="8" spans="1:22">
      <c r="A8" s="57" t="s">
        <v>164</v>
      </c>
      <c r="B8" s="37"/>
      <c r="C8" s="34"/>
      <c r="D8" s="30"/>
      <c r="E8" s="31"/>
      <c r="F8" s="30"/>
      <c r="G8" s="31"/>
      <c r="H8" s="30"/>
      <c r="I8" s="31"/>
    </row>
    <row r="9" spans="1:22">
      <c r="A9" s="57" t="s">
        <v>162</v>
      </c>
      <c r="B9" s="37"/>
      <c r="C9" s="34"/>
      <c r="D9" s="30"/>
      <c r="E9" s="31"/>
      <c r="F9" s="30"/>
      <c r="G9" s="31"/>
      <c r="H9" s="30"/>
      <c r="I9" s="31"/>
    </row>
    <row r="10" spans="1:22">
      <c r="A10" s="25" t="s">
        <v>171</v>
      </c>
      <c r="B10" s="37"/>
      <c r="C10" s="34"/>
      <c r="D10" s="30"/>
      <c r="E10" s="31"/>
      <c r="F10" s="30"/>
      <c r="G10" s="31"/>
      <c r="H10" s="30"/>
      <c r="I10" s="31"/>
    </row>
    <row r="11" spans="1:22">
      <c r="A11" s="57" t="s">
        <v>165</v>
      </c>
      <c r="B11" s="37"/>
      <c r="C11" s="34"/>
      <c r="D11" s="30"/>
      <c r="E11" s="31"/>
      <c r="F11" s="30"/>
      <c r="G11" s="31"/>
      <c r="H11" s="30"/>
      <c r="I11" s="31"/>
    </row>
    <row r="12" spans="1:22">
      <c r="A12" s="25" t="s">
        <v>163</v>
      </c>
      <c r="B12" s="37"/>
      <c r="C12" s="34"/>
      <c r="D12" s="30"/>
      <c r="E12" s="31"/>
      <c r="F12" s="30"/>
      <c r="G12" s="31"/>
      <c r="H12" s="30"/>
      <c r="I12" s="31"/>
    </row>
    <row r="13" spans="1:22">
      <c r="A13" s="57" t="s">
        <v>170</v>
      </c>
      <c r="B13" s="37"/>
      <c r="C13" s="34"/>
      <c r="D13" s="30"/>
      <c r="E13" s="31"/>
      <c r="F13" s="30"/>
      <c r="G13" s="31"/>
      <c r="H13" s="30"/>
      <c r="I13" s="31"/>
    </row>
    <row r="14" spans="1:22">
      <c r="A14" s="57" t="s">
        <v>27</v>
      </c>
      <c r="B14" s="37"/>
      <c r="C14" s="34"/>
      <c r="D14" s="30"/>
      <c r="E14" s="31"/>
      <c r="F14" s="30"/>
      <c r="G14" s="31"/>
      <c r="H14" s="30"/>
      <c r="I14" s="31"/>
    </row>
    <row r="15" spans="1:22">
      <c r="A15" s="57" t="s">
        <v>167</v>
      </c>
      <c r="B15" s="37"/>
      <c r="C15" s="34"/>
      <c r="D15" s="30"/>
      <c r="E15" s="31"/>
      <c r="F15" s="30"/>
      <c r="G15" s="31"/>
      <c r="H15" s="30"/>
      <c r="I15" s="31"/>
    </row>
    <row r="16" spans="1:22">
      <c r="A16" s="57" t="s">
        <v>26</v>
      </c>
      <c r="B16" s="37"/>
      <c r="C16" s="34"/>
      <c r="D16" s="30"/>
      <c r="E16" s="31"/>
      <c r="F16" s="30"/>
      <c r="G16" s="31"/>
      <c r="H16" s="30"/>
      <c r="I16" s="31"/>
    </row>
    <row r="17" spans="1:9">
      <c r="A17" s="57" t="s">
        <v>168</v>
      </c>
      <c r="B17" s="37"/>
      <c r="C17" s="34"/>
      <c r="D17" s="30"/>
      <c r="E17" s="31"/>
      <c r="F17" s="30"/>
      <c r="G17" s="31"/>
      <c r="H17" s="30"/>
      <c r="I17" s="31"/>
    </row>
    <row r="18" spans="1:9">
      <c r="A18" s="57" t="s">
        <v>166</v>
      </c>
      <c r="B18" s="37"/>
      <c r="C18" s="34"/>
      <c r="D18" s="30"/>
      <c r="E18" s="31"/>
      <c r="F18" s="30"/>
      <c r="G18" s="31"/>
      <c r="H18" s="30"/>
      <c r="I18" s="31"/>
    </row>
    <row r="19" spans="1:9">
      <c r="A19" s="57" t="s">
        <v>169</v>
      </c>
      <c r="B19" s="37"/>
      <c r="C19" s="34"/>
      <c r="D19" s="30"/>
      <c r="E19" s="31"/>
      <c r="F19" s="30"/>
      <c r="G19" s="31"/>
      <c r="H19" s="30"/>
      <c r="I19" s="31"/>
    </row>
    <row r="20" spans="1:9">
      <c r="A20" s="57" t="s">
        <v>28</v>
      </c>
      <c r="B20" s="37"/>
      <c r="C20" s="34"/>
      <c r="D20" s="30"/>
      <c r="E20" s="31"/>
      <c r="F20" s="30"/>
      <c r="G20" s="31"/>
      <c r="H20" s="30"/>
      <c r="I20" s="31"/>
    </row>
    <row r="21" spans="1:9">
      <c r="A21" s="57" t="s">
        <v>161</v>
      </c>
      <c r="B21" s="37"/>
      <c r="C21" s="34"/>
      <c r="D21" s="30"/>
      <c r="E21" s="31"/>
      <c r="F21" s="30"/>
      <c r="G21" s="31"/>
      <c r="H21" s="30"/>
      <c r="I21" s="31"/>
    </row>
    <row r="22" spans="1:9" ht="12.75" thickBot="1">
      <c r="A22" s="57" t="s">
        <v>39</v>
      </c>
      <c r="B22" s="37"/>
      <c r="C22" s="34"/>
      <c r="D22" s="30"/>
      <c r="E22" s="31"/>
      <c r="F22" s="30"/>
      <c r="G22" s="31"/>
      <c r="H22" s="30"/>
      <c r="I22" s="31"/>
    </row>
    <row r="23" spans="1:9" ht="12.75" thickBot="1">
      <c r="A23" s="17" t="s">
        <v>38</v>
      </c>
      <c r="B23" s="20"/>
      <c r="C23" s="20"/>
      <c r="D23" s="18"/>
      <c r="E23" s="21"/>
      <c r="F23" s="18"/>
      <c r="G23" s="21"/>
      <c r="H23" s="18"/>
      <c r="I23" s="21"/>
    </row>
    <row r="24" spans="1:9">
      <c r="A24" s="1" t="s">
        <v>313</v>
      </c>
      <c r="B24" s="2"/>
      <c r="C24" s="2"/>
      <c r="D24" s="2"/>
      <c r="E24" s="2"/>
      <c r="F24" s="2"/>
      <c r="G24" s="2"/>
      <c r="H24" s="2"/>
      <c r="I24" s="2"/>
    </row>
    <row r="25" spans="1:9">
      <c r="A25" s="1" t="s">
        <v>90</v>
      </c>
      <c r="B25" s="2"/>
      <c r="C25" s="2"/>
      <c r="D25" s="2"/>
      <c r="E25" s="2"/>
      <c r="F25" s="2"/>
      <c r="G25" s="2"/>
      <c r="H25" s="2"/>
      <c r="I25" s="2"/>
    </row>
    <row r="26" spans="1:9">
      <c r="A26" s="1"/>
      <c r="B26" s="2"/>
      <c r="C26" s="2"/>
      <c r="D26" s="2"/>
      <c r="E26" s="2"/>
      <c r="F26" s="2"/>
      <c r="G26" s="2"/>
      <c r="H26" s="2"/>
      <c r="I26" s="2"/>
    </row>
    <row r="42" spans="10:10">
      <c r="J42" s="265"/>
    </row>
  </sheetData>
  <mergeCells count="4">
    <mergeCell ref="B5:C5"/>
    <mergeCell ref="D5:E5"/>
    <mergeCell ref="F5:G5"/>
    <mergeCell ref="H5:I5"/>
  </mergeCells>
  <printOptions horizontalCentered="1"/>
  <pageMargins left="0.19685039370078741" right="0.19685039370078741" top="0.78740157480314965" bottom="0.78740157480314965" header="0.19685039370078741" footer="0.19685039370078741"/>
  <pageSetup paperSize="9" scale="81"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2060"/>
  </sheetPr>
  <dimension ref="A1:V26"/>
  <sheetViews>
    <sheetView view="pageBreakPreview" zoomScaleNormal="100" zoomScaleSheetLayoutView="100" workbookViewId="0">
      <selection activeCell="B8" sqref="B8"/>
    </sheetView>
  </sheetViews>
  <sheetFormatPr baseColWidth="10" defaultColWidth="11.42578125" defaultRowHeight="12"/>
  <cols>
    <col min="1" max="1" width="62" style="265" customWidth="1"/>
    <col min="2" max="9" width="14.7109375" style="265" customWidth="1"/>
    <col min="10" max="16384" width="11.42578125" style="265"/>
  </cols>
  <sheetData>
    <row r="1" spans="1:22" s="922" customFormat="1" ht="15.75">
      <c r="A1" s="186" t="s">
        <v>459</v>
      </c>
      <c r="B1" s="75"/>
      <c r="C1" s="74"/>
      <c r="D1" s="74"/>
      <c r="E1" s="74"/>
      <c r="F1" s="74"/>
      <c r="H1" s="71"/>
      <c r="I1" s="71"/>
    </row>
    <row r="2" spans="1:22" s="66" customFormat="1" ht="15.75">
      <c r="A2" s="186" t="s">
        <v>382</v>
      </c>
      <c r="B2" s="71"/>
      <c r="C2" s="71"/>
      <c r="D2" s="71"/>
      <c r="E2" s="71"/>
      <c r="F2" s="71"/>
      <c r="G2" s="71"/>
      <c r="H2" s="71"/>
      <c r="I2" s="71"/>
      <c r="J2" s="71"/>
      <c r="K2" s="71"/>
      <c r="L2" s="71"/>
      <c r="M2" s="71"/>
      <c r="N2" s="71"/>
      <c r="O2" s="71"/>
      <c r="P2" s="71"/>
      <c r="Q2" s="71"/>
      <c r="R2" s="71"/>
      <c r="S2" s="71"/>
      <c r="T2" s="71"/>
      <c r="U2" s="71"/>
      <c r="V2" s="71"/>
    </row>
    <row r="3" spans="1:22" s="66" customFormat="1" ht="15.75">
      <c r="A3" s="923" t="s">
        <v>5504</v>
      </c>
      <c r="B3" s="71"/>
      <c r="C3" s="71"/>
      <c r="D3" s="71"/>
      <c r="E3" s="71"/>
      <c r="F3" s="71"/>
      <c r="G3" s="71"/>
      <c r="H3" s="71"/>
      <c r="I3" s="71"/>
      <c r="J3" s="71"/>
      <c r="K3" s="71"/>
      <c r="L3" s="71"/>
      <c r="M3" s="71"/>
      <c r="N3" s="71"/>
      <c r="O3" s="71"/>
      <c r="P3" s="71"/>
      <c r="Q3" s="71"/>
      <c r="R3" s="71"/>
      <c r="S3" s="71"/>
      <c r="T3" s="71"/>
      <c r="U3" s="71"/>
      <c r="V3" s="71"/>
    </row>
    <row r="4" spans="1:22" ht="12.75" thickBot="1">
      <c r="A4" s="412"/>
      <c r="B4" s="8"/>
      <c r="E4" s="8"/>
    </row>
    <row r="5" spans="1:22" ht="12.75" thickBot="1">
      <c r="A5" s="127" t="s">
        <v>10</v>
      </c>
      <c r="B5" s="2018" t="s">
        <v>312</v>
      </c>
      <c r="C5" s="2018"/>
      <c r="D5" s="2016" t="s">
        <v>460</v>
      </c>
      <c r="E5" s="2015"/>
      <c r="F5" s="2016" t="s">
        <v>461</v>
      </c>
      <c r="G5" s="2017"/>
      <c r="H5" s="2016" t="s">
        <v>311</v>
      </c>
      <c r="I5" s="2017"/>
    </row>
    <row r="6" spans="1:22" s="445" customFormat="1" ht="24" customHeight="1">
      <c r="A6" s="398" t="s">
        <v>9</v>
      </c>
      <c r="B6" s="128" t="s">
        <v>136</v>
      </c>
      <c r="C6" s="129" t="s">
        <v>25</v>
      </c>
      <c r="D6" s="398" t="s">
        <v>136</v>
      </c>
      <c r="E6" s="392" t="s">
        <v>25</v>
      </c>
      <c r="F6" s="398" t="s">
        <v>136</v>
      </c>
      <c r="G6" s="392" t="s">
        <v>25</v>
      </c>
      <c r="H6" s="398" t="s">
        <v>136</v>
      </c>
      <c r="I6" s="392" t="s">
        <v>25</v>
      </c>
    </row>
    <row r="7" spans="1:22">
      <c r="A7" s="57" t="s">
        <v>133</v>
      </c>
      <c r="B7" s="37"/>
      <c r="C7" s="34"/>
      <c r="D7" s="30"/>
      <c r="E7" s="31"/>
      <c r="F7" s="30"/>
      <c r="G7" s="31"/>
      <c r="H7" s="30"/>
      <c r="I7" s="31"/>
    </row>
    <row r="8" spans="1:22">
      <c r="A8" s="57" t="s">
        <v>164</v>
      </c>
      <c r="B8" s="37"/>
      <c r="C8" s="34"/>
      <c r="D8" s="30"/>
      <c r="E8" s="31"/>
      <c r="F8" s="30"/>
      <c r="G8" s="31"/>
      <c r="H8" s="30"/>
      <c r="I8" s="31"/>
    </row>
    <row r="9" spans="1:22">
      <c r="A9" s="57" t="s">
        <v>162</v>
      </c>
      <c r="B9" s="37"/>
      <c r="C9" s="34"/>
      <c r="D9" s="30"/>
      <c r="E9" s="31"/>
      <c r="F9" s="30"/>
      <c r="G9" s="31"/>
      <c r="H9" s="30"/>
      <c r="I9" s="31"/>
    </row>
    <row r="10" spans="1:22">
      <c r="A10" s="25" t="s">
        <v>171</v>
      </c>
      <c r="B10" s="37"/>
      <c r="C10" s="34"/>
      <c r="D10" s="30"/>
      <c r="E10" s="31"/>
      <c r="F10" s="30"/>
      <c r="G10" s="31"/>
      <c r="H10" s="30"/>
      <c r="I10" s="31"/>
    </row>
    <row r="11" spans="1:22">
      <c r="A11" s="57" t="s">
        <v>165</v>
      </c>
      <c r="B11" s="37"/>
      <c r="C11" s="34"/>
      <c r="D11" s="30"/>
      <c r="E11" s="31"/>
      <c r="F11" s="30"/>
      <c r="G11" s="31"/>
      <c r="H11" s="30"/>
      <c r="I11" s="31"/>
    </row>
    <row r="12" spans="1:22">
      <c r="A12" s="25" t="s">
        <v>163</v>
      </c>
      <c r="B12" s="37"/>
      <c r="C12" s="34"/>
      <c r="D12" s="30"/>
      <c r="E12" s="31"/>
      <c r="F12" s="30"/>
      <c r="G12" s="31"/>
      <c r="H12" s="30"/>
      <c r="I12" s="31"/>
    </row>
    <row r="13" spans="1:22">
      <c r="A13" s="57" t="s">
        <v>170</v>
      </c>
      <c r="B13" s="37"/>
      <c r="C13" s="34"/>
      <c r="D13" s="30"/>
      <c r="E13" s="31"/>
      <c r="F13" s="30"/>
      <c r="G13" s="31"/>
      <c r="H13" s="30"/>
      <c r="I13" s="31"/>
    </row>
    <row r="14" spans="1:22">
      <c r="A14" s="57" t="s">
        <v>27</v>
      </c>
      <c r="B14" s="37"/>
      <c r="C14" s="34"/>
      <c r="D14" s="30"/>
      <c r="E14" s="31"/>
      <c r="F14" s="30"/>
      <c r="G14" s="31"/>
      <c r="H14" s="30"/>
      <c r="I14" s="31"/>
    </row>
    <row r="15" spans="1:22">
      <c r="A15" s="57" t="s">
        <v>167</v>
      </c>
      <c r="B15" s="37"/>
      <c r="C15" s="34"/>
      <c r="D15" s="30"/>
      <c r="E15" s="31"/>
      <c r="F15" s="30"/>
      <c r="G15" s="31"/>
      <c r="H15" s="30"/>
      <c r="I15" s="31"/>
    </row>
    <row r="16" spans="1:22">
      <c r="A16" s="57" t="s">
        <v>26</v>
      </c>
      <c r="B16" s="37"/>
      <c r="C16" s="34"/>
      <c r="D16" s="30"/>
      <c r="E16" s="31"/>
      <c r="F16" s="30"/>
      <c r="G16" s="31"/>
      <c r="H16" s="30"/>
      <c r="I16" s="31"/>
    </row>
    <row r="17" spans="1:9">
      <c r="A17" s="57" t="s">
        <v>168</v>
      </c>
      <c r="B17" s="37"/>
      <c r="C17" s="34"/>
      <c r="D17" s="30"/>
      <c r="E17" s="31"/>
      <c r="F17" s="30"/>
      <c r="G17" s="31"/>
      <c r="H17" s="30"/>
      <c r="I17" s="31"/>
    </row>
    <row r="18" spans="1:9">
      <c r="A18" s="57" t="s">
        <v>166</v>
      </c>
      <c r="B18" s="37"/>
      <c r="C18" s="34"/>
      <c r="D18" s="30"/>
      <c r="E18" s="31"/>
      <c r="F18" s="30"/>
      <c r="G18" s="31"/>
      <c r="H18" s="30"/>
      <c r="I18" s="31"/>
    </row>
    <row r="19" spans="1:9">
      <c r="A19" s="57" t="s">
        <v>169</v>
      </c>
      <c r="B19" s="37"/>
      <c r="C19" s="34"/>
      <c r="D19" s="30"/>
      <c r="E19" s="31"/>
      <c r="F19" s="30"/>
      <c r="G19" s="31"/>
      <c r="H19" s="30"/>
      <c r="I19" s="31"/>
    </row>
    <row r="20" spans="1:9">
      <c r="A20" s="57" t="s">
        <v>28</v>
      </c>
      <c r="B20" s="37"/>
      <c r="C20" s="34"/>
      <c r="D20" s="30"/>
      <c r="E20" s="31"/>
      <c r="F20" s="30"/>
      <c r="G20" s="31"/>
      <c r="H20" s="30"/>
      <c r="I20" s="31"/>
    </row>
    <row r="21" spans="1:9">
      <c r="A21" s="57" t="s">
        <v>161</v>
      </c>
      <c r="B21" s="37"/>
      <c r="C21" s="34"/>
      <c r="D21" s="30"/>
      <c r="E21" s="31"/>
      <c r="F21" s="30"/>
      <c r="G21" s="31"/>
      <c r="H21" s="30"/>
      <c r="I21" s="31"/>
    </row>
    <row r="22" spans="1:9" ht="12.75" thickBot="1">
      <c r="A22" s="57" t="s">
        <v>39</v>
      </c>
      <c r="B22" s="37"/>
      <c r="C22" s="34"/>
      <c r="D22" s="30"/>
      <c r="E22" s="31"/>
      <c r="F22" s="30"/>
      <c r="G22" s="31"/>
      <c r="H22" s="30"/>
      <c r="I22" s="31"/>
    </row>
    <row r="23" spans="1:9" ht="12.75" thickBot="1">
      <c r="A23" s="17" t="s">
        <v>38</v>
      </c>
      <c r="B23" s="20"/>
      <c r="C23" s="20"/>
      <c r="D23" s="18"/>
      <c r="E23" s="21"/>
      <c r="F23" s="18"/>
      <c r="G23" s="21"/>
      <c r="H23" s="18"/>
      <c r="I23" s="21"/>
    </row>
    <row r="24" spans="1:9">
      <c r="A24" s="1" t="s">
        <v>313</v>
      </c>
      <c r="B24" s="2"/>
      <c r="C24" s="2"/>
      <c r="D24" s="2"/>
      <c r="E24" s="2"/>
      <c r="F24" s="2"/>
      <c r="G24" s="2"/>
      <c r="H24" s="2"/>
      <c r="I24" s="2"/>
    </row>
    <row r="25" spans="1:9">
      <c r="A25" s="1" t="s">
        <v>90</v>
      </c>
      <c r="B25" s="2"/>
      <c r="C25" s="2"/>
      <c r="D25" s="2"/>
      <c r="E25" s="2"/>
      <c r="F25" s="2"/>
      <c r="G25" s="2"/>
      <c r="H25" s="2"/>
      <c r="I25" s="2"/>
    </row>
    <row r="26" spans="1:9">
      <c r="A26" s="1"/>
      <c r="B26" s="2"/>
      <c r="C26" s="2"/>
      <c r="D26" s="2"/>
      <c r="E26" s="2"/>
      <c r="F26" s="2"/>
      <c r="G26" s="2"/>
      <c r="H26" s="2"/>
      <c r="I26" s="2"/>
    </row>
  </sheetData>
  <mergeCells count="4">
    <mergeCell ref="B5:C5"/>
    <mergeCell ref="D5:E5"/>
    <mergeCell ref="F5:G5"/>
    <mergeCell ref="H5:I5"/>
  </mergeCells>
  <printOptions horizontalCentered="1"/>
  <pageMargins left="0.19685039370078741" right="0.19685039370078741" top="0.78740157480314965" bottom="0.78740157480314965" header="0.19685039370078741" footer="0.19685039370078741"/>
  <pageSetup paperSize="9" scale="81"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2060"/>
  </sheetPr>
  <dimension ref="A1:V26"/>
  <sheetViews>
    <sheetView view="pageBreakPreview" zoomScaleNormal="100" zoomScaleSheetLayoutView="100" workbookViewId="0">
      <pane xSplit="1" ySplit="6" topLeftCell="B7" activePane="bottomRight" state="frozen"/>
      <selection activeCell="B8" sqref="B8"/>
      <selection pane="topRight" activeCell="B8" sqref="B8"/>
      <selection pane="bottomLeft" activeCell="B8" sqref="B8"/>
      <selection pane="bottomRight" activeCell="B8" sqref="B8"/>
    </sheetView>
  </sheetViews>
  <sheetFormatPr baseColWidth="10" defaultColWidth="11.42578125" defaultRowHeight="12"/>
  <cols>
    <col min="1" max="1" width="62" style="265" customWidth="1"/>
    <col min="2" max="9" width="14.7109375" style="265" customWidth="1"/>
    <col min="10" max="16384" width="11.42578125" style="265"/>
  </cols>
  <sheetData>
    <row r="1" spans="1:22" s="922" customFormat="1" ht="15.75">
      <c r="A1" s="186" t="s">
        <v>459</v>
      </c>
      <c r="B1" s="75"/>
      <c r="C1" s="74"/>
      <c r="D1" s="74"/>
      <c r="E1" s="74"/>
      <c r="F1" s="74"/>
      <c r="H1" s="71"/>
      <c r="I1" s="71"/>
    </row>
    <row r="2" spans="1:22" s="66" customFormat="1" ht="15.75">
      <c r="A2" s="186" t="s">
        <v>382</v>
      </c>
      <c r="B2" s="71"/>
      <c r="C2" s="71"/>
      <c r="D2" s="71"/>
      <c r="E2" s="71"/>
      <c r="F2" s="71"/>
      <c r="G2" s="71"/>
      <c r="H2" s="71"/>
      <c r="I2" s="71"/>
      <c r="J2" s="71"/>
      <c r="K2" s="71"/>
      <c r="L2" s="71"/>
      <c r="M2" s="71"/>
      <c r="N2" s="71"/>
      <c r="O2" s="71"/>
      <c r="P2" s="71"/>
      <c r="Q2" s="71"/>
      <c r="R2" s="71"/>
      <c r="S2" s="71"/>
      <c r="T2" s="71"/>
      <c r="U2" s="71"/>
      <c r="V2" s="71"/>
    </row>
    <row r="3" spans="1:22" s="66" customFormat="1" ht="15.75">
      <c r="A3" s="923" t="s">
        <v>6864</v>
      </c>
      <c r="B3" s="71"/>
      <c r="C3" s="71"/>
      <c r="D3" s="71"/>
      <c r="E3" s="71"/>
      <c r="F3" s="71"/>
      <c r="G3" s="71"/>
      <c r="H3" s="71"/>
      <c r="I3" s="71"/>
      <c r="J3" s="71"/>
      <c r="K3" s="71"/>
      <c r="L3" s="71"/>
      <c r="M3" s="71"/>
      <c r="N3" s="71"/>
      <c r="O3" s="71"/>
      <c r="P3" s="71"/>
      <c r="Q3" s="71"/>
      <c r="R3" s="71"/>
      <c r="S3" s="71"/>
      <c r="T3" s="71"/>
      <c r="U3" s="71"/>
      <c r="V3" s="71"/>
    </row>
    <row r="4" spans="1:22" ht="12.75" thickBot="1">
      <c r="A4" s="412"/>
      <c r="B4" s="8"/>
      <c r="E4" s="8"/>
    </row>
    <row r="5" spans="1:22" ht="12.75" thickBot="1">
      <c r="A5" s="127" t="s">
        <v>10</v>
      </c>
      <c r="B5" s="2018" t="s">
        <v>312</v>
      </c>
      <c r="C5" s="2018"/>
      <c r="D5" s="2016" t="s">
        <v>460</v>
      </c>
      <c r="E5" s="2015"/>
      <c r="F5" s="2016" t="s">
        <v>461</v>
      </c>
      <c r="G5" s="2017"/>
      <c r="H5" s="2016" t="s">
        <v>311</v>
      </c>
      <c r="I5" s="2017"/>
    </row>
    <row r="6" spans="1:22" s="445" customFormat="1" ht="24" customHeight="1">
      <c r="A6" s="398" t="s">
        <v>9</v>
      </c>
      <c r="B6" s="391" t="s">
        <v>136</v>
      </c>
      <c r="C6" s="129" t="s">
        <v>25</v>
      </c>
      <c r="D6" s="391" t="s">
        <v>136</v>
      </c>
      <c r="E6" s="129" t="s">
        <v>25</v>
      </c>
      <c r="F6" s="391" t="s">
        <v>136</v>
      </c>
      <c r="G6" s="129" t="s">
        <v>25</v>
      </c>
      <c r="H6" s="398" t="s">
        <v>136</v>
      </c>
      <c r="I6" s="392" t="s">
        <v>25</v>
      </c>
    </row>
    <row r="7" spans="1:22">
      <c r="A7" s="57" t="s">
        <v>133</v>
      </c>
      <c r="B7" s="37">
        <v>95</v>
      </c>
      <c r="C7" s="564">
        <v>804720</v>
      </c>
      <c r="D7" s="573">
        <v>95</v>
      </c>
      <c r="E7" s="564">
        <v>592460</v>
      </c>
      <c r="F7" s="30">
        <v>95</v>
      </c>
      <c r="G7" s="564">
        <v>560669</v>
      </c>
      <c r="H7" s="557">
        <f t="shared" ref="H7:H22" si="0">F7-D7</f>
        <v>0</v>
      </c>
      <c r="I7" s="556">
        <f t="shared" ref="I7:I22" si="1">G7-E7</f>
        <v>-31791</v>
      </c>
    </row>
    <row r="8" spans="1:22">
      <c r="A8" s="57" t="s">
        <v>164</v>
      </c>
      <c r="B8" s="37"/>
      <c r="C8" s="564"/>
      <c r="D8" s="573"/>
      <c r="E8" s="564"/>
      <c r="F8" s="30"/>
      <c r="G8" s="564"/>
      <c r="H8" s="557">
        <f t="shared" si="0"/>
        <v>0</v>
      </c>
      <c r="I8" s="556">
        <f t="shared" si="1"/>
        <v>0</v>
      </c>
    </row>
    <row r="9" spans="1:22">
      <c r="A9" s="57" t="s">
        <v>162</v>
      </c>
      <c r="B9" s="37"/>
      <c r="C9" s="564"/>
      <c r="D9" s="573"/>
      <c r="E9" s="564"/>
      <c r="F9" s="30"/>
      <c r="G9" s="564"/>
      <c r="H9" s="557">
        <f t="shared" si="0"/>
        <v>0</v>
      </c>
      <c r="I9" s="556">
        <f t="shared" si="1"/>
        <v>0</v>
      </c>
    </row>
    <row r="10" spans="1:22">
      <c r="A10" s="25" t="s">
        <v>171</v>
      </c>
      <c r="B10" s="37"/>
      <c r="C10" s="564"/>
      <c r="D10" s="573"/>
      <c r="E10" s="564"/>
      <c r="F10" s="30"/>
      <c r="G10" s="564"/>
      <c r="H10" s="557">
        <f t="shared" si="0"/>
        <v>0</v>
      </c>
      <c r="I10" s="556">
        <f t="shared" si="1"/>
        <v>0</v>
      </c>
    </row>
    <row r="11" spans="1:22">
      <c r="A11" s="57" t="s">
        <v>165</v>
      </c>
      <c r="B11" s="37"/>
      <c r="C11" s="564"/>
      <c r="D11" s="573"/>
      <c r="E11" s="564"/>
      <c r="F11" s="30"/>
      <c r="G11" s="564"/>
      <c r="H11" s="557">
        <f t="shared" si="0"/>
        <v>0</v>
      </c>
      <c r="I11" s="556">
        <f t="shared" si="1"/>
        <v>0</v>
      </c>
    </row>
    <row r="12" spans="1:22">
      <c r="A12" s="25" t="s">
        <v>163</v>
      </c>
      <c r="B12" s="37">
        <v>94</v>
      </c>
      <c r="C12" s="564">
        <v>94000</v>
      </c>
      <c r="D12" s="573">
        <v>71</v>
      </c>
      <c r="E12" s="564">
        <v>71000</v>
      </c>
      <c r="F12" s="30">
        <v>68</v>
      </c>
      <c r="G12" s="564">
        <v>68000</v>
      </c>
      <c r="H12" s="557">
        <f t="shared" si="0"/>
        <v>-3</v>
      </c>
      <c r="I12" s="556">
        <f t="shared" si="1"/>
        <v>-3000</v>
      </c>
    </row>
    <row r="13" spans="1:22">
      <c r="A13" s="57" t="s">
        <v>170</v>
      </c>
      <c r="B13" s="37"/>
      <c r="C13" s="564"/>
      <c r="D13" s="573"/>
      <c r="E13" s="564"/>
      <c r="F13" s="30"/>
      <c r="G13" s="564"/>
      <c r="H13" s="557">
        <f t="shared" si="0"/>
        <v>0</v>
      </c>
      <c r="I13" s="556">
        <f t="shared" si="1"/>
        <v>0</v>
      </c>
    </row>
    <row r="14" spans="1:22">
      <c r="A14" s="57" t="s">
        <v>27</v>
      </c>
      <c r="B14" s="37"/>
      <c r="C14" s="564">
        <f>4245+32113</f>
        <v>36358</v>
      </c>
      <c r="D14" s="573"/>
      <c r="E14" s="564">
        <f>18995+20700</f>
        <v>39695</v>
      </c>
      <c r="F14" s="30"/>
      <c r="G14" s="564">
        <f>4265+53370+2651</f>
        <v>60286</v>
      </c>
      <c r="H14" s="557">
        <f t="shared" si="0"/>
        <v>0</v>
      </c>
      <c r="I14" s="556">
        <f t="shared" si="1"/>
        <v>20591</v>
      </c>
    </row>
    <row r="15" spans="1:22">
      <c r="A15" s="57" t="s">
        <v>167</v>
      </c>
      <c r="B15" s="37"/>
      <c r="C15" s="564"/>
      <c r="D15" s="573"/>
      <c r="E15" s="564"/>
      <c r="F15" s="30"/>
      <c r="G15" s="564"/>
      <c r="H15" s="557">
        <f t="shared" si="0"/>
        <v>0</v>
      </c>
      <c r="I15" s="556">
        <f t="shared" si="1"/>
        <v>0</v>
      </c>
    </row>
    <row r="16" spans="1:22">
      <c r="A16" s="57" t="s">
        <v>26</v>
      </c>
      <c r="B16" s="37">
        <v>94</v>
      </c>
      <c r="C16" s="564">
        <v>95355</v>
      </c>
      <c r="D16" s="573">
        <v>94</v>
      </c>
      <c r="E16" s="564">
        <v>86090</v>
      </c>
      <c r="F16" s="30">
        <v>94</v>
      </c>
      <c r="G16" s="564">
        <v>90105</v>
      </c>
      <c r="H16" s="557">
        <f t="shared" si="0"/>
        <v>0</v>
      </c>
      <c r="I16" s="556">
        <f t="shared" si="1"/>
        <v>4015</v>
      </c>
    </row>
    <row r="17" spans="1:9">
      <c r="A17" s="57" t="s">
        <v>168</v>
      </c>
      <c r="B17" s="37"/>
      <c r="C17" s="564"/>
      <c r="D17" s="573"/>
      <c r="E17" s="564"/>
      <c r="F17" s="30"/>
      <c r="G17" s="564"/>
      <c r="H17" s="557">
        <f t="shared" si="0"/>
        <v>0</v>
      </c>
      <c r="I17" s="556">
        <f t="shared" si="1"/>
        <v>0</v>
      </c>
    </row>
    <row r="18" spans="1:9">
      <c r="A18" s="57" t="s">
        <v>166</v>
      </c>
      <c r="B18" s="37"/>
      <c r="C18" s="564"/>
      <c r="D18" s="573"/>
      <c r="E18" s="564"/>
      <c r="F18" s="30"/>
      <c r="G18" s="564"/>
      <c r="H18" s="557">
        <f t="shared" si="0"/>
        <v>0</v>
      </c>
      <c r="I18" s="556">
        <f t="shared" si="1"/>
        <v>0</v>
      </c>
    </row>
    <row r="19" spans="1:9">
      <c r="A19" s="57" t="s">
        <v>169</v>
      </c>
      <c r="B19" s="37"/>
      <c r="C19" s="564"/>
      <c r="D19" s="573"/>
      <c r="E19" s="564"/>
      <c r="F19" s="30"/>
      <c r="G19" s="564"/>
      <c r="H19" s="557">
        <f t="shared" si="0"/>
        <v>0</v>
      </c>
      <c r="I19" s="556">
        <f t="shared" si="1"/>
        <v>0</v>
      </c>
    </row>
    <row r="20" spans="1:9">
      <c r="A20" s="57" t="s">
        <v>28</v>
      </c>
      <c r="B20" s="37">
        <v>94</v>
      </c>
      <c r="C20" s="564">
        <v>927256</v>
      </c>
      <c r="D20" s="573">
        <v>94</v>
      </c>
      <c r="E20" s="564">
        <v>1156200</v>
      </c>
      <c r="F20" s="30">
        <v>94</v>
      </c>
      <c r="G20" s="564">
        <v>1115160</v>
      </c>
      <c r="H20" s="557">
        <f t="shared" si="0"/>
        <v>0</v>
      </c>
      <c r="I20" s="556">
        <f t="shared" si="1"/>
        <v>-41040</v>
      </c>
    </row>
    <row r="21" spans="1:9">
      <c r="A21" s="57" t="s">
        <v>161</v>
      </c>
      <c r="B21" s="37"/>
      <c r="C21" s="564">
        <v>261000</v>
      </c>
      <c r="D21" s="573"/>
      <c r="E21" s="564">
        <v>153076</v>
      </c>
      <c r="F21" s="30"/>
      <c r="G21" s="564">
        <v>136204</v>
      </c>
      <c r="H21" s="557">
        <f t="shared" si="0"/>
        <v>0</v>
      </c>
      <c r="I21" s="556">
        <f t="shared" si="1"/>
        <v>-16872</v>
      </c>
    </row>
    <row r="22" spans="1:9" ht="12.75" thickBot="1">
      <c r="A22" s="57" t="s">
        <v>39</v>
      </c>
      <c r="B22" s="37"/>
      <c r="C22" s="564"/>
      <c r="D22" s="573"/>
      <c r="E22" s="564"/>
      <c r="F22" s="30"/>
      <c r="G22" s="564"/>
      <c r="H22" s="557">
        <f t="shared" si="0"/>
        <v>0</v>
      </c>
      <c r="I22" s="556">
        <f t="shared" si="1"/>
        <v>0</v>
      </c>
    </row>
    <row r="23" spans="1:9" ht="12.75" thickBot="1">
      <c r="A23" s="17" t="s">
        <v>38</v>
      </c>
      <c r="B23" s="18">
        <f>B7</f>
        <v>95</v>
      </c>
      <c r="C23" s="551">
        <f>SUM(C7:C22)</f>
        <v>2218689</v>
      </c>
      <c r="D23" s="18">
        <f>D7</f>
        <v>95</v>
      </c>
      <c r="E23" s="551">
        <f>SUM(E7:E22)</f>
        <v>2098521</v>
      </c>
      <c r="F23" s="18">
        <f>F7</f>
        <v>95</v>
      </c>
      <c r="G23" s="551">
        <f>SUM(G7:G22)</f>
        <v>2030424</v>
      </c>
      <c r="H23" s="18">
        <f>H7</f>
        <v>0</v>
      </c>
      <c r="I23" s="551">
        <f>SUM(I7:I22)</f>
        <v>-68097</v>
      </c>
    </row>
    <row r="24" spans="1:9">
      <c r="A24" s="1" t="s">
        <v>313</v>
      </c>
      <c r="B24" s="2"/>
      <c r="C24" s="2"/>
      <c r="D24" s="2"/>
      <c r="E24" s="2"/>
      <c r="F24" s="2"/>
      <c r="G24" s="2"/>
      <c r="H24" s="2"/>
      <c r="I24" s="2"/>
    </row>
    <row r="25" spans="1:9">
      <c r="A25" s="1" t="s">
        <v>90</v>
      </c>
      <c r="B25" s="2"/>
      <c r="C25" s="2"/>
      <c r="D25" s="2"/>
      <c r="E25" s="2"/>
      <c r="F25" s="2"/>
      <c r="G25" s="2"/>
      <c r="H25" s="2"/>
      <c r="I25" s="2"/>
    </row>
    <row r="26" spans="1:9">
      <c r="A26" s="1"/>
      <c r="B26" s="2"/>
      <c r="C26" s="2"/>
      <c r="D26" s="2"/>
      <c r="E26" s="2"/>
      <c r="F26" s="2"/>
      <c r="G26" s="2"/>
      <c r="H26" s="2"/>
      <c r="I26" s="2"/>
    </row>
  </sheetData>
  <mergeCells count="4">
    <mergeCell ref="B5:C5"/>
    <mergeCell ref="D5:E5"/>
    <mergeCell ref="F5:G5"/>
    <mergeCell ref="H5:I5"/>
  </mergeCells>
  <printOptions horizontalCentered="1"/>
  <pageMargins left="0.19685039370078741" right="0.19685039370078741" top="0.78740157480314965" bottom="0.78740157480314965" header="0.19685039370078741" footer="0.19685039370078741"/>
  <pageSetup paperSize="9" scale="81"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2060"/>
  </sheetPr>
  <dimension ref="A1:AI71"/>
  <sheetViews>
    <sheetView view="pageBreakPreview" zoomScaleNormal="100" zoomScaleSheetLayoutView="100" workbookViewId="0">
      <selection activeCell="B8" sqref="B8"/>
    </sheetView>
  </sheetViews>
  <sheetFormatPr baseColWidth="10" defaultColWidth="11.42578125" defaultRowHeight="12"/>
  <cols>
    <col min="1" max="1" width="32" style="265" customWidth="1"/>
    <col min="2" max="2" width="8.7109375" style="265" customWidth="1"/>
    <col min="3" max="5" width="6.42578125" style="265" bestFit="1" customWidth="1"/>
    <col min="6" max="6" width="8.7109375" style="265" customWidth="1"/>
    <col min="7" max="9" width="5.5703125" style="265" bestFit="1" customWidth="1"/>
    <col min="10" max="10" width="6.42578125" style="265" bestFit="1" customWidth="1"/>
    <col min="11" max="11" width="8.7109375" style="265" customWidth="1"/>
    <col min="12" max="12" width="11" style="265" bestFit="1" customWidth="1"/>
    <col min="13" max="14" width="8.7109375" style="265" customWidth="1"/>
    <col min="15" max="16" width="6.5703125" style="265" bestFit="1" customWidth="1"/>
    <col min="17" max="17" width="5.28515625" style="265" bestFit="1" customWidth="1"/>
    <col min="18" max="20" width="6.42578125" style="265" bestFit="1" customWidth="1"/>
    <col min="21" max="21" width="8.7109375" style="265" customWidth="1"/>
    <col min="22" max="24" width="5.5703125" style="265" bestFit="1" customWidth="1"/>
    <col min="25" max="25" width="6.42578125" style="265" bestFit="1" customWidth="1"/>
    <col min="26" max="26" width="8.7109375" style="265" customWidth="1"/>
    <col min="27" max="27" width="11" style="265" bestFit="1" customWidth="1"/>
    <col min="28" max="29" width="8.7109375" style="265" customWidth="1"/>
    <col min="30" max="30" width="6.5703125" style="265" bestFit="1" customWidth="1"/>
    <col min="31" max="31" width="8.7109375" style="265" customWidth="1"/>
    <col min="32" max="33" width="6.42578125" style="265" bestFit="1" customWidth="1"/>
    <col min="34" max="34" width="4" style="265" bestFit="1" customWidth="1"/>
    <col min="35" max="35" width="8.7109375" style="265" customWidth="1"/>
    <col min="36" max="16384" width="11.42578125" style="265"/>
  </cols>
  <sheetData>
    <row r="1" spans="1:35" s="743" customFormat="1">
      <c r="A1" s="742" t="s">
        <v>465</v>
      </c>
    </row>
    <row r="2" spans="1:35" s="743" customFormat="1">
      <c r="A2" s="69" t="s">
        <v>1655</v>
      </c>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row>
    <row r="3" spans="1:35" s="742" customFormat="1">
      <c r="A3" s="742" t="s">
        <v>1654</v>
      </c>
      <c r="T3" s="745"/>
    </row>
    <row r="4" spans="1:35" s="742" customFormat="1" ht="12.75" thickBot="1">
      <c r="T4" s="745"/>
    </row>
    <row r="5" spans="1:35" ht="12.75" thickBot="1">
      <c r="A5" s="1992" t="s">
        <v>41</v>
      </c>
      <c r="B5" s="2021" t="s">
        <v>314</v>
      </c>
      <c r="C5" s="2021"/>
      <c r="D5" s="2021"/>
      <c r="E5" s="2021"/>
      <c r="F5" s="2021"/>
      <c r="G5" s="2021"/>
      <c r="H5" s="2021"/>
      <c r="I5" s="2021"/>
      <c r="J5" s="2021"/>
      <c r="K5" s="2021"/>
      <c r="L5" s="2021"/>
      <c r="M5" s="2021"/>
      <c r="N5" s="2021"/>
      <c r="O5" s="2021"/>
      <c r="P5" s="2021"/>
      <c r="Q5" s="2022" t="s">
        <v>462</v>
      </c>
      <c r="R5" s="2021"/>
      <c r="S5" s="2021"/>
      <c r="T5" s="2021"/>
      <c r="U5" s="2021"/>
      <c r="V5" s="2021"/>
      <c r="W5" s="2021"/>
      <c r="X5" s="2021"/>
      <c r="Y5" s="2021"/>
      <c r="Z5" s="2021"/>
      <c r="AA5" s="2021"/>
      <c r="AB5" s="2021"/>
      <c r="AC5" s="2021"/>
      <c r="AD5" s="2021"/>
      <c r="AE5" s="2023"/>
      <c r="AF5" s="2024" t="s">
        <v>463</v>
      </c>
      <c r="AG5" s="2025"/>
      <c r="AH5" s="2024" t="s">
        <v>464</v>
      </c>
      <c r="AI5" s="2025"/>
    </row>
    <row r="6" spans="1:35" ht="171">
      <c r="A6" s="2019"/>
      <c r="B6" s="130" t="s">
        <v>11</v>
      </c>
      <c r="C6" s="131" t="s">
        <v>137</v>
      </c>
      <c r="D6" s="132" t="s">
        <v>240</v>
      </c>
      <c r="E6" s="132" t="s">
        <v>139</v>
      </c>
      <c r="F6" s="132" t="s">
        <v>173</v>
      </c>
      <c r="G6" s="132" t="s">
        <v>174</v>
      </c>
      <c r="H6" s="132" t="s">
        <v>175</v>
      </c>
      <c r="I6" s="132" t="s">
        <v>176</v>
      </c>
      <c r="J6" s="132" t="s">
        <v>140</v>
      </c>
      <c r="K6" s="132" t="s">
        <v>141</v>
      </c>
      <c r="L6" s="132" t="s">
        <v>142</v>
      </c>
      <c r="M6" s="132" t="s">
        <v>172</v>
      </c>
      <c r="N6" s="133" t="s">
        <v>114</v>
      </c>
      <c r="O6" s="134" t="s">
        <v>147</v>
      </c>
      <c r="P6" s="135" t="s">
        <v>146</v>
      </c>
      <c r="Q6" s="130" t="s">
        <v>11</v>
      </c>
      <c r="R6" s="131" t="s">
        <v>137</v>
      </c>
      <c r="S6" s="132" t="s">
        <v>138</v>
      </c>
      <c r="T6" s="132" t="s">
        <v>139</v>
      </c>
      <c r="U6" s="132" t="s">
        <v>173</v>
      </c>
      <c r="V6" s="132" t="s">
        <v>174</v>
      </c>
      <c r="W6" s="132" t="s">
        <v>175</v>
      </c>
      <c r="X6" s="132" t="s">
        <v>176</v>
      </c>
      <c r="Y6" s="132" t="s">
        <v>140</v>
      </c>
      <c r="Z6" s="132" t="s">
        <v>141</v>
      </c>
      <c r="AA6" s="132" t="s">
        <v>142</v>
      </c>
      <c r="AB6" s="132" t="s">
        <v>172</v>
      </c>
      <c r="AC6" s="133" t="s">
        <v>114</v>
      </c>
      <c r="AD6" s="134" t="s">
        <v>147</v>
      </c>
      <c r="AE6" s="135" t="s">
        <v>315</v>
      </c>
      <c r="AF6" s="136" t="s">
        <v>151</v>
      </c>
      <c r="AG6" s="136" t="s">
        <v>150</v>
      </c>
      <c r="AH6" s="136" t="s">
        <v>11</v>
      </c>
      <c r="AI6" s="135" t="s">
        <v>316</v>
      </c>
    </row>
    <row r="7" spans="1:35" ht="12.75" thickBot="1">
      <c r="A7" s="2020"/>
      <c r="B7" s="389" t="s">
        <v>42</v>
      </c>
      <c r="C7" s="805" t="s">
        <v>43</v>
      </c>
      <c r="D7" s="806" t="s">
        <v>44</v>
      </c>
      <c r="E7" s="806" t="s">
        <v>45</v>
      </c>
      <c r="F7" s="807" t="s">
        <v>46</v>
      </c>
      <c r="G7" s="807" t="s">
        <v>47</v>
      </c>
      <c r="H7" s="807" t="s">
        <v>77</v>
      </c>
      <c r="I7" s="807" t="s">
        <v>113</v>
      </c>
      <c r="J7" s="807" t="s">
        <v>145</v>
      </c>
      <c r="K7" s="807" t="s">
        <v>149</v>
      </c>
      <c r="L7" s="807" t="s">
        <v>181</v>
      </c>
      <c r="M7" s="807" t="s">
        <v>182</v>
      </c>
      <c r="N7" s="808" t="s">
        <v>184</v>
      </c>
      <c r="O7" s="809" t="s">
        <v>185</v>
      </c>
      <c r="P7" s="810" t="s">
        <v>186</v>
      </c>
      <c r="Q7" s="389" t="s">
        <v>42</v>
      </c>
      <c r="R7" s="805" t="s">
        <v>43</v>
      </c>
      <c r="S7" s="806" t="s">
        <v>44</v>
      </c>
      <c r="T7" s="806" t="s">
        <v>45</v>
      </c>
      <c r="U7" s="807" t="s">
        <v>46</v>
      </c>
      <c r="V7" s="807" t="s">
        <v>47</v>
      </c>
      <c r="W7" s="807" t="s">
        <v>77</v>
      </c>
      <c r="X7" s="807" t="s">
        <v>113</v>
      </c>
      <c r="Y7" s="807" t="s">
        <v>145</v>
      </c>
      <c r="Z7" s="807" t="s">
        <v>149</v>
      </c>
      <c r="AA7" s="807" t="s">
        <v>181</v>
      </c>
      <c r="AB7" s="807" t="s">
        <v>182</v>
      </c>
      <c r="AC7" s="808" t="s">
        <v>184</v>
      </c>
      <c r="AD7" s="809" t="s">
        <v>185</v>
      </c>
      <c r="AE7" s="810" t="s">
        <v>186</v>
      </c>
      <c r="AF7" s="754"/>
      <c r="AG7" s="389"/>
      <c r="AH7" s="754"/>
      <c r="AI7" s="389"/>
    </row>
    <row r="8" spans="1:35">
      <c r="A8" s="811"/>
      <c r="B8" s="777"/>
      <c r="C8" s="458"/>
      <c r="D8" s="458"/>
      <c r="E8" s="458"/>
      <c r="F8" s="458"/>
      <c r="G8" s="458"/>
      <c r="H8" s="458"/>
      <c r="I8" s="458"/>
      <c r="J8" s="458"/>
      <c r="K8" s="458"/>
      <c r="L8" s="458"/>
      <c r="M8" s="458"/>
      <c r="N8" s="412"/>
      <c r="O8" s="812"/>
      <c r="P8" s="776"/>
      <c r="Q8" s="777"/>
      <c r="R8" s="458"/>
      <c r="S8" s="458"/>
      <c r="T8" s="458"/>
      <c r="U8" s="458"/>
      <c r="V8" s="458"/>
      <c r="W8" s="458"/>
      <c r="X8" s="458"/>
      <c r="Y8" s="458"/>
      <c r="Z8" s="458"/>
      <c r="AA8" s="458"/>
      <c r="AB8" s="458"/>
      <c r="AC8" s="412"/>
      <c r="AD8" s="812"/>
      <c r="AE8" s="776"/>
      <c r="AF8" s="776"/>
      <c r="AG8" s="777"/>
      <c r="AH8" s="776"/>
      <c r="AI8" s="777"/>
    </row>
    <row r="9" spans="1:35">
      <c r="A9" s="909" t="s">
        <v>48</v>
      </c>
      <c r="B9" s="777"/>
      <c r="C9" s="458"/>
      <c r="D9" s="458"/>
      <c r="E9" s="458"/>
      <c r="F9" s="458"/>
      <c r="G9" s="458"/>
      <c r="H9" s="458"/>
      <c r="I9" s="458"/>
      <c r="J9" s="458"/>
      <c r="K9" s="458"/>
      <c r="L9" s="458"/>
      <c r="M9" s="458"/>
      <c r="N9" s="412"/>
      <c r="O9" s="812"/>
      <c r="P9" s="776"/>
      <c r="Q9" s="777"/>
      <c r="R9" s="458"/>
      <c r="S9" s="458"/>
      <c r="T9" s="458"/>
      <c r="U9" s="458"/>
      <c r="V9" s="458"/>
      <c r="W9" s="458"/>
      <c r="X9" s="458"/>
      <c r="Y9" s="458"/>
      <c r="Z9" s="458"/>
      <c r="AA9" s="458"/>
      <c r="AB9" s="458"/>
      <c r="AC9" s="412"/>
      <c r="AD9" s="812"/>
      <c r="AE9" s="776"/>
      <c r="AF9" s="776"/>
      <c r="AG9" s="777"/>
      <c r="AH9" s="776"/>
      <c r="AI9" s="777"/>
    </row>
    <row r="10" spans="1:35">
      <c r="A10" s="909" t="s">
        <v>49</v>
      </c>
      <c r="B10" s="777"/>
      <c r="C10" s="458"/>
      <c r="D10" s="458"/>
      <c r="E10" s="458"/>
      <c r="F10" s="458"/>
      <c r="G10" s="458"/>
      <c r="H10" s="458"/>
      <c r="I10" s="458"/>
      <c r="J10" s="458"/>
      <c r="K10" s="458"/>
      <c r="L10" s="458"/>
      <c r="M10" s="458"/>
      <c r="N10" s="412"/>
      <c r="O10" s="812"/>
      <c r="P10" s="776"/>
      <c r="Q10" s="777"/>
      <c r="R10" s="458"/>
      <c r="S10" s="458"/>
      <c r="T10" s="458"/>
      <c r="U10" s="458"/>
      <c r="V10" s="458"/>
      <c r="W10" s="458"/>
      <c r="X10" s="458"/>
      <c r="Y10" s="458"/>
      <c r="Z10" s="458"/>
      <c r="AA10" s="458"/>
      <c r="AB10" s="458"/>
      <c r="AC10" s="412"/>
      <c r="AD10" s="812"/>
      <c r="AE10" s="776"/>
      <c r="AF10" s="776"/>
      <c r="AG10" s="777"/>
      <c r="AH10" s="776"/>
      <c r="AI10" s="777"/>
    </row>
    <row r="11" spans="1:35">
      <c r="A11" s="909" t="s">
        <v>49</v>
      </c>
      <c r="B11" s="777"/>
      <c r="C11" s="458"/>
      <c r="D11" s="458"/>
      <c r="E11" s="458"/>
      <c r="F11" s="458"/>
      <c r="G11" s="458"/>
      <c r="H11" s="458"/>
      <c r="I11" s="458"/>
      <c r="J11" s="458"/>
      <c r="K11" s="458"/>
      <c r="L11" s="458"/>
      <c r="M11" s="458"/>
      <c r="N11" s="412"/>
      <c r="O11" s="812"/>
      <c r="P11" s="776"/>
      <c r="Q11" s="777"/>
      <c r="R11" s="458"/>
      <c r="S11" s="458"/>
      <c r="T11" s="458"/>
      <c r="U11" s="458"/>
      <c r="V11" s="458"/>
      <c r="W11" s="458"/>
      <c r="X11" s="458"/>
      <c r="Y11" s="458"/>
      <c r="Z11" s="458"/>
      <c r="AA11" s="458"/>
      <c r="AB11" s="458"/>
      <c r="AC11" s="412"/>
      <c r="AD11" s="812"/>
      <c r="AE11" s="776"/>
      <c r="AF11" s="776"/>
      <c r="AG11" s="777"/>
      <c r="AH11" s="776"/>
      <c r="AI11" s="777"/>
    </row>
    <row r="12" spans="1:35" ht="24">
      <c r="A12" s="909" t="s">
        <v>50</v>
      </c>
      <c r="B12" s="777"/>
      <c r="C12" s="458"/>
      <c r="D12" s="458"/>
      <c r="E12" s="458"/>
      <c r="F12" s="458"/>
      <c r="G12" s="458"/>
      <c r="H12" s="458"/>
      <c r="I12" s="458"/>
      <c r="J12" s="458"/>
      <c r="K12" s="458"/>
      <c r="L12" s="458"/>
      <c r="M12" s="458"/>
      <c r="N12" s="412"/>
      <c r="O12" s="812"/>
      <c r="P12" s="776"/>
      <c r="Q12" s="777"/>
      <c r="R12" s="458"/>
      <c r="S12" s="458"/>
      <c r="T12" s="458"/>
      <c r="U12" s="458"/>
      <c r="V12" s="458"/>
      <c r="W12" s="458"/>
      <c r="X12" s="458"/>
      <c r="Y12" s="458"/>
      <c r="Z12" s="458"/>
      <c r="AA12" s="458"/>
      <c r="AB12" s="458"/>
      <c r="AC12" s="412"/>
      <c r="AD12" s="812"/>
      <c r="AE12" s="776"/>
      <c r="AF12" s="776"/>
      <c r="AG12" s="777"/>
      <c r="AH12" s="776"/>
      <c r="AI12" s="777"/>
    </row>
    <row r="13" spans="1:35">
      <c r="A13" s="909" t="s">
        <v>49</v>
      </c>
      <c r="B13" s="777"/>
      <c r="C13" s="458"/>
      <c r="D13" s="458"/>
      <c r="E13" s="458"/>
      <c r="F13" s="458"/>
      <c r="G13" s="458"/>
      <c r="H13" s="458"/>
      <c r="I13" s="458"/>
      <c r="J13" s="458"/>
      <c r="K13" s="458"/>
      <c r="L13" s="458"/>
      <c r="M13" s="458"/>
      <c r="N13" s="412"/>
      <c r="O13" s="812"/>
      <c r="P13" s="776"/>
      <c r="Q13" s="777"/>
      <c r="R13" s="458"/>
      <c r="S13" s="458"/>
      <c r="T13" s="458"/>
      <c r="U13" s="458"/>
      <c r="V13" s="458"/>
      <c r="W13" s="458"/>
      <c r="X13" s="458"/>
      <c r="Y13" s="458"/>
      <c r="Z13" s="458"/>
      <c r="AA13" s="458"/>
      <c r="AB13" s="458"/>
      <c r="AC13" s="412"/>
      <c r="AD13" s="812"/>
      <c r="AE13" s="776"/>
      <c r="AF13" s="776"/>
      <c r="AG13" s="777"/>
      <c r="AH13" s="776"/>
      <c r="AI13" s="777"/>
    </row>
    <row r="14" spans="1:35">
      <c r="A14" s="909" t="s">
        <v>49</v>
      </c>
      <c r="B14" s="777"/>
      <c r="C14" s="458"/>
      <c r="D14" s="458"/>
      <c r="E14" s="458"/>
      <c r="F14" s="458"/>
      <c r="G14" s="458"/>
      <c r="H14" s="458"/>
      <c r="I14" s="458"/>
      <c r="J14" s="458"/>
      <c r="K14" s="458"/>
      <c r="L14" s="458"/>
      <c r="M14" s="458"/>
      <c r="N14" s="412"/>
      <c r="O14" s="812"/>
      <c r="P14" s="776"/>
      <c r="Q14" s="777"/>
      <c r="R14" s="458"/>
      <c r="S14" s="458"/>
      <c r="T14" s="458"/>
      <c r="U14" s="458"/>
      <c r="V14" s="458"/>
      <c r="W14" s="458"/>
      <c r="X14" s="458"/>
      <c r="Y14" s="458"/>
      <c r="Z14" s="458"/>
      <c r="AA14" s="458"/>
      <c r="AB14" s="458"/>
      <c r="AC14" s="412"/>
      <c r="AD14" s="812"/>
      <c r="AE14" s="776"/>
      <c r="AF14" s="776"/>
      <c r="AG14" s="777"/>
      <c r="AH14" s="776"/>
      <c r="AI14" s="777"/>
    </row>
    <row r="15" spans="1:35">
      <c r="A15" s="909" t="s">
        <v>51</v>
      </c>
      <c r="B15" s="777"/>
      <c r="C15" s="458"/>
      <c r="D15" s="458"/>
      <c r="E15" s="458"/>
      <c r="F15" s="458"/>
      <c r="G15" s="458"/>
      <c r="H15" s="458"/>
      <c r="I15" s="458"/>
      <c r="J15" s="458"/>
      <c r="K15" s="458"/>
      <c r="L15" s="458"/>
      <c r="M15" s="458"/>
      <c r="N15" s="412"/>
      <c r="O15" s="812"/>
      <c r="P15" s="776"/>
      <c r="Q15" s="777"/>
      <c r="R15" s="458"/>
      <c r="S15" s="458"/>
      <c r="T15" s="458"/>
      <c r="U15" s="458"/>
      <c r="V15" s="458"/>
      <c r="W15" s="458"/>
      <c r="X15" s="458"/>
      <c r="Y15" s="458"/>
      <c r="Z15" s="458"/>
      <c r="AA15" s="458"/>
      <c r="AB15" s="458"/>
      <c r="AC15" s="412"/>
      <c r="AD15" s="812"/>
      <c r="AE15" s="776"/>
      <c r="AF15" s="776"/>
      <c r="AG15" s="777"/>
      <c r="AH15" s="776"/>
      <c r="AI15" s="777"/>
    </row>
    <row r="16" spans="1:35">
      <c r="A16" s="909" t="s">
        <v>49</v>
      </c>
      <c r="B16" s="777"/>
      <c r="C16" s="458"/>
      <c r="D16" s="458"/>
      <c r="E16" s="458"/>
      <c r="F16" s="458"/>
      <c r="G16" s="458"/>
      <c r="H16" s="458"/>
      <c r="I16" s="458"/>
      <c r="J16" s="458"/>
      <c r="K16" s="458"/>
      <c r="L16" s="458"/>
      <c r="M16" s="458"/>
      <c r="N16" s="412"/>
      <c r="O16" s="812"/>
      <c r="P16" s="776"/>
      <c r="Q16" s="777"/>
      <c r="R16" s="458"/>
      <c r="S16" s="458"/>
      <c r="T16" s="458"/>
      <c r="U16" s="458"/>
      <c r="V16" s="458"/>
      <c r="W16" s="458"/>
      <c r="X16" s="458"/>
      <c r="Y16" s="458"/>
      <c r="Z16" s="458"/>
      <c r="AA16" s="458"/>
      <c r="AB16" s="458"/>
      <c r="AC16" s="412"/>
      <c r="AD16" s="812"/>
      <c r="AE16" s="776"/>
      <c r="AF16" s="776"/>
      <c r="AG16" s="777"/>
      <c r="AH16" s="776"/>
      <c r="AI16" s="777"/>
    </row>
    <row r="17" spans="1:35">
      <c r="A17" s="909" t="s">
        <v>49</v>
      </c>
      <c r="B17" s="777"/>
      <c r="C17" s="458"/>
      <c r="D17" s="458"/>
      <c r="E17" s="458"/>
      <c r="F17" s="458"/>
      <c r="G17" s="458"/>
      <c r="H17" s="458"/>
      <c r="I17" s="458"/>
      <c r="J17" s="458"/>
      <c r="K17" s="458"/>
      <c r="L17" s="458"/>
      <c r="M17" s="458"/>
      <c r="N17" s="412"/>
      <c r="O17" s="812"/>
      <c r="P17" s="776"/>
      <c r="Q17" s="777"/>
      <c r="R17" s="458"/>
      <c r="S17" s="458"/>
      <c r="T17" s="458"/>
      <c r="U17" s="458"/>
      <c r="V17" s="458"/>
      <c r="W17" s="458"/>
      <c r="X17" s="458"/>
      <c r="Y17" s="458"/>
      <c r="Z17" s="458"/>
      <c r="AA17" s="458"/>
      <c r="AB17" s="458"/>
      <c r="AC17" s="412"/>
      <c r="AD17" s="812"/>
      <c r="AE17" s="776"/>
      <c r="AF17" s="776"/>
      <c r="AG17" s="777"/>
      <c r="AH17" s="776"/>
      <c r="AI17" s="777"/>
    </row>
    <row r="18" spans="1:35" ht="24">
      <c r="A18" s="909" t="s">
        <v>52</v>
      </c>
      <c r="B18" s="777"/>
      <c r="C18" s="458"/>
      <c r="D18" s="458"/>
      <c r="E18" s="458"/>
      <c r="F18" s="458"/>
      <c r="G18" s="458"/>
      <c r="H18" s="458"/>
      <c r="I18" s="458"/>
      <c r="J18" s="458"/>
      <c r="K18" s="458"/>
      <c r="L18" s="458"/>
      <c r="M18" s="458"/>
      <c r="N18" s="412"/>
      <c r="O18" s="812"/>
      <c r="P18" s="776"/>
      <c r="Q18" s="777"/>
      <c r="R18" s="458"/>
      <c r="S18" s="458"/>
      <c r="T18" s="458"/>
      <c r="U18" s="458"/>
      <c r="V18" s="458"/>
      <c r="W18" s="458"/>
      <c r="X18" s="458"/>
      <c r="Y18" s="458"/>
      <c r="Z18" s="458"/>
      <c r="AA18" s="458"/>
      <c r="AB18" s="458"/>
      <c r="AC18" s="412"/>
      <c r="AD18" s="812"/>
      <c r="AE18" s="776"/>
      <c r="AF18" s="776"/>
      <c r="AG18" s="777"/>
      <c r="AH18" s="776"/>
      <c r="AI18" s="777"/>
    </row>
    <row r="19" spans="1:35">
      <c r="A19" s="909" t="s">
        <v>49</v>
      </c>
      <c r="B19" s="777"/>
      <c r="C19" s="458"/>
      <c r="D19" s="458"/>
      <c r="E19" s="458"/>
      <c r="F19" s="458"/>
      <c r="G19" s="458"/>
      <c r="H19" s="458"/>
      <c r="I19" s="458"/>
      <c r="J19" s="458"/>
      <c r="K19" s="458"/>
      <c r="L19" s="458"/>
      <c r="M19" s="458"/>
      <c r="N19" s="412"/>
      <c r="O19" s="812"/>
      <c r="P19" s="776"/>
      <c r="Q19" s="777"/>
      <c r="R19" s="458"/>
      <c r="S19" s="458"/>
      <c r="T19" s="458"/>
      <c r="U19" s="458"/>
      <c r="V19" s="458"/>
      <c r="W19" s="458"/>
      <c r="X19" s="458"/>
      <c r="Y19" s="458"/>
      <c r="Z19" s="458"/>
      <c r="AA19" s="458"/>
      <c r="AB19" s="458"/>
      <c r="AC19" s="412"/>
      <c r="AD19" s="812"/>
      <c r="AE19" s="776"/>
      <c r="AF19" s="776"/>
      <c r="AG19" s="777"/>
      <c r="AH19" s="776"/>
      <c r="AI19" s="777"/>
    </row>
    <row r="20" spans="1:35">
      <c r="A20" s="909" t="s">
        <v>49</v>
      </c>
      <c r="B20" s="777"/>
      <c r="C20" s="458"/>
      <c r="D20" s="458"/>
      <c r="E20" s="458"/>
      <c r="F20" s="458"/>
      <c r="G20" s="458"/>
      <c r="H20" s="458"/>
      <c r="I20" s="458"/>
      <c r="J20" s="458"/>
      <c r="K20" s="458"/>
      <c r="L20" s="458"/>
      <c r="M20" s="458"/>
      <c r="N20" s="412"/>
      <c r="O20" s="812"/>
      <c r="P20" s="776"/>
      <c r="Q20" s="777"/>
      <c r="R20" s="458"/>
      <c r="S20" s="458"/>
      <c r="T20" s="458"/>
      <c r="U20" s="458"/>
      <c r="V20" s="458"/>
      <c r="W20" s="458"/>
      <c r="X20" s="458"/>
      <c r="Y20" s="458"/>
      <c r="Z20" s="458"/>
      <c r="AA20" s="458"/>
      <c r="AB20" s="458"/>
      <c r="AC20" s="412"/>
      <c r="AD20" s="812"/>
      <c r="AE20" s="776"/>
      <c r="AF20" s="776"/>
      <c r="AG20" s="777"/>
      <c r="AH20" s="776"/>
      <c r="AI20" s="777"/>
    </row>
    <row r="21" spans="1:35">
      <c r="A21" s="909" t="s">
        <v>53</v>
      </c>
      <c r="B21" s="777"/>
      <c r="C21" s="458"/>
      <c r="D21" s="458"/>
      <c r="E21" s="458"/>
      <c r="F21" s="458"/>
      <c r="G21" s="458"/>
      <c r="H21" s="458"/>
      <c r="I21" s="458"/>
      <c r="J21" s="458"/>
      <c r="K21" s="458"/>
      <c r="L21" s="458"/>
      <c r="M21" s="458"/>
      <c r="N21" s="412"/>
      <c r="O21" s="812"/>
      <c r="P21" s="776"/>
      <c r="Q21" s="777"/>
      <c r="R21" s="458"/>
      <c r="S21" s="458"/>
      <c r="T21" s="458"/>
      <c r="U21" s="458"/>
      <c r="V21" s="458"/>
      <c r="W21" s="458"/>
      <c r="X21" s="458"/>
      <c r="Y21" s="458"/>
      <c r="Z21" s="458"/>
      <c r="AA21" s="458"/>
      <c r="AB21" s="458"/>
      <c r="AC21" s="412"/>
      <c r="AD21" s="812"/>
      <c r="AE21" s="776"/>
      <c r="AF21" s="776"/>
      <c r="AG21" s="777"/>
      <c r="AH21" s="776"/>
      <c r="AI21" s="777"/>
    </row>
    <row r="22" spans="1:35">
      <c r="A22" s="909" t="s">
        <v>49</v>
      </c>
      <c r="B22" s="777"/>
      <c r="C22" s="458"/>
      <c r="D22" s="458"/>
      <c r="E22" s="458"/>
      <c r="F22" s="458"/>
      <c r="G22" s="458"/>
      <c r="H22" s="458"/>
      <c r="I22" s="458"/>
      <c r="J22" s="458"/>
      <c r="K22" s="458"/>
      <c r="L22" s="458"/>
      <c r="M22" s="458"/>
      <c r="N22" s="412"/>
      <c r="O22" s="812"/>
      <c r="P22" s="776"/>
      <c r="Q22" s="777"/>
      <c r="R22" s="458"/>
      <c r="S22" s="458"/>
      <c r="T22" s="458"/>
      <c r="U22" s="458"/>
      <c r="V22" s="458"/>
      <c r="W22" s="458"/>
      <c r="X22" s="458"/>
      <c r="Y22" s="458"/>
      <c r="Z22" s="458"/>
      <c r="AA22" s="458"/>
      <c r="AB22" s="458"/>
      <c r="AC22" s="412"/>
      <c r="AD22" s="812"/>
      <c r="AE22" s="776"/>
      <c r="AF22" s="776"/>
      <c r="AG22" s="777"/>
      <c r="AH22" s="776"/>
      <c r="AI22" s="777"/>
    </row>
    <row r="23" spans="1:35">
      <c r="A23" s="909" t="s">
        <v>49</v>
      </c>
      <c r="B23" s="777"/>
      <c r="C23" s="458"/>
      <c r="D23" s="458"/>
      <c r="E23" s="458"/>
      <c r="F23" s="458"/>
      <c r="G23" s="458"/>
      <c r="H23" s="458"/>
      <c r="I23" s="458"/>
      <c r="J23" s="458"/>
      <c r="K23" s="458"/>
      <c r="L23" s="458"/>
      <c r="M23" s="458"/>
      <c r="N23" s="412"/>
      <c r="O23" s="812"/>
      <c r="P23" s="776"/>
      <c r="Q23" s="777"/>
      <c r="R23" s="458"/>
      <c r="S23" s="458"/>
      <c r="T23" s="458"/>
      <c r="U23" s="458"/>
      <c r="V23" s="458"/>
      <c r="W23" s="458"/>
      <c r="X23" s="458"/>
      <c r="Y23" s="458"/>
      <c r="Z23" s="458"/>
      <c r="AA23" s="458"/>
      <c r="AB23" s="458"/>
      <c r="AC23" s="412"/>
      <c r="AD23" s="812"/>
      <c r="AE23" s="776"/>
      <c r="AF23" s="776"/>
      <c r="AG23" s="777"/>
      <c r="AH23" s="776"/>
      <c r="AI23" s="777"/>
    </row>
    <row r="24" spans="1:35">
      <c r="A24" s="909" t="s">
        <v>54</v>
      </c>
      <c r="B24" s="777"/>
      <c r="C24" s="458"/>
      <c r="D24" s="458"/>
      <c r="E24" s="458"/>
      <c r="F24" s="458"/>
      <c r="G24" s="458"/>
      <c r="H24" s="458"/>
      <c r="I24" s="458"/>
      <c r="J24" s="458"/>
      <c r="K24" s="458"/>
      <c r="L24" s="458"/>
      <c r="M24" s="458"/>
      <c r="N24" s="412"/>
      <c r="O24" s="812"/>
      <c r="P24" s="776"/>
      <c r="Q24" s="777"/>
      <c r="R24" s="458"/>
      <c r="S24" s="458"/>
      <c r="T24" s="458"/>
      <c r="U24" s="458"/>
      <c r="V24" s="458"/>
      <c r="W24" s="458"/>
      <c r="X24" s="458"/>
      <c r="Y24" s="458"/>
      <c r="Z24" s="458"/>
      <c r="AA24" s="458"/>
      <c r="AB24" s="458"/>
      <c r="AC24" s="412"/>
      <c r="AD24" s="812"/>
      <c r="AE24" s="776"/>
      <c r="AF24" s="776"/>
      <c r="AG24" s="777"/>
      <c r="AH24" s="776"/>
      <c r="AI24" s="777"/>
    </row>
    <row r="25" spans="1:35">
      <c r="A25" s="909" t="s">
        <v>49</v>
      </c>
      <c r="B25" s="777"/>
      <c r="C25" s="458"/>
      <c r="D25" s="458"/>
      <c r="E25" s="458"/>
      <c r="F25" s="458"/>
      <c r="G25" s="458"/>
      <c r="H25" s="458"/>
      <c r="I25" s="458"/>
      <c r="J25" s="458"/>
      <c r="K25" s="458"/>
      <c r="L25" s="458"/>
      <c r="M25" s="458"/>
      <c r="N25" s="412"/>
      <c r="O25" s="812"/>
      <c r="P25" s="776"/>
      <c r="Q25" s="777"/>
      <c r="R25" s="458"/>
      <c r="S25" s="458"/>
      <c r="T25" s="458"/>
      <c r="U25" s="458"/>
      <c r="V25" s="458"/>
      <c r="W25" s="458"/>
      <c r="X25" s="458"/>
      <c r="Y25" s="458"/>
      <c r="Z25" s="458"/>
      <c r="AA25" s="458"/>
      <c r="AB25" s="458"/>
      <c r="AC25" s="412"/>
      <c r="AD25" s="812"/>
      <c r="AE25" s="776"/>
      <c r="AF25" s="776"/>
      <c r="AG25" s="777"/>
      <c r="AH25" s="776"/>
      <c r="AI25" s="777"/>
    </row>
    <row r="26" spans="1:35">
      <c r="A26" s="909" t="s">
        <v>49</v>
      </c>
      <c r="B26" s="777"/>
      <c r="C26" s="458"/>
      <c r="D26" s="458"/>
      <c r="E26" s="458"/>
      <c r="F26" s="458"/>
      <c r="G26" s="458"/>
      <c r="H26" s="458"/>
      <c r="I26" s="458"/>
      <c r="J26" s="458"/>
      <c r="K26" s="458"/>
      <c r="L26" s="458"/>
      <c r="M26" s="458"/>
      <c r="N26" s="412"/>
      <c r="O26" s="812"/>
      <c r="P26" s="776"/>
      <c r="Q26" s="777"/>
      <c r="R26" s="458"/>
      <c r="S26" s="458"/>
      <c r="T26" s="458"/>
      <c r="U26" s="458"/>
      <c r="V26" s="458"/>
      <c r="W26" s="458"/>
      <c r="X26" s="458"/>
      <c r="Y26" s="458"/>
      <c r="Z26" s="458"/>
      <c r="AA26" s="458"/>
      <c r="AB26" s="458"/>
      <c r="AC26" s="412"/>
      <c r="AD26" s="812"/>
      <c r="AE26" s="776"/>
      <c r="AF26" s="776"/>
      <c r="AG26" s="777"/>
      <c r="AH26" s="776"/>
      <c r="AI26" s="777"/>
    </row>
    <row r="27" spans="1:35">
      <c r="A27" s="909" t="s">
        <v>55</v>
      </c>
      <c r="B27" s="777"/>
      <c r="C27" s="458"/>
      <c r="D27" s="458"/>
      <c r="E27" s="458"/>
      <c r="F27" s="458"/>
      <c r="G27" s="458"/>
      <c r="H27" s="458"/>
      <c r="I27" s="458"/>
      <c r="J27" s="458"/>
      <c r="K27" s="458"/>
      <c r="L27" s="458"/>
      <c r="M27" s="458"/>
      <c r="N27" s="412"/>
      <c r="O27" s="812"/>
      <c r="P27" s="776"/>
      <c r="Q27" s="777"/>
      <c r="R27" s="458"/>
      <c r="S27" s="458"/>
      <c r="T27" s="458"/>
      <c r="U27" s="458"/>
      <c r="V27" s="458"/>
      <c r="W27" s="458"/>
      <c r="X27" s="458"/>
      <c r="Y27" s="458"/>
      <c r="Z27" s="458"/>
      <c r="AA27" s="458"/>
      <c r="AB27" s="458"/>
      <c r="AC27" s="412"/>
      <c r="AD27" s="812"/>
      <c r="AE27" s="776"/>
      <c r="AF27" s="776"/>
      <c r="AG27" s="777"/>
      <c r="AH27" s="776"/>
      <c r="AI27" s="777"/>
    </row>
    <row r="28" spans="1:35">
      <c r="A28" s="909" t="s">
        <v>49</v>
      </c>
      <c r="B28" s="777"/>
      <c r="C28" s="458"/>
      <c r="D28" s="458"/>
      <c r="E28" s="458"/>
      <c r="F28" s="458"/>
      <c r="G28" s="458"/>
      <c r="H28" s="458"/>
      <c r="I28" s="458"/>
      <c r="J28" s="458"/>
      <c r="K28" s="458"/>
      <c r="L28" s="458"/>
      <c r="M28" s="458"/>
      <c r="N28" s="412"/>
      <c r="O28" s="812"/>
      <c r="P28" s="776"/>
      <c r="Q28" s="777"/>
      <c r="R28" s="458"/>
      <c r="S28" s="458"/>
      <c r="T28" s="458"/>
      <c r="U28" s="458"/>
      <c r="V28" s="458"/>
      <c r="W28" s="458"/>
      <c r="X28" s="458"/>
      <c r="Y28" s="458"/>
      <c r="Z28" s="458"/>
      <c r="AA28" s="458"/>
      <c r="AB28" s="458"/>
      <c r="AC28" s="412"/>
      <c r="AD28" s="812"/>
      <c r="AE28" s="776"/>
      <c r="AF28" s="776"/>
      <c r="AG28" s="777"/>
      <c r="AH28" s="776"/>
      <c r="AI28" s="777"/>
    </row>
    <row r="29" spans="1:35">
      <c r="A29" s="909" t="s">
        <v>49</v>
      </c>
      <c r="B29" s="777"/>
      <c r="C29" s="458"/>
      <c r="D29" s="458"/>
      <c r="E29" s="458"/>
      <c r="F29" s="458"/>
      <c r="G29" s="458"/>
      <c r="H29" s="458"/>
      <c r="I29" s="458"/>
      <c r="J29" s="458"/>
      <c r="K29" s="458"/>
      <c r="L29" s="458"/>
      <c r="M29" s="458"/>
      <c r="N29" s="412"/>
      <c r="O29" s="812"/>
      <c r="P29" s="776"/>
      <c r="Q29" s="777"/>
      <c r="R29" s="458"/>
      <c r="S29" s="458"/>
      <c r="T29" s="458"/>
      <c r="U29" s="458"/>
      <c r="V29" s="458"/>
      <c r="W29" s="458"/>
      <c r="X29" s="458"/>
      <c r="Y29" s="458"/>
      <c r="Z29" s="458"/>
      <c r="AA29" s="458"/>
      <c r="AB29" s="458"/>
      <c r="AC29" s="412"/>
      <c r="AD29" s="812"/>
      <c r="AE29" s="776"/>
      <c r="AF29" s="776"/>
      <c r="AG29" s="777"/>
      <c r="AH29" s="776"/>
      <c r="AI29" s="777"/>
    </row>
    <row r="30" spans="1:35">
      <c r="A30" s="909" t="s">
        <v>56</v>
      </c>
      <c r="B30" s="777"/>
      <c r="C30" s="458"/>
      <c r="D30" s="458"/>
      <c r="E30" s="458"/>
      <c r="F30" s="458"/>
      <c r="G30" s="458"/>
      <c r="H30" s="458"/>
      <c r="I30" s="458"/>
      <c r="J30" s="458"/>
      <c r="K30" s="458"/>
      <c r="L30" s="458"/>
      <c r="M30" s="458"/>
      <c r="N30" s="412"/>
      <c r="O30" s="812"/>
      <c r="P30" s="776"/>
      <c r="Q30" s="777"/>
      <c r="R30" s="458"/>
      <c r="S30" s="458"/>
      <c r="T30" s="458"/>
      <c r="U30" s="458"/>
      <c r="V30" s="458"/>
      <c r="W30" s="458"/>
      <c r="X30" s="458"/>
      <c r="Y30" s="458"/>
      <c r="Z30" s="458"/>
      <c r="AA30" s="458"/>
      <c r="AB30" s="458"/>
      <c r="AC30" s="412"/>
      <c r="AD30" s="812"/>
      <c r="AE30" s="776"/>
      <c r="AF30" s="776"/>
      <c r="AG30" s="777"/>
      <c r="AH30" s="776"/>
      <c r="AI30" s="777"/>
    </row>
    <row r="31" spans="1:35">
      <c r="A31" s="909" t="s">
        <v>49</v>
      </c>
      <c r="B31" s="777"/>
      <c r="C31" s="458"/>
      <c r="D31" s="458"/>
      <c r="E31" s="458"/>
      <c r="F31" s="458"/>
      <c r="G31" s="458"/>
      <c r="H31" s="458"/>
      <c r="I31" s="458"/>
      <c r="J31" s="458"/>
      <c r="K31" s="458"/>
      <c r="L31" s="458"/>
      <c r="M31" s="458"/>
      <c r="N31" s="412"/>
      <c r="O31" s="812"/>
      <c r="P31" s="776"/>
      <c r="Q31" s="777"/>
      <c r="R31" s="458"/>
      <c r="S31" s="458"/>
      <c r="T31" s="458"/>
      <c r="U31" s="458"/>
      <c r="V31" s="458"/>
      <c r="W31" s="458"/>
      <c r="X31" s="458"/>
      <c r="Y31" s="458"/>
      <c r="Z31" s="458"/>
      <c r="AA31" s="458"/>
      <c r="AB31" s="458"/>
      <c r="AC31" s="412"/>
      <c r="AD31" s="812"/>
      <c r="AE31" s="776"/>
      <c r="AF31" s="776"/>
      <c r="AG31" s="777"/>
      <c r="AH31" s="776"/>
      <c r="AI31" s="777"/>
    </row>
    <row r="32" spans="1:35">
      <c r="A32" s="909" t="s">
        <v>49</v>
      </c>
      <c r="B32" s="777"/>
      <c r="C32" s="458"/>
      <c r="D32" s="458"/>
      <c r="E32" s="458"/>
      <c r="F32" s="458"/>
      <c r="G32" s="458"/>
      <c r="H32" s="458"/>
      <c r="I32" s="458"/>
      <c r="J32" s="458"/>
      <c r="K32" s="458"/>
      <c r="L32" s="458"/>
      <c r="M32" s="458"/>
      <c r="N32" s="412"/>
      <c r="O32" s="812"/>
      <c r="P32" s="776"/>
      <c r="Q32" s="777"/>
      <c r="R32" s="458"/>
      <c r="S32" s="458"/>
      <c r="T32" s="458"/>
      <c r="U32" s="458"/>
      <c r="V32" s="458"/>
      <c r="W32" s="458"/>
      <c r="X32" s="458"/>
      <c r="Y32" s="458"/>
      <c r="Z32" s="458"/>
      <c r="AA32" s="458"/>
      <c r="AB32" s="458"/>
      <c r="AC32" s="412"/>
      <c r="AD32" s="812"/>
      <c r="AE32" s="776"/>
      <c r="AF32" s="776"/>
      <c r="AG32" s="777"/>
      <c r="AH32" s="776"/>
      <c r="AI32" s="777"/>
    </row>
    <row r="33" spans="1:35">
      <c r="A33" s="909" t="s">
        <v>57</v>
      </c>
      <c r="B33" s="777"/>
      <c r="C33" s="458"/>
      <c r="D33" s="458"/>
      <c r="E33" s="458"/>
      <c r="F33" s="458"/>
      <c r="G33" s="458"/>
      <c r="H33" s="458"/>
      <c r="I33" s="458"/>
      <c r="J33" s="458"/>
      <c r="K33" s="458"/>
      <c r="L33" s="458"/>
      <c r="M33" s="458"/>
      <c r="N33" s="412"/>
      <c r="O33" s="812"/>
      <c r="P33" s="776"/>
      <c r="Q33" s="777"/>
      <c r="R33" s="458"/>
      <c r="S33" s="458"/>
      <c r="T33" s="458"/>
      <c r="U33" s="458"/>
      <c r="V33" s="458"/>
      <c r="W33" s="458"/>
      <c r="X33" s="458"/>
      <c r="Y33" s="458"/>
      <c r="Z33" s="458"/>
      <c r="AA33" s="458"/>
      <c r="AB33" s="458"/>
      <c r="AC33" s="412"/>
      <c r="AD33" s="812"/>
      <c r="AE33" s="776"/>
      <c r="AF33" s="776"/>
      <c r="AG33" s="777"/>
      <c r="AH33" s="776"/>
      <c r="AI33" s="777"/>
    </row>
    <row r="34" spans="1:35">
      <c r="A34" s="909" t="s">
        <v>49</v>
      </c>
      <c r="B34" s="777"/>
      <c r="C34" s="458"/>
      <c r="D34" s="458"/>
      <c r="E34" s="458"/>
      <c r="F34" s="458"/>
      <c r="G34" s="458"/>
      <c r="H34" s="458"/>
      <c r="I34" s="458"/>
      <c r="J34" s="458"/>
      <c r="K34" s="458"/>
      <c r="L34" s="458"/>
      <c r="M34" s="458"/>
      <c r="N34" s="412"/>
      <c r="O34" s="812"/>
      <c r="P34" s="776"/>
      <c r="Q34" s="777"/>
      <c r="R34" s="458"/>
      <c r="S34" s="458"/>
      <c r="T34" s="458"/>
      <c r="U34" s="458"/>
      <c r="V34" s="458"/>
      <c r="W34" s="458"/>
      <c r="X34" s="458"/>
      <c r="Y34" s="458"/>
      <c r="Z34" s="458"/>
      <c r="AA34" s="458"/>
      <c r="AB34" s="458"/>
      <c r="AC34" s="412"/>
      <c r="AD34" s="812"/>
      <c r="AE34" s="776"/>
      <c r="AF34" s="776"/>
      <c r="AG34" s="777"/>
      <c r="AH34" s="776"/>
      <c r="AI34" s="777"/>
    </row>
    <row r="35" spans="1:35">
      <c r="A35" s="909" t="s">
        <v>49</v>
      </c>
      <c r="B35" s="777"/>
      <c r="C35" s="458"/>
      <c r="D35" s="458"/>
      <c r="E35" s="458"/>
      <c r="F35" s="458"/>
      <c r="G35" s="458"/>
      <c r="H35" s="458"/>
      <c r="I35" s="458"/>
      <c r="J35" s="458"/>
      <c r="K35" s="458"/>
      <c r="L35" s="458"/>
      <c r="M35" s="458"/>
      <c r="N35" s="412"/>
      <c r="O35" s="812"/>
      <c r="P35" s="776"/>
      <c r="Q35" s="777"/>
      <c r="R35" s="458"/>
      <c r="S35" s="458"/>
      <c r="T35" s="458"/>
      <c r="U35" s="458"/>
      <c r="V35" s="458"/>
      <c r="W35" s="458"/>
      <c r="X35" s="458"/>
      <c r="Y35" s="458"/>
      <c r="Z35" s="458"/>
      <c r="AA35" s="458"/>
      <c r="AB35" s="458"/>
      <c r="AC35" s="412"/>
      <c r="AD35" s="812"/>
      <c r="AE35" s="776"/>
      <c r="AF35" s="776"/>
      <c r="AG35" s="777"/>
      <c r="AH35" s="776"/>
      <c r="AI35" s="777"/>
    </row>
    <row r="36" spans="1:35">
      <c r="A36" s="909" t="s">
        <v>58</v>
      </c>
      <c r="B36" s="777"/>
      <c r="C36" s="458"/>
      <c r="D36" s="458"/>
      <c r="E36" s="458"/>
      <c r="F36" s="458"/>
      <c r="G36" s="458"/>
      <c r="H36" s="458"/>
      <c r="I36" s="458"/>
      <c r="J36" s="458"/>
      <c r="K36" s="458"/>
      <c r="L36" s="458"/>
      <c r="M36" s="458"/>
      <c r="N36" s="412"/>
      <c r="O36" s="812"/>
      <c r="P36" s="776"/>
      <c r="Q36" s="777"/>
      <c r="R36" s="458"/>
      <c r="S36" s="458"/>
      <c r="T36" s="458"/>
      <c r="U36" s="458"/>
      <c r="V36" s="458"/>
      <c r="W36" s="458"/>
      <c r="X36" s="458"/>
      <c r="Y36" s="458"/>
      <c r="Z36" s="458"/>
      <c r="AA36" s="458"/>
      <c r="AB36" s="458"/>
      <c r="AC36" s="412"/>
      <c r="AD36" s="812"/>
      <c r="AE36" s="776"/>
      <c r="AF36" s="776"/>
      <c r="AG36" s="777"/>
      <c r="AH36" s="776"/>
      <c r="AI36" s="777"/>
    </row>
    <row r="37" spans="1:35">
      <c r="A37" s="909" t="s">
        <v>49</v>
      </c>
      <c r="B37" s="777"/>
      <c r="C37" s="458"/>
      <c r="D37" s="458"/>
      <c r="E37" s="458"/>
      <c r="F37" s="458"/>
      <c r="G37" s="458"/>
      <c r="H37" s="458"/>
      <c r="I37" s="458"/>
      <c r="J37" s="458"/>
      <c r="K37" s="458"/>
      <c r="L37" s="458"/>
      <c r="M37" s="458"/>
      <c r="N37" s="412"/>
      <c r="O37" s="812"/>
      <c r="P37" s="776"/>
      <c r="Q37" s="777"/>
      <c r="R37" s="458"/>
      <c r="S37" s="458"/>
      <c r="T37" s="458"/>
      <c r="U37" s="458"/>
      <c r="V37" s="458"/>
      <c r="W37" s="458"/>
      <c r="X37" s="458"/>
      <c r="Y37" s="458"/>
      <c r="Z37" s="458"/>
      <c r="AA37" s="458"/>
      <c r="AB37" s="458"/>
      <c r="AC37" s="412"/>
      <c r="AD37" s="812"/>
      <c r="AE37" s="776"/>
      <c r="AF37" s="776"/>
      <c r="AG37" s="777"/>
      <c r="AH37" s="776"/>
      <c r="AI37" s="777"/>
    </row>
    <row r="38" spans="1:35">
      <c r="A38" s="909" t="s">
        <v>49</v>
      </c>
      <c r="B38" s="777"/>
      <c r="C38" s="458"/>
      <c r="D38" s="458"/>
      <c r="E38" s="458"/>
      <c r="F38" s="458"/>
      <c r="G38" s="458"/>
      <c r="H38" s="458"/>
      <c r="I38" s="458"/>
      <c r="J38" s="458"/>
      <c r="K38" s="458"/>
      <c r="L38" s="458"/>
      <c r="M38" s="458"/>
      <c r="N38" s="412"/>
      <c r="O38" s="812"/>
      <c r="P38" s="776"/>
      <c r="Q38" s="777"/>
      <c r="R38" s="458"/>
      <c r="S38" s="458"/>
      <c r="T38" s="458"/>
      <c r="U38" s="458"/>
      <c r="V38" s="458"/>
      <c r="W38" s="458"/>
      <c r="X38" s="458"/>
      <c r="Y38" s="458"/>
      <c r="Z38" s="458"/>
      <c r="AA38" s="458"/>
      <c r="AB38" s="458"/>
      <c r="AC38" s="412"/>
      <c r="AD38" s="812"/>
      <c r="AE38" s="776"/>
      <c r="AF38" s="776"/>
      <c r="AG38" s="777"/>
      <c r="AH38" s="776"/>
      <c r="AI38" s="777"/>
    </row>
    <row r="39" spans="1:35">
      <c r="A39" s="909" t="s">
        <v>24</v>
      </c>
      <c r="B39" s="777"/>
      <c r="C39" s="458"/>
      <c r="D39" s="458"/>
      <c r="E39" s="458"/>
      <c r="F39" s="458"/>
      <c r="G39" s="458"/>
      <c r="H39" s="458"/>
      <c r="I39" s="458"/>
      <c r="J39" s="458"/>
      <c r="K39" s="458"/>
      <c r="L39" s="458"/>
      <c r="M39" s="458"/>
      <c r="N39" s="412"/>
      <c r="O39" s="812"/>
      <c r="P39" s="776"/>
      <c r="Q39" s="777"/>
      <c r="R39" s="458"/>
      <c r="S39" s="458"/>
      <c r="T39" s="458"/>
      <c r="U39" s="458"/>
      <c r="V39" s="458"/>
      <c r="W39" s="458"/>
      <c r="X39" s="458"/>
      <c r="Y39" s="458"/>
      <c r="Z39" s="458"/>
      <c r="AA39" s="458"/>
      <c r="AB39" s="458"/>
      <c r="AC39" s="412"/>
      <c r="AD39" s="812"/>
      <c r="AE39" s="776"/>
      <c r="AF39" s="776"/>
      <c r="AG39" s="777"/>
      <c r="AH39" s="776"/>
      <c r="AI39" s="777"/>
    </row>
    <row r="40" spans="1:35">
      <c r="A40" s="909" t="s">
        <v>59</v>
      </c>
      <c r="B40" s="777"/>
      <c r="C40" s="458"/>
      <c r="D40" s="458"/>
      <c r="E40" s="458"/>
      <c r="F40" s="458"/>
      <c r="G40" s="458"/>
      <c r="H40" s="458"/>
      <c r="I40" s="458"/>
      <c r="J40" s="458"/>
      <c r="K40" s="458"/>
      <c r="L40" s="458"/>
      <c r="M40" s="458"/>
      <c r="N40" s="412"/>
      <c r="O40" s="812"/>
      <c r="P40" s="776"/>
      <c r="Q40" s="777"/>
      <c r="R40" s="458"/>
      <c r="S40" s="458"/>
      <c r="T40" s="458"/>
      <c r="U40" s="458"/>
      <c r="V40" s="458"/>
      <c r="W40" s="458"/>
      <c r="X40" s="458"/>
      <c r="Y40" s="458"/>
      <c r="Z40" s="458"/>
      <c r="AA40" s="458"/>
      <c r="AB40" s="458"/>
      <c r="AC40" s="412"/>
      <c r="AD40" s="812"/>
      <c r="AE40" s="776"/>
      <c r="AF40" s="776"/>
      <c r="AG40" s="777"/>
      <c r="AH40" s="776"/>
      <c r="AI40" s="777"/>
    </row>
    <row r="41" spans="1:35">
      <c r="A41" s="909" t="s">
        <v>60</v>
      </c>
      <c r="B41" s="777"/>
      <c r="C41" s="458"/>
      <c r="D41" s="458"/>
      <c r="E41" s="458"/>
      <c r="F41" s="458"/>
      <c r="G41" s="458"/>
      <c r="H41" s="458"/>
      <c r="I41" s="458"/>
      <c r="J41" s="458"/>
      <c r="K41" s="458"/>
      <c r="L41" s="458"/>
      <c r="M41" s="458"/>
      <c r="N41" s="412"/>
      <c r="O41" s="812"/>
      <c r="P41" s="776"/>
      <c r="Q41" s="777"/>
      <c r="R41" s="458"/>
      <c r="S41" s="458"/>
      <c r="T41" s="458"/>
      <c r="U41" s="458"/>
      <c r="V41" s="458"/>
      <c r="W41" s="458"/>
      <c r="X41" s="458"/>
      <c r="Y41" s="458"/>
      <c r="Z41" s="458"/>
      <c r="AA41" s="458"/>
      <c r="AB41" s="458"/>
      <c r="AC41" s="412"/>
      <c r="AD41" s="812"/>
      <c r="AE41" s="776"/>
      <c r="AF41" s="776"/>
      <c r="AG41" s="777"/>
      <c r="AH41" s="776"/>
      <c r="AI41" s="777"/>
    </row>
    <row r="42" spans="1:35">
      <c r="A42" s="909" t="s">
        <v>60</v>
      </c>
      <c r="B42" s="777"/>
      <c r="C42" s="458"/>
      <c r="D42" s="458"/>
      <c r="E42" s="458"/>
      <c r="F42" s="458"/>
      <c r="G42" s="458"/>
      <c r="H42" s="458"/>
      <c r="I42" s="458"/>
      <c r="J42" s="458"/>
      <c r="K42" s="458"/>
      <c r="L42" s="458"/>
      <c r="M42" s="458"/>
      <c r="N42" s="412"/>
      <c r="O42" s="812"/>
      <c r="P42" s="776"/>
      <c r="Q42" s="777"/>
      <c r="R42" s="458"/>
      <c r="S42" s="458"/>
      <c r="T42" s="458"/>
      <c r="U42" s="458"/>
      <c r="V42" s="458"/>
      <c r="W42" s="458"/>
      <c r="X42" s="458"/>
      <c r="Y42" s="458"/>
      <c r="Z42" s="458"/>
      <c r="AA42" s="458"/>
      <c r="AB42" s="458"/>
      <c r="AC42" s="412"/>
      <c r="AD42" s="812"/>
      <c r="AE42" s="776"/>
      <c r="AF42" s="776"/>
      <c r="AG42" s="777"/>
      <c r="AH42" s="776"/>
      <c r="AI42" s="777"/>
    </row>
    <row r="43" spans="1:35" ht="24">
      <c r="A43" s="909" t="s">
        <v>61</v>
      </c>
      <c r="B43" s="777"/>
      <c r="C43" s="458"/>
      <c r="D43" s="458"/>
      <c r="E43" s="458"/>
      <c r="F43" s="458"/>
      <c r="G43" s="458"/>
      <c r="H43" s="458"/>
      <c r="I43" s="458"/>
      <c r="J43" s="458"/>
      <c r="K43" s="458"/>
      <c r="L43" s="458"/>
      <c r="M43" s="458"/>
      <c r="N43" s="412"/>
      <c r="O43" s="812"/>
      <c r="P43" s="776"/>
      <c r="Q43" s="777"/>
      <c r="R43" s="458"/>
      <c r="S43" s="458"/>
      <c r="T43" s="458"/>
      <c r="U43" s="458"/>
      <c r="V43" s="458"/>
      <c r="W43" s="458"/>
      <c r="X43" s="458"/>
      <c r="Y43" s="458"/>
      <c r="Z43" s="458"/>
      <c r="AA43" s="458"/>
      <c r="AB43" s="458"/>
      <c r="AC43" s="412"/>
      <c r="AD43" s="812"/>
      <c r="AE43" s="776"/>
      <c r="AF43" s="776"/>
      <c r="AG43" s="777"/>
      <c r="AH43" s="776"/>
      <c r="AI43" s="777"/>
    </row>
    <row r="44" spans="1:35">
      <c r="A44" s="909" t="s">
        <v>60</v>
      </c>
      <c r="B44" s="777"/>
      <c r="C44" s="458"/>
      <c r="D44" s="458"/>
      <c r="E44" s="458"/>
      <c r="F44" s="458"/>
      <c r="G44" s="458"/>
      <c r="H44" s="458"/>
      <c r="I44" s="458"/>
      <c r="J44" s="458"/>
      <c r="K44" s="458"/>
      <c r="L44" s="458"/>
      <c r="M44" s="458"/>
      <c r="N44" s="412"/>
      <c r="O44" s="812"/>
      <c r="P44" s="776"/>
      <c r="Q44" s="777"/>
      <c r="R44" s="458"/>
      <c r="S44" s="458"/>
      <c r="T44" s="458"/>
      <c r="U44" s="458"/>
      <c r="V44" s="458"/>
      <c r="W44" s="458"/>
      <c r="X44" s="458"/>
      <c r="Y44" s="458"/>
      <c r="Z44" s="458"/>
      <c r="AA44" s="458"/>
      <c r="AB44" s="458"/>
      <c r="AC44" s="412"/>
      <c r="AD44" s="812"/>
      <c r="AE44" s="776"/>
      <c r="AF44" s="776"/>
      <c r="AG44" s="777"/>
      <c r="AH44" s="776"/>
      <c r="AI44" s="777"/>
    </row>
    <row r="45" spans="1:35">
      <c r="A45" s="909" t="s">
        <v>62</v>
      </c>
      <c r="B45" s="777"/>
      <c r="C45" s="458"/>
      <c r="D45" s="458"/>
      <c r="E45" s="458"/>
      <c r="F45" s="458"/>
      <c r="G45" s="458"/>
      <c r="H45" s="458"/>
      <c r="I45" s="458"/>
      <c r="J45" s="458"/>
      <c r="K45" s="458"/>
      <c r="L45" s="458"/>
      <c r="M45" s="458"/>
      <c r="N45" s="412"/>
      <c r="O45" s="812"/>
      <c r="P45" s="776"/>
      <c r="Q45" s="777"/>
      <c r="R45" s="458"/>
      <c r="S45" s="458"/>
      <c r="T45" s="458"/>
      <c r="U45" s="458"/>
      <c r="V45" s="458"/>
      <c r="W45" s="458"/>
      <c r="X45" s="458"/>
      <c r="Y45" s="458"/>
      <c r="Z45" s="458"/>
      <c r="AA45" s="458"/>
      <c r="AB45" s="458"/>
      <c r="AC45" s="412"/>
      <c r="AD45" s="812"/>
      <c r="AE45" s="776"/>
      <c r="AF45" s="776"/>
      <c r="AG45" s="777"/>
      <c r="AH45" s="776"/>
      <c r="AI45" s="777"/>
    </row>
    <row r="46" spans="1:35">
      <c r="A46" s="909" t="s">
        <v>60</v>
      </c>
      <c r="B46" s="777"/>
      <c r="C46" s="458"/>
      <c r="D46" s="458"/>
      <c r="E46" s="458"/>
      <c r="F46" s="458"/>
      <c r="G46" s="458"/>
      <c r="H46" s="458"/>
      <c r="I46" s="458"/>
      <c r="J46" s="458"/>
      <c r="K46" s="458"/>
      <c r="L46" s="458"/>
      <c r="M46" s="458"/>
      <c r="N46" s="412"/>
      <c r="O46" s="812"/>
      <c r="P46" s="776"/>
      <c r="Q46" s="777"/>
      <c r="R46" s="458"/>
      <c r="S46" s="458"/>
      <c r="T46" s="458"/>
      <c r="U46" s="458"/>
      <c r="V46" s="458"/>
      <c r="W46" s="458"/>
      <c r="X46" s="458"/>
      <c r="Y46" s="458"/>
      <c r="Z46" s="458"/>
      <c r="AA46" s="458"/>
      <c r="AB46" s="458"/>
      <c r="AC46" s="412"/>
      <c r="AD46" s="812"/>
      <c r="AE46" s="776"/>
      <c r="AF46" s="776"/>
      <c r="AG46" s="777"/>
      <c r="AH46" s="776"/>
      <c r="AI46" s="777"/>
    </row>
    <row r="47" spans="1:35">
      <c r="A47" s="909"/>
      <c r="B47" s="777"/>
      <c r="C47" s="458"/>
      <c r="D47" s="458"/>
      <c r="E47" s="458"/>
      <c r="F47" s="458"/>
      <c r="G47" s="458"/>
      <c r="H47" s="458"/>
      <c r="I47" s="458"/>
      <c r="J47" s="458"/>
      <c r="K47" s="458"/>
      <c r="L47" s="458"/>
      <c r="M47" s="458"/>
      <c r="N47" s="412"/>
      <c r="O47" s="812"/>
      <c r="P47" s="776"/>
      <c r="Q47" s="777"/>
      <c r="R47" s="458"/>
      <c r="S47" s="458"/>
      <c r="T47" s="458"/>
      <c r="U47" s="458"/>
      <c r="V47" s="458"/>
      <c r="W47" s="458"/>
      <c r="X47" s="458"/>
      <c r="Y47" s="458"/>
      <c r="Z47" s="458"/>
      <c r="AA47" s="458"/>
      <c r="AB47" s="458"/>
      <c r="AC47" s="412"/>
      <c r="AD47" s="812"/>
      <c r="AE47" s="776"/>
      <c r="AF47" s="776"/>
      <c r="AG47" s="777"/>
      <c r="AH47" s="776"/>
      <c r="AI47" s="777"/>
    </row>
    <row r="48" spans="1:35">
      <c r="A48" s="909" t="s">
        <v>63</v>
      </c>
      <c r="B48" s="777"/>
      <c r="C48" s="458"/>
      <c r="D48" s="458"/>
      <c r="E48" s="458"/>
      <c r="F48" s="458"/>
      <c r="G48" s="458"/>
      <c r="H48" s="458"/>
      <c r="I48" s="458"/>
      <c r="J48" s="458"/>
      <c r="K48" s="458"/>
      <c r="L48" s="458"/>
      <c r="M48" s="458"/>
      <c r="N48" s="412"/>
      <c r="O48" s="812"/>
      <c r="P48" s="776"/>
      <c r="Q48" s="777"/>
      <c r="R48" s="458"/>
      <c r="S48" s="458"/>
      <c r="T48" s="458"/>
      <c r="U48" s="458"/>
      <c r="V48" s="458"/>
      <c r="W48" s="458"/>
      <c r="X48" s="458"/>
      <c r="Y48" s="458"/>
      <c r="Z48" s="458"/>
      <c r="AA48" s="458"/>
      <c r="AB48" s="458"/>
      <c r="AC48" s="412"/>
      <c r="AD48" s="812"/>
      <c r="AE48" s="776"/>
      <c r="AF48" s="776"/>
      <c r="AG48" s="777"/>
      <c r="AH48" s="776"/>
      <c r="AI48" s="777"/>
    </row>
    <row r="49" spans="1:35">
      <c r="A49" s="909" t="s">
        <v>60</v>
      </c>
      <c r="B49" s="777"/>
      <c r="C49" s="458"/>
      <c r="D49" s="458"/>
      <c r="E49" s="458"/>
      <c r="F49" s="458"/>
      <c r="G49" s="458"/>
      <c r="H49" s="458"/>
      <c r="I49" s="458"/>
      <c r="J49" s="458"/>
      <c r="K49" s="458"/>
      <c r="L49" s="458"/>
      <c r="M49" s="458"/>
      <c r="N49" s="412"/>
      <c r="O49" s="812"/>
      <c r="P49" s="776"/>
      <c r="Q49" s="777"/>
      <c r="R49" s="458"/>
      <c r="S49" s="458"/>
      <c r="T49" s="458"/>
      <c r="U49" s="458"/>
      <c r="V49" s="458"/>
      <c r="W49" s="458"/>
      <c r="X49" s="458"/>
      <c r="Y49" s="458"/>
      <c r="Z49" s="458"/>
      <c r="AA49" s="458"/>
      <c r="AB49" s="458"/>
      <c r="AC49" s="412"/>
      <c r="AD49" s="812"/>
      <c r="AE49" s="776"/>
      <c r="AF49" s="776"/>
      <c r="AG49" s="777"/>
      <c r="AH49" s="776"/>
      <c r="AI49" s="777"/>
    </row>
    <row r="50" spans="1:35">
      <c r="A50" s="909"/>
      <c r="B50" s="777"/>
      <c r="C50" s="458"/>
      <c r="D50" s="458"/>
      <c r="E50" s="458"/>
      <c r="F50" s="458"/>
      <c r="G50" s="458"/>
      <c r="H50" s="458"/>
      <c r="I50" s="458"/>
      <c r="J50" s="458"/>
      <c r="K50" s="458"/>
      <c r="L50" s="458"/>
      <c r="M50" s="458"/>
      <c r="N50" s="412"/>
      <c r="O50" s="812"/>
      <c r="P50" s="776"/>
      <c r="Q50" s="777"/>
      <c r="R50" s="458"/>
      <c r="S50" s="458"/>
      <c r="T50" s="458"/>
      <c r="U50" s="458"/>
      <c r="V50" s="458"/>
      <c r="W50" s="458"/>
      <c r="X50" s="458"/>
      <c r="Y50" s="458"/>
      <c r="Z50" s="458"/>
      <c r="AA50" s="458"/>
      <c r="AB50" s="458"/>
      <c r="AC50" s="412"/>
      <c r="AD50" s="812"/>
      <c r="AE50" s="776"/>
      <c r="AF50" s="776"/>
      <c r="AG50" s="777"/>
      <c r="AH50" s="776"/>
      <c r="AI50" s="777"/>
    </row>
    <row r="51" spans="1:35" ht="12.75" thickBot="1">
      <c r="A51" s="910"/>
      <c r="B51" s="911"/>
      <c r="C51" s="456"/>
      <c r="D51" s="456"/>
      <c r="E51" s="456"/>
      <c r="F51" s="456"/>
      <c r="G51" s="456"/>
      <c r="H51" s="456"/>
      <c r="I51" s="456"/>
      <c r="J51" s="456"/>
      <c r="K51" s="456"/>
      <c r="L51" s="456"/>
      <c r="M51" s="456"/>
      <c r="N51" s="912"/>
      <c r="O51" s="913"/>
      <c r="P51" s="914"/>
      <c r="Q51" s="911"/>
      <c r="R51" s="456"/>
      <c r="S51" s="456"/>
      <c r="T51" s="456"/>
      <c r="U51" s="456"/>
      <c r="V51" s="456"/>
      <c r="W51" s="456"/>
      <c r="X51" s="456"/>
      <c r="Y51" s="456"/>
      <c r="Z51" s="456"/>
      <c r="AA51" s="456"/>
      <c r="AB51" s="456"/>
      <c r="AC51" s="912"/>
      <c r="AD51" s="913"/>
      <c r="AE51" s="914"/>
      <c r="AF51" s="914"/>
      <c r="AG51" s="911"/>
      <c r="AH51" s="914"/>
      <c r="AI51" s="911"/>
    </row>
    <row r="52" spans="1:35" ht="12.75" thickBot="1">
      <c r="A52" s="915" t="s">
        <v>0</v>
      </c>
      <c r="B52" s="916"/>
      <c r="C52" s="455"/>
      <c r="D52" s="917"/>
      <c r="E52" s="917"/>
      <c r="F52" s="917"/>
      <c r="G52" s="917"/>
      <c r="H52" s="917"/>
      <c r="I52" s="917"/>
      <c r="J52" s="917"/>
      <c r="K52" s="917"/>
      <c r="L52" s="917"/>
      <c r="M52" s="917"/>
      <c r="N52" s="918"/>
      <c r="O52" s="919"/>
      <c r="P52" s="920"/>
      <c r="Q52" s="921"/>
      <c r="R52" s="455"/>
      <c r="S52" s="917"/>
      <c r="T52" s="917"/>
      <c r="U52" s="917"/>
      <c r="V52" s="917"/>
      <c r="W52" s="917"/>
      <c r="X52" s="917"/>
      <c r="Y52" s="917"/>
      <c r="Z52" s="917"/>
      <c r="AA52" s="917"/>
      <c r="AB52" s="917"/>
      <c r="AC52" s="918"/>
      <c r="AD52" s="919"/>
      <c r="AE52" s="920"/>
      <c r="AF52" s="920"/>
      <c r="AG52" s="921"/>
      <c r="AH52" s="920"/>
      <c r="AI52" s="921"/>
    </row>
    <row r="53" spans="1:35">
      <c r="A53" s="265" t="s">
        <v>64</v>
      </c>
    </row>
    <row r="54" spans="1:35">
      <c r="A54" s="265" t="s">
        <v>65</v>
      </c>
      <c r="B54" s="265" t="s">
        <v>152</v>
      </c>
    </row>
    <row r="55" spans="1:35">
      <c r="A55" s="265" t="s">
        <v>66</v>
      </c>
      <c r="B55" s="265" t="s">
        <v>67</v>
      </c>
    </row>
    <row r="56" spans="1:35">
      <c r="A56" s="265" t="s">
        <v>68</v>
      </c>
      <c r="B56" s="265" t="s">
        <v>69</v>
      </c>
    </row>
    <row r="57" spans="1:35">
      <c r="A57" s="265" t="s">
        <v>70</v>
      </c>
      <c r="B57" s="265" t="s">
        <v>71</v>
      </c>
    </row>
    <row r="58" spans="1:35">
      <c r="B58" s="265" t="s">
        <v>72</v>
      </c>
    </row>
    <row r="59" spans="1:35">
      <c r="A59" s="265" t="s">
        <v>73</v>
      </c>
      <c r="B59" s="265" t="s">
        <v>143</v>
      </c>
    </row>
    <row r="60" spans="1:35">
      <c r="B60" s="265" t="s">
        <v>74</v>
      </c>
    </row>
    <row r="61" spans="1:35">
      <c r="B61" s="265" t="s">
        <v>75</v>
      </c>
    </row>
    <row r="62" spans="1:35">
      <c r="B62" s="265" t="s">
        <v>76</v>
      </c>
    </row>
    <row r="63" spans="1:35">
      <c r="A63" s="265" t="s">
        <v>177</v>
      </c>
      <c r="B63" s="265" t="s">
        <v>178</v>
      </c>
    </row>
    <row r="64" spans="1:35">
      <c r="A64" s="265" t="s">
        <v>179</v>
      </c>
      <c r="B64" s="265" t="s">
        <v>148</v>
      </c>
    </row>
    <row r="65" spans="1:2">
      <c r="A65" s="265" t="s">
        <v>180</v>
      </c>
      <c r="B65" s="265" t="s">
        <v>144</v>
      </c>
    </row>
    <row r="66" spans="1:2">
      <c r="B66" s="265" t="s">
        <v>74</v>
      </c>
    </row>
    <row r="67" spans="1:2">
      <c r="B67" s="265" t="s">
        <v>75</v>
      </c>
    </row>
    <row r="68" spans="1:2">
      <c r="B68" s="265" t="s">
        <v>112</v>
      </c>
    </row>
    <row r="69" spans="1:2">
      <c r="A69" s="265" t="s">
        <v>189</v>
      </c>
      <c r="B69" s="265" t="s">
        <v>190</v>
      </c>
    </row>
    <row r="70" spans="1:2">
      <c r="A70" s="265" t="s">
        <v>187</v>
      </c>
      <c r="B70" s="265" t="s">
        <v>183</v>
      </c>
    </row>
    <row r="71" spans="1:2">
      <c r="A71" s="265" t="s">
        <v>188</v>
      </c>
      <c r="B71" s="265" t="s">
        <v>191</v>
      </c>
    </row>
  </sheetData>
  <mergeCells count="5">
    <mergeCell ref="A5:A7"/>
    <mergeCell ref="B5:P5"/>
    <mergeCell ref="Q5:AE5"/>
    <mergeCell ref="AF5:AG5"/>
    <mergeCell ref="AH5:AI5"/>
  </mergeCells>
  <printOptions horizontalCentered="1"/>
  <pageMargins left="0.19685039370078741" right="0.19685039370078741" top="0.78740157480314965" bottom="0.78740157480314965" header="0.19685039370078741" footer="0.19685039370078741"/>
  <pageSetup paperSize="9" scale="45"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2060"/>
  </sheetPr>
  <dimension ref="A1:AI82"/>
  <sheetViews>
    <sheetView view="pageBreakPreview" topLeftCell="A28" zoomScaleNormal="100" zoomScaleSheetLayoutView="100" zoomScalePageLayoutView="80" workbookViewId="0">
      <selection activeCell="B8" sqref="B8"/>
    </sheetView>
  </sheetViews>
  <sheetFormatPr baseColWidth="10" defaultColWidth="11.42578125" defaultRowHeight="12"/>
  <cols>
    <col min="1" max="1" width="15.7109375" style="265" customWidth="1"/>
    <col min="2" max="2" width="6.28515625" style="265" customWidth="1"/>
    <col min="3" max="3" width="8.5703125" style="265" bestFit="1" customWidth="1"/>
    <col min="4" max="4" width="7.5703125" style="265" bestFit="1" customWidth="1"/>
    <col min="5" max="5" width="4.7109375" style="265" bestFit="1" customWidth="1"/>
    <col min="6" max="6" width="5.42578125" style="265" bestFit="1" customWidth="1"/>
    <col min="7" max="9" width="4.7109375" style="265" bestFit="1" customWidth="1"/>
    <col min="10" max="10" width="5.42578125" style="265" bestFit="1" customWidth="1"/>
    <col min="11" max="12" width="8.5703125" style="265" bestFit="1" customWidth="1"/>
    <col min="13" max="13" width="5.42578125" style="265" bestFit="1" customWidth="1"/>
    <col min="14" max="14" width="8.5703125" style="265" bestFit="1" customWidth="1"/>
    <col min="15" max="16" width="10" style="265" bestFit="1" customWidth="1"/>
    <col min="17" max="17" width="5.140625" style="265" bestFit="1" customWidth="1"/>
    <col min="18" max="18" width="8.5703125" style="265" bestFit="1" customWidth="1"/>
    <col min="19" max="19" width="7.5703125" style="265" bestFit="1" customWidth="1"/>
    <col min="20" max="20" width="4.7109375" style="265" bestFit="1" customWidth="1"/>
    <col min="21" max="21" width="5.42578125" style="265" bestFit="1" customWidth="1"/>
    <col min="22" max="24" width="4.7109375" style="265" bestFit="1" customWidth="1"/>
    <col min="25" max="25" width="5.42578125" style="265" bestFit="1" customWidth="1"/>
    <col min="26" max="27" width="8.5703125" style="265" bestFit="1" customWidth="1"/>
    <col min="28" max="28" width="5.42578125" style="265" bestFit="1" customWidth="1"/>
    <col min="29" max="29" width="8.5703125" style="265" bestFit="1" customWidth="1"/>
    <col min="30" max="31" width="10" style="265" bestFit="1" customWidth="1"/>
    <col min="32" max="32" width="8.5703125" style="265" bestFit="1" customWidth="1"/>
    <col min="33" max="33" width="6.140625" style="265" bestFit="1" customWidth="1"/>
    <col min="34" max="34" width="7.5703125" style="265" bestFit="1" customWidth="1"/>
    <col min="35" max="35" width="10" style="265" bestFit="1" customWidth="1"/>
    <col min="36" max="16384" width="11.42578125" style="265"/>
  </cols>
  <sheetData>
    <row r="1" spans="1:35" s="743" customFormat="1">
      <c r="A1" s="742" t="s">
        <v>465</v>
      </c>
    </row>
    <row r="2" spans="1:35" s="743" customFormat="1">
      <c r="A2" s="69" t="s">
        <v>1655</v>
      </c>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row>
    <row r="3" spans="1:35" s="742" customFormat="1">
      <c r="A3" s="742" t="s">
        <v>1654</v>
      </c>
      <c r="T3" s="745"/>
    </row>
    <row r="4" spans="1:35" s="742" customFormat="1" ht="12.75" thickBot="1">
      <c r="A4" s="742" t="s">
        <v>1653</v>
      </c>
      <c r="T4" s="745"/>
    </row>
    <row r="5" spans="1:35" ht="12.75" thickBot="1">
      <c r="A5" s="1992" t="s">
        <v>41</v>
      </c>
      <c r="B5" s="2021" t="s">
        <v>314</v>
      </c>
      <c r="C5" s="2021"/>
      <c r="D5" s="2021"/>
      <c r="E5" s="2021"/>
      <c r="F5" s="2021"/>
      <c r="G5" s="2021"/>
      <c r="H5" s="2021"/>
      <c r="I5" s="2021"/>
      <c r="J5" s="2021"/>
      <c r="K5" s="2021"/>
      <c r="L5" s="2021"/>
      <c r="M5" s="2021"/>
      <c r="N5" s="2021"/>
      <c r="O5" s="2021"/>
      <c r="P5" s="2021"/>
      <c r="Q5" s="2022" t="s">
        <v>462</v>
      </c>
      <c r="R5" s="2021"/>
      <c r="S5" s="2021"/>
      <c r="T5" s="2021"/>
      <c r="U5" s="2021"/>
      <c r="V5" s="2021"/>
      <c r="W5" s="2021"/>
      <c r="X5" s="2021"/>
      <c r="Y5" s="2021"/>
      <c r="Z5" s="2021"/>
      <c r="AA5" s="2021"/>
      <c r="AB5" s="2021"/>
      <c r="AC5" s="2021"/>
      <c r="AD5" s="2021"/>
      <c r="AE5" s="2023"/>
      <c r="AF5" s="2024" t="s">
        <v>463</v>
      </c>
      <c r="AG5" s="2025"/>
      <c r="AH5" s="2024" t="s">
        <v>464</v>
      </c>
      <c r="AI5" s="2025"/>
    </row>
    <row r="6" spans="1:35" ht="171">
      <c r="A6" s="2019"/>
      <c r="B6" s="130" t="s">
        <v>11</v>
      </c>
      <c r="C6" s="131" t="s">
        <v>137</v>
      </c>
      <c r="D6" s="132" t="s">
        <v>240</v>
      </c>
      <c r="E6" s="132" t="s">
        <v>139</v>
      </c>
      <c r="F6" s="132" t="s">
        <v>173</v>
      </c>
      <c r="G6" s="132" t="s">
        <v>174</v>
      </c>
      <c r="H6" s="132" t="s">
        <v>175</v>
      </c>
      <c r="I6" s="132" t="s">
        <v>176</v>
      </c>
      <c r="J6" s="132" t="s">
        <v>140</v>
      </c>
      <c r="K6" s="132" t="s">
        <v>141</v>
      </c>
      <c r="L6" s="132" t="s">
        <v>142</v>
      </c>
      <c r="M6" s="132" t="s">
        <v>172</v>
      </c>
      <c r="N6" s="133" t="s">
        <v>114</v>
      </c>
      <c r="O6" s="134" t="s">
        <v>147</v>
      </c>
      <c r="P6" s="135" t="s">
        <v>146</v>
      </c>
      <c r="Q6" s="130" t="s">
        <v>11</v>
      </c>
      <c r="R6" s="131" t="s">
        <v>137</v>
      </c>
      <c r="S6" s="132" t="s">
        <v>138</v>
      </c>
      <c r="T6" s="132" t="s">
        <v>139</v>
      </c>
      <c r="U6" s="132" t="s">
        <v>173</v>
      </c>
      <c r="V6" s="132" t="s">
        <v>174</v>
      </c>
      <c r="W6" s="132" t="s">
        <v>175</v>
      </c>
      <c r="X6" s="132" t="s">
        <v>176</v>
      </c>
      <c r="Y6" s="132" t="s">
        <v>140</v>
      </c>
      <c r="Z6" s="132" t="s">
        <v>141</v>
      </c>
      <c r="AA6" s="132" t="s">
        <v>142</v>
      </c>
      <c r="AB6" s="132" t="s">
        <v>172</v>
      </c>
      <c r="AC6" s="133" t="s">
        <v>114</v>
      </c>
      <c r="AD6" s="134" t="s">
        <v>147</v>
      </c>
      <c r="AE6" s="135" t="s">
        <v>315</v>
      </c>
      <c r="AF6" s="136" t="s">
        <v>151</v>
      </c>
      <c r="AG6" s="136" t="s">
        <v>150</v>
      </c>
      <c r="AH6" s="136" t="s">
        <v>11</v>
      </c>
      <c r="AI6" s="135" t="s">
        <v>316</v>
      </c>
    </row>
    <row r="7" spans="1:35" ht="12.75" thickBot="1">
      <c r="A7" s="2020"/>
      <c r="B7" s="389" t="s">
        <v>42</v>
      </c>
      <c r="C7" s="805" t="s">
        <v>43</v>
      </c>
      <c r="D7" s="806" t="s">
        <v>44</v>
      </c>
      <c r="E7" s="806" t="s">
        <v>45</v>
      </c>
      <c r="F7" s="807" t="s">
        <v>46</v>
      </c>
      <c r="G7" s="807" t="s">
        <v>47</v>
      </c>
      <c r="H7" s="807" t="s">
        <v>77</v>
      </c>
      <c r="I7" s="807" t="s">
        <v>113</v>
      </c>
      <c r="J7" s="807" t="s">
        <v>145</v>
      </c>
      <c r="K7" s="807" t="s">
        <v>149</v>
      </c>
      <c r="L7" s="807" t="s">
        <v>181</v>
      </c>
      <c r="M7" s="807" t="s">
        <v>182</v>
      </c>
      <c r="N7" s="808" t="s">
        <v>184</v>
      </c>
      <c r="O7" s="809" t="s">
        <v>185</v>
      </c>
      <c r="P7" s="810" t="s">
        <v>186</v>
      </c>
      <c r="Q7" s="389" t="s">
        <v>42</v>
      </c>
      <c r="R7" s="805" t="s">
        <v>43</v>
      </c>
      <c r="S7" s="806" t="s">
        <v>44</v>
      </c>
      <c r="T7" s="806" t="s">
        <v>45</v>
      </c>
      <c r="U7" s="807" t="s">
        <v>46</v>
      </c>
      <c r="V7" s="807" t="s">
        <v>47</v>
      </c>
      <c r="W7" s="807" t="s">
        <v>77</v>
      </c>
      <c r="X7" s="807" t="s">
        <v>113</v>
      </c>
      <c r="Y7" s="807" t="s">
        <v>145</v>
      </c>
      <c r="Z7" s="807" t="s">
        <v>149</v>
      </c>
      <c r="AA7" s="807" t="s">
        <v>181</v>
      </c>
      <c r="AB7" s="807" t="s">
        <v>182</v>
      </c>
      <c r="AC7" s="808" t="s">
        <v>184</v>
      </c>
      <c r="AD7" s="809" t="s">
        <v>185</v>
      </c>
      <c r="AE7" s="810" t="s">
        <v>186</v>
      </c>
      <c r="AF7" s="754"/>
      <c r="AG7" s="389"/>
      <c r="AH7" s="754"/>
      <c r="AI7" s="389"/>
    </row>
    <row r="8" spans="1:35" hidden="1">
      <c r="A8" s="811"/>
      <c r="B8" s="777"/>
      <c r="C8" s="458"/>
      <c r="D8" s="458"/>
      <c r="E8" s="458"/>
      <c r="F8" s="458"/>
      <c r="G8" s="458"/>
      <c r="H8" s="458"/>
      <c r="I8" s="458"/>
      <c r="J8" s="458"/>
      <c r="K8" s="458"/>
      <c r="L8" s="458"/>
      <c r="M8" s="458"/>
      <c r="N8" s="412"/>
      <c r="O8" s="812"/>
      <c r="P8" s="776"/>
      <c r="Q8" s="777"/>
      <c r="R8" s="458"/>
      <c r="S8" s="458"/>
      <c r="T8" s="458"/>
      <c r="U8" s="458"/>
      <c r="V8" s="458"/>
      <c r="W8" s="458"/>
      <c r="X8" s="458"/>
      <c r="Y8" s="458"/>
      <c r="Z8" s="458"/>
      <c r="AA8" s="458"/>
      <c r="AB8" s="458"/>
      <c r="AC8" s="412"/>
      <c r="AD8" s="812"/>
      <c r="AE8" s="776"/>
      <c r="AF8" s="776"/>
      <c r="AG8" s="870"/>
      <c r="AH8" s="871"/>
      <c r="AI8" s="871"/>
    </row>
    <row r="9" spans="1:35" ht="24">
      <c r="A9" s="717" t="s">
        <v>48</v>
      </c>
      <c r="B9" s="872">
        <f>B10+B19+B26+B33+B40</f>
        <v>128</v>
      </c>
      <c r="C9" s="867">
        <f>C10+C19+C26+C33+C40+C44</f>
        <v>154832.27000000002</v>
      </c>
      <c r="D9" s="868">
        <f>D10+D19+D26+D33+D40+D51</f>
        <v>32983.33</v>
      </c>
      <c r="E9" s="873"/>
      <c r="F9" s="873"/>
      <c r="G9" s="873"/>
      <c r="H9" s="868">
        <f>H10+H19+H26+H33+H40</f>
        <v>0</v>
      </c>
      <c r="I9" s="873"/>
      <c r="J9" s="873"/>
      <c r="K9" s="868">
        <f>K10+K19+K26+K33+K40+K51</f>
        <v>142815.6</v>
      </c>
      <c r="L9" s="868">
        <f>L10+L19+L26+L33+L40</f>
        <v>251000</v>
      </c>
      <c r="M9" s="868">
        <f>M10+M19+M26+M33+M40</f>
        <v>0</v>
      </c>
      <c r="N9" s="874">
        <f>N10+N19+N26+N33+N40</f>
        <v>244000</v>
      </c>
      <c r="O9" s="875">
        <f>O10+O19+O26+O33+O40+O44+O51</f>
        <v>2497787.2000000002</v>
      </c>
      <c r="P9" s="876">
        <f>P10+P19+P26+P33+P40+P44+P51</f>
        <v>6462023.9600000009</v>
      </c>
      <c r="Q9" s="581">
        <f>Q10+Q19+Q26+Q33+Q40</f>
        <v>115</v>
      </c>
      <c r="R9" s="867">
        <f>R10+R19+R26+R33+R40</f>
        <v>109832.27</v>
      </c>
      <c r="S9" s="868">
        <f>S10+S19+S26+S33+S40+S51</f>
        <v>34240</v>
      </c>
      <c r="T9" s="873"/>
      <c r="U9" s="873"/>
      <c r="V9" s="873"/>
      <c r="W9" s="868">
        <f>W10+W19+W26+W33+W40</f>
        <v>0</v>
      </c>
      <c r="X9" s="873"/>
      <c r="Y9" s="873"/>
      <c r="Z9" s="868">
        <f>Z10+Z19+Z26+Z33+Z40+Z51</f>
        <v>144072.27000000002</v>
      </c>
      <c r="AA9" s="868">
        <f>AA10+AA19+AA26+AA33+AA40</f>
        <v>251000</v>
      </c>
      <c r="AB9" s="868">
        <f>AB10+AB19+AB26+AB33+AB40</f>
        <v>0</v>
      </c>
      <c r="AC9" s="874">
        <f>AC10+AC19+AC26+AC33+AC40</f>
        <v>244000</v>
      </c>
      <c r="AD9" s="875">
        <f>AD10+AD19+AD26+AD33+AD40+AD44+AD51</f>
        <v>2017867.24</v>
      </c>
      <c r="AE9" s="874">
        <f>AE10+AE19+AE26+AE33+AE40+AE44+AE51</f>
        <v>5584931.9199999999</v>
      </c>
      <c r="AF9" s="877">
        <f>AF10+AF19+AF26+AF33+AF40</f>
        <v>-339132.03999999992</v>
      </c>
      <c r="AG9" s="878">
        <f>AG10+AG19+AG26+AG33+AG40</f>
        <v>-13</v>
      </c>
      <c r="AH9" s="581">
        <f>AH10+AH19+AH26+AH33+AH40</f>
        <v>117</v>
      </c>
      <c r="AI9" s="879">
        <f>AI10+AI19+AI26+AI33+AI40+AI44+AI51</f>
        <v>5665851.1200000001</v>
      </c>
    </row>
    <row r="10" spans="1:35" ht="24">
      <c r="A10" s="717" t="s">
        <v>7</v>
      </c>
      <c r="B10" s="579">
        <f t="shared" ref="B10:AI10" si="0">SUM(B11:B18)</f>
        <v>6</v>
      </c>
      <c r="C10" s="867">
        <f t="shared" si="0"/>
        <v>7003.67</v>
      </c>
      <c r="D10" s="868">
        <f t="shared" si="0"/>
        <v>6903.33</v>
      </c>
      <c r="E10" s="868">
        <f t="shared" si="0"/>
        <v>0</v>
      </c>
      <c r="F10" s="868">
        <f t="shared" si="0"/>
        <v>0</v>
      </c>
      <c r="G10" s="868">
        <f t="shared" si="0"/>
        <v>0</v>
      </c>
      <c r="H10" s="868">
        <f t="shared" si="0"/>
        <v>0</v>
      </c>
      <c r="I10" s="868">
        <f t="shared" si="0"/>
        <v>0</v>
      </c>
      <c r="J10" s="880">
        <f t="shared" si="0"/>
        <v>0</v>
      </c>
      <c r="K10" s="880">
        <f t="shared" si="0"/>
        <v>13907</v>
      </c>
      <c r="L10" s="880">
        <f t="shared" si="0"/>
        <v>5000</v>
      </c>
      <c r="M10" s="880">
        <f t="shared" si="0"/>
        <v>0</v>
      </c>
      <c r="N10" s="881">
        <f t="shared" si="0"/>
        <v>5000</v>
      </c>
      <c r="O10" s="882">
        <f t="shared" si="0"/>
        <v>171884</v>
      </c>
      <c r="P10" s="883">
        <f t="shared" si="0"/>
        <v>202576.2</v>
      </c>
      <c r="Q10" s="476">
        <f t="shared" si="0"/>
        <v>6</v>
      </c>
      <c r="R10" s="867">
        <f t="shared" si="0"/>
        <v>7003.67</v>
      </c>
      <c r="S10" s="868">
        <f t="shared" si="0"/>
        <v>7090</v>
      </c>
      <c r="T10" s="868">
        <f t="shared" si="0"/>
        <v>0</v>
      </c>
      <c r="U10" s="868">
        <f t="shared" si="0"/>
        <v>0</v>
      </c>
      <c r="V10" s="868">
        <f t="shared" si="0"/>
        <v>0</v>
      </c>
      <c r="W10" s="868">
        <f t="shared" si="0"/>
        <v>0</v>
      </c>
      <c r="X10" s="868">
        <f t="shared" si="0"/>
        <v>0</v>
      </c>
      <c r="Y10" s="880">
        <f t="shared" si="0"/>
        <v>0</v>
      </c>
      <c r="Z10" s="880">
        <f t="shared" si="0"/>
        <v>14093.67</v>
      </c>
      <c r="AA10" s="880">
        <f t="shared" si="0"/>
        <v>5000</v>
      </c>
      <c r="AB10" s="880">
        <f t="shared" si="0"/>
        <v>0</v>
      </c>
      <c r="AC10" s="881">
        <f t="shared" si="0"/>
        <v>5000</v>
      </c>
      <c r="AD10" s="882">
        <f t="shared" si="0"/>
        <v>174124.04</v>
      </c>
      <c r="AE10" s="881">
        <f t="shared" si="0"/>
        <v>204816.24000000002</v>
      </c>
      <c r="AF10" s="877">
        <f t="shared" si="0"/>
        <v>2240.0400000000009</v>
      </c>
      <c r="AG10" s="878">
        <f t="shared" si="0"/>
        <v>0</v>
      </c>
      <c r="AH10" s="476">
        <f t="shared" si="0"/>
        <v>6</v>
      </c>
      <c r="AI10" s="884">
        <f t="shared" si="0"/>
        <v>204816.24000000002</v>
      </c>
    </row>
    <row r="11" spans="1:35" hidden="1">
      <c r="A11" s="718" t="s">
        <v>3</v>
      </c>
      <c r="B11" s="15">
        <v>0</v>
      </c>
      <c r="C11" s="885"/>
      <c r="D11" s="736"/>
      <c r="E11" s="736"/>
      <c r="F11" s="736"/>
      <c r="G11" s="736"/>
      <c r="H11" s="736"/>
      <c r="I11" s="736"/>
      <c r="J11" s="736"/>
      <c r="K11" s="736">
        <f t="shared" ref="K11:K18" si="1">SUM(C11:J11)</f>
        <v>0</v>
      </c>
      <c r="L11" s="595"/>
      <c r="M11" s="595"/>
      <c r="N11" s="886">
        <f t="shared" ref="N11:N18" si="2">+L11+(M11*12)</f>
        <v>0</v>
      </c>
      <c r="O11" s="887">
        <f t="shared" ref="O11:O18" si="3">(K11*12)+N11</f>
        <v>0</v>
      </c>
      <c r="P11" s="888">
        <f t="shared" ref="P11:P18" si="4">+O11*B11</f>
        <v>0</v>
      </c>
      <c r="Q11" s="15">
        <v>0</v>
      </c>
      <c r="R11" s="885"/>
      <c r="S11" s="736"/>
      <c r="T11" s="736"/>
      <c r="U11" s="736"/>
      <c r="V11" s="736"/>
      <c r="W11" s="736"/>
      <c r="X11" s="736"/>
      <c r="Y11" s="736"/>
      <c r="Z11" s="736">
        <f t="shared" ref="Z11:Z18" si="5">SUM(R11:Y11)</f>
        <v>0</v>
      </c>
      <c r="AA11" s="595"/>
      <c r="AB11" s="595"/>
      <c r="AC11" s="886">
        <f t="shared" ref="AC11:AC18" si="6">+AA11+(AB11*12)</f>
        <v>0</v>
      </c>
      <c r="AD11" s="887">
        <f t="shared" ref="AD11:AD18" si="7">(Z11*12)+AC11</f>
        <v>0</v>
      </c>
      <c r="AE11" s="886">
        <f t="shared" ref="AE11:AE18" si="8">+AD11*Q11</f>
        <v>0</v>
      </c>
      <c r="AF11" s="889">
        <f t="shared" ref="AF11:AF18" si="9">+AE11-P11</f>
        <v>0</v>
      </c>
      <c r="AG11" s="890">
        <f t="shared" ref="AG11:AG18" si="10">+Q11-B11</f>
        <v>0</v>
      </c>
      <c r="AH11" s="15">
        <v>0</v>
      </c>
      <c r="AI11" s="889"/>
    </row>
    <row r="12" spans="1:35" hidden="1">
      <c r="A12" s="718" t="s">
        <v>7062</v>
      </c>
      <c r="B12" s="15">
        <v>0</v>
      </c>
      <c r="C12" s="736"/>
      <c r="D12" s="736"/>
      <c r="E12" s="736"/>
      <c r="F12" s="736"/>
      <c r="G12" s="736"/>
      <c r="H12" s="736"/>
      <c r="I12" s="736"/>
      <c r="J12" s="736"/>
      <c r="K12" s="736">
        <f t="shared" si="1"/>
        <v>0</v>
      </c>
      <c r="L12" s="595"/>
      <c r="M12" s="595"/>
      <c r="N12" s="886">
        <f t="shared" si="2"/>
        <v>0</v>
      </c>
      <c r="O12" s="887">
        <f t="shared" si="3"/>
        <v>0</v>
      </c>
      <c r="P12" s="888">
        <f t="shared" si="4"/>
        <v>0</v>
      </c>
      <c r="Q12" s="15">
        <v>0</v>
      </c>
      <c r="R12" s="885"/>
      <c r="S12" s="736"/>
      <c r="T12" s="736"/>
      <c r="U12" s="736"/>
      <c r="V12" s="736"/>
      <c r="W12" s="736"/>
      <c r="X12" s="736"/>
      <c r="Y12" s="736"/>
      <c r="Z12" s="736">
        <f t="shared" si="5"/>
        <v>0</v>
      </c>
      <c r="AA12" s="595"/>
      <c r="AB12" s="595"/>
      <c r="AC12" s="886">
        <f t="shared" si="6"/>
        <v>0</v>
      </c>
      <c r="AD12" s="887">
        <f t="shared" si="7"/>
        <v>0</v>
      </c>
      <c r="AE12" s="886">
        <f t="shared" si="8"/>
        <v>0</v>
      </c>
      <c r="AF12" s="889">
        <f t="shared" si="9"/>
        <v>0</v>
      </c>
      <c r="AG12" s="890">
        <f t="shared" si="10"/>
        <v>0</v>
      </c>
      <c r="AH12" s="15">
        <v>0</v>
      </c>
      <c r="AI12" s="889"/>
    </row>
    <row r="13" spans="1:35">
      <c r="A13" s="718" t="s">
        <v>7061</v>
      </c>
      <c r="B13" s="15">
        <v>1</v>
      </c>
      <c r="C13" s="736">
        <f>1193.17+400</f>
        <v>1593.17</v>
      </c>
      <c r="D13" s="736">
        <v>1610</v>
      </c>
      <c r="E13" s="736"/>
      <c r="F13" s="736"/>
      <c r="G13" s="736"/>
      <c r="H13" s="736"/>
      <c r="I13" s="736"/>
      <c r="J13" s="736"/>
      <c r="K13" s="736">
        <f t="shared" si="1"/>
        <v>3203.17</v>
      </c>
      <c r="L13" s="595">
        <v>1000</v>
      </c>
      <c r="M13" s="595"/>
      <c r="N13" s="886">
        <f t="shared" si="2"/>
        <v>1000</v>
      </c>
      <c r="O13" s="887">
        <f t="shared" si="3"/>
        <v>39438.04</v>
      </c>
      <c r="P13" s="888">
        <f t="shared" si="4"/>
        <v>39438.04</v>
      </c>
      <c r="Q13" s="15">
        <v>1</v>
      </c>
      <c r="R13" s="885">
        <f>1193.17+400</f>
        <v>1593.17</v>
      </c>
      <c r="S13" s="736">
        <v>1610</v>
      </c>
      <c r="T13" s="736"/>
      <c r="U13" s="736"/>
      <c r="V13" s="736"/>
      <c r="W13" s="736"/>
      <c r="X13" s="736"/>
      <c r="Y13" s="736"/>
      <c r="Z13" s="736">
        <f t="shared" si="5"/>
        <v>3203.17</v>
      </c>
      <c r="AA13" s="595">
        <v>1000</v>
      </c>
      <c r="AB13" s="595"/>
      <c r="AC13" s="886">
        <f t="shared" si="6"/>
        <v>1000</v>
      </c>
      <c r="AD13" s="887">
        <f t="shared" si="7"/>
        <v>39438.04</v>
      </c>
      <c r="AE13" s="886">
        <f t="shared" si="8"/>
        <v>39438.04</v>
      </c>
      <c r="AF13" s="889">
        <f t="shared" si="9"/>
        <v>0</v>
      </c>
      <c r="AG13" s="890">
        <f t="shared" si="10"/>
        <v>0</v>
      </c>
      <c r="AH13" s="15">
        <v>1</v>
      </c>
      <c r="AI13" s="889">
        <f t="shared" ref="AI13:AI18" si="11">(Z13*12*AH13)+(AA13*AH13)</f>
        <v>39438.04</v>
      </c>
    </row>
    <row r="14" spans="1:35">
      <c r="A14" s="718" t="s">
        <v>7060</v>
      </c>
      <c r="B14" s="15">
        <v>0</v>
      </c>
      <c r="C14" s="736">
        <f>1193.17+400</f>
        <v>1593.17</v>
      </c>
      <c r="D14" s="736">
        <v>1610</v>
      </c>
      <c r="E14" s="736"/>
      <c r="F14" s="736"/>
      <c r="G14" s="736"/>
      <c r="H14" s="736"/>
      <c r="I14" s="736"/>
      <c r="J14" s="736"/>
      <c r="K14" s="736">
        <f t="shared" si="1"/>
        <v>3203.17</v>
      </c>
      <c r="L14" s="595">
        <v>1000</v>
      </c>
      <c r="M14" s="595"/>
      <c r="N14" s="886">
        <f t="shared" si="2"/>
        <v>1000</v>
      </c>
      <c r="O14" s="887">
        <f t="shared" si="3"/>
        <v>39438.04</v>
      </c>
      <c r="P14" s="888">
        <f t="shared" si="4"/>
        <v>0</v>
      </c>
      <c r="Q14" s="15">
        <v>0</v>
      </c>
      <c r="R14" s="885">
        <f>1193.17+400</f>
        <v>1593.17</v>
      </c>
      <c r="S14" s="736">
        <v>1610</v>
      </c>
      <c r="T14" s="736"/>
      <c r="U14" s="736"/>
      <c r="V14" s="736"/>
      <c r="W14" s="736"/>
      <c r="X14" s="736"/>
      <c r="Y14" s="736"/>
      <c r="Z14" s="736">
        <f t="shared" si="5"/>
        <v>3203.17</v>
      </c>
      <c r="AA14" s="595">
        <v>1000</v>
      </c>
      <c r="AB14" s="595"/>
      <c r="AC14" s="886">
        <f t="shared" si="6"/>
        <v>1000</v>
      </c>
      <c r="AD14" s="887">
        <f t="shared" si="7"/>
        <v>39438.04</v>
      </c>
      <c r="AE14" s="886">
        <f t="shared" si="8"/>
        <v>0</v>
      </c>
      <c r="AF14" s="889">
        <f t="shared" si="9"/>
        <v>0</v>
      </c>
      <c r="AG14" s="890">
        <f t="shared" si="10"/>
        <v>0</v>
      </c>
      <c r="AH14" s="15">
        <v>0</v>
      </c>
      <c r="AI14" s="889">
        <f t="shared" si="11"/>
        <v>0</v>
      </c>
    </row>
    <row r="15" spans="1:35" hidden="1">
      <c r="A15" s="718" t="s">
        <v>7059</v>
      </c>
      <c r="B15" s="15">
        <v>0</v>
      </c>
      <c r="C15" s="736">
        <v>0</v>
      </c>
      <c r="D15" s="736">
        <v>0</v>
      </c>
      <c r="E15" s="736"/>
      <c r="F15" s="736"/>
      <c r="G15" s="736"/>
      <c r="H15" s="736"/>
      <c r="I15" s="736"/>
      <c r="J15" s="736"/>
      <c r="K15" s="736">
        <f t="shared" si="1"/>
        <v>0</v>
      </c>
      <c r="L15" s="595"/>
      <c r="M15" s="595"/>
      <c r="N15" s="886">
        <f t="shared" si="2"/>
        <v>0</v>
      </c>
      <c r="O15" s="887">
        <f t="shared" si="3"/>
        <v>0</v>
      </c>
      <c r="P15" s="888">
        <f t="shared" si="4"/>
        <v>0</v>
      </c>
      <c r="Q15" s="15">
        <v>0</v>
      </c>
      <c r="R15" s="885">
        <v>0</v>
      </c>
      <c r="S15" s="736">
        <v>0</v>
      </c>
      <c r="T15" s="736"/>
      <c r="U15" s="736"/>
      <c r="V15" s="736"/>
      <c r="W15" s="736"/>
      <c r="X15" s="736"/>
      <c r="Y15" s="736"/>
      <c r="Z15" s="736">
        <f t="shared" si="5"/>
        <v>0</v>
      </c>
      <c r="AA15" s="595"/>
      <c r="AB15" s="595"/>
      <c r="AC15" s="886">
        <f t="shared" si="6"/>
        <v>0</v>
      </c>
      <c r="AD15" s="887">
        <f t="shared" si="7"/>
        <v>0</v>
      </c>
      <c r="AE15" s="886">
        <f t="shared" si="8"/>
        <v>0</v>
      </c>
      <c r="AF15" s="889">
        <f t="shared" si="9"/>
        <v>0</v>
      </c>
      <c r="AG15" s="890">
        <f t="shared" si="10"/>
        <v>0</v>
      </c>
      <c r="AH15" s="15">
        <v>0</v>
      </c>
      <c r="AI15" s="889">
        <f t="shared" si="11"/>
        <v>0</v>
      </c>
    </row>
    <row r="16" spans="1:35">
      <c r="A16" s="718" t="s">
        <v>7058</v>
      </c>
      <c r="B16" s="15">
        <v>3</v>
      </c>
      <c r="C16" s="736">
        <f>988.76+400</f>
        <v>1388.76</v>
      </c>
      <c r="D16" s="736">
        <v>1450</v>
      </c>
      <c r="E16" s="736"/>
      <c r="F16" s="736"/>
      <c r="G16" s="736"/>
      <c r="H16" s="736"/>
      <c r="I16" s="736"/>
      <c r="J16" s="736"/>
      <c r="K16" s="736">
        <f t="shared" si="1"/>
        <v>2838.76</v>
      </c>
      <c r="L16" s="595">
        <v>1000</v>
      </c>
      <c r="M16" s="595"/>
      <c r="N16" s="886">
        <f t="shared" si="2"/>
        <v>1000</v>
      </c>
      <c r="O16" s="887">
        <f t="shared" si="3"/>
        <v>35065.120000000003</v>
      </c>
      <c r="P16" s="888">
        <f t="shared" si="4"/>
        <v>105195.36000000002</v>
      </c>
      <c r="Q16" s="15">
        <v>3</v>
      </c>
      <c r="R16" s="885">
        <f>988.76+400</f>
        <v>1388.76</v>
      </c>
      <c r="S16" s="736">
        <v>1450</v>
      </c>
      <c r="T16" s="736"/>
      <c r="U16" s="736"/>
      <c r="V16" s="736"/>
      <c r="W16" s="736"/>
      <c r="X16" s="736"/>
      <c r="Y16" s="736"/>
      <c r="Z16" s="736">
        <f t="shared" si="5"/>
        <v>2838.76</v>
      </c>
      <c r="AA16" s="595">
        <v>1000</v>
      </c>
      <c r="AB16" s="595"/>
      <c r="AC16" s="886">
        <f t="shared" si="6"/>
        <v>1000</v>
      </c>
      <c r="AD16" s="887">
        <f t="shared" si="7"/>
        <v>35065.120000000003</v>
      </c>
      <c r="AE16" s="886">
        <f t="shared" si="8"/>
        <v>105195.36000000002</v>
      </c>
      <c r="AF16" s="889">
        <f t="shared" si="9"/>
        <v>0</v>
      </c>
      <c r="AG16" s="890">
        <f t="shared" si="10"/>
        <v>0</v>
      </c>
      <c r="AH16" s="15">
        <v>3</v>
      </c>
      <c r="AI16" s="889">
        <f t="shared" si="11"/>
        <v>105195.36000000002</v>
      </c>
    </row>
    <row r="17" spans="1:35">
      <c r="A17" s="718" t="s">
        <v>7057</v>
      </c>
      <c r="B17" s="15">
        <v>1</v>
      </c>
      <c r="C17" s="736">
        <f>765.32+400</f>
        <v>1165.3200000000002</v>
      </c>
      <c r="D17" s="736">
        <v>1130</v>
      </c>
      <c r="E17" s="736"/>
      <c r="F17" s="736"/>
      <c r="G17" s="736"/>
      <c r="H17" s="736"/>
      <c r="I17" s="736"/>
      <c r="J17" s="736"/>
      <c r="K17" s="736">
        <f t="shared" si="1"/>
        <v>2295.3200000000002</v>
      </c>
      <c r="L17" s="595">
        <v>1000</v>
      </c>
      <c r="M17" s="595"/>
      <c r="N17" s="886">
        <f t="shared" si="2"/>
        <v>1000</v>
      </c>
      <c r="O17" s="887">
        <f t="shared" si="3"/>
        <v>28543.840000000004</v>
      </c>
      <c r="P17" s="888">
        <f t="shared" si="4"/>
        <v>28543.840000000004</v>
      </c>
      <c r="Q17" s="15">
        <v>1</v>
      </c>
      <c r="R17" s="885">
        <f>765.32+400</f>
        <v>1165.3200000000002</v>
      </c>
      <c r="S17" s="736">
        <v>1210</v>
      </c>
      <c r="T17" s="736"/>
      <c r="U17" s="736"/>
      <c r="V17" s="736"/>
      <c r="W17" s="736"/>
      <c r="X17" s="736"/>
      <c r="Y17" s="736"/>
      <c r="Z17" s="736">
        <f t="shared" si="5"/>
        <v>2375.3200000000002</v>
      </c>
      <c r="AA17" s="595">
        <v>1000</v>
      </c>
      <c r="AB17" s="595"/>
      <c r="AC17" s="886">
        <f t="shared" si="6"/>
        <v>1000</v>
      </c>
      <c r="AD17" s="887">
        <f t="shared" si="7"/>
        <v>29503.840000000004</v>
      </c>
      <c r="AE17" s="886">
        <f t="shared" si="8"/>
        <v>29503.840000000004</v>
      </c>
      <c r="AF17" s="889">
        <f t="shared" si="9"/>
        <v>960</v>
      </c>
      <c r="AG17" s="890">
        <f t="shared" si="10"/>
        <v>0</v>
      </c>
      <c r="AH17" s="15">
        <v>1</v>
      </c>
      <c r="AI17" s="889">
        <f t="shared" si="11"/>
        <v>29503.840000000004</v>
      </c>
    </row>
    <row r="18" spans="1:35">
      <c r="A18" s="718" t="s">
        <v>12</v>
      </c>
      <c r="B18" s="15">
        <v>1</v>
      </c>
      <c r="C18" s="736">
        <f>863.25+400</f>
        <v>1263.25</v>
      </c>
      <c r="D18" s="736">
        <v>1103.33</v>
      </c>
      <c r="E18" s="736"/>
      <c r="F18" s="736"/>
      <c r="G18" s="736"/>
      <c r="H18" s="736"/>
      <c r="I18" s="736"/>
      <c r="J18" s="736"/>
      <c r="K18" s="736">
        <f t="shared" si="1"/>
        <v>2366.58</v>
      </c>
      <c r="L18" s="595">
        <v>1000</v>
      </c>
      <c r="M18" s="595"/>
      <c r="N18" s="886">
        <f t="shared" si="2"/>
        <v>1000</v>
      </c>
      <c r="O18" s="887">
        <f t="shared" si="3"/>
        <v>29398.959999999999</v>
      </c>
      <c r="P18" s="888">
        <f t="shared" si="4"/>
        <v>29398.959999999999</v>
      </c>
      <c r="Q18" s="15">
        <v>1</v>
      </c>
      <c r="R18" s="885">
        <f>863.25+400</f>
        <v>1263.25</v>
      </c>
      <c r="S18" s="736">
        <v>1210</v>
      </c>
      <c r="T18" s="736"/>
      <c r="U18" s="736"/>
      <c r="V18" s="736"/>
      <c r="W18" s="736"/>
      <c r="X18" s="736"/>
      <c r="Y18" s="736"/>
      <c r="Z18" s="736">
        <f t="shared" si="5"/>
        <v>2473.25</v>
      </c>
      <c r="AA18" s="595">
        <v>1000</v>
      </c>
      <c r="AB18" s="595"/>
      <c r="AC18" s="886">
        <f t="shared" si="6"/>
        <v>1000</v>
      </c>
      <c r="AD18" s="887">
        <f t="shared" si="7"/>
        <v>30679</v>
      </c>
      <c r="AE18" s="886">
        <f t="shared" si="8"/>
        <v>30679</v>
      </c>
      <c r="AF18" s="889">
        <f t="shared" si="9"/>
        <v>1280.0400000000009</v>
      </c>
      <c r="AG18" s="890">
        <f t="shared" si="10"/>
        <v>0</v>
      </c>
      <c r="AH18" s="15">
        <v>1</v>
      </c>
      <c r="AI18" s="889">
        <f t="shared" si="11"/>
        <v>30679</v>
      </c>
    </row>
    <row r="19" spans="1:35">
      <c r="A19" s="717" t="s">
        <v>4</v>
      </c>
      <c r="B19" s="579">
        <f t="shared" ref="B19:K19" si="12">SUM(B20:B25)</f>
        <v>28</v>
      </c>
      <c r="C19" s="867">
        <f t="shared" si="12"/>
        <v>7235.19</v>
      </c>
      <c r="D19" s="868">
        <f t="shared" si="12"/>
        <v>6780</v>
      </c>
      <c r="E19" s="868">
        <f t="shared" si="12"/>
        <v>0</v>
      </c>
      <c r="F19" s="868">
        <f t="shared" si="12"/>
        <v>0</v>
      </c>
      <c r="G19" s="868">
        <f t="shared" si="12"/>
        <v>0</v>
      </c>
      <c r="H19" s="868">
        <f t="shared" si="12"/>
        <v>0</v>
      </c>
      <c r="I19" s="868">
        <f t="shared" si="12"/>
        <v>0</v>
      </c>
      <c r="J19" s="868">
        <f t="shared" si="12"/>
        <v>0</v>
      </c>
      <c r="K19" s="868">
        <f t="shared" si="12"/>
        <v>14015.189999999999</v>
      </c>
      <c r="L19" s="880">
        <f>SUM(L20:L27)</f>
        <v>13000</v>
      </c>
      <c r="M19" s="880">
        <f>SUM(M20:M27)</f>
        <v>0</v>
      </c>
      <c r="N19" s="874">
        <f t="shared" ref="N19:Z19" si="13">SUM(N20:N25)</f>
        <v>6000</v>
      </c>
      <c r="O19" s="875">
        <f t="shared" si="13"/>
        <v>174182.28000000003</v>
      </c>
      <c r="P19" s="876">
        <f t="shared" si="13"/>
        <v>813522.28000000014</v>
      </c>
      <c r="Q19" s="476">
        <f t="shared" si="13"/>
        <v>26</v>
      </c>
      <c r="R19" s="867">
        <f t="shared" si="13"/>
        <v>7235.19</v>
      </c>
      <c r="S19" s="868">
        <f t="shared" si="13"/>
        <v>6780</v>
      </c>
      <c r="T19" s="868">
        <f t="shared" si="13"/>
        <v>0</v>
      </c>
      <c r="U19" s="868">
        <f t="shared" si="13"/>
        <v>0</v>
      </c>
      <c r="V19" s="868">
        <f t="shared" si="13"/>
        <v>0</v>
      </c>
      <c r="W19" s="868">
        <f t="shared" si="13"/>
        <v>0</v>
      </c>
      <c r="X19" s="868">
        <f t="shared" si="13"/>
        <v>0</v>
      </c>
      <c r="Y19" s="868">
        <f t="shared" si="13"/>
        <v>0</v>
      </c>
      <c r="Z19" s="868">
        <f t="shared" si="13"/>
        <v>14015.189999999999</v>
      </c>
      <c r="AA19" s="880">
        <f>SUM(AA20:AA27)</f>
        <v>13000</v>
      </c>
      <c r="AB19" s="880">
        <f>SUM(AB20:AB27)</f>
        <v>0</v>
      </c>
      <c r="AC19" s="874">
        <f t="shared" ref="AC19:AI19" si="14">SUM(AC20:AC25)</f>
        <v>6000</v>
      </c>
      <c r="AD19" s="875">
        <f t="shared" si="14"/>
        <v>174182.28000000003</v>
      </c>
      <c r="AE19" s="874">
        <f t="shared" si="14"/>
        <v>755490.32000000007</v>
      </c>
      <c r="AF19" s="877">
        <f t="shared" si="14"/>
        <v>-58031.96</v>
      </c>
      <c r="AG19" s="878">
        <f t="shared" si="14"/>
        <v>-2</v>
      </c>
      <c r="AH19" s="476">
        <f t="shared" si="14"/>
        <v>26</v>
      </c>
      <c r="AI19" s="879">
        <f t="shared" si="14"/>
        <v>755490.32000000007</v>
      </c>
    </row>
    <row r="20" spans="1:35">
      <c r="A20" s="718" t="s">
        <v>13</v>
      </c>
      <c r="B20" s="15">
        <v>5</v>
      </c>
      <c r="C20" s="736">
        <f>885.31+400</f>
        <v>1285.31</v>
      </c>
      <c r="D20" s="736">
        <v>1130</v>
      </c>
      <c r="E20" s="736"/>
      <c r="F20" s="736"/>
      <c r="G20" s="736"/>
      <c r="H20" s="736"/>
      <c r="I20" s="736"/>
      <c r="J20" s="736"/>
      <c r="K20" s="736">
        <f t="shared" ref="K20:K25" si="15">SUM(C20:J20)</f>
        <v>2415.31</v>
      </c>
      <c r="L20" s="595">
        <v>1000</v>
      </c>
      <c r="M20" s="595"/>
      <c r="N20" s="886">
        <f t="shared" ref="N20:N25" si="16">+L20+(M20*12)</f>
        <v>1000</v>
      </c>
      <c r="O20" s="887">
        <f t="shared" ref="O20:O25" si="17">(K20*12)+N20</f>
        <v>29983.72</v>
      </c>
      <c r="P20" s="888">
        <f t="shared" ref="P20:P25" si="18">+O20*B20</f>
        <v>149918.6</v>
      </c>
      <c r="Q20" s="15">
        <v>5</v>
      </c>
      <c r="R20" s="885">
        <f>885.31+400</f>
        <v>1285.31</v>
      </c>
      <c r="S20" s="736">
        <v>1130</v>
      </c>
      <c r="T20" s="736"/>
      <c r="U20" s="736"/>
      <c r="V20" s="736"/>
      <c r="W20" s="736"/>
      <c r="X20" s="736"/>
      <c r="Y20" s="736"/>
      <c r="Z20" s="736">
        <f t="shared" ref="Z20:Z25" si="19">SUM(R20:Y20)</f>
        <v>2415.31</v>
      </c>
      <c r="AA20" s="595">
        <v>1000</v>
      </c>
      <c r="AB20" s="595"/>
      <c r="AC20" s="886">
        <f t="shared" ref="AC20:AC25" si="20">+AA20+(AB20*12)</f>
        <v>1000</v>
      </c>
      <c r="AD20" s="887">
        <f t="shared" ref="AD20:AD25" si="21">(Z20*12)+AC20</f>
        <v>29983.72</v>
      </c>
      <c r="AE20" s="886">
        <f t="shared" ref="AE20:AE25" si="22">+AD20*Q20</f>
        <v>149918.6</v>
      </c>
      <c r="AF20" s="889">
        <f t="shared" ref="AF20:AF25" si="23">+AE20-P20</f>
        <v>0</v>
      </c>
      <c r="AG20" s="890">
        <f t="shared" ref="AG20:AG25" si="24">+Q20-B20</f>
        <v>0</v>
      </c>
      <c r="AH20" s="15">
        <v>5</v>
      </c>
      <c r="AI20" s="889">
        <f t="shared" ref="AI20:AI25" si="25">(Z20*12*AH20)+(AA20*AH20)</f>
        <v>149918.6</v>
      </c>
    </row>
    <row r="21" spans="1:35">
      <c r="A21" s="718" t="s">
        <v>6978</v>
      </c>
      <c r="B21" s="15">
        <v>3</v>
      </c>
      <c r="C21" s="736">
        <f>839+400</f>
        <v>1239</v>
      </c>
      <c r="D21" s="736">
        <v>1130</v>
      </c>
      <c r="E21" s="736"/>
      <c r="F21" s="736"/>
      <c r="G21" s="736"/>
      <c r="H21" s="736"/>
      <c r="I21" s="736"/>
      <c r="J21" s="736"/>
      <c r="K21" s="736">
        <f t="shared" si="15"/>
        <v>2369</v>
      </c>
      <c r="L21" s="595">
        <v>1000</v>
      </c>
      <c r="M21" s="595"/>
      <c r="N21" s="886">
        <f t="shared" si="16"/>
        <v>1000</v>
      </c>
      <c r="O21" s="887">
        <f t="shared" si="17"/>
        <v>29428</v>
      </c>
      <c r="P21" s="888">
        <f t="shared" si="18"/>
        <v>88284</v>
      </c>
      <c r="Q21" s="15">
        <v>2</v>
      </c>
      <c r="R21" s="885">
        <f>839+400</f>
        <v>1239</v>
      </c>
      <c r="S21" s="736">
        <v>1130</v>
      </c>
      <c r="T21" s="736"/>
      <c r="U21" s="736"/>
      <c r="V21" s="736"/>
      <c r="W21" s="736"/>
      <c r="X21" s="736"/>
      <c r="Y21" s="736"/>
      <c r="Z21" s="736">
        <f t="shared" si="19"/>
        <v>2369</v>
      </c>
      <c r="AA21" s="595">
        <v>1000</v>
      </c>
      <c r="AB21" s="595"/>
      <c r="AC21" s="886">
        <f t="shared" si="20"/>
        <v>1000</v>
      </c>
      <c r="AD21" s="887">
        <f t="shared" si="21"/>
        <v>29428</v>
      </c>
      <c r="AE21" s="886">
        <f t="shared" si="22"/>
        <v>58856</v>
      </c>
      <c r="AF21" s="889">
        <f t="shared" si="23"/>
        <v>-29428</v>
      </c>
      <c r="AG21" s="890">
        <f t="shared" si="24"/>
        <v>-1</v>
      </c>
      <c r="AH21" s="15">
        <v>2</v>
      </c>
      <c r="AI21" s="889">
        <f t="shared" si="25"/>
        <v>58856</v>
      </c>
    </row>
    <row r="22" spans="1:35">
      <c r="A22" s="718" t="s">
        <v>6977</v>
      </c>
      <c r="B22" s="15">
        <v>7</v>
      </c>
      <c r="C22" s="736">
        <f>801.55+400</f>
        <v>1201.55</v>
      </c>
      <c r="D22" s="736">
        <v>1130</v>
      </c>
      <c r="E22" s="736"/>
      <c r="F22" s="736"/>
      <c r="G22" s="736"/>
      <c r="H22" s="736"/>
      <c r="I22" s="736"/>
      <c r="J22" s="736"/>
      <c r="K22" s="736">
        <f t="shared" si="15"/>
        <v>2331.5500000000002</v>
      </c>
      <c r="L22" s="595">
        <v>1000</v>
      </c>
      <c r="M22" s="595"/>
      <c r="N22" s="886">
        <f t="shared" si="16"/>
        <v>1000</v>
      </c>
      <c r="O22" s="887">
        <f t="shared" si="17"/>
        <v>28978.600000000002</v>
      </c>
      <c r="P22" s="888">
        <f t="shared" si="18"/>
        <v>202850.2</v>
      </c>
      <c r="Q22" s="15">
        <v>7</v>
      </c>
      <c r="R22" s="885">
        <f>801.55+400</f>
        <v>1201.55</v>
      </c>
      <c r="S22" s="736">
        <v>1130</v>
      </c>
      <c r="T22" s="736"/>
      <c r="U22" s="736"/>
      <c r="V22" s="736"/>
      <c r="W22" s="736"/>
      <c r="X22" s="736"/>
      <c r="Y22" s="736"/>
      <c r="Z22" s="736">
        <f t="shared" si="19"/>
        <v>2331.5500000000002</v>
      </c>
      <c r="AA22" s="595">
        <v>1000</v>
      </c>
      <c r="AB22" s="595"/>
      <c r="AC22" s="886">
        <f t="shared" si="20"/>
        <v>1000</v>
      </c>
      <c r="AD22" s="887">
        <f t="shared" si="21"/>
        <v>28978.600000000002</v>
      </c>
      <c r="AE22" s="886">
        <f t="shared" si="22"/>
        <v>202850.2</v>
      </c>
      <c r="AF22" s="889">
        <f t="shared" si="23"/>
        <v>0</v>
      </c>
      <c r="AG22" s="890">
        <f t="shared" si="24"/>
        <v>0</v>
      </c>
      <c r="AH22" s="15">
        <v>7</v>
      </c>
      <c r="AI22" s="889">
        <f t="shared" si="25"/>
        <v>202850.2</v>
      </c>
    </row>
    <row r="23" spans="1:35">
      <c r="A23" s="718" t="s">
        <v>6976</v>
      </c>
      <c r="B23" s="15">
        <v>7</v>
      </c>
      <c r="C23" s="736">
        <f>750.17+400+39.54</f>
        <v>1189.71</v>
      </c>
      <c r="D23" s="736">
        <v>1130</v>
      </c>
      <c r="E23" s="736"/>
      <c r="F23" s="736"/>
      <c r="G23" s="736"/>
      <c r="H23" s="736"/>
      <c r="I23" s="736"/>
      <c r="J23" s="736"/>
      <c r="K23" s="736">
        <f t="shared" si="15"/>
        <v>2319.71</v>
      </c>
      <c r="L23" s="595">
        <v>1000</v>
      </c>
      <c r="M23" s="595"/>
      <c r="N23" s="886">
        <f t="shared" si="16"/>
        <v>1000</v>
      </c>
      <c r="O23" s="887">
        <f t="shared" si="17"/>
        <v>28836.52</v>
      </c>
      <c r="P23" s="888">
        <f t="shared" si="18"/>
        <v>201855.64</v>
      </c>
      <c r="Q23" s="15">
        <v>7</v>
      </c>
      <c r="R23" s="736">
        <f>750.17+400+39.54</f>
        <v>1189.71</v>
      </c>
      <c r="S23" s="736">
        <v>1130</v>
      </c>
      <c r="T23" s="736"/>
      <c r="U23" s="736"/>
      <c r="V23" s="736"/>
      <c r="W23" s="736"/>
      <c r="X23" s="736"/>
      <c r="Y23" s="736"/>
      <c r="Z23" s="736">
        <f t="shared" si="19"/>
        <v>2319.71</v>
      </c>
      <c r="AA23" s="595">
        <v>1000</v>
      </c>
      <c r="AB23" s="595"/>
      <c r="AC23" s="886">
        <f t="shared" si="20"/>
        <v>1000</v>
      </c>
      <c r="AD23" s="887">
        <f t="shared" si="21"/>
        <v>28836.52</v>
      </c>
      <c r="AE23" s="886">
        <f t="shared" si="22"/>
        <v>201855.64</v>
      </c>
      <c r="AF23" s="889">
        <f t="shared" si="23"/>
        <v>0</v>
      </c>
      <c r="AG23" s="890">
        <f t="shared" si="24"/>
        <v>0</v>
      </c>
      <c r="AH23" s="15">
        <v>7</v>
      </c>
      <c r="AI23" s="889">
        <f t="shared" si="25"/>
        <v>201855.64</v>
      </c>
    </row>
    <row r="24" spans="1:35">
      <c r="A24" s="718" t="s">
        <v>14</v>
      </c>
      <c r="B24" s="15">
        <v>2</v>
      </c>
      <c r="C24" s="736">
        <f>770.33+400</f>
        <v>1170.33</v>
      </c>
      <c r="D24" s="736">
        <v>1130</v>
      </c>
      <c r="E24" s="736"/>
      <c r="F24" s="736"/>
      <c r="G24" s="736"/>
      <c r="H24" s="736"/>
      <c r="I24" s="736"/>
      <c r="J24" s="736"/>
      <c r="K24" s="736">
        <f t="shared" si="15"/>
        <v>2300.33</v>
      </c>
      <c r="L24" s="595">
        <v>1000</v>
      </c>
      <c r="M24" s="595"/>
      <c r="N24" s="886">
        <f t="shared" si="16"/>
        <v>1000</v>
      </c>
      <c r="O24" s="887">
        <f t="shared" si="17"/>
        <v>28603.96</v>
      </c>
      <c r="P24" s="888">
        <f t="shared" si="18"/>
        <v>57207.92</v>
      </c>
      <c r="Q24" s="15">
        <v>1</v>
      </c>
      <c r="R24" s="885">
        <f>770.33+400</f>
        <v>1170.33</v>
      </c>
      <c r="S24" s="736">
        <v>1130</v>
      </c>
      <c r="T24" s="736"/>
      <c r="U24" s="736"/>
      <c r="V24" s="736"/>
      <c r="W24" s="736"/>
      <c r="X24" s="736"/>
      <c r="Y24" s="736"/>
      <c r="Z24" s="736">
        <f t="shared" si="19"/>
        <v>2300.33</v>
      </c>
      <c r="AA24" s="595">
        <v>1000</v>
      </c>
      <c r="AB24" s="595"/>
      <c r="AC24" s="886">
        <f t="shared" si="20"/>
        <v>1000</v>
      </c>
      <c r="AD24" s="887">
        <f t="shared" si="21"/>
        <v>28603.96</v>
      </c>
      <c r="AE24" s="886">
        <f t="shared" si="22"/>
        <v>28603.96</v>
      </c>
      <c r="AF24" s="889">
        <f t="shared" si="23"/>
        <v>-28603.96</v>
      </c>
      <c r="AG24" s="890">
        <f t="shared" si="24"/>
        <v>-1</v>
      </c>
      <c r="AH24" s="15">
        <v>1</v>
      </c>
      <c r="AI24" s="889">
        <f t="shared" si="25"/>
        <v>28603.96</v>
      </c>
    </row>
    <row r="25" spans="1:35">
      <c r="A25" s="718" t="s">
        <v>6975</v>
      </c>
      <c r="B25" s="15">
        <v>4</v>
      </c>
      <c r="C25" s="736">
        <f>749.29+400</f>
        <v>1149.29</v>
      </c>
      <c r="D25" s="736">
        <v>1130</v>
      </c>
      <c r="E25" s="736"/>
      <c r="F25" s="736"/>
      <c r="G25" s="736"/>
      <c r="H25" s="736"/>
      <c r="I25" s="736"/>
      <c r="J25" s="736"/>
      <c r="K25" s="736">
        <f t="shared" si="15"/>
        <v>2279.29</v>
      </c>
      <c r="L25" s="595">
        <v>1000</v>
      </c>
      <c r="M25" s="595"/>
      <c r="N25" s="886">
        <f t="shared" si="16"/>
        <v>1000</v>
      </c>
      <c r="O25" s="887">
        <f t="shared" si="17"/>
        <v>28351.48</v>
      </c>
      <c r="P25" s="888">
        <f t="shared" si="18"/>
        <v>113405.92</v>
      </c>
      <c r="Q25" s="15">
        <v>4</v>
      </c>
      <c r="R25" s="885">
        <f>749.29+400</f>
        <v>1149.29</v>
      </c>
      <c r="S25" s="736">
        <v>1130</v>
      </c>
      <c r="T25" s="736"/>
      <c r="U25" s="736"/>
      <c r="V25" s="736"/>
      <c r="W25" s="736"/>
      <c r="X25" s="736"/>
      <c r="Y25" s="736"/>
      <c r="Z25" s="736">
        <f t="shared" si="19"/>
        <v>2279.29</v>
      </c>
      <c r="AA25" s="595">
        <v>1000</v>
      </c>
      <c r="AB25" s="595"/>
      <c r="AC25" s="886">
        <f t="shared" si="20"/>
        <v>1000</v>
      </c>
      <c r="AD25" s="887">
        <f t="shared" si="21"/>
        <v>28351.48</v>
      </c>
      <c r="AE25" s="886">
        <f t="shared" si="22"/>
        <v>113405.92</v>
      </c>
      <c r="AF25" s="889">
        <f t="shared" si="23"/>
        <v>0</v>
      </c>
      <c r="AG25" s="890">
        <f t="shared" si="24"/>
        <v>0</v>
      </c>
      <c r="AH25" s="15">
        <v>4</v>
      </c>
      <c r="AI25" s="889">
        <f t="shared" si="25"/>
        <v>113405.92</v>
      </c>
    </row>
    <row r="26" spans="1:35">
      <c r="A26" s="717" t="s">
        <v>5</v>
      </c>
      <c r="B26" s="579">
        <f t="shared" ref="B26:AI26" si="26">SUM(B27:B32)</f>
        <v>63</v>
      </c>
      <c r="C26" s="867">
        <f t="shared" si="26"/>
        <v>6919.41</v>
      </c>
      <c r="D26" s="868">
        <f t="shared" si="26"/>
        <v>6300</v>
      </c>
      <c r="E26" s="868">
        <f t="shared" si="26"/>
        <v>0</v>
      </c>
      <c r="F26" s="868">
        <f t="shared" si="26"/>
        <v>0</v>
      </c>
      <c r="G26" s="868">
        <f t="shared" si="26"/>
        <v>0</v>
      </c>
      <c r="H26" s="868">
        <f t="shared" si="26"/>
        <v>0</v>
      </c>
      <c r="I26" s="868">
        <f t="shared" si="26"/>
        <v>0</v>
      </c>
      <c r="J26" s="868">
        <f t="shared" si="26"/>
        <v>0</v>
      </c>
      <c r="K26" s="868">
        <f t="shared" si="26"/>
        <v>13219.41</v>
      </c>
      <c r="L26" s="880">
        <f t="shared" si="26"/>
        <v>6000</v>
      </c>
      <c r="M26" s="880">
        <f t="shared" si="26"/>
        <v>0</v>
      </c>
      <c r="N26" s="874">
        <f t="shared" si="26"/>
        <v>6000</v>
      </c>
      <c r="O26" s="875">
        <f t="shared" si="26"/>
        <v>164632.91999999998</v>
      </c>
      <c r="P26" s="876">
        <f t="shared" si="26"/>
        <v>1730661</v>
      </c>
      <c r="Q26" s="476">
        <f t="shared" si="26"/>
        <v>54</v>
      </c>
      <c r="R26" s="867">
        <f t="shared" si="26"/>
        <v>6919.41</v>
      </c>
      <c r="S26" s="868">
        <f t="shared" si="26"/>
        <v>6420</v>
      </c>
      <c r="T26" s="868">
        <f t="shared" si="26"/>
        <v>0</v>
      </c>
      <c r="U26" s="868">
        <f t="shared" si="26"/>
        <v>0</v>
      </c>
      <c r="V26" s="868">
        <f t="shared" si="26"/>
        <v>0</v>
      </c>
      <c r="W26" s="868">
        <f t="shared" si="26"/>
        <v>0</v>
      </c>
      <c r="X26" s="868">
        <f t="shared" si="26"/>
        <v>0</v>
      </c>
      <c r="Y26" s="868">
        <f t="shared" si="26"/>
        <v>0</v>
      </c>
      <c r="Z26" s="868">
        <f t="shared" si="26"/>
        <v>13339.41</v>
      </c>
      <c r="AA26" s="880">
        <f t="shared" si="26"/>
        <v>6000</v>
      </c>
      <c r="AB26" s="880">
        <f t="shared" si="26"/>
        <v>0</v>
      </c>
      <c r="AC26" s="874">
        <f t="shared" si="26"/>
        <v>6000</v>
      </c>
      <c r="AD26" s="875">
        <f t="shared" si="26"/>
        <v>166072.91999999998</v>
      </c>
      <c r="AE26" s="874">
        <f t="shared" si="26"/>
        <v>1496573.1600000001</v>
      </c>
      <c r="AF26" s="877">
        <f t="shared" si="26"/>
        <v>-234087.83999999997</v>
      </c>
      <c r="AG26" s="878">
        <f t="shared" si="26"/>
        <v>-9</v>
      </c>
      <c r="AH26" s="476">
        <f t="shared" si="26"/>
        <v>54</v>
      </c>
      <c r="AI26" s="879">
        <f t="shared" si="26"/>
        <v>1496573.1600000001</v>
      </c>
    </row>
    <row r="27" spans="1:35">
      <c r="A27" s="718" t="s">
        <v>15</v>
      </c>
      <c r="B27" s="15">
        <v>16</v>
      </c>
      <c r="C27" s="736">
        <f>762.76+400</f>
        <v>1162.76</v>
      </c>
      <c r="D27" s="736">
        <v>1050</v>
      </c>
      <c r="E27" s="736"/>
      <c r="F27" s="736"/>
      <c r="G27" s="736"/>
      <c r="H27" s="736"/>
      <c r="I27" s="736"/>
      <c r="J27" s="736"/>
      <c r="K27" s="736">
        <f t="shared" ref="K27:K32" si="27">SUM(C27:J27)</f>
        <v>2212.7600000000002</v>
      </c>
      <c r="L27" s="595">
        <v>1000</v>
      </c>
      <c r="M27" s="595"/>
      <c r="N27" s="886">
        <f t="shared" ref="N27:N32" si="28">+L27+(M27*12)</f>
        <v>1000</v>
      </c>
      <c r="O27" s="887">
        <f t="shared" ref="O27:O32" si="29">(K27*12)+N27</f>
        <v>27553.120000000003</v>
      </c>
      <c r="P27" s="888">
        <f t="shared" ref="P27:P32" si="30">+O27*B27</f>
        <v>440849.92000000004</v>
      </c>
      <c r="Q27" s="15">
        <v>13</v>
      </c>
      <c r="R27" s="885">
        <f>762.76+400</f>
        <v>1162.76</v>
      </c>
      <c r="S27" s="736">
        <v>1070</v>
      </c>
      <c r="T27" s="736"/>
      <c r="U27" s="736"/>
      <c r="V27" s="736"/>
      <c r="W27" s="736"/>
      <c r="X27" s="736"/>
      <c r="Y27" s="736"/>
      <c r="Z27" s="736">
        <f t="shared" ref="Z27:Z32" si="31">SUM(R27:Y27)</f>
        <v>2232.7600000000002</v>
      </c>
      <c r="AA27" s="595">
        <v>1000</v>
      </c>
      <c r="AB27" s="595"/>
      <c r="AC27" s="886">
        <f t="shared" ref="AC27:AC32" si="32">+AA27+(AB27*12)</f>
        <v>1000</v>
      </c>
      <c r="AD27" s="887">
        <f t="shared" ref="AD27:AD32" si="33">(Z27*12)+AC27</f>
        <v>27793.120000000003</v>
      </c>
      <c r="AE27" s="886">
        <f t="shared" ref="AE27:AE32" si="34">+AD27*Q27</f>
        <v>361310.56000000006</v>
      </c>
      <c r="AF27" s="889">
        <f t="shared" ref="AF27:AF32" si="35">+AE27-P27</f>
        <v>-79539.359999999986</v>
      </c>
      <c r="AG27" s="890">
        <f t="shared" ref="AG27:AG32" si="36">+Q27-B27</f>
        <v>-3</v>
      </c>
      <c r="AH27" s="15">
        <v>13</v>
      </c>
      <c r="AI27" s="889">
        <f t="shared" ref="AI27:AI32" si="37">(Z27*12*AH27)+(AA27*AH27)</f>
        <v>361310.56000000006</v>
      </c>
    </row>
    <row r="28" spans="1:35">
      <c r="A28" s="718" t="s">
        <v>7056</v>
      </c>
      <c r="B28" s="15">
        <v>9</v>
      </c>
      <c r="C28" s="736">
        <f>756.33+400</f>
        <v>1156.33</v>
      </c>
      <c r="D28" s="736">
        <v>1050</v>
      </c>
      <c r="E28" s="736"/>
      <c r="F28" s="736"/>
      <c r="G28" s="736"/>
      <c r="H28" s="736"/>
      <c r="I28" s="736"/>
      <c r="J28" s="736"/>
      <c r="K28" s="736">
        <f t="shared" si="27"/>
        <v>2206.33</v>
      </c>
      <c r="L28" s="595">
        <v>1000</v>
      </c>
      <c r="M28" s="595"/>
      <c r="N28" s="886">
        <f t="shared" si="28"/>
        <v>1000</v>
      </c>
      <c r="O28" s="887">
        <f t="shared" si="29"/>
        <v>27475.96</v>
      </c>
      <c r="P28" s="888">
        <f t="shared" si="30"/>
        <v>247283.63999999998</v>
      </c>
      <c r="Q28" s="15">
        <v>8</v>
      </c>
      <c r="R28" s="885">
        <f>756.33+400</f>
        <v>1156.33</v>
      </c>
      <c r="S28" s="736">
        <v>1070</v>
      </c>
      <c r="T28" s="736"/>
      <c r="U28" s="736"/>
      <c r="V28" s="736"/>
      <c r="W28" s="736"/>
      <c r="X28" s="736"/>
      <c r="Y28" s="736"/>
      <c r="Z28" s="736">
        <f t="shared" si="31"/>
        <v>2226.33</v>
      </c>
      <c r="AA28" s="595">
        <v>1000</v>
      </c>
      <c r="AB28" s="595"/>
      <c r="AC28" s="886">
        <f t="shared" si="32"/>
        <v>1000</v>
      </c>
      <c r="AD28" s="887">
        <f t="shared" si="33"/>
        <v>27715.96</v>
      </c>
      <c r="AE28" s="886">
        <f t="shared" si="34"/>
        <v>221727.68</v>
      </c>
      <c r="AF28" s="889">
        <f t="shared" si="35"/>
        <v>-25555.959999999992</v>
      </c>
      <c r="AG28" s="890">
        <f t="shared" si="36"/>
        <v>-1</v>
      </c>
      <c r="AH28" s="15">
        <v>8</v>
      </c>
      <c r="AI28" s="889">
        <f t="shared" si="37"/>
        <v>221727.68</v>
      </c>
    </row>
    <row r="29" spans="1:35">
      <c r="A29" s="718" t="s">
        <v>6972</v>
      </c>
      <c r="B29" s="15">
        <v>20</v>
      </c>
      <c r="C29" s="736">
        <f>762.36+400</f>
        <v>1162.3600000000001</v>
      </c>
      <c r="D29" s="736">
        <v>1050</v>
      </c>
      <c r="E29" s="736"/>
      <c r="F29" s="736"/>
      <c r="G29" s="736"/>
      <c r="H29" s="736"/>
      <c r="I29" s="736"/>
      <c r="J29" s="736"/>
      <c r="K29" s="736">
        <f t="shared" si="27"/>
        <v>2212.36</v>
      </c>
      <c r="L29" s="595">
        <v>1000</v>
      </c>
      <c r="M29" s="595"/>
      <c r="N29" s="886">
        <f t="shared" si="28"/>
        <v>1000</v>
      </c>
      <c r="O29" s="887">
        <f t="shared" si="29"/>
        <v>27548.32</v>
      </c>
      <c r="P29" s="888">
        <f t="shared" si="30"/>
        <v>550966.4</v>
      </c>
      <c r="Q29" s="15">
        <v>18</v>
      </c>
      <c r="R29" s="885">
        <f>762.36+400</f>
        <v>1162.3600000000001</v>
      </c>
      <c r="S29" s="736">
        <v>1070</v>
      </c>
      <c r="T29" s="736"/>
      <c r="U29" s="736"/>
      <c r="V29" s="736"/>
      <c r="W29" s="736"/>
      <c r="X29" s="736"/>
      <c r="Y29" s="736"/>
      <c r="Z29" s="736">
        <f t="shared" si="31"/>
        <v>2232.36</v>
      </c>
      <c r="AA29" s="595">
        <v>1000</v>
      </c>
      <c r="AB29" s="595"/>
      <c r="AC29" s="886">
        <f t="shared" si="32"/>
        <v>1000</v>
      </c>
      <c r="AD29" s="887">
        <f t="shared" si="33"/>
        <v>27788.32</v>
      </c>
      <c r="AE29" s="886">
        <f t="shared" si="34"/>
        <v>500189.76</v>
      </c>
      <c r="AF29" s="889">
        <f t="shared" si="35"/>
        <v>-50776.640000000014</v>
      </c>
      <c r="AG29" s="890">
        <f t="shared" si="36"/>
        <v>-2</v>
      </c>
      <c r="AH29" s="15">
        <v>18</v>
      </c>
      <c r="AI29" s="889">
        <f t="shared" si="37"/>
        <v>500189.76</v>
      </c>
    </row>
    <row r="30" spans="1:35">
      <c r="A30" s="718" t="s">
        <v>6971</v>
      </c>
      <c r="B30" s="15">
        <v>8</v>
      </c>
      <c r="C30" s="736">
        <f>750.61+400</f>
        <v>1150.6100000000001</v>
      </c>
      <c r="D30" s="736">
        <v>1050</v>
      </c>
      <c r="E30" s="736"/>
      <c r="F30" s="736"/>
      <c r="G30" s="736"/>
      <c r="H30" s="736"/>
      <c r="I30" s="736"/>
      <c r="J30" s="736"/>
      <c r="K30" s="736">
        <f t="shared" si="27"/>
        <v>2200.61</v>
      </c>
      <c r="L30" s="595">
        <v>1000</v>
      </c>
      <c r="M30" s="595"/>
      <c r="N30" s="886">
        <f t="shared" si="28"/>
        <v>1000</v>
      </c>
      <c r="O30" s="887">
        <f t="shared" si="29"/>
        <v>27407.32</v>
      </c>
      <c r="P30" s="888">
        <f t="shared" si="30"/>
        <v>219258.56</v>
      </c>
      <c r="Q30" s="15">
        <v>8</v>
      </c>
      <c r="R30" s="885">
        <f>750.61+400</f>
        <v>1150.6100000000001</v>
      </c>
      <c r="S30" s="736">
        <v>1070</v>
      </c>
      <c r="T30" s="736"/>
      <c r="U30" s="736"/>
      <c r="V30" s="736"/>
      <c r="W30" s="736"/>
      <c r="X30" s="736"/>
      <c r="Y30" s="736"/>
      <c r="Z30" s="736">
        <f t="shared" si="31"/>
        <v>2220.61</v>
      </c>
      <c r="AA30" s="595">
        <v>1000</v>
      </c>
      <c r="AB30" s="595"/>
      <c r="AC30" s="886">
        <f t="shared" si="32"/>
        <v>1000</v>
      </c>
      <c r="AD30" s="887">
        <f t="shared" si="33"/>
        <v>27647.32</v>
      </c>
      <c r="AE30" s="886">
        <f t="shared" si="34"/>
        <v>221178.56</v>
      </c>
      <c r="AF30" s="889">
        <f t="shared" si="35"/>
        <v>1920</v>
      </c>
      <c r="AG30" s="890">
        <f t="shared" si="36"/>
        <v>0</v>
      </c>
      <c r="AH30" s="15">
        <v>8</v>
      </c>
      <c r="AI30" s="889">
        <f t="shared" si="37"/>
        <v>221178.56</v>
      </c>
    </row>
    <row r="31" spans="1:35">
      <c r="A31" s="718" t="s">
        <v>16</v>
      </c>
      <c r="B31" s="15">
        <v>2</v>
      </c>
      <c r="C31" s="736">
        <f>756.71+400</f>
        <v>1156.71</v>
      </c>
      <c r="D31" s="736">
        <v>1050</v>
      </c>
      <c r="E31" s="736"/>
      <c r="F31" s="736"/>
      <c r="G31" s="736"/>
      <c r="H31" s="736"/>
      <c r="I31" s="736"/>
      <c r="J31" s="736"/>
      <c r="K31" s="736">
        <f t="shared" si="27"/>
        <v>2206.71</v>
      </c>
      <c r="L31" s="595">
        <v>1000</v>
      </c>
      <c r="M31" s="595"/>
      <c r="N31" s="886">
        <f t="shared" si="28"/>
        <v>1000</v>
      </c>
      <c r="O31" s="887">
        <f t="shared" si="29"/>
        <v>27480.52</v>
      </c>
      <c r="P31" s="888">
        <f t="shared" si="30"/>
        <v>54961.04</v>
      </c>
      <c r="Q31" s="15">
        <v>1</v>
      </c>
      <c r="R31" s="885">
        <f>756.71+400</f>
        <v>1156.71</v>
      </c>
      <c r="S31" s="736">
        <v>1070</v>
      </c>
      <c r="T31" s="736"/>
      <c r="U31" s="736"/>
      <c r="V31" s="736"/>
      <c r="W31" s="736"/>
      <c r="X31" s="736"/>
      <c r="Y31" s="736"/>
      <c r="Z31" s="736">
        <f t="shared" si="31"/>
        <v>2226.71</v>
      </c>
      <c r="AA31" s="595">
        <v>1000</v>
      </c>
      <c r="AB31" s="595"/>
      <c r="AC31" s="886">
        <f t="shared" si="32"/>
        <v>1000</v>
      </c>
      <c r="AD31" s="887">
        <f t="shared" si="33"/>
        <v>27720.52</v>
      </c>
      <c r="AE31" s="886">
        <f t="shared" si="34"/>
        <v>27720.52</v>
      </c>
      <c r="AF31" s="889">
        <f t="shared" si="35"/>
        <v>-27240.52</v>
      </c>
      <c r="AG31" s="890">
        <f t="shared" si="36"/>
        <v>-1</v>
      </c>
      <c r="AH31" s="15">
        <v>1</v>
      </c>
      <c r="AI31" s="889">
        <f t="shared" si="37"/>
        <v>27720.52</v>
      </c>
    </row>
    <row r="32" spans="1:35">
      <c r="A32" s="718" t="s">
        <v>6970</v>
      </c>
      <c r="B32" s="15">
        <v>8</v>
      </c>
      <c r="C32" s="736">
        <f>730.64+400</f>
        <v>1130.6399999999999</v>
      </c>
      <c r="D32" s="736">
        <v>1050</v>
      </c>
      <c r="E32" s="736"/>
      <c r="F32" s="736"/>
      <c r="G32" s="736"/>
      <c r="H32" s="736"/>
      <c r="I32" s="736"/>
      <c r="J32" s="736"/>
      <c r="K32" s="736">
        <f t="shared" si="27"/>
        <v>2180.64</v>
      </c>
      <c r="L32" s="595">
        <v>1000</v>
      </c>
      <c r="M32" s="595"/>
      <c r="N32" s="886">
        <f t="shared" si="28"/>
        <v>1000</v>
      </c>
      <c r="O32" s="887">
        <f t="shared" si="29"/>
        <v>27167.68</v>
      </c>
      <c r="P32" s="888">
        <f t="shared" si="30"/>
        <v>217341.44</v>
      </c>
      <c r="Q32" s="15">
        <v>6</v>
      </c>
      <c r="R32" s="885">
        <f>730.64+400</f>
        <v>1130.6399999999999</v>
      </c>
      <c r="S32" s="736">
        <v>1070</v>
      </c>
      <c r="T32" s="736"/>
      <c r="U32" s="736"/>
      <c r="V32" s="736"/>
      <c r="W32" s="736"/>
      <c r="X32" s="736"/>
      <c r="Y32" s="736"/>
      <c r="Z32" s="736">
        <f t="shared" si="31"/>
        <v>2200.64</v>
      </c>
      <c r="AA32" s="595">
        <v>1000</v>
      </c>
      <c r="AB32" s="595"/>
      <c r="AC32" s="886">
        <f t="shared" si="32"/>
        <v>1000</v>
      </c>
      <c r="AD32" s="887">
        <f t="shared" si="33"/>
        <v>27407.68</v>
      </c>
      <c r="AE32" s="886">
        <f t="shared" si="34"/>
        <v>164446.08000000002</v>
      </c>
      <c r="AF32" s="889">
        <f t="shared" si="35"/>
        <v>-52895.359999999986</v>
      </c>
      <c r="AG32" s="890">
        <f t="shared" si="36"/>
        <v>-2</v>
      </c>
      <c r="AH32" s="15">
        <v>6</v>
      </c>
      <c r="AI32" s="889">
        <f t="shared" si="37"/>
        <v>164446.08000000002</v>
      </c>
    </row>
    <row r="33" spans="1:35">
      <c r="A33" s="717" t="s">
        <v>6</v>
      </c>
      <c r="B33" s="579">
        <f t="shared" ref="B33:AE33" si="38">SUM(B34:B39)</f>
        <v>27</v>
      </c>
      <c r="C33" s="867">
        <f t="shared" si="38"/>
        <v>5674</v>
      </c>
      <c r="D33" s="868">
        <f t="shared" si="38"/>
        <v>5250</v>
      </c>
      <c r="E33" s="868">
        <f t="shared" si="38"/>
        <v>0</v>
      </c>
      <c r="F33" s="868">
        <f t="shared" si="38"/>
        <v>0</v>
      </c>
      <c r="G33" s="868">
        <f t="shared" si="38"/>
        <v>0</v>
      </c>
      <c r="H33" s="868">
        <f t="shared" si="38"/>
        <v>0</v>
      </c>
      <c r="I33" s="868">
        <f t="shared" si="38"/>
        <v>0</v>
      </c>
      <c r="J33" s="868">
        <f t="shared" si="38"/>
        <v>0</v>
      </c>
      <c r="K33" s="868">
        <f t="shared" si="38"/>
        <v>10924</v>
      </c>
      <c r="L33" s="868">
        <f t="shared" si="38"/>
        <v>5000</v>
      </c>
      <c r="M33" s="868">
        <f t="shared" si="38"/>
        <v>0</v>
      </c>
      <c r="N33" s="874">
        <f t="shared" si="38"/>
        <v>5000</v>
      </c>
      <c r="O33" s="875">
        <f t="shared" si="38"/>
        <v>136088</v>
      </c>
      <c r="P33" s="876">
        <f t="shared" si="38"/>
        <v>739464.47999999986</v>
      </c>
      <c r="Q33" s="476">
        <f t="shared" si="38"/>
        <v>25</v>
      </c>
      <c r="R33" s="867">
        <f t="shared" si="38"/>
        <v>5674</v>
      </c>
      <c r="S33" s="868">
        <f t="shared" si="38"/>
        <v>5350</v>
      </c>
      <c r="T33" s="868">
        <f t="shared" si="38"/>
        <v>0</v>
      </c>
      <c r="U33" s="868">
        <f t="shared" si="38"/>
        <v>0</v>
      </c>
      <c r="V33" s="868">
        <f t="shared" si="38"/>
        <v>0</v>
      </c>
      <c r="W33" s="868">
        <f t="shared" si="38"/>
        <v>0</v>
      </c>
      <c r="X33" s="868">
        <f t="shared" si="38"/>
        <v>0</v>
      </c>
      <c r="Y33" s="868">
        <f t="shared" si="38"/>
        <v>0</v>
      </c>
      <c r="Z33" s="868">
        <f t="shared" si="38"/>
        <v>11024</v>
      </c>
      <c r="AA33" s="868">
        <f t="shared" si="38"/>
        <v>5000</v>
      </c>
      <c r="AB33" s="868">
        <f t="shared" si="38"/>
        <v>0</v>
      </c>
      <c r="AC33" s="874">
        <f t="shared" si="38"/>
        <v>5000</v>
      </c>
      <c r="AD33" s="875">
        <f t="shared" si="38"/>
        <v>137288</v>
      </c>
      <c r="AE33" s="874">
        <f t="shared" si="38"/>
        <v>690452.2</v>
      </c>
      <c r="AF33" s="877">
        <f>SUM(AF34:AF38)</f>
        <v>-49252.27999999997</v>
      </c>
      <c r="AG33" s="878">
        <f>SUM(AG34:AG38)</f>
        <v>-2</v>
      </c>
      <c r="AH33" s="476">
        <f>SUM(AH34:AH39)</f>
        <v>27</v>
      </c>
      <c r="AI33" s="879">
        <f>SUM(AI34:AI39)</f>
        <v>745691.4</v>
      </c>
    </row>
    <row r="34" spans="1:35">
      <c r="A34" s="718" t="s">
        <v>17</v>
      </c>
      <c r="B34" s="15">
        <v>9</v>
      </c>
      <c r="C34" s="736">
        <f>755.15+400</f>
        <v>1155.1500000000001</v>
      </c>
      <c r="D34" s="736">
        <v>1050</v>
      </c>
      <c r="E34" s="736"/>
      <c r="F34" s="736"/>
      <c r="G34" s="736"/>
      <c r="H34" s="736"/>
      <c r="I34" s="736"/>
      <c r="J34" s="736"/>
      <c r="K34" s="736">
        <f t="shared" ref="K34:K39" si="39">SUM(C34:J34)</f>
        <v>2205.15</v>
      </c>
      <c r="L34" s="595">
        <v>1000</v>
      </c>
      <c r="M34" s="595"/>
      <c r="N34" s="886">
        <f t="shared" ref="N34:N39" si="40">+L34+(M34*12)</f>
        <v>1000</v>
      </c>
      <c r="O34" s="887">
        <f t="shared" ref="O34:O39" si="41">(K34*12)+N34</f>
        <v>27461.800000000003</v>
      </c>
      <c r="P34" s="888">
        <f t="shared" ref="P34:P39" si="42">+O34*B34</f>
        <v>247156.2</v>
      </c>
      <c r="Q34" s="15">
        <v>8</v>
      </c>
      <c r="R34" s="885">
        <f>755.15+400</f>
        <v>1155.1500000000001</v>
      </c>
      <c r="S34" s="736">
        <v>1070</v>
      </c>
      <c r="T34" s="736"/>
      <c r="U34" s="736"/>
      <c r="V34" s="736"/>
      <c r="W34" s="736"/>
      <c r="X34" s="736"/>
      <c r="Y34" s="736"/>
      <c r="Z34" s="736">
        <f t="shared" ref="Z34:Z39" si="43">SUM(R34:Y34)</f>
        <v>2225.15</v>
      </c>
      <c r="AA34" s="595">
        <v>1000</v>
      </c>
      <c r="AB34" s="595"/>
      <c r="AC34" s="886">
        <f t="shared" ref="AC34:AC39" si="44">+AA34+(AB34*12)</f>
        <v>1000</v>
      </c>
      <c r="AD34" s="887">
        <f t="shared" ref="AD34:AD39" si="45">(Z34*12)+AC34</f>
        <v>27701.800000000003</v>
      </c>
      <c r="AE34" s="886">
        <f t="shared" ref="AE34:AE39" si="46">+AD34*Q34</f>
        <v>221614.40000000002</v>
      </c>
      <c r="AF34" s="889">
        <f>+AE34-P34</f>
        <v>-25541.799999999988</v>
      </c>
      <c r="AG34" s="890">
        <f>+Q34-B34</f>
        <v>-1</v>
      </c>
      <c r="AH34" s="15">
        <v>9</v>
      </c>
      <c r="AI34" s="889">
        <f t="shared" ref="AI34:AI39" si="47">(Z34*12*AH34)+(AA34*AH34)</f>
        <v>249316.2</v>
      </c>
    </row>
    <row r="35" spans="1:35">
      <c r="A35" s="718" t="s">
        <v>6969</v>
      </c>
      <c r="B35" s="15">
        <v>7</v>
      </c>
      <c r="C35" s="736">
        <f>762.54+400</f>
        <v>1162.54</v>
      </c>
      <c r="D35" s="736">
        <v>1050</v>
      </c>
      <c r="E35" s="736"/>
      <c r="F35" s="736"/>
      <c r="G35" s="736"/>
      <c r="H35" s="736"/>
      <c r="I35" s="736"/>
      <c r="J35" s="736"/>
      <c r="K35" s="736">
        <f t="shared" si="39"/>
        <v>2212.54</v>
      </c>
      <c r="L35" s="595">
        <v>1000</v>
      </c>
      <c r="M35" s="595"/>
      <c r="N35" s="886">
        <f t="shared" si="40"/>
        <v>1000</v>
      </c>
      <c r="O35" s="887">
        <f t="shared" si="41"/>
        <v>27550.48</v>
      </c>
      <c r="P35" s="888">
        <f t="shared" si="42"/>
        <v>192853.36</v>
      </c>
      <c r="Q35" s="15">
        <v>6</v>
      </c>
      <c r="R35" s="885">
        <f>762.54+400</f>
        <v>1162.54</v>
      </c>
      <c r="S35" s="736">
        <v>1070</v>
      </c>
      <c r="T35" s="736"/>
      <c r="U35" s="736"/>
      <c r="V35" s="736"/>
      <c r="W35" s="736"/>
      <c r="X35" s="736"/>
      <c r="Y35" s="736"/>
      <c r="Z35" s="736">
        <f t="shared" si="43"/>
        <v>2232.54</v>
      </c>
      <c r="AA35" s="595">
        <v>1000</v>
      </c>
      <c r="AB35" s="595"/>
      <c r="AC35" s="886">
        <f t="shared" si="44"/>
        <v>1000</v>
      </c>
      <c r="AD35" s="887">
        <f t="shared" si="45"/>
        <v>27790.48</v>
      </c>
      <c r="AE35" s="886">
        <f t="shared" si="46"/>
        <v>166742.88</v>
      </c>
      <c r="AF35" s="889">
        <f>+AE35-P35</f>
        <v>-26110.479999999981</v>
      </c>
      <c r="AG35" s="890">
        <f>+Q35-B35</f>
        <v>-1</v>
      </c>
      <c r="AH35" s="15">
        <v>6</v>
      </c>
      <c r="AI35" s="889">
        <f t="shared" si="47"/>
        <v>166742.88</v>
      </c>
    </row>
    <row r="36" spans="1:35">
      <c r="A36" s="718" t="s">
        <v>6968</v>
      </c>
      <c r="B36" s="15">
        <v>9</v>
      </c>
      <c r="C36" s="736">
        <f>741.45+400</f>
        <v>1141.45</v>
      </c>
      <c r="D36" s="736">
        <v>1050</v>
      </c>
      <c r="E36" s="736"/>
      <c r="F36" s="736"/>
      <c r="G36" s="736"/>
      <c r="H36" s="736"/>
      <c r="I36" s="736"/>
      <c r="J36" s="736"/>
      <c r="K36" s="736">
        <f t="shared" si="39"/>
        <v>2191.4499999999998</v>
      </c>
      <c r="L36" s="736">
        <v>1000</v>
      </c>
      <c r="M36" s="736"/>
      <c r="N36" s="886">
        <f t="shared" si="40"/>
        <v>1000</v>
      </c>
      <c r="O36" s="887">
        <f t="shared" si="41"/>
        <v>27297.399999999998</v>
      </c>
      <c r="P36" s="888">
        <f t="shared" si="42"/>
        <v>245676.59999999998</v>
      </c>
      <c r="Q36" s="15">
        <v>9</v>
      </c>
      <c r="R36" s="885">
        <f>741.45+400</f>
        <v>1141.45</v>
      </c>
      <c r="S36" s="736">
        <v>1070</v>
      </c>
      <c r="T36" s="736"/>
      <c r="U36" s="736"/>
      <c r="V36" s="736"/>
      <c r="W36" s="736"/>
      <c r="X36" s="736"/>
      <c r="Y36" s="736"/>
      <c r="Z36" s="736">
        <f t="shared" si="43"/>
        <v>2211.4499999999998</v>
      </c>
      <c r="AA36" s="736">
        <v>1000</v>
      </c>
      <c r="AB36" s="736"/>
      <c r="AC36" s="886">
        <f t="shared" si="44"/>
        <v>1000</v>
      </c>
      <c r="AD36" s="887">
        <f t="shared" si="45"/>
        <v>27537.399999999998</v>
      </c>
      <c r="AE36" s="886">
        <f t="shared" si="46"/>
        <v>247836.59999999998</v>
      </c>
      <c r="AF36" s="889">
        <f>+AE36-P36</f>
        <v>2160</v>
      </c>
      <c r="AG36" s="890">
        <f>+Q36-B36</f>
        <v>0</v>
      </c>
      <c r="AH36" s="15">
        <v>10</v>
      </c>
      <c r="AI36" s="889">
        <f t="shared" si="47"/>
        <v>275374</v>
      </c>
    </row>
    <row r="37" spans="1:35">
      <c r="A37" s="718" t="s">
        <v>6967</v>
      </c>
      <c r="B37" s="15">
        <v>1</v>
      </c>
      <c r="C37" s="736">
        <f>721.84+400</f>
        <v>1121.8400000000001</v>
      </c>
      <c r="D37" s="736">
        <v>1050</v>
      </c>
      <c r="E37" s="736"/>
      <c r="F37" s="736"/>
      <c r="G37" s="736"/>
      <c r="H37" s="736"/>
      <c r="I37" s="736"/>
      <c r="J37" s="736"/>
      <c r="K37" s="736">
        <f t="shared" si="39"/>
        <v>2171.84</v>
      </c>
      <c r="L37" s="736">
        <v>1000</v>
      </c>
      <c r="M37" s="736"/>
      <c r="N37" s="886">
        <f t="shared" si="40"/>
        <v>1000</v>
      </c>
      <c r="O37" s="887">
        <f t="shared" si="41"/>
        <v>27062.080000000002</v>
      </c>
      <c r="P37" s="888">
        <f t="shared" si="42"/>
        <v>27062.080000000002</v>
      </c>
      <c r="Q37" s="15">
        <v>1</v>
      </c>
      <c r="R37" s="885">
        <f>721.84+400</f>
        <v>1121.8400000000001</v>
      </c>
      <c r="S37" s="736">
        <v>1070</v>
      </c>
      <c r="T37" s="736"/>
      <c r="U37" s="736"/>
      <c r="V37" s="736"/>
      <c r="W37" s="736"/>
      <c r="X37" s="736"/>
      <c r="Y37" s="736"/>
      <c r="Z37" s="736">
        <f t="shared" si="43"/>
        <v>2191.84</v>
      </c>
      <c r="AA37" s="736">
        <v>1000</v>
      </c>
      <c r="AB37" s="736"/>
      <c r="AC37" s="886">
        <f t="shared" si="44"/>
        <v>1000</v>
      </c>
      <c r="AD37" s="887">
        <f t="shared" si="45"/>
        <v>27302.080000000002</v>
      </c>
      <c r="AE37" s="886">
        <f t="shared" si="46"/>
        <v>27302.080000000002</v>
      </c>
      <c r="AF37" s="889">
        <f>+AE37-P37</f>
        <v>240</v>
      </c>
      <c r="AG37" s="890">
        <f>+Q37-B37</f>
        <v>0</v>
      </c>
      <c r="AH37" s="15">
        <v>1</v>
      </c>
      <c r="AI37" s="889">
        <f t="shared" si="47"/>
        <v>27302.080000000002</v>
      </c>
    </row>
    <row r="38" spans="1:35" hidden="1">
      <c r="A38" s="718" t="s">
        <v>18</v>
      </c>
      <c r="B38" s="15">
        <v>0</v>
      </c>
      <c r="C38" s="736"/>
      <c r="D38" s="736"/>
      <c r="E38" s="736"/>
      <c r="F38" s="736"/>
      <c r="G38" s="736"/>
      <c r="H38" s="736"/>
      <c r="I38" s="736"/>
      <c r="J38" s="736"/>
      <c r="K38" s="736">
        <f t="shared" si="39"/>
        <v>0</v>
      </c>
      <c r="L38" s="736"/>
      <c r="M38" s="736"/>
      <c r="N38" s="886">
        <f t="shared" si="40"/>
        <v>0</v>
      </c>
      <c r="O38" s="887">
        <f t="shared" si="41"/>
        <v>0</v>
      </c>
      <c r="P38" s="888">
        <f t="shared" si="42"/>
        <v>0</v>
      </c>
      <c r="Q38" s="15">
        <v>0</v>
      </c>
      <c r="R38" s="885"/>
      <c r="S38" s="736"/>
      <c r="T38" s="736"/>
      <c r="U38" s="736"/>
      <c r="V38" s="736"/>
      <c r="W38" s="736"/>
      <c r="X38" s="736"/>
      <c r="Y38" s="736"/>
      <c r="Z38" s="736">
        <f t="shared" si="43"/>
        <v>0</v>
      </c>
      <c r="AA38" s="736"/>
      <c r="AB38" s="736"/>
      <c r="AC38" s="886">
        <f t="shared" si="44"/>
        <v>0</v>
      </c>
      <c r="AD38" s="887">
        <f t="shared" si="45"/>
        <v>0</v>
      </c>
      <c r="AE38" s="886">
        <f t="shared" si="46"/>
        <v>0</v>
      </c>
      <c r="AF38" s="889"/>
      <c r="AG38" s="890"/>
      <c r="AH38" s="15">
        <v>0</v>
      </c>
      <c r="AI38" s="889">
        <f t="shared" si="47"/>
        <v>0</v>
      </c>
    </row>
    <row r="39" spans="1:35">
      <c r="A39" s="718" t="s">
        <v>6966</v>
      </c>
      <c r="B39" s="15">
        <v>1</v>
      </c>
      <c r="C39" s="736">
        <f>693.02+400</f>
        <v>1093.02</v>
      </c>
      <c r="D39" s="736">
        <v>1050</v>
      </c>
      <c r="E39" s="736"/>
      <c r="F39" s="736"/>
      <c r="G39" s="736"/>
      <c r="H39" s="736"/>
      <c r="I39" s="736"/>
      <c r="J39" s="736"/>
      <c r="K39" s="736">
        <f t="shared" si="39"/>
        <v>2143.02</v>
      </c>
      <c r="L39" s="736">
        <v>1000</v>
      </c>
      <c r="M39" s="736"/>
      <c r="N39" s="886">
        <f t="shared" si="40"/>
        <v>1000</v>
      </c>
      <c r="O39" s="887">
        <f t="shared" si="41"/>
        <v>26716.239999999998</v>
      </c>
      <c r="P39" s="888">
        <f t="shared" si="42"/>
        <v>26716.239999999998</v>
      </c>
      <c r="Q39" s="15">
        <v>1</v>
      </c>
      <c r="R39" s="885">
        <f>693.02+400</f>
        <v>1093.02</v>
      </c>
      <c r="S39" s="736">
        <v>1070</v>
      </c>
      <c r="T39" s="736"/>
      <c r="U39" s="736"/>
      <c r="V39" s="736"/>
      <c r="W39" s="736"/>
      <c r="X39" s="736"/>
      <c r="Y39" s="736"/>
      <c r="Z39" s="736">
        <f t="shared" si="43"/>
        <v>2163.02</v>
      </c>
      <c r="AA39" s="736">
        <v>1000</v>
      </c>
      <c r="AB39" s="736"/>
      <c r="AC39" s="886">
        <f t="shared" si="44"/>
        <v>1000</v>
      </c>
      <c r="AD39" s="887">
        <f t="shared" si="45"/>
        <v>26956.239999999998</v>
      </c>
      <c r="AE39" s="886">
        <f t="shared" si="46"/>
        <v>26956.239999999998</v>
      </c>
      <c r="AF39" s="889">
        <f>+AE39-P39</f>
        <v>240</v>
      </c>
      <c r="AG39" s="890">
        <f>+Q39-B39</f>
        <v>0</v>
      </c>
      <c r="AH39" s="15">
        <v>1</v>
      </c>
      <c r="AI39" s="889">
        <f t="shared" si="47"/>
        <v>26956.239999999998</v>
      </c>
    </row>
    <row r="40" spans="1:35">
      <c r="A40" s="717" t="s">
        <v>7052</v>
      </c>
      <c r="B40" s="579">
        <f t="shared" ref="B40:K40" si="48">SUM(B41:B43)</f>
        <v>4</v>
      </c>
      <c r="C40" s="867">
        <f t="shared" si="48"/>
        <v>83000</v>
      </c>
      <c r="D40" s="868">
        <f t="shared" si="48"/>
        <v>0</v>
      </c>
      <c r="E40" s="868">
        <f t="shared" si="48"/>
        <v>0</v>
      </c>
      <c r="F40" s="868">
        <f t="shared" si="48"/>
        <v>0</v>
      </c>
      <c r="G40" s="868">
        <f t="shared" si="48"/>
        <v>0</v>
      </c>
      <c r="H40" s="868">
        <f t="shared" si="48"/>
        <v>0</v>
      </c>
      <c r="I40" s="868">
        <f t="shared" si="48"/>
        <v>0</v>
      </c>
      <c r="J40" s="868">
        <f t="shared" si="48"/>
        <v>0</v>
      </c>
      <c r="K40" s="868">
        <f t="shared" si="48"/>
        <v>83000</v>
      </c>
      <c r="L40" s="868">
        <f>SUM(L41:L46)</f>
        <v>222000</v>
      </c>
      <c r="M40" s="868">
        <f>SUM(M41:M46)</f>
        <v>0</v>
      </c>
      <c r="N40" s="874">
        <f>SUM(N41:N46)</f>
        <v>222000</v>
      </c>
      <c r="O40" s="875">
        <f t="shared" ref="O40:Z40" si="49">SUM(O41:O43)</f>
        <v>1218000</v>
      </c>
      <c r="P40" s="876">
        <f t="shared" si="49"/>
        <v>1666000</v>
      </c>
      <c r="Q40" s="579">
        <f t="shared" si="49"/>
        <v>4</v>
      </c>
      <c r="R40" s="867">
        <f t="shared" si="49"/>
        <v>83000</v>
      </c>
      <c r="S40" s="868">
        <f t="shared" si="49"/>
        <v>0</v>
      </c>
      <c r="T40" s="868">
        <f t="shared" si="49"/>
        <v>0</v>
      </c>
      <c r="U40" s="868">
        <f t="shared" si="49"/>
        <v>0</v>
      </c>
      <c r="V40" s="868">
        <f t="shared" si="49"/>
        <v>0</v>
      </c>
      <c r="W40" s="868">
        <f t="shared" si="49"/>
        <v>0</v>
      </c>
      <c r="X40" s="868">
        <f t="shared" si="49"/>
        <v>0</v>
      </c>
      <c r="Y40" s="868">
        <f t="shared" si="49"/>
        <v>0</v>
      </c>
      <c r="Z40" s="868">
        <f t="shared" si="49"/>
        <v>83000</v>
      </c>
      <c r="AA40" s="868">
        <f>SUM(AA41:AA46)</f>
        <v>222000</v>
      </c>
      <c r="AB40" s="868">
        <f>SUM(AB41:AB46)</f>
        <v>0</v>
      </c>
      <c r="AC40" s="874">
        <f>SUM(AC41:AC46)</f>
        <v>222000</v>
      </c>
      <c r="AD40" s="875">
        <f t="shared" ref="AD40:AI40" si="50">SUM(AD41:AD43)</f>
        <v>1218000</v>
      </c>
      <c r="AE40" s="874">
        <f t="shared" si="50"/>
        <v>1666000</v>
      </c>
      <c r="AF40" s="877">
        <f t="shared" si="50"/>
        <v>0</v>
      </c>
      <c r="AG40" s="878">
        <f t="shared" si="50"/>
        <v>0</v>
      </c>
      <c r="AH40" s="476">
        <f t="shared" si="50"/>
        <v>4</v>
      </c>
      <c r="AI40" s="879">
        <f t="shared" si="50"/>
        <v>1666000</v>
      </c>
    </row>
    <row r="41" spans="1:35">
      <c r="A41" s="718" t="s">
        <v>7051</v>
      </c>
      <c r="B41" s="577">
        <v>1</v>
      </c>
      <c r="C41" s="736">
        <v>30000</v>
      </c>
      <c r="D41" s="736"/>
      <c r="E41" s="736"/>
      <c r="F41" s="736"/>
      <c r="G41" s="736"/>
      <c r="H41" s="736"/>
      <c r="I41" s="736"/>
      <c r="J41" s="736"/>
      <c r="K41" s="736">
        <f>SUM(C41:J41)</f>
        <v>30000</v>
      </c>
      <c r="L41" s="736">
        <v>60000</v>
      </c>
      <c r="M41" s="736"/>
      <c r="N41" s="886">
        <f>+L41+(M41*12)</f>
        <v>60000</v>
      </c>
      <c r="O41" s="887">
        <f>(K41*12)+N41</f>
        <v>420000</v>
      </c>
      <c r="P41" s="888">
        <f>+O41*B41</f>
        <v>420000</v>
      </c>
      <c r="Q41" s="577">
        <v>1</v>
      </c>
      <c r="R41" s="885">
        <v>30000</v>
      </c>
      <c r="S41" s="736"/>
      <c r="T41" s="885"/>
      <c r="U41" s="736"/>
      <c r="V41" s="885"/>
      <c r="W41" s="736"/>
      <c r="X41" s="885"/>
      <c r="Y41" s="736"/>
      <c r="Z41" s="736">
        <f>SUM(R41:Y41)</f>
        <v>30000</v>
      </c>
      <c r="AA41" s="736">
        <v>60000</v>
      </c>
      <c r="AB41" s="736"/>
      <c r="AC41" s="886">
        <f>+AA41+(AB41*12)</f>
        <v>60000</v>
      </c>
      <c r="AD41" s="887">
        <f>(Z41*12)+AC41</f>
        <v>420000</v>
      </c>
      <c r="AE41" s="886">
        <f>+AD41*Q41</f>
        <v>420000</v>
      </c>
      <c r="AF41" s="889">
        <f>+AE41-P41</f>
        <v>0</v>
      </c>
      <c r="AG41" s="890">
        <f>+Q41-B41</f>
        <v>0</v>
      </c>
      <c r="AH41" s="15">
        <v>1</v>
      </c>
      <c r="AI41" s="889">
        <f>(Z41*12*AH41)+(AA41*AH41)</f>
        <v>420000</v>
      </c>
    </row>
    <row r="42" spans="1:35">
      <c r="A42" s="718" t="s">
        <v>7050</v>
      </c>
      <c r="B42" s="577">
        <v>2</v>
      </c>
      <c r="C42" s="736">
        <v>28000</v>
      </c>
      <c r="D42" s="736"/>
      <c r="E42" s="736"/>
      <c r="F42" s="736"/>
      <c r="G42" s="736"/>
      <c r="H42" s="736"/>
      <c r="I42" s="736"/>
      <c r="J42" s="736"/>
      <c r="K42" s="736">
        <f>SUM(C42:J42)</f>
        <v>28000</v>
      </c>
      <c r="L42" s="736">
        <f>28000*4</f>
        <v>112000</v>
      </c>
      <c r="M42" s="736"/>
      <c r="N42" s="886">
        <f>+L42+(M42*12)</f>
        <v>112000</v>
      </c>
      <c r="O42" s="887">
        <f>(K42*12)+N42</f>
        <v>448000</v>
      </c>
      <c r="P42" s="888">
        <f>+O42*B42</f>
        <v>896000</v>
      </c>
      <c r="Q42" s="577">
        <v>2</v>
      </c>
      <c r="R42" s="885">
        <v>28000</v>
      </c>
      <c r="S42" s="736"/>
      <c r="T42" s="885"/>
      <c r="U42" s="736"/>
      <c r="V42" s="885"/>
      <c r="W42" s="736"/>
      <c r="X42" s="885"/>
      <c r="Y42" s="736"/>
      <c r="Z42" s="736">
        <f>SUM(R42:Y42)</f>
        <v>28000</v>
      </c>
      <c r="AA42" s="736">
        <f>28000*4</f>
        <v>112000</v>
      </c>
      <c r="AB42" s="736"/>
      <c r="AC42" s="886">
        <f>+AA42+(AB42*12)</f>
        <v>112000</v>
      </c>
      <c r="AD42" s="887">
        <f>(Z42*12)+AC42</f>
        <v>448000</v>
      </c>
      <c r="AE42" s="886">
        <f>+AD42*Q42</f>
        <v>896000</v>
      </c>
      <c r="AF42" s="889">
        <f>+AE42-P42</f>
        <v>0</v>
      </c>
      <c r="AG42" s="890">
        <f>+Q42-B42</f>
        <v>0</v>
      </c>
      <c r="AH42" s="15">
        <v>2</v>
      </c>
      <c r="AI42" s="889">
        <f>(Z42*12*AH42)+(AA42*AH42)</f>
        <v>896000</v>
      </c>
    </row>
    <row r="43" spans="1:35">
      <c r="A43" s="718" t="s">
        <v>7049</v>
      </c>
      <c r="B43" s="577">
        <v>1</v>
      </c>
      <c r="C43" s="736">
        <v>25000</v>
      </c>
      <c r="D43" s="736"/>
      <c r="E43" s="736"/>
      <c r="F43" s="736"/>
      <c r="G43" s="736"/>
      <c r="H43" s="736"/>
      <c r="I43" s="736"/>
      <c r="J43" s="736"/>
      <c r="K43" s="736">
        <f>SUM(C43:J43)</f>
        <v>25000</v>
      </c>
      <c r="L43" s="736">
        <v>50000</v>
      </c>
      <c r="M43" s="736"/>
      <c r="N43" s="886">
        <f>+L43+(M43*12)</f>
        <v>50000</v>
      </c>
      <c r="O43" s="887">
        <f>(K43*12)+N43</f>
        <v>350000</v>
      </c>
      <c r="P43" s="888">
        <f>+O43*B43</f>
        <v>350000</v>
      </c>
      <c r="Q43" s="577">
        <v>1</v>
      </c>
      <c r="R43" s="885">
        <v>25000</v>
      </c>
      <c r="S43" s="736"/>
      <c r="T43" s="885"/>
      <c r="U43" s="736"/>
      <c r="V43" s="885"/>
      <c r="W43" s="736"/>
      <c r="X43" s="885"/>
      <c r="Y43" s="736"/>
      <c r="Z43" s="736">
        <f>SUM(R43:Y43)</f>
        <v>25000</v>
      </c>
      <c r="AA43" s="736">
        <v>50000</v>
      </c>
      <c r="AB43" s="736"/>
      <c r="AC43" s="886">
        <f>+AA43+(AB43*12)</f>
        <v>50000</v>
      </c>
      <c r="AD43" s="887">
        <f>(Z43*12)+AC43</f>
        <v>350000</v>
      </c>
      <c r="AE43" s="886">
        <f>+AD43*Q43</f>
        <v>350000</v>
      </c>
      <c r="AF43" s="889">
        <f>+AE43-P43</f>
        <v>0</v>
      </c>
      <c r="AG43" s="890">
        <f>+Q43-B43</f>
        <v>0</v>
      </c>
      <c r="AH43" s="15">
        <v>1</v>
      </c>
      <c r="AI43" s="889">
        <f>(Z43*12*AH43)+(AA43*AH43)</f>
        <v>350000</v>
      </c>
    </row>
    <row r="44" spans="1:35" ht="24">
      <c r="A44" s="717" t="s">
        <v>6965</v>
      </c>
      <c r="B44" s="579">
        <f>SUM(B45)</f>
        <v>2</v>
      </c>
      <c r="C44" s="867">
        <f>SUM(C45)</f>
        <v>45000</v>
      </c>
      <c r="D44" s="868"/>
      <c r="E44" s="868">
        <f t="shared" ref="E44:R44" si="51">SUM(E45)</f>
        <v>0</v>
      </c>
      <c r="F44" s="868">
        <f t="shared" si="51"/>
        <v>0</v>
      </c>
      <c r="G44" s="868">
        <f t="shared" si="51"/>
        <v>0</v>
      </c>
      <c r="H44" s="868">
        <f t="shared" si="51"/>
        <v>0</v>
      </c>
      <c r="I44" s="868">
        <f t="shared" si="51"/>
        <v>0</v>
      </c>
      <c r="J44" s="868">
        <f t="shared" si="51"/>
        <v>0</v>
      </c>
      <c r="K44" s="868">
        <f t="shared" si="51"/>
        <v>45000</v>
      </c>
      <c r="L44" s="868">
        <f t="shared" si="51"/>
        <v>0</v>
      </c>
      <c r="M44" s="868">
        <f t="shared" si="51"/>
        <v>0</v>
      </c>
      <c r="N44" s="874">
        <f t="shared" si="51"/>
        <v>0</v>
      </c>
      <c r="O44" s="875">
        <f t="shared" si="51"/>
        <v>540000</v>
      </c>
      <c r="P44" s="876">
        <f t="shared" si="51"/>
        <v>1080000</v>
      </c>
      <c r="Q44" s="579">
        <f t="shared" si="51"/>
        <v>2</v>
      </c>
      <c r="R44" s="867">
        <f t="shared" si="51"/>
        <v>45000</v>
      </c>
      <c r="S44" s="868"/>
      <c r="T44" s="868">
        <f t="shared" ref="T44:AE44" si="52">SUM(T45)</f>
        <v>0</v>
      </c>
      <c r="U44" s="868">
        <f t="shared" si="52"/>
        <v>0</v>
      </c>
      <c r="V44" s="868">
        <f t="shared" si="52"/>
        <v>0</v>
      </c>
      <c r="W44" s="868">
        <f t="shared" si="52"/>
        <v>0</v>
      </c>
      <c r="X44" s="868">
        <f t="shared" si="52"/>
        <v>0</v>
      </c>
      <c r="Y44" s="868">
        <f t="shared" si="52"/>
        <v>0</v>
      </c>
      <c r="Z44" s="868">
        <f t="shared" si="52"/>
        <v>45000</v>
      </c>
      <c r="AA44" s="868">
        <f t="shared" si="52"/>
        <v>0</v>
      </c>
      <c r="AB44" s="868">
        <f t="shared" si="52"/>
        <v>0</v>
      </c>
      <c r="AC44" s="874">
        <f t="shared" si="52"/>
        <v>0</v>
      </c>
      <c r="AD44" s="875">
        <f t="shared" si="52"/>
        <v>45000</v>
      </c>
      <c r="AE44" s="874">
        <f t="shared" si="52"/>
        <v>540000</v>
      </c>
      <c r="AF44" s="891"/>
      <c r="AG44" s="892"/>
      <c r="AH44" s="476">
        <f>SUM(AH45)</f>
        <v>1</v>
      </c>
      <c r="AI44" s="879">
        <f>SUM(AI45)</f>
        <v>540000</v>
      </c>
    </row>
    <row r="45" spans="1:35" ht="24">
      <c r="A45" s="718" t="s">
        <v>6964</v>
      </c>
      <c r="B45" s="577">
        <v>2</v>
      </c>
      <c r="C45" s="595">
        <v>45000</v>
      </c>
      <c r="D45" s="736"/>
      <c r="E45" s="736"/>
      <c r="F45" s="736"/>
      <c r="G45" s="736"/>
      <c r="H45" s="736"/>
      <c r="I45" s="736"/>
      <c r="J45" s="736"/>
      <c r="K45" s="736">
        <f>SUM(C45:J45)</f>
        <v>45000</v>
      </c>
      <c r="L45" s="736"/>
      <c r="M45" s="736"/>
      <c r="N45" s="886">
        <f>+L45+(M45*12)</f>
        <v>0</v>
      </c>
      <c r="O45" s="887">
        <f>(K45*12)</f>
        <v>540000</v>
      </c>
      <c r="P45" s="888">
        <f>O45*B45</f>
        <v>1080000</v>
      </c>
      <c r="Q45" s="577">
        <v>2</v>
      </c>
      <c r="R45" s="595">
        <v>45000</v>
      </c>
      <c r="S45" s="736"/>
      <c r="T45" s="736"/>
      <c r="U45" s="736"/>
      <c r="V45" s="736"/>
      <c r="W45" s="736"/>
      <c r="X45" s="736"/>
      <c r="Y45" s="736"/>
      <c r="Z45" s="736">
        <f>SUM(R45:Y45)</f>
        <v>45000</v>
      </c>
      <c r="AA45" s="736"/>
      <c r="AB45" s="736"/>
      <c r="AC45" s="886">
        <f>+AA45+(AB45*12)</f>
        <v>0</v>
      </c>
      <c r="AD45" s="887">
        <f>(Z45)+AC45*Q45</f>
        <v>45000</v>
      </c>
      <c r="AE45" s="886">
        <f>+AD45*12</f>
        <v>540000</v>
      </c>
      <c r="AF45" s="889">
        <f>+AE45-P45</f>
        <v>-540000</v>
      </c>
      <c r="AG45" s="890">
        <f>+Q45-B45</f>
        <v>0</v>
      </c>
      <c r="AH45" s="15">
        <v>1</v>
      </c>
      <c r="AI45" s="889">
        <f>(Z45*12*AH45)+(AA45*AH45)</f>
        <v>540000</v>
      </c>
    </row>
    <row r="46" spans="1:35" hidden="1">
      <c r="A46" s="717" t="s">
        <v>24</v>
      </c>
      <c r="B46" s="580"/>
      <c r="C46" s="893"/>
      <c r="D46" s="873"/>
      <c r="E46" s="873"/>
      <c r="F46" s="873"/>
      <c r="G46" s="873"/>
      <c r="H46" s="873"/>
      <c r="I46" s="873"/>
      <c r="J46" s="873"/>
      <c r="K46" s="873"/>
      <c r="L46" s="873"/>
      <c r="M46" s="873"/>
      <c r="N46" s="894"/>
      <c r="O46" s="895"/>
      <c r="P46" s="896"/>
      <c r="Q46" s="580"/>
      <c r="R46" s="893"/>
      <c r="S46" s="873"/>
      <c r="T46" s="873"/>
      <c r="U46" s="873"/>
      <c r="V46" s="873"/>
      <c r="W46" s="873"/>
      <c r="X46" s="873"/>
      <c r="Y46" s="873"/>
      <c r="Z46" s="873"/>
      <c r="AA46" s="873"/>
      <c r="AB46" s="873"/>
      <c r="AC46" s="894"/>
      <c r="AD46" s="895"/>
      <c r="AE46" s="894"/>
      <c r="AF46" s="891"/>
      <c r="AG46" s="892"/>
      <c r="AH46" s="619"/>
      <c r="AI46" s="891"/>
    </row>
    <row r="47" spans="1:35" ht="48" hidden="1">
      <c r="A47" s="717" t="s">
        <v>6909</v>
      </c>
      <c r="B47" s="579">
        <f t="shared" ref="B47:AE47" si="53">SUM(B48:B50)</f>
        <v>0</v>
      </c>
      <c r="C47" s="867">
        <f t="shared" si="53"/>
        <v>0</v>
      </c>
      <c r="D47" s="868">
        <f t="shared" si="53"/>
        <v>0</v>
      </c>
      <c r="E47" s="868">
        <f t="shared" si="53"/>
        <v>0</v>
      </c>
      <c r="F47" s="868">
        <f t="shared" si="53"/>
        <v>0</v>
      </c>
      <c r="G47" s="868">
        <f t="shared" si="53"/>
        <v>0</v>
      </c>
      <c r="H47" s="868">
        <f t="shared" si="53"/>
        <v>0</v>
      </c>
      <c r="I47" s="868">
        <f t="shared" si="53"/>
        <v>0</v>
      </c>
      <c r="J47" s="868">
        <f t="shared" si="53"/>
        <v>0</v>
      </c>
      <c r="K47" s="868">
        <f t="shared" si="53"/>
        <v>0</v>
      </c>
      <c r="L47" s="868">
        <f t="shared" si="53"/>
        <v>0</v>
      </c>
      <c r="M47" s="868">
        <f t="shared" si="53"/>
        <v>0</v>
      </c>
      <c r="N47" s="874">
        <f t="shared" si="53"/>
        <v>0</v>
      </c>
      <c r="O47" s="875">
        <f t="shared" si="53"/>
        <v>0</v>
      </c>
      <c r="P47" s="876">
        <f t="shared" si="53"/>
        <v>0</v>
      </c>
      <c r="Q47" s="579">
        <f t="shared" si="53"/>
        <v>0</v>
      </c>
      <c r="R47" s="867">
        <f t="shared" si="53"/>
        <v>0</v>
      </c>
      <c r="S47" s="868">
        <f t="shared" si="53"/>
        <v>0</v>
      </c>
      <c r="T47" s="868">
        <f t="shared" si="53"/>
        <v>0</v>
      </c>
      <c r="U47" s="868">
        <f t="shared" si="53"/>
        <v>0</v>
      </c>
      <c r="V47" s="868">
        <f t="shared" si="53"/>
        <v>0</v>
      </c>
      <c r="W47" s="868">
        <f t="shared" si="53"/>
        <v>0</v>
      </c>
      <c r="X47" s="868">
        <f t="shared" si="53"/>
        <v>0</v>
      </c>
      <c r="Y47" s="868">
        <f t="shared" si="53"/>
        <v>0</v>
      </c>
      <c r="Z47" s="868">
        <f t="shared" si="53"/>
        <v>0</v>
      </c>
      <c r="AA47" s="868">
        <f t="shared" si="53"/>
        <v>0</v>
      </c>
      <c r="AB47" s="868">
        <f t="shared" si="53"/>
        <v>0</v>
      </c>
      <c r="AC47" s="874">
        <f t="shared" si="53"/>
        <v>0</v>
      </c>
      <c r="AD47" s="875">
        <f t="shared" si="53"/>
        <v>0</v>
      </c>
      <c r="AE47" s="874">
        <f t="shared" si="53"/>
        <v>0</v>
      </c>
      <c r="AF47" s="891"/>
      <c r="AG47" s="892"/>
      <c r="AH47" s="619"/>
      <c r="AI47" s="891"/>
    </row>
    <row r="48" spans="1:35" ht="36" hidden="1">
      <c r="A48" s="718" t="s">
        <v>6908</v>
      </c>
      <c r="B48" s="577"/>
      <c r="C48" s="885"/>
      <c r="D48" s="736"/>
      <c r="E48" s="736"/>
      <c r="F48" s="736"/>
      <c r="G48" s="736"/>
      <c r="H48" s="736"/>
      <c r="I48" s="736"/>
      <c r="J48" s="736"/>
      <c r="K48" s="736">
        <f>SUM(C48:J48)</f>
        <v>0</v>
      </c>
      <c r="L48" s="736"/>
      <c r="M48" s="736"/>
      <c r="N48" s="886">
        <f>+L48+(M48*12)</f>
        <v>0</v>
      </c>
      <c r="O48" s="887">
        <f>(K48*12)+N48</f>
        <v>0</v>
      </c>
      <c r="P48" s="888">
        <f>+O48*B48</f>
        <v>0</v>
      </c>
      <c r="Q48" s="577"/>
      <c r="R48" s="885"/>
      <c r="S48" s="736"/>
      <c r="T48" s="736"/>
      <c r="U48" s="736"/>
      <c r="V48" s="736"/>
      <c r="W48" s="736"/>
      <c r="X48" s="736"/>
      <c r="Y48" s="736"/>
      <c r="Z48" s="736">
        <f>SUM(R48:Y48)</f>
        <v>0</v>
      </c>
      <c r="AA48" s="736"/>
      <c r="AB48" s="736"/>
      <c r="AC48" s="886">
        <f>+AA48+(AB48*12)</f>
        <v>0</v>
      </c>
      <c r="AD48" s="887">
        <f>(Z48*12)+AC48</f>
        <v>0</v>
      </c>
      <c r="AE48" s="886">
        <f>+AD48*Q48</f>
        <v>0</v>
      </c>
      <c r="AF48" s="889">
        <f>+AE48-P48</f>
        <v>0</v>
      </c>
      <c r="AG48" s="890">
        <f>+Q48-B48</f>
        <v>0</v>
      </c>
      <c r="AH48" s="777"/>
      <c r="AI48" s="889"/>
    </row>
    <row r="49" spans="1:35" ht="36" hidden="1">
      <c r="A49" s="718" t="s">
        <v>6907</v>
      </c>
      <c r="B49" s="577"/>
      <c r="C49" s="885"/>
      <c r="D49" s="736"/>
      <c r="E49" s="736"/>
      <c r="F49" s="736"/>
      <c r="G49" s="736"/>
      <c r="H49" s="736"/>
      <c r="I49" s="736"/>
      <c r="J49" s="736"/>
      <c r="K49" s="736">
        <f>SUM(C49:J49)</f>
        <v>0</v>
      </c>
      <c r="L49" s="736"/>
      <c r="M49" s="736"/>
      <c r="N49" s="886">
        <f>+L49+(M49*12)</f>
        <v>0</v>
      </c>
      <c r="O49" s="887">
        <f>(K49*12)+N49</f>
        <v>0</v>
      </c>
      <c r="P49" s="888">
        <f>+O49*B49</f>
        <v>0</v>
      </c>
      <c r="Q49" s="577"/>
      <c r="R49" s="885"/>
      <c r="S49" s="736"/>
      <c r="T49" s="736"/>
      <c r="U49" s="736"/>
      <c r="V49" s="736"/>
      <c r="W49" s="736"/>
      <c r="X49" s="736"/>
      <c r="Y49" s="736"/>
      <c r="Z49" s="736">
        <f>SUM(R49:Y49)</f>
        <v>0</v>
      </c>
      <c r="AA49" s="736"/>
      <c r="AB49" s="736"/>
      <c r="AC49" s="886">
        <f>+AA49+(AB49*12)</f>
        <v>0</v>
      </c>
      <c r="AD49" s="887">
        <f>(Z49*12)+AC49</f>
        <v>0</v>
      </c>
      <c r="AE49" s="886">
        <f>+AD49*Q49</f>
        <v>0</v>
      </c>
      <c r="AF49" s="889"/>
      <c r="AG49" s="890"/>
      <c r="AH49" s="777"/>
      <c r="AI49" s="889"/>
    </row>
    <row r="50" spans="1:35" ht="36" hidden="1">
      <c r="A50" s="718" t="s">
        <v>6906</v>
      </c>
      <c r="B50" s="577"/>
      <c r="C50" s="885"/>
      <c r="D50" s="736"/>
      <c r="E50" s="736"/>
      <c r="F50" s="736"/>
      <c r="G50" s="736"/>
      <c r="H50" s="736"/>
      <c r="I50" s="736"/>
      <c r="J50" s="736"/>
      <c r="K50" s="736">
        <f>SUM(C50:J50)</f>
        <v>0</v>
      </c>
      <c r="L50" s="736"/>
      <c r="M50" s="736"/>
      <c r="N50" s="886">
        <f>+L50+(M50*12)</f>
        <v>0</v>
      </c>
      <c r="O50" s="887">
        <f>(K50*12)+N50</f>
        <v>0</v>
      </c>
      <c r="P50" s="888">
        <f>+O50*B50</f>
        <v>0</v>
      </c>
      <c r="Q50" s="577"/>
      <c r="R50" s="885"/>
      <c r="S50" s="736"/>
      <c r="T50" s="736"/>
      <c r="U50" s="736"/>
      <c r="V50" s="736"/>
      <c r="W50" s="736"/>
      <c r="X50" s="736"/>
      <c r="Y50" s="736"/>
      <c r="Z50" s="736">
        <f>SUM(R50:Y50)</f>
        <v>0</v>
      </c>
      <c r="AA50" s="736"/>
      <c r="AB50" s="736"/>
      <c r="AC50" s="886">
        <f>+AA50+(AB50*12)</f>
        <v>0</v>
      </c>
      <c r="AD50" s="887">
        <f>(Z50*12)+AC50</f>
        <v>0</v>
      </c>
      <c r="AE50" s="886">
        <f>+AD50*Q50</f>
        <v>0</v>
      </c>
      <c r="AF50" s="889"/>
      <c r="AG50" s="890"/>
      <c r="AH50" s="777"/>
      <c r="AI50" s="889"/>
    </row>
    <row r="51" spans="1:35">
      <c r="A51" s="717" t="s">
        <v>6901</v>
      </c>
      <c r="B51" s="578">
        <f>SUM(B52:B62)</f>
        <v>20</v>
      </c>
      <c r="C51" s="867"/>
      <c r="D51" s="868">
        <f t="shared" ref="D51:Q51" si="54">SUM(D52:D62)</f>
        <v>7750</v>
      </c>
      <c r="E51" s="868">
        <f t="shared" si="54"/>
        <v>0</v>
      </c>
      <c r="F51" s="868">
        <f t="shared" si="54"/>
        <v>0</v>
      </c>
      <c r="G51" s="868">
        <f t="shared" si="54"/>
        <v>0</v>
      </c>
      <c r="H51" s="868">
        <f t="shared" si="54"/>
        <v>0</v>
      </c>
      <c r="I51" s="868">
        <f t="shared" si="54"/>
        <v>0</v>
      </c>
      <c r="J51" s="868">
        <f t="shared" si="54"/>
        <v>0</v>
      </c>
      <c r="K51" s="868">
        <f t="shared" si="54"/>
        <v>7750</v>
      </c>
      <c r="L51" s="868">
        <f t="shared" si="54"/>
        <v>0</v>
      </c>
      <c r="M51" s="868">
        <f t="shared" si="54"/>
        <v>0</v>
      </c>
      <c r="N51" s="874">
        <f t="shared" si="54"/>
        <v>0</v>
      </c>
      <c r="O51" s="875">
        <f t="shared" si="54"/>
        <v>93000</v>
      </c>
      <c r="P51" s="876">
        <f t="shared" si="54"/>
        <v>229800</v>
      </c>
      <c r="Q51" s="578">
        <f t="shared" si="54"/>
        <v>18</v>
      </c>
      <c r="R51" s="867"/>
      <c r="S51" s="868">
        <f t="shared" ref="S51:AE51" si="55">SUM(S52:S62)</f>
        <v>8600</v>
      </c>
      <c r="T51" s="868">
        <f t="shared" si="55"/>
        <v>0</v>
      </c>
      <c r="U51" s="868">
        <f t="shared" si="55"/>
        <v>0</v>
      </c>
      <c r="V51" s="868">
        <f t="shared" si="55"/>
        <v>0</v>
      </c>
      <c r="W51" s="868">
        <f t="shared" si="55"/>
        <v>0</v>
      </c>
      <c r="X51" s="868">
        <f t="shared" si="55"/>
        <v>0</v>
      </c>
      <c r="Y51" s="868">
        <f t="shared" si="55"/>
        <v>0</v>
      </c>
      <c r="Z51" s="868">
        <f t="shared" si="55"/>
        <v>8600</v>
      </c>
      <c r="AA51" s="868">
        <f t="shared" si="55"/>
        <v>0</v>
      </c>
      <c r="AB51" s="868">
        <f t="shared" si="55"/>
        <v>0</v>
      </c>
      <c r="AC51" s="874">
        <f t="shared" si="55"/>
        <v>0</v>
      </c>
      <c r="AD51" s="875">
        <f t="shared" si="55"/>
        <v>103200</v>
      </c>
      <c r="AE51" s="874">
        <f t="shared" si="55"/>
        <v>231600</v>
      </c>
      <c r="AF51" s="891"/>
      <c r="AG51" s="892"/>
      <c r="AH51" s="578">
        <f>SUM(AH52:AH62)</f>
        <v>20</v>
      </c>
      <c r="AI51" s="879">
        <f>SUM(AI52:AI62)</f>
        <v>257280</v>
      </c>
    </row>
    <row r="52" spans="1:35" hidden="1">
      <c r="A52" s="718" t="s">
        <v>7058</v>
      </c>
      <c r="B52" s="897"/>
      <c r="C52" s="885"/>
      <c r="D52" s="736"/>
      <c r="E52" s="736"/>
      <c r="F52" s="736"/>
      <c r="G52" s="736"/>
      <c r="H52" s="736"/>
      <c r="I52" s="736"/>
      <c r="J52" s="736"/>
      <c r="K52" s="736">
        <f t="shared" ref="K52:K62" si="56">SUM(D52:J52)</f>
        <v>0</v>
      </c>
      <c r="L52" s="736"/>
      <c r="M52" s="736"/>
      <c r="N52" s="886">
        <f t="shared" ref="N52:N62" si="57">+L52+(M52*12)</f>
        <v>0</v>
      </c>
      <c r="O52" s="887">
        <f t="shared" ref="O52:O62" si="58">(K52*12)+N52</f>
        <v>0</v>
      </c>
      <c r="P52" s="888">
        <f t="shared" ref="P52:P62" si="59">+O52*B52</f>
        <v>0</v>
      </c>
      <c r="Q52" s="897"/>
      <c r="R52" s="885"/>
      <c r="S52" s="736"/>
      <c r="T52" s="736"/>
      <c r="U52" s="736"/>
      <c r="V52" s="736"/>
      <c r="W52" s="736"/>
      <c r="X52" s="736"/>
      <c r="Y52" s="736"/>
      <c r="Z52" s="736">
        <f t="shared" ref="Z52:Z62" si="60">SUM(S52:Y52)</f>
        <v>0</v>
      </c>
      <c r="AA52" s="736"/>
      <c r="AB52" s="736"/>
      <c r="AC52" s="886">
        <f t="shared" ref="AC52:AC62" si="61">+AA52+(AB52*12)</f>
        <v>0</v>
      </c>
      <c r="AD52" s="887">
        <f t="shared" ref="AD52:AD62" si="62">(Z52*12)+AC52</f>
        <v>0</v>
      </c>
      <c r="AE52" s="886">
        <f t="shared" ref="AE52:AE62" si="63">+AD52*Q52</f>
        <v>0</v>
      </c>
      <c r="AF52" s="889"/>
      <c r="AG52" s="898"/>
      <c r="AH52" s="897"/>
      <c r="AI52" s="889"/>
    </row>
    <row r="53" spans="1:35" hidden="1">
      <c r="A53" s="718" t="s">
        <v>12</v>
      </c>
      <c r="B53" s="897"/>
      <c r="C53" s="885"/>
      <c r="D53" s="736"/>
      <c r="E53" s="736"/>
      <c r="F53" s="736"/>
      <c r="G53" s="736"/>
      <c r="H53" s="736"/>
      <c r="I53" s="736"/>
      <c r="J53" s="736"/>
      <c r="K53" s="736">
        <f t="shared" si="56"/>
        <v>0</v>
      </c>
      <c r="L53" s="736"/>
      <c r="M53" s="736"/>
      <c r="N53" s="886">
        <f t="shared" si="57"/>
        <v>0</v>
      </c>
      <c r="O53" s="887">
        <f t="shared" si="58"/>
        <v>0</v>
      </c>
      <c r="P53" s="888">
        <f t="shared" si="59"/>
        <v>0</v>
      </c>
      <c r="Q53" s="897"/>
      <c r="R53" s="885"/>
      <c r="S53" s="736"/>
      <c r="T53" s="736"/>
      <c r="U53" s="736"/>
      <c r="V53" s="736"/>
      <c r="W53" s="736"/>
      <c r="X53" s="736"/>
      <c r="Y53" s="736"/>
      <c r="Z53" s="736">
        <f t="shared" si="60"/>
        <v>0</v>
      </c>
      <c r="AA53" s="736"/>
      <c r="AB53" s="736"/>
      <c r="AC53" s="886">
        <f t="shared" si="61"/>
        <v>0</v>
      </c>
      <c r="AD53" s="887">
        <f t="shared" si="62"/>
        <v>0</v>
      </c>
      <c r="AE53" s="886">
        <f t="shared" si="63"/>
        <v>0</v>
      </c>
      <c r="AF53" s="889"/>
      <c r="AG53" s="898"/>
      <c r="AH53" s="897"/>
      <c r="AI53" s="889"/>
    </row>
    <row r="54" spans="1:35">
      <c r="A54" s="718" t="s">
        <v>6976</v>
      </c>
      <c r="B54" s="897">
        <v>1</v>
      </c>
      <c r="C54" s="885"/>
      <c r="D54" s="736">
        <v>1100</v>
      </c>
      <c r="E54" s="736"/>
      <c r="F54" s="736"/>
      <c r="G54" s="736"/>
      <c r="H54" s="736"/>
      <c r="I54" s="736"/>
      <c r="J54" s="736"/>
      <c r="K54" s="736">
        <f t="shared" si="56"/>
        <v>1100</v>
      </c>
      <c r="L54" s="736"/>
      <c r="M54" s="736"/>
      <c r="N54" s="886">
        <f t="shared" si="57"/>
        <v>0</v>
      </c>
      <c r="O54" s="887">
        <f t="shared" si="58"/>
        <v>13200</v>
      </c>
      <c r="P54" s="888">
        <f t="shared" si="59"/>
        <v>13200</v>
      </c>
      <c r="Q54" s="897">
        <v>1</v>
      </c>
      <c r="R54" s="885"/>
      <c r="S54" s="736">
        <v>1110</v>
      </c>
      <c r="T54" s="736"/>
      <c r="U54" s="736"/>
      <c r="V54" s="736"/>
      <c r="W54" s="736"/>
      <c r="X54" s="736"/>
      <c r="Y54" s="736"/>
      <c r="Z54" s="736">
        <f t="shared" si="60"/>
        <v>1110</v>
      </c>
      <c r="AA54" s="736"/>
      <c r="AB54" s="736"/>
      <c r="AC54" s="886">
        <f t="shared" si="61"/>
        <v>0</v>
      </c>
      <c r="AD54" s="887">
        <f t="shared" si="62"/>
        <v>13320</v>
      </c>
      <c r="AE54" s="886">
        <f t="shared" si="63"/>
        <v>13320</v>
      </c>
      <c r="AF54" s="889">
        <f t="shared" ref="AF54:AF62" si="64">+AE54-P54</f>
        <v>120</v>
      </c>
      <c r="AG54" s="890">
        <f t="shared" ref="AG54:AG62" si="65">+Q54-B54</f>
        <v>0</v>
      </c>
      <c r="AH54" s="897">
        <v>1</v>
      </c>
      <c r="AI54" s="889">
        <f t="shared" ref="AI54:AI62" si="66">(Z54*12*AH54)+(AA54*AH54)</f>
        <v>13320</v>
      </c>
    </row>
    <row r="55" spans="1:35" hidden="1">
      <c r="A55" s="718" t="s">
        <v>14</v>
      </c>
      <c r="B55" s="897"/>
      <c r="C55" s="885"/>
      <c r="D55" s="736"/>
      <c r="E55" s="736"/>
      <c r="F55" s="736"/>
      <c r="G55" s="736"/>
      <c r="H55" s="736"/>
      <c r="I55" s="736"/>
      <c r="J55" s="736"/>
      <c r="K55" s="736">
        <f t="shared" si="56"/>
        <v>0</v>
      </c>
      <c r="L55" s="736"/>
      <c r="M55" s="736"/>
      <c r="N55" s="886">
        <f t="shared" si="57"/>
        <v>0</v>
      </c>
      <c r="O55" s="887">
        <f t="shared" si="58"/>
        <v>0</v>
      </c>
      <c r="P55" s="888">
        <f t="shared" si="59"/>
        <v>0</v>
      </c>
      <c r="Q55" s="897"/>
      <c r="R55" s="885"/>
      <c r="S55" s="736"/>
      <c r="T55" s="736"/>
      <c r="U55" s="736"/>
      <c r="V55" s="736"/>
      <c r="W55" s="736"/>
      <c r="X55" s="736"/>
      <c r="Y55" s="736"/>
      <c r="Z55" s="736">
        <f t="shared" si="60"/>
        <v>0</v>
      </c>
      <c r="AA55" s="736"/>
      <c r="AB55" s="736"/>
      <c r="AC55" s="886">
        <f t="shared" si="61"/>
        <v>0</v>
      </c>
      <c r="AD55" s="887">
        <f t="shared" si="62"/>
        <v>0</v>
      </c>
      <c r="AE55" s="886">
        <f t="shared" si="63"/>
        <v>0</v>
      </c>
      <c r="AF55" s="889">
        <f t="shared" si="64"/>
        <v>0</v>
      </c>
      <c r="AG55" s="890">
        <f t="shared" si="65"/>
        <v>0</v>
      </c>
      <c r="AH55" s="897"/>
      <c r="AI55" s="889">
        <f t="shared" si="66"/>
        <v>0</v>
      </c>
    </row>
    <row r="56" spans="1:35">
      <c r="A56" s="718" t="s">
        <v>15</v>
      </c>
      <c r="B56" s="897">
        <v>5</v>
      </c>
      <c r="C56" s="885"/>
      <c r="D56" s="736">
        <v>950</v>
      </c>
      <c r="E56" s="736"/>
      <c r="F56" s="736"/>
      <c r="G56" s="736"/>
      <c r="H56" s="736"/>
      <c r="I56" s="736"/>
      <c r="J56" s="736"/>
      <c r="K56" s="736">
        <f t="shared" si="56"/>
        <v>950</v>
      </c>
      <c r="L56" s="736"/>
      <c r="M56" s="736"/>
      <c r="N56" s="886">
        <f t="shared" si="57"/>
        <v>0</v>
      </c>
      <c r="O56" s="887">
        <f t="shared" si="58"/>
        <v>11400</v>
      </c>
      <c r="P56" s="888">
        <f t="shared" si="59"/>
        <v>57000</v>
      </c>
      <c r="Q56" s="897">
        <v>5</v>
      </c>
      <c r="R56" s="885"/>
      <c r="S56" s="736">
        <v>1070</v>
      </c>
      <c r="T56" s="736"/>
      <c r="U56" s="736"/>
      <c r="V56" s="736"/>
      <c r="W56" s="736"/>
      <c r="X56" s="736"/>
      <c r="Y56" s="736"/>
      <c r="Z56" s="736">
        <f t="shared" si="60"/>
        <v>1070</v>
      </c>
      <c r="AA56" s="736"/>
      <c r="AB56" s="736"/>
      <c r="AC56" s="886">
        <f t="shared" si="61"/>
        <v>0</v>
      </c>
      <c r="AD56" s="887">
        <f t="shared" si="62"/>
        <v>12840</v>
      </c>
      <c r="AE56" s="886">
        <f t="shared" si="63"/>
        <v>64200</v>
      </c>
      <c r="AF56" s="889">
        <f t="shared" si="64"/>
        <v>7200</v>
      </c>
      <c r="AG56" s="890">
        <f t="shared" si="65"/>
        <v>0</v>
      </c>
      <c r="AH56" s="897">
        <v>5</v>
      </c>
      <c r="AI56" s="889">
        <f t="shared" si="66"/>
        <v>64200</v>
      </c>
    </row>
    <row r="57" spans="1:35">
      <c r="A57" s="718" t="s">
        <v>7056</v>
      </c>
      <c r="B57" s="897">
        <v>2</v>
      </c>
      <c r="C57" s="885"/>
      <c r="D57" s="736">
        <v>950</v>
      </c>
      <c r="E57" s="736"/>
      <c r="F57" s="736"/>
      <c r="G57" s="736"/>
      <c r="H57" s="736"/>
      <c r="I57" s="736"/>
      <c r="J57" s="736"/>
      <c r="K57" s="736">
        <f t="shared" si="56"/>
        <v>950</v>
      </c>
      <c r="L57" s="736"/>
      <c r="M57" s="736"/>
      <c r="N57" s="886">
        <f t="shared" si="57"/>
        <v>0</v>
      </c>
      <c r="O57" s="887">
        <f t="shared" si="58"/>
        <v>11400</v>
      </c>
      <c r="P57" s="888">
        <f t="shared" si="59"/>
        <v>22800</v>
      </c>
      <c r="Q57" s="897">
        <v>2</v>
      </c>
      <c r="R57" s="885"/>
      <c r="S57" s="736">
        <v>1070</v>
      </c>
      <c r="T57" s="736"/>
      <c r="U57" s="736"/>
      <c r="V57" s="736"/>
      <c r="W57" s="736"/>
      <c r="X57" s="736"/>
      <c r="Y57" s="736"/>
      <c r="Z57" s="736">
        <f t="shared" si="60"/>
        <v>1070</v>
      </c>
      <c r="AA57" s="736"/>
      <c r="AB57" s="736"/>
      <c r="AC57" s="886">
        <f t="shared" si="61"/>
        <v>0</v>
      </c>
      <c r="AD57" s="887">
        <f t="shared" si="62"/>
        <v>12840</v>
      </c>
      <c r="AE57" s="886">
        <f t="shared" si="63"/>
        <v>25680</v>
      </c>
      <c r="AF57" s="889">
        <f t="shared" si="64"/>
        <v>2880</v>
      </c>
      <c r="AG57" s="890">
        <f t="shared" si="65"/>
        <v>0</v>
      </c>
      <c r="AH57" s="897">
        <v>2</v>
      </c>
      <c r="AI57" s="889">
        <f t="shared" si="66"/>
        <v>25680</v>
      </c>
    </row>
    <row r="58" spans="1:35">
      <c r="A58" s="718" t="s">
        <v>6972</v>
      </c>
      <c r="B58" s="897">
        <v>4</v>
      </c>
      <c r="C58" s="885"/>
      <c r="D58" s="736">
        <v>950</v>
      </c>
      <c r="E58" s="736"/>
      <c r="F58" s="736"/>
      <c r="G58" s="736"/>
      <c r="H58" s="736"/>
      <c r="I58" s="736"/>
      <c r="J58" s="736"/>
      <c r="K58" s="736">
        <f t="shared" si="56"/>
        <v>950</v>
      </c>
      <c r="L58" s="736"/>
      <c r="M58" s="736"/>
      <c r="N58" s="886">
        <f t="shared" si="57"/>
        <v>0</v>
      </c>
      <c r="O58" s="887">
        <f t="shared" si="58"/>
        <v>11400</v>
      </c>
      <c r="P58" s="888">
        <f t="shared" si="59"/>
        <v>45600</v>
      </c>
      <c r="Q58" s="897">
        <v>4</v>
      </c>
      <c r="R58" s="885"/>
      <c r="S58" s="736">
        <v>1070</v>
      </c>
      <c r="T58" s="736"/>
      <c r="U58" s="736"/>
      <c r="V58" s="736"/>
      <c r="W58" s="736"/>
      <c r="X58" s="736"/>
      <c r="Y58" s="736"/>
      <c r="Z58" s="736">
        <f t="shared" si="60"/>
        <v>1070</v>
      </c>
      <c r="AA58" s="736"/>
      <c r="AB58" s="736"/>
      <c r="AC58" s="886">
        <f t="shared" si="61"/>
        <v>0</v>
      </c>
      <c r="AD58" s="887">
        <f t="shared" si="62"/>
        <v>12840</v>
      </c>
      <c r="AE58" s="886">
        <f t="shared" si="63"/>
        <v>51360</v>
      </c>
      <c r="AF58" s="889">
        <f t="shared" si="64"/>
        <v>5760</v>
      </c>
      <c r="AG58" s="890">
        <f t="shared" si="65"/>
        <v>0</v>
      </c>
      <c r="AH58" s="897">
        <v>4</v>
      </c>
      <c r="AI58" s="889">
        <f t="shared" si="66"/>
        <v>51360</v>
      </c>
    </row>
    <row r="59" spans="1:35">
      <c r="A59" s="718" t="s">
        <v>6971</v>
      </c>
      <c r="B59" s="897"/>
      <c r="C59" s="885"/>
      <c r="D59" s="736">
        <v>950</v>
      </c>
      <c r="E59" s="736"/>
      <c r="F59" s="736"/>
      <c r="G59" s="736"/>
      <c r="H59" s="736"/>
      <c r="I59" s="736"/>
      <c r="J59" s="736"/>
      <c r="K59" s="736">
        <f t="shared" si="56"/>
        <v>950</v>
      </c>
      <c r="L59" s="736"/>
      <c r="M59" s="736"/>
      <c r="N59" s="886">
        <f t="shared" si="57"/>
        <v>0</v>
      </c>
      <c r="O59" s="887">
        <f t="shared" si="58"/>
        <v>11400</v>
      </c>
      <c r="P59" s="888">
        <f t="shared" si="59"/>
        <v>0</v>
      </c>
      <c r="Q59" s="897"/>
      <c r="R59" s="885"/>
      <c r="S59" s="736">
        <v>1070</v>
      </c>
      <c r="T59" s="736"/>
      <c r="U59" s="736"/>
      <c r="V59" s="736"/>
      <c r="W59" s="736"/>
      <c r="X59" s="736"/>
      <c r="Y59" s="736"/>
      <c r="Z59" s="736">
        <f t="shared" si="60"/>
        <v>1070</v>
      </c>
      <c r="AA59" s="736"/>
      <c r="AB59" s="736"/>
      <c r="AC59" s="886">
        <f t="shared" si="61"/>
        <v>0</v>
      </c>
      <c r="AD59" s="887">
        <f t="shared" si="62"/>
        <v>12840</v>
      </c>
      <c r="AE59" s="886">
        <f t="shared" si="63"/>
        <v>0</v>
      </c>
      <c r="AF59" s="889">
        <f t="shared" si="64"/>
        <v>0</v>
      </c>
      <c r="AG59" s="890">
        <f t="shared" si="65"/>
        <v>0</v>
      </c>
      <c r="AH59" s="897"/>
      <c r="AI59" s="889">
        <f t="shared" si="66"/>
        <v>0</v>
      </c>
    </row>
    <row r="60" spans="1:35">
      <c r="A60" s="718" t="s">
        <v>16</v>
      </c>
      <c r="B60" s="897">
        <v>2</v>
      </c>
      <c r="C60" s="885"/>
      <c r="D60" s="736">
        <v>950</v>
      </c>
      <c r="E60" s="736"/>
      <c r="F60" s="736"/>
      <c r="G60" s="736"/>
      <c r="H60" s="736"/>
      <c r="I60" s="736"/>
      <c r="J60" s="736"/>
      <c r="K60" s="736">
        <f t="shared" si="56"/>
        <v>950</v>
      </c>
      <c r="L60" s="736"/>
      <c r="M60" s="736"/>
      <c r="N60" s="886">
        <f t="shared" si="57"/>
        <v>0</v>
      </c>
      <c r="O60" s="887">
        <f t="shared" si="58"/>
        <v>11400</v>
      </c>
      <c r="P60" s="888">
        <f t="shared" si="59"/>
        <v>22800</v>
      </c>
      <c r="Q60" s="897">
        <v>2</v>
      </c>
      <c r="R60" s="885"/>
      <c r="S60" s="736">
        <v>1070</v>
      </c>
      <c r="T60" s="736"/>
      <c r="U60" s="736"/>
      <c r="V60" s="736"/>
      <c r="W60" s="736"/>
      <c r="X60" s="736"/>
      <c r="Y60" s="736"/>
      <c r="Z60" s="736">
        <f t="shared" si="60"/>
        <v>1070</v>
      </c>
      <c r="AA60" s="736"/>
      <c r="AB60" s="736"/>
      <c r="AC60" s="886">
        <f t="shared" si="61"/>
        <v>0</v>
      </c>
      <c r="AD60" s="887">
        <f t="shared" si="62"/>
        <v>12840</v>
      </c>
      <c r="AE60" s="886">
        <f t="shared" si="63"/>
        <v>25680</v>
      </c>
      <c r="AF60" s="889">
        <f t="shared" si="64"/>
        <v>2880</v>
      </c>
      <c r="AG60" s="890">
        <f t="shared" si="65"/>
        <v>0</v>
      </c>
      <c r="AH60" s="897">
        <v>2</v>
      </c>
      <c r="AI60" s="889">
        <f t="shared" si="66"/>
        <v>25680</v>
      </c>
    </row>
    <row r="61" spans="1:35">
      <c r="A61" s="718" t="s">
        <v>17</v>
      </c>
      <c r="B61" s="897">
        <v>3</v>
      </c>
      <c r="C61" s="885"/>
      <c r="D61" s="736">
        <v>950</v>
      </c>
      <c r="E61" s="736"/>
      <c r="F61" s="736"/>
      <c r="G61" s="736"/>
      <c r="H61" s="736"/>
      <c r="I61" s="736"/>
      <c r="J61" s="736"/>
      <c r="K61" s="736">
        <f t="shared" si="56"/>
        <v>950</v>
      </c>
      <c r="L61" s="736"/>
      <c r="M61" s="736"/>
      <c r="N61" s="886">
        <f t="shared" si="57"/>
        <v>0</v>
      </c>
      <c r="O61" s="887">
        <f t="shared" si="58"/>
        <v>11400</v>
      </c>
      <c r="P61" s="888">
        <f t="shared" si="59"/>
        <v>34200</v>
      </c>
      <c r="Q61" s="897">
        <v>3</v>
      </c>
      <c r="R61" s="885"/>
      <c r="S61" s="736">
        <v>1070</v>
      </c>
      <c r="T61" s="736"/>
      <c r="U61" s="736"/>
      <c r="V61" s="736"/>
      <c r="W61" s="736"/>
      <c r="X61" s="736"/>
      <c r="Y61" s="736"/>
      <c r="Z61" s="736">
        <f t="shared" si="60"/>
        <v>1070</v>
      </c>
      <c r="AA61" s="736"/>
      <c r="AB61" s="736"/>
      <c r="AC61" s="886">
        <f t="shared" si="61"/>
        <v>0</v>
      </c>
      <c r="AD61" s="887">
        <f t="shared" si="62"/>
        <v>12840</v>
      </c>
      <c r="AE61" s="886">
        <f t="shared" si="63"/>
        <v>38520</v>
      </c>
      <c r="AF61" s="889">
        <f t="shared" si="64"/>
        <v>4320</v>
      </c>
      <c r="AG61" s="890">
        <f t="shared" si="65"/>
        <v>0</v>
      </c>
      <c r="AH61" s="897">
        <v>3</v>
      </c>
      <c r="AI61" s="889">
        <f t="shared" si="66"/>
        <v>38520</v>
      </c>
    </row>
    <row r="62" spans="1:35" ht="12.75" thickBot="1">
      <c r="A62" s="718" t="s">
        <v>6968</v>
      </c>
      <c r="B62" s="897">
        <v>3</v>
      </c>
      <c r="C62" s="736"/>
      <c r="D62" s="736">
        <v>950</v>
      </c>
      <c r="E62" s="736"/>
      <c r="F62" s="736"/>
      <c r="G62" s="736"/>
      <c r="H62" s="736"/>
      <c r="I62" s="736"/>
      <c r="J62" s="736"/>
      <c r="K62" s="736">
        <f t="shared" si="56"/>
        <v>950</v>
      </c>
      <c r="L62" s="736"/>
      <c r="M62" s="736"/>
      <c r="N62" s="886">
        <f t="shared" si="57"/>
        <v>0</v>
      </c>
      <c r="O62" s="887">
        <f t="shared" si="58"/>
        <v>11400</v>
      </c>
      <c r="P62" s="888">
        <f t="shared" si="59"/>
        <v>34200</v>
      </c>
      <c r="Q62" s="897">
        <v>1</v>
      </c>
      <c r="R62" s="885"/>
      <c r="S62" s="736">
        <v>1070</v>
      </c>
      <c r="T62" s="736"/>
      <c r="U62" s="736"/>
      <c r="V62" s="736"/>
      <c r="W62" s="736"/>
      <c r="X62" s="736"/>
      <c r="Y62" s="736"/>
      <c r="Z62" s="736">
        <f t="shared" si="60"/>
        <v>1070</v>
      </c>
      <c r="AA62" s="736"/>
      <c r="AB62" s="736"/>
      <c r="AC62" s="886">
        <f t="shared" si="61"/>
        <v>0</v>
      </c>
      <c r="AD62" s="887">
        <f t="shared" si="62"/>
        <v>12840</v>
      </c>
      <c r="AE62" s="886">
        <f t="shared" si="63"/>
        <v>12840</v>
      </c>
      <c r="AF62" s="889">
        <f t="shared" si="64"/>
        <v>-21360</v>
      </c>
      <c r="AG62" s="890">
        <f t="shared" si="65"/>
        <v>-2</v>
      </c>
      <c r="AH62" s="899">
        <v>3</v>
      </c>
      <c r="AI62" s="623">
        <f t="shared" si="66"/>
        <v>38520</v>
      </c>
    </row>
    <row r="63" spans="1:35" ht="12.75" thickBot="1">
      <c r="A63" s="900" t="s">
        <v>0</v>
      </c>
      <c r="B63" s="901"/>
      <c r="C63" s="902">
        <f>SUM(C51+C44+C40+C33+C26+C19+C10)</f>
        <v>154832.27000000002</v>
      </c>
      <c r="D63" s="902">
        <f t="shared" ref="D63:J63" si="67">SUM(D51+D33+D26+D19+D10)</f>
        <v>32983.33</v>
      </c>
      <c r="E63" s="902">
        <f t="shared" si="67"/>
        <v>0</v>
      </c>
      <c r="F63" s="902">
        <f t="shared" si="67"/>
        <v>0</v>
      </c>
      <c r="G63" s="902">
        <f t="shared" si="67"/>
        <v>0</v>
      </c>
      <c r="H63" s="902">
        <f t="shared" si="67"/>
        <v>0</v>
      </c>
      <c r="I63" s="902">
        <f t="shared" si="67"/>
        <v>0</v>
      </c>
      <c r="J63" s="902">
        <f t="shared" si="67"/>
        <v>0</v>
      </c>
      <c r="K63" s="902">
        <f>SUM(K51+K40+K33+K26+K19+K10)</f>
        <v>142815.6</v>
      </c>
      <c r="L63" s="902">
        <f>SUM(L51+L44+L40+L33+L26+L19+L10)</f>
        <v>251000</v>
      </c>
      <c r="M63" s="902">
        <f>SUM(M51+M44+M40+M33+M26+M19+M10)</f>
        <v>0</v>
      </c>
      <c r="N63" s="902">
        <f>SUM(N51+N40+N33+N26+N19+N10)</f>
        <v>244000</v>
      </c>
      <c r="O63" s="903">
        <f t="shared" ref="O63:AI63" si="68">SUM(O51+O44+O40+O33+O26+O19+O10)</f>
        <v>2497787.2000000002</v>
      </c>
      <c r="P63" s="903">
        <f t="shared" si="68"/>
        <v>6462023.9600000009</v>
      </c>
      <c r="Q63" s="904">
        <f t="shared" si="68"/>
        <v>135</v>
      </c>
      <c r="R63" s="905">
        <f t="shared" si="68"/>
        <v>154832.27000000002</v>
      </c>
      <c r="S63" s="903">
        <f t="shared" si="68"/>
        <v>34240</v>
      </c>
      <c r="T63" s="903">
        <f t="shared" si="68"/>
        <v>0</v>
      </c>
      <c r="U63" s="903">
        <f t="shared" si="68"/>
        <v>0</v>
      </c>
      <c r="V63" s="903">
        <f t="shared" si="68"/>
        <v>0</v>
      </c>
      <c r="W63" s="903">
        <f t="shared" si="68"/>
        <v>0</v>
      </c>
      <c r="X63" s="903">
        <f t="shared" si="68"/>
        <v>0</v>
      </c>
      <c r="Y63" s="903">
        <f t="shared" si="68"/>
        <v>0</v>
      </c>
      <c r="Z63" s="903">
        <f t="shared" si="68"/>
        <v>189072.27000000002</v>
      </c>
      <c r="AA63" s="903">
        <f t="shared" si="68"/>
        <v>251000</v>
      </c>
      <c r="AB63" s="903">
        <f t="shared" si="68"/>
        <v>0</v>
      </c>
      <c r="AC63" s="903">
        <f t="shared" si="68"/>
        <v>244000</v>
      </c>
      <c r="AD63" s="903">
        <f t="shared" si="68"/>
        <v>2017867.24</v>
      </c>
      <c r="AE63" s="903">
        <f t="shared" si="68"/>
        <v>5584931.9200000009</v>
      </c>
      <c r="AF63" s="903">
        <f t="shared" si="68"/>
        <v>-339132.04</v>
      </c>
      <c r="AG63" s="906">
        <f t="shared" si="68"/>
        <v>-13</v>
      </c>
      <c r="AH63" s="907">
        <f t="shared" si="68"/>
        <v>138</v>
      </c>
      <c r="AI63" s="908">
        <f t="shared" si="68"/>
        <v>5665851.120000001</v>
      </c>
    </row>
    <row r="64" spans="1:35">
      <c r="A64" s="265" t="s">
        <v>64</v>
      </c>
    </row>
    <row r="65" spans="1:2">
      <c r="A65" s="265" t="s">
        <v>65</v>
      </c>
      <c r="B65" s="265" t="s">
        <v>152</v>
      </c>
    </row>
    <row r="66" spans="1:2">
      <c r="A66" s="265" t="s">
        <v>66</v>
      </c>
      <c r="B66" s="265" t="s">
        <v>67</v>
      </c>
    </row>
    <row r="67" spans="1:2">
      <c r="A67" s="265" t="s">
        <v>68</v>
      </c>
      <c r="B67" s="265" t="s">
        <v>69</v>
      </c>
    </row>
    <row r="68" spans="1:2">
      <c r="A68" s="265" t="s">
        <v>70</v>
      </c>
      <c r="B68" s="265" t="s">
        <v>71</v>
      </c>
    </row>
    <row r="69" spans="1:2">
      <c r="B69" s="265" t="s">
        <v>72</v>
      </c>
    </row>
    <row r="70" spans="1:2">
      <c r="A70" s="265" t="s">
        <v>73</v>
      </c>
      <c r="B70" s="265" t="s">
        <v>143</v>
      </c>
    </row>
    <row r="71" spans="1:2">
      <c r="B71" s="265" t="s">
        <v>74</v>
      </c>
    </row>
    <row r="72" spans="1:2">
      <c r="B72" s="265" t="s">
        <v>75</v>
      </c>
    </row>
    <row r="73" spans="1:2">
      <c r="B73" s="265" t="s">
        <v>76</v>
      </c>
    </row>
    <row r="74" spans="1:2">
      <c r="A74" s="265" t="s">
        <v>177</v>
      </c>
      <c r="B74" s="265" t="s">
        <v>178</v>
      </c>
    </row>
    <row r="75" spans="1:2">
      <c r="A75" s="265" t="s">
        <v>179</v>
      </c>
      <c r="B75" s="265" t="s">
        <v>148</v>
      </c>
    </row>
    <row r="76" spans="1:2">
      <c r="A76" s="265" t="s">
        <v>180</v>
      </c>
      <c r="B76" s="265" t="s">
        <v>144</v>
      </c>
    </row>
    <row r="77" spans="1:2">
      <c r="B77" s="265" t="s">
        <v>74</v>
      </c>
    </row>
    <row r="78" spans="1:2">
      <c r="B78" s="265" t="s">
        <v>75</v>
      </c>
    </row>
    <row r="79" spans="1:2">
      <c r="B79" s="265" t="s">
        <v>112</v>
      </c>
    </row>
    <row r="80" spans="1:2">
      <c r="A80" s="265" t="s">
        <v>189</v>
      </c>
      <c r="B80" s="265" t="s">
        <v>190</v>
      </c>
    </row>
    <row r="81" spans="1:2">
      <c r="A81" s="265" t="s">
        <v>187</v>
      </c>
      <c r="B81" s="265" t="s">
        <v>183</v>
      </c>
    </row>
    <row r="82" spans="1:2">
      <c r="A82" s="265" t="s">
        <v>188</v>
      </c>
      <c r="B82" s="265" t="s">
        <v>191</v>
      </c>
    </row>
  </sheetData>
  <mergeCells count="5">
    <mergeCell ref="A5:A7"/>
    <mergeCell ref="B5:P5"/>
    <mergeCell ref="Q5:AE5"/>
    <mergeCell ref="AF5:AG5"/>
    <mergeCell ref="AH5:AI5"/>
  </mergeCells>
  <printOptions horizontalCentered="1"/>
  <pageMargins left="0.19685039370078741" right="0.19685039370078741" top="0.78740157480314965" bottom="0.78740157480314965" header="0.19685039370078741" footer="0.19685039370078741"/>
  <pageSetup paperSize="9" scale="58"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rowBreaks count="1" manualBreakCount="1">
    <brk id="6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J54"/>
  <sheetViews>
    <sheetView view="pageBreakPreview" topLeftCell="A22" zoomScaleNormal="100" zoomScaleSheetLayoutView="100" workbookViewId="0">
      <selection activeCell="B8" sqref="B8"/>
    </sheetView>
  </sheetViews>
  <sheetFormatPr baseColWidth="10" defaultColWidth="11.28515625" defaultRowHeight="12.75"/>
  <cols>
    <col min="1" max="1" width="52.140625" customWidth="1"/>
    <col min="2" max="4" width="18.42578125" bestFit="1" customWidth="1"/>
  </cols>
  <sheetData>
    <row r="1" spans="1:4">
      <c r="A1" s="76" t="s">
        <v>445</v>
      </c>
    </row>
    <row r="2" spans="1:4">
      <c r="A2" s="77" t="s">
        <v>382</v>
      </c>
    </row>
    <row r="3" spans="1:4" s="103" customFormat="1" ht="28.35" customHeight="1">
      <c r="A3" s="113" t="s">
        <v>7297</v>
      </c>
      <c r="B3" s="114">
        <v>2019</v>
      </c>
      <c r="C3" s="114">
        <v>2020</v>
      </c>
      <c r="D3" s="114">
        <v>2021</v>
      </c>
    </row>
    <row r="4" spans="1:4" s="108" customFormat="1">
      <c r="A4" s="107" t="s">
        <v>111</v>
      </c>
      <c r="B4" s="197">
        <f>SUM(B5:B10)</f>
        <v>7086636922</v>
      </c>
      <c r="C4" s="197">
        <f t="shared" ref="C4:D4" si="0">SUM(C5:C10)</f>
        <v>7132779863</v>
      </c>
      <c r="D4" s="197">
        <f t="shared" si="0"/>
        <v>6900785834</v>
      </c>
    </row>
    <row r="5" spans="1:4" s="106" customFormat="1">
      <c r="A5" s="104" t="s">
        <v>100</v>
      </c>
      <c r="B5" s="343"/>
      <c r="C5" s="343"/>
      <c r="D5" s="343"/>
    </row>
    <row r="6" spans="1:4" s="106" customFormat="1">
      <c r="A6" s="104" t="s">
        <v>101</v>
      </c>
      <c r="B6" s="343">
        <v>3767674212</v>
      </c>
      <c r="C6" s="343">
        <v>3791364470</v>
      </c>
      <c r="D6" s="343">
        <v>3835824021</v>
      </c>
    </row>
    <row r="7" spans="1:4" s="106" customFormat="1">
      <c r="A7" s="104" t="s">
        <v>102</v>
      </c>
      <c r="B7" s="343">
        <v>1445485407</v>
      </c>
      <c r="C7" s="343">
        <v>1363398792</v>
      </c>
      <c r="D7" s="343">
        <v>1308715336</v>
      </c>
    </row>
    <row r="8" spans="1:4" s="106" customFormat="1">
      <c r="A8" s="104" t="s">
        <v>103</v>
      </c>
      <c r="B8" s="343">
        <v>1747734201</v>
      </c>
      <c r="C8" s="343">
        <v>1738275871</v>
      </c>
      <c r="D8" s="343">
        <v>1568611735</v>
      </c>
    </row>
    <row r="9" spans="1:4" s="106" customFormat="1">
      <c r="A9" s="104" t="s">
        <v>127</v>
      </c>
      <c r="B9" s="343">
        <v>100520572</v>
      </c>
      <c r="C9" s="343">
        <v>214578200</v>
      </c>
      <c r="D9" s="343">
        <v>164247616</v>
      </c>
    </row>
    <row r="10" spans="1:4" s="106" customFormat="1">
      <c r="A10" s="104" t="s">
        <v>128</v>
      </c>
      <c r="B10" s="343">
        <v>25222530</v>
      </c>
      <c r="C10" s="343">
        <v>25162530</v>
      </c>
      <c r="D10" s="343">
        <v>23387126</v>
      </c>
    </row>
    <row r="11" spans="1:4" s="106" customFormat="1">
      <c r="A11" s="107" t="s">
        <v>99</v>
      </c>
      <c r="B11" s="197">
        <f>SUM(B12:B15)</f>
        <v>547972849</v>
      </c>
      <c r="C11" s="197">
        <f t="shared" ref="C11:D11" si="1">SUM(C12:C15)</f>
        <v>514287854</v>
      </c>
      <c r="D11" s="197">
        <f t="shared" si="1"/>
        <v>321880016</v>
      </c>
    </row>
    <row r="12" spans="1:4" s="106" customFormat="1">
      <c r="A12" s="104" t="s">
        <v>126</v>
      </c>
      <c r="B12" s="343">
        <v>193000000</v>
      </c>
      <c r="C12" s="343">
        <v>100000000</v>
      </c>
      <c r="D12" s="343">
        <v>100000000</v>
      </c>
    </row>
    <row r="13" spans="1:4" s="106" customFormat="1">
      <c r="A13" s="104" t="s">
        <v>129</v>
      </c>
      <c r="B13" s="343"/>
      <c r="C13" s="343"/>
      <c r="D13" s="343"/>
    </row>
    <row r="14" spans="1:4" s="106" customFormat="1">
      <c r="A14" s="104" t="s">
        <v>108</v>
      </c>
      <c r="B14" s="343">
        <v>354972849</v>
      </c>
      <c r="C14" s="343">
        <v>414287854</v>
      </c>
      <c r="D14" s="343">
        <v>221880016</v>
      </c>
    </row>
    <row r="15" spans="1:4" s="106" customFormat="1">
      <c r="A15" s="104" t="s">
        <v>109</v>
      </c>
      <c r="B15" s="343"/>
      <c r="C15" s="343"/>
      <c r="D15" s="343"/>
    </row>
    <row r="16" spans="1:4" s="106" customFormat="1">
      <c r="A16" s="107" t="s">
        <v>89</v>
      </c>
      <c r="B16" s="197">
        <f>SUM(B17)</f>
        <v>226953000</v>
      </c>
      <c r="C16" s="197">
        <f t="shared" ref="C16:D16" si="2">SUM(C17)</f>
        <v>226953000</v>
      </c>
      <c r="D16" s="197">
        <f t="shared" si="2"/>
        <v>204849641</v>
      </c>
    </row>
    <row r="17" spans="1:4" s="106" customFormat="1">
      <c r="A17" s="104" t="s">
        <v>110</v>
      </c>
      <c r="B17" s="343">
        <v>226953000</v>
      </c>
      <c r="C17" s="343">
        <v>226953000</v>
      </c>
      <c r="D17" s="343">
        <v>204849641</v>
      </c>
    </row>
    <row r="18" spans="1:4" s="110" customFormat="1" ht="18" customHeight="1">
      <c r="A18" s="109" t="s">
        <v>292</v>
      </c>
      <c r="B18" s="195">
        <f>SUM(B16,B11,B4)</f>
        <v>7861562771</v>
      </c>
      <c r="C18" s="195">
        <f t="shared" ref="C18:D18" si="3">SUM(C16,C11,C4)</f>
        <v>7874020717</v>
      </c>
      <c r="D18" s="195">
        <f t="shared" si="3"/>
        <v>7427515491</v>
      </c>
    </row>
    <row r="20" spans="1:4" s="103" customFormat="1" ht="28.35" customHeight="1">
      <c r="A20" s="113" t="s">
        <v>7298</v>
      </c>
      <c r="B20" s="114">
        <v>2019</v>
      </c>
      <c r="C20" s="114" t="s">
        <v>440</v>
      </c>
      <c r="D20" s="114" t="s">
        <v>441</v>
      </c>
    </row>
    <row r="21" spans="1:4" s="108" customFormat="1">
      <c r="A21" s="107" t="s">
        <v>111</v>
      </c>
      <c r="B21" s="197">
        <f>SUM(B22:B27)</f>
        <v>8255089059</v>
      </c>
      <c r="C21" s="197">
        <f t="shared" ref="C21:D21" si="4">SUM(C22:C27)</f>
        <v>8001800492</v>
      </c>
      <c r="D21" s="197">
        <f t="shared" si="4"/>
        <v>6900785834</v>
      </c>
    </row>
    <row r="22" spans="1:4" s="106" customFormat="1">
      <c r="A22" s="104" t="s">
        <v>100</v>
      </c>
      <c r="B22" s="194"/>
      <c r="C22" s="194"/>
      <c r="D22" s="194"/>
    </row>
    <row r="23" spans="1:4" s="106" customFormat="1">
      <c r="A23" s="104" t="s">
        <v>101</v>
      </c>
      <c r="B23" s="194">
        <v>3932224173</v>
      </c>
      <c r="C23" s="194">
        <v>3854391743</v>
      </c>
      <c r="D23" s="194">
        <v>3835824021</v>
      </c>
    </row>
    <row r="24" spans="1:4" s="106" customFormat="1">
      <c r="A24" s="104" t="s">
        <v>102</v>
      </c>
      <c r="B24" s="194">
        <v>1379697419</v>
      </c>
      <c r="C24" s="194">
        <v>1469739087</v>
      </c>
      <c r="D24" s="194">
        <v>1308715336</v>
      </c>
    </row>
    <row r="25" spans="1:4" s="106" customFormat="1">
      <c r="A25" s="104" t="s">
        <v>103</v>
      </c>
      <c r="B25" s="194">
        <v>1799357478</v>
      </c>
      <c r="C25" s="194">
        <v>1994897825</v>
      </c>
      <c r="D25" s="194">
        <v>1568611735</v>
      </c>
    </row>
    <row r="26" spans="1:4" s="106" customFormat="1">
      <c r="A26" s="104" t="s">
        <v>127</v>
      </c>
      <c r="B26" s="194">
        <v>90820371</v>
      </c>
      <c r="C26" s="194">
        <v>168255042</v>
      </c>
      <c r="D26" s="194">
        <v>164247616</v>
      </c>
    </row>
    <row r="27" spans="1:4" s="106" customFormat="1">
      <c r="A27" s="104" t="s">
        <v>128</v>
      </c>
      <c r="B27" s="194">
        <v>1052989618</v>
      </c>
      <c r="C27" s="194">
        <v>514516795</v>
      </c>
      <c r="D27" s="194">
        <v>23387126</v>
      </c>
    </row>
    <row r="28" spans="1:4" s="106" customFormat="1">
      <c r="A28" s="107" t="s">
        <v>99</v>
      </c>
      <c r="B28" s="197">
        <f>SUM(B29:B32)</f>
        <v>828371199</v>
      </c>
      <c r="C28" s="197">
        <f t="shared" ref="C28" si="5">SUM(C29:C32)</f>
        <v>656761709</v>
      </c>
      <c r="D28" s="197">
        <f t="shared" ref="D28" si="6">SUM(D29:D32)</f>
        <v>321880016</v>
      </c>
    </row>
    <row r="29" spans="1:4" s="106" customFormat="1">
      <c r="A29" s="104" t="s">
        <v>126</v>
      </c>
      <c r="B29" s="194">
        <v>39805952</v>
      </c>
      <c r="C29" s="194">
        <v>36905268</v>
      </c>
      <c r="D29" s="343">
        <v>100000000</v>
      </c>
    </row>
    <row r="30" spans="1:4" s="106" customFormat="1">
      <c r="A30" s="104" t="s">
        <v>129</v>
      </c>
      <c r="B30" s="194"/>
      <c r="C30" s="194"/>
      <c r="D30" s="343"/>
    </row>
    <row r="31" spans="1:4" s="106" customFormat="1">
      <c r="A31" s="104" t="s">
        <v>108</v>
      </c>
      <c r="B31" s="194">
        <v>788565247</v>
      </c>
      <c r="C31" s="194">
        <v>619856441</v>
      </c>
      <c r="D31" s="343">
        <v>221880016</v>
      </c>
    </row>
    <row r="32" spans="1:4" s="106" customFormat="1">
      <c r="A32" s="104" t="s">
        <v>109</v>
      </c>
      <c r="B32" s="194"/>
      <c r="C32" s="194"/>
      <c r="D32" s="343"/>
    </row>
    <row r="33" spans="1:10" s="106" customFormat="1">
      <c r="A33" s="107" t="s">
        <v>89</v>
      </c>
      <c r="B33" s="197">
        <f>SUM(B34)</f>
        <v>231317380</v>
      </c>
      <c r="C33" s="197">
        <f t="shared" ref="C33:D33" si="7">SUM(C34)</f>
        <v>380703612</v>
      </c>
      <c r="D33" s="197">
        <f t="shared" si="7"/>
        <v>204849641</v>
      </c>
    </row>
    <row r="34" spans="1:10" s="106" customFormat="1">
      <c r="A34" s="104" t="s">
        <v>110</v>
      </c>
      <c r="B34" s="194">
        <v>231317380</v>
      </c>
      <c r="C34" s="194">
        <v>380703612</v>
      </c>
      <c r="D34" s="343">
        <v>204849641</v>
      </c>
    </row>
    <row r="35" spans="1:10" s="110" customFormat="1" ht="18" customHeight="1">
      <c r="A35" s="109" t="s">
        <v>293</v>
      </c>
      <c r="B35" s="195">
        <f>SUM(B33,B28,B21)</f>
        <v>9314777638</v>
      </c>
      <c r="C35" s="195">
        <f t="shared" ref="C35:D35" si="8">SUM(C33,C28,C21)</f>
        <v>9039265813</v>
      </c>
      <c r="D35" s="195">
        <f t="shared" si="8"/>
        <v>7427515491</v>
      </c>
    </row>
    <row r="37" spans="1:10" s="103" customFormat="1" ht="28.35" customHeight="1">
      <c r="A37" s="113" t="s">
        <v>7299</v>
      </c>
      <c r="B37" s="114">
        <v>2019</v>
      </c>
      <c r="C37" s="114" t="s">
        <v>440</v>
      </c>
      <c r="D37" s="114" t="s">
        <v>441</v>
      </c>
    </row>
    <row r="38" spans="1:10" s="108" customFormat="1">
      <c r="A38" s="107" t="s">
        <v>111</v>
      </c>
      <c r="B38" s="197">
        <f>SUM(B39:B44)</f>
        <v>8077744661.0099974</v>
      </c>
      <c r="C38" s="197">
        <f t="shared" ref="C38:D38" si="9">SUM(C39:C44)</f>
        <v>8001690405</v>
      </c>
      <c r="D38" s="197">
        <f t="shared" si="9"/>
        <v>6900785834</v>
      </c>
    </row>
    <row r="39" spans="1:10" s="106" customFormat="1">
      <c r="A39" s="104" t="s">
        <v>100</v>
      </c>
      <c r="B39" s="194"/>
      <c r="C39" s="194"/>
      <c r="D39" s="194"/>
    </row>
    <row r="40" spans="1:10" s="106" customFormat="1">
      <c r="A40" s="104" t="s">
        <v>101</v>
      </c>
      <c r="B40" s="194">
        <v>3907073122.829998</v>
      </c>
      <c r="C40" s="194">
        <v>3854391743</v>
      </c>
      <c r="D40" s="194">
        <v>3835824021</v>
      </c>
    </row>
    <row r="41" spans="1:10" s="106" customFormat="1">
      <c r="A41" s="104" t="s">
        <v>102</v>
      </c>
      <c r="B41" s="194">
        <v>1358864763.78</v>
      </c>
      <c r="C41" s="194">
        <v>1469629000</v>
      </c>
      <c r="D41" s="194">
        <v>1308715336</v>
      </c>
    </row>
    <row r="42" spans="1:10" s="106" customFormat="1">
      <c r="A42" s="104" t="s">
        <v>103</v>
      </c>
      <c r="B42" s="194">
        <v>1668718450.6699998</v>
      </c>
      <c r="C42" s="194">
        <v>1994897825</v>
      </c>
      <c r="D42" s="194">
        <v>1568611735</v>
      </c>
      <c r="J42" s="110"/>
    </row>
    <row r="43" spans="1:10" s="106" customFormat="1">
      <c r="A43" s="104" t="s">
        <v>127</v>
      </c>
      <c r="B43" s="194">
        <v>90706496.189999998</v>
      </c>
      <c r="C43" s="194">
        <v>168255042</v>
      </c>
      <c r="D43" s="194">
        <v>164247616</v>
      </c>
    </row>
    <row r="44" spans="1:10" s="106" customFormat="1">
      <c r="A44" s="104" t="s">
        <v>128</v>
      </c>
      <c r="B44" s="194">
        <v>1052381827.5399998</v>
      </c>
      <c r="C44" s="194">
        <v>514516795</v>
      </c>
      <c r="D44" s="194">
        <v>23387126</v>
      </c>
    </row>
    <row r="45" spans="1:10" s="106" customFormat="1">
      <c r="A45" s="107" t="s">
        <v>99</v>
      </c>
      <c r="B45" s="197">
        <f>SUM(B46:B49)</f>
        <v>573154159.75000012</v>
      </c>
      <c r="C45" s="197">
        <f t="shared" ref="C45" si="10">SUM(C46:C49)</f>
        <v>467421796</v>
      </c>
      <c r="D45" s="197">
        <f t="shared" ref="D45" si="11">SUM(D46:D49)</f>
        <v>321880016</v>
      </c>
    </row>
    <row r="46" spans="1:10" s="106" customFormat="1">
      <c r="A46" s="104" t="s">
        <v>126</v>
      </c>
      <c r="B46" s="194">
        <v>0</v>
      </c>
      <c r="C46" s="194">
        <v>36905268</v>
      </c>
      <c r="D46" s="343">
        <v>100000000</v>
      </c>
    </row>
    <row r="47" spans="1:10" s="106" customFormat="1">
      <c r="A47" s="104" t="s">
        <v>129</v>
      </c>
      <c r="B47" s="194"/>
      <c r="C47" s="194"/>
      <c r="D47" s="343"/>
    </row>
    <row r="48" spans="1:10" s="106" customFormat="1">
      <c r="A48" s="104" t="s">
        <v>108</v>
      </c>
      <c r="B48" s="194">
        <v>573154159.75000012</v>
      </c>
      <c r="C48" s="194">
        <v>430516528</v>
      </c>
      <c r="D48" s="343">
        <v>221880016</v>
      </c>
    </row>
    <row r="49" spans="1:4" s="106" customFormat="1">
      <c r="A49" s="104" t="s">
        <v>109</v>
      </c>
      <c r="B49" s="194"/>
      <c r="C49" s="194"/>
      <c r="D49" s="343"/>
    </row>
    <row r="50" spans="1:4" s="106" customFormat="1">
      <c r="A50" s="107" t="s">
        <v>89</v>
      </c>
      <c r="B50" s="197">
        <f>SUM(B51)</f>
        <v>223832099.31</v>
      </c>
      <c r="C50" s="197">
        <f t="shared" ref="C50:D50" si="12">SUM(C51)</f>
        <v>380703612</v>
      </c>
      <c r="D50" s="197">
        <f t="shared" si="12"/>
        <v>204849641</v>
      </c>
    </row>
    <row r="51" spans="1:4" s="106" customFormat="1">
      <c r="A51" s="104" t="s">
        <v>110</v>
      </c>
      <c r="B51" s="194">
        <v>223832099.31</v>
      </c>
      <c r="C51" s="194">
        <v>380703612</v>
      </c>
      <c r="D51" s="343">
        <v>204849641</v>
      </c>
    </row>
    <row r="52" spans="1:4" s="110" customFormat="1" ht="18" customHeight="1">
      <c r="A52" s="191" t="s">
        <v>294</v>
      </c>
      <c r="B52" s="195">
        <f>SUM(B50,B45,B38)</f>
        <v>8874730920.0699978</v>
      </c>
      <c r="C52" s="195">
        <f t="shared" ref="C52:D52" si="13">SUM(C50,C45,C38)</f>
        <v>8849815813</v>
      </c>
      <c r="D52" s="195">
        <f t="shared" si="13"/>
        <v>7427515491</v>
      </c>
    </row>
    <row r="53" spans="1:4">
      <c r="A53" s="341" t="s">
        <v>442</v>
      </c>
    </row>
    <row r="54" spans="1:4">
      <c r="A54" s="342" t="s">
        <v>443</v>
      </c>
    </row>
  </sheetData>
  <printOptions horizontalCentered="1"/>
  <pageMargins left="0.19685039370078741" right="0.19685039370078741" top="0.78740157480314965" bottom="0.78740157480314965" header="0.19685039370078741" footer="0.19685039370078741"/>
  <pageSetup paperSize="9" orientation="landscape" r:id="rId1"/>
  <headerFooter alignWithMargins="0">
    <oddHeader>&amp;C&amp;"Arial,Negrita"&amp;18FORMATOS DEL 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2060"/>
  </sheetPr>
  <dimension ref="A1:AK70"/>
  <sheetViews>
    <sheetView view="pageBreakPreview" topLeftCell="A19" zoomScaleNormal="100" zoomScaleSheetLayoutView="100" workbookViewId="0">
      <selection activeCell="B8" sqref="B8"/>
    </sheetView>
  </sheetViews>
  <sheetFormatPr baseColWidth="10" defaultColWidth="11.42578125" defaultRowHeight="12"/>
  <cols>
    <col min="1" max="1" width="15.7109375" style="265" customWidth="1"/>
    <col min="2" max="2" width="4.85546875" style="265" customWidth="1"/>
    <col min="3" max="3" width="8.85546875" style="265" bestFit="1" customWidth="1"/>
    <col min="4" max="4" width="7.5703125" style="265" bestFit="1" customWidth="1"/>
    <col min="5" max="5" width="4.7109375" style="265" bestFit="1" customWidth="1"/>
    <col min="6" max="6" width="5.42578125" style="265" bestFit="1" customWidth="1"/>
    <col min="7" max="9" width="4.7109375" style="265" bestFit="1" customWidth="1"/>
    <col min="10" max="10" width="5.42578125" style="265" bestFit="1" customWidth="1"/>
    <col min="11" max="11" width="8.85546875" style="265" bestFit="1" customWidth="1"/>
    <col min="12" max="12" width="7.85546875" style="265" bestFit="1" customWidth="1"/>
    <col min="13" max="13" width="5.42578125" style="265" bestFit="1" customWidth="1"/>
    <col min="14" max="14" width="7.85546875" style="265" bestFit="1" customWidth="1"/>
    <col min="15" max="15" width="9.85546875" style="265" bestFit="1" customWidth="1"/>
    <col min="16" max="16" width="10" style="265" bestFit="1" customWidth="1"/>
    <col min="17" max="17" width="4.140625" style="265" bestFit="1" customWidth="1"/>
    <col min="18" max="19" width="7.5703125" style="265" bestFit="1" customWidth="1"/>
    <col min="20" max="20" width="4.7109375" style="265" bestFit="1" customWidth="1"/>
    <col min="21" max="21" width="5.42578125" style="265" bestFit="1" customWidth="1"/>
    <col min="22" max="24" width="4.7109375" style="265" bestFit="1" customWidth="1"/>
    <col min="25" max="25" width="5.42578125" style="265" bestFit="1" customWidth="1"/>
    <col min="26" max="26" width="8.85546875" style="265" bestFit="1" customWidth="1"/>
    <col min="27" max="27" width="7.85546875" style="265" bestFit="1" customWidth="1"/>
    <col min="28" max="28" width="5.42578125" style="265" bestFit="1" customWidth="1"/>
    <col min="29" max="29" width="7.85546875" style="265" bestFit="1" customWidth="1"/>
    <col min="30" max="30" width="9.85546875" style="265" bestFit="1" customWidth="1"/>
    <col min="31" max="31" width="10" style="265" bestFit="1" customWidth="1"/>
    <col min="32" max="32" width="8.85546875" style="265" bestFit="1" customWidth="1"/>
    <col min="33" max="33" width="4.7109375" style="265" bestFit="1" customWidth="1"/>
    <col min="34" max="34" width="3.140625" style="265" bestFit="1" customWidth="1"/>
    <col min="35" max="35" width="10" style="265" bestFit="1" customWidth="1"/>
    <col min="36" max="16384" width="11.42578125" style="265"/>
  </cols>
  <sheetData>
    <row r="1" spans="1:36" s="743" customFormat="1">
      <c r="A1" s="742" t="s">
        <v>465</v>
      </c>
    </row>
    <row r="2" spans="1:36" s="743" customFormat="1">
      <c r="A2" s="69" t="s">
        <v>1655</v>
      </c>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row>
    <row r="3" spans="1:36" s="742" customFormat="1">
      <c r="A3" s="742" t="s">
        <v>1654</v>
      </c>
      <c r="T3" s="745"/>
    </row>
    <row r="4" spans="1:36" s="742" customFormat="1" ht="12.75" thickBot="1">
      <c r="A4" s="742" t="s">
        <v>1864</v>
      </c>
      <c r="T4" s="745"/>
    </row>
    <row r="5" spans="1:36" ht="12.75" thickBot="1">
      <c r="A5" s="1992" t="s">
        <v>41</v>
      </c>
      <c r="B5" s="2021" t="s">
        <v>314</v>
      </c>
      <c r="C5" s="2021"/>
      <c r="D5" s="2021"/>
      <c r="E5" s="2021"/>
      <c r="F5" s="2021"/>
      <c r="G5" s="2021"/>
      <c r="H5" s="2021"/>
      <c r="I5" s="2021"/>
      <c r="J5" s="2021"/>
      <c r="K5" s="2021"/>
      <c r="L5" s="2021"/>
      <c r="M5" s="2021"/>
      <c r="N5" s="2021"/>
      <c r="O5" s="2021"/>
      <c r="P5" s="2021"/>
      <c r="Q5" s="2022" t="s">
        <v>462</v>
      </c>
      <c r="R5" s="2021"/>
      <c r="S5" s="2021"/>
      <c r="T5" s="2021"/>
      <c r="U5" s="2021"/>
      <c r="V5" s="2021"/>
      <c r="W5" s="2021"/>
      <c r="X5" s="2021"/>
      <c r="Y5" s="2021"/>
      <c r="Z5" s="2021"/>
      <c r="AA5" s="2021"/>
      <c r="AB5" s="2021"/>
      <c r="AC5" s="2021"/>
      <c r="AD5" s="2021"/>
      <c r="AE5" s="2023"/>
      <c r="AF5" s="2024" t="s">
        <v>463</v>
      </c>
      <c r="AG5" s="2025"/>
      <c r="AH5" s="2024" t="s">
        <v>464</v>
      </c>
      <c r="AI5" s="2025"/>
    </row>
    <row r="6" spans="1:36" ht="171">
      <c r="A6" s="2019"/>
      <c r="B6" s="130" t="s">
        <v>11</v>
      </c>
      <c r="C6" s="131" t="s">
        <v>137</v>
      </c>
      <c r="D6" s="132" t="s">
        <v>240</v>
      </c>
      <c r="E6" s="132" t="s">
        <v>139</v>
      </c>
      <c r="F6" s="132" t="s">
        <v>173</v>
      </c>
      <c r="G6" s="132" t="s">
        <v>174</v>
      </c>
      <c r="H6" s="132" t="s">
        <v>175</v>
      </c>
      <c r="I6" s="132" t="s">
        <v>176</v>
      </c>
      <c r="J6" s="132" t="s">
        <v>140</v>
      </c>
      <c r="K6" s="132" t="s">
        <v>141</v>
      </c>
      <c r="L6" s="132" t="s">
        <v>142</v>
      </c>
      <c r="M6" s="132" t="s">
        <v>172</v>
      </c>
      <c r="N6" s="621" t="s">
        <v>114</v>
      </c>
      <c r="O6" s="620" t="s">
        <v>147</v>
      </c>
      <c r="P6" s="135" t="s">
        <v>146</v>
      </c>
      <c r="Q6" s="130" t="s">
        <v>11</v>
      </c>
      <c r="R6" s="131" t="s">
        <v>137</v>
      </c>
      <c r="S6" s="132" t="s">
        <v>138</v>
      </c>
      <c r="T6" s="132" t="s">
        <v>139</v>
      </c>
      <c r="U6" s="132" t="s">
        <v>173</v>
      </c>
      <c r="V6" s="132" t="s">
        <v>174</v>
      </c>
      <c r="W6" s="132" t="s">
        <v>175</v>
      </c>
      <c r="X6" s="132" t="s">
        <v>176</v>
      </c>
      <c r="Y6" s="132" t="s">
        <v>140</v>
      </c>
      <c r="Z6" s="132" t="s">
        <v>141</v>
      </c>
      <c r="AA6" s="132" t="s">
        <v>142</v>
      </c>
      <c r="AB6" s="132" t="s">
        <v>172</v>
      </c>
      <c r="AC6" s="133" t="s">
        <v>114</v>
      </c>
      <c r="AD6" s="134" t="s">
        <v>147</v>
      </c>
      <c r="AE6" s="135" t="s">
        <v>315</v>
      </c>
      <c r="AF6" s="136" t="s">
        <v>151</v>
      </c>
      <c r="AG6" s="136" t="s">
        <v>150</v>
      </c>
      <c r="AH6" s="136" t="s">
        <v>11</v>
      </c>
      <c r="AI6" s="135" t="s">
        <v>316</v>
      </c>
    </row>
    <row r="7" spans="1:36" ht="12.75" thickBot="1">
      <c r="A7" s="2020"/>
      <c r="B7" s="389" t="s">
        <v>42</v>
      </c>
      <c r="C7" s="805" t="s">
        <v>43</v>
      </c>
      <c r="D7" s="806" t="s">
        <v>44</v>
      </c>
      <c r="E7" s="806" t="s">
        <v>45</v>
      </c>
      <c r="F7" s="807" t="s">
        <v>46</v>
      </c>
      <c r="G7" s="807" t="s">
        <v>47</v>
      </c>
      <c r="H7" s="807" t="s">
        <v>77</v>
      </c>
      <c r="I7" s="807" t="s">
        <v>113</v>
      </c>
      <c r="J7" s="807" t="s">
        <v>145</v>
      </c>
      <c r="K7" s="807" t="s">
        <v>149</v>
      </c>
      <c r="L7" s="807" t="s">
        <v>181</v>
      </c>
      <c r="M7" s="807" t="s">
        <v>182</v>
      </c>
      <c r="N7" s="852" t="s">
        <v>184</v>
      </c>
      <c r="O7" s="853" t="s">
        <v>185</v>
      </c>
      <c r="P7" s="810" t="s">
        <v>186</v>
      </c>
      <c r="Q7" s="389" t="s">
        <v>42</v>
      </c>
      <c r="R7" s="805" t="s">
        <v>43</v>
      </c>
      <c r="S7" s="748" t="s">
        <v>44</v>
      </c>
      <c r="T7" s="806" t="s">
        <v>45</v>
      </c>
      <c r="U7" s="807" t="s">
        <v>46</v>
      </c>
      <c r="V7" s="807" t="s">
        <v>47</v>
      </c>
      <c r="W7" s="749" t="s">
        <v>77</v>
      </c>
      <c r="X7" s="807" t="s">
        <v>113</v>
      </c>
      <c r="Y7" s="807" t="s">
        <v>145</v>
      </c>
      <c r="Z7" s="749" t="s">
        <v>149</v>
      </c>
      <c r="AA7" s="807" t="s">
        <v>181</v>
      </c>
      <c r="AB7" s="749" t="s">
        <v>182</v>
      </c>
      <c r="AC7" s="808" t="s">
        <v>184</v>
      </c>
      <c r="AD7" s="752" t="s">
        <v>185</v>
      </c>
      <c r="AE7" s="753" t="s">
        <v>186</v>
      </c>
      <c r="AF7" s="754"/>
      <c r="AG7" s="389"/>
      <c r="AH7" s="754"/>
      <c r="AI7" s="389"/>
    </row>
    <row r="8" spans="1:36" hidden="1">
      <c r="A8" s="811"/>
      <c r="B8" s="777"/>
      <c r="C8" s="854"/>
      <c r="D8" s="855"/>
      <c r="E8" s="458"/>
      <c r="F8" s="458"/>
      <c r="G8" s="856"/>
      <c r="H8" s="855"/>
      <c r="I8" s="458"/>
      <c r="J8" s="856"/>
      <c r="K8" s="855"/>
      <c r="L8" s="594"/>
      <c r="M8" s="594"/>
      <c r="N8" s="857"/>
      <c r="O8" s="855"/>
      <c r="P8" s="776"/>
      <c r="Q8" s="777"/>
      <c r="R8" s="412"/>
      <c r="S8" s="858"/>
      <c r="T8" s="458"/>
      <c r="U8" s="458"/>
      <c r="V8" s="412"/>
      <c r="W8" s="858"/>
      <c r="X8" s="458"/>
      <c r="Y8" s="412"/>
      <c r="Z8" s="858"/>
      <c r="AA8" s="412"/>
      <c r="AB8" s="858"/>
      <c r="AC8" s="412"/>
      <c r="AD8" s="859"/>
      <c r="AE8" s="860"/>
      <c r="AF8" s="776"/>
      <c r="AG8" s="777"/>
      <c r="AH8" s="776"/>
      <c r="AI8" s="777"/>
    </row>
    <row r="9" spans="1:36" ht="24">
      <c r="A9" s="728" t="s">
        <v>48</v>
      </c>
      <c r="B9" s="619"/>
      <c r="C9" s="618"/>
      <c r="D9" s="613"/>
      <c r="E9" s="614"/>
      <c r="F9" s="614"/>
      <c r="G9" s="617"/>
      <c r="H9" s="614"/>
      <c r="I9" s="614"/>
      <c r="J9" s="617"/>
      <c r="K9" s="614"/>
      <c r="L9" s="616"/>
      <c r="M9" s="616"/>
      <c r="N9" s="615"/>
      <c r="O9" s="614"/>
      <c r="P9" s="613"/>
      <c r="Q9" s="619"/>
      <c r="R9" s="861"/>
      <c r="S9" s="617"/>
      <c r="T9" s="614"/>
      <c r="U9" s="614"/>
      <c r="V9" s="861"/>
      <c r="W9" s="617"/>
      <c r="X9" s="614"/>
      <c r="Y9" s="861"/>
      <c r="Z9" s="617"/>
      <c r="AA9" s="861"/>
      <c r="AB9" s="617"/>
      <c r="AC9" s="862"/>
      <c r="AD9" s="863"/>
      <c r="AE9" s="864"/>
      <c r="AF9" s="865"/>
      <c r="AG9" s="619"/>
      <c r="AH9" s="865"/>
      <c r="AI9" s="619"/>
      <c r="AJ9" s="866"/>
    </row>
    <row r="10" spans="1:36">
      <c r="A10" s="729" t="s">
        <v>7069</v>
      </c>
      <c r="B10" s="610">
        <f>SUM(B11:B13)</f>
        <v>2</v>
      </c>
      <c r="C10" s="609">
        <f>SUM(C11:C13)</f>
        <v>2844.3199999999997</v>
      </c>
      <c r="D10" s="608">
        <f>SUM(D11:D13)</f>
        <v>2400</v>
      </c>
      <c r="E10" s="606"/>
      <c r="F10" s="606"/>
      <c r="G10" s="607"/>
      <c r="H10" s="602"/>
      <c r="I10" s="606"/>
      <c r="J10" s="607"/>
      <c r="K10" s="602">
        <f t="shared" ref="K10:S10" si="0">SUM(K11:K13)</f>
        <v>5244.32</v>
      </c>
      <c r="L10" s="604">
        <f t="shared" si="0"/>
        <v>2000</v>
      </c>
      <c r="M10" s="604">
        <f t="shared" si="0"/>
        <v>0</v>
      </c>
      <c r="N10" s="603">
        <f t="shared" si="0"/>
        <v>2000</v>
      </c>
      <c r="O10" s="602">
        <f t="shared" si="0"/>
        <v>64931.839999999997</v>
      </c>
      <c r="P10" s="602">
        <f t="shared" si="0"/>
        <v>64931.839999999997</v>
      </c>
      <c r="Q10" s="610">
        <f t="shared" si="0"/>
        <v>2</v>
      </c>
      <c r="R10" s="609">
        <f t="shared" si="0"/>
        <v>2844.3199999999997</v>
      </c>
      <c r="S10" s="608">
        <f t="shared" si="0"/>
        <v>3630</v>
      </c>
      <c r="T10" s="606"/>
      <c r="U10" s="606"/>
      <c r="V10" s="605"/>
      <c r="W10" s="604"/>
      <c r="X10" s="606"/>
      <c r="Y10" s="605"/>
      <c r="Z10" s="602">
        <f t="shared" ref="Z10:AE10" si="1">SUM(Z11:Z13)</f>
        <v>5264.32</v>
      </c>
      <c r="AA10" s="604">
        <f t="shared" si="1"/>
        <v>2000</v>
      </c>
      <c r="AB10" s="604">
        <f t="shared" si="1"/>
        <v>0</v>
      </c>
      <c r="AC10" s="603">
        <f t="shared" si="1"/>
        <v>2000</v>
      </c>
      <c r="AD10" s="602">
        <f t="shared" si="1"/>
        <v>65171.839999999997</v>
      </c>
      <c r="AE10" s="602">
        <f t="shared" si="1"/>
        <v>65171.839999999997</v>
      </c>
      <c r="AF10" s="602">
        <v>0</v>
      </c>
      <c r="AG10" s="612">
        <v>0</v>
      </c>
      <c r="AH10" s="611">
        <f>SUM(AH11:AH13)</f>
        <v>2</v>
      </c>
      <c r="AI10" s="599">
        <f>SUM(AI11:AI13)</f>
        <v>65171.839999999997</v>
      </c>
      <c r="AJ10" s="866"/>
    </row>
    <row r="11" spans="1:36">
      <c r="A11" s="730" t="s">
        <v>7060</v>
      </c>
      <c r="B11" s="589">
        <v>1</v>
      </c>
      <c r="C11" s="597">
        <v>1535.4099999999999</v>
      </c>
      <c r="D11" s="595">
        <v>1200</v>
      </c>
      <c r="E11" s="458"/>
      <c r="F11" s="458"/>
      <c r="G11" s="594"/>
      <c r="H11" s="458"/>
      <c r="I11" s="458"/>
      <c r="J11" s="594"/>
      <c r="K11" s="591">
        <f>SUM(C11:D11)</f>
        <v>2735.41</v>
      </c>
      <c r="L11" s="593">
        <v>1000</v>
      </c>
      <c r="M11" s="593"/>
      <c r="N11" s="592">
        <f>SUM(L11:M11)</f>
        <v>1000</v>
      </c>
      <c r="O11" s="591">
        <f>(K11*12)+N11</f>
        <v>33824.92</v>
      </c>
      <c r="P11" s="457">
        <f>O11*B11</f>
        <v>33824.92</v>
      </c>
      <c r="Q11" s="589">
        <v>1</v>
      </c>
      <c r="R11" s="597">
        <v>1535.4099999999999</v>
      </c>
      <c r="S11" s="595">
        <v>1210</v>
      </c>
      <c r="T11" s="458"/>
      <c r="U11" s="458"/>
      <c r="V11" s="412"/>
      <c r="W11" s="594"/>
      <c r="X11" s="458"/>
      <c r="Y11" s="412"/>
      <c r="Z11" s="591">
        <f>SUM(R11:S11)</f>
        <v>2745.41</v>
      </c>
      <c r="AA11" s="593">
        <v>1000</v>
      </c>
      <c r="AB11" s="593"/>
      <c r="AC11" s="592">
        <f>SUM(AA11:AB11)</f>
        <v>1000</v>
      </c>
      <c r="AD11" s="591">
        <f>(Z11*12)+AC11</f>
        <v>33944.92</v>
      </c>
      <c r="AE11" s="457">
        <f>AD11*Q11</f>
        <v>33944.92</v>
      </c>
      <c r="AF11" s="457">
        <f>AD11-O11</f>
        <v>120</v>
      </c>
      <c r="AG11" s="590">
        <f>Q11-B11</f>
        <v>0</v>
      </c>
      <c r="AH11" s="590">
        <v>1</v>
      </c>
      <c r="AI11" s="588">
        <f>AD11*AH11</f>
        <v>33944.92</v>
      </c>
      <c r="AJ11" s="866"/>
    </row>
    <row r="12" spans="1:36" hidden="1">
      <c r="A12" s="730" t="s">
        <v>7058</v>
      </c>
      <c r="B12" s="589"/>
      <c r="C12" s="597"/>
      <c r="D12" s="595"/>
      <c r="E12" s="458"/>
      <c r="F12" s="458"/>
      <c r="G12" s="594"/>
      <c r="H12" s="458"/>
      <c r="I12" s="458"/>
      <c r="J12" s="594"/>
      <c r="K12" s="591"/>
      <c r="L12" s="593"/>
      <c r="M12" s="593"/>
      <c r="N12" s="592"/>
      <c r="O12" s="591"/>
      <c r="P12" s="457"/>
      <c r="Q12" s="589"/>
      <c r="R12" s="597"/>
      <c r="S12" s="595">
        <v>1210</v>
      </c>
      <c r="T12" s="458"/>
      <c r="U12" s="458"/>
      <c r="V12" s="412"/>
      <c r="W12" s="594"/>
      <c r="X12" s="458"/>
      <c r="Y12" s="412"/>
      <c r="Z12" s="591"/>
      <c r="AA12" s="593"/>
      <c r="AB12" s="593"/>
      <c r="AC12" s="592"/>
      <c r="AD12" s="591"/>
      <c r="AE12" s="457"/>
      <c r="AF12" s="457"/>
      <c r="AG12" s="590"/>
      <c r="AH12" s="590"/>
      <c r="AI12" s="588"/>
      <c r="AJ12" s="866"/>
    </row>
    <row r="13" spans="1:36">
      <c r="A13" s="730" t="s">
        <v>7057</v>
      </c>
      <c r="B13" s="589">
        <v>1</v>
      </c>
      <c r="C13" s="597">
        <v>1308.9099999999999</v>
      </c>
      <c r="D13" s="595">
        <v>1200</v>
      </c>
      <c r="E13" s="458"/>
      <c r="F13" s="458"/>
      <c r="G13" s="594"/>
      <c r="H13" s="458"/>
      <c r="I13" s="458"/>
      <c r="J13" s="594"/>
      <c r="K13" s="591">
        <f>SUM(C13:D13)</f>
        <v>2508.91</v>
      </c>
      <c r="L13" s="593">
        <v>1000</v>
      </c>
      <c r="M13" s="593"/>
      <c r="N13" s="592">
        <f>SUM(L13:M13)</f>
        <v>1000</v>
      </c>
      <c r="O13" s="591">
        <f>(K13*12)+N13</f>
        <v>31106.92</v>
      </c>
      <c r="P13" s="457">
        <f>O13*B13</f>
        <v>31106.92</v>
      </c>
      <c r="Q13" s="589">
        <v>1</v>
      </c>
      <c r="R13" s="597">
        <v>1308.9099999999999</v>
      </c>
      <c r="S13" s="595">
        <v>1210</v>
      </c>
      <c r="T13" s="458"/>
      <c r="U13" s="458"/>
      <c r="V13" s="412"/>
      <c r="W13" s="594"/>
      <c r="X13" s="458"/>
      <c r="Y13" s="412"/>
      <c r="Z13" s="591">
        <f>SUM(R13:S13)</f>
        <v>2518.91</v>
      </c>
      <c r="AA13" s="593">
        <v>1000</v>
      </c>
      <c r="AB13" s="593"/>
      <c r="AC13" s="592">
        <f>SUM(AA13:AB13)</f>
        <v>1000</v>
      </c>
      <c r="AD13" s="591">
        <f>(Z13*12)+AC13</f>
        <v>31226.92</v>
      </c>
      <c r="AE13" s="457">
        <f>AD13*Q13</f>
        <v>31226.92</v>
      </c>
      <c r="AF13" s="457">
        <f>AD13-O13</f>
        <v>120</v>
      </c>
      <c r="AG13" s="590">
        <f>Q13-B13</f>
        <v>0</v>
      </c>
      <c r="AH13" s="590">
        <v>1</v>
      </c>
      <c r="AI13" s="588">
        <f>AD13*AH13</f>
        <v>31226.92</v>
      </c>
      <c r="AJ13" s="866"/>
    </row>
    <row r="14" spans="1:36">
      <c r="A14" s="729" t="s">
        <v>4</v>
      </c>
      <c r="B14" s="610">
        <f>SUM(B15:B20)</f>
        <v>6</v>
      </c>
      <c r="C14" s="609">
        <f>SUM(C15:C20)</f>
        <v>3495.3500000000004</v>
      </c>
      <c r="D14" s="608">
        <f>SUM(D15:D20)</f>
        <v>3300</v>
      </c>
      <c r="E14" s="606"/>
      <c r="F14" s="606"/>
      <c r="G14" s="607"/>
      <c r="H14" s="606"/>
      <c r="I14" s="606"/>
      <c r="J14" s="607"/>
      <c r="K14" s="602">
        <f t="shared" ref="K14:S14" si="2">SUM(K15:K20)</f>
        <v>6795.3499999999995</v>
      </c>
      <c r="L14" s="604">
        <f t="shared" si="2"/>
        <v>3000</v>
      </c>
      <c r="M14" s="604">
        <f t="shared" si="2"/>
        <v>0</v>
      </c>
      <c r="N14" s="603">
        <f t="shared" si="2"/>
        <v>3000</v>
      </c>
      <c r="O14" s="602">
        <f t="shared" si="2"/>
        <v>84544.2</v>
      </c>
      <c r="P14" s="602">
        <f t="shared" si="2"/>
        <v>170162.4</v>
      </c>
      <c r="Q14" s="610">
        <f t="shared" si="2"/>
        <v>6</v>
      </c>
      <c r="R14" s="609">
        <f t="shared" si="2"/>
        <v>3495.3500000000004</v>
      </c>
      <c r="S14" s="608">
        <f t="shared" si="2"/>
        <v>5550</v>
      </c>
      <c r="T14" s="606"/>
      <c r="U14" s="606"/>
      <c r="V14" s="605"/>
      <c r="W14" s="607"/>
      <c r="X14" s="606"/>
      <c r="Y14" s="605"/>
      <c r="Z14" s="602">
        <f t="shared" ref="Z14:AE14" si="3">SUM(Z15:Z20)</f>
        <v>9045.3499999999985</v>
      </c>
      <c r="AA14" s="604">
        <f t="shared" si="3"/>
        <v>3000</v>
      </c>
      <c r="AB14" s="604">
        <f t="shared" si="3"/>
        <v>0</v>
      </c>
      <c r="AC14" s="603">
        <f t="shared" si="3"/>
        <v>3000</v>
      </c>
      <c r="AD14" s="602">
        <f t="shared" si="3"/>
        <v>98224.199999999983</v>
      </c>
      <c r="AE14" s="602">
        <f t="shared" si="3"/>
        <v>170882.4</v>
      </c>
      <c r="AF14" s="601">
        <v>0</v>
      </c>
      <c r="AG14" s="599">
        <v>0</v>
      </c>
      <c r="AH14" s="600">
        <f>SUM(AH15:AH20)</f>
        <v>6</v>
      </c>
      <c r="AI14" s="599">
        <f>SUM(AI15:AI20)</f>
        <v>170882.4</v>
      </c>
      <c r="AJ14" s="866"/>
    </row>
    <row r="15" spans="1:36">
      <c r="A15" s="730" t="s">
        <v>13</v>
      </c>
      <c r="B15" s="589"/>
      <c r="C15" s="597"/>
      <c r="D15" s="595"/>
      <c r="E15" s="458"/>
      <c r="F15" s="458"/>
      <c r="G15" s="594"/>
      <c r="H15" s="458"/>
      <c r="I15" s="458"/>
      <c r="J15" s="594"/>
      <c r="K15" s="591">
        <f>SUM(C15:D15)</f>
        <v>0</v>
      </c>
      <c r="L15" s="593"/>
      <c r="M15" s="593"/>
      <c r="N15" s="592"/>
      <c r="O15" s="591">
        <f>(K15*12)+N15</f>
        <v>0</v>
      </c>
      <c r="P15" s="457"/>
      <c r="Q15" s="589"/>
      <c r="R15" s="597"/>
      <c r="S15" s="595">
        <v>1110</v>
      </c>
      <c r="T15" s="458"/>
      <c r="U15" s="458"/>
      <c r="V15" s="412"/>
      <c r="W15" s="594"/>
      <c r="X15" s="458"/>
      <c r="Y15" s="412"/>
      <c r="Z15" s="591">
        <f>SUM(R15:S15)</f>
        <v>1110</v>
      </c>
      <c r="AA15" s="593"/>
      <c r="AB15" s="593"/>
      <c r="AC15" s="592"/>
      <c r="AD15" s="591">
        <f>(Z15*12)+AC15</f>
        <v>13320</v>
      </c>
      <c r="AE15" s="457"/>
      <c r="AF15" s="457">
        <f>AD15-O15</f>
        <v>13320</v>
      </c>
      <c r="AG15" s="590"/>
      <c r="AH15" s="590"/>
      <c r="AI15" s="588"/>
      <c r="AJ15" s="866"/>
    </row>
    <row r="16" spans="1:36">
      <c r="A16" s="730" t="s">
        <v>6978</v>
      </c>
      <c r="B16" s="589">
        <v>1</v>
      </c>
      <c r="C16" s="597">
        <f>750.2+400</f>
        <v>1150.2</v>
      </c>
      <c r="D16" s="595">
        <v>1100</v>
      </c>
      <c r="E16" s="458"/>
      <c r="F16" s="458"/>
      <c r="G16" s="458"/>
      <c r="H16" s="458"/>
      <c r="I16" s="458"/>
      <c r="J16" s="594"/>
      <c r="K16" s="591">
        <f>SUM(C16:D16)</f>
        <v>2250.1999999999998</v>
      </c>
      <c r="L16" s="593">
        <v>1000</v>
      </c>
      <c r="M16" s="593"/>
      <c r="N16" s="592">
        <f>SUM(L16:M16)</f>
        <v>1000</v>
      </c>
      <c r="O16" s="591">
        <f>(K16*12)+N16</f>
        <v>28002.399999999998</v>
      </c>
      <c r="P16" s="457">
        <f>O16*B16</f>
        <v>28002.399999999998</v>
      </c>
      <c r="Q16" s="589">
        <v>1</v>
      </c>
      <c r="R16" s="597">
        <f>750.2+400</f>
        <v>1150.2</v>
      </c>
      <c r="S16" s="595">
        <v>1110</v>
      </c>
      <c r="T16" s="458"/>
      <c r="U16" s="458"/>
      <c r="V16" s="412"/>
      <c r="W16" s="594"/>
      <c r="X16" s="458"/>
      <c r="Y16" s="412"/>
      <c r="Z16" s="591">
        <f>SUM(R16:S16)</f>
        <v>2260.1999999999998</v>
      </c>
      <c r="AA16" s="593">
        <v>1000</v>
      </c>
      <c r="AB16" s="593"/>
      <c r="AC16" s="592">
        <f>SUM(AA16:AB16)</f>
        <v>1000</v>
      </c>
      <c r="AD16" s="591">
        <f>(Z16*12)+AC16</f>
        <v>28122.399999999998</v>
      </c>
      <c r="AE16" s="457">
        <f>AD16*Q16</f>
        <v>28122.399999999998</v>
      </c>
      <c r="AF16" s="457">
        <f>AD16-O16</f>
        <v>120</v>
      </c>
      <c r="AG16" s="590">
        <f>Q16-B16</f>
        <v>0</v>
      </c>
      <c r="AH16" s="590">
        <v>1</v>
      </c>
      <c r="AI16" s="588">
        <f>AD16*AH16</f>
        <v>28122.399999999998</v>
      </c>
      <c r="AJ16" s="866"/>
    </row>
    <row r="17" spans="1:37">
      <c r="A17" s="730" t="s">
        <v>6977</v>
      </c>
      <c r="B17" s="589">
        <v>1</v>
      </c>
      <c r="C17" s="597">
        <f>750.2+400</f>
        <v>1150.2</v>
      </c>
      <c r="D17" s="595">
        <v>1100</v>
      </c>
      <c r="E17" s="458"/>
      <c r="F17" s="458"/>
      <c r="G17" s="458"/>
      <c r="H17" s="458"/>
      <c r="I17" s="458"/>
      <c r="J17" s="594"/>
      <c r="K17" s="591">
        <f>SUM(C17:D17)</f>
        <v>2250.1999999999998</v>
      </c>
      <c r="L17" s="593">
        <v>1000</v>
      </c>
      <c r="M17" s="593"/>
      <c r="N17" s="592">
        <f>SUM(L17:M17)</f>
        <v>1000</v>
      </c>
      <c r="O17" s="591">
        <f>(K17*12)+N17</f>
        <v>28002.399999999998</v>
      </c>
      <c r="P17" s="457">
        <f>O17*B17</f>
        <v>28002.399999999998</v>
      </c>
      <c r="Q17" s="589">
        <v>1</v>
      </c>
      <c r="R17" s="597">
        <f>750.2+400</f>
        <v>1150.2</v>
      </c>
      <c r="S17" s="595">
        <v>1110</v>
      </c>
      <c r="T17" s="458"/>
      <c r="U17" s="458"/>
      <c r="V17" s="412"/>
      <c r="W17" s="594"/>
      <c r="X17" s="458"/>
      <c r="Y17" s="412"/>
      <c r="Z17" s="591">
        <f>SUM(R17:S17)</f>
        <v>2260.1999999999998</v>
      </c>
      <c r="AA17" s="593">
        <v>1000</v>
      </c>
      <c r="AB17" s="593"/>
      <c r="AC17" s="592">
        <f>SUM(AA17:AB17)</f>
        <v>1000</v>
      </c>
      <c r="AD17" s="591">
        <f>(Z17*12)+AC17</f>
        <v>28122.399999999998</v>
      </c>
      <c r="AE17" s="457">
        <f>AD17*Q17</f>
        <v>28122.399999999998</v>
      </c>
      <c r="AF17" s="457">
        <f>AD17-O17</f>
        <v>120</v>
      </c>
      <c r="AG17" s="590">
        <f>Q17-B17</f>
        <v>0</v>
      </c>
      <c r="AH17" s="590">
        <v>1</v>
      </c>
      <c r="AI17" s="588">
        <f>AD17*AH17</f>
        <v>28122.399999999998</v>
      </c>
      <c r="AJ17" s="866"/>
      <c r="AK17" s="866"/>
    </row>
    <row r="18" spans="1:37">
      <c r="A18" s="730" t="s">
        <v>6976</v>
      </c>
      <c r="B18" s="589"/>
      <c r="C18" s="597"/>
      <c r="D18" s="595"/>
      <c r="E18" s="458"/>
      <c r="F18" s="458"/>
      <c r="G18" s="458"/>
      <c r="H18" s="458"/>
      <c r="I18" s="458"/>
      <c r="J18" s="594"/>
      <c r="K18" s="591">
        <f>SUM(C18:D18)</f>
        <v>0</v>
      </c>
      <c r="L18" s="593"/>
      <c r="M18" s="593"/>
      <c r="N18" s="592"/>
      <c r="O18" s="591"/>
      <c r="P18" s="457"/>
      <c r="Q18" s="589"/>
      <c r="R18" s="597"/>
      <c r="S18" s="595">
        <v>1110</v>
      </c>
      <c r="T18" s="458"/>
      <c r="U18" s="458"/>
      <c r="V18" s="412"/>
      <c r="W18" s="594"/>
      <c r="X18" s="458"/>
      <c r="Y18" s="412"/>
      <c r="Z18" s="591">
        <f>SUM(R18:S18)</f>
        <v>1110</v>
      </c>
      <c r="AA18" s="593"/>
      <c r="AB18" s="593"/>
      <c r="AC18" s="592"/>
      <c r="AD18" s="591"/>
      <c r="AE18" s="457"/>
      <c r="AF18" s="457"/>
      <c r="AG18" s="590"/>
      <c r="AH18" s="590"/>
      <c r="AI18" s="588"/>
      <c r="AJ18" s="866"/>
    </row>
    <row r="19" spans="1:37">
      <c r="A19" s="730" t="s">
        <v>14</v>
      </c>
      <c r="B19" s="589">
        <v>4</v>
      </c>
      <c r="C19" s="597">
        <v>1194.95</v>
      </c>
      <c r="D19" s="595">
        <v>1100</v>
      </c>
      <c r="E19" s="458"/>
      <c r="F19" s="458"/>
      <c r="G19" s="458"/>
      <c r="H19" s="458"/>
      <c r="I19" s="458"/>
      <c r="J19" s="594"/>
      <c r="K19" s="591">
        <f>SUM(C19:D19)</f>
        <v>2294.9499999999998</v>
      </c>
      <c r="L19" s="593">
        <v>1000</v>
      </c>
      <c r="M19" s="593"/>
      <c r="N19" s="592">
        <f>SUM(L19:M19)</f>
        <v>1000</v>
      </c>
      <c r="O19" s="591">
        <f>(K19*12)+N19</f>
        <v>28539.399999999998</v>
      </c>
      <c r="P19" s="457">
        <f>O19*B19</f>
        <v>114157.59999999999</v>
      </c>
      <c r="Q19" s="589">
        <v>4</v>
      </c>
      <c r="R19" s="597">
        <v>1194.95</v>
      </c>
      <c r="S19" s="595">
        <v>1110</v>
      </c>
      <c r="T19" s="458"/>
      <c r="U19" s="458"/>
      <c r="V19" s="412"/>
      <c r="W19" s="594"/>
      <c r="X19" s="458"/>
      <c r="Y19" s="412"/>
      <c r="Z19" s="591">
        <f>SUM(R19:S19)</f>
        <v>2304.9499999999998</v>
      </c>
      <c r="AA19" s="593">
        <v>1000</v>
      </c>
      <c r="AB19" s="593"/>
      <c r="AC19" s="592">
        <f>SUM(AA19:AB19)</f>
        <v>1000</v>
      </c>
      <c r="AD19" s="591">
        <f>(Z19*12)+AC19</f>
        <v>28659.399999999998</v>
      </c>
      <c r="AE19" s="457">
        <f>AD19*Q19</f>
        <v>114637.59999999999</v>
      </c>
      <c r="AF19" s="457">
        <f>AD19-O19</f>
        <v>120</v>
      </c>
      <c r="AG19" s="590">
        <f>Q19-B19</f>
        <v>0</v>
      </c>
      <c r="AH19" s="590">
        <v>4</v>
      </c>
      <c r="AI19" s="588">
        <f>AD19*AH19</f>
        <v>114637.59999999999</v>
      </c>
      <c r="AJ19" s="866"/>
    </row>
    <row r="20" spans="1:37">
      <c r="A20" s="730" t="s">
        <v>6975</v>
      </c>
      <c r="B20" s="589"/>
      <c r="C20" s="597"/>
      <c r="D20" s="595"/>
      <c r="E20" s="458"/>
      <c r="F20" s="458"/>
      <c r="G20" s="458"/>
      <c r="H20" s="458"/>
      <c r="I20" s="458"/>
      <c r="J20" s="594"/>
      <c r="K20" s="591"/>
      <c r="L20" s="593"/>
      <c r="M20" s="593"/>
      <c r="N20" s="592"/>
      <c r="O20" s="591"/>
      <c r="P20" s="457"/>
      <c r="Q20" s="589"/>
      <c r="R20" s="597"/>
      <c r="S20" s="595"/>
      <c r="T20" s="458"/>
      <c r="U20" s="458"/>
      <c r="V20" s="412"/>
      <c r="W20" s="594"/>
      <c r="X20" s="458"/>
      <c r="Y20" s="412"/>
      <c r="Z20" s="591"/>
      <c r="AA20" s="593"/>
      <c r="AB20" s="593"/>
      <c r="AC20" s="592"/>
      <c r="AD20" s="591"/>
      <c r="AE20" s="457"/>
      <c r="AF20" s="457"/>
      <c r="AG20" s="590"/>
      <c r="AH20" s="590"/>
      <c r="AI20" s="588"/>
      <c r="AJ20" s="866"/>
    </row>
    <row r="21" spans="1:37">
      <c r="A21" s="729" t="s">
        <v>7068</v>
      </c>
      <c r="B21" s="610">
        <f>SUM(B22:B27)</f>
        <v>30</v>
      </c>
      <c r="C21" s="609">
        <f>SUM(C22:C27)</f>
        <v>5593.04</v>
      </c>
      <c r="D21" s="608">
        <f>SUM(D22:D27)</f>
        <v>4750</v>
      </c>
      <c r="E21" s="606"/>
      <c r="F21" s="606"/>
      <c r="G21" s="606"/>
      <c r="H21" s="606"/>
      <c r="I21" s="606"/>
      <c r="J21" s="607"/>
      <c r="K21" s="602">
        <f t="shared" ref="K21:S21" si="4">SUM(K22:K27)</f>
        <v>10343.039999999999</v>
      </c>
      <c r="L21" s="604">
        <f t="shared" si="4"/>
        <v>5000</v>
      </c>
      <c r="M21" s="604">
        <f t="shared" si="4"/>
        <v>0</v>
      </c>
      <c r="N21" s="603">
        <f t="shared" si="4"/>
        <v>5000</v>
      </c>
      <c r="O21" s="602">
        <f t="shared" si="4"/>
        <v>129116.48000000001</v>
      </c>
      <c r="P21" s="602">
        <f t="shared" si="4"/>
        <v>774995.04</v>
      </c>
      <c r="Q21" s="610">
        <f t="shared" si="4"/>
        <v>30</v>
      </c>
      <c r="R21" s="609">
        <f t="shared" si="4"/>
        <v>5593.04</v>
      </c>
      <c r="S21" s="608">
        <f t="shared" si="4"/>
        <v>6420</v>
      </c>
      <c r="T21" s="606"/>
      <c r="U21" s="606"/>
      <c r="V21" s="605"/>
      <c r="W21" s="607"/>
      <c r="X21" s="606"/>
      <c r="Y21" s="605"/>
      <c r="Z21" s="602">
        <f t="shared" ref="Z21:AE21" si="5">SUM(Z22:Z27)</f>
        <v>10943.039999999999</v>
      </c>
      <c r="AA21" s="604">
        <f t="shared" si="5"/>
        <v>5000</v>
      </c>
      <c r="AB21" s="604">
        <f t="shared" si="5"/>
        <v>0</v>
      </c>
      <c r="AC21" s="603">
        <f t="shared" si="5"/>
        <v>5000</v>
      </c>
      <c r="AD21" s="602">
        <f t="shared" si="5"/>
        <v>136316.48000000001</v>
      </c>
      <c r="AE21" s="602">
        <f t="shared" si="5"/>
        <v>818195.04</v>
      </c>
      <c r="AF21" s="601">
        <v>0</v>
      </c>
      <c r="AG21" s="599">
        <v>0</v>
      </c>
      <c r="AH21" s="600">
        <f>SUM(AH22:AH27)</f>
        <v>30</v>
      </c>
      <c r="AI21" s="599">
        <f>SUM(AI22:AI27)</f>
        <v>608195.04</v>
      </c>
      <c r="AJ21" s="866"/>
    </row>
    <row r="22" spans="1:37">
      <c r="A22" s="730" t="s">
        <v>15</v>
      </c>
      <c r="B22" s="589">
        <v>6</v>
      </c>
      <c r="C22" s="597">
        <v>1143.06</v>
      </c>
      <c r="D22" s="595">
        <v>950</v>
      </c>
      <c r="E22" s="458"/>
      <c r="F22" s="458"/>
      <c r="G22" s="458"/>
      <c r="H22" s="458"/>
      <c r="I22" s="458"/>
      <c r="J22" s="594"/>
      <c r="K22" s="591">
        <f>SUM(C22:D22)</f>
        <v>2093.06</v>
      </c>
      <c r="L22" s="593">
        <v>1000</v>
      </c>
      <c r="M22" s="593"/>
      <c r="N22" s="592">
        <f>SUM(L22:M22)</f>
        <v>1000</v>
      </c>
      <c r="O22" s="591">
        <f>(K22*12)+N22</f>
        <v>26116.720000000001</v>
      </c>
      <c r="P22" s="457">
        <f t="shared" ref="P22:P27" si="6">O22*B22</f>
        <v>156700.32</v>
      </c>
      <c r="Q22" s="589">
        <v>6</v>
      </c>
      <c r="R22" s="597">
        <v>1143.06</v>
      </c>
      <c r="S22" s="595">
        <v>1070</v>
      </c>
      <c r="T22" s="458"/>
      <c r="U22" s="458"/>
      <c r="V22" s="412"/>
      <c r="W22" s="594"/>
      <c r="X22" s="458"/>
      <c r="Y22" s="412"/>
      <c r="Z22" s="591">
        <f>SUM(R22:S22)</f>
        <v>2213.06</v>
      </c>
      <c r="AA22" s="593">
        <v>1000</v>
      </c>
      <c r="AB22" s="593"/>
      <c r="AC22" s="592">
        <f>SUM(AA22:AB22)</f>
        <v>1000</v>
      </c>
      <c r="AD22" s="591">
        <f>(Z22*12)+AC22</f>
        <v>27556.720000000001</v>
      </c>
      <c r="AE22" s="457">
        <f>AD22*Q22</f>
        <v>165340.32</v>
      </c>
      <c r="AF22" s="457">
        <f>AD22-O22</f>
        <v>1440</v>
      </c>
      <c r="AG22" s="590">
        <f>Q22-B22</f>
        <v>0</v>
      </c>
      <c r="AH22" s="590">
        <v>6</v>
      </c>
      <c r="AI22" s="588">
        <f>AD22*AH22</f>
        <v>165340.32</v>
      </c>
      <c r="AJ22" s="866"/>
    </row>
    <row r="23" spans="1:37">
      <c r="A23" s="730" t="s">
        <v>7056</v>
      </c>
      <c r="B23" s="589">
        <v>3</v>
      </c>
      <c r="C23" s="597">
        <v>1100.67</v>
      </c>
      <c r="D23" s="595">
        <v>950</v>
      </c>
      <c r="E23" s="458"/>
      <c r="F23" s="458"/>
      <c r="G23" s="458"/>
      <c r="H23" s="458"/>
      <c r="I23" s="458"/>
      <c r="J23" s="594"/>
      <c r="K23" s="591">
        <f>SUM(C23:D23)</f>
        <v>2050.67</v>
      </c>
      <c r="L23" s="593">
        <v>1000</v>
      </c>
      <c r="M23" s="593"/>
      <c r="N23" s="592">
        <f>SUM(L23:M23)</f>
        <v>1000</v>
      </c>
      <c r="O23" s="591">
        <f>(K23*12)+N23</f>
        <v>25608.04</v>
      </c>
      <c r="P23" s="457">
        <f t="shared" si="6"/>
        <v>76824.12</v>
      </c>
      <c r="Q23" s="589">
        <v>3</v>
      </c>
      <c r="R23" s="597">
        <v>1100.67</v>
      </c>
      <c r="S23" s="595">
        <v>1070</v>
      </c>
      <c r="T23" s="458"/>
      <c r="U23" s="458"/>
      <c r="V23" s="412"/>
      <c r="W23" s="594"/>
      <c r="X23" s="458"/>
      <c r="Y23" s="412"/>
      <c r="Z23" s="591">
        <f>SUM(R23:S23)</f>
        <v>2170.67</v>
      </c>
      <c r="AA23" s="593">
        <v>1000</v>
      </c>
      <c r="AB23" s="593"/>
      <c r="AC23" s="592">
        <f>SUM(AA23:AB23)</f>
        <v>1000</v>
      </c>
      <c r="AD23" s="591">
        <f>(Z23*12)+AC23</f>
        <v>27048.04</v>
      </c>
      <c r="AE23" s="457">
        <f>AD23*Q23</f>
        <v>81144.12</v>
      </c>
      <c r="AF23" s="457">
        <f>AD23-O23</f>
        <v>1440</v>
      </c>
      <c r="AG23" s="590">
        <f>Q23-B23</f>
        <v>0</v>
      </c>
      <c r="AH23" s="590">
        <v>3</v>
      </c>
      <c r="AI23" s="588">
        <f>AD23*AH23</f>
        <v>81144.12</v>
      </c>
      <c r="AJ23" s="866"/>
    </row>
    <row r="24" spans="1:37">
      <c r="A24" s="730" t="s">
        <v>6972</v>
      </c>
      <c r="B24" s="589">
        <v>7</v>
      </c>
      <c r="C24" s="597">
        <v>1115.25</v>
      </c>
      <c r="D24" s="595">
        <v>950</v>
      </c>
      <c r="E24" s="458"/>
      <c r="F24" s="458"/>
      <c r="G24" s="458"/>
      <c r="H24" s="458"/>
      <c r="I24" s="458"/>
      <c r="J24" s="594"/>
      <c r="K24" s="591">
        <f>SUM(C24:D24)</f>
        <v>2065.25</v>
      </c>
      <c r="L24" s="593">
        <v>1000</v>
      </c>
      <c r="M24" s="593"/>
      <c r="N24" s="592">
        <f>SUM(L24:M24)</f>
        <v>1000</v>
      </c>
      <c r="O24" s="591">
        <f>(K24*12)+N24</f>
        <v>25783</v>
      </c>
      <c r="P24" s="457">
        <f t="shared" si="6"/>
        <v>180481</v>
      </c>
      <c r="Q24" s="589">
        <v>7</v>
      </c>
      <c r="R24" s="597">
        <v>1115.25</v>
      </c>
      <c r="S24" s="595">
        <v>1070</v>
      </c>
      <c r="T24" s="458"/>
      <c r="U24" s="458"/>
      <c r="V24" s="412"/>
      <c r="W24" s="594"/>
      <c r="X24" s="458"/>
      <c r="Y24" s="412"/>
      <c r="Z24" s="591">
        <f>SUM(R24:S24)</f>
        <v>2185.25</v>
      </c>
      <c r="AA24" s="593">
        <v>1000</v>
      </c>
      <c r="AB24" s="593"/>
      <c r="AC24" s="592">
        <f>SUM(AA24:AB24)</f>
        <v>1000</v>
      </c>
      <c r="AD24" s="591">
        <f>(Z24*12)+AC24</f>
        <v>27223</v>
      </c>
      <c r="AE24" s="457">
        <f>AD24*Q24</f>
        <v>190561</v>
      </c>
      <c r="AF24" s="457">
        <f>AD24-O24</f>
        <v>1440</v>
      </c>
      <c r="AG24" s="590">
        <f>Q24-B24</f>
        <v>0</v>
      </c>
      <c r="AH24" s="590">
        <v>7</v>
      </c>
      <c r="AI24" s="588">
        <f>(AD24*AH24)-80000</f>
        <v>110561</v>
      </c>
      <c r="AJ24" s="866"/>
    </row>
    <row r="25" spans="1:37">
      <c r="A25" s="730" t="s">
        <v>6971</v>
      </c>
      <c r="B25" s="589"/>
      <c r="C25" s="597"/>
      <c r="D25" s="595"/>
      <c r="E25" s="458"/>
      <c r="F25" s="458"/>
      <c r="G25" s="458"/>
      <c r="H25" s="458"/>
      <c r="I25" s="458"/>
      <c r="J25" s="594"/>
      <c r="K25" s="591"/>
      <c r="L25" s="593"/>
      <c r="M25" s="593"/>
      <c r="N25" s="592"/>
      <c r="O25" s="591"/>
      <c r="P25" s="457">
        <f t="shared" si="6"/>
        <v>0</v>
      </c>
      <c r="Q25" s="589"/>
      <c r="R25" s="597"/>
      <c r="S25" s="595">
        <v>1070</v>
      </c>
      <c r="T25" s="458"/>
      <c r="U25" s="458"/>
      <c r="V25" s="412"/>
      <c r="W25" s="594"/>
      <c r="X25" s="458"/>
      <c r="Y25" s="412"/>
      <c r="Z25" s="591"/>
      <c r="AA25" s="593"/>
      <c r="AB25" s="593"/>
      <c r="AC25" s="592"/>
      <c r="AD25" s="591"/>
      <c r="AE25" s="457"/>
      <c r="AF25" s="457"/>
      <c r="AG25" s="590"/>
      <c r="AH25" s="590"/>
      <c r="AI25" s="588"/>
      <c r="AJ25" s="866"/>
    </row>
    <row r="26" spans="1:37">
      <c r="A26" s="730" t="s">
        <v>16</v>
      </c>
      <c r="B26" s="589">
        <v>4</v>
      </c>
      <c r="C26" s="597">
        <v>1120.8</v>
      </c>
      <c r="D26" s="595">
        <v>950</v>
      </c>
      <c r="E26" s="458"/>
      <c r="F26" s="458"/>
      <c r="G26" s="458"/>
      <c r="H26" s="458"/>
      <c r="I26" s="458"/>
      <c r="J26" s="594"/>
      <c r="K26" s="591">
        <f>SUM(C26:D26)</f>
        <v>2070.8000000000002</v>
      </c>
      <c r="L26" s="593">
        <v>1000</v>
      </c>
      <c r="M26" s="593"/>
      <c r="N26" s="592">
        <f>SUM(L26:M26)</f>
        <v>1000</v>
      </c>
      <c r="O26" s="591">
        <f>(K26*12)+N26</f>
        <v>25849.600000000002</v>
      </c>
      <c r="P26" s="457">
        <f t="shared" si="6"/>
        <v>103398.40000000001</v>
      </c>
      <c r="Q26" s="589">
        <v>4</v>
      </c>
      <c r="R26" s="597">
        <v>1120.8</v>
      </c>
      <c r="S26" s="595">
        <v>1070</v>
      </c>
      <c r="T26" s="458"/>
      <c r="U26" s="458"/>
      <c r="V26" s="412"/>
      <c r="W26" s="594"/>
      <c r="X26" s="458"/>
      <c r="Y26" s="412"/>
      <c r="Z26" s="591">
        <f>SUM(R26:S26)</f>
        <v>2190.8000000000002</v>
      </c>
      <c r="AA26" s="593">
        <v>1000</v>
      </c>
      <c r="AB26" s="593"/>
      <c r="AC26" s="592">
        <f>SUM(AA26:AB26)</f>
        <v>1000</v>
      </c>
      <c r="AD26" s="591">
        <f>(Z26*12)+AC26</f>
        <v>27289.600000000002</v>
      </c>
      <c r="AE26" s="457">
        <f>AD26*Q26</f>
        <v>109158.40000000001</v>
      </c>
      <c r="AF26" s="457">
        <f>AD26-O26</f>
        <v>1440</v>
      </c>
      <c r="AG26" s="590">
        <f>Q26-B26</f>
        <v>0</v>
      </c>
      <c r="AH26" s="590">
        <v>4</v>
      </c>
      <c r="AI26" s="588">
        <f>AD26*AH26</f>
        <v>109158.40000000001</v>
      </c>
      <c r="AJ26" s="866"/>
    </row>
    <row r="27" spans="1:37">
      <c r="A27" s="730" t="s">
        <v>6970</v>
      </c>
      <c r="B27" s="589">
        <v>10</v>
      </c>
      <c r="C27" s="597">
        <v>1113.26</v>
      </c>
      <c r="D27" s="595">
        <v>950</v>
      </c>
      <c r="E27" s="458"/>
      <c r="F27" s="458"/>
      <c r="G27" s="458"/>
      <c r="H27" s="458"/>
      <c r="I27" s="458"/>
      <c r="J27" s="594"/>
      <c r="K27" s="591">
        <f>SUM(C27:D27)</f>
        <v>2063.2600000000002</v>
      </c>
      <c r="L27" s="593">
        <v>1000</v>
      </c>
      <c r="M27" s="593"/>
      <c r="N27" s="592">
        <f>SUM(L27:M27)</f>
        <v>1000</v>
      </c>
      <c r="O27" s="591">
        <f>(K27*12)+N27</f>
        <v>25759.120000000003</v>
      </c>
      <c r="P27" s="457">
        <f t="shared" si="6"/>
        <v>257591.2</v>
      </c>
      <c r="Q27" s="589">
        <v>10</v>
      </c>
      <c r="R27" s="597">
        <v>1113.26</v>
      </c>
      <c r="S27" s="595">
        <v>1070</v>
      </c>
      <c r="T27" s="458"/>
      <c r="U27" s="458"/>
      <c r="V27" s="412"/>
      <c r="W27" s="594"/>
      <c r="X27" s="458"/>
      <c r="Y27" s="412"/>
      <c r="Z27" s="591">
        <f>SUM(R27:S27)</f>
        <v>2183.2600000000002</v>
      </c>
      <c r="AA27" s="593">
        <v>1000</v>
      </c>
      <c r="AB27" s="593"/>
      <c r="AC27" s="592">
        <f>SUM(AA27:AB27)</f>
        <v>1000</v>
      </c>
      <c r="AD27" s="591">
        <f>(Z27*12)+AC27</f>
        <v>27199.120000000003</v>
      </c>
      <c r="AE27" s="457">
        <f>AD27*Q27</f>
        <v>271991.2</v>
      </c>
      <c r="AF27" s="457">
        <f>AD27-O27</f>
        <v>1440</v>
      </c>
      <c r="AG27" s="590">
        <f>Q27-B27</f>
        <v>0</v>
      </c>
      <c r="AH27" s="590">
        <v>10</v>
      </c>
      <c r="AI27" s="588">
        <f>(AD27*AH27)-130000</f>
        <v>141991.20000000001</v>
      </c>
      <c r="AJ27" s="866"/>
    </row>
    <row r="28" spans="1:37">
      <c r="A28" s="729" t="s">
        <v>6</v>
      </c>
      <c r="B28" s="610">
        <f>SUM(B29:B34)</f>
        <v>5</v>
      </c>
      <c r="C28" s="609">
        <f>SUM(C29:C34)</f>
        <v>1086.1199999999999</v>
      </c>
      <c r="D28" s="608">
        <f>SUM(D29:D34)</f>
        <v>1900</v>
      </c>
      <c r="E28" s="606"/>
      <c r="F28" s="606"/>
      <c r="G28" s="606"/>
      <c r="H28" s="606"/>
      <c r="I28" s="606"/>
      <c r="J28" s="607"/>
      <c r="K28" s="602">
        <f t="shared" ref="K28:S28" si="7">SUM(K29:K34)</f>
        <v>2986.12</v>
      </c>
      <c r="L28" s="604">
        <f t="shared" si="7"/>
        <v>1000</v>
      </c>
      <c r="M28" s="604">
        <f t="shared" si="7"/>
        <v>0</v>
      </c>
      <c r="N28" s="603">
        <f t="shared" si="7"/>
        <v>1000</v>
      </c>
      <c r="O28" s="602">
        <f t="shared" si="7"/>
        <v>36833.440000000002</v>
      </c>
      <c r="P28" s="602">
        <f t="shared" si="7"/>
        <v>113133.75999999999</v>
      </c>
      <c r="Q28" s="610">
        <f t="shared" si="7"/>
        <v>5</v>
      </c>
      <c r="R28" s="609">
        <f t="shared" si="7"/>
        <v>1086.1199999999999</v>
      </c>
      <c r="S28" s="608">
        <f t="shared" si="7"/>
        <v>2140</v>
      </c>
      <c r="T28" s="606"/>
      <c r="U28" s="606"/>
      <c r="V28" s="605"/>
      <c r="W28" s="607"/>
      <c r="X28" s="606"/>
      <c r="Y28" s="605"/>
      <c r="Z28" s="602">
        <f t="shared" ref="Z28:AE28" si="8">SUM(Z29:Z34)</f>
        <v>3226.12</v>
      </c>
      <c r="AA28" s="604">
        <f t="shared" si="8"/>
        <v>1000</v>
      </c>
      <c r="AB28" s="604">
        <f t="shared" si="8"/>
        <v>0</v>
      </c>
      <c r="AC28" s="603">
        <f t="shared" si="8"/>
        <v>1000</v>
      </c>
      <c r="AD28" s="602">
        <f t="shared" si="8"/>
        <v>39713.440000000002</v>
      </c>
      <c r="AE28" s="602">
        <f t="shared" si="8"/>
        <v>120333.75999999999</v>
      </c>
      <c r="AF28" s="601">
        <v>0</v>
      </c>
      <c r="AG28" s="599">
        <v>0</v>
      </c>
      <c r="AH28" s="600">
        <f>SUM(AH29:AH34)</f>
        <v>5</v>
      </c>
      <c r="AI28" s="599">
        <f>SUM(AI29:AI34)</f>
        <v>120333.75999999999</v>
      </c>
      <c r="AJ28" s="866"/>
    </row>
    <row r="29" spans="1:37">
      <c r="A29" s="730" t="s">
        <v>17</v>
      </c>
      <c r="B29" s="589">
        <v>4</v>
      </c>
      <c r="C29" s="597">
        <v>1086.1199999999999</v>
      </c>
      <c r="D29" s="595">
        <v>950</v>
      </c>
      <c r="E29" s="458"/>
      <c r="F29" s="458"/>
      <c r="G29" s="458"/>
      <c r="H29" s="458"/>
      <c r="I29" s="458"/>
      <c r="J29" s="594"/>
      <c r="K29" s="591">
        <f>SUM(C29:D29)</f>
        <v>2036.12</v>
      </c>
      <c r="L29" s="593">
        <v>1000</v>
      </c>
      <c r="M29" s="593"/>
      <c r="N29" s="592">
        <v>1000</v>
      </c>
      <c r="O29" s="591">
        <f>(K29*12)+N29</f>
        <v>25433.439999999999</v>
      </c>
      <c r="P29" s="457">
        <f>O29*B29</f>
        <v>101733.75999999999</v>
      </c>
      <c r="Q29" s="589">
        <v>4</v>
      </c>
      <c r="R29" s="597">
        <v>1086.1199999999999</v>
      </c>
      <c r="S29" s="595">
        <v>1070</v>
      </c>
      <c r="T29" s="458"/>
      <c r="U29" s="458"/>
      <c r="V29" s="412"/>
      <c r="W29" s="594"/>
      <c r="X29" s="458"/>
      <c r="Y29" s="412"/>
      <c r="Z29" s="591">
        <f>SUM(R29:S29)</f>
        <v>2156.12</v>
      </c>
      <c r="AA29" s="593">
        <v>1000</v>
      </c>
      <c r="AB29" s="593"/>
      <c r="AC29" s="592">
        <v>1000</v>
      </c>
      <c r="AD29" s="591">
        <f>(Z29*12)+AC29</f>
        <v>26873.439999999999</v>
      </c>
      <c r="AE29" s="457">
        <f>AD29*Q29</f>
        <v>107493.75999999999</v>
      </c>
      <c r="AF29" s="457">
        <f>AD29-O29</f>
        <v>1440</v>
      </c>
      <c r="AG29" s="590">
        <f>Q29-B29</f>
        <v>0</v>
      </c>
      <c r="AH29" s="590">
        <v>4</v>
      </c>
      <c r="AI29" s="588">
        <f>AD29*AH29</f>
        <v>107493.75999999999</v>
      </c>
      <c r="AJ29" s="866"/>
    </row>
    <row r="30" spans="1:37" hidden="1">
      <c r="A30" s="730" t="s">
        <v>6969</v>
      </c>
      <c r="B30" s="589"/>
      <c r="C30" s="597"/>
      <c r="D30" s="595"/>
      <c r="E30" s="458"/>
      <c r="F30" s="458"/>
      <c r="G30" s="458"/>
      <c r="H30" s="458"/>
      <c r="I30" s="458"/>
      <c r="J30" s="594"/>
      <c r="K30" s="591"/>
      <c r="L30" s="593"/>
      <c r="M30" s="593"/>
      <c r="N30" s="592"/>
      <c r="O30" s="591"/>
      <c r="P30" s="457"/>
      <c r="Q30" s="589"/>
      <c r="R30" s="597"/>
      <c r="S30" s="595"/>
      <c r="T30" s="458"/>
      <c r="U30" s="458"/>
      <c r="V30" s="412"/>
      <c r="W30" s="594"/>
      <c r="X30" s="458"/>
      <c r="Y30" s="412"/>
      <c r="Z30" s="591"/>
      <c r="AA30" s="593"/>
      <c r="AB30" s="593"/>
      <c r="AC30" s="592"/>
      <c r="AD30" s="591"/>
      <c r="AE30" s="457"/>
      <c r="AF30" s="457"/>
      <c r="AG30" s="590"/>
      <c r="AH30" s="590"/>
      <c r="AI30" s="588"/>
      <c r="AJ30" s="866"/>
    </row>
    <row r="31" spans="1:37" hidden="1">
      <c r="A31" s="730" t="s">
        <v>6968</v>
      </c>
      <c r="B31" s="589"/>
      <c r="C31" s="597"/>
      <c r="D31" s="595"/>
      <c r="E31" s="458"/>
      <c r="F31" s="458"/>
      <c r="G31" s="458"/>
      <c r="H31" s="458"/>
      <c r="I31" s="458"/>
      <c r="J31" s="594"/>
      <c r="K31" s="591"/>
      <c r="L31" s="593"/>
      <c r="M31" s="593"/>
      <c r="N31" s="592"/>
      <c r="O31" s="591"/>
      <c r="P31" s="457"/>
      <c r="Q31" s="589"/>
      <c r="R31" s="597"/>
      <c r="S31" s="595"/>
      <c r="T31" s="458"/>
      <c r="U31" s="458"/>
      <c r="V31" s="412"/>
      <c r="W31" s="594"/>
      <c r="X31" s="458"/>
      <c r="Y31" s="412"/>
      <c r="Z31" s="591"/>
      <c r="AA31" s="593"/>
      <c r="AB31" s="593"/>
      <c r="AC31" s="592"/>
      <c r="AD31" s="591"/>
      <c r="AE31" s="457"/>
      <c r="AF31" s="457"/>
      <c r="AG31" s="590"/>
      <c r="AH31" s="590"/>
      <c r="AI31" s="588"/>
      <c r="AJ31" s="866"/>
    </row>
    <row r="32" spans="1:37" hidden="1">
      <c r="A32" s="730" t="s">
        <v>6967</v>
      </c>
      <c r="B32" s="589"/>
      <c r="C32" s="597"/>
      <c r="D32" s="595"/>
      <c r="E32" s="458"/>
      <c r="F32" s="458"/>
      <c r="G32" s="458"/>
      <c r="H32" s="458"/>
      <c r="I32" s="458"/>
      <c r="J32" s="458"/>
      <c r="K32" s="591"/>
      <c r="L32" s="593"/>
      <c r="M32" s="593"/>
      <c r="N32" s="592"/>
      <c r="O32" s="591"/>
      <c r="P32" s="457"/>
      <c r="Q32" s="589"/>
      <c r="R32" s="597"/>
      <c r="S32" s="595"/>
      <c r="T32" s="458"/>
      <c r="U32" s="458"/>
      <c r="V32" s="412"/>
      <c r="W32" s="594"/>
      <c r="X32" s="458"/>
      <c r="Y32" s="412"/>
      <c r="Z32" s="591"/>
      <c r="AA32" s="593"/>
      <c r="AB32" s="593"/>
      <c r="AC32" s="592"/>
      <c r="AD32" s="591"/>
      <c r="AE32" s="457"/>
      <c r="AF32" s="457"/>
      <c r="AG32" s="590"/>
      <c r="AH32" s="590"/>
      <c r="AI32" s="588"/>
      <c r="AJ32" s="866"/>
    </row>
    <row r="33" spans="1:36" hidden="1">
      <c r="A33" s="730" t="s">
        <v>18</v>
      </c>
      <c r="B33" s="589"/>
      <c r="C33" s="597"/>
      <c r="D33" s="595"/>
      <c r="E33" s="458"/>
      <c r="F33" s="458"/>
      <c r="G33" s="458"/>
      <c r="H33" s="458"/>
      <c r="I33" s="458"/>
      <c r="J33" s="458"/>
      <c r="K33" s="591"/>
      <c r="L33" s="593"/>
      <c r="M33" s="593"/>
      <c r="N33" s="592"/>
      <c r="O33" s="591"/>
      <c r="P33" s="457"/>
      <c r="Q33" s="589"/>
      <c r="R33" s="597"/>
      <c r="S33" s="595"/>
      <c r="T33" s="458"/>
      <c r="U33" s="458"/>
      <c r="V33" s="412"/>
      <c r="W33" s="594"/>
      <c r="X33" s="458"/>
      <c r="Y33" s="412"/>
      <c r="Z33" s="591"/>
      <c r="AA33" s="593"/>
      <c r="AB33" s="593"/>
      <c r="AC33" s="592"/>
      <c r="AD33" s="591"/>
      <c r="AE33" s="457"/>
      <c r="AF33" s="457"/>
      <c r="AG33" s="590"/>
      <c r="AH33" s="590"/>
      <c r="AI33" s="588"/>
      <c r="AJ33" s="866"/>
    </row>
    <row r="34" spans="1:36">
      <c r="A34" s="730" t="s">
        <v>6966</v>
      </c>
      <c r="B34" s="589">
        <v>1</v>
      </c>
      <c r="C34" s="597"/>
      <c r="D34" s="595">
        <v>950</v>
      </c>
      <c r="E34" s="458"/>
      <c r="F34" s="458"/>
      <c r="G34" s="458"/>
      <c r="H34" s="458"/>
      <c r="I34" s="458"/>
      <c r="J34" s="458"/>
      <c r="K34" s="591">
        <f>SUM(C34:D34)</f>
        <v>950</v>
      </c>
      <c r="L34" s="593"/>
      <c r="M34" s="593"/>
      <c r="N34" s="592"/>
      <c r="O34" s="591">
        <f>(K34*12)+N34</f>
        <v>11400</v>
      </c>
      <c r="P34" s="457">
        <f>O34*B34</f>
        <v>11400</v>
      </c>
      <c r="Q34" s="589">
        <v>1</v>
      </c>
      <c r="R34" s="597"/>
      <c r="S34" s="595">
        <v>1070</v>
      </c>
      <c r="T34" s="458"/>
      <c r="U34" s="458"/>
      <c r="V34" s="412"/>
      <c r="W34" s="594"/>
      <c r="X34" s="458"/>
      <c r="Y34" s="412"/>
      <c r="Z34" s="591">
        <f>SUM(R34:S34)</f>
        <v>1070</v>
      </c>
      <c r="AA34" s="593"/>
      <c r="AB34" s="593"/>
      <c r="AC34" s="592"/>
      <c r="AD34" s="591">
        <f>(Z34*12)+AC34</f>
        <v>12840</v>
      </c>
      <c r="AE34" s="457">
        <f>AD34*Q34</f>
        <v>12840</v>
      </c>
      <c r="AF34" s="457">
        <f>AD34-O34</f>
        <v>1440</v>
      </c>
      <c r="AG34" s="590">
        <f>Q34-B34</f>
        <v>0</v>
      </c>
      <c r="AH34" s="590">
        <v>1</v>
      </c>
      <c r="AI34" s="588">
        <f>AD34*AH34</f>
        <v>12840</v>
      </c>
      <c r="AJ34" s="866"/>
    </row>
    <row r="35" spans="1:36">
      <c r="A35" s="717" t="s">
        <v>6901</v>
      </c>
      <c r="B35" s="578">
        <f>SUM(B36:B50)</f>
        <v>47</v>
      </c>
      <c r="C35" s="867"/>
      <c r="D35" s="868">
        <f t="shared" ref="D35:AI35" si="9">SUM(D36:D50)</f>
        <v>9400</v>
      </c>
      <c r="E35" s="868">
        <f t="shared" si="9"/>
        <v>0</v>
      </c>
      <c r="F35" s="868">
        <f t="shared" si="9"/>
        <v>0</v>
      </c>
      <c r="G35" s="868">
        <f t="shared" si="9"/>
        <v>0</v>
      </c>
      <c r="H35" s="868">
        <f t="shared" si="9"/>
        <v>0</v>
      </c>
      <c r="I35" s="868">
        <f t="shared" si="9"/>
        <v>0</v>
      </c>
      <c r="J35" s="868">
        <f t="shared" si="9"/>
        <v>0</v>
      </c>
      <c r="K35" s="868">
        <f t="shared" si="9"/>
        <v>9400</v>
      </c>
      <c r="L35" s="868">
        <f t="shared" si="9"/>
        <v>0</v>
      </c>
      <c r="M35" s="868">
        <f t="shared" si="9"/>
        <v>0</v>
      </c>
      <c r="N35" s="868">
        <f t="shared" si="9"/>
        <v>0</v>
      </c>
      <c r="O35" s="868">
        <f t="shared" si="9"/>
        <v>112800</v>
      </c>
      <c r="P35" s="868">
        <f t="shared" si="9"/>
        <v>427800</v>
      </c>
      <c r="Q35" s="868">
        <f t="shared" si="9"/>
        <v>47</v>
      </c>
      <c r="R35" s="868">
        <f t="shared" si="9"/>
        <v>0</v>
      </c>
      <c r="S35" s="868">
        <f t="shared" si="9"/>
        <v>9930</v>
      </c>
      <c r="T35" s="868">
        <f t="shared" si="9"/>
        <v>0</v>
      </c>
      <c r="U35" s="868">
        <f t="shared" si="9"/>
        <v>0</v>
      </c>
      <c r="V35" s="868">
        <f t="shared" si="9"/>
        <v>0</v>
      </c>
      <c r="W35" s="868">
        <f t="shared" si="9"/>
        <v>0</v>
      </c>
      <c r="X35" s="868">
        <f t="shared" si="9"/>
        <v>0</v>
      </c>
      <c r="Y35" s="868">
        <f t="shared" si="9"/>
        <v>0</v>
      </c>
      <c r="Z35" s="868">
        <f t="shared" si="9"/>
        <v>9930</v>
      </c>
      <c r="AA35" s="868">
        <f t="shared" si="9"/>
        <v>0</v>
      </c>
      <c r="AB35" s="868">
        <f t="shared" si="9"/>
        <v>0</v>
      </c>
      <c r="AC35" s="868">
        <f t="shared" si="9"/>
        <v>0</v>
      </c>
      <c r="AD35" s="868">
        <f t="shared" si="9"/>
        <v>119160</v>
      </c>
      <c r="AE35" s="868">
        <f t="shared" si="9"/>
        <v>467760</v>
      </c>
      <c r="AF35" s="868">
        <f t="shared" si="9"/>
        <v>6360</v>
      </c>
      <c r="AG35" s="868">
        <f t="shared" si="9"/>
        <v>0</v>
      </c>
      <c r="AH35" s="598">
        <f t="shared" si="9"/>
        <v>27</v>
      </c>
      <c r="AI35" s="868">
        <f t="shared" si="9"/>
        <v>169225.96</v>
      </c>
    </row>
    <row r="36" spans="1:36">
      <c r="A36" s="730" t="s">
        <v>7058</v>
      </c>
      <c r="B36" s="589">
        <v>1</v>
      </c>
      <c r="C36" s="597"/>
      <c r="D36" s="595">
        <v>1200</v>
      </c>
      <c r="E36" s="458"/>
      <c r="F36" s="458"/>
      <c r="G36" s="458"/>
      <c r="H36" s="458"/>
      <c r="I36" s="458"/>
      <c r="J36" s="458"/>
      <c r="K36" s="591">
        <f t="shared" ref="K36:K50" si="10">SUM(C36:D36)</f>
        <v>1200</v>
      </c>
      <c r="L36" s="593"/>
      <c r="M36" s="593"/>
      <c r="N36" s="592"/>
      <c r="O36" s="591">
        <f t="shared" ref="O36:O50" si="11">(K36*12)+N36</f>
        <v>14400</v>
      </c>
      <c r="P36" s="457">
        <f t="shared" ref="P36:P50" si="12">O36*B36</f>
        <v>14400</v>
      </c>
      <c r="Q36" s="589">
        <v>1</v>
      </c>
      <c r="R36" s="597"/>
      <c r="S36" s="595">
        <v>1210</v>
      </c>
      <c r="T36" s="458"/>
      <c r="U36" s="458"/>
      <c r="V36" s="412"/>
      <c r="W36" s="594"/>
      <c r="X36" s="458"/>
      <c r="Y36" s="412"/>
      <c r="Z36" s="591">
        <f t="shared" ref="Z36:Z47" si="13">SUM(R36:S36)</f>
        <v>1210</v>
      </c>
      <c r="AA36" s="593"/>
      <c r="AB36" s="593"/>
      <c r="AC36" s="592"/>
      <c r="AD36" s="591">
        <f t="shared" ref="AD36:AD50" si="14">(Z36*12)+AC36</f>
        <v>14520</v>
      </c>
      <c r="AE36" s="457">
        <f t="shared" ref="AE36:AE50" si="15">AD36*Q36</f>
        <v>14520</v>
      </c>
      <c r="AF36" s="457">
        <f t="shared" ref="AF36:AF50" si="16">AD36-O36</f>
        <v>120</v>
      </c>
      <c r="AG36" s="590">
        <f t="shared" ref="AG36:AG50" si="17">Q36-B36</f>
        <v>0</v>
      </c>
      <c r="AH36" s="589">
        <v>1</v>
      </c>
      <c r="AI36" s="588">
        <f>AD36*AH36</f>
        <v>14520</v>
      </c>
      <c r="AJ36" s="866"/>
    </row>
    <row r="37" spans="1:36">
      <c r="A37" s="730" t="s">
        <v>6978</v>
      </c>
      <c r="B37" s="589">
        <v>1</v>
      </c>
      <c r="C37" s="597"/>
      <c r="D37" s="595">
        <v>1100</v>
      </c>
      <c r="E37" s="458"/>
      <c r="F37" s="458"/>
      <c r="G37" s="458"/>
      <c r="H37" s="458"/>
      <c r="I37" s="458"/>
      <c r="J37" s="458"/>
      <c r="K37" s="591">
        <f t="shared" si="10"/>
        <v>1100</v>
      </c>
      <c r="L37" s="593"/>
      <c r="M37" s="593"/>
      <c r="N37" s="592"/>
      <c r="O37" s="591">
        <f t="shared" si="11"/>
        <v>13200</v>
      </c>
      <c r="P37" s="457">
        <f t="shared" si="12"/>
        <v>13200</v>
      </c>
      <c r="Q37" s="589">
        <v>1</v>
      </c>
      <c r="R37" s="597"/>
      <c r="S37" s="595">
        <v>1110</v>
      </c>
      <c r="T37" s="458"/>
      <c r="U37" s="458"/>
      <c r="V37" s="412"/>
      <c r="W37" s="594"/>
      <c r="X37" s="458"/>
      <c r="Y37" s="412"/>
      <c r="Z37" s="591">
        <f t="shared" si="13"/>
        <v>1110</v>
      </c>
      <c r="AA37" s="593"/>
      <c r="AB37" s="593"/>
      <c r="AC37" s="592"/>
      <c r="AD37" s="591">
        <f t="shared" si="14"/>
        <v>13320</v>
      </c>
      <c r="AE37" s="457">
        <f t="shared" si="15"/>
        <v>13320</v>
      </c>
      <c r="AF37" s="457">
        <f t="shared" si="16"/>
        <v>120</v>
      </c>
      <c r="AG37" s="590">
        <f t="shared" si="17"/>
        <v>0</v>
      </c>
      <c r="AH37" s="589">
        <v>1</v>
      </c>
      <c r="AI37" s="588">
        <f>AD37*AH37</f>
        <v>13320</v>
      </c>
      <c r="AJ37" s="866"/>
    </row>
    <row r="38" spans="1:36">
      <c r="A38" s="730" t="s">
        <v>6977</v>
      </c>
      <c r="B38" s="589">
        <v>2</v>
      </c>
      <c r="C38" s="597"/>
      <c r="D38" s="595">
        <v>1100</v>
      </c>
      <c r="E38" s="458"/>
      <c r="F38" s="458"/>
      <c r="G38" s="458"/>
      <c r="H38" s="458"/>
      <c r="I38" s="458"/>
      <c r="J38" s="458"/>
      <c r="K38" s="591">
        <f t="shared" si="10"/>
        <v>1100</v>
      </c>
      <c r="L38" s="593"/>
      <c r="M38" s="593"/>
      <c r="N38" s="592"/>
      <c r="O38" s="591">
        <f t="shared" si="11"/>
        <v>13200</v>
      </c>
      <c r="P38" s="457">
        <f t="shared" si="12"/>
        <v>26400</v>
      </c>
      <c r="Q38" s="589">
        <v>2</v>
      </c>
      <c r="R38" s="597"/>
      <c r="S38" s="595">
        <v>1110</v>
      </c>
      <c r="T38" s="458"/>
      <c r="U38" s="458"/>
      <c r="V38" s="412"/>
      <c r="W38" s="594"/>
      <c r="X38" s="458"/>
      <c r="Y38" s="412"/>
      <c r="Z38" s="591">
        <f t="shared" si="13"/>
        <v>1110</v>
      </c>
      <c r="AA38" s="593"/>
      <c r="AB38" s="593"/>
      <c r="AC38" s="592"/>
      <c r="AD38" s="591">
        <f t="shared" si="14"/>
        <v>13320</v>
      </c>
      <c r="AE38" s="457">
        <f t="shared" si="15"/>
        <v>26640</v>
      </c>
      <c r="AF38" s="457">
        <f t="shared" si="16"/>
        <v>120</v>
      </c>
      <c r="AG38" s="590">
        <f t="shared" si="17"/>
        <v>0</v>
      </c>
      <c r="AH38" s="589">
        <v>2</v>
      </c>
      <c r="AI38" s="588">
        <f>AD38*AH38</f>
        <v>26640</v>
      </c>
      <c r="AJ38" s="866"/>
    </row>
    <row r="39" spans="1:36">
      <c r="A39" s="730" t="s">
        <v>6976</v>
      </c>
      <c r="B39" s="589">
        <v>2</v>
      </c>
      <c r="C39" s="597"/>
      <c r="D39" s="595">
        <v>1100</v>
      </c>
      <c r="E39" s="458"/>
      <c r="F39" s="458"/>
      <c r="G39" s="458"/>
      <c r="H39" s="458"/>
      <c r="I39" s="458"/>
      <c r="J39" s="458"/>
      <c r="K39" s="591">
        <f t="shared" si="10"/>
        <v>1100</v>
      </c>
      <c r="L39" s="593"/>
      <c r="M39" s="593"/>
      <c r="N39" s="592"/>
      <c r="O39" s="591">
        <f t="shared" si="11"/>
        <v>13200</v>
      </c>
      <c r="P39" s="457">
        <f t="shared" si="12"/>
        <v>26400</v>
      </c>
      <c r="Q39" s="589">
        <v>2</v>
      </c>
      <c r="R39" s="597"/>
      <c r="S39" s="595">
        <v>1110</v>
      </c>
      <c r="T39" s="458"/>
      <c r="U39" s="458"/>
      <c r="V39" s="412"/>
      <c r="W39" s="594"/>
      <c r="X39" s="458"/>
      <c r="Y39" s="412"/>
      <c r="Z39" s="591">
        <f t="shared" si="13"/>
        <v>1110</v>
      </c>
      <c r="AA39" s="593"/>
      <c r="AB39" s="593"/>
      <c r="AC39" s="592"/>
      <c r="AD39" s="591">
        <f t="shared" si="14"/>
        <v>13320</v>
      </c>
      <c r="AE39" s="457">
        <f t="shared" si="15"/>
        <v>26640</v>
      </c>
      <c r="AF39" s="457">
        <f t="shared" si="16"/>
        <v>120</v>
      </c>
      <c r="AG39" s="590">
        <f t="shared" si="17"/>
        <v>0</v>
      </c>
      <c r="AH39" s="589">
        <v>2</v>
      </c>
      <c r="AI39" s="588">
        <f>AD39*AH39</f>
        <v>26640</v>
      </c>
      <c r="AJ39" s="866"/>
    </row>
    <row r="40" spans="1:36">
      <c r="A40" s="730" t="s">
        <v>14</v>
      </c>
      <c r="B40" s="589">
        <v>3</v>
      </c>
      <c r="C40" s="597"/>
      <c r="D40" s="595">
        <v>1100</v>
      </c>
      <c r="E40" s="458"/>
      <c r="F40" s="458"/>
      <c r="G40" s="458"/>
      <c r="H40" s="458"/>
      <c r="I40" s="458"/>
      <c r="J40" s="458"/>
      <c r="K40" s="591">
        <f t="shared" si="10"/>
        <v>1100</v>
      </c>
      <c r="L40" s="593"/>
      <c r="M40" s="593"/>
      <c r="N40" s="592"/>
      <c r="O40" s="591">
        <f t="shared" si="11"/>
        <v>13200</v>
      </c>
      <c r="P40" s="457">
        <f t="shared" si="12"/>
        <v>39600</v>
      </c>
      <c r="Q40" s="589">
        <v>3</v>
      </c>
      <c r="R40" s="597"/>
      <c r="S40" s="595">
        <v>1110</v>
      </c>
      <c r="T40" s="458"/>
      <c r="U40" s="458"/>
      <c r="V40" s="412"/>
      <c r="W40" s="594"/>
      <c r="X40" s="458"/>
      <c r="Y40" s="412"/>
      <c r="Z40" s="591">
        <f t="shared" si="13"/>
        <v>1110</v>
      </c>
      <c r="AA40" s="593"/>
      <c r="AB40" s="593"/>
      <c r="AC40" s="592"/>
      <c r="AD40" s="591">
        <f t="shared" si="14"/>
        <v>13320</v>
      </c>
      <c r="AE40" s="457">
        <f t="shared" si="15"/>
        <v>39960</v>
      </c>
      <c r="AF40" s="457">
        <f t="shared" si="16"/>
        <v>120</v>
      </c>
      <c r="AG40" s="590">
        <f t="shared" si="17"/>
        <v>0</v>
      </c>
      <c r="AH40" s="589">
        <v>3</v>
      </c>
      <c r="AI40" s="588">
        <f>AD40*AH40</f>
        <v>39960</v>
      </c>
      <c r="AJ40" s="866"/>
    </row>
    <row r="41" spans="1:36">
      <c r="A41" s="730" t="s">
        <v>15</v>
      </c>
      <c r="B41" s="589">
        <v>13</v>
      </c>
      <c r="C41" s="597"/>
      <c r="D41" s="595">
        <v>950</v>
      </c>
      <c r="E41" s="458"/>
      <c r="F41" s="458"/>
      <c r="G41" s="458"/>
      <c r="H41" s="458"/>
      <c r="I41" s="458"/>
      <c r="J41" s="458"/>
      <c r="K41" s="591">
        <f t="shared" si="10"/>
        <v>950</v>
      </c>
      <c r="L41" s="593"/>
      <c r="M41" s="593"/>
      <c r="N41" s="592"/>
      <c r="O41" s="591">
        <f t="shared" si="11"/>
        <v>11400</v>
      </c>
      <c r="P41" s="457">
        <f t="shared" si="12"/>
        <v>148200</v>
      </c>
      <c r="Q41" s="589">
        <v>13</v>
      </c>
      <c r="R41" s="597"/>
      <c r="S41" s="595">
        <v>1070</v>
      </c>
      <c r="T41" s="458"/>
      <c r="U41" s="458"/>
      <c r="V41" s="412"/>
      <c r="W41" s="594"/>
      <c r="X41" s="458"/>
      <c r="Y41" s="412"/>
      <c r="Z41" s="591">
        <f t="shared" si="13"/>
        <v>1070</v>
      </c>
      <c r="AA41" s="593"/>
      <c r="AB41" s="593"/>
      <c r="AC41" s="592"/>
      <c r="AD41" s="591">
        <f t="shared" si="14"/>
        <v>12840</v>
      </c>
      <c r="AE41" s="457">
        <f t="shared" si="15"/>
        <v>166920</v>
      </c>
      <c r="AF41" s="457">
        <f t="shared" si="16"/>
        <v>1440</v>
      </c>
      <c r="AG41" s="590">
        <f t="shared" si="17"/>
        <v>0</v>
      </c>
      <c r="AH41" s="589">
        <v>10</v>
      </c>
      <c r="AI41" s="588">
        <v>48145.96</v>
      </c>
      <c r="AJ41" s="866"/>
    </row>
    <row r="42" spans="1:36">
      <c r="A42" s="730" t="s">
        <v>7056</v>
      </c>
      <c r="B42" s="589">
        <v>3</v>
      </c>
      <c r="C42" s="597"/>
      <c r="D42" s="595">
        <v>950</v>
      </c>
      <c r="E42" s="458"/>
      <c r="F42" s="458"/>
      <c r="G42" s="458"/>
      <c r="H42" s="458"/>
      <c r="I42" s="458"/>
      <c r="J42" s="458"/>
      <c r="K42" s="591">
        <f t="shared" si="10"/>
        <v>950</v>
      </c>
      <c r="L42" s="593"/>
      <c r="M42" s="593"/>
      <c r="N42" s="592"/>
      <c r="O42" s="591">
        <f t="shared" si="11"/>
        <v>11400</v>
      </c>
      <c r="P42" s="457">
        <f t="shared" si="12"/>
        <v>34200</v>
      </c>
      <c r="Q42" s="589">
        <v>3</v>
      </c>
      <c r="R42" s="597"/>
      <c r="S42" s="595">
        <v>1070</v>
      </c>
      <c r="T42" s="458"/>
      <c r="U42" s="458"/>
      <c r="V42" s="412"/>
      <c r="W42" s="594"/>
      <c r="X42" s="458"/>
      <c r="Y42" s="412"/>
      <c r="Z42" s="591">
        <f t="shared" si="13"/>
        <v>1070</v>
      </c>
      <c r="AA42" s="593"/>
      <c r="AB42" s="593"/>
      <c r="AC42" s="592"/>
      <c r="AD42" s="591">
        <f t="shared" si="14"/>
        <v>12840</v>
      </c>
      <c r="AE42" s="457">
        <f t="shared" si="15"/>
        <v>38520</v>
      </c>
      <c r="AF42" s="457">
        <f t="shared" si="16"/>
        <v>1440</v>
      </c>
      <c r="AG42" s="590">
        <f t="shared" si="17"/>
        <v>0</v>
      </c>
      <c r="AH42" s="589">
        <v>3</v>
      </c>
      <c r="AI42" s="588"/>
      <c r="AJ42" s="866"/>
    </row>
    <row r="43" spans="1:36">
      <c r="A43" s="730" t="s">
        <v>6972</v>
      </c>
      <c r="B43" s="589">
        <v>6</v>
      </c>
      <c r="C43" s="596"/>
      <c r="D43" s="595">
        <v>950</v>
      </c>
      <c r="E43" s="458"/>
      <c r="F43" s="458"/>
      <c r="G43" s="458"/>
      <c r="H43" s="458"/>
      <c r="I43" s="458"/>
      <c r="J43" s="458"/>
      <c r="K43" s="591">
        <f t="shared" si="10"/>
        <v>950</v>
      </c>
      <c r="L43" s="593"/>
      <c r="M43" s="593"/>
      <c r="N43" s="592"/>
      <c r="O43" s="591">
        <f t="shared" si="11"/>
        <v>11400</v>
      </c>
      <c r="P43" s="457">
        <f t="shared" si="12"/>
        <v>68400</v>
      </c>
      <c r="Q43" s="589">
        <v>6</v>
      </c>
      <c r="R43" s="596"/>
      <c r="S43" s="595">
        <v>1070</v>
      </c>
      <c r="T43" s="458"/>
      <c r="U43" s="458"/>
      <c r="V43" s="412"/>
      <c r="W43" s="594"/>
      <c r="X43" s="458"/>
      <c r="Y43" s="412"/>
      <c r="Z43" s="591">
        <f t="shared" si="13"/>
        <v>1070</v>
      </c>
      <c r="AA43" s="593"/>
      <c r="AB43" s="593"/>
      <c r="AC43" s="592"/>
      <c r="AD43" s="591">
        <f t="shared" si="14"/>
        <v>12840</v>
      </c>
      <c r="AE43" s="457">
        <f t="shared" si="15"/>
        <v>77040</v>
      </c>
      <c r="AF43" s="457">
        <f t="shared" si="16"/>
        <v>1440</v>
      </c>
      <c r="AG43" s="590">
        <f t="shared" si="17"/>
        <v>0</v>
      </c>
      <c r="AH43" s="589">
        <v>5</v>
      </c>
      <c r="AI43" s="588"/>
      <c r="AJ43" s="866"/>
    </row>
    <row r="44" spans="1:36" ht="12.75" thickBot="1">
      <c r="A44" s="730" t="s">
        <v>6971</v>
      </c>
      <c r="B44" s="589">
        <v>5</v>
      </c>
      <c r="C44" s="596"/>
      <c r="D44" s="595">
        <v>950</v>
      </c>
      <c r="E44" s="458"/>
      <c r="F44" s="458"/>
      <c r="G44" s="458"/>
      <c r="H44" s="458"/>
      <c r="I44" s="458"/>
      <c r="J44" s="458"/>
      <c r="K44" s="591">
        <f t="shared" si="10"/>
        <v>950</v>
      </c>
      <c r="L44" s="593"/>
      <c r="M44" s="593"/>
      <c r="N44" s="592"/>
      <c r="O44" s="591">
        <f t="shared" si="11"/>
        <v>11400</v>
      </c>
      <c r="P44" s="457">
        <f t="shared" si="12"/>
        <v>57000</v>
      </c>
      <c r="Q44" s="589">
        <v>5</v>
      </c>
      <c r="R44" s="596"/>
      <c r="S44" s="595">
        <v>1070</v>
      </c>
      <c r="T44" s="458"/>
      <c r="U44" s="458"/>
      <c r="V44" s="412"/>
      <c r="W44" s="594"/>
      <c r="X44" s="458"/>
      <c r="Y44" s="412"/>
      <c r="Z44" s="591">
        <f t="shared" si="13"/>
        <v>1070</v>
      </c>
      <c r="AA44" s="593"/>
      <c r="AB44" s="593"/>
      <c r="AC44" s="592"/>
      <c r="AD44" s="591">
        <f t="shared" si="14"/>
        <v>12840</v>
      </c>
      <c r="AE44" s="457">
        <f t="shared" si="15"/>
        <v>64200</v>
      </c>
      <c r="AF44" s="457">
        <f t="shared" si="16"/>
        <v>1440</v>
      </c>
      <c r="AG44" s="590">
        <f t="shared" si="17"/>
        <v>0</v>
      </c>
      <c r="AH44" s="589"/>
      <c r="AI44" s="588"/>
      <c r="AJ44" s="866"/>
    </row>
    <row r="45" spans="1:36" hidden="1">
      <c r="A45" s="730" t="s">
        <v>16</v>
      </c>
      <c r="B45" s="589">
        <v>4</v>
      </c>
      <c r="C45" s="596"/>
      <c r="D45" s="595"/>
      <c r="E45" s="458"/>
      <c r="F45" s="458"/>
      <c r="G45" s="458"/>
      <c r="H45" s="458"/>
      <c r="I45" s="458"/>
      <c r="J45" s="458"/>
      <c r="K45" s="591">
        <f t="shared" si="10"/>
        <v>0</v>
      </c>
      <c r="L45" s="593"/>
      <c r="M45" s="593"/>
      <c r="N45" s="592"/>
      <c r="O45" s="591">
        <f t="shared" si="11"/>
        <v>0</v>
      </c>
      <c r="P45" s="457">
        <f t="shared" si="12"/>
        <v>0</v>
      </c>
      <c r="Q45" s="589">
        <v>4</v>
      </c>
      <c r="R45" s="596"/>
      <c r="S45" s="595"/>
      <c r="T45" s="458"/>
      <c r="U45" s="458"/>
      <c r="V45" s="412"/>
      <c r="W45" s="594"/>
      <c r="X45" s="458"/>
      <c r="Y45" s="412"/>
      <c r="Z45" s="591">
        <f t="shared" si="13"/>
        <v>0</v>
      </c>
      <c r="AA45" s="593"/>
      <c r="AB45" s="593"/>
      <c r="AC45" s="592"/>
      <c r="AD45" s="591">
        <f t="shared" si="14"/>
        <v>0</v>
      </c>
      <c r="AE45" s="457">
        <f t="shared" si="15"/>
        <v>0</v>
      </c>
      <c r="AF45" s="457">
        <f t="shared" si="16"/>
        <v>0</v>
      </c>
      <c r="AG45" s="590">
        <f t="shared" si="17"/>
        <v>0</v>
      </c>
      <c r="AH45" s="589"/>
      <c r="AI45" s="588"/>
      <c r="AJ45" s="866"/>
    </row>
    <row r="46" spans="1:36" hidden="1">
      <c r="A46" s="730" t="s">
        <v>6969</v>
      </c>
      <c r="B46" s="589">
        <v>3</v>
      </c>
      <c r="C46" s="596"/>
      <c r="D46" s="595"/>
      <c r="E46" s="458"/>
      <c r="F46" s="458"/>
      <c r="G46" s="458"/>
      <c r="H46" s="458"/>
      <c r="I46" s="458"/>
      <c r="J46" s="458"/>
      <c r="K46" s="591">
        <f t="shared" si="10"/>
        <v>0</v>
      </c>
      <c r="L46" s="593"/>
      <c r="M46" s="593"/>
      <c r="N46" s="592"/>
      <c r="O46" s="591">
        <f t="shared" si="11"/>
        <v>0</v>
      </c>
      <c r="P46" s="457">
        <f t="shared" si="12"/>
        <v>0</v>
      </c>
      <c r="Q46" s="589">
        <v>3</v>
      </c>
      <c r="R46" s="596"/>
      <c r="S46" s="595"/>
      <c r="T46" s="458"/>
      <c r="U46" s="458"/>
      <c r="V46" s="412"/>
      <c r="W46" s="594"/>
      <c r="X46" s="458"/>
      <c r="Y46" s="412"/>
      <c r="Z46" s="591">
        <f t="shared" si="13"/>
        <v>0</v>
      </c>
      <c r="AA46" s="593"/>
      <c r="AB46" s="593"/>
      <c r="AC46" s="592"/>
      <c r="AD46" s="591">
        <f t="shared" si="14"/>
        <v>0</v>
      </c>
      <c r="AE46" s="457">
        <f t="shared" si="15"/>
        <v>0</v>
      </c>
      <c r="AF46" s="457">
        <f t="shared" si="16"/>
        <v>0</v>
      </c>
      <c r="AG46" s="590">
        <f t="shared" si="17"/>
        <v>0</v>
      </c>
      <c r="AH46" s="589"/>
      <c r="AI46" s="588"/>
      <c r="AJ46" s="866"/>
    </row>
    <row r="47" spans="1:36" hidden="1">
      <c r="A47" s="730" t="s">
        <v>6968</v>
      </c>
      <c r="B47" s="589">
        <v>2</v>
      </c>
      <c r="C47" s="596"/>
      <c r="D47" s="595"/>
      <c r="E47" s="458"/>
      <c r="F47" s="458"/>
      <c r="G47" s="458"/>
      <c r="H47" s="458"/>
      <c r="I47" s="458"/>
      <c r="J47" s="458"/>
      <c r="K47" s="591">
        <f t="shared" si="10"/>
        <v>0</v>
      </c>
      <c r="L47" s="593"/>
      <c r="M47" s="593"/>
      <c r="N47" s="592"/>
      <c r="O47" s="591">
        <f t="shared" si="11"/>
        <v>0</v>
      </c>
      <c r="P47" s="457">
        <f t="shared" si="12"/>
        <v>0</v>
      </c>
      <c r="Q47" s="589">
        <v>2</v>
      </c>
      <c r="R47" s="596"/>
      <c r="S47" s="595"/>
      <c r="T47" s="458"/>
      <c r="U47" s="458"/>
      <c r="V47" s="412"/>
      <c r="W47" s="594"/>
      <c r="X47" s="458"/>
      <c r="Y47" s="412"/>
      <c r="Z47" s="591">
        <f t="shared" si="13"/>
        <v>0</v>
      </c>
      <c r="AA47" s="593"/>
      <c r="AB47" s="593"/>
      <c r="AC47" s="592"/>
      <c r="AD47" s="591">
        <f t="shared" si="14"/>
        <v>0</v>
      </c>
      <c r="AE47" s="457">
        <f t="shared" si="15"/>
        <v>0</v>
      </c>
      <c r="AF47" s="457">
        <f t="shared" si="16"/>
        <v>0</v>
      </c>
      <c r="AG47" s="590">
        <f t="shared" si="17"/>
        <v>0</v>
      </c>
      <c r="AH47" s="589"/>
      <c r="AI47" s="588"/>
      <c r="AJ47" s="866"/>
    </row>
    <row r="48" spans="1:36" hidden="1">
      <c r="A48" s="730" t="s">
        <v>6967</v>
      </c>
      <c r="B48" s="589">
        <v>0</v>
      </c>
      <c r="C48" s="596"/>
      <c r="D48" s="595"/>
      <c r="E48" s="458"/>
      <c r="F48" s="458"/>
      <c r="G48" s="458"/>
      <c r="H48" s="458"/>
      <c r="I48" s="458"/>
      <c r="J48" s="458"/>
      <c r="K48" s="591">
        <f t="shared" si="10"/>
        <v>0</v>
      </c>
      <c r="L48" s="593"/>
      <c r="M48" s="593"/>
      <c r="N48" s="592"/>
      <c r="O48" s="591">
        <f t="shared" si="11"/>
        <v>0</v>
      </c>
      <c r="P48" s="457">
        <f t="shared" si="12"/>
        <v>0</v>
      </c>
      <c r="Q48" s="589">
        <v>0</v>
      </c>
      <c r="R48" s="596"/>
      <c r="S48" s="595"/>
      <c r="T48" s="458"/>
      <c r="U48" s="458"/>
      <c r="V48" s="412"/>
      <c r="W48" s="594"/>
      <c r="X48" s="458"/>
      <c r="Y48" s="412"/>
      <c r="Z48" s="591"/>
      <c r="AA48" s="593"/>
      <c r="AB48" s="593"/>
      <c r="AC48" s="592"/>
      <c r="AD48" s="591">
        <f t="shared" si="14"/>
        <v>0</v>
      </c>
      <c r="AE48" s="457">
        <f t="shared" si="15"/>
        <v>0</v>
      </c>
      <c r="AF48" s="457">
        <f t="shared" si="16"/>
        <v>0</v>
      </c>
      <c r="AG48" s="590">
        <f t="shared" si="17"/>
        <v>0</v>
      </c>
      <c r="AH48" s="589"/>
      <c r="AI48" s="588"/>
      <c r="AJ48" s="866"/>
    </row>
    <row r="49" spans="1:36" hidden="1">
      <c r="A49" s="730" t="s">
        <v>18</v>
      </c>
      <c r="B49" s="589">
        <v>2</v>
      </c>
      <c r="C49" s="596"/>
      <c r="D49" s="595"/>
      <c r="E49" s="458"/>
      <c r="F49" s="458"/>
      <c r="G49" s="458"/>
      <c r="H49" s="458"/>
      <c r="I49" s="458"/>
      <c r="J49" s="458"/>
      <c r="K49" s="591">
        <f t="shared" si="10"/>
        <v>0</v>
      </c>
      <c r="L49" s="593"/>
      <c r="M49" s="593"/>
      <c r="N49" s="592"/>
      <c r="O49" s="591">
        <f t="shared" si="11"/>
        <v>0</v>
      </c>
      <c r="P49" s="457">
        <f t="shared" si="12"/>
        <v>0</v>
      </c>
      <c r="Q49" s="589">
        <v>2</v>
      </c>
      <c r="R49" s="596"/>
      <c r="S49" s="595"/>
      <c r="T49" s="458"/>
      <c r="U49" s="458"/>
      <c r="V49" s="412"/>
      <c r="W49" s="594"/>
      <c r="X49" s="458"/>
      <c r="Y49" s="412"/>
      <c r="Z49" s="591">
        <f>SUM(R49:S49)</f>
        <v>0</v>
      </c>
      <c r="AA49" s="593"/>
      <c r="AB49" s="593"/>
      <c r="AC49" s="592"/>
      <c r="AD49" s="591">
        <f t="shared" si="14"/>
        <v>0</v>
      </c>
      <c r="AE49" s="457">
        <f t="shared" si="15"/>
        <v>0</v>
      </c>
      <c r="AF49" s="457">
        <f t="shared" si="16"/>
        <v>0</v>
      </c>
      <c r="AG49" s="590">
        <f t="shared" si="17"/>
        <v>0</v>
      </c>
      <c r="AH49" s="589"/>
      <c r="AI49" s="588"/>
      <c r="AJ49" s="866"/>
    </row>
    <row r="50" spans="1:36" ht="12.75" hidden="1" thickBot="1">
      <c r="A50" s="730" t="s">
        <v>6966</v>
      </c>
      <c r="B50" s="589">
        <v>0</v>
      </c>
      <c r="C50" s="596"/>
      <c r="D50" s="595"/>
      <c r="E50" s="458"/>
      <c r="F50" s="458"/>
      <c r="G50" s="458"/>
      <c r="H50" s="458"/>
      <c r="I50" s="458"/>
      <c r="J50" s="458"/>
      <c r="K50" s="591">
        <f t="shared" si="10"/>
        <v>0</v>
      </c>
      <c r="L50" s="593"/>
      <c r="M50" s="593"/>
      <c r="N50" s="592"/>
      <c r="O50" s="591">
        <f t="shared" si="11"/>
        <v>0</v>
      </c>
      <c r="P50" s="457">
        <f t="shared" si="12"/>
        <v>0</v>
      </c>
      <c r="Q50" s="589">
        <v>0</v>
      </c>
      <c r="R50" s="596"/>
      <c r="S50" s="595"/>
      <c r="T50" s="458"/>
      <c r="U50" s="458"/>
      <c r="V50" s="412"/>
      <c r="W50" s="594"/>
      <c r="X50" s="458"/>
      <c r="Y50" s="412"/>
      <c r="Z50" s="591"/>
      <c r="AA50" s="593"/>
      <c r="AB50" s="593"/>
      <c r="AC50" s="592"/>
      <c r="AD50" s="591">
        <f t="shared" si="14"/>
        <v>0</v>
      </c>
      <c r="AE50" s="457">
        <f t="shared" si="15"/>
        <v>0</v>
      </c>
      <c r="AF50" s="457">
        <f t="shared" si="16"/>
        <v>0</v>
      </c>
      <c r="AG50" s="590">
        <f t="shared" si="17"/>
        <v>0</v>
      </c>
      <c r="AH50" s="589"/>
      <c r="AI50" s="588"/>
      <c r="AJ50" s="866"/>
    </row>
    <row r="51" spans="1:36" ht="12.75" thickBot="1">
      <c r="A51" s="587" t="s">
        <v>0</v>
      </c>
      <c r="B51" s="586">
        <f>SUM(B10,B14,B21,B28,B35)</f>
        <v>90</v>
      </c>
      <c r="C51" s="585">
        <f>SUM(C10,C14,C21,C28)</f>
        <v>13018.829999999998</v>
      </c>
      <c r="D51" s="584">
        <f t="shared" ref="D51:AI51" si="18">SUM(D10,D14,D21,D28,D35)</f>
        <v>21750</v>
      </c>
      <c r="E51" s="584">
        <f t="shared" si="18"/>
        <v>0</v>
      </c>
      <c r="F51" s="584">
        <f t="shared" si="18"/>
        <v>0</v>
      </c>
      <c r="G51" s="584">
        <f t="shared" si="18"/>
        <v>0</v>
      </c>
      <c r="H51" s="584">
        <f t="shared" si="18"/>
        <v>0</v>
      </c>
      <c r="I51" s="584">
        <f t="shared" si="18"/>
        <v>0</v>
      </c>
      <c r="J51" s="584">
        <f t="shared" si="18"/>
        <v>0</v>
      </c>
      <c r="K51" s="584">
        <f t="shared" si="18"/>
        <v>34768.83</v>
      </c>
      <c r="L51" s="584">
        <f t="shared" si="18"/>
        <v>11000</v>
      </c>
      <c r="M51" s="584">
        <f t="shared" si="18"/>
        <v>0</v>
      </c>
      <c r="N51" s="584">
        <f t="shared" si="18"/>
        <v>11000</v>
      </c>
      <c r="O51" s="584">
        <f t="shared" si="18"/>
        <v>428225.96</v>
      </c>
      <c r="P51" s="584">
        <f t="shared" si="18"/>
        <v>1551023.04</v>
      </c>
      <c r="Q51" s="584">
        <f t="shared" si="18"/>
        <v>90</v>
      </c>
      <c r="R51" s="584">
        <f t="shared" si="18"/>
        <v>13018.829999999998</v>
      </c>
      <c r="S51" s="584">
        <f t="shared" si="18"/>
        <v>27670</v>
      </c>
      <c r="T51" s="584">
        <f t="shared" si="18"/>
        <v>0</v>
      </c>
      <c r="U51" s="584">
        <f t="shared" si="18"/>
        <v>0</v>
      </c>
      <c r="V51" s="584">
        <f t="shared" si="18"/>
        <v>0</v>
      </c>
      <c r="W51" s="584">
        <f t="shared" si="18"/>
        <v>0</v>
      </c>
      <c r="X51" s="584">
        <f t="shared" si="18"/>
        <v>0</v>
      </c>
      <c r="Y51" s="584">
        <f t="shared" si="18"/>
        <v>0</v>
      </c>
      <c r="Z51" s="584">
        <f t="shared" si="18"/>
        <v>38408.83</v>
      </c>
      <c r="AA51" s="584">
        <f t="shared" si="18"/>
        <v>11000</v>
      </c>
      <c r="AB51" s="584">
        <f t="shared" si="18"/>
        <v>0</v>
      </c>
      <c r="AC51" s="584">
        <f t="shared" si="18"/>
        <v>11000</v>
      </c>
      <c r="AD51" s="584">
        <f t="shared" si="18"/>
        <v>458585.96</v>
      </c>
      <c r="AE51" s="584">
        <f t="shared" si="18"/>
        <v>1642343.04</v>
      </c>
      <c r="AF51" s="584">
        <f t="shared" si="18"/>
        <v>6360</v>
      </c>
      <c r="AG51" s="584">
        <f t="shared" si="18"/>
        <v>0</v>
      </c>
      <c r="AH51" s="583">
        <f t="shared" si="18"/>
        <v>70</v>
      </c>
      <c r="AI51" s="582">
        <f t="shared" si="18"/>
        <v>1133809</v>
      </c>
      <c r="AJ51" s="866"/>
    </row>
    <row r="52" spans="1:36">
      <c r="A52" s="265" t="s">
        <v>64</v>
      </c>
    </row>
    <row r="53" spans="1:36">
      <c r="A53" s="265" t="s">
        <v>65</v>
      </c>
      <c r="B53" s="265" t="s">
        <v>152</v>
      </c>
    </row>
    <row r="54" spans="1:36">
      <c r="A54" s="265" t="s">
        <v>66</v>
      </c>
      <c r="B54" s="265" t="s">
        <v>67</v>
      </c>
      <c r="AI54" s="869"/>
    </row>
    <row r="55" spans="1:36">
      <c r="A55" s="265" t="s">
        <v>68</v>
      </c>
      <c r="B55" s="265" t="s">
        <v>69</v>
      </c>
    </row>
    <row r="56" spans="1:36">
      <c r="A56" s="265" t="s">
        <v>70</v>
      </c>
      <c r="B56" s="265" t="s">
        <v>71</v>
      </c>
    </row>
    <row r="57" spans="1:36">
      <c r="B57" s="265" t="s">
        <v>72</v>
      </c>
    </row>
    <row r="58" spans="1:36">
      <c r="A58" s="265" t="s">
        <v>73</v>
      </c>
      <c r="B58" s="265" t="s">
        <v>143</v>
      </c>
    </row>
    <row r="59" spans="1:36">
      <c r="B59" s="265" t="s">
        <v>74</v>
      </c>
    </row>
    <row r="60" spans="1:36">
      <c r="B60" s="265" t="s">
        <v>75</v>
      </c>
    </row>
    <row r="61" spans="1:36">
      <c r="B61" s="265" t="s">
        <v>76</v>
      </c>
    </row>
    <row r="62" spans="1:36">
      <c r="A62" s="265" t="s">
        <v>177</v>
      </c>
      <c r="B62" s="265" t="s">
        <v>178</v>
      </c>
    </row>
    <row r="63" spans="1:36">
      <c r="A63" s="265" t="s">
        <v>179</v>
      </c>
      <c r="B63" s="265" t="s">
        <v>148</v>
      </c>
    </row>
    <row r="64" spans="1:36">
      <c r="A64" s="265" t="s">
        <v>180</v>
      </c>
      <c r="B64" s="265" t="s">
        <v>144</v>
      </c>
    </row>
    <row r="65" spans="1:2">
      <c r="B65" s="265" t="s">
        <v>74</v>
      </c>
    </row>
    <row r="66" spans="1:2">
      <c r="B66" s="265" t="s">
        <v>75</v>
      </c>
    </row>
    <row r="67" spans="1:2">
      <c r="B67" s="265" t="s">
        <v>112</v>
      </c>
    </row>
    <row r="68" spans="1:2">
      <c r="A68" s="265" t="s">
        <v>189</v>
      </c>
      <c r="B68" s="265" t="s">
        <v>190</v>
      </c>
    </row>
    <row r="69" spans="1:2">
      <c r="A69" s="265" t="s">
        <v>187</v>
      </c>
      <c r="B69" s="265" t="s">
        <v>183</v>
      </c>
    </row>
    <row r="70" spans="1:2">
      <c r="A70" s="265" t="s">
        <v>188</v>
      </c>
      <c r="B70" s="265" t="s">
        <v>191</v>
      </c>
    </row>
  </sheetData>
  <mergeCells count="5">
    <mergeCell ref="A5:A7"/>
    <mergeCell ref="B5:P5"/>
    <mergeCell ref="Q5:AE5"/>
    <mergeCell ref="AF5:AG5"/>
    <mergeCell ref="AH5:AI5"/>
  </mergeCells>
  <printOptions horizontalCentered="1"/>
  <pageMargins left="0.19685039370078741" right="0.19685039370078741" top="0.78740157480314965" bottom="0.78740157480314965" header="0.19685039370078741" footer="0.19685039370078741"/>
  <pageSetup paperSize="9" scale="60"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rowBreaks count="1" manualBreakCount="1">
    <brk id="61" max="34"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2060"/>
    <pageSetUpPr fitToPage="1"/>
  </sheetPr>
  <dimension ref="A1:AI241"/>
  <sheetViews>
    <sheetView view="pageBreakPreview" zoomScaleNormal="100" zoomScaleSheetLayoutView="100" workbookViewId="0">
      <selection activeCell="B8" sqref="B8"/>
    </sheetView>
  </sheetViews>
  <sheetFormatPr baseColWidth="10" defaultColWidth="11.42578125" defaultRowHeight="12"/>
  <cols>
    <col min="1" max="1" width="15.7109375" style="265" customWidth="1"/>
    <col min="2" max="2" width="7.5703125" style="265" customWidth="1"/>
    <col min="3" max="3" width="6.42578125" style="265" bestFit="1" customWidth="1"/>
    <col min="4" max="4" width="5.42578125" style="265" bestFit="1" customWidth="1"/>
    <col min="5" max="5" width="3.140625" style="265" bestFit="1" customWidth="1"/>
    <col min="6" max="6" width="5.42578125" style="265" bestFit="1" customWidth="1"/>
    <col min="7" max="9" width="3.140625" style="265" bestFit="1" customWidth="1"/>
    <col min="10" max="10" width="5.42578125" style="265" bestFit="1" customWidth="1"/>
    <col min="11" max="11" width="8.85546875" style="461" bestFit="1" customWidth="1"/>
    <col min="12" max="12" width="7.42578125" style="265" bestFit="1" customWidth="1"/>
    <col min="13" max="13" width="5.42578125" style="265" bestFit="1" customWidth="1"/>
    <col min="14" max="14" width="8.85546875" style="265" bestFit="1" customWidth="1"/>
    <col min="15" max="15" width="10.28515625" style="265" bestFit="1" customWidth="1"/>
    <col min="16" max="16" width="13.7109375" style="265" bestFit="1" customWidth="1"/>
    <col min="17" max="18" width="6.42578125" style="265" bestFit="1" customWidth="1"/>
    <col min="19" max="19" width="5.42578125" style="265" bestFit="1" customWidth="1"/>
    <col min="20" max="20" width="3.140625" style="265" bestFit="1" customWidth="1"/>
    <col min="21" max="21" width="5.42578125" style="265" bestFit="1" customWidth="1"/>
    <col min="22" max="24" width="3.140625" style="265" bestFit="1" customWidth="1"/>
    <col min="25" max="25" width="6.42578125" style="265" bestFit="1" customWidth="1"/>
    <col min="26" max="27" width="7.42578125" style="265" bestFit="1" customWidth="1"/>
    <col min="28" max="28" width="5.42578125" style="265" bestFit="1" customWidth="1"/>
    <col min="29" max="29" width="8.85546875" style="265" bestFit="1" customWidth="1"/>
    <col min="30" max="30" width="10.28515625" style="265" bestFit="1" customWidth="1"/>
    <col min="31" max="31" width="13.7109375" style="265" bestFit="1" customWidth="1"/>
    <col min="32" max="32" width="9.5703125" style="265" bestFit="1" customWidth="1"/>
    <col min="33" max="33" width="10.42578125" style="265" bestFit="1" customWidth="1"/>
    <col min="34" max="34" width="6.42578125" style="265" bestFit="1" customWidth="1"/>
    <col min="35" max="35" width="13.7109375" style="265" bestFit="1" customWidth="1"/>
    <col min="36" max="16384" width="11.42578125" style="265"/>
  </cols>
  <sheetData>
    <row r="1" spans="1:35" s="743" customFormat="1">
      <c r="A1" s="742" t="s">
        <v>465</v>
      </c>
      <c r="K1" s="744"/>
    </row>
    <row r="2" spans="1:35" s="743" customFormat="1">
      <c r="A2" s="69" t="s">
        <v>1655</v>
      </c>
      <c r="B2" s="59"/>
      <c r="C2" s="59"/>
      <c r="D2" s="59"/>
      <c r="E2" s="59"/>
      <c r="F2" s="59"/>
      <c r="G2" s="59"/>
      <c r="H2" s="59"/>
      <c r="I2" s="59"/>
      <c r="J2" s="59"/>
      <c r="K2" s="677"/>
      <c r="L2" s="59"/>
      <c r="M2" s="59"/>
      <c r="N2" s="59"/>
      <c r="O2" s="59"/>
      <c r="P2" s="59"/>
      <c r="Q2" s="59"/>
      <c r="R2" s="59"/>
      <c r="S2" s="59"/>
      <c r="T2" s="59"/>
      <c r="U2" s="59"/>
      <c r="V2" s="59"/>
      <c r="W2" s="59"/>
      <c r="X2" s="59"/>
      <c r="Y2" s="59"/>
      <c r="Z2" s="59"/>
      <c r="AA2" s="59"/>
      <c r="AB2" s="59"/>
      <c r="AC2" s="59"/>
      <c r="AD2" s="59"/>
    </row>
    <row r="3" spans="1:35" s="742" customFormat="1">
      <c r="A3" s="69" t="s">
        <v>2415</v>
      </c>
      <c r="K3" s="677"/>
      <c r="T3" s="745"/>
    </row>
    <row r="4" spans="1:35" s="742" customFormat="1" ht="12.75" thickBot="1">
      <c r="A4" s="69" t="s">
        <v>2414</v>
      </c>
      <c r="K4" s="677"/>
      <c r="T4" s="745"/>
    </row>
    <row r="5" spans="1:35" ht="12.75" thickBot="1">
      <c r="A5" s="1992" t="s">
        <v>41</v>
      </c>
      <c r="B5" s="2021" t="s">
        <v>314</v>
      </c>
      <c r="C5" s="2021"/>
      <c r="D5" s="2021"/>
      <c r="E5" s="2021"/>
      <c r="F5" s="2021"/>
      <c r="G5" s="2021"/>
      <c r="H5" s="2021"/>
      <c r="I5" s="2021"/>
      <c r="J5" s="2021"/>
      <c r="K5" s="2021"/>
      <c r="L5" s="2021"/>
      <c r="M5" s="2021"/>
      <c r="N5" s="2021"/>
      <c r="O5" s="2021"/>
      <c r="P5" s="2021"/>
      <c r="Q5" s="2022" t="s">
        <v>462</v>
      </c>
      <c r="R5" s="2021"/>
      <c r="S5" s="2021"/>
      <c r="T5" s="2021"/>
      <c r="U5" s="2021"/>
      <c r="V5" s="2021"/>
      <c r="W5" s="2021"/>
      <c r="X5" s="2021"/>
      <c r="Y5" s="2021"/>
      <c r="Z5" s="2021"/>
      <c r="AA5" s="2021"/>
      <c r="AB5" s="2021"/>
      <c r="AC5" s="2021"/>
      <c r="AD5" s="2021"/>
      <c r="AE5" s="2023"/>
      <c r="AF5" s="2024" t="s">
        <v>463</v>
      </c>
      <c r="AG5" s="2025"/>
      <c r="AH5" s="2024" t="s">
        <v>464</v>
      </c>
      <c r="AI5" s="2025"/>
    </row>
    <row r="6" spans="1:35" ht="171">
      <c r="A6" s="2019"/>
      <c r="B6" s="130" t="s">
        <v>11</v>
      </c>
      <c r="C6" s="131" t="s">
        <v>137</v>
      </c>
      <c r="D6" s="132" t="s">
        <v>240</v>
      </c>
      <c r="E6" s="132" t="s">
        <v>139</v>
      </c>
      <c r="F6" s="132" t="s">
        <v>173</v>
      </c>
      <c r="G6" s="132" t="s">
        <v>174</v>
      </c>
      <c r="H6" s="132" t="s">
        <v>175</v>
      </c>
      <c r="I6" s="132" t="s">
        <v>176</v>
      </c>
      <c r="J6" s="132" t="s">
        <v>140</v>
      </c>
      <c r="K6" s="676" t="s">
        <v>141</v>
      </c>
      <c r="L6" s="132" t="s">
        <v>142</v>
      </c>
      <c r="M6" s="132" t="s">
        <v>172</v>
      </c>
      <c r="N6" s="133" t="s">
        <v>114</v>
      </c>
      <c r="O6" s="134" t="s">
        <v>147</v>
      </c>
      <c r="P6" s="135" t="s">
        <v>146</v>
      </c>
      <c r="Q6" s="130" t="s">
        <v>11</v>
      </c>
      <c r="R6" s="131" t="s">
        <v>137</v>
      </c>
      <c r="S6" s="132" t="s">
        <v>138</v>
      </c>
      <c r="T6" s="132" t="s">
        <v>139</v>
      </c>
      <c r="U6" s="132" t="s">
        <v>173</v>
      </c>
      <c r="V6" s="132" t="s">
        <v>174</v>
      </c>
      <c r="W6" s="132" t="s">
        <v>175</v>
      </c>
      <c r="X6" s="132" t="s">
        <v>176</v>
      </c>
      <c r="Y6" s="132" t="s">
        <v>140</v>
      </c>
      <c r="Z6" s="132" t="s">
        <v>141</v>
      </c>
      <c r="AA6" s="132" t="s">
        <v>142</v>
      </c>
      <c r="AB6" s="132" t="s">
        <v>172</v>
      </c>
      <c r="AC6" s="133" t="s">
        <v>114</v>
      </c>
      <c r="AD6" s="134" t="s">
        <v>147</v>
      </c>
      <c r="AE6" s="135" t="s">
        <v>315</v>
      </c>
      <c r="AF6" s="136" t="s">
        <v>151</v>
      </c>
      <c r="AG6" s="136" t="s">
        <v>150</v>
      </c>
      <c r="AH6" s="136" t="s">
        <v>11</v>
      </c>
      <c r="AI6" s="135" t="s">
        <v>316</v>
      </c>
    </row>
    <row r="7" spans="1:35" ht="15.75" customHeight="1" thickBot="1">
      <c r="A7" s="2020"/>
      <c r="B7" s="746" t="s">
        <v>42</v>
      </c>
      <c r="C7" s="747" t="s">
        <v>43</v>
      </c>
      <c r="D7" s="748" t="s">
        <v>44</v>
      </c>
      <c r="E7" s="748" t="s">
        <v>45</v>
      </c>
      <c r="F7" s="749" t="s">
        <v>46</v>
      </c>
      <c r="G7" s="749" t="s">
        <v>47</v>
      </c>
      <c r="H7" s="749" t="s">
        <v>77</v>
      </c>
      <c r="I7" s="749" t="s">
        <v>113</v>
      </c>
      <c r="J7" s="749" t="s">
        <v>145</v>
      </c>
      <c r="K7" s="750" t="s">
        <v>149</v>
      </c>
      <c r="L7" s="749" t="s">
        <v>181</v>
      </c>
      <c r="M7" s="749" t="s">
        <v>182</v>
      </c>
      <c r="N7" s="751" t="s">
        <v>184</v>
      </c>
      <c r="O7" s="752" t="s">
        <v>185</v>
      </c>
      <c r="P7" s="753" t="s">
        <v>186</v>
      </c>
      <c r="Q7" s="746" t="s">
        <v>42</v>
      </c>
      <c r="R7" s="747" t="s">
        <v>43</v>
      </c>
      <c r="S7" s="748" t="s">
        <v>44</v>
      </c>
      <c r="T7" s="748" t="s">
        <v>45</v>
      </c>
      <c r="U7" s="749" t="s">
        <v>46</v>
      </c>
      <c r="V7" s="749" t="s">
        <v>47</v>
      </c>
      <c r="W7" s="749" t="s">
        <v>77</v>
      </c>
      <c r="X7" s="749" t="s">
        <v>113</v>
      </c>
      <c r="Y7" s="749" t="s">
        <v>145</v>
      </c>
      <c r="Z7" s="749" t="s">
        <v>149</v>
      </c>
      <c r="AA7" s="749" t="s">
        <v>181</v>
      </c>
      <c r="AB7" s="749" t="s">
        <v>182</v>
      </c>
      <c r="AC7" s="751" t="s">
        <v>184</v>
      </c>
      <c r="AD7" s="752" t="s">
        <v>185</v>
      </c>
      <c r="AE7" s="753" t="s">
        <v>186</v>
      </c>
      <c r="AF7" s="754"/>
      <c r="AG7" s="389"/>
      <c r="AH7" s="754"/>
      <c r="AI7" s="389"/>
    </row>
    <row r="8" spans="1:35" ht="27">
      <c r="A8" s="722" t="s">
        <v>48</v>
      </c>
      <c r="B8" s="755">
        <f t="shared" ref="B8:I8" si="0">+B9+B16+B23+B30+B37</f>
        <v>3860</v>
      </c>
      <c r="C8" s="756">
        <f t="shared" si="0"/>
        <v>0</v>
      </c>
      <c r="D8" s="756">
        <f t="shared" si="0"/>
        <v>0</v>
      </c>
      <c r="E8" s="756">
        <f t="shared" si="0"/>
        <v>0</v>
      </c>
      <c r="F8" s="756">
        <f t="shared" si="0"/>
        <v>0</v>
      </c>
      <c r="G8" s="756">
        <f t="shared" si="0"/>
        <v>0</v>
      </c>
      <c r="H8" s="756">
        <f t="shared" si="0"/>
        <v>0</v>
      </c>
      <c r="I8" s="756">
        <f t="shared" si="0"/>
        <v>0</v>
      </c>
      <c r="J8" s="757"/>
      <c r="K8" s="758">
        <f t="shared" ref="K8:Q8" si="1">+K9+K16+K23+K30+K37</f>
        <v>63340.32</v>
      </c>
      <c r="L8" s="756">
        <f t="shared" si="1"/>
        <v>25000</v>
      </c>
      <c r="M8" s="756">
        <f t="shared" si="1"/>
        <v>0</v>
      </c>
      <c r="N8" s="758">
        <f t="shared" si="1"/>
        <v>25000</v>
      </c>
      <c r="O8" s="758">
        <f t="shared" si="1"/>
        <v>785083.84</v>
      </c>
      <c r="P8" s="759">
        <f t="shared" si="1"/>
        <v>112601448.44</v>
      </c>
      <c r="Q8" s="755">
        <f t="shared" si="1"/>
        <v>3707</v>
      </c>
      <c r="R8" s="756"/>
      <c r="S8" s="756"/>
      <c r="T8" s="756"/>
      <c r="U8" s="756"/>
      <c r="V8" s="756"/>
      <c r="W8" s="756"/>
      <c r="X8" s="756"/>
      <c r="Y8" s="756">
        <f t="shared" ref="Y8:AI8" si="2">+Y9+Y16+Y23+Y30+Y37</f>
        <v>0</v>
      </c>
      <c r="Z8" s="756">
        <f t="shared" si="2"/>
        <v>62139.22</v>
      </c>
      <c r="AA8" s="756">
        <f t="shared" si="2"/>
        <v>25000</v>
      </c>
      <c r="AB8" s="756">
        <f t="shared" si="2"/>
        <v>0</v>
      </c>
      <c r="AC8" s="758">
        <f t="shared" si="2"/>
        <v>25000</v>
      </c>
      <c r="AD8" s="758">
        <f t="shared" si="2"/>
        <v>770670.64</v>
      </c>
      <c r="AE8" s="759">
        <f t="shared" si="2"/>
        <v>112639372.40000001</v>
      </c>
      <c r="AF8" s="760">
        <f t="shared" si="2"/>
        <v>18720.000000000004</v>
      </c>
      <c r="AG8" s="761">
        <f t="shared" si="2"/>
        <v>993653.56</v>
      </c>
      <c r="AH8" s="762">
        <f t="shared" si="2"/>
        <v>3836</v>
      </c>
      <c r="AI8" s="763">
        <f t="shared" si="2"/>
        <v>115051555.75999999</v>
      </c>
    </row>
    <row r="9" spans="1:35" ht="27">
      <c r="A9" s="723" t="s">
        <v>7</v>
      </c>
      <c r="B9" s="764">
        <f>SUM(B10:B15)</f>
        <v>47</v>
      </c>
      <c r="C9" s="765"/>
      <c r="D9" s="765"/>
      <c r="E9" s="765"/>
      <c r="F9" s="765"/>
      <c r="G9" s="765"/>
      <c r="H9" s="765"/>
      <c r="I9" s="765"/>
      <c r="J9" s="766"/>
      <c r="K9" s="642">
        <f t="shared" ref="K9:Q9" si="3">SUM(K10:K15)</f>
        <v>17674.099999999999</v>
      </c>
      <c r="L9" s="765">
        <f t="shared" si="3"/>
        <v>6000</v>
      </c>
      <c r="M9" s="765">
        <f t="shared" si="3"/>
        <v>0</v>
      </c>
      <c r="N9" s="642">
        <f t="shared" si="3"/>
        <v>6000</v>
      </c>
      <c r="O9" s="642">
        <f t="shared" si="3"/>
        <v>218089.2</v>
      </c>
      <c r="P9" s="641">
        <f t="shared" si="3"/>
        <v>1699689.0799999998</v>
      </c>
      <c r="Q9" s="764">
        <f t="shared" si="3"/>
        <v>37</v>
      </c>
      <c r="R9" s="765"/>
      <c r="S9" s="765"/>
      <c r="T9" s="765"/>
      <c r="U9" s="765"/>
      <c r="V9" s="765"/>
      <c r="W9" s="765"/>
      <c r="X9" s="765"/>
      <c r="Y9" s="765">
        <f t="shared" ref="Y9:AI9" si="4">SUM(Y10:Y15)</f>
        <v>0</v>
      </c>
      <c r="Z9" s="765">
        <f t="shared" si="4"/>
        <v>17734.099999999999</v>
      </c>
      <c r="AA9" s="765">
        <f t="shared" si="4"/>
        <v>6000</v>
      </c>
      <c r="AB9" s="765">
        <f t="shared" si="4"/>
        <v>0</v>
      </c>
      <c r="AC9" s="642">
        <f t="shared" si="4"/>
        <v>6000</v>
      </c>
      <c r="AD9" s="642">
        <f t="shared" si="4"/>
        <v>218809.2</v>
      </c>
      <c r="AE9" s="641">
        <f t="shared" si="4"/>
        <v>1338656.44</v>
      </c>
      <c r="AF9" s="767">
        <f t="shared" si="4"/>
        <v>720</v>
      </c>
      <c r="AG9" s="768">
        <f t="shared" si="4"/>
        <v>-361032.63999999996</v>
      </c>
      <c r="AH9" s="769">
        <f t="shared" si="4"/>
        <v>37</v>
      </c>
      <c r="AI9" s="638">
        <f t="shared" si="4"/>
        <v>1329533.4399999999</v>
      </c>
    </row>
    <row r="10" spans="1:35" ht="14.25">
      <c r="A10" s="724" t="s">
        <v>7061</v>
      </c>
      <c r="B10" s="634">
        <v>1</v>
      </c>
      <c r="C10" s="770">
        <v>1819.97</v>
      </c>
      <c r="D10" s="633">
        <v>1200</v>
      </c>
      <c r="E10" s="594"/>
      <c r="F10" s="594"/>
      <c r="G10" s="594"/>
      <c r="H10" s="594"/>
      <c r="I10" s="594"/>
      <c r="J10" s="635"/>
      <c r="K10" s="631">
        <f t="shared" ref="K10:K15" si="5">SUM(C10:J10)</f>
        <v>3019.9700000000003</v>
      </c>
      <c r="L10" s="633">
        <v>1000</v>
      </c>
      <c r="M10" s="593"/>
      <c r="N10" s="631">
        <f t="shared" ref="N10:N15" si="6">SUM(L10:M10)</f>
        <v>1000</v>
      </c>
      <c r="O10" s="631">
        <f t="shared" ref="O10:O15" si="7">(K10*12)+N10</f>
        <v>37239.64</v>
      </c>
      <c r="P10" s="771">
        <f t="shared" ref="P10:P15" si="8">O10*B10</f>
        <v>37239.64</v>
      </c>
      <c r="Q10" s="772">
        <v>0</v>
      </c>
      <c r="R10" s="770">
        <v>1819.97</v>
      </c>
      <c r="S10" s="633">
        <v>1210</v>
      </c>
      <c r="T10" s="594"/>
      <c r="U10" s="594"/>
      <c r="V10" s="594"/>
      <c r="W10" s="594"/>
      <c r="X10" s="594"/>
      <c r="Y10" s="633"/>
      <c r="Z10" s="773">
        <f t="shared" ref="Z10:Z15" si="9">SUM(R10:Y10)</f>
        <v>3029.9700000000003</v>
      </c>
      <c r="AA10" s="633">
        <v>1000</v>
      </c>
      <c r="AB10" s="633"/>
      <c r="AC10" s="631">
        <f t="shared" ref="AC10:AC15" si="10">SUM(AA10:AB10)</f>
        <v>1000</v>
      </c>
      <c r="AD10" s="631">
        <f t="shared" ref="AD10:AD15" si="11">(Z10*12)+AC10</f>
        <v>37359.64</v>
      </c>
      <c r="AE10" s="771">
        <f t="shared" ref="AE10:AE15" si="12">AD10*Q10</f>
        <v>0</v>
      </c>
      <c r="AF10" s="741">
        <f t="shared" ref="AF10:AG15" si="13">AD10-O10</f>
        <v>120</v>
      </c>
      <c r="AG10" s="630">
        <f t="shared" si="13"/>
        <v>-37239.64</v>
      </c>
      <c r="AH10" s="774"/>
      <c r="AI10" s="629"/>
    </row>
    <row r="11" spans="1:35" ht="14.25">
      <c r="A11" s="724" t="s">
        <v>7060</v>
      </c>
      <c r="B11" s="634">
        <v>2</v>
      </c>
      <c r="C11" s="770">
        <v>1794.21</v>
      </c>
      <c r="D11" s="633">
        <v>1200</v>
      </c>
      <c r="E11" s="594"/>
      <c r="F11" s="594"/>
      <c r="G11" s="594"/>
      <c r="H11" s="594"/>
      <c r="I11" s="594"/>
      <c r="J11" s="635"/>
      <c r="K11" s="631">
        <f t="shared" si="5"/>
        <v>2994.21</v>
      </c>
      <c r="L11" s="633">
        <v>1000</v>
      </c>
      <c r="M11" s="633"/>
      <c r="N11" s="631">
        <f t="shared" si="6"/>
        <v>1000</v>
      </c>
      <c r="O11" s="631">
        <f t="shared" si="7"/>
        <v>36930.520000000004</v>
      </c>
      <c r="P11" s="771">
        <f t="shared" si="8"/>
        <v>73861.040000000008</v>
      </c>
      <c r="Q11" s="772">
        <v>0</v>
      </c>
      <c r="R11" s="770">
        <v>1794.21</v>
      </c>
      <c r="S11" s="633">
        <v>1210</v>
      </c>
      <c r="T11" s="594"/>
      <c r="U11" s="594"/>
      <c r="V11" s="594"/>
      <c r="W11" s="594"/>
      <c r="X11" s="594"/>
      <c r="Y11" s="633"/>
      <c r="Z11" s="773">
        <f t="shared" si="9"/>
        <v>3004.21</v>
      </c>
      <c r="AA11" s="633">
        <v>1000</v>
      </c>
      <c r="AB11" s="633"/>
      <c r="AC11" s="631">
        <f t="shared" si="10"/>
        <v>1000</v>
      </c>
      <c r="AD11" s="631">
        <f t="shared" si="11"/>
        <v>37050.520000000004</v>
      </c>
      <c r="AE11" s="771">
        <f t="shared" si="12"/>
        <v>0</v>
      </c>
      <c r="AF11" s="741">
        <f t="shared" si="13"/>
        <v>120</v>
      </c>
      <c r="AG11" s="630">
        <f t="shared" si="13"/>
        <v>-73861.040000000008</v>
      </c>
      <c r="AH11" s="774"/>
      <c r="AI11" s="629"/>
    </row>
    <row r="12" spans="1:35" ht="14.25">
      <c r="A12" s="724" t="s">
        <v>7059</v>
      </c>
      <c r="B12" s="634">
        <v>5</v>
      </c>
      <c r="C12" s="770">
        <v>1763.24</v>
      </c>
      <c r="D12" s="633">
        <v>1200</v>
      </c>
      <c r="E12" s="594"/>
      <c r="F12" s="594"/>
      <c r="G12" s="594"/>
      <c r="H12" s="594"/>
      <c r="I12" s="594"/>
      <c r="J12" s="635"/>
      <c r="K12" s="631">
        <f t="shared" si="5"/>
        <v>2963.24</v>
      </c>
      <c r="L12" s="633">
        <v>1000</v>
      </c>
      <c r="M12" s="633"/>
      <c r="N12" s="631">
        <f t="shared" si="6"/>
        <v>1000</v>
      </c>
      <c r="O12" s="631">
        <f t="shared" si="7"/>
        <v>36558.879999999997</v>
      </c>
      <c r="P12" s="771">
        <f t="shared" si="8"/>
        <v>182794.4</v>
      </c>
      <c r="Q12" s="772">
        <v>3</v>
      </c>
      <c r="R12" s="770">
        <v>1763.24</v>
      </c>
      <c r="S12" s="633">
        <v>1210</v>
      </c>
      <c r="T12" s="594"/>
      <c r="U12" s="594"/>
      <c r="V12" s="594"/>
      <c r="W12" s="594"/>
      <c r="X12" s="594"/>
      <c r="Y12" s="633"/>
      <c r="Z12" s="773">
        <f t="shared" si="9"/>
        <v>2973.24</v>
      </c>
      <c r="AA12" s="633">
        <v>1000</v>
      </c>
      <c r="AB12" s="633"/>
      <c r="AC12" s="631">
        <f t="shared" si="10"/>
        <v>1000</v>
      </c>
      <c r="AD12" s="631">
        <f t="shared" si="11"/>
        <v>36678.879999999997</v>
      </c>
      <c r="AE12" s="771">
        <f t="shared" si="12"/>
        <v>110036.63999999998</v>
      </c>
      <c r="AF12" s="741">
        <f t="shared" si="13"/>
        <v>120</v>
      </c>
      <c r="AG12" s="630">
        <f t="shared" si="13"/>
        <v>-72757.760000000009</v>
      </c>
      <c r="AH12" s="775">
        <v>3</v>
      </c>
      <c r="AI12" s="636">
        <v>109236.36</v>
      </c>
    </row>
    <row r="13" spans="1:35" ht="14.25">
      <c r="A13" s="724" t="s">
        <v>7058</v>
      </c>
      <c r="B13" s="634">
        <v>29</v>
      </c>
      <c r="C13" s="770">
        <v>1737.57</v>
      </c>
      <c r="D13" s="633">
        <v>1200</v>
      </c>
      <c r="E13" s="594"/>
      <c r="F13" s="594"/>
      <c r="G13" s="594"/>
      <c r="H13" s="594"/>
      <c r="I13" s="594"/>
      <c r="J13" s="635"/>
      <c r="K13" s="631">
        <f t="shared" si="5"/>
        <v>2937.5699999999997</v>
      </c>
      <c r="L13" s="633">
        <v>1000</v>
      </c>
      <c r="M13" s="633"/>
      <c r="N13" s="631">
        <f t="shared" si="6"/>
        <v>1000</v>
      </c>
      <c r="O13" s="631">
        <f t="shared" si="7"/>
        <v>36250.839999999997</v>
      </c>
      <c r="P13" s="771">
        <f t="shared" si="8"/>
        <v>1051274.3599999999</v>
      </c>
      <c r="Q13" s="772">
        <v>24</v>
      </c>
      <c r="R13" s="770">
        <v>1737.57</v>
      </c>
      <c r="S13" s="633">
        <v>1210</v>
      </c>
      <c r="T13" s="594"/>
      <c r="U13" s="594"/>
      <c r="V13" s="594"/>
      <c r="W13" s="594"/>
      <c r="X13" s="594"/>
      <c r="Y13" s="633"/>
      <c r="Z13" s="773">
        <f t="shared" si="9"/>
        <v>2947.5699999999997</v>
      </c>
      <c r="AA13" s="633">
        <v>1000</v>
      </c>
      <c r="AB13" s="633"/>
      <c r="AC13" s="631">
        <f t="shared" si="10"/>
        <v>1000</v>
      </c>
      <c r="AD13" s="631">
        <f t="shared" si="11"/>
        <v>36370.839999999997</v>
      </c>
      <c r="AE13" s="771">
        <f t="shared" si="12"/>
        <v>872900.15999999992</v>
      </c>
      <c r="AF13" s="741">
        <f t="shared" si="13"/>
        <v>120</v>
      </c>
      <c r="AG13" s="630">
        <f t="shared" si="13"/>
        <v>-178374.19999999995</v>
      </c>
      <c r="AH13" s="775">
        <v>24</v>
      </c>
      <c r="AI13" s="636">
        <v>866970.24</v>
      </c>
    </row>
    <row r="14" spans="1:35" ht="14.25">
      <c r="A14" s="724" t="s">
        <v>7057</v>
      </c>
      <c r="B14" s="634">
        <v>3</v>
      </c>
      <c r="C14" s="770">
        <v>1700.95</v>
      </c>
      <c r="D14" s="633">
        <v>1200</v>
      </c>
      <c r="E14" s="594"/>
      <c r="F14" s="594"/>
      <c r="G14" s="594"/>
      <c r="H14" s="594"/>
      <c r="I14" s="594"/>
      <c r="J14" s="635"/>
      <c r="K14" s="631">
        <f t="shared" si="5"/>
        <v>2900.95</v>
      </c>
      <c r="L14" s="633">
        <v>1000</v>
      </c>
      <c r="M14" s="633"/>
      <c r="N14" s="631">
        <f t="shared" si="6"/>
        <v>1000</v>
      </c>
      <c r="O14" s="631">
        <f t="shared" si="7"/>
        <v>35811.399999999994</v>
      </c>
      <c r="P14" s="771">
        <f t="shared" si="8"/>
        <v>107434.19999999998</v>
      </c>
      <c r="Q14" s="772">
        <v>3</v>
      </c>
      <c r="R14" s="770">
        <v>1700.95</v>
      </c>
      <c r="S14" s="633">
        <v>1210</v>
      </c>
      <c r="T14" s="594"/>
      <c r="U14" s="594"/>
      <c r="V14" s="594"/>
      <c r="W14" s="594"/>
      <c r="X14" s="594"/>
      <c r="Y14" s="633"/>
      <c r="Z14" s="773">
        <f t="shared" si="9"/>
        <v>2910.95</v>
      </c>
      <c r="AA14" s="633">
        <v>1000</v>
      </c>
      <c r="AB14" s="633"/>
      <c r="AC14" s="631">
        <f t="shared" si="10"/>
        <v>1000</v>
      </c>
      <c r="AD14" s="631">
        <f t="shared" si="11"/>
        <v>35931.399999999994</v>
      </c>
      <c r="AE14" s="771">
        <f t="shared" si="12"/>
        <v>107794.19999999998</v>
      </c>
      <c r="AF14" s="741">
        <f t="shared" si="13"/>
        <v>120</v>
      </c>
      <c r="AG14" s="630">
        <f t="shared" si="13"/>
        <v>360</v>
      </c>
      <c r="AH14" s="775">
        <v>3</v>
      </c>
      <c r="AI14" s="636">
        <v>106887.36</v>
      </c>
    </row>
    <row r="15" spans="1:35" ht="14.25">
      <c r="A15" s="724" t="s">
        <v>12</v>
      </c>
      <c r="B15" s="634">
        <v>7</v>
      </c>
      <c r="C15" s="770">
        <v>1658.16</v>
      </c>
      <c r="D15" s="633">
        <v>1200</v>
      </c>
      <c r="E15" s="594"/>
      <c r="F15" s="594"/>
      <c r="G15" s="594"/>
      <c r="H15" s="594"/>
      <c r="I15" s="594"/>
      <c r="J15" s="635"/>
      <c r="K15" s="631">
        <f t="shared" si="5"/>
        <v>2858.16</v>
      </c>
      <c r="L15" s="633">
        <v>1000</v>
      </c>
      <c r="M15" s="633"/>
      <c r="N15" s="631">
        <f t="shared" si="6"/>
        <v>1000</v>
      </c>
      <c r="O15" s="631">
        <f t="shared" si="7"/>
        <v>35297.919999999998</v>
      </c>
      <c r="P15" s="771">
        <f t="shared" si="8"/>
        <v>247085.44</v>
      </c>
      <c r="Q15" s="772">
        <v>7</v>
      </c>
      <c r="R15" s="770">
        <v>1658.16</v>
      </c>
      <c r="S15" s="633">
        <v>1210</v>
      </c>
      <c r="T15" s="594"/>
      <c r="U15" s="594"/>
      <c r="V15" s="594"/>
      <c r="W15" s="594"/>
      <c r="X15" s="594"/>
      <c r="Y15" s="633"/>
      <c r="Z15" s="773">
        <f t="shared" si="9"/>
        <v>2868.16</v>
      </c>
      <c r="AA15" s="633">
        <v>1000</v>
      </c>
      <c r="AB15" s="633"/>
      <c r="AC15" s="631">
        <f t="shared" si="10"/>
        <v>1000</v>
      </c>
      <c r="AD15" s="631">
        <f t="shared" si="11"/>
        <v>35417.919999999998</v>
      </c>
      <c r="AE15" s="771">
        <f t="shared" si="12"/>
        <v>247925.44</v>
      </c>
      <c r="AF15" s="741">
        <f t="shared" si="13"/>
        <v>120</v>
      </c>
      <c r="AG15" s="630">
        <f t="shared" si="13"/>
        <v>840</v>
      </c>
      <c r="AH15" s="775">
        <v>7</v>
      </c>
      <c r="AI15" s="636">
        <v>246439.47999999998</v>
      </c>
    </row>
    <row r="16" spans="1:35" ht="13.5">
      <c r="A16" s="723" t="s">
        <v>4</v>
      </c>
      <c r="B16" s="764">
        <f>SUM(B17:B22)</f>
        <v>414</v>
      </c>
      <c r="C16" s="765"/>
      <c r="D16" s="765"/>
      <c r="E16" s="765"/>
      <c r="F16" s="765"/>
      <c r="G16" s="765"/>
      <c r="H16" s="765"/>
      <c r="I16" s="765"/>
      <c r="J16" s="766"/>
      <c r="K16" s="642">
        <f t="shared" ref="K16:Q16" si="14">SUM(K17:K22)</f>
        <v>15319.09</v>
      </c>
      <c r="L16" s="765">
        <f t="shared" si="14"/>
        <v>6000</v>
      </c>
      <c r="M16" s="765">
        <f t="shared" si="14"/>
        <v>0</v>
      </c>
      <c r="N16" s="642">
        <f t="shared" si="14"/>
        <v>6000</v>
      </c>
      <c r="O16" s="642">
        <f t="shared" si="14"/>
        <v>189829.08000000002</v>
      </c>
      <c r="P16" s="641">
        <f t="shared" si="14"/>
        <v>13064029.200000001</v>
      </c>
      <c r="Q16" s="764">
        <f t="shared" si="14"/>
        <v>411</v>
      </c>
      <c r="R16" s="765"/>
      <c r="S16" s="765"/>
      <c r="T16" s="765"/>
      <c r="U16" s="765"/>
      <c r="V16" s="765"/>
      <c r="W16" s="765"/>
      <c r="X16" s="765"/>
      <c r="Y16" s="765">
        <f t="shared" ref="Y16:AI16" si="15">SUM(Y17:Y22)</f>
        <v>0</v>
      </c>
      <c r="Z16" s="765">
        <f t="shared" si="15"/>
        <v>15379.09</v>
      </c>
      <c r="AA16" s="765">
        <f t="shared" si="15"/>
        <v>6000</v>
      </c>
      <c r="AB16" s="765">
        <f t="shared" si="15"/>
        <v>0</v>
      </c>
      <c r="AC16" s="642">
        <f t="shared" si="15"/>
        <v>6000</v>
      </c>
      <c r="AD16" s="642">
        <f t="shared" si="15"/>
        <v>190549.08000000002</v>
      </c>
      <c r="AE16" s="641">
        <f t="shared" si="15"/>
        <v>13003818.960000001</v>
      </c>
      <c r="AF16" s="767">
        <f t="shared" si="15"/>
        <v>720.00000000000364</v>
      </c>
      <c r="AG16" s="768">
        <f t="shared" si="15"/>
        <v>-60210.239999999525</v>
      </c>
      <c r="AH16" s="769">
        <f t="shared" si="15"/>
        <v>434</v>
      </c>
      <c r="AI16" s="638">
        <f t="shared" si="15"/>
        <v>13596722.119999999</v>
      </c>
    </row>
    <row r="17" spans="1:35" ht="14.25">
      <c r="A17" s="724" t="s">
        <v>13</v>
      </c>
      <c r="B17" s="634">
        <v>46</v>
      </c>
      <c r="C17" s="770">
        <v>1539.87</v>
      </c>
      <c r="D17" s="633">
        <v>1100</v>
      </c>
      <c r="E17" s="594"/>
      <c r="F17" s="594"/>
      <c r="G17" s="594"/>
      <c r="H17" s="594"/>
      <c r="I17" s="594"/>
      <c r="J17" s="635"/>
      <c r="K17" s="631">
        <f t="shared" ref="K17:K22" si="16">SUM(C17:J17)</f>
        <v>2639.87</v>
      </c>
      <c r="L17" s="633">
        <v>1000</v>
      </c>
      <c r="M17" s="633"/>
      <c r="N17" s="631">
        <f t="shared" ref="N17:N22" si="17">SUM(L17:M17)</f>
        <v>1000</v>
      </c>
      <c r="O17" s="631">
        <f t="shared" ref="O17:O22" si="18">(K17*12)+N17</f>
        <v>32678.44</v>
      </c>
      <c r="P17" s="771">
        <f t="shared" ref="P17:P22" si="19">O17*B17</f>
        <v>1503208.24</v>
      </c>
      <c r="Q17" s="772">
        <f>41</f>
        <v>41</v>
      </c>
      <c r="R17" s="770">
        <v>1539.87</v>
      </c>
      <c r="S17" s="633">
        <v>1110</v>
      </c>
      <c r="T17" s="594"/>
      <c r="U17" s="594"/>
      <c r="V17" s="594"/>
      <c r="W17" s="594"/>
      <c r="X17" s="594"/>
      <c r="Y17" s="633"/>
      <c r="Z17" s="773">
        <f t="shared" ref="Z17:Z22" si="20">SUM(R17:Y17)</f>
        <v>2649.87</v>
      </c>
      <c r="AA17" s="633">
        <v>1000</v>
      </c>
      <c r="AB17" s="633"/>
      <c r="AC17" s="631">
        <f t="shared" ref="AC17:AC22" si="21">SUM(AA17:AB17)</f>
        <v>1000</v>
      </c>
      <c r="AD17" s="631">
        <f t="shared" ref="AD17:AD22" si="22">(Z17*12)+AC17</f>
        <v>32798.44</v>
      </c>
      <c r="AE17" s="771">
        <f t="shared" ref="AE17:AE22" si="23">AD17*Q17</f>
        <v>1344736.04</v>
      </c>
      <c r="AF17" s="741">
        <f t="shared" ref="AF17:AG22" si="24">AD17-O17</f>
        <v>120.00000000000364</v>
      </c>
      <c r="AG17" s="630">
        <f t="shared" si="24"/>
        <v>-158472.19999999995</v>
      </c>
      <c r="AH17" s="775">
        <v>41</v>
      </c>
      <c r="AI17" s="636">
        <v>1338566.3599999999</v>
      </c>
    </row>
    <row r="18" spans="1:35" ht="14.25">
      <c r="A18" s="724" t="s">
        <v>6978</v>
      </c>
      <c r="B18" s="634">
        <v>38</v>
      </c>
      <c r="C18" s="770">
        <v>1497.14</v>
      </c>
      <c r="D18" s="633">
        <v>1100</v>
      </c>
      <c r="E18" s="594"/>
      <c r="F18" s="594"/>
      <c r="G18" s="594"/>
      <c r="H18" s="594"/>
      <c r="I18" s="594"/>
      <c r="J18" s="635"/>
      <c r="K18" s="631">
        <f t="shared" si="16"/>
        <v>2597.1400000000003</v>
      </c>
      <c r="L18" s="633">
        <v>1000</v>
      </c>
      <c r="M18" s="633"/>
      <c r="N18" s="631">
        <f t="shared" si="17"/>
        <v>1000</v>
      </c>
      <c r="O18" s="631">
        <f t="shared" si="18"/>
        <v>32165.680000000004</v>
      </c>
      <c r="P18" s="771">
        <f t="shared" si="19"/>
        <v>1222295.8400000001</v>
      </c>
      <c r="Q18" s="772">
        <v>35</v>
      </c>
      <c r="R18" s="770">
        <v>1497.14</v>
      </c>
      <c r="S18" s="633">
        <v>1110</v>
      </c>
      <c r="T18" s="594"/>
      <c r="U18" s="594"/>
      <c r="V18" s="594"/>
      <c r="W18" s="594"/>
      <c r="X18" s="594"/>
      <c r="Y18" s="633"/>
      <c r="Z18" s="773">
        <f t="shared" si="20"/>
        <v>2607.1400000000003</v>
      </c>
      <c r="AA18" s="633">
        <v>1000</v>
      </c>
      <c r="AB18" s="633"/>
      <c r="AC18" s="631">
        <f t="shared" si="21"/>
        <v>1000</v>
      </c>
      <c r="AD18" s="631">
        <f t="shared" si="22"/>
        <v>32285.680000000004</v>
      </c>
      <c r="AE18" s="771">
        <f t="shared" si="23"/>
        <v>1129998.8</v>
      </c>
      <c r="AF18" s="741">
        <f t="shared" si="24"/>
        <v>120</v>
      </c>
      <c r="AG18" s="630">
        <f t="shared" si="24"/>
        <v>-92297.040000000037</v>
      </c>
      <c r="AH18" s="775">
        <v>35</v>
      </c>
      <c r="AI18" s="636">
        <v>1117529</v>
      </c>
    </row>
    <row r="19" spans="1:35" ht="14.25">
      <c r="A19" s="724" t="s">
        <v>6977</v>
      </c>
      <c r="B19" s="634">
        <v>78</v>
      </c>
      <c r="C19" s="770">
        <v>1460.21</v>
      </c>
      <c r="D19" s="633">
        <v>1100</v>
      </c>
      <c r="E19" s="594"/>
      <c r="F19" s="594"/>
      <c r="G19" s="594"/>
      <c r="H19" s="594"/>
      <c r="I19" s="594"/>
      <c r="J19" s="635"/>
      <c r="K19" s="631">
        <f t="shared" si="16"/>
        <v>2560.21</v>
      </c>
      <c r="L19" s="633">
        <v>1000</v>
      </c>
      <c r="M19" s="633"/>
      <c r="N19" s="631">
        <f t="shared" si="17"/>
        <v>1000</v>
      </c>
      <c r="O19" s="631">
        <f t="shared" si="18"/>
        <v>31722.52</v>
      </c>
      <c r="P19" s="771">
        <f t="shared" si="19"/>
        <v>2474356.56</v>
      </c>
      <c r="Q19" s="772">
        <v>74</v>
      </c>
      <c r="R19" s="770">
        <v>1460.21</v>
      </c>
      <c r="S19" s="633">
        <v>1110</v>
      </c>
      <c r="T19" s="594"/>
      <c r="U19" s="594"/>
      <c r="V19" s="594"/>
      <c r="W19" s="594"/>
      <c r="X19" s="594"/>
      <c r="Y19" s="633"/>
      <c r="Z19" s="773">
        <f t="shared" si="20"/>
        <v>2570.21</v>
      </c>
      <c r="AA19" s="633">
        <v>1000</v>
      </c>
      <c r="AB19" s="633"/>
      <c r="AC19" s="631">
        <f t="shared" si="21"/>
        <v>1000</v>
      </c>
      <c r="AD19" s="631">
        <f t="shared" si="22"/>
        <v>31842.52</v>
      </c>
      <c r="AE19" s="771">
        <f t="shared" si="23"/>
        <v>2356346.48</v>
      </c>
      <c r="AF19" s="741">
        <f t="shared" si="24"/>
        <v>120</v>
      </c>
      <c r="AG19" s="630">
        <f t="shared" si="24"/>
        <v>-118010.08000000007</v>
      </c>
      <c r="AH19" s="775">
        <v>74</v>
      </c>
      <c r="AI19" s="636">
        <v>2342493.6800000002</v>
      </c>
    </row>
    <row r="20" spans="1:35" ht="14.25">
      <c r="A20" s="724" t="s">
        <v>6976</v>
      </c>
      <c r="B20" s="634">
        <v>134</v>
      </c>
      <c r="C20" s="770">
        <v>1433.71</v>
      </c>
      <c r="D20" s="633">
        <v>1100</v>
      </c>
      <c r="E20" s="594"/>
      <c r="F20" s="594"/>
      <c r="G20" s="594"/>
      <c r="H20" s="594"/>
      <c r="I20" s="594"/>
      <c r="J20" s="635"/>
      <c r="K20" s="631">
        <f t="shared" si="16"/>
        <v>2533.71</v>
      </c>
      <c r="L20" s="633">
        <v>1000</v>
      </c>
      <c r="M20" s="633"/>
      <c r="N20" s="631">
        <f t="shared" si="17"/>
        <v>1000</v>
      </c>
      <c r="O20" s="631">
        <f t="shared" si="18"/>
        <v>31404.52</v>
      </c>
      <c r="P20" s="771">
        <f t="shared" si="19"/>
        <v>4208205.68</v>
      </c>
      <c r="Q20" s="772">
        <f>117+20</f>
        <v>137</v>
      </c>
      <c r="R20" s="770">
        <v>1433.71</v>
      </c>
      <c r="S20" s="633">
        <v>1110</v>
      </c>
      <c r="T20" s="594"/>
      <c r="U20" s="594"/>
      <c r="V20" s="594"/>
      <c r="W20" s="594"/>
      <c r="X20" s="594"/>
      <c r="Y20" s="633"/>
      <c r="Z20" s="773">
        <f t="shared" si="20"/>
        <v>2543.71</v>
      </c>
      <c r="AA20" s="633">
        <v>1000</v>
      </c>
      <c r="AB20" s="633"/>
      <c r="AC20" s="631">
        <f t="shared" si="21"/>
        <v>1000</v>
      </c>
      <c r="AD20" s="631">
        <f t="shared" si="22"/>
        <v>31524.52</v>
      </c>
      <c r="AE20" s="771">
        <f t="shared" si="23"/>
        <v>4318859.24</v>
      </c>
      <c r="AF20" s="741">
        <f t="shared" si="24"/>
        <v>120</v>
      </c>
      <c r="AG20" s="630">
        <f t="shared" si="24"/>
        <v>110653.56000000052</v>
      </c>
      <c r="AH20" s="775">
        <v>141</v>
      </c>
      <c r="AI20" s="636">
        <v>4384491.72</v>
      </c>
    </row>
    <row r="21" spans="1:35" ht="14.25">
      <c r="A21" s="724" t="s">
        <v>14</v>
      </c>
      <c r="B21" s="634">
        <v>79</v>
      </c>
      <c r="C21" s="770">
        <v>1407.3</v>
      </c>
      <c r="D21" s="633">
        <v>1100</v>
      </c>
      <c r="E21" s="594"/>
      <c r="F21" s="594"/>
      <c r="G21" s="594"/>
      <c r="H21" s="594"/>
      <c r="I21" s="594"/>
      <c r="J21" s="635"/>
      <c r="K21" s="631">
        <f t="shared" si="16"/>
        <v>2507.3000000000002</v>
      </c>
      <c r="L21" s="633">
        <v>1000</v>
      </c>
      <c r="M21" s="633"/>
      <c r="N21" s="631">
        <f t="shared" si="17"/>
        <v>1000</v>
      </c>
      <c r="O21" s="631">
        <f t="shared" si="18"/>
        <v>31087.600000000002</v>
      </c>
      <c r="P21" s="771">
        <f t="shared" si="19"/>
        <v>2455920.4000000004</v>
      </c>
      <c r="Q21" s="772">
        <f>73+1</f>
        <v>74</v>
      </c>
      <c r="R21" s="770">
        <v>1407.3</v>
      </c>
      <c r="S21" s="633">
        <v>1110</v>
      </c>
      <c r="T21" s="594"/>
      <c r="U21" s="594"/>
      <c r="V21" s="594"/>
      <c r="W21" s="594"/>
      <c r="X21" s="594"/>
      <c r="Y21" s="633"/>
      <c r="Z21" s="773">
        <f t="shared" si="20"/>
        <v>2517.3000000000002</v>
      </c>
      <c r="AA21" s="633">
        <v>1000</v>
      </c>
      <c r="AB21" s="633"/>
      <c r="AC21" s="631">
        <f t="shared" si="21"/>
        <v>1000</v>
      </c>
      <c r="AD21" s="631">
        <f t="shared" si="22"/>
        <v>31207.600000000002</v>
      </c>
      <c r="AE21" s="771">
        <f t="shared" si="23"/>
        <v>2309362.4000000004</v>
      </c>
      <c r="AF21" s="741">
        <f t="shared" si="24"/>
        <v>120</v>
      </c>
      <c r="AG21" s="630">
        <f t="shared" si="24"/>
        <v>-146558</v>
      </c>
      <c r="AH21" s="775">
        <v>75</v>
      </c>
      <c r="AI21" s="636">
        <v>2314790.7599999998</v>
      </c>
    </row>
    <row r="22" spans="1:35" ht="14.25">
      <c r="A22" s="724" t="s">
        <v>6975</v>
      </c>
      <c r="B22" s="634">
        <v>39</v>
      </c>
      <c r="C22" s="770">
        <v>1380.8600000000001</v>
      </c>
      <c r="D22" s="633">
        <v>1100</v>
      </c>
      <c r="E22" s="594"/>
      <c r="F22" s="594"/>
      <c r="G22" s="594"/>
      <c r="H22" s="594"/>
      <c r="I22" s="594"/>
      <c r="J22" s="635"/>
      <c r="K22" s="631">
        <f t="shared" si="16"/>
        <v>2480.86</v>
      </c>
      <c r="L22" s="633">
        <v>1000</v>
      </c>
      <c r="M22" s="633"/>
      <c r="N22" s="631">
        <f t="shared" si="17"/>
        <v>1000</v>
      </c>
      <c r="O22" s="631">
        <f t="shared" si="18"/>
        <v>30770.32</v>
      </c>
      <c r="P22" s="771">
        <f t="shared" si="19"/>
        <v>1200042.48</v>
      </c>
      <c r="Q22" s="772">
        <v>50</v>
      </c>
      <c r="R22" s="770">
        <v>1380.8600000000001</v>
      </c>
      <c r="S22" s="633">
        <v>1110</v>
      </c>
      <c r="T22" s="594"/>
      <c r="U22" s="594"/>
      <c r="V22" s="594"/>
      <c r="W22" s="594"/>
      <c r="X22" s="594"/>
      <c r="Y22" s="633"/>
      <c r="Z22" s="773">
        <f t="shared" si="20"/>
        <v>2490.86</v>
      </c>
      <c r="AA22" s="633">
        <v>1000</v>
      </c>
      <c r="AB22" s="633"/>
      <c r="AC22" s="631">
        <f t="shared" si="21"/>
        <v>1000</v>
      </c>
      <c r="AD22" s="631">
        <f t="shared" si="22"/>
        <v>30890.32</v>
      </c>
      <c r="AE22" s="771">
        <f t="shared" si="23"/>
        <v>1544516</v>
      </c>
      <c r="AF22" s="741">
        <f t="shared" si="24"/>
        <v>120</v>
      </c>
      <c r="AG22" s="630">
        <f t="shared" si="24"/>
        <v>344473.52</v>
      </c>
      <c r="AH22" s="775">
        <v>68</v>
      </c>
      <c r="AI22" s="636">
        <v>2098850.6</v>
      </c>
    </row>
    <row r="23" spans="1:35" ht="13.5">
      <c r="A23" s="723" t="s">
        <v>5</v>
      </c>
      <c r="B23" s="764">
        <f>SUM(B24:B29)</f>
        <v>2175</v>
      </c>
      <c r="C23" s="765"/>
      <c r="D23" s="765"/>
      <c r="E23" s="765"/>
      <c r="F23" s="765"/>
      <c r="G23" s="765"/>
      <c r="H23" s="765"/>
      <c r="I23" s="765"/>
      <c r="J23" s="766"/>
      <c r="K23" s="642">
        <f t="shared" ref="K23:Q23" si="25">SUM(K24:K29)</f>
        <v>13868.53</v>
      </c>
      <c r="L23" s="765">
        <f t="shared" si="25"/>
        <v>6000</v>
      </c>
      <c r="M23" s="765">
        <f t="shared" si="25"/>
        <v>0</v>
      </c>
      <c r="N23" s="642">
        <f t="shared" si="25"/>
        <v>6000</v>
      </c>
      <c r="O23" s="642">
        <f t="shared" si="25"/>
        <v>172422.36</v>
      </c>
      <c r="P23" s="641">
        <f t="shared" si="25"/>
        <v>62720165.400000006</v>
      </c>
      <c r="Q23" s="764">
        <f t="shared" si="25"/>
        <v>2063</v>
      </c>
      <c r="R23" s="765"/>
      <c r="S23" s="765"/>
      <c r="T23" s="765"/>
      <c r="U23" s="765"/>
      <c r="V23" s="765"/>
      <c r="W23" s="765"/>
      <c r="X23" s="765"/>
      <c r="Y23" s="765">
        <f t="shared" ref="Y23:AI23" si="26">SUM(Y24:Y29)</f>
        <v>0</v>
      </c>
      <c r="Z23" s="765">
        <f t="shared" si="26"/>
        <v>14588.53</v>
      </c>
      <c r="AA23" s="765">
        <f t="shared" si="26"/>
        <v>6000</v>
      </c>
      <c r="AB23" s="765">
        <f t="shared" si="26"/>
        <v>0</v>
      </c>
      <c r="AC23" s="642">
        <f t="shared" si="26"/>
        <v>6000</v>
      </c>
      <c r="AD23" s="642">
        <f t="shared" si="26"/>
        <v>181062.36</v>
      </c>
      <c r="AE23" s="641">
        <f t="shared" si="26"/>
        <v>62412821.840000004</v>
      </c>
      <c r="AF23" s="767">
        <f t="shared" si="26"/>
        <v>8640</v>
      </c>
      <c r="AG23" s="768">
        <f t="shared" si="26"/>
        <v>-307343.56000000052</v>
      </c>
      <c r="AH23" s="769">
        <f t="shared" si="26"/>
        <v>2090</v>
      </c>
      <c r="AI23" s="638">
        <f t="shared" si="26"/>
        <v>62496963.199999988</v>
      </c>
    </row>
    <row r="24" spans="1:35" ht="14.25">
      <c r="A24" s="724" t="s">
        <v>15</v>
      </c>
      <c r="B24" s="634">
        <v>1164</v>
      </c>
      <c r="C24" s="770">
        <v>1381.92</v>
      </c>
      <c r="D24" s="633">
        <v>950</v>
      </c>
      <c r="E24" s="594"/>
      <c r="F24" s="594"/>
      <c r="G24" s="594"/>
      <c r="H24" s="594"/>
      <c r="I24" s="594"/>
      <c r="J24" s="635"/>
      <c r="K24" s="631">
        <f t="shared" ref="K24:K29" si="27">SUM(C24:J24)</f>
        <v>2331.92</v>
      </c>
      <c r="L24" s="633">
        <v>1000</v>
      </c>
      <c r="M24" s="633"/>
      <c r="N24" s="631">
        <f t="shared" ref="N24:N29" si="28">SUM(L24:M24)</f>
        <v>1000</v>
      </c>
      <c r="O24" s="631">
        <f t="shared" ref="O24:O29" si="29">(K24*12)+N24</f>
        <v>28983.040000000001</v>
      </c>
      <c r="P24" s="771">
        <f t="shared" ref="P24:P29" si="30">O24*B24</f>
        <v>33736258.560000002</v>
      </c>
      <c r="Q24" s="634">
        <v>1049</v>
      </c>
      <c r="R24" s="770">
        <v>1381.92</v>
      </c>
      <c r="S24" s="633">
        <v>1070</v>
      </c>
      <c r="T24" s="594"/>
      <c r="U24" s="594"/>
      <c r="V24" s="594"/>
      <c r="W24" s="594"/>
      <c r="X24" s="594"/>
      <c r="Y24" s="633"/>
      <c r="Z24" s="773">
        <f t="shared" ref="Z24:Z29" si="31">SUM(R24:Y24)</f>
        <v>2451.92</v>
      </c>
      <c r="AA24" s="633">
        <v>1000</v>
      </c>
      <c r="AB24" s="633"/>
      <c r="AC24" s="631">
        <f t="shared" ref="AC24:AC29" si="32">SUM(AA24:AB24)</f>
        <v>1000</v>
      </c>
      <c r="AD24" s="631">
        <f t="shared" ref="AD24:AD29" si="33">(Z24*12)+AC24</f>
        <v>30423.040000000001</v>
      </c>
      <c r="AE24" s="771">
        <f t="shared" ref="AE24:AE29" si="34">AD24*Q24</f>
        <v>31913768.960000001</v>
      </c>
      <c r="AF24" s="741">
        <f t="shared" ref="AF24:AG29" si="35">AD24-O24</f>
        <v>1440</v>
      </c>
      <c r="AG24" s="630">
        <f t="shared" si="35"/>
        <v>-1822489.6000000015</v>
      </c>
      <c r="AH24" s="775">
        <v>1069</v>
      </c>
      <c r="AI24" s="636">
        <v>32236678.479999997</v>
      </c>
    </row>
    <row r="25" spans="1:35" ht="14.25">
      <c r="A25" s="724" t="s">
        <v>7056</v>
      </c>
      <c r="B25" s="634">
        <v>178</v>
      </c>
      <c r="C25" s="770">
        <v>1373.74</v>
      </c>
      <c r="D25" s="633">
        <v>950</v>
      </c>
      <c r="E25" s="594"/>
      <c r="F25" s="594"/>
      <c r="G25" s="594"/>
      <c r="H25" s="594"/>
      <c r="I25" s="594"/>
      <c r="J25" s="635"/>
      <c r="K25" s="631">
        <f t="shared" si="27"/>
        <v>2323.7399999999998</v>
      </c>
      <c r="L25" s="633">
        <v>1000</v>
      </c>
      <c r="M25" s="633"/>
      <c r="N25" s="631">
        <f t="shared" si="28"/>
        <v>1000</v>
      </c>
      <c r="O25" s="631">
        <f t="shared" si="29"/>
        <v>28884.879999999997</v>
      </c>
      <c r="P25" s="771">
        <f t="shared" si="30"/>
        <v>5141508.6399999997</v>
      </c>
      <c r="Q25" s="634">
        <v>155</v>
      </c>
      <c r="R25" s="770">
        <v>1373.74</v>
      </c>
      <c r="S25" s="633">
        <v>1070</v>
      </c>
      <c r="T25" s="594"/>
      <c r="U25" s="594"/>
      <c r="V25" s="594"/>
      <c r="W25" s="594"/>
      <c r="X25" s="594"/>
      <c r="Y25" s="633"/>
      <c r="Z25" s="773">
        <f t="shared" si="31"/>
        <v>2443.7399999999998</v>
      </c>
      <c r="AA25" s="633">
        <v>1000</v>
      </c>
      <c r="AB25" s="633"/>
      <c r="AC25" s="631">
        <f t="shared" si="32"/>
        <v>1000</v>
      </c>
      <c r="AD25" s="631">
        <f t="shared" si="33"/>
        <v>30324.879999999997</v>
      </c>
      <c r="AE25" s="771">
        <f t="shared" si="34"/>
        <v>4700356.3999999994</v>
      </c>
      <c r="AF25" s="741">
        <f t="shared" si="35"/>
        <v>1440</v>
      </c>
      <c r="AG25" s="630">
        <f t="shared" si="35"/>
        <v>-441152.24000000022</v>
      </c>
      <c r="AH25" s="775">
        <v>158</v>
      </c>
      <c r="AI25" s="636">
        <v>4740442.4000000004</v>
      </c>
    </row>
    <row r="26" spans="1:35" ht="14.25">
      <c r="A26" s="724" t="s">
        <v>6972</v>
      </c>
      <c r="B26" s="634">
        <v>216</v>
      </c>
      <c r="C26" s="770">
        <v>1365.54</v>
      </c>
      <c r="D26" s="633">
        <v>950</v>
      </c>
      <c r="E26" s="594"/>
      <c r="F26" s="594"/>
      <c r="G26" s="594"/>
      <c r="H26" s="594"/>
      <c r="I26" s="594"/>
      <c r="J26" s="635"/>
      <c r="K26" s="631">
        <f t="shared" si="27"/>
        <v>2315.54</v>
      </c>
      <c r="L26" s="633">
        <v>1000</v>
      </c>
      <c r="M26" s="633"/>
      <c r="N26" s="631">
        <f t="shared" si="28"/>
        <v>1000</v>
      </c>
      <c r="O26" s="631">
        <f t="shared" si="29"/>
        <v>28786.48</v>
      </c>
      <c r="P26" s="771">
        <f t="shared" si="30"/>
        <v>6217879.6799999997</v>
      </c>
      <c r="Q26" s="634">
        <v>190</v>
      </c>
      <c r="R26" s="770">
        <v>1365.54</v>
      </c>
      <c r="S26" s="633">
        <v>1070</v>
      </c>
      <c r="T26" s="594"/>
      <c r="U26" s="594"/>
      <c r="V26" s="594"/>
      <c r="W26" s="594"/>
      <c r="X26" s="594"/>
      <c r="Y26" s="633"/>
      <c r="Z26" s="773">
        <f t="shared" si="31"/>
        <v>2435.54</v>
      </c>
      <c r="AA26" s="633">
        <v>1000</v>
      </c>
      <c r="AB26" s="633"/>
      <c r="AC26" s="631">
        <f t="shared" si="32"/>
        <v>1000</v>
      </c>
      <c r="AD26" s="631">
        <f t="shared" si="33"/>
        <v>30226.48</v>
      </c>
      <c r="AE26" s="771">
        <f t="shared" si="34"/>
        <v>5743031.2000000002</v>
      </c>
      <c r="AF26" s="741">
        <f t="shared" si="35"/>
        <v>1440</v>
      </c>
      <c r="AG26" s="630">
        <f t="shared" si="35"/>
        <v>-474848.47999999952</v>
      </c>
      <c r="AH26" s="775">
        <v>191</v>
      </c>
      <c r="AI26" s="636">
        <v>5707064.7199999997</v>
      </c>
    </row>
    <row r="27" spans="1:35" ht="14.25">
      <c r="A27" s="724" t="s">
        <v>6971</v>
      </c>
      <c r="B27" s="634">
        <v>195</v>
      </c>
      <c r="C27" s="770">
        <v>1357.3899999999999</v>
      </c>
      <c r="D27" s="633">
        <v>950</v>
      </c>
      <c r="E27" s="594"/>
      <c r="F27" s="594"/>
      <c r="G27" s="594"/>
      <c r="H27" s="594"/>
      <c r="I27" s="594"/>
      <c r="J27" s="635"/>
      <c r="K27" s="631">
        <f t="shared" si="27"/>
        <v>2307.39</v>
      </c>
      <c r="L27" s="633">
        <v>1000</v>
      </c>
      <c r="M27" s="633"/>
      <c r="N27" s="631">
        <f t="shared" si="28"/>
        <v>1000</v>
      </c>
      <c r="O27" s="631">
        <f t="shared" si="29"/>
        <v>28688.68</v>
      </c>
      <c r="P27" s="771">
        <f t="shared" si="30"/>
        <v>5594292.5999999996</v>
      </c>
      <c r="Q27" s="634">
        <v>142</v>
      </c>
      <c r="R27" s="770">
        <v>1357.3899999999999</v>
      </c>
      <c r="S27" s="633">
        <v>1070</v>
      </c>
      <c r="T27" s="594"/>
      <c r="U27" s="594"/>
      <c r="V27" s="594"/>
      <c r="W27" s="594"/>
      <c r="X27" s="594"/>
      <c r="Y27" s="633"/>
      <c r="Z27" s="773">
        <f t="shared" si="31"/>
        <v>2427.39</v>
      </c>
      <c r="AA27" s="633">
        <v>1000</v>
      </c>
      <c r="AB27" s="633"/>
      <c r="AC27" s="631">
        <f t="shared" si="32"/>
        <v>1000</v>
      </c>
      <c r="AD27" s="631">
        <f t="shared" si="33"/>
        <v>30128.68</v>
      </c>
      <c r="AE27" s="771">
        <f t="shared" si="34"/>
        <v>4278272.5599999996</v>
      </c>
      <c r="AF27" s="741">
        <f t="shared" si="35"/>
        <v>1440</v>
      </c>
      <c r="AG27" s="630">
        <f t="shared" si="35"/>
        <v>-1316020.04</v>
      </c>
      <c r="AH27" s="775">
        <v>144</v>
      </c>
      <c r="AI27" s="636">
        <v>4285739.5199999996</v>
      </c>
    </row>
    <row r="28" spans="1:35" ht="14.25">
      <c r="A28" s="724" t="s">
        <v>16</v>
      </c>
      <c r="B28" s="634">
        <v>78</v>
      </c>
      <c r="C28" s="770">
        <v>1349.2</v>
      </c>
      <c r="D28" s="633">
        <v>950</v>
      </c>
      <c r="E28" s="594"/>
      <c r="F28" s="594"/>
      <c r="G28" s="594"/>
      <c r="H28" s="594"/>
      <c r="I28" s="594"/>
      <c r="J28" s="635"/>
      <c r="K28" s="631">
        <f t="shared" si="27"/>
        <v>2299.1999999999998</v>
      </c>
      <c r="L28" s="633">
        <v>1000</v>
      </c>
      <c r="M28" s="633"/>
      <c r="N28" s="631">
        <f t="shared" si="28"/>
        <v>1000</v>
      </c>
      <c r="O28" s="631">
        <f t="shared" si="29"/>
        <v>28590.399999999998</v>
      </c>
      <c r="P28" s="771">
        <f t="shared" si="30"/>
        <v>2230051.1999999997</v>
      </c>
      <c r="Q28" s="634">
        <v>48</v>
      </c>
      <c r="R28" s="770">
        <v>1349.2</v>
      </c>
      <c r="S28" s="633">
        <v>1070</v>
      </c>
      <c r="T28" s="594"/>
      <c r="U28" s="594"/>
      <c r="V28" s="594"/>
      <c r="W28" s="594"/>
      <c r="X28" s="594"/>
      <c r="Y28" s="633"/>
      <c r="Z28" s="773">
        <f t="shared" si="31"/>
        <v>2419.1999999999998</v>
      </c>
      <c r="AA28" s="633">
        <v>1000</v>
      </c>
      <c r="AB28" s="633"/>
      <c r="AC28" s="631">
        <f t="shared" si="32"/>
        <v>1000</v>
      </c>
      <c r="AD28" s="631">
        <f t="shared" si="33"/>
        <v>30030.399999999998</v>
      </c>
      <c r="AE28" s="771">
        <f t="shared" si="34"/>
        <v>1441459.2</v>
      </c>
      <c r="AF28" s="741">
        <f t="shared" si="35"/>
        <v>1440</v>
      </c>
      <c r="AG28" s="630">
        <f t="shared" si="35"/>
        <v>-788591.99999999977</v>
      </c>
      <c r="AH28" s="775">
        <v>48</v>
      </c>
      <c r="AI28" s="636">
        <v>1425377.28</v>
      </c>
    </row>
    <row r="29" spans="1:35" ht="14.25">
      <c r="A29" s="724" t="s">
        <v>6970</v>
      </c>
      <c r="B29" s="634">
        <v>344</v>
      </c>
      <c r="C29" s="770">
        <v>1340.74</v>
      </c>
      <c r="D29" s="633">
        <v>950</v>
      </c>
      <c r="E29" s="594"/>
      <c r="F29" s="594"/>
      <c r="G29" s="594"/>
      <c r="H29" s="594"/>
      <c r="I29" s="594"/>
      <c r="J29" s="635"/>
      <c r="K29" s="631">
        <f t="shared" si="27"/>
        <v>2290.7399999999998</v>
      </c>
      <c r="L29" s="633">
        <v>1000</v>
      </c>
      <c r="M29" s="633"/>
      <c r="N29" s="631">
        <f t="shared" si="28"/>
        <v>1000</v>
      </c>
      <c r="O29" s="631">
        <f t="shared" si="29"/>
        <v>28488.879999999997</v>
      </c>
      <c r="P29" s="771">
        <f t="shared" si="30"/>
        <v>9800174.7199999988</v>
      </c>
      <c r="Q29" s="634">
        <v>479</v>
      </c>
      <c r="R29" s="770">
        <v>1340.74</v>
      </c>
      <c r="S29" s="633">
        <v>1070</v>
      </c>
      <c r="T29" s="594"/>
      <c r="U29" s="594"/>
      <c r="V29" s="594"/>
      <c r="W29" s="594"/>
      <c r="X29" s="594"/>
      <c r="Y29" s="633"/>
      <c r="Z29" s="773">
        <f t="shared" si="31"/>
        <v>2410.7399999999998</v>
      </c>
      <c r="AA29" s="633">
        <v>1000</v>
      </c>
      <c r="AB29" s="633"/>
      <c r="AC29" s="631">
        <f t="shared" si="32"/>
        <v>1000</v>
      </c>
      <c r="AD29" s="631">
        <f t="shared" si="33"/>
        <v>29928.879999999997</v>
      </c>
      <c r="AE29" s="771">
        <f t="shared" si="34"/>
        <v>14335933.52</v>
      </c>
      <c r="AF29" s="741">
        <f t="shared" si="35"/>
        <v>1440</v>
      </c>
      <c r="AG29" s="630">
        <f t="shared" si="35"/>
        <v>4535758.8000000007</v>
      </c>
      <c r="AH29" s="775">
        <v>480</v>
      </c>
      <c r="AI29" s="636">
        <v>14101660.799999999</v>
      </c>
    </row>
    <row r="30" spans="1:35" ht="13.5">
      <c r="A30" s="723" t="s">
        <v>6</v>
      </c>
      <c r="B30" s="764">
        <f>SUM(B31:B36)</f>
        <v>1196</v>
      </c>
      <c r="C30" s="765"/>
      <c r="D30" s="765"/>
      <c r="E30" s="765"/>
      <c r="F30" s="765"/>
      <c r="G30" s="765"/>
      <c r="H30" s="765"/>
      <c r="I30" s="765"/>
      <c r="J30" s="766"/>
      <c r="K30" s="642">
        <f t="shared" ref="K30:Q30" si="36">SUM(K31:K36)</f>
        <v>13717.500000000004</v>
      </c>
      <c r="L30" s="765">
        <f t="shared" si="36"/>
        <v>6000</v>
      </c>
      <c r="M30" s="765">
        <f t="shared" si="36"/>
        <v>0</v>
      </c>
      <c r="N30" s="642">
        <f t="shared" si="36"/>
        <v>6000</v>
      </c>
      <c r="O30" s="642">
        <f t="shared" si="36"/>
        <v>170610</v>
      </c>
      <c r="P30" s="641">
        <f t="shared" si="36"/>
        <v>34161835.160000004</v>
      </c>
      <c r="Q30" s="764">
        <f t="shared" si="36"/>
        <v>1196</v>
      </c>
      <c r="R30" s="765"/>
      <c r="S30" s="765"/>
      <c r="T30" s="765"/>
      <c r="U30" s="765"/>
      <c r="V30" s="765"/>
      <c r="W30" s="765"/>
      <c r="X30" s="765"/>
      <c r="Y30" s="765">
        <f t="shared" ref="Y30:AI30" si="37">SUM(Y31:Y36)</f>
        <v>0</v>
      </c>
      <c r="Z30" s="765">
        <f t="shared" si="37"/>
        <v>14437.500000000004</v>
      </c>
      <c r="AA30" s="765">
        <f t="shared" si="37"/>
        <v>6000</v>
      </c>
      <c r="AB30" s="765">
        <f t="shared" si="37"/>
        <v>0</v>
      </c>
      <c r="AC30" s="642">
        <f t="shared" si="37"/>
        <v>6000</v>
      </c>
      <c r="AD30" s="642">
        <f t="shared" si="37"/>
        <v>179250</v>
      </c>
      <c r="AE30" s="641">
        <f t="shared" si="37"/>
        <v>35884075.160000004</v>
      </c>
      <c r="AF30" s="767">
        <f t="shared" si="37"/>
        <v>8640</v>
      </c>
      <c r="AG30" s="768">
        <f t="shared" si="37"/>
        <v>1722240</v>
      </c>
      <c r="AH30" s="769">
        <f t="shared" si="37"/>
        <v>1275</v>
      </c>
      <c r="AI30" s="638">
        <f t="shared" si="37"/>
        <v>37628337</v>
      </c>
    </row>
    <row r="31" spans="1:35" ht="14.25">
      <c r="A31" s="724" t="s">
        <v>17</v>
      </c>
      <c r="B31" s="634">
        <v>705</v>
      </c>
      <c r="C31" s="770">
        <v>1357.26</v>
      </c>
      <c r="D31" s="633">
        <v>950</v>
      </c>
      <c r="E31" s="594"/>
      <c r="F31" s="594"/>
      <c r="G31" s="594"/>
      <c r="H31" s="594"/>
      <c r="I31" s="594"/>
      <c r="J31" s="635"/>
      <c r="K31" s="631">
        <f t="shared" ref="K31:K36" si="38">SUM(C31:J31)</f>
        <v>2307.2600000000002</v>
      </c>
      <c r="L31" s="633">
        <v>1000</v>
      </c>
      <c r="M31" s="633"/>
      <c r="N31" s="631">
        <f t="shared" ref="N31:N36" si="39">SUM(L31:M31)</f>
        <v>1000</v>
      </c>
      <c r="O31" s="631">
        <f t="shared" ref="O31:O36" si="40">(K31*12)+N31</f>
        <v>28687.120000000003</v>
      </c>
      <c r="P31" s="771">
        <f t="shared" ref="P31:P36" si="41">O31*B31</f>
        <v>20224419.600000001</v>
      </c>
      <c r="Q31" s="634">
        <v>705</v>
      </c>
      <c r="R31" s="770">
        <v>1357.26</v>
      </c>
      <c r="S31" s="633">
        <v>1070</v>
      </c>
      <c r="T31" s="594"/>
      <c r="U31" s="594"/>
      <c r="V31" s="594"/>
      <c r="W31" s="594"/>
      <c r="X31" s="594"/>
      <c r="Y31" s="633"/>
      <c r="Z31" s="773">
        <f t="shared" ref="Z31:Z36" si="42">SUM(R31:Y31)</f>
        <v>2427.2600000000002</v>
      </c>
      <c r="AA31" s="633">
        <v>1000</v>
      </c>
      <c r="AB31" s="633"/>
      <c r="AC31" s="631">
        <f t="shared" ref="AC31:AC36" si="43">SUM(AA31:AB31)</f>
        <v>1000</v>
      </c>
      <c r="AD31" s="631">
        <f t="shared" ref="AD31:AD36" si="44">(Z31*12)+AC31</f>
        <v>30127.120000000003</v>
      </c>
      <c r="AE31" s="771">
        <f t="shared" ref="AE31:AE36" si="45">AD31*Q31</f>
        <v>21239619.600000001</v>
      </c>
      <c r="AF31" s="741">
        <f t="shared" ref="AF31:AG36" si="46">AD31-O31</f>
        <v>1440</v>
      </c>
      <c r="AG31" s="630">
        <f t="shared" si="46"/>
        <v>1015200</v>
      </c>
      <c r="AH31" s="775">
        <v>633</v>
      </c>
      <c r="AI31" s="636">
        <v>18894923.399999999</v>
      </c>
    </row>
    <row r="32" spans="1:35" ht="14.25">
      <c r="A32" s="724" t="s">
        <v>6969</v>
      </c>
      <c r="B32" s="634">
        <v>69</v>
      </c>
      <c r="C32" s="770">
        <v>1348.85</v>
      </c>
      <c r="D32" s="633">
        <v>950</v>
      </c>
      <c r="E32" s="594"/>
      <c r="F32" s="594"/>
      <c r="G32" s="594"/>
      <c r="H32" s="594"/>
      <c r="I32" s="594"/>
      <c r="J32" s="635"/>
      <c r="K32" s="631">
        <f t="shared" si="38"/>
        <v>2298.85</v>
      </c>
      <c r="L32" s="633">
        <v>1000</v>
      </c>
      <c r="M32" s="633"/>
      <c r="N32" s="631">
        <f t="shared" si="39"/>
        <v>1000</v>
      </c>
      <c r="O32" s="631">
        <f t="shared" si="40"/>
        <v>28586.199999999997</v>
      </c>
      <c r="P32" s="771">
        <f t="shared" si="41"/>
        <v>1972447.7999999998</v>
      </c>
      <c r="Q32" s="634">
        <v>69</v>
      </c>
      <c r="R32" s="770">
        <v>1348.85</v>
      </c>
      <c r="S32" s="633">
        <v>1070</v>
      </c>
      <c r="T32" s="594"/>
      <c r="U32" s="594"/>
      <c r="V32" s="594"/>
      <c r="W32" s="594"/>
      <c r="X32" s="594"/>
      <c r="Y32" s="633"/>
      <c r="Z32" s="773">
        <f t="shared" si="42"/>
        <v>2418.85</v>
      </c>
      <c r="AA32" s="633">
        <v>1000</v>
      </c>
      <c r="AB32" s="633"/>
      <c r="AC32" s="631">
        <f t="shared" si="43"/>
        <v>1000</v>
      </c>
      <c r="AD32" s="631">
        <f t="shared" si="44"/>
        <v>30026.199999999997</v>
      </c>
      <c r="AE32" s="771">
        <f t="shared" si="45"/>
        <v>2071807.7999999998</v>
      </c>
      <c r="AF32" s="741">
        <f t="shared" si="46"/>
        <v>1440</v>
      </c>
      <c r="AG32" s="630">
        <f t="shared" si="46"/>
        <v>99360</v>
      </c>
      <c r="AH32" s="775">
        <v>67</v>
      </c>
      <c r="AI32" s="636">
        <v>1985689.7199999997</v>
      </c>
    </row>
    <row r="33" spans="1:35" ht="14.25">
      <c r="A33" s="724" t="s">
        <v>6968</v>
      </c>
      <c r="B33" s="634">
        <v>109</v>
      </c>
      <c r="C33" s="770">
        <v>1340.35</v>
      </c>
      <c r="D33" s="633">
        <v>950</v>
      </c>
      <c r="E33" s="594"/>
      <c r="F33" s="594"/>
      <c r="G33" s="594"/>
      <c r="H33" s="594"/>
      <c r="I33" s="594"/>
      <c r="J33" s="635"/>
      <c r="K33" s="631">
        <f t="shared" si="38"/>
        <v>2290.35</v>
      </c>
      <c r="L33" s="633">
        <v>1000</v>
      </c>
      <c r="M33" s="633"/>
      <c r="N33" s="631">
        <f t="shared" si="39"/>
        <v>1000</v>
      </c>
      <c r="O33" s="631">
        <f t="shared" si="40"/>
        <v>28484.199999999997</v>
      </c>
      <c r="P33" s="771">
        <f t="shared" si="41"/>
        <v>3104777.8</v>
      </c>
      <c r="Q33" s="634">
        <v>109</v>
      </c>
      <c r="R33" s="770">
        <v>1340.35</v>
      </c>
      <c r="S33" s="633">
        <v>1070</v>
      </c>
      <c r="T33" s="594"/>
      <c r="U33" s="594"/>
      <c r="V33" s="594"/>
      <c r="W33" s="594"/>
      <c r="X33" s="594"/>
      <c r="Y33" s="633"/>
      <c r="Z33" s="773">
        <f t="shared" si="42"/>
        <v>2410.35</v>
      </c>
      <c r="AA33" s="633">
        <v>1000</v>
      </c>
      <c r="AB33" s="633"/>
      <c r="AC33" s="631">
        <f t="shared" si="43"/>
        <v>1000</v>
      </c>
      <c r="AD33" s="631">
        <f t="shared" si="44"/>
        <v>29924.199999999997</v>
      </c>
      <c r="AE33" s="771">
        <f t="shared" si="45"/>
        <v>3261737.8</v>
      </c>
      <c r="AF33" s="741">
        <f t="shared" si="46"/>
        <v>1440</v>
      </c>
      <c r="AG33" s="630">
        <f t="shared" si="46"/>
        <v>156960</v>
      </c>
      <c r="AH33" s="775">
        <v>108</v>
      </c>
      <c r="AI33" s="636">
        <v>3185701.92</v>
      </c>
    </row>
    <row r="34" spans="1:35" ht="14.25">
      <c r="A34" s="724" t="s">
        <v>6967</v>
      </c>
      <c r="B34" s="634">
        <v>179</v>
      </c>
      <c r="C34" s="770">
        <v>1332.05</v>
      </c>
      <c r="D34" s="633">
        <v>950</v>
      </c>
      <c r="E34" s="594"/>
      <c r="F34" s="594"/>
      <c r="G34" s="594"/>
      <c r="H34" s="594"/>
      <c r="I34" s="594"/>
      <c r="J34" s="635"/>
      <c r="K34" s="631">
        <f t="shared" si="38"/>
        <v>2282.0500000000002</v>
      </c>
      <c r="L34" s="633">
        <v>1000</v>
      </c>
      <c r="M34" s="633"/>
      <c r="N34" s="631">
        <f t="shared" si="39"/>
        <v>1000</v>
      </c>
      <c r="O34" s="631">
        <f t="shared" si="40"/>
        <v>28384.600000000002</v>
      </c>
      <c r="P34" s="771">
        <f t="shared" si="41"/>
        <v>5080843.4000000004</v>
      </c>
      <c r="Q34" s="634">
        <v>179</v>
      </c>
      <c r="R34" s="770">
        <v>1332.05</v>
      </c>
      <c r="S34" s="633">
        <v>1070</v>
      </c>
      <c r="T34" s="594"/>
      <c r="U34" s="594"/>
      <c r="V34" s="594"/>
      <c r="W34" s="594"/>
      <c r="X34" s="594"/>
      <c r="Y34" s="633"/>
      <c r="Z34" s="773">
        <f t="shared" si="42"/>
        <v>2402.0500000000002</v>
      </c>
      <c r="AA34" s="633">
        <v>1000</v>
      </c>
      <c r="AB34" s="633"/>
      <c r="AC34" s="631">
        <f t="shared" si="43"/>
        <v>1000</v>
      </c>
      <c r="AD34" s="631">
        <f t="shared" si="44"/>
        <v>29824.600000000002</v>
      </c>
      <c r="AE34" s="771">
        <f t="shared" si="45"/>
        <v>5338603.4000000004</v>
      </c>
      <c r="AF34" s="741">
        <f t="shared" si="46"/>
        <v>1440</v>
      </c>
      <c r="AG34" s="630">
        <f t="shared" si="46"/>
        <v>257760</v>
      </c>
      <c r="AH34" s="775">
        <v>145</v>
      </c>
      <c r="AI34" s="636">
        <v>4259456.2</v>
      </c>
    </row>
    <row r="35" spans="1:35" ht="14.25">
      <c r="A35" s="724" t="s">
        <v>18</v>
      </c>
      <c r="B35" s="634">
        <v>28</v>
      </c>
      <c r="C35" s="770">
        <v>1323.77</v>
      </c>
      <c r="D35" s="633">
        <v>950</v>
      </c>
      <c r="E35" s="594"/>
      <c r="F35" s="594"/>
      <c r="G35" s="594"/>
      <c r="H35" s="594"/>
      <c r="I35" s="594"/>
      <c r="J35" s="635"/>
      <c r="K35" s="631">
        <f t="shared" si="38"/>
        <v>2273.77</v>
      </c>
      <c r="L35" s="633">
        <v>1000</v>
      </c>
      <c r="M35" s="633"/>
      <c r="N35" s="631">
        <f t="shared" si="39"/>
        <v>1000</v>
      </c>
      <c r="O35" s="631">
        <f t="shared" si="40"/>
        <v>28285.239999999998</v>
      </c>
      <c r="P35" s="771">
        <f t="shared" si="41"/>
        <v>791986.72</v>
      </c>
      <c r="Q35" s="634">
        <v>28</v>
      </c>
      <c r="R35" s="770">
        <v>1323.77</v>
      </c>
      <c r="S35" s="633">
        <v>1070</v>
      </c>
      <c r="T35" s="594"/>
      <c r="U35" s="594"/>
      <c r="V35" s="594"/>
      <c r="W35" s="594"/>
      <c r="X35" s="594"/>
      <c r="Y35" s="633"/>
      <c r="Z35" s="773">
        <f t="shared" si="42"/>
        <v>2393.77</v>
      </c>
      <c r="AA35" s="633">
        <v>1000</v>
      </c>
      <c r="AB35" s="633"/>
      <c r="AC35" s="631">
        <f t="shared" si="43"/>
        <v>1000</v>
      </c>
      <c r="AD35" s="631">
        <f t="shared" si="44"/>
        <v>29725.239999999998</v>
      </c>
      <c r="AE35" s="771">
        <f t="shared" si="45"/>
        <v>832306.72</v>
      </c>
      <c r="AF35" s="741">
        <f t="shared" si="46"/>
        <v>1440</v>
      </c>
      <c r="AG35" s="630">
        <f t="shared" si="46"/>
        <v>40320</v>
      </c>
      <c r="AH35" s="775">
        <v>2</v>
      </c>
      <c r="AI35" s="636">
        <v>58269.68</v>
      </c>
    </row>
    <row r="36" spans="1:35" ht="14.25">
      <c r="A36" s="724" t="s">
        <v>6966</v>
      </c>
      <c r="B36" s="634">
        <v>106</v>
      </c>
      <c r="C36" s="770">
        <v>1315.22</v>
      </c>
      <c r="D36" s="633">
        <v>950</v>
      </c>
      <c r="E36" s="594"/>
      <c r="F36" s="594"/>
      <c r="G36" s="594"/>
      <c r="H36" s="594"/>
      <c r="I36" s="594"/>
      <c r="J36" s="635"/>
      <c r="K36" s="631">
        <f t="shared" si="38"/>
        <v>2265.2200000000003</v>
      </c>
      <c r="L36" s="633">
        <v>1000</v>
      </c>
      <c r="M36" s="633"/>
      <c r="N36" s="631">
        <f t="shared" si="39"/>
        <v>1000</v>
      </c>
      <c r="O36" s="631">
        <f t="shared" si="40"/>
        <v>28182.640000000003</v>
      </c>
      <c r="P36" s="771">
        <f t="shared" si="41"/>
        <v>2987359.8400000003</v>
      </c>
      <c r="Q36" s="634">
        <v>106</v>
      </c>
      <c r="R36" s="770">
        <v>1315.22</v>
      </c>
      <c r="S36" s="633">
        <v>1070</v>
      </c>
      <c r="T36" s="594"/>
      <c r="U36" s="594"/>
      <c r="V36" s="594"/>
      <c r="W36" s="594"/>
      <c r="X36" s="594"/>
      <c r="Y36" s="633"/>
      <c r="Z36" s="773">
        <f t="shared" si="42"/>
        <v>2385.2200000000003</v>
      </c>
      <c r="AA36" s="633">
        <v>1000</v>
      </c>
      <c r="AB36" s="633"/>
      <c r="AC36" s="631">
        <f t="shared" si="43"/>
        <v>1000</v>
      </c>
      <c r="AD36" s="631">
        <f t="shared" si="44"/>
        <v>29622.640000000003</v>
      </c>
      <c r="AE36" s="771">
        <f t="shared" si="45"/>
        <v>3139999.8400000003</v>
      </c>
      <c r="AF36" s="741">
        <f t="shared" si="46"/>
        <v>1440</v>
      </c>
      <c r="AG36" s="630">
        <f t="shared" si="46"/>
        <v>152640</v>
      </c>
      <c r="AH36" s="775">
        <v>320</v>
      </c>
      <c r="AI36" s="636">
        <v>9244296.0800000001</v>
      </c>
    </row>
    <row r="37" spans="1:35" ht="13.5">
      <c r="A37" s="725" t="s">
        <v>7064</v>
      </c>
      <c r="B37" s="764">
        <f>+B38</f>
        <v>28</v>
      </c>
      <c r="C37" s="765"/>
      <c r="D37" s="765"/>
      <c r="E37" s="765"/>
      <c r="F37" s="765"/>
      <c r="G37" s="765"/>
      <c r="H37" s="765"/>
      <c r="I37" s="765"/>
      <c r="J37" s="766"/>
      <c r="K37" s="642">
        <f t="shared" ref="K37:Q37" si="47">+K38</f>
        <v>2761.1</v>
      </c>
      <c r="L37" s="765">
        <f t="shared" si="47"/>
        <v>1000</v>
      </c>
      <c r="M37" s="765">
        <f t="shared" si="47"/>
        <v>0</v>
      </c>
      <c r="N37" s="642">
        <f t="shared" si="47"/>
        <v>1000</v>
      </c>
      <c r="O37" s="642">
        <f t="shared" si="47"/>
        <v>34133.199999999997</v>
      </c>
      <c r="P37" s="641">
        <f t="shared" si="47"/>
        <v>955729.59999999986</v>
      </c>
      <c r="Q37" s="764">
        <f t="shared" si="47"/>
        <v>0</v>
      </c>
      <c r="R37" s="765"/>
      <c r="S37" s="765"/>
      <c r="T37" s="765"/>
      <c r="U37" s="765"/>
      <c r="V37" s="765"/>
      <c r="W37" s="765"/>
      <c r="X37" s="765"/>
      <c r="Y37" s="765">
        <f t="shared" ref="Y37:AI37" si="48">+Y38</f>
        <v>0</v>
      </c>
      <c r="Z37" s="765">
        <f t="shared" si="48"/>
        <v>0</v>
      </c>
      <c r="AA37" s="765">
        <f t="shared" si="48"/>
        <v>1000</v>
      </c>
      <c r="AB37" s="765">
        <f t="shared" si="48"/>
        <v>0</v>
      </c>
      <c r="AC37" s="642">
        <f t="shared" si="48"/>
        <v>1000</v>
      </c>
      <c r="AD37" s="642">
        <f t="shared" si="48"/>
        <v>1000</v>
      </c>
      <c r="AE37" s="641">
        <f t="shared" si="48"/>
        <v>0</v>
      </c>
      <c r="AF37" s="767">
        <f t="shared" si="48"/>
        <v>0</v>
      </c>
      <c r="AG37" s="768">
        <f t="shared" si="48"/>
        <v>0</v>
      </c>
      <c r="AH37" s="769">
        <f t="shared" si="48"/>
        <v>0</v>
      </c>
      <c r="AI37" s="638">
        <f t="shared" si="48"/>
        <v>0</v>
      </c>
    </row>
    <row r="38" spans="1:35" ht="14.25">
      <c r="A38" s="724" t="s">
        <v>7053</v>
      </c>
      <c r="B38" s="634">
        <v>28</v>
      </c>
      <c r="C38" s="770">
        <v>1661.1</v>
      </c>
      <c r="D38" s="633">
        <v>1100</v>
      </c>
      <c r="E38" s="594"/>
      <c r="F38" s="594"/>
      <c r="G38" s="594"/>
      <c r="H38" s="594"/>
      <c r="I38" s="594"/>
      <c r="J38" s="635"/>
      <c r="K38" s="631">
        <f>SUM(C38:J38)</f>
        <v>2761.1</v>
      </c>
      <c r="L38" s="633">
        <v>1000</v>
      </c>
      <c r="M38" s="633"/>
      <c r="N38" s="631">
        <f>SUM(L38:M38)</f>
        <v>1000</v>
      </c>
      <c r="O38" s="631">
        <f>(K38*12)+N38</f>
        <v>34133.199999999997</v>
      </c>
      <c r="P38" s="771">
        <f>O38*B38</f>
        <v>955729.59999999986</v>
      </c>
      <c r="Q38" s="634">
        <v>0</v>
      </c>
      <c r="R38" s="770">
        <v>0</v>
      </c>
      <c r="S38" s="633">
        <v>0</v>
      </c>
      <c r="T38" s="594"/>
      <c r="U38" s="594"/>
      <c r="V38" s="594"/>
      <c r="W38" s="594"/>
      <c r="X38" s="594"/>
      <c r="Y38" s="633">
        <v>0</v>
      </c>
      <c r="Z38" s="773">
        <f>SUM(R38:Y38)</f>
        <v>0</v>
      </c>
      <c r="AA38" s="633">
        <v>1000</v>
      </c>
      <c r="AB38" s="633">
        <v>0</v>
      </c>
      <c r="AC38" s="631">
        <f>SUM(AA38:AB38)</f>
        <v>1000</v>
      </c>
      <c r="AD38" s="631">
        <f>(Z38*12)+AC38</f>
        <v>1000</v>
      </c>
      <c r="AE38" s="771">
        <f>AD38*Q38</f>
        <v>0</v>
      </c>
      <c r="AF38" s="776"/>
      <c r="AG38" s="777"/>
      <c r="AH38" s="775"/>
      <c r="AI38" s="672"/>
    </row>
    <row r="39" spans="1:35" ht="13.5">
      <c r="A39" s="726" t="s">
        <v>57</v>
      </c>
      <c r="B39" s="778">
        <f>+B40</f>
        <v>37</v>
      </c>
      <c r="C39" s="779"/>
      <c r="D39" s="779"/>
      <c r="E39" s="779"/>
      <c r="F39" s="779"/>
      <c r="G39" s="779"/>
      <c r="H39" s="779"/>
      <c r="I39" s="779"/>
      <c r="J39" s="780"/>
      <c r="K39" s="781">
        <f t="shared" ref="K39:Q39" si="49">+K40</f>
        <v>1338.69</v>
      </c>
      <c r="L39" s="779">
        <f t="shared" si="49"/>
        <v>1000</v>
      </c>
      <c r="M39" s="779">
        <f t="shared" si="49"/>
        <v>0</v>
      </c>
      <c r="N39" s="781">
        <f t="shared" si="49"/>
        <v>1000</v>
      </c>
      <c r="O39" s="781">
        <f t="shared" si="49"/>
        <v>17064.28</v>
      </c>
      <c r="P39" s="782">
        <f t="shared" si="49"/>
        <v>631378.36</v>
      </c>
      <c r="Q39" s="778">
        <f t="shared" si="49"/>
        <v>35</v>
      </c>
      <c r="R39" s="779"/>
      <c r="S39" s="779"/>
      <c r="T39" s="779"/>
      <c r="U39" s="779"/>
      <c r="V39" s="779"/>
      <c r="W39" s="779"/>
      <c r="X39" s="779"/>
      <c r="Y39" s="779">
        <f t="shared" ref="Y39:AI39" si="50">+Y40</f>
        <v>0</v>
      </c>
      <c r="Z39" s="779">
        <f t="shared" si="50"/>
        <v>1338.69</v>
      </c>
      <c r="AA39" s="779">
        <f t="shared" si="50"/>
        <v>1000</v>
      </c>
      <c r="AB39" s="779">
        <f t="shared" si="50"/>
        <v>0</v>
      </c>
      <c r="AC39" s="781">
        <f t="shared" si="50"/>
        <v>1000</v>
      </c>
      <c r="AD39" s="781">
        <f t="shared" si="50"/>
        <v>17064.28</v>
      </c>
      <c r="AE39" s="782">
        <f t="shared" si="50"/>
        <v>597249.79999999993</v>
      </c>
      <c r="AF39" s="783">
        <f t="shared" si="50"/>
        <v>0</v>
      </c>
      <c r="AG39" s="784">
        <f t="shared" si="50"/>
        <v>0</v>
      </c>
      <c r="AH39" s="785">
        <f t="shared" si="50"/>
        <v>36</v>
      </c>
      <c r="AI39" s="786">
        <f t="shared" si="50"/>
        <v>623396.81828571425</v>
      </c>
    </row>
    <row r="40" spans="1:35" ht="14.25">
      <c r="A40" s="724" t="s">
        <v>7124</v>
      </c>
      <c r="B40" s="634">
        <v>37</v>
      </c>
      <c r="C40" s="633">
        <v>1338.69</v>
      </c>
      <c r="D40" s="633">
        <v>0</v>
      </c>
      <c r="E40" s="594"/>
      <c r="F40" s="594"/>
      <c r="G40" s="594"/>
      <c r="H40" s="594"/>
      <c r="I40" s="594"/>
      <c r="J40" s="635">
        <v>0</v>
      </c>
      <c r="K40" s="631">
        <f>SUM(C40:J40)</f>
        <v>1338.69</v>
      </c>
      <c r="L40" s="633">
        <v>1000</v>
      </c>
      <c r="M40" s="633">
        <v>0</v>
      </c>
      <c r="N40" s="631">
        <f>SUM(L40:M40)</f>
        <v>1000</v>
      </c>
      <c r="O40" s="631">
        <f>(K40*12)+N40</f>
        <v>17064.28</v>
      </c>
      <c r="P40" s="771">
        <f>O40*B40</f>
        <v>631378.36</v>
      </c>
      <c r="Q40" s="634">
        <v>35</v>
      </c>
      <c r="R40" s="633">
        <v>1338.69</v>
      </c>
      <c r="S40" s="633">
        <v>0</v>
      </c>
      <c r="T40" s="594"/>
      <c r="U40" s="594"/>
      <c r="V40" s="594"/>
      <c r="W40" s="594"/>
      <c r="X40" s="594"/>
      <c r="Y40" s="633">
        <v>0</v>
      </c>
      <c r="Z40" s="773">
        <f>SUM(R40:Y40)</f>
        <v>1338.69</v>
      </c>
      <c r="AA40" s="633">
        <v>1000</v>
      </c>
      <c r="AB40" s="633">
        <v>0</v>
      </c>
      <c r="AC40" s="631">
        <f>SUM(AA40:AB40)</f>
        <v>1000</v>
      </c>
      <c r="AD40" s="631">
        <f>(Z40*12)+AC40</f>
        <v>17064.28</v>
      </c>
      <c r="AE40" s="771">
        <f>AD40*Q40</f>
        <v>597249.79999999993</v>
      </c>
      <c r="AF40" s="776"/>
      <c r="AG40" s="777"/>
      <c r="AH40" s="775">
        <v>36</v>
      </c>
      <c r="AI40" s="672">
        <v>623396.81828571425</v>
      </c>
    </row>
    <row r="41" spans="1:35" ht="13.5">
      <c r="A41" s="726" t="s">
        <v>7123</v>
      </c>
      <c r="B41" s="778">
        <f>+B42+B60</f>
        <v>464</v>
      </c>
      <c r="C41" s="779"/>
      <c r="D41" s="779"/>
      <c r="E41" s="779"/>
      <c r="F41" s="779"/>
      <c r="G41" s="779"/>
      <c r="H41" s="779"/>
      <c r="I41" s="779"/>
      <c r="J41" s="780"/>
      <c r="K41" s="781">
        <f t="shared" ref="K41:Q41" si="51">+K42+K60</f>
        <v>32763.86</v>
      </c>
      <c r="L41" s="779">
        <f t="shared" si="51"/>
        <v>23000</v>
      </c>
      <c r="M41" s="779">
        <f t="shared" si="51"/>
        <v>0</v>
      </c>
      <c r="N41" s="781">
        <f t="shared" si="51"/>
        <v>23000</v>
      </c>
      <c r="O41" s="781">
        <f t="shared" si="51"/>
        <v>416166.31999999995</v>
      </c>
      <c r="P41" s="782">
        <f t="shared" si="51"/>
        <v>8172117.3199999994</v>
      </c>
      <c r="Q41" s="778">
        <f t="shared" si="51"/>
        <v>392</v>
      </c>
      <c r="R41" s="779"/>
      <c r="S41" s="779"/>
      <c r="T41" s="779"/>
      <c r="U41" s="779"/>
      <c r="V41" s="779"/>
      <c r="W41" s="779"/>
      <c r="X41" s="779"/>
      <c r="Y41" s="779">
        <f t="shared" ref="Y41:AI41" si="52">+Y42+Y60</f>
        <v>0</v>
      </c>
      <c r="Z41" s="779">
        <f t="shared" si="52"/>
        <v>29050.15</v>
      </c>
      <c r="AA41" s="779">
        <f t="shared" si="52"/>
        <v>23000</v>
      </c>
      <c r="AB41" s="779">
        <f t="shared" si="52"/>
        <v>0</v>
      </c>
      <c r="AC41" s="781">
        <f t="shared" si="52"/>
        <v>23000</v>
      </c>
      <c r="AD41" s="781">
        <f t="shared" si="52"/>
        <v>371601.8</v>
      </c>
      <c r="AE41" s="782">
        <f t="shared" si="52"/>
        <v>6904752.2000000011</v>
      </c>
      <c r="AF41" s="783">
        <f t="shared" si="52"/>
        <v>-44564.51999999999</v>
      </c>
      <c r="AG41" s="784">
        <f t="shared" si="52"/>
        <v>-1267365.1200000001</v>
      </c>
      <c r="AH41" s="785">
        <f t="shared" si="52"/>
        <v>496</v>
      </c>
      <c r="AI41" s="786">
        <f t="shared" si="52"/>
        <v>8655252.7599999998</v>
      </c>
    </row>
    <row r="42" spans="1:35" ht="27">
      <c r="A42" s="725" t="s">
        <v>51</v>
      </c>
      <c r="B42" s="764">
        <f>SUM(B43:B59)</f>
        <v>123</v>
      </c>
      <c r="C42" s="765"/>
      <c r="D42" s="765"/>
      <c r="E42" s="765"/>
      <c r="F42" s="765"/>
      <c r="G42" s="765"/>
      <c r="H42" s="765"/>
      <c r="I42" s="765"/>
      <c r="J42" s="735"/>
      <c r="K42" s="642">
        <f t="shared" ref="K42:Q42" si="53">SUM(K43:K59)</f>
        <v>23268.05</v>
      </c>
      <c r="L42" s="765">
        <f t="shared" si="53"/>
        <v>13000</v>
      </c>
      <c r="M42" s="765">
        <f t="shared" si="53"/>
        <v>0</v>
      </c>
      <c r="N42" s="642">
        <f t="shared" si="53"/>
        <v>13000</v>
      </c>
      <c r="O42" s="642">
        <f t="shared" si="53"/>
        <v>292216.59999999998</v>
      </c>
      <c r="P42" s="641">
        <f t="shared" si="53"/>
        <v>3156230.6399999997</v>
      </c>
      <c r="Q42" s="764">
        <f t="shared" si="53"/>
        <v>153</v>
      </c>
      <c r="R42" s="765"/>
      <c r="S42" s="765"/>
      <c r="T42" s="765"/>
      <c r="U42" s="765"/>
      <c r="V42" s="765"/>
      <c r="W42" s="765"/>
      <c r="X42" s="765"/>
      <c r="Y42" s="765">
        <f t="shared" ref="Y42:AI42" si="54">SUM(Y43:Y59)</f>
        <v>0</v>
      </c>
      <c r="Z42" s="765">
        <f t="shared" si="54"/>
        <v>19554.340000000004</v>
      </c>
      <c r="AA42" s="765">
        <f t="shared" si="54"/>
        <v>13000</v>
      </c>
      <c r="AB42" s="765">
        <f t="shared" si="54"/>
        <v>0</v>
      </c>
      <c r="AC42" s="642">
        <f t="shared" si="54"/>
        <v>13000</v>
      </c>
      <c r="AD42" s="642">
        <f t="shared" si="54"/>
        <v>247652.08</v>
      </c>
      <c r="AE42" s="641">
        <f t="shared" si="54"/>
        <v>3517844.7600000002</v>
      </c>
      <c r="AF42" s="767">
        <f t="shared" si="54"/>
        <v>-44564.51999999999</v>
      </c>
      <c r="AG42" s="768">
        <f t="shared" si="54"/>
        <v>361614.1200000004</v>
      </c>
      <c r="AH42" s="769">
        <f t="shared" si="54"/>
        <v>155</v>
      </c>
      <c r="AI42" s="638">
        <f t="shared" si="54"/>
        <v>3722243.5999999996</v>
      </c>
    </row>
    <row r="43" spans="1:35" ht="27" hidden="1">
      <c r="A43" s="727" t="s">
        <v>7122</v>
      </c>
      <c r="B43" s="634"/>
      <c r="C43" s="633"/>
      <c r="D43" s="633"/>
      <c r="E43" s="594"/>
      <c r="F43" s="594"/>
      <c r="G43" s="594"/>
      <c r="H43" s="594"/>
      <c r="I43" s="594"/>
      <c r="J43" s="635"/>
      <c r="K43" s="631">
        <f t="shared" ref="K43:K59" si="55">SUM(C43:J43)</f>
        <v>0</v>
      </c>
      <c r="L43" s="633"/>
      <c r="M43" s="633"/>
      <c r="N43" s="631">
        <f t="shared" ref="N43:N59" si="56">SUM(L43:M43)</f>
        <v>0</v>
      </c>
      <c r="O43" s="631">
        <f t="shared" ref="O43:O59" si="57">(K43*12)+N43</f>
        <v>0</v>
      </c>
      <c r="P43" s="771">
        <f t="shared" ref="P43:P59" si="58">O43*B43</f>
        <v>0</v>
      </c>
      <c r="Q43" s="637"/>
      <c r="R43" s="632"/>
      <c r="S43" s="632"/>
      <c r="T43" s="594"/>
      <c r="U43" s="594"/>
      <c r="V43" s="594"/>
      <c r="W43" s="594"/>
      <c r="X43" s="594"/>
      <c r="Y43" s="632"/>
      <c r="Z43" s="773">
        <f t="shared" ref="Z43:Z59" si="59">SUM(R43:Y43)</f>
        <v>0</v>
      </c>
      <c r="AA43" s="633"/>
      <c r="AB43" s="632"/>
      <c r="AC43" s="631">
        <f t="shared" ref="AC43:AC59" si="60">SUM(AA43:AB43)</f>
        <v>0</v>
      </c>
      <c r="AD43" s="631">
        <f t="shared" ref="AD43:AD59" si="61">(Z43*12)+AC43</f>
        <v>0</v>
      </c>
      <c r="AE43" s="771">
        <f t="shared" ref="AE43:AE59" si="62">AD43*Q43</f>
        <v>0</v>
      </c>
      <c r="AF43" s="741">
        <f t="shared" ref="AF43:AF59" si="63">AD43-O43</f>
        <v>0</v>
      </c>
      <c r="AG43" s="630">
        <f t="shared" ref="AG43:AG59" si="64">AE43-P43</f>
        <v>0</v>
      </c>
      <c r="AH43" s="673"/>
      <c r="AI43" s="629"/>
    </row>
    <row r="44" spans="1:35" ht="42.75">
      <c r="A44" s="724" t="s">
        <v>7048</v>
      </c>
      <c r="B44" s="634">
        <v>1</v>
      </c>
      <c r="C44" s="633">
        <v>3200.16</v>
      </c>
      <c r="D44" s="633"/>
      <c r="E44" s="594"/>
      <c r="F44" s="594"/>
      <c r="G44" s="594"/>
      <c r="H44" s="594"/>
      <c r="I44" s="594"/>
      <c r="J44" s="635"/>
      <c r="K44" s="631">
        <f t="shared" si="55"/>
        <v>3200.16</v>
      </c>
      <c r="L44" s="633">
        <v>1000</v>
      </c>
      <c r="M44" s="633"/>
      <c r="N44" s="631">
        <f t="shared" si="56"/>
        <v>1000</v>
      </c>
      <c r="O44" s="631">
        <f t="shared" si="57"/>
        <v>39401.919999999998</v>
      </c>
      <c r="P44" s="771">
        <f t="shared" si="58"/>
        <v>39401.919999999998</v>
      </c>
      <c r="Q44" s="634">
        <v>0</v>
      </c>
      <c r="R44" s="633">
        <v>3360.48</v>
      </c>
      <c r="S44" s="632"/>
      <c r="T44" s="594"/>
      <c r="U44" s="594"/>
      <c r="V44" s="594"/>
      <c r="W44" s="594"/>
      <c r="X44" s="594"/>
      <c r="Y44" s="632"/>
      <c r="Z44" s="773">
        <f t="shared" si="59"/>
        <v>3360.48</v>
      </c>
      <c r="AA44" s="633">
        <v>1000</v>
      </c>
      <c r="AB44" s="632"/>
      <c r="AC44" s="631">
        <f t="shared" si="60"/>
        <v>1000</v>
      </c>
      <c r="AD44" s="631">
        <f t="shared" si="61"/>
        <v>41325.760000000002</v>
      </c>
      <c r="AE44" s="771">
        <f t="shared" si="62"/>
        <v>0</v>
      </c>
      <c r="AF44" s="741">
        <f t="shared" si="63"/>
        <v>1923.8400000000038</v>
      </c>
      <c r="AG44" s="630">
        <f t="shared" si="64"/>
        <v>-39401.919999999998</v>
      </c>
      <c r="AH44" s="673"/>
      <c r="AI44" s="629"/>
    </row>
    <row r="45" spans="1:35" ht="42.75">
      <c r="A45" s="724" t="s">
        <v>7047</v>
      </c>
      <c r="B45" s="634">
        <v>9</v>
      </c>
      <c r="C45" s="633">
        <v>2400.12</v>
      </c>
      <c r="D45" s="633"/>
      <c r="E45" s="594"/>
      <c r="F45" s="594"/>
      <c r="G45" s="594"/>
      <c r="H45" s="594"/>
      <c r="I45" s="594"/>
      <c r="J45" s="635"/>
      <c r="K45" s="631">
        <f t="shared" si="55"/>
        <v>2400.12</v>
      </c>
      <c r="L45" s="633">
        <v>1000</v>
      </c>
      <c r="M45" s="633"/>
      <c r="N45" s="631">
        <f t="shared" si="56"/>
        <v>1000</v>
      </c>
      <c r="O45" s="631">
        <f t="shared" si="57"/>
        <v>29801.439999999999</v>
      </c>
      <c r="P45" s="771">
        <f t="shared" si="58"/>
        <v>268212.95999999996</v>
      </c>
      <c r="Q45" s="634">
        <v>10</v>
      </c>
      <c r="R45" s="633">
        <v>3080.44</v>
      </c>
      <c r="S45" s="632"/>
      <c r="T45" s="594"/>
      <c r="U45" s="594"/>
      <c r="V45" s="594"/>
      <c r="W45" s="594"/>
      <c r="X45" s="594"/>
      <c r="Y45" s="632"/>
      <c r="Z45" s="773">
        <f t="shared" si="59"/>
        <v>3080.44</v>
      </c>
      <c r="AA45" s="633">
        <v>1000</v>
      </c>
      <c r="AB45" s="632"/>
      <c r="AC45" s="631">
        <f t="shared" si="60"/>
        <v>1000</v>
      </c>
      <c r="AD45" s="631">
        <f t="shared" si="61"/>
        <v>37965.279999999999</v>
      </c>
      <c r="AE45" s="771">
        <f t="shared" si="62"/>
        <v>379652.8</v>
      </c>
      <c r="AF45" s="741">
        <f t="shared" si="63"/>
        <v>8163.84</v>
      </c>
      <c r="AG45" s="630">
        <f t="shared" si="64"/>
        <v>111439.84000000003</v>
      </c>
      <c r="AH45" s="674">
        <v>10</v>
      </c>
      <c r="AI45" s="636">
        <v>341214.39999999997</v>
      </c>
    </row>
    <row r="46" spans="1:35" ht="42.75">
      <c r="A46" s="724" t="s">
        <v>7046</v>
      </c>
      <c r="B46" s="634">
        <v>15</v>
      </c>
      <c r="C46" s="633">
        <v>2933.48</v>
      </c>
      <c r="D46" s="633"/>
      <c r="E46" s="594"/>
      <c r="F46" s="594"/>
      <c r="G46" s="594"/>
      <c r="H46" s="594"/>
      <c r="I46" s="594"/>
      <c r="J46" s="635"/>
      <c r="K46" s="631">
        <f t="shared" si="55"/>
        <v>2933.48</v>
      </c>
      <c r="L46" s="633">
        <v>1000</v>
      </c>
      <c r="M46" s="633"/>
      <c r="N46" s="631">
        <f t="shared" si="56"/>
        <v>1000</v>
      </c>
      <c r="O46" s="631">
        <f t="shared" si="57"/>
        <v>36201.760000000002</v>
      </c>
      <c r="P46" s="771">
        <f t="shared" si="58"/>
        <v>543026.4</v>
      </c>
      <c r="Q46" s="634">
        <v>2</v>
      </c>
      <c r="R46" s="633">
        <v>2800.4</v>
      </c>
      <c r="S46" s="632"/>
      <c r="T46" s="594"/>
      <c r="U46" s="594"/>
      <c r="V46" s="594"/>
      <c r="W46" s="594"/>
      <c r="X46" s="594"/>
      <c r="Y46" s="632"/>
      <c r="Z46" s="773">
        <f t="shared" si="59"/>
        <v>2800.4</v>
      </c>
      <c r="AA46" s="633">
        <v>1000</v>
      </c>
      <c r="AB46" s="632"/>
      <c r="AC46" s="631">
        <f t="shared" si="60"/>
        <v>1000</v>
      </c>
      <c r="AD46" s="631">
        <f t="shared" si="61"/>
        <v>34604.800000000003</v>
      </c>
      <c r="AE46" s="771">
        <f t="shared" si="62"/>
        <v>69209.600000000006</v>
      </c>
      <c r="AF46" s="741">
        <f t="shared" si="63"/>
        <v>-1596.9599999999991</v>
      </c>
      <c r="AG46" s="630">
        <f t="shared" si="64"/>
        <v>-473816.80000000005</v>
      </c>
      <c r="AH46" s="674">
        <v>2</v>
      </c>
      <c r="AI46" s="636">
        <v>82963.520000000004</v>
      </c>
    </row>
    <row r="47" spans="1:35" ht="42.75">
      <c r="A47" s="724" t="s">
        <v>7045</v>
      </c>
      <c r="B47" s="634">
        <v>2</v>
      </c>
      <c r="C47" s="633">
        <v>2200.11</v>
      </c>
      <c r="D47" s="633"/>
      <c r="E47" s="594"/>
      <c r="F47" s="594"/>
      <c r="G47" s="594"/>
      <c r="H47" s="594"/>
      <c r="I47" s="594"/>
      <c r="J47" s="635"/>
      <c r="K47" s="631">
        <f t="shared" si="55"/>
        <v>2200.11</v>
      </c>
      <c r="L47" s="633">
        <v>1000</v>
      </c>
      <c r="M47" s="633"/>
      <c r="N47" s="631">
        <f t="shared" si="56"/>
        <v>1000</v>
      </c>
      <c r="O47" s="631">
        <f t="shared" si="57"/>
        <v>27401.32</v>
      </c>
      <c r="P47" s="771">
        <f t="shared" si="58"/>
        <v>54802.64</v>
      </c>
      <c r="Q47" s="634">
        <v>10</v>
      </c>
      <c r="R47" s="633">
        <v>2520.36</v>
      </c>
      <c r="S47" s="632"/>
      <c r="T47" s="594"/>
      <c r="U47" s="594"/>
      <c r="V47" s="594"/>
      <c r="W47" s="594"/>
      <c r="X47" s="594"/>
      <c r="Y47" s="632"/>
      <c r="Z47" s="773">
        <f t="shared" si="59"/>
        <v>2520.36</v>
      </c>
      <c r="AA47" s="633">
        <v>1000</v>
      </c>
      <c r="AB47" s="632"/>
      <c r="AC47" s="631">
        <f t="shared" si="60"/>
        <v>1000</v>
      </c>
      <c r="AD47" s="631">
        <f t="shared" si="61"/>
        <v>31244.32</v>
      </c>
      <c r="AE47" s="771">
        <f t="shared" si="62"/>
        <v>312443.2</v>
      </c>
      <c r="AF47" s="741">
        <f t="shared" si="63"/>
        <v>3843</v>
      </c>
      <c r="AG47" s="630">
        <f t="shared" si="64"/>
        <v>257640.56</v>
      </c>
      <c r="AH47" s="674">
        <v>10</v>
      </c>
      <c r="AI47" s="636">
        <v>313613.19999999995</v>
      </c>
    </row>
    <row r="48" spans="1:35" ht="42.75">
      <c r="A48" s="724" t="s">
        <v>7044</v>
      </c>
      <c r="B48" s="634">
        <v>1</v>
      </c>
      <c r="C48" s="633">
        <v>2666.8</v>
      </c>
      <c r="D48" s="633"/>
      <c r="E48" s="594"/>
      <c r="F48" s="594"/>
      <c r="G48" s="594"/>
      <c r="H48" s="594"/>
      <c r="I48" s="594"/>
      <c r="J48" s="635"/>
      <c r="K48" s="631">
        <f t="shared" si="55"/>
        <v>2666.8</v>
      </c>
      <c r="L48" s="633">
        <v>1000</v>
      </c>
      <c r="M48" s="633"/>
      <c r="N48" s="631">
        <f t="shared" si="56"/>
        <v>1000</v>
      </c>
      <c r="O48" s="631">
        <f t="shared" si="57"/>
        <v>33001.600000000006</v>
      </c>
      <c r="P48" s="771">
        <f t="shared" si="58"/>
        <v>33001.600000000006</v>
      </c>
      <c r="Q48" s="634">
        <v>1</v>
      </c>
      <c r="R48" s="633">
        <v>2310.33</v>
      </c>
      <c r="S48" s="632"/>
      <c r="T48" s="594"/>
      <c r="U48" s="594"/>
      <c r="V48" s="594"/>
      <c r="W48" s="594"/>
      <c r="X48" s="594"/>
      <c r="Y48" s="632"/>
      <c r="Z48" s="773">
        <f t="shared" si="59"/>
        <v>2310.33</v>
      </c>
      <c r="AA48" s="633">
        <v>1000</v>
      </c>
      <c r="AB48" s="632"/>
      <c r="AC48" s="631">
        <f t="shared" si="60"/>
        <v>1000</v>
      </c>
      <c r="AD48" s="631">
        <f t="shared" si="61"/>
        <v>28723.96</v>
      </c>
      <c r="AE48" s="771">
        <f t="shared" si="62"/>
        <v>28723.96</v>
      </c>
      <c r="AF48" s="741">
        <f t="shared" si="63"/>
        <v>-4277.6400000000067</v>
      </c>
      <c r="AG48" s="630">
        <f t="shared" si="64"/>
        <v>-4277.6400000000067</v>
      </c>
      <c r="AH48" s="674">
        <v>1</v>
      </c>
      <c r="AI48" s="636">
        <v>37801.600000000006</v>
      </c>
    </row>
    <row r="49" spans="1:35" ht="42.75">
      <c r="A49" s="724" t="s">
        <v>7043</v>
      </c>
      <c r="B49" s="634">
        <v>80</v>
      </c>
      <c r="C49" s="633">
        <v>2000.1</v>
      </c>
      <c r="D49" s="633"/>
      <c r="E49" s="594"/>
      <c r="F49" s="594"/>
      <c r="G49" s="594"/>
      <c r="H49" s="594"/>
      <c r="I49" s="594"/>
      <c r="J49" s="635"/>
      <c r="K49" s="631">
        <f t="shared" si="55"/>
        <v>2000.1</v>
      </c>
      <c r="L49" s="633">
        <v>1000</v>
      </c>
      <c r="M49" s="633"/>
      <c r="N49" s="631">
        <f t="shared" si="56"/>
        <v>1000</v>
      </c>
      <c r="O49" s="631">
        <f t="shared" si="57"/>
        <v>25001.199999999997</v>
      </c>
      <c r="P49" s="771">
        <f t="shared" si="58"/>
        <v>2000095.9999999998</v>
      </c>
      <c r="Q49" s="634">
        <v>72</v>
      </c>
      <c r="R49" s="633">
        <v>2100.3000000000002</v>
      </c>
      <c r="S49" s="632"/>
      <c r="T49" s="594"/>
      <c r="U49" s="594"/>
      <c r="V49" s="594"/>
      <c r="W49" s="594"/>
      <c r="X49" s="594"/>
      <c r="Y49" s="632"/>
      <c r="Z49" s="773">
        <f t="shared" si="59"/>
        <v>2100.3000000000002</v>
      </c>
      <c r="AA49" s="633">
        <v>1000</v>
      </c>
      <c r="AB49" s="632"/>
      <c r="AC49" s="631">
        <f t="shared" si="60"/>
        <v>1000</v>
      </c>
      <c r="AD49" s="631">
        <f t="shared" si="61"/>
        <v>26203.600000000002</v>
      </c>
      <c r="AE49" s="771">
        <f t="shared" si="62"/>
        <v>1886659.2000000002</v>
      </c>
      <c r="AF49" s="741">
        <f t="shared" si="63"/>
        <v>1202.4000000000051</v>
      </c>
      <c r="AG49" s="630">
        <f t="shared" si="64"/>
        <v>-113436.79999999958</v>
      </c>
      <c r="AH49" s="674">
        <v>72</v>
      </c>
      <c r="AI49" s="636">
        <v>2059286.4</v>
      </c>
    </row>
    <row r="50" spans="1:35" ht="40.5">
      <c r="A50" s="727" t="s">
        <v>7121</v>
      </c>
      <c r="B50" s="634"/>
      <c r="C50" s="633"/>
      <c r="D50" s="633"/>
      <c r="E50" s="594"/>
      <c r="F50" s="594"/>
      <c r="G50" s="594"/>
      <c r="H50" s="594"/>
      <c r="I50" s="594"/>
      <c r="J50" s="635"/>
      <c r="K50" s="631">
        <f t="shared" si="55"/>
        <v>0</v>
      </c>
      <c r="L50" s="633"/>
      <c r="M50" s="633"/>
      <c r="N50" s="631">
        <f t="shared" si="56"/>
        <v>0</v>
      </c>
      <c r="O50" s="631">
        <f t="shared" si="57"/>
        <v>0</v>
      </c>
      <c r="P50" s="771">
        <f t="shared" si="58"/>
        <v>0</v>
      </c>
      <c r="Q50" s="634"/>
      <c r="R50" s="632"/>
      <c r="S50" s="632"/>
      <c r="T50" s="594"/>
      <c r="U50" s="594"/>
      <c r="V50" s="594"/>
      <c r="W50" s="594"/>
      <c r="X50" s="594"/>
      <c r="Y50" s="632"/>
      <c r="Z50" s="773">
        <f t="shared" si="59"/>
        <v>0</v>
      </c>
      <c r="AA50" s="633"/>
      <c r="AB50" s="632"/>
      <c r="AC50" s="631">
        <f t="shared" si="60"/>
        <v>0</v>
      </c>
      <c r="AD50" s="631">
        <f t="shared" si="61"/>
        <v>0</v>
      </c>
      <c r="AE50" s="771">
        <f t="shared" si="62"/>
        <v>0</v>
      </c>
      <c r="AF50" s="741">
        <f t="shared" si="63"/>
        <v>0</v>
      </c>
      <c r="AG50" s="630">
        <f t="shared" si="64"/>
        <v>0</v>
      </c>
      <c r="AH50" s="673"/>
      <c r="AI50" s="629"/>
    </row>
    <row r="51" spans="1:35" ht="14.25">
      <c r="A51" s="724" t="s">
        <v>7120</v>
      </c>
      <c r="B51" s="634">
        <v>1</v>
      </c>
      <c r="C51" s="633">
        <v>1130.7</v>
      </c>
      <c r="D51" s="633"/>
      <c r="E51" s="594"/>
      <c r="F51" s="594"/>
      <c r="G51" s="594"/>
      <c r="H51" s="594"/>
      <c r="I51" s="594"/>
      <c r="J51" s="635"/>
      <c r="K51" s="631">
        <f t="shared" si="55"/>
        <v>1130.7</v>
      </c>
      <c r="L51" s="633">
        <v>1000</v>
      </c>
      <c r="M51" s="633"/>
      <c r="N51" s="631">
        <f t="shared" si="56"/>
        <v>1000</v>
      </c>
      <c r="O51" s="631">
        <f t="shared" si="57"/>
        <v>14568.400000000001</v>
      </c>
      <c r="P51" s="771">
        <f t="shared" si="58"/>
        <v>14568.400000000001</v>
      </c>
      <c r="Q51" s="634">
        <v>11</v>
      </c>
      <c r="R51" s="633">
        <v>1130.7</v>
      </c>
      <c r="S51" s="632"/>
      <c r="T51" s="594"/>
      <c r="U51" s="594"/>
      <c r="V51" s="594"/>
      <c r="W51" s="594"/>
      <c r="X51" s="594"/>
      <c r="Y51" s="632"/>
      <c r="Z51" s="773">
        <f t="shared" si="59"/>
        <v>1130.7</v>
      </c>
      <c r="AA51" s="633">
        <v>1000</v>
      </c>
      <c r="AB51" s="632"/>
      <c r="AC51" s="631">
        <f t="shared" si="60"/>
        <v>1000</v>
      </c>
      <c r="AD51" s="631">
        <f t="shared" si="61"/>
        <v>14568.400000000001</v>
      </c>
      <c r="AE51" s="771">
        <f t="shared" si="62"/>
        <v>160252.40000000002</v>
      </c>
      <c r="AF51" s="741">
        <f t="shared" si="63"/>
        <v>0</v>
      </c>
      <c r="AG51" s="630">
        <f t="shared" si="64"/>
        <v>145684.00000000003</v>
      </c>
      <c r="AH51" s="674">
        <v>15</v>
      </c>
      <c r="AI51" s="636">
        <v>255715.8</v>
      </c>
    </row>
    <row r="52" spans="1:35" ht="14.25">
      <c r="A52" s="724" t="s">
        <v>7119</v>
      </c>
      <c r="B52" s="634">
        <v>1</v>
      </c>
      <c r="C52" s="633">
        <v>1137.29</v>
      </c>
      <c r="D52" s="633"/>
      <c r="E52" s="594"/>
      <c r="F52" s="594"/>
      <c r="G52" s="594"/>
      <c r="H52" s="594"/>
      <c r="I52" s="594"/>
      <c r="J52" s="635"/>
      <c r="K52" s="631">
        <f t="shared" si="55"/>
        <v>1137.29</v>
      </c>
      <c r="L52" s="633">
        <v>1000</v>
      </c>
      <c r="M52" s="633"/>
      <c r="N52" s="631">
        <f t="shared" si="56"/>
        <v>1000</v>
      </c>
      <c r="O52" s="631">
        <f t="shared" si="57"/>
        <v>14647.48</v>
      </c>
      <c r="P52" s="771">
        <f t="shared" si="58"/>
        <v>14647.48</v>
      </c>
      <c r="Q52" s="634"/>
      <c r="R52" s="633"/>
      <c r="S52" s="632"/>
      <c r="T52" s="594"/>
      <c r="U52" s="594"/>
      <c r="V52" s="594"/>
      <c r="W52" s="594"/>
      <c r="X52" s="594"/>
      <c r="Y52" s="632"/>
      <c r="Z52" s="773">
        <f t="shared" si="59"/>
        <v>0</v>
      </c>
      <c r="AA52" s="633">
        <v>1000</v>
      </c>
      <c r="AB52" s="632"/>
      <c r="AC52" s="631">
        <f t="shared" si="60"/>
        <v>1000</v>
      </c>
      <c r="AD52" s="631">
        <f t="shared" si="61"/>
        <v>1000</v>
      </c>
      <c r="AE52" s="771">
        <f t="shared" si="62"/>
        <v>0</v>
      </c>
      <c r="AF52" s="741">
        <f t="shared" si="63"/>
        <v>-13647.48</v>
      </c>
      <c r="AG52" s="630">
        <f t="shared" si="64"/>
        <v>-14647.48</v>
      </c>
      <c r="AH52" s="674">
        <v>11</v>
      </c>
      <c r="AI52" s="636">
        <v>147465.56</v>
      </c>
    </row>
    <row r="53" spans="1:35" ht="40.5">
      <c r="A53" s="727" t="s">
        <v>7118</v>
      </c>
      <c r="B53" s="634"/>
      <c r="C53" s="633"/>
      <c r="D53" s="633"/>
      <c r="E53" s="594"/>
      <c r="F53" s="594"/>
      <c r="G53" s="594"/>
      <c r="H53" s="594"/>
      <c r="I53" s="594"/>
      <c r="J53" s="635"/>
      <c r="K53" s="631">
        <f t="shared" si="55"/>
        <v>0</v>
      </c>
      <c r="L53" s="633"/>
      <c r="M53" s="633"/>
      <c r="N53" s="631">
        <f t="shared" si="56"/>
        <v>0</v>
      </c>
      <c r="O53" s="631">
        <f t="shared" si="57"/>
        <v>0</v>
      </c>
      <c r="P53" s="771">
        <f t="shared" si="58"/>
        <v>0</v>
      </c>
      <c r="Q53" s="634"/>
      <c r="R53" s="633"/>
      <c r="S53" s="632"/>
      <c r="T53" s="594"/>
      <c r="U53" s="594"/>
      <c r="V53" s="594"/>
      <c r="W53" s="594"/>
      <c r="X53" s="594"/>
      <c r="Y53" s="632"/>
      <c r="Z53" s="773">
        <f t="shared" si="59"/>
        <v>0</v>
      </c>
      <c r="AA53" s="633"/>
      <c r="AB53" s="632"/>
      <c r="AC53" s="631">
        <f t="shared" si="60"/>
        <v>0</v>
      </c>
      <c r="AD53" s="631">
        <f t="shared" si="61"/>
        <v>0</v>
      </c>
      <c r="AE53" s="771">
        <f t="shared" si="62"/>
        <v>0</v>
      </c>
      <c r="AF53" s="741">
        <f t="shared" si="63"/>
        <v>0</v>
      </c>
      <c r="AG53" s="630">
        <f t="shared" si="64"/>
        <v>0</v>
      </c>
      <c r="AH53" s="673"/>
      <c r="AI53" s="675"/>
    </row>
    <row r="54" spans="1:35" ht="14.25">
      <c r="A54" s="724" t="s">
        <v>7117</v>
      </c>
      <c r="B54" s="634">
        <v>6</v>
      </c>
      <c r="C54" s="633">
        <v>1129.52</v>
      </c>
      <c r="D54" s="633"/>
      <c r="E54" s="594"/>
      <c r="F54" s="594"/>
      <c r="G54" s="594"/>
      <c r="H54" s="594"/>
      <c r="I54" s="594"/>
      <c r="J54" s="635"/>
      <c r="K54" s="631">
        <f t="shared" si="55"/>
        <v>1129.52</v>
      </c>
      <c r="L54" s="633">
        <v>1000</v>
      </c>
      <c r="M54" s="633"/>
      <c r="N54" s="631">
        <f t="shared" si="56"/>
        <v>1000</v>
      </c>
      <c r="O54" s="631">
        <f t="shared" si="57"/>
        <v>14554.24</v>
      </c>
      <c r="P54" s="771">
        <f t="shared" si="58"/>
        <v>87325.440000000002</v>
      </c>
      <c r="Q54" s="634">
        <v>13</v>
      </c>
      <c r="R54" s="633">
        <v>1129.52</v>
      </c>
      <c r="S54" s="632"/>
      <c r="T54" s="594"/>
      <c r="U54" s="594"/>
      <c r="V54" s="594"/>
      <c r="W54" s="594"/>
      <c r="X54" s="594"/>
      <c r="Y54" s="632"/>
      <c r="Z54" s="773">
        <f t="shared" si="59"/>
        <v>1129.52</v>
      </c>
      <c r="AA54" s="633">
        <v>1000</v>
      </c>
      <c r="AB54" s="632"/>
      <c r="AC54" s="631">
        <f t="shared" si="60"/>
        <v>1000</v>
      </c>
      <c r="AD54" s="631">
        <f t="shared" si="61"/>
        <v>14554.24</v>
      </c>
      <c r="AE54" s="771">
        <f t="shared" si="62"/>
        <v>189205.12</v>
      </c>
      <c r="AF54" s="741">
        <f t="shared" si="63"/>
        <v>0</v>
      </c>
      <c r="AG54" s="630">
        <f t="shared" si="64"/>
        <v>101879.67999999999</v>
      </c>
      <c r="AH54" s="674">
        <v>34</v>
      </c>
      <c r="AI54" s="636">
        <v>484183.12</v>
      </c>
    </row>
    <row r="55" spans="1:35" ht="14.25">
      <c r="A55" s="724" t="s">
        <v>7116</v>
      </c>
      <c r="B55" s="634">
        <v>2</v>
      </c>
      <c r="C55" s="633">
        <v>1132.26</v>
      </c>
      <c r="D55" s="633"/>
      <c r="E55" s="594"/>
      <c r="F55" s="594"/>
      <c r="G55" s="594"/>
      <c r="H55" s="594"/>
      <c r="I55" s="594"/>
      <c r="J55" s="635"/>
      <c r="K55" s="631">
        <f t="shared" si="55"/>
        <v>1132.26</v>
      </c>
      <c r="L55" s="633">
        <v>1000</v>
      </c>
      <c r="M55" s="633"/>
      <c r="N55" s="631">
        <f t="shared" si="56"/>
        <v>1000</v>
      </c>
      <c r="O55" s="631">
        <f t="shared" si="57"/>
        <v>14587.119999999999</v>
      </c>
      <c r="P55" s="771">
        <f t="shared" si="58"/>
        <v>29174.239999999998</v>
      </c>
      <c r="Q55" s="634"/>
      <c r="R55" s="633"/>
      <c r="S55" s="632"/>
      <c r="T55" s="594"/>
      <c r="U55" s="594"/>
      <c r="V55" s="594"/>
      <c r="W55" s="594"/>
      <c r="X55" s="594"/>
      <c r="Y55" s="632"/>
      <c r="Z55" s="773">
        <f t="shared" si="59"/>
        <v>0</v>
      </c>
      <c r="AA55" s="633">
        <v>1000</v>
      </c>
      <c r="AB55" s="632"/>
      <c r="AC55" s="631">
        <f t="shared" si="60"/>
        <v>1000</v>
      </c>
      <c r="AD55" s="631">
        <f t="shared" si="61"/>
        <v>1000</v>
      </c>
      <c r="AE55" s="771">
        <f t="shared" si="62"/>
        <v>0</v>
      </c>
      <c r="AF55" s="741">
        <f t="shared" si="63"/>
        <v>-13587.119999999999</v>
      </c>
      <c r="AG55" s="630">
        <f t="shared" si="64"/>
        <v>-29174.239999999998</v>
      </c>
      <c r="AH55" s="673"/>
      <c r="AI55" s="629"/>
    </row>
    <row r="56" spans="1:35" ht="27">
      <c r="A56" s="727" t="s">
        <v>7115</v>
      </c>
      <c r="B56" s="634"/>
      <c r="C56" s="633"/>
      <c r="D56" s="633"/>
      <c r="E56" s="594"/>
      <c r="F56" s="594"/>
      <c r="G56" s="594"/>
      <c r="H56" s="594"/>
      <c r="I56" s="594"/>
      <c r="J56" s="635"/>
      <c r="K56" s="631">
        <f t="shared" si="55"/>
        <v>0</v>
      </c>
      <c r="L56" s="633"/>
      <c r="M56" s="633"/>
      <c r="N56" s="631">
        <f t="shared" si="56"/>
        <v>0</v>
      </c>
      <c r="O56" s="631">
        <f t="shared" si="57"/>
        <v>0</v>
      </c>
      <c r="P56" s="771">
        <f t="shared" si="58"/>
        <v>0</v>
      </c>
      <c r="Q56" s="634"/>
      <c r="R56" s="633"/>
      <c r="S56" s="632"/>
      <c r="T56" s="594"/>
      <c r="U56" s="594"/>
      <c r="V56" s="594"/>
      <c r="W56" s="594"/>
      <c r="X56" s="594"/>
      <c r="Y56" s="632"/>
      <c r="Z56" s="773">
        <f t="shared" si="59"/>
        <v>0</v>
      </c>
      <c r="AA56" s="633"/>
      <c r="AB56" s="632"/>
      <c r="AC56" s="631">
        <f t="shared" si="60"/>
        <v>0</v>
      </c>
      <c r="AD56" s="631">
        <f t="shared" si="61"/>
        <v>0</v>
      </c>
      <c r="AE56" s="771">
        <f t="shared" si="62"/>
        <v>0</v>
      </c>
      <c r="AF56" s="741">
        <f t="shared" si="63"/>
        <v>0</v>
      </c>
      <c r="AG56" s="630">
        <f t="shared" si="64"/>
        <v>0</v>
      </c>
      <c r="AH56" s="673"/>
      <c r="AI56" s="629"/>
    </row>
    <row r="57" spans="1:35" ht="14.25">
      <c r="A57" s="724" t="s">
        <v>7114</v>
      </c>
      <c r="B57" s="634">
        <v>3</v>
      </c>
      <c r="C57" s="633">
        <v>1121.81</v>
      </c>
      <c r="D57" s="633"/>
      <c r="E57" s="594"/>
      <c r="F57" s="594"/>
      <c r="G57" s="594"/>
      <c r="H57" s="594"/>
      <c r="I57" s="594"/>
      <c r="J57" s="635"/>
      <c r="K57" s="631">
        <f t="shared" si="55"/>
        <v>1121.81</v>
      </c>
      <c r="L57" s="633">
        <v>1000</v>
      </c>
      <c r="M57" s="633"/>
      <c r="N57" s="631">
        <f t="shared" si="56"/>
        <v>1000</v>
      </c>
      <c r="O57" s="631">
        <f t="shared" si="57"/>
        <v>14461.72</v>
      </c>
      <c r="P57" s="771">
        <f t="shared" si="58"/>
        <v>43385.159999999996</v>
      </c>
      <c r="Q57" s="634">
        <v>34</v>
      </c>
      <c r="R57" s="633">
        <v>1121.81</v>
      </c>
      <c r="S57" s="632"/>
      <c r="T57" s="594"/>
      <c r="U57" s="594"/>
      <c r="V57" s="594"/>
      <c r="W57" s="594"/>
      <c r="X57" s="594"/>
      <c r="Y57" s="632"/>
      <c r="Z57" s="773">
        <f t="shared" si="59"/>
        <v>1121.81</v>
      </c>
      <c r="AA57" s="633">
        <v>1000</v>
      </c>
      <c r="AB57" s="632"/>
      <c r="AC57" s="631">
        <f t="shared" si="60"/>
        <v>1000</v>
      </c>
      <c r="AD57" s="631">
        <f t="shared" si="61"/>
        <v>14461.72</v>
      </c>
      <c r="AE57" s="771">
        <f t="shared" si="62"/>
        <v>491698.48</v>
      </c>
      <c r="AF57" s="741">
        <f t="shared" si="63"/>
        <v>0</v>
      </c>
      <c r="AG57" s="630">
        <f t="shared" si="64"/>
        <v>448313.32</v>
      </c>
      <c r="AH57" s="673"/>
      <c r="AI57" s="629"/>
    </row>
    <row r="58" spans="1:35" ht="14.25">
      <c r="A58" s="724" t="s">
        <v>7113</v>
      </c>
      <c r="B58" s="634">
        <v>1</v>
      </c>
      <c r="C58" s="633">
        <v>1110.08</v>
      </c>
      <c r="D58" s="633"/>
      <c r="E58" s="594"/>
      <c r="F58" s="594"/>
      <c r="G58" s="594"/>
      <c r="H58" s="594"/>
      <c r="I58" s="594"/>
      <c r="J58" s="635"/>
      <c r="K58" s="631">
        <f t="shared" si="55"/>
        <v>1110.08</v>
      </c>
      <c r="L58" s="633">
        <v>1000</v>
      </c>
      <c r="M58" s="633"/>
      <c r="N58" s="631">
        <f t="shared" si="56"/>
        <v>1000</v>
      </c>
      <c r="O58" s="631">
        <f t="shared" si="57"/>
        <v>14320.96</v>
      </c>
      <c r="P58" s="771">
        <f t="shared" si="58"/>
        <v>14320.96</v>
      </c>
      <c r="Q58" s="637"/>
      <c r="R58" s="633"/>
      <c r="S58" s="632"/>
      <c r="T58" s="594"/>
      <c r="U58" s="594"/>
      <c r="V58" s="594"/>
      <c r="W58" s="594"/>
      <c r="X58" s="594"/>
      <c r="Y58" s="632"/>
      <c r="Z58" s="773">
        <f t="shared" si="59"/>
        <v>0</v>
      </c>
      <c r="AA58" s="633">
        <v>1000</v>
      </c>
      <c r="AB58" s="632"/>
      <c r="AC58" s="631">
        <f t="shared" si="60"/>
        <v>1000</v>
      </c>
      <c r="AD58" s="631">
        <f t="shared" si="61"/>
        <v>1000</v>
      </c>
      <c r="AE58" s="771">
        <f t="shared" si="62"/>
        <v>0</v>
      </c>
      <c r="AF58" s="741">
        <f t="shared" si="63"/>
        <v>-13320.96</v>
      </c>
      <c r="AG58" s="630">
        <f t="shared" si="64"/>
        <v>-14320.96</v>
      </c>
      <c r="AH58" s="673"/>
      <c r="AI58" s="629"/>
    </row>
    <row r="59" spans="1:35" ht="14.25">
      <c r="A59" s="724" t="s">
        <v>7112</v>
      </c>
      <c r="B59" s="634">
        <v>1</v>
      </c>
      <c r="C59" s="633">
        <v>1105.6199999999999</v>
      </c>
      <c r="D59" s="633"/>
      <c r="E59" s="594"/>
      <c r="F59" s="594"/>
      <c r="G59" s="594"/>
      <c r="H59" s="594"/>
      <c r="I59" s="594"/>
      <c r="J59" s="635"/>
      <c r="K59" s="631">
        <f t="shared" si="55"/>
        <v>1105.6199999999999</v>
      </c>
      <c r="L59" s="633">
        <v>1000</v>
      </c>
      <c r="M59" s="633"/>
      <c r="N59" s="631">
        <f t="shared" si="56"/>
        <v>1000</v>
      </c>
      <c r="O59" s="631">
        <f t="shared" si="57"/>
        <v>14267.439999999999</v>
      </c>
      <c r="P59" s="771">
        <f t="shared" si="58"/>
        <v>14267.439999999999</v>
      </c>
      <c r="Q59" s="637"/>
      <c r="R59" s="633"/>
      <c r="S59" s="632"/>
      <c r="T59" s="594"/>
      <c r="U59" s="594"/>
      <c r="V59" s="594"/>
      <c r="W59" s="594"/>
      <c r="X59" s="594"/>
      <c r="Y59" s="632"/>
      <c r="Z59" s="773">
        <f t="shared" si="59"/>
        <v>0</v>
      </c>
      <c r="AA59" s="633">
        <v>1000</v>
      </c>
      <c r="AB59" s="632"/>
      <c r="AC59" s="631">
        <f t="shared" si="60"/>
        <v>1000</v>
      </c>
      <c r="AD59" s="631">
        <f t="shared" si="61"/>
        <v>1000</v>
      </c>
      <c r="AE59" s="771">
        <f t="shared" si="62"/>
        <v>0</v>
      </c>
      <c r="AF59" s="741">
        <f t="shared" si="63"/>
        <v>-13267.439999999999</v>
      </c>
      <c r="AG59" s="630">
        <f t="shared" si="64"/>
        <v>-14267.439999999999</v>
      </c>
      <c r="AH59" s="673"/>
      <c r="AI59" s="629"/>
    </row>
    <row r="60" spans="1:35" ht="40.5">
      <c r="A60" s="725" t="s">
        <v>7111</v>
      </c>
      <c r="B60" s="764">
        <f>SUM(B61:B72)</f>
        <v>341</v>
      </c>
      <c r="C60" s="765"/>
      <c r="D60" s="765"/>
      <c r="E60" s="765"/>
      <c r="F60" s="765"/>
      <c r="G60" s="765"/>
      <c r="H60" s="765"/>
      <c r="I60" s="765"/>
      <c r="J60" s="766"/>
      <c r="K60" s="642">
        <f t="shared" ref="K60:Q60" si="65">SUM(K61:K72)</f>
        <v>9495.81</v>
      </c>
      <c r="L60" s="765">
        <f t="shared" si="65"/>
        <v>10000</v>
      </c>
      <c r="M60" s="765">
        <f t="shared" si="65"/>
        <v>0</v>
      </c>
      <c r="N60" s="642">
        <f t="shared" si="65"/>
        <v>10000</v>
      </c>
      <c r="O60" s="642">
        <f t="shared" si="65"/>
        <v>123949.72</v>
      </c>
      <c r="P60" s="641">
        <f t="shared" si="65"/>
        <v>5015886.68</v>
      </c>
      <c r="Q60" s="764">
        <f t="shared" si="65"/>
        <v>239</v>
      </c>
      <c r="R60" s="765"/>
      <c r="S60" s="765"/>
      <c r="T60" s="765"/>
      <c r="U60" s="765"/>
      <c r="V60" s="765"/>
      <c r="W60" s="765"/>
      <c r="X60" s="765"/>
      <c r="Y60" s="765">
        <f t="shared" ref="Y60:AI60" si="66">SUM(Y61:Y72)</f>
        <v>0</v>
      </c>
      <c r="Z60" s="765">
        <f t="shared" si="66"/>
        <v>9495.81</v>
      </c>
      <c r="AA60" s="765">
        <f t="shared" si="66"/>
        <v>10000</v>
      </c>
      <c r="AB60" s="765">
        <f t="shared" si="66"/>
        <v>0</v>
      </c>
      <c r="AC60" s="642">
        <f t="shared" si="66"/>
        <v>10000</v>
      </c>
      <c r="AD60" s="642">
        <f t="shared" si="66"/>
        <v>123949.72</v>
      </c>
      <c r="AE60" s="641">
        <f t="shared" si="66"/>
        <v>3386907.4400000004</v>
      </c>
      <c r="AF60" s="767">
        <f t="shared" si="66"/>
        <v>0</v>
      </c>
      <c r="AG60" s="768">
        <f t="shared" si="66"/>
        <v>-1628979.2400000005</v>
      </c>
      <c r="AH60" s="769">
        <f t="shared" si="66"/>
        <v>341</v>
      </c>
      <c r="AI60" s="638">
        <f t="shared" si="66"/>
        <v>4933009.16</v>
      </c>
    </row>
    <row r="61" spans="1:35" ht="40.5">
      <c r="A61" s="727" t="s">
        <v>7110</v>
      </c>
      <c r="B61" s="634"/>
      <c r="C61" s="787"/>
      <c r="D61" s="633"/>
      <c r="E61" s="594"/>
      <c r="F61" s="594"/>
      <c r="G61" s="594"/>
      <c r="H61" s="594"/>
      <c r="I61" s="594"/>
      <c r="J61" s="635"/>
      <c r="K61" s="631">
        <f t="shared" ref="K61:K72" si="67">SUM(C61:J61)</f>
        <v>0</v>
      </c>
      <c r="L61" s="633"/>
      <c r="M61" s="633"/>
      <c r="N61" s="631">
        <f t="shared" ref="N61:N72" si="68">SUM(L61:M61)</f>
        <v>0</v>
      </c>
      <c r="O61" s="631">
        <f t="shared" ref="O61:O72" si="69">(K61*12)+N61</f>
        <v>0</v>
      </c>
      <c r="P61" s="771">
        <f t="shared" ref="P61:P72" si="70">O61*B61</f>
        <v>0</v>
      </c>
      <c r="Q61" s="637"/>
      <c r="R61" s="788"/>
      <c r="S61" s="632"/>
      <c r="T61" s="594"/>
      <c r="U61" s="594"/>
      <c r="V61" s="594"/>
      <c r="W61" s="594"/>
      <c r="X61" s="594"/>
      <c r="Y61" s="632"/>
      <c r="Z61" s="773">
        <f t="shared" ref="Z61:Z72" si="71">SUM(R61:Y61)</f>
        <v>0</v>
      </c>
      <c r="AA61" s="633"/>
      <c r="AB61" s="632"/>
      <c r="AC61" s="631">
        <f t="shared" ref="AC61:AC72" si="72">SUM(AA61:AB61)</f>
        <v>0</v>
      </c>
      <c r="AD61" s="631">
        <f t="shared" ref="AD61:AD72" si="73">(Z61*12)+AC61</f>
        <v>0</v>
      </c>
      <c r="AE61" s="771">
        <f t="shared" ref="AE61:AE72" si="74">AD61*Q61</f>
        <v>0</v>
      </c>
      <c r="AF61" s="741">
        <f t="shared" ref="AF61:AF72" si="75">AD61-O61</f>
        <v>0</v>
      </c>
      <c r="AG61" s="630">
        <f t="shared" ref="AG61:AG72" si="76">AE61-P61</f>
        <v>0</v>
      </c>
      <c r="AH61" s="789"/>
      <c r="AI61" s="629"/>
    </row>
    <row r="62" spans="1:35" ht="28.5">
      <c r="A62" s="724" t="s">
        <v>7109</v>
      </c>
      <c r="B62" s="634">
        <v>104</v>
      </c>
      <c r="C62" s="770">
        <v>1337.31</v>
      </c>
      <c r="D62" s="633"/>
      <c r="E62" s="594"/>
      <c r="F62" s="594"/>
      <c r="G62" s="594"/>
      <c r="H62" s="594"/>
      <c r="I62" s="594"/>
      <c r="J62" s="635"/>
      <c r="K62" s="631">
        <f t="shared" si="67"/>
        <v>1337.31</v>
      </c>
      <c r="L62" s="633">
        <v>1000</v>
      </c>
      <c r="M62" s="633"/>
      <c r="N62" s="631">
        <f t="shared" si="68"/>
        <v>1000</v>
      </c>
      <c r="O62" s="631">
        <f t="shared" si="69"/>
        <v>17047.72</v>
      </c>
      <c r="P62" s="771">
        <f t="shared" si="70"/>
        <v>1772962.8800000001</v>
      </c>
      <c r="Q62" s="772">
        <v>61</v>
      </c>
      <c r="R62" s="770">
        <v>1337.31</v>
      </c>
      <c r="S62" s="632"/>
      <c r="T62" s="594"/>
      <c r="U62" s="594"/>
      <c r="V62" s="594"/>
      <c r="W62" s="594"/>
      <c r="X62" s="594"/>
      <c r="Y62" s="632"/>
      <c r="Z62" s="773">
        <f t="shared" si="71"/>
        <v>1337.31</v>
      </c>
      <c r="AA62" s="633">
        <v>1000</v>
      </c>
      <c r="AB62" s="632"/>
      <c r="AC62" s="631">
        <f t="shared" si="72"/>
        <v>1000</v>
      </c>
      <c r="AD62" s="631">
        <f t="shared" si="73"/>
        <v>17047.72</v>
      </c>
      <c r="AE62" s="771">
        <f t="shared" si="74"/>
        <v>1039910.92</v>
      </c>
      <c r="AF62" s="741">
        <f t="shared" si="75"/>
        <v>0</v>
      </c>
      <c r="AG62" s="630">
        <f t="shared" si="76"/>
        <v>-733051.96000000008</v>
      </c>
      <c r="AH62" s="775">
        <v>88</v>
      </c>
      <c r="AI62" s="672">
        <v>1500199.3599999999</v>
      </c>
    </row>
    <row r="63" spans="1:35" ht="28.5">
      <c r="A63" s="724" t="s">
        <v>7108</v>
      </c>
      <c r="B63" s="634">
        <v>105</v>
      </c>
      <c r="C63" s="770">
        <v>1033.83</v>
      </c>
      <c r="D63" s="633"/>
      <c r="E63" s="594"/>
      <c r="F63" s="594"/>
      <c r="G63" s="594"/>
      <c r="H63" s="594"/>
      <c r="I63" s="594"/>
      <c r="J63" s="635"/>
      <c r="K63" s="631">
        <f t="shared" si="67"/>
        <v>1033.83</v>
      </c>
      <c r="L63" s="633">
        <v>1000</v>
      </c>
      <c r="M63" s="633"/>
      <c r="N63" s="631">
        <f t="shared" si="68"/>
        <v>1000</v>
      </c>
      <c r="O63" s="631">
        <f t="shared" si="69"/>
        <v>13405.96</v>
      </c>
      <c r="P63" s="771">
        <f t="shared" si="70"/>
        <v>1407625.7999999998</v>
      </c>
      <c r="Q63" s="772">
        <v>58</v>
      </c>
      <c r="R63" s="770">
        <v>1033.83</v>
      </c>
      <c r="S63" s="632"/>
      <c r="T63" s="594"/>
      <c r="U63" s="594"/>
      <c r="V63" s="594"/>
      <c r="W63" s="594"/>
      <c r="X63" s="594"/>
      <c r="Y63" s="632"/>
      <c r="Z63" s="773">
        <f t="shared" si="71"/>
        <v>1033.83</v>
      </c>
      <c r="AA63" s="633">
        <v>1000</v>
      </c>
      <c r="AB63" s="632"/>
      <c r="AC63" s="631">
        <f t="shared" si="72"/>
        <v>1000</v>
      </c>
      <c r="AD63" s="631">
        <f t="shared" si="73"/>
        <v>13405.96</v>
      </c>
      <c r="AE63" s="771">
        <f t="shared" si="74"/>
        <v>777545.67999999993</v>
      </c>
      <c r="AF63" s="741">
        <f t="shared" si="75"/>
        <v>0</v>
      </c>
      <c r="AG63" s="630">
        <f t="shared" si="76"/>
        <v>-630080.11999999988</v>
      </c>
      <c r="AH63" s="775">
        <v>89</v>
      </c>
      <c r="AI63" s="672">
        <v>1193130.44</v>
      </c>
    </row>
    <row r="64" spans="1:35" ht="28.5">
      <c r="A64" s="724" t="s">
        <v>7107</v>
      </c>
      <c r="B64" s="634">
        <v>11</v>
      </c>
      <c r="C64" s="770">
        <v>885.59999999999991</v>
      </c>
      <c r="D64" s="633"/>
      <c r="E64" s="594"/>
      <c r="F64" s="594"/>
      <c r="G64" s="594"/>
      <c r="H64" s="594"/>
      <c r="I64" s="594"/>
      <c r="J64" s="635"/>
      <c r="K64" s="631">
        <f t="shared" si="67"/>
        <v>885.59999999999991</v>
      </c>
      <c r="L64" s="633">
        <v>1000</v>
      </c>
      <c r="M64" s="633"/>
      <c r="N64" s="631">
        <f t="shared" si="68"/>
        <v>1000</v>
      </c>
      <c r="O64" s="631">
        <f t="shared" si="69"/>
        <v>11627.199999999999</v>
      </c>
      <c r="P64" s="771">
        <f t="shared" si="70"/>
        <v>127899.19999999998</v>
      </c>
      <c r="Q64" s="772">
        <v>8</v>
      </c>
      <c r="R64" s="770">
        <v>885.59999999999991</v>
      </c>
      <c r="S64" s="632"/>
      <c r="T64" s="594"/>
      <c r="U64" s="594"/>
      <c r="V64" s="594"/>
      <c r="W64" s="594"/>
      <c r="X64" s="594"/>
      <c r="Y64" s="632"/>
      <c r="Z64" s="773">
        <f t="shared" si="71"/>
        <v>885.59999999999991</v>
      </c>
      <c r="AA64" s="633">
        <v>1000</v>
      </c>
      <c r="AB64" s="632"/>
      <c r="AC64" s="631">
        <f t="shared" si="72"/>
        <v>1000</v>
      </c>
      <c r="AD64" s="631">
        <f t="shared" si="73"/>
        <v>11627.199999999999</v>
      </c>
      <c r="AE64" s="771">
        <f t="shared" si="74"/>
        <v>93017.599999999991</v>
      </c>
      <c r="AF64" s="741">
        <f t="shared" si="75"/>
        <v>0</v>
      </c>
      <c r="AG64" s="630">
        <f t="shared" si="76"/>
        <v>-34881.599999999991</v>
      </c>
      <c r="AH64" s="775">
        <v>9</v>
      </c>
      <c r="AI64" s="672">
        <v>104644.79999999999</v>
      </c>
    </row>
    <row r="65" spans="1:35" ht="28.5">
      <c r="A65" s="724" t="s">
        <v>7106</v>
      </c>
      <c r="B65" s="634">
        <v>3</v>
      </c>
      <c r="C65" s="770">
        <v>687</v>
      </c>
      <c r="D65" s="633"/>
      <c r="E65" s="594"/>
      <c r="F65" s="594"/>
      <c r="G65" s="594"/>
      <c r="H65" s="594"/>
      <c r="I65" s="594"/>
      <c r="J65" s="635"/>
      <c r="K65" s="631">
        <f t="shared" si="67"/>
        <v>687</v>
      </c>
      <c r="L65" s="633">
        <v>1000</v>
      </c>
      <c r="M65" s="633"/>
      <c r="N65" s="631">
        <f t="shared" si="68"/>
        <v>1000</v>
      </c>
      <c r="O65" s="631">
        <f t="shared" si="69"/>
        <v>9244</v>
      </c>
      <c r="P65" s="771">
        <f t="shared" si="70"/>
        <v>27732</v>
      </c>
      <c r="Q65" s="772">
        <v>9</v>
      </c>
      <c r="R65" s="770">
        <v>687</v>
      </c>
      <c r="S65" s="632"/>
      <c r="T65" s="594"/>
      <c r="U65" s="594"/>
      <c r="V65" s="594"/>
      <c r="W65" s="594"/>
      <c r="X65" s="594"/>
      <c r="Y65" s="632"/>
      <c r="Z65" s="773">
        <f t="shared" si="71"/>
        <v>687</v>
      </c>
      <c r="AA65" s="633">
        <v>1000</v>
      </c>
      <c r="AB65" s="632"/>
      <c r="AC65" s="631">
        <f t="shared" si="72"/>
        <v>1000</v>
      </c>
      <c r="AD65" s="631">
        <f t="shared" si="73"/>
        <v>9244</v>
      </c>
      <c r="AE65" s="771">
        <f t="shared" si="74"/>
        <v>83196</v>
      </c>
      <c r="AF65" s="741">
        <f t="shared" si="75"/>
        <v>0</v>
      </c>
      <c r="AG65" s="630">
        <f t="shared" si="76"/>
        <v>55464</v>
      </c>
      <c r="AH65" s="775">
        <v>15</v>
      </c>
      <c r="AI65" s="672">
        <v>138660</v>
      </c>
    </row>
    <row r="66" spans="1:35" ht="40.5">
      <c r="A66" s="727" t="s">
        <v>7105</v>
      </c>
      <c r="B66" s="634"/>
      <c r="C66" s="770"/>
      <c r="D66" s="633"/>
      <c r="E66" s="594"/>
      <c r="F66" s="594"/>
      <c r="G66" s="594"/>
      <c r="H66" s="594"/>
      <c r="I66" s="594"/>
      <c r="J66" s="635"/>
      <c r="K66" s="631">
        <f t="shared" si="67"/>
        <v>0</v>
      </c>
      <c r="L66" s="633"/>
      <c r="M66" s="633"/>
      <c r="N66" s="631">
        <f t="shared" si="68"/>
        <v>0</v>
      </c>
      <c r="O66" s="631">
        <f t="shared" si="69"/>
        <v>0</v>
      </c>
      <c r="P66" s="771">
        <f t="shared" si="70"/>
        <v>0</v>
      </c>
      <c r="Q66" s="790"/>
      <c r="R66" s="770"/>
      <c r="S66" s="632"/>
      <c r="T66" s="594"/>
      <c r="U66" s="594"/>
      <c r="V66" s="594"/>
      <c r="W66" s="594"/>
      <c r="X66" s="594"/>
      <c r="Y66" s="632"/>
      <c r="Z66" s="773">
        <f t="shared" si="71"/>
        <v>0</v>
      </c>
      <c r="AA66" s="633"/>
      <c r="AB66" s="632"/>
      <c r="AC66" s="631">
        <f t="shared" si="72"/>
        <v>0</v>
      </c>
      <c r="AD66" s="631">
        <f t="shared" si="73"/>
        <v>0</v>
      </c>
      <c r="AE66" s="771">
        <f t="shared" si="74"/>
        <v>0</v>
      </c>
      <c r="AF66" s="741">
        <f t="shared" si="75"/>
        <v>0</v>
      </c>
      <c r="AG66" s="630">
        <f t="shared" si="76"/>
        <v>0</v>
      </c>
      <c r="AH66" s="775"/>
      <c r="AI66" s="672"/>
    </row>
    <row r="67" spans="1:35" ht="28.5">
      <c r="A67" s="724" t="s">
        <v>7104</v>
      </c>
      <c r="B67" s="634">
        <v>86</v>
      </c>
      <c r="C67" s="770">
        <v>1134.8499999999999</v>
      </c>
      <c r="D67" s="633"/>
      <c r="E67" s="594"/>
      <c r="F67" s="594"/>
      <c r="G67" s="594"/>
      <c r="H67" s="594"/>
      <c r="I67" s="594"/>
      <c r="J67" s="635"/>
      <c r="K67" s="631">
        <f t="shared" si="67"/>
        <v>1134.8499999999999</v>
      </c>
      <c r="L67" s="633">
        <v>1000</v>
      </c>
      <c r="M67" s="633"/>
      <c r="N67" s="631">
        <f t="shared" si="68"/>
        <v>1000</v>
      </c>
      <c r="O67" s="631">
        <f t="shared" si="69"/>
        <v>14618.199999999999</v>
      </c>
      <c r="P67" s="771">
        <f t="shared" si="70"/>
        <v>1257165.2</v>
      </c>
      <c r="Q67" s="772">
        <v>60</v>
      </c>
      <c r="R67" s="770">
        <v>1134.8499999999999</v>
      </c>
      <c r="S67" s="632"/>
      <c r="T67" s="594"/>
      <c r="U67" s="594"/>
      <c r="V67" s="594"/>
      <c r="W67" s="594"/>
      <c r="X67" s="594"/>
      <c r="Y67" s="632"/>
      <c r="Z67" s="773">
        <f t="shared" si="71"/>
        <v>1134.8499999999999</v>
      </c>
      <c r="AA67" s="633">
        <v>1000</v>
      </c>
      <c r="AB67" s="632"/>
      <c r="AC67" s="631">
        <f t="shared" si="72"/>
        <v>1000</v>
      </c>
      <c r="AD67" s="631">
        <f t="shared" si="73"/>
        <v>14618.199999999999</v>
      </c>
      <c r="AE67" s="771">
        <f t="shared" si="74"/>
        <v>877091.99999999988</v>
      </c>
      <c r="AF67" s="741">
        <f t="shared" si="75"/>
        <v>0</v>
      </c>
      <c r="AG67" s="630">
        <f t="shared" si="76"/>
        <v>-380073.20000000007</v>
      </c>
      <c r="AH67" s="775">
        <v>91</v>
      </c>
      <c r="AI67" s="672">
        <v>1330256.2</v>
      </c>
    </row>
    <row r="68" spans="1:35" ht="28.5">
      <c r="A68" s="724" t="s">
        <v>7103</v>
      </c>
      <c r="B68" s="634">
        <v>14</v>
      </c>
      <c r="C68" s="770">
        <v>1117.45</v>
      </c>
      <c r="D68" s="633"/>
      <c r="E68" s="594"/>
      <c r="F68" s="594"/>
      <c r="G68" s="594"/>
      <c r="H68" s="594"/>
      <c r="I68" s="594"/>
      <c r="J68" s="635"/>
      <c r="K68" s="631">
        <f t="shared" si="67"/>
        <v>1117.45</v>
      </c>
      <c r="L68" s="633">
        <v>1000</v>
      </c>
      <c r="M68" s="633"/>
      <c r="N68" s="631">
        <f t="shared" si="68"/>
        <v>1000</v>
      </c>
      <c r="O68" s="631">
        <f t="shared" si="69"/>
        <v>14409.400000000001</v>
      </c>
      <c r="P68" s="771">
        <f t="shared" si="70"/>
        <v>201731.60000000003</v>
      </c>
      <c r="Q68" s="772">
        <v>10</v>
      </c>
      <c r="R68" s="770">
        <v>1117.45</v>
      </c>
      <c r="S68" s="632"/>
      <c r="T68" s="594"/>
      <c r="U68" s="594"/>
      <c r="V68" s="594"/>
      <c r="W68" s="594"/>
      <c r="X68" s="594"/>
      <c r="Y68" s="632"/>
      <c r="Z68" s="773">
        <f t="shared" si="71"/>
        <v>1117.45</v>
      </c>
      <c r="AA68" s="633">
        <v>1000</v>
      </c>
      <c r="AB68" s="632"/>
      <c r="AC68" s="631">
        <f t="shared" si="72"/>
        <v>1000</v>
      </c>
      <c r="AD68" s="631">
        <f t="shared" si="73"/>
        <v>14409.400000000001</v>
      </c>
      <c r="AE68" s="771">
        <f t="shared" si="74"/>
        <v>144094</v>
      </c>
      <c r="AF68" s="741">
        <f t="shared" si="75"/>
        <v>0</v>
      </c>
      <c r="AG68" s="630">
        <f t="shared" si="76"/>
        <v>-57637.600000000035</v>
      </c>
      <c r="AH68" s="775">
        <v>22</v>
      </c>
      <c r="AI68" s="672">
        <v>317006.80000000005</v>
      </c>
    </row>
    <row r="69" spans="1:35" ht="28.5">
      <c r="A69" s="724" t="s">
        <v>7102</v>
      </c>
      <c r="B69" s="634">
        <v>10</v>
      </c>
      <c r="C69" s="770">
        <v>1102.3699999999999</v>
      </c>
      <c r="D69" s="633"/>
      <c r="E69" s="594"/>
      <c r="F69" s="594"/>
      <c r="G69" s="594"/>
      <c r="H69" s="594"/>
      <c r="I69" s="594"/>
      <c r="J69" s="635"/>
      <c r="K69" s="631">
        <f t="shared" si="67"/>
        <v>1102.3699999999999</v>
      </c>
      <c r="L69" s="633">
        <v>1000</v>
      </c>
      <c r="M69" s="633"/>
      <c r="N69" s="631">
        <f t="shared" si="68"/>
        <v>1000</v>
      </c>
      <c r="O69" s="631">
        <f t="shared" si="69"/>
        <v>14228.439999999999</v>
      </c>
      <c r="P69" s="771">
        <f t="shared" si="70"/>
        <v>142284.4</v>
      </c>
      <c r="Q69" s="772">
        <v>11</v>
      </c>
      <c r="R69" s="770">
        <v>1102.3699999999999</v>
      </c>
      <c r="S69" s="632"/>
      <c r="T69" s="594"/>
      <c r="U69" s="594"/>
      <c r="V69" s="594"/>
      <c r="W69" s="594"/>
      <c r="X69" s="594"/>
      <c r="Y69" s="632"/>
      <c r="Z69" s="773">
        <f t="shared" si="71"/>
        <v>1102.3699999999999</v>
      </c>
      <c r="AA69" s="633">
        <v>1000</v>
      </c>
      <c r="AB69" s="632"/>
      <c r="AC69" s="631">
        <f t="shared" si="72"/>
        <v>1000</v>
      </c>
      <c r="AD69" s="631">
        <f t="shared" si="73"/>
        <v>14228.439999999999</v>
      </c>
      <c r="AE69" s="771">
        <f t="shared" si="74"/>
        <v>156512.84</v>
      </c>
      <c r="AF69" s="741">
        <f t="shared" si="75"/>
        <v>0</v>
      </c>
      <c r="AG69" s="630">
        <f t="shared" si="76"/>
        <v>14228.440000000002</v>
      </c>
      <c r="AH69" s="775">
        <v>19</v>
      </c>
      <c r="AI69" s="672">
        <v>270340.36</v>
      </c>
    </row>
    <row r="70" spans="1:35" ht="28.5">
      <c r="A70" s="724" t="s">
        <v>7101</v>
      </c>
      <c r="B70" s="634">
        <v>4</v>
      </c>
      <c r="C70" s="770">
        <v>737.2</v>
      </c>
      <c r="D70" s="633"/>
      <c r="E70" s="594"/>
      <c r="F70" s="594"/>
      <c r="G70" s="594"/>
      <c r="H70" s="594"/>
      <c r="I70" s="594"/>
      <c r="J70" s="635"/>
      <c r="K70" s="631">
        <f t="shared" si="67"/>
        <v>737.2</v>
      </c>
      <c r="L70" s="633">
        <v>1000</v>
      </c>
      <c r="M70" s="633"/>
      <c r="N70" s="631">
        <f t="shared" si="68"/>
        <v>1000</v>
      </c>
      <c r="O70" s="631">
        <f t="shared" si="69"/>
        <v>9846.4000000000015</v>
      </c>
      <c r="P70" s="771">
        <f t="shared" si="70"/>
        <v>39385.600000000006</v>
      </c>
      <c r="Q70" s="772">
        <v>8</v>
      </c>
      <c r="R70" s="770">
        <v>737.2</v>
      </c>
      <c r="S70" s="632"/>
      <c r="T70" s="594"/>
      <c r="U70" s="594"/>
      <c r="V70" s="594"/>
      <c r="W70" s="594"/>
      <c r="X70" s="594"/>
      <c r="Y70" s="632"/>
      <c r="Z70" s="773">
        <f t="shared" si="71"/>
        <v>737.2</v>
      </c>
      <c r="AA70" s="633">
        <v>1000</v>
      </c>
      <c r="AB70" s="632"/>
      <c r="AC70" s="631">
        <f t="shared" si="72"/>
        <v>1000</v>
      </c>
      <c r="AD70" s="631">
        <f t="shared" si="73"/>
        <v>9846.4000000000015</v>
      </c>
      <c r="AE70" s="771">
        <f t="shared" si="74"/>
        <v>78771.200000000012</v>
      </c>
      <c r="AF70" s="741">
        <f t="shared" si="75"/>
        <v>0</v>
      </c>
      <c r="AG70" s="630">
        <f t="shared" si="76"/>
        <v>39385.600000000006</v>
      </c>
      <c r="AH70" s="775">
        <v>8</v>
      </c>
      <c r="AI70" s="672">
        <v>78771.200000000012</v>
      </c>
    </row>
    <row r="71" spans="1:35" ht="28.5">
      <c r="A71" s="724" t="s">
        <v>7100</v>
      </c>
      <c r="B71" s="634">
        <v>3</v>
      </c>
      <c r="C71" s="770">
        <v>732.4</v>
      </c>
      <c r="D71" s="633"/>
      <c r="E71" s="594"/>
      <c r="F71" s="594"/>
      <c r="G71" s="594"/>
      <c r="H71" s="594"/>
      <c r="I71" s="594"/>
      <c r="J71" s="635"/>
      <c r="K71" s="631">
        <f t="shared" si="67"/>
        <v>732.4</v>
      </c>
      <c r="L71" s="633">
        <v>1000</v>
      </c>
      <c r="M71" s="633"/>
      <c r="N71" s="631">
        <f t="shared" si="68"/>
        <v>1000</v>
      </c>
      <c r="O71" s="631">
        <f t="shared" si="69"/>
        <v>9788.7999999999993</v>
      </c>
      <c r="P71" s="771">
        <f t="shared" si="70"/>
        <v>29366.399999999998</v>
      </c>
      <c r="Q71" s="772">
        <v>9</v>
      </c>
      <c r="R71" s="770">
        <v>732.4</v>
      </c>
      <c r="S71" s="632"/>
      <c r="T71" s="594"/>
      <c r="U71" s="594"/>
      <c r="V71" s="594"/>
      <c r="W71" s="594"/>
      <c r="X71" s="594"/>
      <c r="Y71" s="632"/>
      <c r="Z71" s="773">
        <f t="shared" si="71"/>
        <v>732.4</v>
      </c>
      <c r="AA71" s="633">
        <v>1000</v>
      </c>
      <c r="AB71" s="632"/>
      <c r="AC71" s="631">
        <f t="shared" si="72"/>
        <v>1000</v>
      </c>
      <c r="AD71" s="631">
        <f t="shared" si="73"/>
        <v>9788.7999999999993</v>
      </c>
      <c r="AE71" s="771">
        <f t="shared" si="74"/>
        <v>88099.199999999997</v>
      </c>
      <c r="AF71" s="741">
        <f t="shared" si="75"/>
        <v>0</v>
      </c>
      <c r="AG71" s="630">
        <f t="shared" si="76"/>
        <v>58732.800000000003</v>
      </c>
      <c r="AH71" s="774"/>
      <c r="AI71" s="672">
        <v>0</v>
      </c>
    </row>
    <row r="72" spans="1:35" ht="28.5">
      <c r="A72" s="724" t="s">
        <v>7099</v>
      </c>
      <c r="B72" s="634">
        <v>1</v>
      </c>
      <c r="C72" s="770">
        <v>727.8</v>
      </c>
      <c r="D72" s="633"/>
      <c r="E72" s="594"/>
      <c r="F72" s="594"/>
      <c r="G72" s="594"/>
      <c r="H72" s="594"/>
      <c r="I72" s="594"/>
      <c r="J72" s="635"/>
      <c r="K72" s="631">
        <f t="shared" si="67"/>
        <v>727.8</v>
      </c>
      <c r="L72" s="633">
        <v>1000</v>
      </c>
      <c r="M72" s="633"/>
      <c r="N72" s="631">
        <f t="shared" si="68"/>
        <v>1000</v>
      </c>
      <c r="O72" s="631">
        <f t="shared" si="69"/>
        <v>9733.5999999999985</v>
      </c>
      <c r="P72" s="771">
        <f t="shared" si="70"/>
        <v>9733.5999999999985</v>
      </c>
      <c r="Q72" s="772">
        <v>5</v>
      </c>
      <c r="R72" s="770">
        <v>727.8</v>
      </c>
      <c r="S72" s="632"/>
      <c r="T72" s="594"/>
      <c r="U72" s="594"/>
      <c r="V72" s="594"/>
      <c r="W72" s="594"/>
      <c r="X72" s="594"/>
      <c r="Y72" s="632"/>
      <c r="Z72" s="773">
        <f t="shared" si="71"/>
        <v>727.8</v>
      </c>
      <c r="AA72" s="633">
        <v>1000</v>
      </c>
      <c r="AB72" s="632"/>
      <c r="AC72" s="631">
        <f t="shared" si="72"/>
        <v>1000</v>
      </c>
      <c r="AD72" s="631">
        <f t="shared" si="73"/>
        <v>9733.5999999999985</v>
      </c>
      <c r="AE72" s="771">
        <f t="shared" si="74"/>
        <v>48667.999999999993</v>
      </c>
      <c r="AF72" s="741">
        <f t="shared" si="75"/>
        <v>0</v>
      </c>
      <c r="AG72" s="630">
        <f t="shared" si="76"/>
        <v>38934.399999999994</v>
      </c>
      <c r="AH72" s="774"/>
      <c r="AI72" s="672">
        <v>0</v>
      </c>
    </row>
    <row r="73" spans="1:35" ht="27">
      <c r="A73" s="726" t="s">
        <v>7019</v>
      </c>
      <c r="B73" s="778">
        <f>+B74+B82+B89+B97+B104+B111+B118+B125+B144</f>
        <v>2547</v>
      </c>
      <c r="C73" s="779"/>
      <c r="D73" s="779"/>
      <c r="E73" s="779"/>
      <c r="F73" s="779"/>
      <c r="G73" s="779"/>
      <c r="H73" s="779"/>
      <c r="I73" s="779"/>
      <c r="J73" s="780"/>
      <c r="K73" s="781">
        <f t="shared" ref="K73:Q73" si="77">+K74+K82+K89+K97+K104+K111+K118+K125+K144</f>
        <v>238910.94033492281</v>
      </c>
      <c r="L73" s="779">
        <f t="shared" si="77"/>
        <v>56000</v>
      </c>
      <c r="M73" s="779">
        <f t="shared" si="77"/>
        <v>0</v>
      </c>
      <c r="N73" s="781">
        <f t="shared" si="77"/>
        <v>56000</v>
      </c>
      <c r="O73" s="781">
        <f t="shared" si="77"/>
        <v>2922931.2840190735</v>
      </c>
      <c r="P73" s="782">
        <f t="shared" si="77"/>
        <v>122255938.47513457</v>
      </c>
      <c r="Q73" s="778">
        <f t="shared" si="77"/>
        <v>2412</v>
      </c>
      <c r="R73" s="779"/>
      <c r="S73" s="779"/>
      <c r="T73" s="779"/>
      <c r="U73" s="779"/>
      <c r="V73" s="779"/>
      <c r="W73" s="779"/>
      <c r="X73" s="779"/>
      <c r="Y73" s="779">
        <f t="shared" ref="Y73:AI73" si="78">+Y74+Y82+Y89+Y97+Y104+Y111+Y118+Y125+Y144</f>
        <v>24551.666025461374</v>
      </c>
      <c r="Z73" s="779">
        <f t="shared" si="78"/>
        <v>126583.66602546138</v>
      </c>
      <c r="AA73" s="779">
        <f t="shared" si="78"/>
        <v>62000</v>
      </c>
      <c r="AB73" s="779">
        <f t="shared" si="78"/>
        <v>0</v>
      </c>
      <c r="AC73" s="781">
        <f t="shared" si="78"/>
        <v>62000</v>
      </c>
      <c r="AD73" s="781">
        <f t="shared" si="78"/>
        <v>1581003.9923055368</v>
      </c>
      <c r="AE73" s="782">
        <f t="shared" si="78"/>
        <v>125154232.91830264</v>
      </c>
      <c r="AF73" s="783">
        <f t="shared" si="78"/>
        <v>-1341927.2917135372</v>
      </c>
      <c r="AG73" s="784">
        <f t="shared" si="78"/>
        <v>2898294.4431680939</v>
      </c>
      <c r="AH73" s="785">
        <f t="shared" si="78"/>
        <v>2481</v>
      </c>
      <c r="AI73" s="786">
        <f t="shared" si="78"/>
        <v>100917550</v>
      </c>
    </row>
    <row r="74" spans="1:35" ht="13.5">
      <c r="A74" s="725" t="s">
        <v>7098</v>
      </c>
      <c r="B74" s="644">
        <f>SUM(B75:B81)</f>
        <v>343</v>
      </c>
      <c r="C74" s="643"/>
      <c r="D74" s="643"/>
      <c r="E74" s="643"/>
      <c r="F74" s="643"/>
      <c r="G74" s="643"/>
      <c r="H74" s="643"/>
      <c r="I74" s="643"/>
      <c r="J74" s="645"/>
      <c r="K74" s="642">
        <f t="shared" ref="K74:Q74" si="79">SUM(K75:K81)</f>
        <v>49126.878965844415</v>
      </c>
      <c r="L74" s="643">
        <f t="shared" si="79"/>
        <v>7000</v>
      </c>
      <c r="M74" s="643">
        <f t="shared" si="79"/>
        <v>0</v>
      </c>
      <c r="N74" s="642">
        <f t="shared" si="79"/>
        <v>7000</v>
      </c>
      <c r="O74" s="642">
        <f t="shared" si="79"/>
        <v>596522.5475901328</v>
      </c>
      <c r="P74" s="641">
        <f t="shared" si="79"/>
        <v>28197237.929051239</v>
      </c>
      <c r="Q74" s="644">
        <f t="shared" si="79"/>
        <v>318</v>
      </c>
      <c r="R74" s="643"/>
      <c r="S74" s="643"/>
      <c r="T74" s="643"/>
      <c r="U74" s="643"/>
      <c r="V74" s="643"/>
      <c r="W74" s="643"/>
      <c r="X74" s="643"/>
      <c r="Y74" s="643">
        <f t="shared" ref="Y74:AI74" si="80">SUM(Y75:Y81)</f>
        <v>9361.8789658444002</v>
      </c>
      <c r="Z74" s="643">
        <f t="shared" si="80"/>
        <v>52317.8789658444</v>
      </c>
      <c r="AA74" s="643">
        <f t="shared" si="80"/>
        <v>7000</v>
      </c>
      <c r="AB74" s="643">
        <f t="shared" si="80"/>
        <v>0</v>
      </c>
      <c r="AC74" s="642">
        <f t="shared" si="80"/>
        <v>7000</v>
      </c>
      <c r="AD74" s="642">
        <f t="shared" si="80"/>
        <v>634814.54759013292</v>
      </c>
      <c r="AE74" s="641">
        <f t="shared" si="80"/>
        <v>27811650.170815937</v>
      </c>
      <c r="AF74" s="640">
        <f t="shared" si="80"/>
        <v>38291.999999999971</v>
      </c>
      <c r="AG74" s="581">
        <f t="shared" si="80"/>
        <v>-385587.7582352953</v>
      </c>
      <c r="AH74" s="639">
        <f t="shared" si="80"/>
        <v>336</v>
      </c>
      <c r="AI74" s="638">
        <f t="shared" si="80"/>
        <v>23963880</v>
      </c>
    </row>
    <row r="75" spans="1:35" ht="14.25">
      <c r="A75" s="724">
        <v>5</v>
      </c>
      <c r="B75" s="656">
        <v>11</v>
      </c>
      <c r="C75" s="655">
        <v>6583</v>
      </c>
      <c r="D75" s="655"/>
      <c r="E75" s="594"/>
      <c r="F75" s="594"/>
      <c r="G75" s="594"/>
      <c r="H75" s="594"/>
      <c r="I75" s="594"/>
      <c r="J75" s="657">
        <v>1384.67</v>
      </c>
      <c r="K75" s="631">
        <f t="shared" ref="K75:K81" si="81">SUM(C75:J75)</f>
        <v>7967.67</v>
      </c>
      <c r="L75" s="655">
        <v>1000</v>
      </c>
      <c r="M75" s="655"/>
      <c r="N75" s="631">
        <f t="shared" ref="N75:N81" si="82">SUM(L75:M75)</f>
        <v>1000</v>
      </c>
      <c r="O75" s="631">
        <f t="shared" ref="O75:O81" si="83">(K75*12)+N75</f>
        <v>96612.040000000008</v>
      </c>
      <c r="P75" s="771">
        <f t="shared" ref="P75:P81" si="84">O75*B75</f>
        <v>1062732.4400000002</v>
      </c>
      <c r="Q75" s="656">
        <v>12</v>
      </c>
      <c r="R75" s="655">
        <v>7266</v>
      </c>
      <c r="S75" s="654"/>
      <c r="T75" s="594"/>
      <c r="U75" s="594"/>
      <c r="V75" s="594"/>
      <c r="W75" s="594"/>
      <c r="X75" s="594"/>
      <c r="Y75" s="655">
        <v>1384.67</v>
      </c>
      <c r="Z75" s="773">
        <f t="shared" ref="Z75:Z81" si="85">SUM(R75:Y75)</f>
        <v>8650.67</v>
      </c>
      <c r="AA75" s="655">
        <v>1000</v>
      </c>
      <c r="AB75" s="655"/>
      <c r="AC75" s="631">
        <f t="shared" ref="AC75:AC81" si="86">SUM(AA75:AB75)</f>
        <v>1000</v>
      </c>
      <c r="AD75" s="631">
        <f t="shared" ref="AD75:AD81" si="87">(Z75*12)+AC75</f>
        <v>104808.04000000001</v>
      </c>
      <c r="AE75" s="771">
        <f t="shared" ref="AE75:AE81" si="88">AD75*Q75</f>
        <v>1257696.48</v>
      </c>
      <c r="AF75" s="741">
        <f t="shared" ref="AF75:AG81" si="89">AD75-O75</f>
        <v>8196</v>
      </c>
      <c r="AG75" s="630">
        <f t="shared" si="89"/>
        <v>194964.0399999998</v>
      </c>
      <c r="AH75" s="653">
        <v>12</v>
      </c>
      <c r="AI75" s="668">
        <v>1058304</v>
      </c>
    </row>
    <row r="76" spans="1:35" ht="14.25">
      <c r="A76" s="724">
        <v>4</v>
      </c>
      <c r="B76" s="656">
        <v>17</v>
      </c>
      <c r="C76" s="655">
        <v>6212.6</v>
      </c>
      <c r="D76" s="655"/>
      <c r="E76" s="594"/>
      <c r="F76" s="594"/>
      <c r="G76" s="594"/>
      <c r="H76" s="594"/>
      <c r="I76" s="594"/>
      <c r="J76" s="657">
        <v>1479.825</v>
      </c>
      <c r="K76" s="631">
        <f t="shared" si="81"/>
        <v>7692.4250000000002</v>
      </c>
      <c r="L76" s="655">
        <v>1000</v>
      </c>
      <c r="M76" s="655"/>
      <c r="N76" s="631">
        <f t="shared" si="82"/>
        <v>1000</v>
      </c>
      <c r="O76" s="631">
        <f t="shared" si="83"/>
        <v>93309.1</v>
      </c>
      <c r="P76" s="771">
        <f t="shared" si="84"/>
        <v>1586254.7000000002</v>
      </c>
      <c r="Q76" s="656">
        <v>17</v>
      </c>
      <c r="R76" s="655">
        <v>6826</v>
      </c>
      <c r="S76" s="654"/>
      <c r="T76" s="594"/>
      <c r="U76" s="594"/>
      <c r="V76" s="594"/>
      <c r="W76" s="594"/>
      <c r="X76" s="594"/>
      <c r="Y76" s="655">
        <v>1479.825</v>
      </c>
      <c r="Z76" s="773">
        <f t="shared" si="85"/>
        <v>8305.8250000000007</v>
      </c>
      <c r="AA76" s="655">
        <v>1000</v>
      </c>
      <c r="AB76" s="655"/>
      <c r="AC76" s="631">
        <f t="shared" si="86"/>
        <v>1000</v>
      </c>
      <c r="AD76" s="631">
        <f t="shared" si="87"/>
        <v>100669.90000000001</v>
      </c>
      <c r="AE76" s="771">
        <f t="shared" si="88"/>
        <v>1711388.3</v>
      </c>
      <c r="AF76" s="741">
        <f t="shared" si="89"/>
        <v>7360.8000000000029</v>
      </c>
      <c r="AG76" s="630">
        <f t="shared" si="89"/>
        <v>125133.59999999986</v>
      </c>
      <c r="AH76" s="653">
        <v>17</v>
      </c>
      <c r="AI76" s="668">
        <v>1409504</v>
      </c>
    </row>
    <row r="77" spans="1:35" ht="14.25">
      <c r="A77" s="724">
        <v>3</v>
      </c>
      <c r="B77" s="656">
        <v>58</v>
      </c>
      <c r="C77" s="655">
        <v>5834.6</v>
      </c>
      <c r="D77" s="655"/>
      <c r="E77" s="594"/>
      <c r="F77" s="594"/>
      <c r="G77" s="594"/>
      <c r="H77" s="594"/>
      <c r="I77" s="594"/>
      <c r="J77" s="657">
        <v>1551.1199462365591</v>
      </c>
      <c r="K77" s="631">
        <f t="shared" si="81"/>
        <v>7385.7199462365597</v>
      </c>
      <c r="L77" s="655">
        <v>1000</v>
      </c>
      <c r="M77" s="655"/>
      <c r="N77" s="631">
        <f t="shared" si="82"/>
        <v>1000</v>
      </c>
      <c r="O77" s="631">
        <f t="shared" si="83"/>
        <v>89628.639354838713</v>
      </c>
      <c r="P77" s="771">
        <f t="shared" si="84"/>
        <v>5198461.0825806456</v>
      </c>
      <c r="Q77" s="656">
        <v>58</v>
      </c>
      <c r="R77" s="655">
        <v>6336</v>
      </c>
      <c r="S77" s="654"/>
      <c r="T77" s="594"/>
      <c r="U77" s="594"/>
      <c r="V77" s="594"/>
      <c r="W77" s="594"/>
      <c r="X77" s="594"/>
      <c r="Y77" s="655">
        <v>1551.1199462365591</v>
      </c>
      <c r="Z77" s="773">
        <f t="shared" si="85"/>
        <v>7887.1199462365594</v>
      </c>
      <c r="AA77" s="655">
        <v>1000</v>
      </c>
      <c r="AB77" s="655"/>
      <c r="AC77" s="631">
        <f t="shared" si="86"/>
        <v>1000</v>
      </c>
      <c r="AD77" s="631">
        <f t="shared" si="87"/>
        <v>95645.439354838716</v>
      </c>
      <c r="AE77" s="771">
        <f t="shared" si="88"/>
        <v>5547435.4825806459</v>
      </c>
      <c r="AF77" s="741">
        <f t="shared" si="89"/>
        <v>6016.8000000000029</v>
      </c>
      <c r="AG77" s="630">
        <f t="shared" si="89"/>
        <v>348974.40000000037</v>
      </c>
      <c r="AH77" s="653">
        <v>58</v>
      </c>
      <c r="AI77" s="668">
        <v>4467856</v>
      </c>
    </row>
    <row r="78" spans="1:35" ht="14.25">
      <c r="A78" s="724">
        <v>2</v>
      </c>
      <c r="B78" s="656">
        <v>53</v>
      </c>
      <c r="C78" s="655">
        <v>5515</v>
      </c>
      <c r="D78" s="655"/>
      <c r="E78" s="594"/>
      <c r="F78" s="594"/>
      <c r="G78" s="594"/>
      <c r="H78" s="594"/>
      <c r="I78" s="594"/>
      <c r="J78" s="657">
        <v>1690.4123529411766</v>
      </c>
      <c r="K78" s="631">
        <f t="shared" si="81"/>
        <v>7205.4123529411763</v>
      </c>
      <c r="L78" s="655">
        <v>1000</v>
      </c>
      <c r="M78" s="655"/>
      <c r="N78" s="631">
        <f t="shared" si="82"/>
        <v>1000</v>
      </c>
      <c r="O78" s="631">
        <f t="shared" si="83"/>
        <v>87464.948235294112</v>
      </c>
      <c r="P78" s="771">
        <f t="shared" si="84"/>
        <v>4635642.256470588</v>
      </c>
      <c r="Q78" s="656">
        <v>52</v>
      </c>
      <c r="R78" s="655">
        <v>5932</v>
      </c>
      <c r="S78" s="654"/>
      <c r="T78" s="594"/>
      <c r="U78" s="594"/>
      <c r="V78" s="594"/>
      <c r="W78" s="594"/>
      <c r="X78" s="594"/>
      <c r="Y78" s="655">
        <v>1690.4123529411766</v>
      </c>
      <c r="Z78" s="773">
        <f t="shared" si="85"/>
        <v>7622.4123529411763</v>
      </c>
      <c r="AA78" s="655">
        <v>1000</v>
      </c>
      <c r="AB78" s="655"/>
      <c r="AC78" s="631">
        <f t="shared" si="86"/>
        <v>1000</v>
      </c>
      <c r="AD78" s="631">
        <f t="shared" si="87"/>
        <v>92468.948235294112</v>
      </c>
      <c r="AE78" s="771">
        <f t="shared" si="88"/>
        <v>4808385.3082352942</v>
      </c>
      <c r="AF78" s="741">
        <f t="shared" si="89"/>
        <v>5004</v>
      </c>
      <c r="AG78" s="630">
        <f t="shared" si="89"/>
        <v>172743.05176470615</v>
      </c>
      <c r="AH78" s="653">
        <v>52</v>
      </c>
      <c r="AI78" s="668">
        <v>3753568</v>
      </c>
    </row>
    <row r="79" spans="1:35" ht="14.25">
      <c r="A79" s="724">
        <v>1</v>
      </c>
      <c r="B79" s="656">
        <v>81</v>
      </c>
      <c r="C79" s="655">
        <v>5206.6000000000004</v>
      </c>
      <c r="D79" s="655"/>
      <c r="E79" s="594"/>
      <c r="F79" s="594"/>
      <c r="G79" s="594"/>
      <c r="H79" s="594"/>
      <c r="I79" s="594"/>
      <c r="J79" s="657">
        <v>1545.1799999999998</v>
      </c>
      <c r="K79" s="631">
        <f t="shared" si="81"/>
        <v>6751.7800000000007</v>
      </c>
      <c r="L79" s="655">
        <v>1000</v>
      </c>
      <c r="M79" s="655"/>
      <c r="N79" s="631">
        <f t="shared" si="82"/>
        <v>1000</v>
      </c>
      <c r="O79" s="631">
        <f t="shared" si="83"/>
        <v>82021.360000000015</v>
      </c>
      <c r="P79" s="771">
        <f t="shared" si="84"/>
        <v>6643730.1600000011</v>
      </c>
      <c r="Q79" s="656">
        <f>5+66</f>
        <v>71</v>
      </c>
      <c r="R79" s="655">
        <v>5532</v>
      </c>
      <c r="S79" s="654"/>
      <c r="T79" s="594"/>
      <c r="U79" s="594"/>
      <c r="V79" s="594"/>
      <c r="W79" s="594"/>
      <c r="X79" s="594"/>
      <c r="Y79" s="655">
        <v>1545.1799999999998</v>
      </c>
      <c r="Z79" s="773">
        <f t="shared" si="85"/>
        <v>7077.18</v>
      </c>
      <c r="AA79" s="655">
        <v>1000</v>
      </c>
      <c r="AB79" s="655"/>
      <c r="AC79" s="631">
        <f t="shared" si="86"/>
        <v>1000</v>
      </c>
      <c r="AD79" s="631">
        <f t="shared" si="87"/>
        <v>85926.16</v>
      </c>
      <c r="AE79" s="771">
        <f t="shared" si="88"/>
        <v>6100757.3600000003</v>
      </c>
      <c r="AF79" s="741">
        <f t="shared" si="89"/>
        <v>3904.7999999999884</v>
      </c>
      <c r="AG79" s="630">
        <f t="shared" si="89"/>
        <v>-542972.80000000075</v>
      </c>
      <c r="AH79" s="653">
        <v>72</v>
      </c>
      <c r="AI79" s="668">
        <v>4851648</v>
      </c>
    </row>
    <row r="80" spans="1:35" ht="14.25">
      <c r="A80" s="724" t="s">
        <v>7096</v>
      </c>
      <c r="B80" s="656">
        <v>28</v>
      </c>
      <c r="C80" s="655">
        <v>5206.6000000000004</v>
      </c>
      <c r="D80" s="655"/>
      <c r="E80" s="594"/>
      <c r="F80" s="594"/>
      <c r="G80" s="594"/>
      <c r="H80" s="594"/>
      <c r="I80" s="594"/>
      <c r="J80" s="657">
        <v>855.33583333333343</v>
      </c>
      <c r="K80" s="631">
        <f t="shared" si="81"/>
        <v>6061.9358333333339</v>
      </c>
      <c r="L80" s="655">
        <v>1000</v>
      </c>
      <c r="M80" s="655"/>
      <c r="N80" s="631">
        <f t="shared" si="82"/>
        <v>1000</v>
      </c>
      <c r="O80" s="631">
        <f t="shared" si="83"/>
        <v>73743.23000000001</v>
      </c>
      <c r="P80" s="771">
        <f t="shared" si="84"/>
        <v>2064810.4400000004</v>
      </c>
      <c r="Q80" s="656">
        <v>40</v>
      </c>
      <c r="R80" s="655">
        <v>5532</v>
      </c>
      <c r="S80" s="654"/>
      <c r="T80" s="594"/>
      <c r="U80" s="594"/>
      <c r="V80" s="594"/>
      <c r="W80" s="594"/>
      <c r="X80" s="594"/>
      <c r="Y80" s="655">
        <v>855.33583333333343</v>
      </c>
      <c r="Z80" s="773">
        <f t="shared" si="85"/>
        <v>6387.3358333333335</v>
      </c>
      <c r="AA80" s="655">
        <v>1000</v>
      </c>
      <c r="AB80" s="655"/>
      <c r="AC80" s="631">
        <f t="shared" si="86"/>
        <v>1000</v>
      </c>
      <c r="AD80" s="631">
        <f t="shared" si="87"/>
        <v>77648.03</v>
      </c>
      <c r="AE80" s="771">
        <f t="shared" si="88"/>
        <v>3105921.2</v>
      </c>
      <c r="AF80" s="741">
        <f t="shared" si="89"/>
        <v>3904.7999999999884</v>
      </c>
      <c r="AG80" s="630">
        <f t="shared" si="89"/>
        <v>1041110.7599999998</v>
      </c>
      <c r="AH80" s="653">
        <v>30</v>
      </c>
      <c r="AI80" s="668">
        <v>2021520</v>
      </c>
    </row>
    <row r="81" spans="1:35" ht="14.25">
      <c r="A81" s="724" t="s">
        <v>7091</v>
      </c>
      <c r="B81" s="656">
        <v>95</v>
      </c>
      <c r="C81" s="655">
        <v>5206.6000000000004</v>
      </c>
      <c r="D81" s="655"/>
      <c r="E81" s="594"/>
      <c r="F81" s="594"/>
      <c r="G81" s="594"/>
      <c r="H81" s="594"/>
      <c r="I81" s="594"/>
      <c r="J81" s="657">
        <v>855.33583333333343</v>
      </c>
      <c r="K81" s="631">
        <f t="shared" si="81"/>
        <v>6061.9358333333339</v>
      </c>
      <c r="L81" s="655">
        <v>1000</v>
      </c>
      <c r="M81" s="655"/>
      <c r="N81" s="631">
        <f t="shared" si="82"/>
        <v>1000</v>
      </c>
      <c r="O81" s="631">
        <f t="shared" si="83"/>
        <v>73743.23000000001</v>
      </c>
      <c r="P81" s="771">
        <f t="shared" si="84"/>
        <v>7005606.8500000006</v>
      </c>
      <c r="Q81" s="656">
        <v>68</v>
      </c>
      <c r="R81" s="655">
        <v>5532</v>
      </c>
      <c r="S81" s="654"/>
      <c r="T81" s="594"/>
      <c r="U81" s="594"/>
      <c r="V81" s="594"/>
      <c r="W81" s="594"/>
      <c r="X81" s="594"/>
      <c r="Y81" s="655">
        <v>855.33583333333343</v>
      </c>
      <c r="Z81" s="773">
        <f t="shared" si="85"/>
        <v>6387.3358333333335</v>
      </c>
      <c r="AA81" s="655">
        <v>1000</v>
      </c>
      <c r="AB81" s="655"/>
      <c r="AC81" s="631">
        <f t="shared" si="86"/>
        <v>1000</v>
      </c>
      <c r="AD81" s="631">
        <f t="shared" si="87"/>
        <v>77648.03</v>
      </c>
      <c r="AE81" s="771">
        <f t="shared" si="88"/>
        <v>5280066.04</v>
      </c>
      <c r="AF81" s="741">
        <f t="shared" si="89"/>
        <v>3904.7999999999884</v>
      </c>
      <c r="AG81" s="630">
        <f t="shared" si="89"/>
        <v>-1725540.8100000005</v>
      </c>
      <c r="AH81" s="653">
        <v>95</v>
      </c>
      <c r="AI81" s="668">
        <v>6401480</v>
      </c>
    </row>
    <row r="82" spans="1:35" ht="40.5">
      <c r="A82" s="725" t="s">
        <v>7097</v>
      </c>
      <c r="B82" s="764">
        <f>SUM(B83:B88)</f>
        <v>0</v>
      </c>
      <c r="C82" s="765"/>
      <c r="D82" s="765"/>
      <c r="E82" s="765"/>
      <c r="F82" s="765"/>
      <c r="G82" s="765"/>
      <c r="H82" s="765"/>
      <c r="I82" s="765"/>
      <c r="J82" s="766"/>
      <c r="K82" s="642">
        <f t="shared" ref="K82:Q82" si="90">SUM(K83:K88)</f>
        <v>7380.1707507811725</v>
      </c>
      <c r="L82" s="765">
        <f t="shared" si="90"/>
        <v>0</v>
      </c>
      <c r="M82" s="765">
        <f t="shared" si="90"/>
        <v>0</v>
      </c>
      <c r="N82" s="642">
        <f t="shared" si="90"/>
        <v>0</v>
      </c>
      <c r="O82" s="642">
        <f t="shared" si="90"/>
        <v>88562.049009374081</v>
      </c>
      <c r="P82" s="641">
        <f t="shared" si="90"/>
        <v>0</v>
      </c>
      <c r="Q82" s="764">
        <f t="shared" si="90"/>
        <v>1062</v>
      </c>
      <c r="R82" s="765"/>
      <c r="S82" s="765"/>
      <c r="T82" s="765"/>
      <c r="U82" s="765"/>
      <c r="V82" s="765"/>
      <c r="W82" s="765"/>
      <c r="X82" s="765"/>
      <c r="Y82" s="765">
        <f t="shared" ref="Y82:AI82" si="91">SUM(Y83:Y88)</f>
        <v>6584.7109359663573</v>
      </c>
      <c r="Z82" s="765">
        <f t="shared" si="91"/>
        <v>26117.710935966359</v>
      </c>
      <c r="AA82" s="765">
        <f t="shared" si="91"/>
        <v>5000</v>
      </c>
      <c r="AB82" s="765">
        <f t="shared" si="91"/>
        <v>0</v>
      </c>
      <c r="AC82" s="642">
        <f t="shared" si="91"/>
        <v>5000</v>
      </c>
      <c r="AD82" s="642">
        <f t="shared" si="91"/>
        <v>318412.53123159625</v>
      </c>
      <c r="AE82" s="641">
        <f t="shared" si="91"/>
        <v>66587200.712115847</v>
      </c>
      <c r="AF82" s="767">
        <f t="shared" si="91"/>
        <v>229850.48222222226</v>
      </c>
      <c r="AG82" s="768">
        <f t="shared" si="91"/>
        <v>66587200.712115847</v>
      </c>
      <c r="AH82" s="769">
        <f t="shared" si="91"/>
        <v>0</v>
      </c>
      <c r="AI82" s="638">
        <f t="shared" si="91"/>
        <v>0</v>
      </c>
    </row>
    <row r="83" spans="1:35" ht="14.25">
      <c r="A83" s="724" t="s">
        <v>7015</v>
      </c>
      <c r="B83" s="634"/>
      <c r="C83" s="770"/>
      <c r="D83" s="633"/>
      <c r="E83" s="594"/>
      <c r="F83" s="594"/>
      <c r="G83" s="594"/>
      <c r="H83" s="594"/>
      <c r="I83" s="594"/>
      <c r="J83" s="635">
        <v>1355.67</v>
      </c>
      <c r="K83" s="631">
        <f t="shared" ref="K83:K88" si="92">SUM(C83:J83)</f>
        <v>1355.67</v>
      </c>
      <c r="L83" s="633"/>
      <c r="M83" s="633"/>
      <c r="N83" s="631">
        <f t="shared" ref="N83:N88" si="93">SUM(L83:M83)</f>
        <v>0</v>
      </c>
      <c r="O83" s="631">
        <f t="shared" ref="O83:O88" si="94">(K83*12)+N83</f>
        <v>16268.04</v>
      </c>
      <c r="P83" s="771">
        <f t="shared" ref="P83:P88" si="95">O83*B83</f>
        <v>0</v>
      </c>
      <c r="Q83" s="656">
        <v>94</v>
      </c>
      <c r="R83" s="655">
        <v>4471</v>
      </c>
      <c r="S83" s="632"/>
      <c r="T83" s="594"/>
      <c r="U83" s="594"/>
      <c r="V83" s="594"/>
      <c r="W83" s="594"/>
      <c r="X83" s="594"/>
      <c r="Y83" s="633">
        <v>1355.67</v>
      </c>
      <c r="Z83" s="773">
        <f t="shared" ref="Z83:Z88" si="96">SUM(R83:Y83)</f>
        <v>5826.67</v>
      </c>
      <c r="AA83" s="633">
        <v>1000</v>
      </c>
      <c r="AB83" s="633"/>
      <c r="AC83" s="631">
        <f t="shared" ref="AC83:AC88" si="97">SUM(AA83:AB83)</f>
        <v>1000</v>
      </c>
      <c r="AD83" s="631">
        <f t="shared" ref="AD83:AD88" si="98">(Z83*12)+AC83</f>
        <v>70920.040000000008</v>
      </c>
      <c r="AE83" s="771">
        <f t="shared" ref="AE83:AE88" si="99">AD83*Q83</f>
        <v>6666483.7600000007</v>
      </c>
      <c r="AF83" s="741">
        <f t="shared" ref="AF83:AG88" si="100">AD83-O83</f>
        <v>54652.000000000007</v>
      </c>
      <c r="AG83" s="630">
        <f t="shared" si="100"/>
        <v>6666483.7600000007</v>
      </c>
      <c r="AH83" s="774"/>
      <c r="AI83" s="629"/>
    </row>
    <row r="84" spans="1:35" ht="14.25">
      <c r="A84" s="724" t="s">
        <v>7014</v>
      </c>
      <c r="B84" s="634"/>
      <c r="C84" s="770"/>
      <c r="D84" s="633"/>
      <c r="E84" s="594"/>
      <c r="F84" s="594"/>
      <c r="G84" s="594"/>
      <c r="H84" s="594"/>
      <c r="I84" s="594"/>
      <c r="J84" s="635">
        <v>1343.6579087624209</v>
      </c>
      <c r="K84" s="631">
        <f t="shared" si="92"/>
        <v>1343.6579087624209</v>
      </c>
      <c r="L84" s="633"/>
      <c r="M84" s="633"/>
      <c r="N84" s="631">
        <f t="shared" si="93"/>
        <v>0</v>
      </c>
      <c r="O84" s="631">
        <f t="shared" si="94"/>
        <v>16123.894905149051</v>
      </c>
      <c r="P84" s="771">
        <f t="shared" si="95"/>
        <v>0</v>
      </c>
      <c r="Q84" s="656">
        <v>131</v>
      </c>
      <c r="R84" s="655">
        <v>4158</v>
      </c>
      <c r="S84" s="632"/>
      <c r="T84" s="594"/>
      <c r="U84" s="594"/>
      <c r="V84" s="594"/>
      <c r="W84" s="594"/>
      <c r="X84" s="594"/>
      <c r="Y84" s="633">
        <v>1343.6579087624209</v>
      </c>
      <c r="Z84" s="773">
        <f t="shared" si="96"/>
        <v>5501.6579087624214</v>
      </c>
      <c r="AA84" s="633">
        <v>1000</v>
      </c>
      <c r="AB84" s="633"/>
      <c r="AC84" s="631">
        <f t="shared" si="97"/>
        <v>1000</v>
      </c>
      <c r="AD84" s="631">
        <f t="shared" si="98"/>
        <v>67019.894905149064</v>
      </c>
      <c r="AE84" s="771">
        <f t="shared" si="99"/>
        <v>8779606.2325745281</v>
      </c>
      <c r="AF84" s="741">
        <f t="shared" si="100"/>
        <v>50896.000000000015</v>
      </c>
      <c r="AG84" s="630">
        <f t="shared" si="100"/>
        <v>8779606.2325745281</v>
      </c>
      <c r="AH84" s="774"/>
      <c r="AI84" s="629"/>
    </row>
    <row r="85" spans="1:35" ht="14.25">
      <c r="A85" s="724" t="s">
        <v>7013</v>
      </c>
      <c r="B85" s="634"/>
      <c r="C85" s="770"/>
      <c r="D85" s="633"/>
      <c r="E85" s="594"/>
      <c r="F85" s="594"/>
      <c r="G85" s="594"/>
      <c r="H85" s="594"/>
      <c r="I85" s="594"/>
      <c r="J85" s="635">
        <v>1341.8493061391223</v>
      </c>
      <c r="K85" s="631">
        <f t="shared" si="92"/>
        <v>1341.8493061391223</v>
      </c>
      <c r="L85" s="633"/>
      <c r="M85" s="633"/>
      <c r="N85" s="631">
        <f t="shared" si="93"/>
        <v>0</v>
      </c>
      <c r="O85" s="631">
        <f t="shared" si="94"/>
        <v>16102.191673669467</v>
      </c>
      <c r="P85" s="771">
        <f t="shared" si="95"/>
        <v>0</v>
      </c>
      <c r="Q85" s="656">
        <v>351</v>
      </c>
      <c r="R85" s="655">
        <v>3900</v>
      </c>
      <c r="S85" s="632"/>
      <c r="T85" s="594"/>
      <c r="U85" s="594"/>
      <c r="V85" s="594"/>
      <c r="W85" s="594"/>
      <c r="X85" s="594"/>
      <c r="Y85" s="633">
        <v>1341.8493061391223</v>
      </c>
      <c r="Z85" s="773">
        <f t="shared" si="96"/>
        <v>5241.8493061391218</v>
      </c>
      <c r="AA85" s="633">
        <v>1000</v>
      </c>
      <c r="AB85" s="633"/>
      <c r="AC85" s="631">
        <f t="shared" si="97"/>
        <v>1000</v>
      </c>
      <c r="AD85" s="631">
        <f t="shared" si="98"/>
        <v>63902.191673669462</v>
      </c>
      <c r="AE85" s="771">
        <f t="shared" si="99"/>
        <v>22429669.277457982</v>
      </c>
      <c r="AF85" s="741">
        <f t="shared" si="100"/>
        <v>47799.999999999993</v>
      </c>
      <c r="AG85" s="630">
        <f t="shared" si="100"/>
        <v>22429669.277457982</v>
      </c>
      <c r="AH85" s="774"/>
      <c r="AI85" s="629"/>
    </row>
    <row r="86" spans="1:35" ht="14.25">
      <c r="A86" s="724" t="s">
        <v>7012</v>
      </c>
      <c r="B86" s="634"/>
      <c r="C86" s="770"/>
      <c r="D86" s="633"/>
      <c r="E86" s="594"/>
      <c r="F86" s="594"/>
      <c r="G86" s="594"/>
      <c r="H86" s="594"/>
      <c r="I86" s="594"/>
      <c r="J86" s="635">
        <v>1298.0739062500002</v>
      </c>
      <c r="K86" s="631">
        <f t="shared" si="92"/>
        <v>1298.0739062500002</v>
      </c>
      <c r="L86" s="633"/>
      <c r="M86" s="633"/>
      <c r="N86" s="631">
        <f t="shared" si="93"/>
        <v>0</v>
      </c>
      <c r="O86" s="631">
        <f t="shared" si="94"/>
        <v>15576.886875000002</v>
      </c>
      <c r="P86" s="771">
        <f t="shared" si="95"/>
        <v>0</v>
      </c>
      <c r="Q86" s="656">
        <v>330</v>
      </c>
      <c r="R86" s="655">
        <v>3660</v>
      </c>
      <c r="S86" s="632"/>
      <c r="T86" s="594"/>
      <c r="U86" s="594"/>
      <c r="V86" s="594"/>
      <c r="W86" s="594"/>
      <c r="X86" s="594"/>
      <c r="Y86" s="633">
        <v>1298.0739062500002</v>
      </c>
      <c r="Z86" s="773">
        <f t="shared" si="96"/>
        <v>4958.0739062499997</v>
      </c>
      <c r="AA86" s="633">
        <v>1000</v>
      </c>
      <c r="AB86" s="633"/>
      <c r="AC86" s="631">
        <f t="shared" si="97"/>
        <v>1000</v>
      </c>
      <c r="AD86" s="631">
        <f t="shared" si="98"/>
        <v>60496.886874999997</v>
      </c>
      <c r="AE86" s="771">
        <f t="shared" si="99"/>
        <v>19963972.668749999</v>
      </c>
      <c r="AF86" s="741">
        <f t="shared" si="100"/>
        <v>44919.999999999993</v>
      </c>
      <c r="AG86" s="630">
        <f t="shared" si="100"/>
        <v>19963972.668749999</v>
      </c>
      <c r="AH86" s="774"/>
      <c r="AI86" s="629"/>
    </row>
    <row r="87" spans="1:35" ht="14.25">
      <c r="A87" s="724" t="s">
        <v>7011</v>
      </c>
      <c r="B87" s="634"/>
      <c r="C87" s="770"/>
      <c r="D87" s="633"/>
      <c r="E87" s="594"/>
      <c r="F87" s="594"/>
      <c r="G87" s="594"/>
      <c r="H87" s="594"/>
      <c r="I87" s="594"/>
      <c r="J87" s="635">
        <v>1245.4598148148148</v>
      </c>
      <c r="K87" s="631">
        <f t="shared" si="92"/>
        <v>1245.4598148148148</v>
      </c>
      <c r="L87" s="633"/>
      <c r="M87" s="633"/>
      <c r="N87" s="631">
        <f t="shared" si="93"/>
        <v>0</v>
      </c>
      <c r="O87" s="631">
        <f t="shared" si="94"/>
        <v>14945.517777777777</v>
      </c>
      <c r="P87" s="771">
        <f t="shared" si="95"/>
        <v>0</v>
      </c>
      <c r="Q87" s="656">
        <f>81+75</f>
        <v>156</v>
      </c>
      <c r="R87" s="655">
        <v>3344</v>
      </c>
      <c r="S87" s="632"/>
      <c r="T87" s="594"/>
      <c r="U87" s="594"/>
      <c r="V87" s="594"/>
      <c r="W87" s="594"/>
      <c r="X87" s="594"/>
      <c r="Y87" s="633">
        <v>1245.4598148148148</v>
      </c>
      <c r="Z87" s="773">
        <f t="shared" si="96"/>
        <v>4589.4598148148143</v>
      </c>
      <c r="AA87" s="633">
        <v>1000</v>
      </c>
      <c r="AB87" s="633"/>
      <c r="AC87" s="631">
        <f t="shared" si="97"/>
        <v>1000</v>
      </c>
      <c r="AD87" s="631">
        <f t="shared" si="98"/>
        <v>56073.517777777772</v>
      </c>
      <c r="AE87" s="771">
        <f t="shared" si="99"/>
        <v>8747468.7733333316</v>
      </c>
      <c r="AF87" s="741">
        <f t="shared" si="100"/>
        <v>41127.999999999993</v>
      </c>
      <c r="AG87" s="630">
        <f t="shared" si="100"/>
        <v>8747468.7733333316</v>
      </c>
      <c r="AH87" s="774"/>
      <c r="AI87" s="629"/>
    </row>
    <row r="88" spans="1:35" ht="14.25">
      <c r="A88" s="724" t="s">
        <v>7096</v>
      </c>
      <c r="B88" s="656"/>
      <c r="C88" s="655"/>
      <c r="D88" s="655"/>
      <c r="E88" s="594"/>
      <c r="F88" s="594"/>
      <c r="G88" s="594"/>
      <c r="H88" s="594"/>
      <c r="I88" s="594"/>
      <c r="J88" s="657">
        <v>795.45981481481488</v>
      </c>
      <c r="K88" s="631">
        <f t="shared" si="92"/>
        <v>795.45981481481488</v>
      </c>
      <c r="L88" s="655"/>
      <c r="M88" s="655"/>
      <c r="N88" s="631">
        <f t="shared" si="93"/>
        <v>0</v>
      </c>
      <c r="O88" s="631">
        <f t="shared" si="94"/>
        <v>9545.517777777779</v>
      </c>
      <c r="P88" s="771">
        <f t="shared" si="95"/>
        <v>0</v>
      </c>
      <c r="Q88" s="669"/>
      <c r="R88" s="655"/>
      <c r="S88" s="654"/>
      <c r="T88" s="594"/>
      <c r="U88" s="594"/>
      <c r="V88" s="594"/>
      <c r="W88" s="594"/>
      <c r="X88" s="594"/>
      <c r="Y88" s="654"/>
      <c r="Z88" s="773">
        <f t="shared" si="96"/>
        <v>0</v>
      </c>
      <c r="AA88" s="655"/>
      <c r="AB88" s="654"/>
      <c r="AC88" s="631">
        <f t="shared" si="97"/>
        <v>0</v>
      </c>
      <c r="AD88" s="631">
        <f t="shared" si="98"/>
        <v>0</v>
      </c>
      <c r="AE88" s="771">
        <f t="shared" si="99"/>
        <v>0</v>
      </c>
      <c r="AF88" s="741">
        <f t="shared" si="100"/>
        <v>-9545.517777777779</v>
      </c>
      <c r="AG88" s="630">
        <f t="shared" si="100"/>
        <v>0</v>
      </c>
      <c r="AH88" s="671"/>
      <c r="AI88" s="670"/>
    </row>
    <row r="89" spans="1:35" ht="13.5">
      <c r="A89" s="725" t="s">
        <v>2881</v>
      </c>
      <c r="B89" s="644">
        <f>SUM(B90:B96)</f>
        <v>51</v>
      </c>
      <c r="C89" s="643"/>
      <c r="D89" s="643"/>
      <c r="E89" s="643"/>
      <c r="F89" s="643"/>
      <c r="G89" s="643"/>
      <c r="H89" s="643"/>
      <c r="I89" s="643"/>
      <c r="J89" s="645"/>
      <c r="K89" s="642">
        <f t="shared" ref="K89:Q89" si="101">SUM(K90:K96)</f>
        <v>30293.770750781172</v>
      </c>
      <c r="L89" s="643">
        <f t="shared" si="101"/>
        <v>7000</v>
      </c>
      <c r="M89" s="643">
        <f t="shared" si="101"/>
        <v>0</v>
      </c>
      <c r="N89" s="642">
        <f t="shared" si="101"/>
        <v>7000</v>
      </c>
      <c r="O89" s="642">
        <f t="shared" si="101"/>
        <v>370525.24900937412</v>
      </c>
      <c r="P89" s="641">
        <f t="shared" si="101"/>
        <v>2652408.066528589</v>
      </c>
      <c r="Q89" s="644">
        <f t="shared" si="101"/>
        <v>0</v>
      </c>
      <c r="R89" s="643"/>
      <c r="S89" s="643"/>
      <c r="T89" s="643"/>
      <c r="U89" s="643"/>
      <c r="V89" s="643"/>
      <c r="W89" s="643"/>
      <c r="X89" s="643"/>
      <c r="Y89" s="643">
        <f t="shared" ref="Y89:AI89" si="102">SUM(Y90:Y96)</f>
        <v>0</v>
      </c>
      <c r="Z89" s="643">
        <f t="shared" si="102"/>
        <v>0</v>
      </c>
      <c r="AA89" s="643">
        <f t="shared" si="102"/>
        <v>7000</v>
      </c>
      <c r="AB89" s="643">
        <f t="shared" si="102"/>
        <v>0</v>
      </c>
      <c r="AC89" s="642">
        <f t="shared" si="102"/>
        <v>7000</v>
      </c>
      <c r="AD89" s="642">
        <f t="shared" si="102"/>
        <v>7000</v>
      </c>
      <c r="AE89" s="641">
        <f t="shared" si="102"/>
        <v>0</v>
      </c>
      <c r="AF89" s="640">
        <f t="shared" si="102"/>
        <v>-363525.24900937412</v>
      </c>
      <c r="AG89" s="581">
        <f t="shared" si="102"/>
        <v>-2652408.066528589</v>
      </c>
      <c r="AH89" s="639">
        <f t="shared" si="102"/>
        <v>52</v>
      </c>
      <c r="AI89" s="638">
        <f t="shared" si="102"/>
        <v>2323636</v>
      </c>
    </row>
    <row r="90" spans="1:35" ht="14.25">
      <c r="A90" s="724" t="s">
        <v>7012</v>
      </c>
      <c r="B90" s="656">
        <v>2</v>
      </c>
      <c r="C90" s="655">
        <v>3875</v>
      </c>
      <c r="D90" s="655"/>
      <c r="E90" s="594"/>
      <c r="F90" s="594"/>
      <c r="G90" s="594"/>
      <c r="H90" s="594"/>
      <c r="I90" s="594"/>
      <c r="J90" s="657">
        <v>1355.67</v>
      </c>
      <c r="K90" s="631">
        <f t="shared" ref="K90:K96" si="103">SUM(C90:J90)</f>
        <v>5230.67</v>
      </c>
      <c r="L90" s="655">
        <v>1000</v>
      </c>
      <c r="M90" s="655"/>
      <c r="N90" s="631">
        <f t="shared" ref="N90:N96" si="104">SUM(L90:M90)</f>
        <v>1000</v>
      </c>
      <c r="O90" s="631">
        <f t="shared" ref="O90:O96" si="105">(K90*12)+N90</f>
        <v>63768.04</v>
      </c>
      <c r="P90" s="771">
        <f t="shared" ref="P90:P96" si="106">O90*B90</f>
        <v>127536.08</v>
      </c>
      <c r="Q90" s="669"/>
      <c r="R90" s="655"/>
      <c r="S90" s="654"/>
      <c r="T90" s="594"/>
      <c r="U90" s="594"/>
      <c r="V90" s="594"/>
      <c r="W90" s="594"/>
      <c r="X90" s="594"/>
      <c r="Y90" s="654"/>
      <c r="Z90" s="773">
        <f t="shared" ref="Z90:Z96" si="107">SUM(R90:Y90)</f>
        <v>0</v>
      </c>
      <c r="AA90" s="655">
        <v>1000</v>
      </c>
      <c r="AB90" s="654"/>
      <c r="AC90" s="631">
        <f t="shared" ref="AC90:AC96" si="108">SUM(AA90:AB90)</f>
        <v>1000</v>
      </c>
      <c r="AD90" s="631">
        <f t="shared" ref="AD90:AD96" si="109">(Z90*12)+AC90</f>
        <v>1000</v>
      </c>
      <c r="AE90" s="771">
        <f t="shared" ref="AE90:AE96" si="110">AD90*Q90</f>
        <v>0</v>
      </c>
      <c r="AF90" s="741">
        <f t="shared" ref="AF90:AG96" si="111">AD90-O90</f>
        <v>-62768.04</v>
      </c>
      <c r="AG90" s="630">
        <f t="shared" si="111"/>
        <v>-127536.08</v>
      </c>
      <c r="AH90" s="653">
        <v>3</v>
      </c>
      <c r="AI90" s="668">
        <v>163956</v>
      </c>
    </row>
    <row r="91" spans="1:35" ht="14.25">
      <c r="A91" s="724" t="s">
        <v>7011</v>
      </c>
      <c r="B91" s="656">
        <v>3</v>
      </c>
      <c r="C91" s="655">
        <v>3619.6</v>
      </c>
      <c r="D91" s="655"/>
      <c r="E91" s="594"/>
      <c r="F91" s="594"/>
      <c r="G91" s="594"/>
      <c r="H91" s="594"/>
      <c r="I91" s="594"/>
      <c r="J91" s="657">
        <v>1343.6579087624209</v>
      </c>
      <c r="K91" s="631">
        <f t="shared" si="103"/>
        <v>4963.2579087624208</v>
      </c>
      <c r="L91" s="655">
        <v>1000</v>
      </c>
      <c r="M91" s="655"/>
      <c r="N91" s="631">
        <f t="shared" si="104"/>
        <v>1000</v>
      </c>
      <c r="O91" s="631">
        <f t="shared" si="105"/>
        <v>60559.094905149046</v>
      </c>
      <c r="P91" s="771">
        <f t="shared" si="106"/>
        <v>181677.28471544714</v>
      </c>
      <c r="Q91" s="669"/>
      <c r="R91" s="655"/>
      <c r="S91" s="654"/>
      <c r="T91" s="594"/>
      <c r="U91" s="594"/>
      <c r="V91" s="594"/>
      <c r="W91" s="594"/>
      <c r="X91" s="594"/>
      <c r="Y91" s="654"/>
      <c r="Z91" s="773">
        <f t="shared" si="107"/>
        <v>0</v>
      </c>
      <c r="AA91" s="655">
        <v>1000</v>
      </c>
      <c r="AB91" s="654"/>
      <c r="AC91" s="631">
        <f t="shared" si="108"/>
        <v>1000</v>
      </c>
      <c r="AD91" s="631">
        <f t="shared" si="109"/>
        <v>1000</v>
      </c>
      <c r="AE91" s="771">
        <f t="shared" si="110"/>
        <v>0</v>
      </c>
      <c r="AF91" s="741">
        <f t="shared" si="111"/>
        <v>-59559.094905149046</v>
      </c>
      <c r="AG91" s="630">
        <f t="shared" si="111"/>
        <v>-181677.28471544714</v>
      </c>
      <c r="AH91" s="653">
        <v>3</v>
      </c>
      <c r="AI91" s="668">
        <v>152688</v>
      </c>
    </row>
    <row r="92" spans="1:35" ht="14.25">
      <c r="A92" s="724" t="s">
        <v>7042</v>
      </c>
      <c r="B92" s="656">
        <v>11</v>
      </c>
      <c r="C92" s="655">
        <v>3409</v>
      </c>
      <c r="D92" s="655"/>
      <c r="E92" s="594"/>
      <c r="F92" s="594"/>
      <c r="G92" s="594"/>
      <c r="H92" s="594"/>
      <c r="I92" s="594"/>
      <c r="J92" s="657">
        <v>1341.8493061391223</v>
      </c>
      <c r="K92" s="631">
        <f t="shared" si="103"/>
        <v>4750.8493061391218</v>
      </c>
      <c r="L92" s="655">
        <v>1000</v>
      </c>
      <c r="M92" s="655"/>
      <c r="N92" s="631">
        <f t="shared" si="104"/>
        <v>1000</v>
      </c>
      <c r="O92" s="631">
        <f t="shared" si="105"/>
        <v>58010.191673669462</v>
      </c>
      <c r="P92" s="771">
        <f t="shared" si="106"/>
        <v>638112.10841036413</v>
      </c>
      <c r="Q92" s="669"/>
      <c r="R92" s="655"/>
      <c r="S92" s="654"/>
      <c r="T92" s="594"/>
      <c r="U92" s="594"/>
      <c r="V92" s="594"/>
      <c r="W92" s="594"/>
      <c r="X92" s="594"/>
      <c r="Y92" s="654"/>
      <c r="Z92" s="773">
        <f t="shared" si="107"/>
        <v>0</v>
      </c>
      <c r="AA92" s="655">
        <v>1000</v>
      </c>
      <c r="AB92" s="654"/>
      <c r="AC92" s="631">
        <f t="shared" si="108"/>
        <v>1000</v>
      </c>
      <c r="AD92" s="631">
        <f t="shared" si="109"/>
        <v>1000</v>
      </c>
      <c r="AE92" s="771">
        <f t="shared" si="110"/>
        <v>0</v>
      </c>
      <c r="AF92" s="741">
        <f t="shared" si="111"/>
        <v>-57010.191673669462</v>
      </c>
      <c r="AG92" s="630">
        <f t="shared" si="111"/>
        <v>-638112.10841036413</v>
      </c>
      <c r="AH92" s="653">
        <v>11</v>
      </c>
      <c r="AI92" s="668">
        <v>525800</v>
      </c>
    </row>
    <row r="93" spans="1:35" ht="14.25">
      <c r="A93" s="724" t="s">
        <v>7041</v>
      </c>
      <c r="B93" s="656">
        <v>11</v>
      </c>
      <c r="C93" s="655">
        <v>3217</v>
      </c>
      <c r="D93" s="655"/>
      <c r="E93" s="594"/>
      <c r="F93" s="594"/>
      <c r="G93" s="594"/>
      <c r="H93" s="594"/>
      <c r="I93" s="594"/>
      <c r="J93" s="657">
        <v>1298.0739062500002</v>
      </c>
      <c r="K93" s="631">
        <f t="shared" si="103"/>
        <v>4515.0739062499997</v>
      </c>
      <c r="L93" s="655">
        <v>1000</v>
      </c>
      <c r="M93" s="655"/>
      <c r="N93" s="631">
        <f t="shared" si="104"/>
        <v>1000</v>
      </c>
      <c r="O93" s="631">
        <f t="shared" si="105"/>
        <v>55180.886874999997</v>
      </c>
      <c r="P93" s="771">
        <f t="shared" si="106"/>
        <v>606989.75562499999</v>
      </c>
      <c r="Q93" s="669"/>
      <c r="R93" s="655"/>
      <c r="S93" s="654"/>
      <c r="T93" s="594"/>
      <c r="U93" s="594"/>
      <c r="V93" s="594"/>
      <c r="W93" s="594"/>
      <c r="X93" s="594"/>
      <c r="Y93" s="654"/>
      <c r="Z93" s="773">
        <f t="shared" si="107"/>
        <v>0</v>
      </c>
      <c r="AA93" s="655">
        <v>1000</v>
      </c>
      <c r="AB93" s="654"/>
      <c r="AC93" s="631">
        <f t="shared" si="108"/>
        <v>1000</v>
      </c>
      <c r="AD93" s="631">
        <f t="shared" si="109"/>
        <v>1000</v>
      </c>
      <c r="AE93" s="771">
        <f t="shared" si="110"/>
        <v>0</v>
      </c>
      <c r="AF93" s="741">
        <f t="shared" si="111"/>
        <v>-54180.886874999997</v>
      </c>
      <c r="AG93" s="630">
        <f t="shared" si="111"/>
        <v>-606989.75562499999</v>
      </c>
      <c r="AH93" s="653">
        <v>11</v>
      </c>
      <c r="AI93" s="668">
        <v>494120</v>
      </c>
    </row>
    <row r="94" spans="1:35" ht="14.25">
      <c r="A94" s="724" t="s">
        <v>7040</v>
      </c>
      <c r="B94" s="656">
        <v>9</v>
      </c>
      <c r="C94" s="655">
        <v>2931</v>
      </c>
      <c r="D94" s="655"/>
      <c r="E94" s="594"/>
      <c r="F94" s="594"/>
      <c r="G94" s="594"/>
      <c r="H94" s="594"/>
      <c r="I94" s="594"/>
      <c r="J94" s="657">
        <v>1245.4598148148148</v>
      </c>
      <c r="K94" s="631">
        <f t="shared" si="103"/>
        <v>4176.4598148148143</v>
      </c>
      <c r="L94" s="655">
        <v>1000</v>
      </c>
      <c r="M94" s="655"/>
      <c r="N94" s="631">
        <f t="shared" si="104"/>
        <v>1000</v>
      </c>
      <c r="O94" s="631">
        <f t="shared" si="105"/>
        <v>51117.517777777772</v>
      </c>
      <c r="P94" s="771">
        <f t="shared" si="106"/>
        <v>460057.65999999992</v>
      </c>
      <c r="Q94" s="669"/>
      <c r="R94" s="655"/>
      <c r="S94" s="654"/>
      <c r="T94" s="594"/>
      <c r="U94" s="594"/>
      <c r="V94" s="594"/>
      <c r="W94" s="594"/>
      <c r="X94" s="594"/>
      <c r="Y94" s="654"/>
      <c r="Z94" s="773">
        <f t="shared" si="107"/>
        <v>0</v>
      </c>
      <c r="AA94" s="655">
        <v>1000</v>
      </c>
      <c r="AB94" s="654"/>
      <c r="AC94" s="631">
        <f t="shared" si="108"/>
        <v>1000</v>
      </c>
      <c r="AD94" s="631">
        <f t="shared" si="109"/>
        <v>1000</v>
      </c>
      <c r="AE94" s="771">
        <f t="shared" si="110"/>
        <v>0</v>
      </c>
      <c r="AF94" s="741">
        <f t="shared" si="111"/>
        <v>-50117.517777777772</v>
      </c>
      <c r="AG94" s="630">
        <f t="shared" si="111"/>
        <v>-460057.65999999992</v>
      </c>
      <c r="AH94" s="653">
        <v>6</v>
      </c>
      <c r="AI94" s="668">
        <v>246768</v>
      </c>
    </row>
    <row r="95" spans="1:35" ht="14.25">
      <c r="A95" s="724" t="s">
        <v>7096</v>
      </c>
      <c r="B95" s="656">
        <v>10</v>
      </c>
      <c r="C95" s="655">
        <v>2931</v>
      </c>
      <c r="D95" s="655"/>
      <c r="E95" s="594"/>
      <c r="F95" s="594"/>
      <c r="G95" s="594"/>
      <c r="H95" s="594"/>
      <c r="I95" s="594"/>
      <c r="J95" s="657">
        <v>795.45981481481488</v>
      </c>
      <c r="K95" s="631">
        <f t="shared" si="103"/>
        <v>3726.4598148148148</v>
      </c>
      <c r="L95" s="655">
        <v>1000</v>
      </c>
      <c r="M95" s="655"/>
      <c r="N95" s="631">
        <f t="shared" si="104"/>
        <v>1000</v>
      </c>
      <c r="O95" s="631">
        <f t="shared" si="105"/>
        <v>45717.517777777779</v>
      </c>
      <c r="P95" s="771">
        <f t="shared" si="106"/>
        <v>457175.17777777778</v>
      </c>
      <c r="Q95" s="669"/>
      <c r="R95" s="655"/>
      <c r="S95" s="654"/>
      <c r="T95" s="594"/>
      <c r="U95" s="594"/>
      <c r="V95" s="594"/>
      <c r="W95" s="594"/>
      <c r="X95" s="594"/>
      <c r="Y95" s="654"/>
      <c r="Z95" s="773">
        <f t="shared" si="107"/>
        <v>0</v>
      </c>
      <c r="AA95" s="655">
        <v>1000</v>
      </c>
      <c r="AB95" s="654"/>
      <c r="AC95" s="631">
        <f t="shared" si="108"/>
        <v>1000</v>
      </c>
      <c r="AD95" s="631">
        <f t="shared" si="109"/>
        <v>1000</v>
      </c>
      <c r="AE95" s="771">
        <f t="shared" si="110"/>
        <v>0</v>
      </c>
      <c r="AF95" s="741">
        <f t="shared" si="111"/>
        <v>-44717.517777777779</v>
      </c>
      <c r="AG95" s="630">
        <f t="shared" si="111"/>
        <v>-457175.17777777778</v>
      </c>
      <c r="AH95" s="653">
        <v>13</v>
      </c>
      <c r="AI95" s="668">
        <v>534664</v>
      </c>
    </row>
    <row r="96" spans="1:35" ht="14.25">
      <c r="A96" s="724" t="s">
        <v>7091</v>
      </c>
      <c r="B96" s="656">
        <v>5</v>
      </c>
      <c r="C96" s="655">
        <v>2931</v>
      </c>
      <c r="D96" s="655"/>
      <c r="E96" s="594"/>
      <c r="F96" s="594"/>
      <c r="G96" s="594"/>
      <c r="H96" s="594"/>
      <c r="I96" s="594"/>
      <c r="J96" s="657"/>
      <c r="K96" s="631">
        <f t="shared" si="103"/>
        <v>2931</v>
      </c>
      <c r="L96" s="655">
        <v>1000</v>
      </c>
      <c r="M96" s="655"/>
      <c r="N96" s="631">
        <f t="shared" si="104"/>
        <v>1000</v>
      </c>
      <c r="O96" s="631">
        <f t="shared" si="105"/>
        <v>36172</v>
      </c>
      <c r="P96" s="771">
        <f t="shared" si="106"/>
        <v>180860</v>
      </c>
      <c r="Q96" s="669"/>
      <c r="R96" s="655"/>
      <c r="S96" s="654"/>
      <c r="T96" s="594"/>
      <c r="U96" s="594"/>
      <c r="V96" s="594"/>
      <c r="W96" s="594"/>
      <c r="X96" s="594"/>
      <c r="Y96" s="654"/>
      <c r="Z96" s="773">
        <f t="shared" si="107"/>
        <v>0</v>
      </c>
      <c r="AA96" s="655">
        <v>1000</v>
      </c>
      <c r="AB96" s="654"/>
      <c r="AC96" s="631">
        <f t="shared" si="108"/>
        <v>1000</v>
      </c>
      <c r="AD96" s="631">
        <f t="shared" si="109"/>
        <v>1000</v>
      </c>
      <c r="AE96" s="771">
        <f t="shared" si="110"/>
        <v>0</v>
      </c>
      <c r="AF96" s="741">
        <f t="shared" si="111"/>
        <v>-35172</v>
      </c>
      <c r="AG96" s="630">
        <f t="shared" si="111"/>
        <v>-180860</v>
      </c>
      <c r="AH96" s="653">
        <v>5</v>
      </c>
      <c r="AI96" s="668">
        <v>205640</v>
      </c>
    </row>
    <row r="97" spans="1:35" ht="13.5">
      <c r="A97" s="725" t="s">
        <v>7095</v>
      </c>
      <c r="B97" s="644">
        <f>SUM(B98:B103)</f>
        <v>46</v>
      </c>
      <c r="C97" s="643"/>
      <c r="D97" s="643"/>
      <c r="E97" s="643"/>
      <c r="F97" s="643"/>
      <c r="G97" s="643"/>
      <c r="H97" s="643"/>
      <c r="I97" s="643"/>
      <c r="J97" s="645"/>
      <c r="K97" s="642">
        <f t="shared" ref="K97:Q97" si="112">SUM(K98:K103)</f>
        <v>26567.310935966358</v>
      </c>
      <c r="L97" s="643">
        <f t="shared" si="112"/>
        <v>6000</v>
      </c>
      <c r="M97" s="643">
        <f t="shared" si="112"/>
        <v>0</v>
      </c>
      <c r="N97" s="642">
        <f t="shared" si="112"/>
        <v>6000</v>
      </c>
      <c r="O97" s="642">
        <f t="shared" si="112"/>
        <v>324807.73123159632</v>
      </c>
      <c r="P97" s="641">
        <f t="shared" si="112"/>
        <v>2628095.8207905618</v>
      </c>
      <c r="Q97" s="644">
        <f t="shared" si="112"/>
        <v>0</v>
      </c>
      <c r="R97" s="643"/>
      <c r="S97" s="643"/>
      <c r="T97" s="643"/>
      <c r="U97" s="643"/>
      <c r="V97" s="643"/>
      <c r="W97" s="643"/>
      <c r="X97" s="643"/>
      <c r="Y97" s="643">
        <f t="shared" ref="Y97:AI97" si="113">SUM(Y98:Y103)</f>
        <v>0</v>
      </c>
      <c r="Z97" s="643">
        <f t="shared" si="113"/>
        <v>0</v>
      </c>
      <c r="AA97" s="643">
        <f t="shared" si="113"/>
        <v>6000</v>
      </c>
      <c r="AB97" s="643">
        <f t="shared" si="113"/>
        <v>0</v>
      </c>
      <c r="AC97" s="642">
        <f t="shared" si="113"/>
        <v>6000</v>
      </c>
      <c r="AD97" s="642">
        <f t="shared" si="113"/>
        <v>6000</v>
      </c>
      <c r="AE97" s="641">
        <f t="shared" si="113"/>
        <v>0</v>
      </c>
      <c r="AF97" s="640">
        <f t="shared" si="113"/>
        <v>-318807.73123159632</v>
      </c>
      <c r="AG97" s="581">
        <f t="shared" si="113"/>
        <v>-2628095.8207905618</v>
      </c>
      <c r="AH97" s="639">
        <f t="shared" si="113"/>
        <v>46</v>
      </c>
      <c r="AI97" s="638">
        <f t="shared" si="113"/>
        <v>2167744</v>
      </c>
    </row>
    <row r="98" spans="1:35" ht="14.25">
      <c r="A98" s="724" t="s">
        <v>7012</v>
      </c>
      <c r="B98" s="656">
        <v>4</v>
      </c>
      <c r="C98" s="655">
        <v>3875</v>
      </c>
      <c r="D98" s="655"/>
      <c r="E98" s="594"/>
      <c r="F98" s="594"/>
      <c r="G98" s="594"/>
      <c r="H98" s="594"/>
      <c r="I98" s="594"/>
      <c r="J98" s="657">
        <v>1355.67</v>
      </c>
      <c r="K98" s="631">
        <f t="shared" ref="K98:K103" si="114">SUM(C98:J98)</f>
        <v>5230.67</v>
      </c>
      <c r="L98" s="655">
        <v>1000</v>
      </c>
      <c r="M98" s="655"/>
      <c r="N98" s="631">
        <f t="shared" ref="N98:N103" si="115">SUM(L98:M98)</f>
        <v>1000</v>
      </c>
      <c r="O98" s="631">
        <f t="shared" ref="O98:O103" si="116">(K98*12)+N98</f>
        <v>63768.04</v>
      </c>
      <c r="P98" s="771">
        <f t="shared" ref="P98:P103" si="117">O98*B98</f>
        <v>255072.16</v>
      </c>
      <c r="Q98" s="669"/>
      <c r="R98" s="655"/>
      <c r="S98" s="654"/>
      <c r="T98" s="594"/>
      <c r="U98" s="594"/>
      <c r="V98" s="594"/>
      <c r="W98" s="594"/>
      <c r="X98" s="594"/>
      <c r="Y98" s="654"/>
      <c r="Z98" s="773">
        <f t="shared" ref="Z98:Z103" si="118">SUM(R98:Y98)</f>
        <v>0</v>
      </c>
      <c r="AA98" s="655">
        <v>1000</v>
      </c>
      <c r="AB98" s="654"/>
      <c r="AC98" s="631">
        <f t="shared" ref="AC98:AC103" si="119">SUM(AA98:AB98)</f>
        <v>1000</v>
      </c>
      <c r="AD98" s="631">
        <f t="shared" ref="AD98:AD103" si="120">(Z98*12)+AC98</f>
        <v>1000</v>
      </c>
      <c r="AE98" s="771">
        <f t="shared" ref="AE98:AE103" si="121">AD98*Q98</f>
        <v>0</v>
      </c>
      <c r="AF98" s="741">
        <f t="shared" ref="AF98:AG103" si="122">AD98-O98</f>
        <v>-62768.04</v>
      </c>
      <c r="AG98" s="630">
        <f t="shared" si="122"/>
        <v>-255072.16</v>
      </c>
      <c r="AH98" s="653">
        <v>4</v>
      </c>
      <c r="AI98" s="668">
        <v>218608</v>
      </c>
    </row>
    <row r="99" spans="1:35" ht="14.25">
      <c r="A99" s="724" t="s">
        <v>7011</v>
      </c>
      <c r="B99" s="656">
        <v>8</v>
      </c>
      <c r="C99" s="655">
        <v>3619.6</v>
      </c>
      <c r="D99" s="655"/>
      <c r="E99" s="594"/>
      <c r="F99" s="594"/>
      <c r="G99" s="594"/>
      <c r="H99" s="594"/>
      <c r="I99" s="594"/>
      <c r="J99" s="657">
        <v>1343.6579087624209</v>
      </c>
      <c r="K99" s="631">
        <f t="shared" si="114"/>
        <v>4963.2579087624208</v>
      </c>
      <c r="L99" s="655">
        <v>1000</v>
      </c>
      <c r="M99" s="655"/>
      <c r="N99" s="631">
        <f t="shared" si="115"/>
        <v>1000</v>
      </c>
      <c r="O99" s="631">
        <f t="shared" si="116"/>
        <v>60559.094905149046</v>
      </c>
      <c r="P99" s="771">
        <f t="shared" si="117"/>
        <v>484472.75924119237</v>
      </c>
      <c r="Q99" s="669"/>
      <c r="R99" s="655"/>
      <c r="S99" s="654"/>
      <c r="T99" s="594"/>
      <c r="U99" s="594"/>
      <c r="V99" s="594"/>
      <c r="W99" s="594"/>
      <c r="X99" s="594"/>
      <c r="Y99" s="654"/>
      <c r="Z99" s="773">
        <f t="shared" si="118"/>
        <v>0</v>
      </c>
      <c r="AA99" s="655">
        <v>1000</v>
      </c>
      <c r="AB99" s="654"/>
      <c r="AC99" s="631">
        <f t="shared" si="119"/>
        <v>1000</v>
      </c>
      <c r="AD99" s="631">
        <f t="shared" si="120"/>
        <v>1000</v>
      </c>
      <c r="AE99" s="771">
        <f t="shared" si="121"/>
        <v>0</v>
      </c>
      <c r="AF99" s="741">
        <f t="shared" si="122"/>
        <v>-59559.094905149046</v>
      </c>
      <c r="AG99" s="630">
        <f t="shared" si="122"/>
        <v>-484472.75924119237</v>
      </c>
      <c r="AH99" s="653">
        <v>8</v>
      </c>
      <c r="AI99" s="668">
        <v>407168</v>
      </c>
    </row>
    <row r="100" spans="1:35" ht="14.25">
      <c r="A100" s="724" t="s">
        <v>7042</v>
      </c>
      <c r="B100" s="656">
        <v>13</v>
      </c>
      <c r="C100" s="655">
        <v>3409</v>
      </c>
      <c r="D100" s="655"/>
      <c r="E100" s="594"/>
      <c r="F100" s="594"/>
      <c r="G100" s="594"/>
      <c r="H100" s="594"/>
      <c r="I100" s="594"/>
      <c r="J100" s="657">
        <v>1341.8493061391223</v>
      </c>
      <c r="K100" s="631">
        <f t="shared" si="114"/>
        <v>4750.8493061391218</v>
      </c>
      <c r="L100" s="655">
        <v>1000</v>
      </c>
      <c r="M100" s="655"/>
      <c r="N100" s="631">
        <f t="shared" si="115"/>
        <v>1000</v>
      </c>
      <c r="O100" s="631">
        <f t="shared" si="116"/>
        <v>58010.191673669462</v>
      </c>
      <c r="P100" s="771">
        <f t="shared" si="117"/>
        <v>754132.49175770301</v>
      </c>
      <c r="Q100" s="669"/>
      <c r="R100" s="655"/>
      <c r="S100" s="654"/>
      <c r="T100" s="594"/>
      <c r="U100" s="594"/>
      <c r="V100" s="594"/>
      <c r="W100" s="594"/>
      <c r="X100" s="594"/>
      <c r="Y100" s="654"/>
      <c r="Z100" s="773">
        <f t="shared" si="118"/>
        <v>0</v>
      </c>
      <c r="AA100" s="655">
        <v>1000</v>
      </c>
      <c r="AB100" s="654"/>
      <c r="AC100" s="631">
        <f t="shared" si="119"/>
        <v>1000</v>
      </c>
      <c r="AD100" s="631">
        <f t="shared" si="120"/>
        <v>1000</v>
      </c>
      <c r="AE100" s="771">
        <f t="shared" si="121"/>
        <v>0</v>
      </c>
      <c r="AF100" s="741">
        <f t="shared" si="122"/>
        <v>-57010.191673669462</v>
      </c>
      <c r="AG100" s="630">
        <f t="shared" si="122"/>
        <v>-754132.49175770301</v>
      </c>
      <c r="AH100" s="653">
        <v>13</v>
      </c>
      <c r="AI100" s="668">
        <v>621400</v>
      </c>
    </row>
    <row r="101" spans="1:35" ht="14.25">
      <c r="A101" s="724" t="s">
        <v>7041</v>
      </c>
      <c r="B101" s="656">
        <v>15</v>
      </c>
      <c r="C101" s="655">
        <v>3217</v>
      </c>
      <c r="D101" s="655"/>
      <c r="E101" s="594"/>
      <c r="F101" s="594"/>
      <c r="G101" s="594"/>
      <c r="H101" s="594"/>
      <c r="I101" s="594"/>
      <c r="J101" s="657">
        <v>1298.0739062500002</v>
      </c>
      <c r="K101" s="631">
        <f t="shared" si="114"/>
        <v>4515.0739062499997</v>
      </c>
      <c r="L101" s="655">
        <v>1000</v>
      </c>
      <c r="M101" s="655"/>
      <c r="N101" s="631">
        <f t="shared" si="115"/>
        <v>1000</v>
      </c>
      <c r="O101" s="631">
        <f t="shared" si="116"/>
        <v>55180.886874999997</v>
      </c>
      <c r="P101" s="771">
        <f t="shared" si="117"/>
        <v>827713.30312499998</v>
      </c>
      <c r="Q101" s="669"/>
      <c r="R101" s="655"/>
      <c r="S101" s="654"/>
      <c r="T101" s="594"/>
      <c r="U101" s="594"/>
      <c r="V101" s="594"/>
      <c r="W101" s="594"/>
      <c r="X101" s="594"/>
      <c r="Y101" s="654"/>
      <c r="Z101" s="773">
        <f t="shared" si="118"/>
        <v>0</v>
      </c>
      <c r="AA101" s="655">
        <v>1000</v>
      </c>
      <c r="AB101" s="654"/>
      <c r="AC101" s="631">
        <f t="shared" si="119"/>
        <v>1000</v>
      </c>
      <c r="AD101" s="631">
        <f t="shared" si="120"/>
        <v>1000</v>
      </c>
      <c r="AE101" s="771">
        <f t="shared" si="121"/>
        <v>0</v>
      </c>
      <c r="AF101" s="741">
        <f t="shared" si="122"/>
        <v>-54180.886874999997</v>
      </c>
      <c r="AG101" s="630">
        <f t="shared" si="122"/>
        <v>-827713.30312499998</v>
      </c>
      <c r="AH101" s="653">
        <v>15</v>
      </c>
      <c r="AI101" s="668">
        <v>673800</v>
      </c>
    </row>
    <row r="102" spans="1:35" ht="14.25">
      <c r="A102" s="724" t="s">
        <v>7040</v>
      </c>
      <c r="B102" s="656">
        <v>6</v>
      </c>
      <c r="C102" s="655">
        <v>2931</v>
      </c>
      <c r="D102" s="655"/>
      <c r="E102" s="594"/>
      <c r="F102" s="594"/>
      <c r="G102" s="594"/>
      <c r="H102" s="594"/>
      <c r="I102" s="594"/>
      <c r="J102" s="657">
        <v>1245.4598148148148</v>
      </c>
      <c r="K102" s="631">
        <f t="shared" si="114"/>
        <v>4176.4598148148143</v>
      </c>
      <c r="L102" s="655">
        <v>1000</v>
      </c>
      <c r="M102" s="655"/>
      <c r="N102" s="631">
        <f t="shared" si="115"/>
        <v>1000</v>
      </c>
      <c r="O102" s="631">
        <f t="shared" si="116"/>
        <v>51117.517777777772</v>
      </c>
      <c r="P102" s="771">
        <f t="shared" si="117"/>
        <v>306705.10666666663</v>
      </c>
      <c r="Q102" s="669"/>
      <c r="R102" s="655"/>
      <c r="S102" s="654"/>
      <c r="T102" s="594"/>
      <c r="U102" s="594"/>
      <c r="V102" s="594"/>
      <c r="W102" s="594"/>
      <c r="X102" s="594"/>
      <c r="Y102" s="654"/>
      <c r="Z102" s="773">
        <f t="shared" si="118"/>
        <v>0</v>
      </c>
      <c r="AA102" s="655">
        <v>1000</v>
      </c>
      <c r="AB102" s="654"/>
      <c r="AC102" s="631">
        <f t="shared" si="119"/>
        <v>1000</v>
      </c>
      <c r="AD102" s="631">
        <f t="shared" si="120"/>
        <v>1000</v>
      </c>
      <c r="AE102" s="771">
        <f t="shared" si="121"/>
        <v>0</v>
      </c>
      <c r="AF102" s="741">
        <f t="shared" si="122"/>
        <v>-50117.517777777772</v>
      </c>
      <c r="AG102" s="630">
        <f t="shared" si="122"/>
        <v>-306705.10666666663</v>
      </c>
      <c r="AH102" s="653">
        <v>6</v>
      </c>
      <c r="AI102" s="668">
        <v>246768</v>
      </c>
    </row>
    <row r="103" spans="1:35" ht="14.25">
      <c r="A103" s="724" t="s">
        <v>7091</v>
      </c>
      <c r="B103" s="656">
        <v>0</v>
      </c>
      <c r="C103" s="655">
        <v>2931</v>
      </c>
      <c r="D103" s="655"/>
      <c r="E103" s="594"/>
      <c r="F103" s="594"/>
      <c r="G103" s="594"/>
      <c r="H103" s="594"/>
      <c r="I103" s="594"/>
      <c r="J103" s="657"/>
      <c r="K103" s="631">
        <f t="shared" si="114"/>
        <v>2931</v>
      </c>
      <c r="L103" s="655">
        <v>1000</v>
      </c>
      <c r="M103" s="655"/>
      <c r="N103" s="631">
        <f t="shared" si="115"/>
        <v>1000</v>
      </c>
      <c r="O103" s="631">
        <f t="shared" si="116"/>
        <v>36172</v>
      </c>
      <c r="P103" s="771">
        <f t="shared" si="117"/>
        <v>0</v>
      </c>
      <c r="Q103" s="669"/>
      <c r="R103" s="655"/>
      <c r="S103" s="654"/>
      <c r="T103" s="594"/>
      <c r="U103" s="594"/>
      <c r="V103" s="594"/>
      <c r="W103" s="594"/>
      <c r="X103" s="594"/>
      <c r="Y103" s="654"/>
      <c r="Z103" s="773">
        <f t="shared" si="118"/>
        <v>0</v>
      </c>
      <c r="AA103" s="655">
        <v>1000</v>
      </c>
      <c r="AB103" s="654"/>
      <c r="AC103" s="631">
        <f t="shared" si="119"/>
        <v>1000</v>
      </c>
      <c r="AD103" s="631">
        <f t="shared" si="120"/>
        <v>1000</v>
      </c>
      <c r="AE103" s="771">
        <f t="shared" si="121"/>
        <v>0</v>
      </c>
      <c r="AF103" s="741">
        <f t="shared" si="122"/>
        <v>-35172</v>
      </c>
      <c r="AG103" s="630">
        <f t="shared" si="122"/>
        <v>0</v>
      </c>
      <c r="AH103" s="653">
        <v>0</v>
      </c>
      <c r="AI103" s="668">
        <v>0</v>
      </c>
    </row>
    <row r="104" spans="1:35" ht="13.5">
      <c r="A104" s="725" t="s">
        <v>7094</v>
      </c>
      <c r="B104" s="644">
        <f>SUM(B105:B110)</f>
        <v>711</v>
      </c>
      <c r="C104" s="643"/>
      <c r="D104" s="643"/>
      <c r="E104" s="643"/>
      <c r="F104" s="643"/>
      <c r="G104" s="643"/>
      <c r="H104" s="643"/>
      <c r="I104" s="643"/>
      <c r="J104" s="645"/>
      <c r="K104" s="642">
        <f t="shared" ref="K104:Q104" si="123">SUM(K105:K110)</f>
        <v>26567.310935966358</v>
      </c>
      <c r="L104" s="643">
        <f t="shared" si="123"/>
        <v>6000</v>
      </c>
      <c r="M104" s="643">
        <f t="shared" si="123"/>
        <v>0</v>
      </c>
      <c r="N104" s="642">
        <f t="shared" si="123"/>
        <v>6000</v>
      </c>
      <c r="O104" s="642">
        <f t="shared" si="123"/>
        <v>324807.73123159632</v>
      </c>
      <c r="P104" s="641">
        <f t="shared" si="123"/>
        <v>40561314.992262445</v>
      </c>
      <c r="Q104" s="644">
        <f t="shared" si="123"/>
        <v>0</v>
      </c>
      <c r="R104" s="643"/>
      <c r="S104" s="643"/>
      <c r="T104" s="643"/>
      <c r="U104" s="643"/>
      <c r="V104" s="643"/>
      <c r="W104" s="643"/>
      <c r="X104" s="643"/>
      <c r="Y104" s="643">
        <f t="shared" ref="Y104:AI104" si="124">SUM(Y105:Y110)</f>
        <v>0</v>
      </c>
      <c r="Z104" s="643">
        <f t="shared" si="124"/>
        <v>0</v>
      </c>
      <c r="AA104" s="643">
        <f t="shared" si="124"/>
        <v>6000</v>
      </c>
      <c r="AB104" s="643">
        <f t="shared" si="124"/>
        <v>0</v>
      </c>
      <c r="AC104" s="642">
        <f t="shared" si="124"/>
        <v>6000</v>
      </c>
      <c r="AD104" s="642">
        <f t="shared" si="124"/>
        <v>6000</v>
      </c>
      <c r="AE104" s="641">
        <f t="shared" si="124"/>
        <v>0</v>
      </c>
      <c r="AF104" s="640">
        <f t="shared" si="124"/>
        <v>-318807.73123159632</v>
      </c>
      <c r="AG104" s="581">
        <f t="shared" si="124"/>
        <v>-40561314.992262445</v>
      </c>
      <c r="AH104" s="639">
        <f t="shared" si="124"/>
        <v>704</v>
      </c>
      <c r="AI104" s="638">
        <f t="shared" si="124"/>
        <v>33116456</v>
      </c>
    </row>
    <row r="105" spans="1:35" ht="14.25">
      <c r="A105" s="724">
        <v>14</v>
      </c>
      <c r="B105" s="656">
        <v>60</v>
      </c>
      <c r="C105" s="655">
        <v>3875</v>
      </c>
      <c r="D105" s="655"/>
      <c r="E105" s="594"/>
      <c r="F105" s="594"/>
      <c r="G105" s="594"/>
      <c r="H105" s="594"/>
      <c r="I105" s="594"/>
      <c r="J105" s="657">
        <v>1355.67</v>
      </c>
      <c r="K105" s="631">
        <f t="shared" ref="K105:K110" si="125">SUM(C105:J105)</f>
        <v>5230.67</v>
      </c>
      <c r="L105" s="655">
        <v>1000</v>
      </c>
      <c r="M105" s="655"/>
      <c r="N105" s="631">
        <f t="shared" ref="N105:N110" si="126">SUM(L105:M105)</f>
        <v>1000</v>
      </c>
      <c r="O105" s="631">
        <f t="shared" ref="O105:O110" si="127">(K105*12)+N105</f>
        <v>63768.04</v>
      </c>
      <c r="P105" s="771">
        <f t="shared" ref="P105:P110" si="128">O105*B105</f>
        <v>3826082.4</v>
      </c>
      <c r="Q105" s="669"/>
      <c r="R105" s="655"/>
      <c r="S105" s="654"/>
      <c r="T105" s="594"/>
      <c r="U105" s="594"/>
      <c r="V105" s="594"/>
      <c r="W105" s="594"/>
      <c r="X105" s="594"/>
      <c r="Y105" s="654"/>
      <c r="Z105" s="773">
        <f t="shared" ref="Z105:Z110" si="129">SUM(R105:Y105)</f>
        <v>0</v>
      </c>
      <c r="AA105" s="655">
        <v>1000</v>
      </c>
      <c r="AB105" s="654"/>
      <c r="AC105" s="631">
        <f t="shared" ref="AC105:AC110" si="130">SUM(AA105:AB105)</f>
        <v>1000</v>
      </c>
      <c r="AD105" s="631">
        <f t="shared" ref="AD105:AD110" si="131">(Z105*12)+AC105</f>
        <v>1000</v>
      </c>
      <c r="AE105" s="771">
        <f t="shared" ref="AE105:AE110" si="132">AD105*Q105</f>
        <v>0</v>
      </c>
      <c r="AF105" s="741">
        <f t="shared" ref="AF105:AG110" si="133">AD105-O105</f>
        <v>-62768.04</v>
      </c>
      <c r="AG105" s="630">
        <f t="shared" si="133"/>
        <v>-3826082.4</v>
      </c>
      <c r="AH105" s="653">
        <v>60</v>
      </c>
      <c r="AI105" s="668">
        <v>3279120</v>
      </c>
    </row>
    <row r="106" spans="1:35" ht="14.25">
      <c r="A106" s="724">
        <v>13</v>
      </c>
      <c r="B106" s="656">
        <v>84</v>
      </c>
      <c r="C106" s="655">
        <v>3619.6</v>
      </c>
      <c r="D106" s="655"/>
      <c r="E106" s="594"/>
      <c r="F106" s="594"/>
      <c r="G106" s="594"/>
      <c r="H106" s="594"/>
      <c r="I106" s="594"/>
      <c r="J106" s="657">
        <v>1343.6579087624209</v>
      </c>
      <c r="K106" s="631">
        <f t="shared" si="125"/>
        <v>4963.2579087624208</v>
      </c>
      <c r="L106" s="655">
        <v>1000</v>
      </c>
      <c r="M106" s="655"/>
      <c r="N106" s="631">
        <f t="shared" si="126"/>
        <v>1000</v>
      </c>
      <c r="O106" s="631">
        <f t="shared" si="127"/>
        <v>60559.094905149046</v>
      </c>
      <c r="P106" s="771">
        <f t="shared" si="128"/>
        <v>5086963.97203252</v>
      </c>
      <c r="Q106" s="669"/>
      <c r="R106" s="655"/>
      <c r="S106" s="654"/>
      <c r="T106" s="594"/>
      <c r="U106" s="594"/>
      <c r="V106" s="594"/>
      <c r="W106" s="594"/>
      <c r="X106" s="594"/>
      <c r="Y106" s="654"/>
      <c r="Z106" s="773">
        <f t="shared" si="129"/>
        <v>0</v>
      </c>
      <c r="AA106" s="655">
        <v>1000</v>
      </c>
      <c r="AB106" s="654"/>
      <c r="AC106" s="631">
        <f t="shared" si="130"/>
        <v>1000</v>
      </c>
      <c r="AD106" s="631">
        <f t="shared" si="131"/>
        <v>1000</v>
      </c>
      <c r="AE106" s="771">
        <f t="shared" si="132"/>
        <v>0</v>
      </c>
      <c r="AF106" s="741">
        <f t="shared" si="133"/>
        <v>-59559.094905149046</v>
      </c>
      <c r="AG106" s="630">
        <f t="shared" si="133"/>
        <v>-5086963.97203252</v>
      </c>
      <c r="AH106" s="653">
        <v>83</v>
      </c>
      <c r="AI106" s="668">
        <v>4224368</v>
      </c>
    </row>
    <row r="107" spans="1:35" ht="14.25">
      <c r="A107" s="724">
        <v>12</v>
      </c>
      <c r="B107" s="656">
        <v>251</v>
      </c>
      <c r="C107" s="655">
        <v>3409</v>
      </c>
      <c r="D107" s="655"/>
      <c r="E107" s="594"/>
      <c r="F107" s="594"/>
      <c r="G107" s="594"/>
      <c r="H107" s="594"/>
      <c r="I107" s="594"/>
      <c r="J107" s="657">
        <v>1341.8493061391223</v>
      </c>
      <c r="K107" s="631">
        <f t="shared" si="125"/>
        <v>4750.8493061391218</v>
      </c>
      <c r="L107" s="655">
        <v>1000</v>
      </c>
      <c r="M107" s="655"/>
      <c r="N107" s="631">
        <f t="shared" si="126"/>
        <v>1000</v>
      </c>
      <c r="O107" s="631">
        <f t="shared" si="127"/>
        <v>58010.191673669462</v>
      </c>
      <c r="P107" s="771">
        <f t="shared" si="128"/>
        <v>14560558.110091034</v>
      </c>
      <c r="Q107" s="669"/>
      <c r="R107" s="655"/>
      <c r="S107" s="654"/>
      <c r="T107" s="594"/>
      <c r="U107" s="594"/>
      <c r="V107" s="594"/>
      <c r="W107" s="594"/>
      <c r="X107" s="594"/>
      <c r="Y107" s="654"/>
      <c r="Z107" s="773">
        <f t="shared" si="129"/>
        <v>0</v>
      </c>
      <c r="AA107" s="655">
        <v>1000</v>
      </c>
      <c r="AB107" s="654"/>
      <c r="AC107" s="631">
        <f t="shared" si="130"/>
        <v>1000</v>
      </c>
      <c r="AD107" s="631">
        <f t="shared" si="131"/>
        <v>1000</v>
      </c>
      <c r="AE107" s="771">
        <f t="shared" si="132"/>
        <v>0</v>
      </c>
      <c r="AF107" s="741">
        <f t="shared" si="133"/>
        <v>-57010.191673669462</v>
      </c>
      <c r="AG107" s="630">
        <f t="shared" si="133"/>
        <v>-14560558.110091034</v>
      </c>
      <c r="AH107" s="653">
        <v>250</v>
      </c>
      <c r="AI107" s="668">
        <v>11950000</v>
      </c>
    </row>
    <row r="108" spans="1:35" ht="14.25">
      <c r="A108" s="724">
        <v>11</v>
      </c>
      <c r="B108" s="656">
        <v>230</v>
      </c>
      <c r="C108" s="655">
        <v>3217</v>
      </c>
      <c r="D108" s="655"/>
      <c r="E108" s="594"/>
      <c r="F108" s="594"/>
      <c r="G108" s="594"/>
      <c r="H108" s="594"/>
      <c r="I108" s="594"/>
      <c r="J108" s="657">
        <v>1298.0739062500002</v>
      </c>
      <c r="K108" s="631">
        <f t="shared" si="125"/>
        <v>4515.0739062499997</v>
      </c>
      <c r="L108" s="655">
        <v>1000</v>
      </c>
      <c r="M108" s="655"/>
      <c r="N108" s="631">
        <f t="shared" si="126"/>
        <v>1000</v>
      </c>
      <c r="O108" s="631">
        <f t="shared" si="127"/>
        <v>55180.886874999997</v>
      </c>
      <c r="P108" s="771">
        <f t="shared" si="128"/>
        <v>12691603.981249999</v>
      </c>
      <c r="Q108" s="669"/>
      <c r="R108" s="655"/>
      <c r="S108" s="654"/>
      <c r="T108" s="594"/>
      <c r="U108" s="594"/>
      <c r="V108" s="594"/>
      <c r="W108" s="594"/>
      <c r="X108" s="594"/>
      <c r="Y108" s="654"/>
      <c r="Z108" s="773">
        <f t="shared" si="129"/>
        <v>0</v>
      </c>
      <c r="AA108" s="655">
        <v>1000</v>
      </c>
      <c r="AB108" s="654"/>
      <c r="AC108" s="631">
        <f t="shared" si="130"/>
        <v>1000</v>
      </c>
      <c r="AD108" s="631">
        <f t="shared" si="131"/>
        <v>1000</v>
      </c>
      <c r="AE108" s="771">
        <f t="shared" si="132"/>
        <v>0</v>
      </c>
      <c r="AF108" s="741">
        <f t="shared" si="133"/>
        <v>-54180.886874999997</v>
      </c>
      <c r="AG108" s="630">
        <f t="shared" si="133"/>
        <v>-12691603.981249999</v>
      </c>
      <c r="AH108" s="653">
        <v>230</v>
      </c>
      <c r="AI108" s="668">
        <v>10331600</v>
      </c>
    </row>
    <row r="109" spans="1:35" ht="14.25">
      <c r="A109" s="724">
        <v>10</v>
      </c>
      <c r="B109" s="656">
        <v>86</v>
      </c>
      <c r="C109" s="655">
        <v>2931</v>
      </c>
      <c r="D109" s="655"/>
      <c r="E109" s="594"/>
      <c r="F109" s="594"/>
      <c r="G109" s="594"/>
      <c r="H109" s="594"/>
      <c r="I109" s="594"/>
      <c r="J109" s="657">
        <v>1245.4598148148148</v>
      </c>
      <c r="K109" s="631">
        <f t="shared" si="125"/>
        <v>4176.4598148148143</v>
      </c>
      <c r="L109" s="655">
        <v>1000</v>
      </c>
      <c r="M109" s="655"/>
      <c r="N109" s="631">
        <f t="shared" si="126"/>
        <v>1000</v>
      </c>
      <c r="O109" s="631">
        <f t="shared" si="127"/>
        <v>51117.517777777772</v>
      </c>
      <c r="P109" s="771">
        <f t="shared" si="128"/>
        <v>4396106.5288888887</v>
      </c>
      <c r="Q109" s="669"/>
      <c r="R109" s="655"/>
      <c r="S109" s="654"/>
      <c r="T109" s="594"/>
      <c r="U109" s="594"/>
      <c r="V109" s="594"/>
      <c r="W109" s="594"/>
      <c r="X109" s="594"/>
      <c r="Y109" s="654"/>
      <c r="Z109" s="773">
        <f t="shared" si="129"/>
        <v>0</v>
      </c>
      <c r="AA109" s="655">
        <v>1000</v>
      </c>
      <c r="AB109" s="654"/>
      <c r="AC109" s="631">
        <f t="shared" si="130"/>
        <v>1000</v>
      </c>
      <c r="AD109" s="631">
        <f t="shared" si="131"/>
        <v>1000</v>
      </c>
      <c r="AE109" s="771">
        <f t="shared" si="132"/>
        <v>0</v>
      </c>
      <c r="AF109" s="741">
        <f t="shared" si="133"/>
        <v>-50117.517777777772</v>
      </c>
      <c r="AG109" s="630">
        <f t="shared" si="133"/>
        <v>-4396106.5288888887</v>
      </c>
      <c r="AH109" s="653">
        <v>81</v>
      </c>
      <c r="AI109" s="668">
        <v>3331368</v>
      </c>
    </row>
    <row r="110" spans="1:35" ht="14.25">
      <c r="A110" s="724" t="s">
        <v>7091</v>
      </c>
      <c r="B110" s="656">
        <v>0</v>
      </c>
      <c r="C110" s="655">
        <v>2931</v>
      </c>
      <c r="D110" s="655"/>
      <c r="E110" s="594"/>
      <c r="F110" s="594"/>
      <c r="G110" s="594"/>
      <c r="H110" s="594"/>
      <c r="I110" s="594"/>
      <c r="J110" s="657"/>
      <c r="K110" s="631">
        <f t="shared" si="125"/>
        <v>2931</v>
      </c>
      <c r="L110" s="655">
        <v>1000</v>
      </c>
      <c r="M110" s="655"/>
      <c r="N110" s="631">
        <f t="shared" si="126"/>
        <v>1000</v>
      </c>
      <c r="O110" s="631">
        <f t="shared" si="127"/>
        <v>36172</v>
      </c>
      <c r="P110" s="771">
        <f t="shared" si="128"/>
        <v>0</v>
      </c>
      <c r="Q110" s="669"/>
      <c r="R110" s="655"/>
      <c r="S110" s="654"/>
      <c r="T110" s="594"/>
      <c r="U110" s="594"/>
      <c r="V110" s="594"/>
      <c r="W110" s="594"/>
      <c r="X110" s="594"/>
      <c r="Y110" s="654"/>
      <c r="Z110" s="773">
        <f t="shared" si="129"/>
        <v>0</v>
      </c>
      <c r="AA110" s="655">
        <v>1000</v>
      </c>
      <c r="AB110" s="654"/>
      <c r="AC110" s="631">
        <f t="shared" si="130"/>
        <v>1000</v>
      </c>
      <c r="AD110" s="631">
        <f t="shared" si="131"/>
        <v>1000</v>
      </c>
      <c r="AE110" s="771">
        <f t="shared" si="132"/>
        <v>0</v>
      </c>
      <c r="AF110" s="741">
        <f t="shared" si="133"/>
        <v>-35172</v>
      </c>
      <c r="AG110" s="630">
        <f t="shared" si="133"/>
        <v>0</v>
      </c>
      <c r="AH110" s="653">
        <v>0</v>
      </c>
      <c r="AI110" s="668">
        <v>0</v>
      </c>
    </row>
    <row r="111" spans="1:35" ht="27">
      <c r="A111" s="725" t="s">
        <v>7093</v>
      </c>
      <c r="B111" s="644">
        <f>SUM(B112:B117)</f>
        <v>101</v>
      </c>
      <c r="C111" s="643"/>
      <c r="D111" s="643"/>
      <c r="E111" s="643"/>
      <c r="F111" s="643"/>
      <c r="G111" s="643"/>
      <c r="H111" s="643"/>
      <c r="I111" s="643"/>
      <c r="J111" s="645"/>
      <c r="K111" s="642">
        <f t="shared" ref="K111:Q111" si="134">SUM(K112:K117)</f>
        <v>26567.310935966358</v>
      </c>
      <c r="L111" s="643">
        <f t="shared" si="134"/>
        <v>6000</v>
      </c>
      <c r="M111" s="643">
        <f t="shared" si="134"/>
        <v>0</v>
      </c>
      <c r="N111" s="642">
        <f t="shared" si="134"/>
        <v>6000</v>
      </c>
      <c r="O111" s="642">
        <f t="shared" si="134"/>
        <v>324807.73123159632</v>
      </c>
      <c r="P111" s="641">
        <f t="shared" si="134"/>
        <v>5594352.7333400361</v>
      </c>
      <c r="Q111" s="644">
        <f t="shared" si="134"/>
        <v>0</v>
      </c>
      <c r="R111" s="643"/>
      <c r="S111" s="643"/>
      <c r="T111" s="643"/>
      <c r="U111" s="643"/>
      <c r="V111" s="643"/>
      <c r="W111" s="643"/>
      <c r="X111" s="643"/>
      <c r="Y111" s="643">
        <f t="shared" ref="Y111:AI111" si="135">SUM(Y112:Y117)</f>
        <v>0</v>
      </c>
      <c r="Z111" s="643">
        <f t="shared" si="135"/>
        <v>0</v>
      </c>
      <c r="AA111" s="643">
        <f t="shared" si="135"/>
        <v>6000</v>
      </c>
      <c r="AB111" s="643">
        <f t="shared" si="135"/>
        <v>0</v>
      </c>
      <c r="AC111" s="642">
        <f t="shared" si="135"/>
        <v>6000</v>
      </c>
      <c r="AD111" s="642">
        <f t="shared" si="135"/>
        <v>6000</v>
      </c>
      <c r="AE111" s="641">
        <f t="shared" si="135"/>
        <v>0</v>
      </c>
      <c r="AF111" s="640">
        <f t="shared" si="135"/>
        <v>-318807.73123159632</v>
      </c>
      <c r="AG111" s="581">
        <f t="shared" si="135"/>
        <v>-5594352.7333400361</v>
      </c>
      <c r="AH111" s="639">
        <f t="shared" si="135"/>
        <v>100</v>
      </c>
      <c r="AI111" s="638">
        <f t="shared" si="135"/>
        <v>4539292</v>
      </c>
    </row>
    <row r="112" spans="1:35" ht="14.25">
      <c r="A112" s="724">
        <v>5</v>
      </c>
      <c r="B112" s="656">
        <v>3</v>
      </c>
      <c r="C112" s="655">
        <v>3875</v>
      </c>
      <c r="D112" s="655"/>
      <c r="E112" s="594"/>
      <c r="F112" s="594"/>
      <c r="G112" s="594"/>
      <c r="H112" s="594"/>
      <c r="I112" s="594"/>
      <c r="J112" s="657">
        <v>1355.67</v>
      </c>
      <c r="K112" s="631">
        <f t="shared" ref="K112:K117" si="136">SUM(C112:J112)</f>
        <v>5230.67</v>
      </c>
      <c r="L112" s="655">
        <v>1000</v>
      </c>
      <c r="M112" s="655"/>
      <c r="N112" s="631">
        <f t="shared" ref="N112:N117" si="137">SUM(L112:M112)</f>
        <v>1000</v>
      </c>
      <c r="O112" s="631">
        <f t="shared" ref="O112:O117" si="138">(K112*12)+N112</f>
        <v>63768.04</v>
      </c>
      <c r="P112" s="771">
        <f t="shared" ref="P112:P117" si="139">O112*B112</f>
        <v>191304.12</v>
      </c>
      <c r="Q112" s="669"/>
      <c r="R112" s="655"/>
      <c r="S112" s="654"/>
      <c r="T112" s="594"/>
      <c r="U112" s="594"/>
      <c r="V112" s="594"/>
      <c r="W112" s="594"/>
      <c r="X112" s="594"/>
      <c r="Y112" s="654"/>
      <c r="Z112" s="773">
        <f t="shared" ref="Z112:Z117" si="140">SUM(R112:Y112)</f>
        <v>0</v>
      </c>
      <c r="AA112" s="655">
        <v>1000</v>
      </c>
      <c r="AB112" s="654"/>
      <c r="AC112" s="631">
        <f t="shared" ref="AC112:AC117" si="141">SUM(AA112:AB112)</f>
        <v>1000</v>
      </c>
      <c r="AD112" s="631">
        <f t="shared" ref="AD112:AD117" si="142">(Z112*12)+AC112</f>
        <v>1000</v>
      </c>
      <c r="AE112" s="771">
        <f t="shared" ref="AE112:AE117" si="143">AD112*Q112</f>
        <v>0</v>
      </c>
      <c r="AF112" s="741">
        <f t="shared" ref="AF112:AG117" si="144">AD112-O112</f>
        <v>-62768.04</v>
      </c>
      <c r="AG112" s="630">
        <f t="shared" si="144"/>
        <v>-191304.12</v>
      </c>
      <c r="AH112" s="653">
        <v>3</v>
      </c>
      <c r="AI112" s="668">
        <v>163956</v>
      </c>
    </row>
    <row r="113" spans="1:35" ht="14.25">
      <c r="A113" s="724">
        <v>4</v>
      </c>
      <c r="B113" s="656">
        <v>14</v>
      </c>
      <c r="C113" s="655">
        <v>3619.6</v>
      </c>
      <c r="D113" s="655"/>
      <c r="E113" s="594"/>
      <c r="F113" s="594"/>
      <c r="G113" s="594"/>
      <c r="H113" s="594"/>
      <c r="I113" s="594"/>
      <c r="J113" s="657">
        <v>1343.6579087624209</v>
      </c>
      <c r="K113" s="631">
        <f t="shared" si="136"/>
        <v>4963.2579087624208</v>
      </c>
      <c r="L113" s="655">
        <v>1000</v>
      </c>
      <c r="M113" s="655"/>
      <c r="N113" s="631">
        <f t="shared" si="137"/>
        <v>1000</v>
      </c>
      <c r="O113" s="631">
        <f t="shared" si="138"/>
        <v>60559.094905149046</v>
      </c>
      <c r="P113" s="771">
        <f t="shared" si="139"/>
        <v>847827.32867208659</v>
      </c>
      <c r="Q113" s="669"/>
      <c r="R113" s="655"/>
      <c r="S113" s="654"/>
      <c r="T113" s="594"/>
      <c r="U113" s="594"/>
      <c r="V113" s="594"/>
      <c r="W113" s="594"/>
      <c r="X113" s="594"/>
      <c r="Y113" s="654"/>
      <c r="Z113" s="773">
        <f t="shared" si="140"/>
        <v>0</v>
      </c>
      <c r="AA113" s="655">
        <v>1000</v>
      </c>
      <c r="AB113" s="654"/>
      <c r="AC113" s="631">
        <f t="shared" si="141"/>
        <v>1000</v>
      </c>
      <c r="AD113" s="631">
        <f t="shared" si="142"/>
        <v>1000</v>
      </c>
      <c r="AE113" s="771">
        <f t="shared" si="143"/>
        <v>0</v>
      </c>
      <c r="AF113" s="741">
        <f t="shared" si="144"/>
        <v>-59559.094905149046</v>
      </c>
      <c r="AG113" s="630">
        <f t="shared" si="144"/>
        <v>-847827.32867208659</v>
      </c>
      <c r="AH113" s="653">
        <v>14</v>
      </c>
      <c r="AI113" s="668">
        <v>712544</v>
      </c>
    </row>
    <row r="114" spans="1:35" ht="14.25">
      <c r="A114" s="724">
        <v>3</v>
      </c>
      <c r="B114" s="656">
        <v>22</v>
      </c>
      <c r="C114" s="655">
        <v>3409</v>
      </c>
      <c r="D114" s="655"/>
      <c r="E114" s="594"/>
      <c r="F114" s="594"/>
      <c r="G114" s="594"/>
      <c r="H114" s="594"/>
      <c r="I114" s="594"/>
      <c r="J114" s="657">
        <v>1341.8493061391223</v>
      </c>
      <c r="K114" s="631">
        <f t="shared" si="136"/>
        <v>4750.8493061391218</v>
      </c>
      <c r="L114" s="655">
        <v>1000</v>
      </c>
      <c r="M114" s="655"/>
      <c r="N114" s="631">
        <f t="shared" si="137"/>
        <v>1000</v>
      </c>
      <c r="O114" s="631">
        <f t="shared" si="138"/>
        <v>58010.191673669462</v>
      </c>
      <c r="P114" s="771">
        <f t="shared" si="139"/>
        <v>1276224.2168207283</v>
      </c>
      <c r="Q114" s="669"/>
      <c r="R114" s="655"/>
      <c r="S114" s="654"/>
      <c r="T114" s="594"/>
      <c r="U114" s="594"/>
      <c r="V114" s="594"/>
      <c r="W114" s="594"/>
      <c r="X114" s="594"/>
      <c r="Y114" s="654"/>
      <c r="Z114" s="773">
        <f t="shared" si="140"/>
        <v>0</v>
      </c>
      <c r="AA114" s="655">
        <v>1000</v>
      </c>
      <c r="AB114" s="654"/>
      <c r="AC114" s="631">
        <f t="shared" si="141"/>
        <v>1000</v>
      </c>
      <c r="AD114" s="631">
        <f t="shared" si="142"/>
        <v>1000</v>
      </c>
      <c r="AE114" s="771">
        <f t="shared" si="143"/>
        <v>0</v>
      </c>
      <c r="AF114" s="741">
        <f t="shared" si="144"/>
        <v>-57010.191673669462</v>
      </c>
      <c r="AG114" s="630">
        <f t="shared" si="144"/>
        <v>-1276224.2168207283</v>
      </c>
      <c r="AH114" s="653">
        <v>22</v>
      </c>
      <c r="AI114" s="668">
        <v>1051600</v>
      </c>
    </row>
    <row r="115" spans="1:35" ht="14.25">
      <c r="A115" s="724">
        <v>2</v>
      </c>
      <c r="B115" s="656">
        <v>27</v>
      </c>
      <c r="C115" s="655">
        <v>3217</v>
      </c>
      <c r="D115" s="655"/>
      <c r="E115" s="594"/>
      <c r="F115" s="594"/>
      <c r="G115" s="594"/>
      <c r="H115" s="594"/>
      <c r="I115" s="594"/>
      <c r="J115" s="657">
        <v>1298.0739062500002</v>
      </c>
      <c r="K115" s="631">
        <f t="shared" si="136"/>
        <v>4515.0739062499997</v>
      </c>
      <c r="L115" s="655">
        <v>1000</v>
      </c>
      <c r="M115" s="655"/>
      <c r="N115" s="631">
        <f t="shared" si="137"/>
        <v>1000</v>
      </c>
      <c r="O115" s="631">
        <f t="shared" si="138"/>
        <v>55180.886874999997</v>
      </c>
      <c r="P115" s="771">
        <f t="shared" si="139"/>
        <v>1489883.9456249999</v>
      </c>
      <c r="Q115" s="669"/>
      <c r="R115" s="655"/>
      <c r="S115" s="654"/>
      <c r="T115" s="594"/>
      <c r="U115" s="594"/>
      <c r="V115" s="594"/>
      <c r="W115" s="594"/>
      <c r="X115" s="594"/>
      <c r="Y115" s="654"/>
      <c r="Z115" s="773">
        <f t="shared" si="140"/>
        <v>0</v>
      </c>
      <c r="AA115" s="655">
        <v>1000</v>
      </c>
      <c r="AB115" s="654"/>
      <c r="AC115" s="631">
        <f t="shared" si="141"/>
        <v>1000</v>
      </c>
      <c r="AD115" s="631">
        <f t="shared" si="142"/>
        <v>1000</v>
      </c>
      <c r="AE115" s="771">
        <f t="shared" si="143"/>
        <v>0</v>
      </c>
      <c r="AF115" s="741">
        <f t="shared" si="144"/>
        <v>-54180.886874999997</v>
      </c>
      <c r="AG115" s="630">
        <f t="shared" si="144"/>
        <v>-1489883.9456249999</v>
      </c>
      <c r="AH115" s="653">
        <v>27</v>
      </c>
      <c r="AI115" s="668">
        <v>1212840</v>
      </c>
    </row>
    <row r="116" spans="1:35" ht="14.25">
      <c r="A116" s="724">
        <v>1</v>
      </c>
      <c r="B116" s="656">
        <v>35</v>
      </c>
      <c r="C116" s="655">
        <v>2931</v>
      </c>
      <c r="D116" s="655"/>
      <c r="E116" s="594"/>
      <c r="F116" s="594"/>
      <c r="G116" s="594"/>
      <c r="H116" s="594"/>
      <c r="I116" s="594"/>
      <c r="J116" s="657">
        <v>1245.4598148148148</v>
      </c>
      <c r="K116" s="631">
        <f t="shared" si="136"/>
        <v>4176.4598148148143</v>
      </c>
      <c r="L116" s="655">
        <v>1000</v>
      </c>
      <c r="M116" s="655"/>
      <c r="N116" s="631">
        <f t="shared" si="137"/>
        <v>1000</v>
      </c>
      <c r="O116" s="631">
        <f t="shared" si="138"/>
        <v>51117.517777777772</v>
      </c>
      <c r="P116" s="771">
        <f t="shared" si="139"/>
        <v>1789113.1222222219</v>
      </c>
      <c r="Q116" s="669"/>
      <c r="R116" s="655"/>
      <c r="S116" s="654"/>
      <c r="T116" s="594"/>
      <c r="U116" s="594"/>
      <c r="V116" s="594"/>
      <c r="W116" s="594"/>
      <c r="X116" s="594"/>
      <c r="Y116" s="654"/>
      <c r="Z116" s="773">
        <f t="shared" si="140"/>
        <v>0</v>
      </c>
      <c r="AA116" s="655">
        <v>1000</v>
      </c>
      <c r="AB116" s="654"/>
      <c r="AC116" s="631">
        <f t="shared" si="141"/>
        <v>1000</v>
      </c>
      <c r="AD116" s="631">
        <f t="shared" si="142"/>
        <v>1000</v>
      </c>
      <c r="AE116" s="771">
        <f t="shared" si="143"/>
        <v>0</v>
      </c>
      <c r="AF116" s="741">
        <f t="shared" si="144"/>
        <v>-50117.517777777772</v>
      </c>
      <c r="AG116" s="630">
        <f t="shared" si="144"/>
        <v>-1789113.1222222219</v>
      </c>
      <c r="AH116" s="653">
        <v>34</v>
      </c>
      <c r="AI116" s="668">
        <v>1398352</v>
      </c>
    </row>
    <row r="117" spans="1:35" ht="14.25">
      <c r="A117" s="724" t="s">
        <v>7091</v>
      </c>
      <c r="B117" s="656">
        <v>0</v>
      </c>
      <c r="C117" s="655">
        <v>2931</v>
      </c>
      <c r="D117" s="655"/>
      <c r="E117" s="594"/>
      <c r="F117" s="594"/>
      <c r="G117" s="594"/>
      <c r="H117" s="594"/>
      <c r="I117" s="594"/>
      <c r="J117" s="657"/>
      <c r="K117" s="631">
        <f t="shared" si="136"/>
        <v>2931</v>
      </c>
      <c r="L117" s="655">
        <v>1000</v>
      </c>
      <c r="M117" s="655"/>
      <c r="N117" s="631">
        <f t="shared" si="137"/>
        <v>1000</v>
      </c>
      <c r="O117" s="631">
        <f t="shared" si="138"/>
        <v>36172</v>
      </c>
      <c r="P117" s="771">
        <f t="shared" si="139"/>
        <v>0</v>
      </c>
      <c r="Q117" s="669"/>
      <c r="R117" s="655"/>
      <c r="S117" s="654"/>
      <c r="T117" s="594"/>
      <c r="U117" s="594"/>
      <c r="V117" s="594"/>
      <c r="W117" s="594"/>
      <c r="X117" s="594"/>
      <c r="Y117" s="654"/>
      <c r="Z117" s="773">
        <f t="shared" si="140"/>
        <v>0</v>
      </c>
      <c r="AA117" s="655">
        <v>1000</v>
      </c>
      <c r="AB117" s="654"/>
      <c r="AC117" s="631">
        <f t="shared" si="141"/>
        <v>1000</v>
      </c>
      <c r="AD117" s="631">
        <f t="shared" si="142"/>
        <v>1000</v>
      </c>
      <c r="AE117" s="771">
        <f t="shared" si="143"/>
        <v>0</v>
      </c>
      <c r="AF117" s="741">
        <f t="shared" si="144"/>
        <v>-35172</v>
      </c>
      <c r="AG117" s="630">
        <f t="shared" si="144"/>
        <v>0</v>
      </c>
      <c r="AH117" s="653">
        <v>0</v>
      </c>
      <c r="AI117" s="668">
        <v>0</v>
      </c>
    </row>
    <row r="118" spans="1:35" ht="94.5">
      <c r="A118" s="646" t="s">
        <v>7092</v>
      </c>
      <c r="B118" s="666">
        <f>SUM(B119:B124)</f>
        <v>197</v>
      </c>
      <c r="C118" s="665"/>
      <c r="D118" s="665"/>
      <c r="E118" s="665"/>
      <c r="F118" s="665"/>
      <c r="G118" s="665"/>
      <c r="H118" s="665"/>
      <c r="I118" s="665"/>
      <c r="J118" s="667"/>
      <c r="K118" s="664">
        <f t="shared" ref="K118:Q118" si="145">SUM(K119:K124)</f>
        <v>26567.310935966358</v>
      </c>
      <c r="L118" s="665">
        <f t="shared" si="145"/>
        <v>6000</v>
      </c>
      <c r="M118" s="665">
        <f t="shared" si="145"/>
        <v>0</v>
      </c>
      <c r="N118" s="664">
        <f t="shared" si="145"/>
        <v>6000</v>
      </c>
      <c r="O118" s="664">
        <f t="shared" si="145"/>
        <v>324807.73123159632</v>
      </c>
      <c r="P118" s="663">
        <f t="shared" si="145"/>
        <v>11222092.938280029</v>
      </c>
      <c r="Q118" s="666">
        <f t="shared" si="145"/>
        <v>0</v>
      </c>
      <c r="R118" s="665"/>
      <c r="S118" s="665"/>
      <c r="T118" s="665"/>
      <c r="U118" s="665"/>
      <c r="V118" s="665"/>
      <c r="W118" s="665"/>
      <c r="X118" s="665"/>
      <c r="Y118" s="665">
        <f t="shared" ref="Y118:AI118" si="146">SUM(Y119:Y124)</f>
        <v>0</v>
      </c>
      <c r="Z118" s="665">
        <f t="shared" si="146"/>
        <v>0</v>
      </c>
      <c r="AA118" s="665">
        <f t="shared" si="146"/>
        <v>6000</v>
      </c>
      <c r="AB118" s="665">
        <f t="shared" si="146"/>
        <v>0</v>
      </c>
      <c r="AC118" s="664">
        <f t="shared" si="146"/>
        <v>6000</v>
      </c>
      <c r="AD118" s="664">
        <f t="shared" si="146"/>
        <v>6000</v>
      </c>
      <c r="AE118" s="663">
        <f t="shared" si="146"/>
        <v>0</v>
      </c>
      <c r="AF118" s="662">
        <f t="shared" si="146"/>
        <v>-318807.73123159632</v>
      </c>
      <c r="AG118" s="661">
        <f t="shared" si="146"/>
        <v>-11222092.938280029</v>
      </c>
      <c r="AH118" s="660">
        <f t="shared" si="146"/>
        <v>184</v>
      </c>
      <c r="AI118" s="659">
        <f t="shared" si="146"/>
        <v>8680024</v>
      </c>
    </row>
    <row r="119" spans="1:35" ht="14.25">
      <c r="A119" s="724" t="s">
        <v>7015</v>
      </c>
      <c r="B119" s="656">
        <v>27</v>
      </c>
      <c r="C119" s="655">
        <v>3875</v>
      </c>
      <c r="D119" s="655"/>
      <c r="E119" s="594"/>
      <c r="F119" s="594"/>
      <c r="G119" s="594"/>
      <c r="H119" s="594"/>
      <c r="I119" s="594"/>
      <c r="J119" s="657">
        <v>1355.67</v>
      </c>
      <c r="K119" s="631">
        <f t="shared" ref="K119:K124" si="147">SUM(C119:J119)</f>
        <v>5230.67</v>
      </c>
      <c r="L119" s="655">
        <v>1000</v>
      </c>
      <c r="M119" s="655"/>
      <c r="N119" s="631">
        <f t="shared" ref="N119:N124" si="148">SUM(L119:M119)</f>
        <v>1000</v>
      </c>
      <c r="O119" s="631">
        <f t="shared" ref="O119:O124" si="149">(K119*12)+N119</f>
        <v>63768.04</v>
      </c>
      <c r="P119" s="771">
        <f t="shared" ref="P119:P124" si="150">O119*B119</f>
        <v>1721737.08</v>
      </c>
      <c r="Q119" s="669"/>
      <c r="R119" s="655"/>
      <c r="S119" s="654"/>
      <c r="T119" s="594"/>
      <c r="U119" s="594"/>
      <c r="V119" s="594"/>
      <c r="W119" s="594"/>
      <c r="X119" s="594"/>
      <c r="Y119" s="654"/>
      <c r="Z119" s="773">
        <f t="shared" ref="Z119:Z124" si="151">SUM(R119:Y119)</f>
        <v>0</v>
      </c>
      <c r="AA119" s="655">
        <v>1000</v>
      </c>
      <c r="AB119" s="654"/>
      <c r="AC119" s="631">
        <f t="shared" ref="AC119:AC124" si="152">SUM(AA119:AB119)</f>
        <v>1000</v>
      </c>
      <c r="AD119" s="631">
        <f t="shared" ref="AD119:AD124" si="153">(Z119*12)+AC119</f>
        <v>1000</v>
      </c>
      <c r="AE119" s="771">
        <f t="shared" ref="AE119:AE124" si="154">AD119*Q119</f>
        <v>0</v>
      </c>
      <c r="AF119" s="741">
        <f t="shared" ref="AF119:AG124" si="155">AD119-O119</f>
        <v>-62768.04</v>
      </c>
      <c r="AG119" s="630">
        <f t="shared" si="155"/>
        <v>-1721737.08</v>
      </c>
      <c r="AH119" s="653">
        <v>24</v>
      </c>
      <c r="AI119" s="668">
        <v>1311648</v>
      </c>
    </row>
    <row r="120" spans="1:35" ht="14.25">
      <c r="A120" s="724" t="s">
        <v>7014</v>
      </c>
      <c r="B120" s="656">
        <v>23</v>
      </c>
      <c r="C120" s="655">
        <v>3619.6</v>
      </c>
      <c r="D120" s="655"/>
      <c r="E120" s="594"/>
      <c r="F120" s="594"/>
      <c r="G120" s="594"/>
      <c r="H120" s="594"/>
      <c r="I120" s="594"/>
      <c r="J120" s="657">
        <v>1343.6579087624209</v>
      </c>
      <c r="K120" s="631">
        <f t="shared" si="147"/>
        <v>4963.2579087624208</v>
      </c>
      <c r="L120" s="655">
        <v>1000</v>
      </c>
      <c r="M120" s="655"/>
      <c r="N120" s="631">
        <f t="shared" si="148"/>
        <v>1000</v>
      </c>
      <c r="O120" s="631">
        <f t="shared" si="149"/>
        <v>60559.094905149046</v>
      </c>
      <c r="P120" s="771">
        <f t="shared" si="150"/>
        <v>1392859.1828184281</v>
      </c>
      <c r="Q120" s="669"/>
      <c r="R120" s="655"/>
      <c r="S120" s="654"/>
      <c r="T120" s="594"/>
      <c r="U120" s="594"/>
      <c r="V120" s="594"/>
      <c r="W120" s="594"/>
      <c r="X120" s="594"/>
      <c r="Y120" s="654"/>
      <c r="Z120" s="773">
        <f t="shared" si="151"/>
        <v>0</v>
      </c>
      <c r="AA120" s="655">
        <v>1000</v>
      </c>
      <c r="AB120" s="654"/>
      <c r="AC120" s="631">
        <f t="shared" si="152"/>
        <v>1000</v>
      </c>
      <c r="AD120" s="631">
        <f t="shared" si="153"/>
        <v>1000</v>
      </c>
      <c r="AE120" s="771">
        <f t="shared" si="154"/>
        <v>0</v>
      </c>
      <c r="AF120" s="741">
        <f t="shared" si="155"/>
        <v>-59559.094905149046</v>
      </c>
      <c r="AG120" s="630">
        <f t="shared" si="155"/>
        <v>-1392859.1828184281</v>
      </c>
      <c r="AH120" s="653">
        <v>23</v>
      </c>
      <c r="AI120" s="668">
        <v>1170608</v>
      </c>
    </row>
    <row r="121" spans="1:35" ht="14.25">
      <c r="A121" s="724" t="s">
        <v>7013</v>
      </c>
      <c r="B121" s="656">
        <v>56</v>
      </c>
      <c r="C121" s="655">
        <v>3409</v>
      </c>
      <c r="D121" s="655"/>
      <c r="E121" s="594"/>
      <c r="F121" s="594"/>
      <c r="G121" s="594"/>
      <c r="H121" s="594"/>
      <c r="I121" s="594"/>
      <c r="J121" s="657">
        <v>1341.8493061391223</v>
      </c>
      <c r="K121" s="631">
        <f t="shared" si="147"/>
        <v>4750.8493061391218</v>
      </c>
      <c r="L121" s="655">
        <v>1000</v>
      </c>
      <c r="M121" s="655"/>
      <c r="N121" s="631">
        <f t="shared" si="148"/>
        <v>1000</v>
      </c>
      <c r="O121" s="631">
        <f t="shared" si="149"/>
        <v>58010.191673669462</v>
      </c>
      <c r="P121" s="771">
        <f t="shared" si="150"/>
        <v>3248570.73372549</v>
      </c>
      <c r="Q121" s="669"/>
      <c r="R121" s="655"/>
      <c r="S121" s="654"/>
      <c r="T121" s="594"/>
      <c r="U121" s="594"/>
      <c r="V121" s="594"/>
      <c r="W121" s="594"/>
      <c r="X121" s="594"/>
      <c r="Y121" s="654"/>
      <c r="Z121" s="773">
        <f t="shared" si="151"/>
        <v>0</v>
      </c>
      <c r="AA121" s="655">
        <v>1000</v>
      </c>
      <c r="AB121" s="654"/>
      <c r="AC121" s="631">
        <f t="shared" si="152"/>
        <v>1000</v>
      </c>
      <c r="AD121" s="631">
        <f t="shared" si="153"/>
        <v>1000</v>
      </c>
      <c r="AE121" s="771">
        <f t="shared" si="154"/>
        <v>0</v>
      </c>
      <c r="AF121" s="741">
        <f t="shared" si="155"/>
        <v>-57010.191673669462</v>
      </c>
      <c r="AG121" s="630">
        <f t="shared" si="155"/>
        <v>-3248570.73372549</v>
      </c>
      <c r="AH121" s="653">
        <v>56</v>
      </c>
      <c r="AI121" s="668">
        <v>2676800</v>
      </c>
    </row>
    <row r="122" spans="1:35" ht="14.25">
      <c r="A122" s="724" t="s">
        <v>7012</v>
      </c>
      <c r="B122" s="656">
        <v>51</v>
      </c>
      <c r="C122" s="655">
        <v>3217</v>
      </c>
      <c r="D122" s="655"/>
      <c r="E122" s="594"/>
      <c r="F122" s="594"/>
      <c r="G122" s="594"/>
      <c r="H122" s="594"/>
      <c r="I122" s="594"/>
      <c r="J122" s="657">
        <v>1298.0739062500002</v>
      </c>
      <c r="K122" s="631">
        <f t="shared" si="147"/>
        <v>4515.0739062499997</v>
      </c>
      <c r="L122" s="655">
        <v>1000</v>
      </c>
      <c r="M122" s="655"/>
      <c r="N122" s="631">
        <f t="shared" si="148"/>
        <v>1000</v>
      </c>
      <c r="O122" s="631">
        <f t="shared" si="149"/>
        <v>55180.886874999997</v>
      </c>
      <c r="P122" s="771">
        <f t="shared" si="150"/>
        <v>2814225.2306249999</v>
      </c>
      <c r="Q122" s="669"/>
      <c r="R122" s="655"/>
      <c r="S122" s="654"/>
      <c r="T122" s="594"/>
      <c r="U122" s="594"/>
      <c r="V122" s="594"/>
      <c r="W122" s="594"/>
      <c r="X122" s="594"/>
      <c r="Y122" s="654"/>
      <c r="Z122" s="773">
        <f t="shared" si="151"/>
        <v>0</v>
      </c>
      <c r="AA122" s="655">
        <v>1000</v>
      </c>
      <c r="AB122" s="654"/>
      <c r="AC122" s="631">
        <f t="shared" si="152"/>
        <v>1000</v>
      </c>
      <c r="AD122" s="631">
        <f t="shared" si="153"/>
        <v>1000</v>
      </c>
      <c r="AE122" s="771">
        <f t="shared" si="154"/>
        <v>0</v>
      </c>
      <c r="AF122" s="741">
        <f t="shared" si="155"/>
        <v>-54180.886874999997</v>
      </c>
      <c r="AG122" s="630">
        <f t="shared" si="155"/>
        <v>-2814225.2306249999</v>
      </c>
      <c r="AH122" s="653">
        <v>50</v>
      </c>
      <c r="AI122" s="668">
        <v>2246000</v>
      </c>
    </row>
    <row r="123" spans="1:35" ht="14.25">
      <c r="A123" s="724" t="s">
        <v>7011</v>
      </c>
      <c r="B123" s="656">
        <v>40</v>
      </c>
      <c r="C123" s="655">
        <v>2931</v>
      </c>
      <c r="D123" s="655"/>
      <c r="E123" s="594"/>
      <c r="F123" s="594"/>
      <c r="G123" s="594"/>
      <c r="H123" s="594"/>
      <c r="I123" s="594"/>
      <c r="J123" s="657">
        <v>1245.4598148148148</v>
      </c>
      <c r="K123" s="631">
        <f t="shared" si="147"/>
        <v>4176.4598148148143</v>
      </c>
      <c r="L123" s="655">
        <v>1000</v>
      </c>
      <c r="M123" s="655"/>
      <c r="N123" s="631">
        <f t="shared" si="148"/>
        <v>1000</v>
      </c>
      <c r="O123" s="631">
        <f t="shared" si="149"/>
        <v>51117.517777777772</v>
      </c>
      <c r="P123" s="771">
        <f t="shared" si="150"/>
        <v>2044700.7111111109</v>
      </c>
      <c r="Q123" s="669"/>
      <c r="R123" s="655"/>
      <c r="S123" s="654"/>
      <c r="T123" s="594"/>
      <c r="U123" s="594"/>
      <c r="V123" s="594"/>
      <c r="W123" s="594"/>
      <c r="X123" s="594"/>
      <c r="Y123" s="654"/>
      <c r="Z123" s="773">
        <f t="shared" si="151"/>
        <v>0</v>
      </c>
      <c r="AA123" s="655">
        <v>1000</v>
      </c>
      <c r="AB123" s="654"/>
      <c r="AC123" s="631">
        <f t="shared" si="152"/>
        <v>1000</v>
      </c>
      <c r="AD123" s="631">
        <f t="shared" si="153"/>
        <v>1000</v>
      </c>
      <c r="AE123" s="771">
        <f t="shared" si="154"/>
        <v>0</v>
      </c>
      <c r="AF123" s="741">
        <f t="shared" si="155"/>
        <v>-50117.517777777772</v>
      </c>
      <c r="AG123" s="630">
        <f t="shared" si="155"/>
        <v>-2044700.7111111109</v>
      </c>
      <c r="AH123" s="653">
        <v>31</v>
      </c>
      <c r="AI123" s="668">
        <v>1274968</v>
      </c>
    </row>
    <row r="124" spans="1:35" ht="14.25">
      <c r="A124" s="724" t="s">
        <v>7091</v>
      </c>
      <c r="B124" s="656">
        <v>0</v>
      </c>
      <c r="C124" s="655">
        <v>2931</v>
      </c>
      <c r="D124" s="655"/>
      <c r="E124" s="594"/>
      <c r="F124" s="594"/>
      <c r="G124" s="594"/>
      <c r="H124" s="594"/>
      <c r="I124" s="594"/>
      <c r="J124" s="657"/>
      <c r="K124" s="631">
        <f t="shared" si="147"/>
        <v>2931</v>
      </c>
      <c r="L124" s="655">
        <v>1000</v>
      </c>
      <c r="M124" s="655"/>
      <c r="N124" s="631">
        <f t="shared" si="148"/>
        <v>1000</v>
      </c>
      <c r="O124" s="631">
        <f t="shared" si="149"/>
        <v>36172</v>
      </c>
      <c r="P124" s="771">
        <f t="shared" si="150"/>
        <v>0</v>
      </c>
      <c r="Q124" s="669"/>
      <c r="R124" s="655"/>
      <c r="S124" s="654"/>
      <c r="T124" s="594"/>
      <c r="U124" s="594"/>
      <c r="V124" s="594"/>
      <c r="W124" s="594"/>
      <c r="X124" s="594"/>
      <c r="Y124" s="654"/>
      <c r="Z124" s="773">
        <f t="shared" si="151"/>
        <v>0</v>
      </c>
      <c r="AA124" s="655">
        <v>1000</v>
      </c>
      <c r="AB124" s="654"/>
      <c r="AC124" s="631">
        <f t="shared" si="152"/>
        <v>1000</v>
      </c>
      <c r="AD124" s="631">
        <f t="shared" si="153"/>
        <v>1000</v>
      </c>
      <c r="AE124" s="771">
        <f t="shared" si="154"/>
        <v>0</v>
      </c>
      <c r="AF124" s="741">
        <f t="shared" si="155"/>
        <v>-35172</v>
      </c>
      <c r="AG124" s="630">
        <f t="shared" si="155"/>
        <v>0</v>
      </c>
      <c r="AH124" s="653">
        <v>0</v>
      </c>
      <c r="AI124" s="668">
        <v>0</v>
      </c>
    </row>
    <row r="125" spans="1:35" ht="54">
      <c r="A125" s="646" t="s">
        <v>7090</v>
      </c>
      <c r="B125" s="666">
        <f>SUM(B126:B143)</f>
        <v>1019</v>
      </c>
      <c r="C125" s="665"/>
      <c r="D125" s="665"/>
      <c r="E125" s="665"/>
      <c r="F125" s="665"/>
      <c r="G125" s="665"/>
      <c r="H125" s="665"/>
      <c r="I125" s="665"/>
      <c r="J125" s="667"/>
      <c r="K125" s="664">
        <f t="shared" ref="K125:Q125" si="156">SUM(K126:K143)</f>
        <v>45440.876123650625</v>
      </c>
      <c r="L125" s="665">
        <f t="shared" si="156"/>
        <v>18000</v>
      </c>
      <c r="M125" s="665">
        <f t="shared" si="156"/>
        <v>0</v>
      </c>
      <c r="N125" s="664">
        <f t="shared" si="156"/>
        <v>18000</v>
      </c>
      <c r="O125" s="664">
        <f t="shared" si="156"/>
        <v>563290.51348380744</v>
      </c>
      <c r="P125" s="663">
        <f t="shared" si="156"/>
        <v>31021235.99488166</v>
      </c>
      <c r="Q125" s="666">
        <f t="shared" si="156"/>
        <v>953</v>
      </c>
      <c r="R125" s="665"/>
      <c r="S125" s="665"/>
      <c r="T125" s="665"/>
      <c r="U125" s="665"/>
      <c r="V125" s="665"/>
      <c r="W125" s="665"/>
      <c r="X125" s="665"/>
      <c r="Y125" s="665">
        <f t="shared" ref="Y125:AI125" si="157">SUM(Y126:Y143)</f>
        <v>8605.0761236506169</v>
      </c>
      <c r="Z125" s="665">
        <f t="shared" si="157"/>
        <v>48148.076123650622</v>
      </c>
      <c r="AA125" s="665">
        <f t="shared" si="157"/>
        <v>18000</v>
      </c>
      <c r="AB125" s="665">
        <f t="shared" si="157"/>
        <v>0</v>
      </c>
      <c r="AC125" s="664">
        <f t="shared" si="157"/>
        <v>18000</v>
      </c>
      <c r="AD125" s="664">
        <f t="shared" si="157"/>
        <v>595776.91348380747</v>
      </c>
      <c r="AE125" s="663">
        <f t="shared" si="157"/>
        <v>30676382.03537086</v>
      </c>
      <c r="AF125" s="662">
        <f t="shared" si="157"/>
        <v>32486.400000000005</v>
      </c>
      <c r="AG125" s="661">
        <f t="shared" si="157"/>
        <v>-344853.95951079624</v>
      </c>
      <c r="AH125" s="660">
        <f t="shared" si="157"/>
        <v>972</v>
      </c>
      <c r="AI125" s="659">
        <f t="shared" si="157"/>
        <v>25520088</v>
      </c>
    </row>
    <row r="126" spans="1:35" ht="14.25">
      <c r="A126" s="724" t="s">
        <v>13</v>
      </c>
      <c r="B126" s="656">
        <v>2</v>
      </c>
      <c r="C126" s="655">
        <v>2350.1999999999998</v>
      </c>
      <c r="D126" s="655"/>
      <c r="E126" s="594"/>
      <c r="F126" s="594"/>
      <c r="G126" s="594"/>
      <c r="H126" s="594"/>
      <c r="I126" s="594"/>
      <c r="J126" s="657">
        <v>468.14</v>
      </c>
      <c r="K126" s="631">
        <f t="shared" ref="K126:K143" si="158">SUM(C126:J126)</f>
        <v>2818.3399999999997</v>
      </c>
      <c r="L126" s="655">
        <v>1000</v>
      </c>
      <c r="M126" s="655"/>
      <c r="N126" s="631">
        <f t="shared" ref="N126:N143" si="159">SUM(L126:M126)</f>
        <v>1000</v>
      </c>
      <c r="O126" s="631">
        <f t="shared" ref="O126:O143" si="160">(K126*12)+N126</f>
        <v>34820.079999999994</v>
      </c>
      <c r="P126" s="771">
        <f t="shared" ref="P126:P143" si="161">O126*B126</f>
        <v>69640.159999999989</v>
      </c>
      <c r="Q126" s="656">
        <v>3</v>
      </c>
      <c r="R126" s="655">
        <v>2513</v>
      </c>
      <c r="S126" s="654"/>
      <c r="T126" s="594"/>
      <c r="U126" s="594"/>
      <c r="V126" s="594"/>
      <c r="W126" s="594"/>
      <c r="X126" s="594"/>
      <c r="Y126" s="655">
        <v>468.14</v>
      </c>
      <c r="Z126" s="773">
        <f t="shared" ref="Z126:Z143" si="162">SUM(R126:Y126)</f>
        <v>2981.14</v>
      </c>
      <c r="AA126" s="655">
        <v>1000</v>
      </c>
      <c r="AB126" s="655"/>
      <c r="AC126" s="631">
        <f t="shared" ref="AC126:AC143" si="163">SUM(AA126:AB126)</f>
        <v>1000</v>
      </c>
      <c r="AD126" s="631">
        <f t="shared" ref="AD126:AD143" si="164">(Z126*12)+AC126</f>
        <v>36773.68</v>
      </c>
      <c r="AE126" s="771">
        <f t="shared" ref="AE126:AE143" si="165">AD126*Q126</f>
        <v>110321.04000000001</v>
      </c>
      <c r="AF126" s="741">
        <f t="shared" ref="AF126:AF143" si="166">AD126-O126</f>
        <v>1953.6000000000058</v>
      </c>
      <c r="AG126" s="630">
        <f t="shared" ref="AG126:AG143" si="167">AE126-P126</f>
        <v>40680.880000000019</v>
      </c>
      <c r="AH126" s="653">
        <v>3</v>
      </c>
      <c r="AI126" s="668">
        <v>93468</v>
      </c>
    </row>
    <row r="127" spans="1:35" ht="14.25">
      <c r="A127" s="724" t="s">
        <v>6978</v>
      </c>
      <c r="B127" s="656">
        <v>4</v>
      </c>
      <c r="C127" s="655">
        <v>2339.1999999999998</v>
      </c>
      <c r="D127" s="655"/>
      <c r="E127" s="594"/>
      <c r="F127" s="594"/>
      <c r="G127" s="594"/>
      <c r="H127" s="594"/>
      <c r="I127" s="594"/>
      <c r="J127" s="657">
        <v>468.14</v>
      </c>
      <c r="K127" s="631">
        <f t="shared" si="158"/>
        <v>2807.3399999999997</v>
      </c>
      <c r="L127" s="655">
        <v>1000</v>
      </c>
      <c r="M127" s="655"/>
      <c r="N127" s="631">
        <f t="shared" si="159"/>
        <v>1000</v>
      </c>
      <c r="O127" s="631">
        <f t="shared" si="160"/>
        <v>34688.079999999994</v>
      </c>
      <c r="P127" s="771">
        <f t="shared" si="161"/>
        <v>138752.31999999998</v>
      </c>
      <c r="Q127" s="656">
        <v>5</v>
      </c>
      <c r="R127" s="655">
        <v>2502</v>
      </c>
      <c r="S127" s="654"/>
      <c r="T127" s="594"/>
      <c r="U127" s="594"/>
      <c r="V127" s="594"/>
      <c r="W127" s="594"/>
      <c r="X127" s="594"/>
      <c r="Y127" s="655">
        <v>468.14</v>
      </c>
      <c r="Z127" s="773">
        <f t="shared" si="162"/>
        <v>2970.14</v>
      </c>
      <c r="AA127" s="655">
        <v>1000</v>
      </c>
      <c r="AB127" s="655"/>
      <c r="AC127" s="631">
        <f t="shared" si="163"/>
        <v>1000</v>
      </c>
      <c r="AD127" s="631">
        <f t="shared" si="164"/>
        <v>36641.68</v>
      </c>
      <c r="AE127" s="771">
        <f t="shared" si="165"/>
        <v>183208.4</v>
      </c>
      <c r="AF127" s="741">
        <f t="shared" si="166"/>
        <v>1953.6000000000058</v>
      </c>
      <c r="AG127" s="630">
        <f t="shared" si="167"/>
        <v>44456.080000000016</v>
      </c>
      <c r="AH127" s="653">
        <v>5</v>
      </c>
      <c r="AI127" s="668">
        <v>155120</v>
      </c>
    </row>
    <row r="128" spans="1:35" ht="14.25">
      <c r="A128" s="724" t="s">
        <v>6977</v>
      </c>
      <c r="B128" s="656">
        <v>8</v>
      </c>
      <c r="C128" s="655">
        <v>2281.6</v>
      </c>
      <c r="D128" s="655"/>
      <c r="E128" s="594"/>
      <c r="F128" s="594"/>
      <c r="G128" s="594"/>
      <c r="H128" s="594"/>
      <c r="I128" s="594"/>
      <c r="J128" s="657">
        <v>468.14</v>
      </c>
      <c r="K128" s="631">
        <f t="shared" si="158"/>
        <v>2749.74</v>
      </c>
      <c r="L128" s="655">
        <v>1000</v>
      </c>
      <c r="M128" s="655"/>
      <c r="N128" s="631">
        <f t="shared" si="159"/>
        <v>1000</v>
      </c>
      <c r="O128" s="631">
        <f t="shared" si="160"/>
        <v>33996.879999999997</v>
      </c>
      <c r="P128" s="771">
        <f t="shared" si="161"/>
        <v>271975.03999999998</v>
      </c>
      <c r="Q128" s="656">
        <v>8</v>
      </c>
      <c r="R128" s="655">
        <v>2442</v>
      </c>
      <c r="S128" s="654"/>
      <c r="T128" s="594"/>
      <c r="U128" s="594"/>
      <c r="V128" s="594"/>
      <c r="W128" s="594"/>
      <c r="X128" s="594"/>
      <c r="Y128" s="655">
        <v>468.14</v>
      </c>
      <c r="Z128" s="773">
        <f t="shared" si="162"/>
        <v>2910.14</v>
      </c>
      <c r="AA128" s="655">
        <v>1000</v>
      </c>
      <c r="AB128" s="655"/>
      <c r="AC128" s="631">
        <f t="shared" si="163"/>
        <v>1000</v>
      </c>
      <c r="AD128" s="631">
        <f t="shared" si="164"/>
        <v>35921.68</v>
      </c>
      <c r="AE128" s="771">
        <f t="shared" si="165"/>
        <v>287373.44</v>
      </c>
      <c r="AF128" s="741">
        <f t="shared" si="166"/>
        <v>1924.8000000000029</v>
      </c>
      <c r="AG128" s="630">
        <f t="shared" si="167"/>
        <v>15398.400000000023</v>
      </c>
      <c r="AH128" s="653">
        <v>8</v>
      </c>
      <c r="AI128" s="668">
        <v>242432</v>
      </c>
    </row>
    <row r="129" spans="1:35" ht="14.25">
      <c r="A129" s="724" t="s">
        <v>6976</v>
      </c>
      <c r="B129" s="656">
        <v>6</v>
      </c>
      <c r="C129" s="655">
        <v>2225</v>
      </c>
      <c r="D129" s="655"/>
      <c r="E129" s="594"/>
      <c r="F129" s="594"/>
      <c r="G129" s="594"/>
      <c r="H129" s="594"/>
      <c r="I129" s="594"/>
      <c r="J129" s="657">
        <v>444.36</v>
      </c>
      <c r="K129" s="631">
        <f t="shared" si="158"/>
        <v>2669.36</v>
      </c>
      <c r="L129" s="655">
        <v>1000</v>
      </c>
      <c r="M129" s="655"/>
      <c r="N129" s="631">
        <f t="shared" si="159"/>
        <v>1000</v>
      </c>
      <c r="O129" s="631">
        <f t="shared" si="160"/>
        <v>33032.32</v>
      </c>
      <c r="P129" s="771">
        <f t="shared" si="161"/>
        <v>198193.91999999998</v>
      </c>
      <c r="Q129" s="656">
        <v>5</v>
      </c>
      <c r="R129" s="655">
        <v>2383</v>
      </c>
      <c r="S129" s="654"/>
      <c r="T129" s="594"/>
      <c r="U129" s="594"/>
      <c r="V129" s="594"/>
      <c r="W129" s="594"/>
      <c r="X129" s="594"/>
      <c r="Y129" s="655">
        <v>444.36</v>
      </c>
      <c r="Z129" s="773">
        <f t="shared" si="162"/>
        <v>2827.36</v>
      </c>
      <c r="AA129" s="655">
        <v>1000</v>
      </c>
      <c r="AB129" s="655"/>
      <c r="AC129" s="631">
        <f t="shared" si="163"/>
        <v>1000</v>
      </c>
      <c r="AD129" s="631">
        <f t="shared" si="164"/>
        <v>34928.32</v>
      </c>
      <c r="AE129" s="771">
        <f t="shared" si="165"/>
        <v>174641.6</v>
      </c>
      <c r="AF129" s="741">
        <f t="shared" si="166"/>
        <v>1896</v>
      </c>
      <c r="AG129" s="630">
        <f t="shared" si="167"/>
        <v>-23552.319999999978</v>
      </c>
      <c r="AH129" s="653">
        <v>6</v>
      </c>
      <c r="AI129" s="668">
        <v>177576</v>
      </c>
    </row>
    <row r="130" spans="1:35" ht="14.25">
      <c r="A130" s="724" t="s">
        <v>14</v>
      </c>
      <c r="B130" s="656">
        <v>9</v>
      </c>
      <c r="C130" s="655">
        <v>2222</v>
      </c>
      <c r="D130" s="655"/>
      <c r="E130" s="594"/>
      <c r="F130" s="594"/>
      <c r="G130" s="594"/>
      <c r="H130" s="594"/>
      <c r="I130" s="594"/>
      <c r="J130" s="657">
        <v>465.91750000000002</v>
      </c>
      <c r="K130" s="631">
        <f t="shared" si="158"/>
        <v>2687.9175</v>
      </c>
      <c r="L130" s="655">
        <v>1000</v>
      </c>
      <c r="M130" s="655"/>
      <c r="N130" s="631">
        <f t="shared" si="159"/>
        <v>1000</v>
      </c>
      <c r="O130" s="631">
        <f t="shared" si="160"/>
        <v>33255.01</v>
      </c>
      <c r="P130" s="771">
        <f t="shared" si="161"/>
        <v>299295.09000000003</v>
      </c>
      <c r="Q130" s="656">
        <v>8</v>
      </c>
      <c r="R130" s="655">
        <v>2380</v>
      </c>
      <c r="S130" s="654"/>
      <c r="T130" s="594"/>
      <c r="U130" s="594"/>
      <c r="V130" s="594"/>
      <c r="W130" s="594"/>
      <c r="X130" s="594"/>
      <c r="Y130" s="655">
        <v>465.91750000000002</v>
      </c>
      <c r="Z130" s="773">
        <f t="shared" si="162"/>
        <v>2845.9175</v>
      </c>
      <c r="AA130" s="655">
        <v>1000</v>
      </c>
      <c r="AB130" s="655"/>
      <c r="AC130" s="631">
        <f t="shared" si="163"/>
        <v>1000</v>
      </c>
      <c r="AD130" s="631">
        <f t="shared" si="164"/>
        <v>35151.01</v>
      </c>
      <c r="AE130" s="771">
        <f t="shared" si="165"/>
        <v>281208.08</v>
      </c>
      <c r="AF130" s="741">
        <f t="shared" si="166"/>
        <v>1896</v>
      </c>
      <c r="AG130" s="630">
        <f t="shared" si="167"/>
        <v>-18087.010000000009</v>
      </c>
      <c r="AH130" s="653">
        <v>8</v>
      </c>
      <c r="AI130" s="668">
        <v>236480</v>
      </c>
    </row>
    <row r="131" spans="1:35" ht="14.25">
      <c r="A131" s="724" t="s">
        <v>6975</v>
      </c>
      <c r="B131" s="656">
        <v>17</v>
      </c>
      <c r="C131" s="655">
        <v>2168.4</v>
      </c>
      <c r="D131" s="655"/>
      <c r="E131" s="594"/>
      <c r="F131" s="594"/>
      <c r="G131" s="594"/>
      <c r="H131" s="594"/>
      <c r="I131" s="594"/>
      <c r="J131" s="657">
        <v>431.47</v>
      </c>
      <c r="K131" s="631">
        <f t="shared" si="158"/>
        <v>2599.87</v>
      </c>
      <c r="L131" s="655">
        <v>1000</v>
      </c>
      <c r="M131" s="655"/>
      <c r="N131" s="631">
        <f t="shared" si="159"/>
        <v>1000</v>
      </c>
      <c r="O131" s="631">
        <f t="shared" si="160"/>
        <v>32198.44</v>
      </c>
      <c r="P131" s="771">
        <f t="shared" si="161"/>
        <v>547373.48</v>
      </c>
      <c r="Q131" s="656">
        <v>12</v>
      </c>
      <c r="R131" s="655">
        <v>2324</v>
      </c>
      <c r="S131" s="654"/>
      <c r="T131" s="594"/>
      <c r="U131" s="594"/>
      <c r="V131" s="594"/>
      <c r="W131" s="594"/>
      <c r="X131" s="594"/>
      <c r="Y131" s="655">
        <v>431.47</v>
      </c>
      <c r="Z131" s="773">
        <f t="shared" si="162"/>
        <v>2755.4700000000003</v>
      </c>
      <c r="AA131" s="655">
        <v>1000</v>
      </c>
      <c r="AB131" s="655"/>
      <c r="AC131" s="631">
        <f t="shared" si="163"/>
        <v>1000</v>
      </c>
      <c r="AD131" s="631">
        <f t="shared" si="164"/>
        <v>34065.64</v>
      </c>
      <c r="AE131" s="771">
        <f t="shared" si="165"/>
        <v>408787.68</v>
      </c>
      <c r="AF131" s="741">
        <f t="shared" si="166"/>
        <v>1867.2000000000007</v>
      </c>
      <c r="AG131" s="630">
        <f t="shared" si="167"/>
        <v>-138585.79999999999</v>
      </c>
      <c r="AH131" s="653">
        <v>12</v>
      </c>
      <c r="AI131" s="668">
        <v>346656</v>
      </c>
    </row>
    <row r="132" spans="1:35" ht="14.25">
      <c r="A132" s="724" t="s">
        <v>15</v>
      </c>
      <c r="B132" s="656">
        <v>83</v>
      </c>
      <c r="C132" s="655">
        <v>1996.6</v>
      </c>
      <c r="D132" s="655"/>
      <c r="E132" s="594"/>
      <c r="F132" s="594"/>
      <c r="G132" s="594"/>
      <c r="H132" s="594"/>
      <c r="I132" s="594"/>
      <c r="J132" s="657">
        <v>517.45878048780492</v>
      </c>
      <c r="K132" s="631">
        <f t="shared" si="158"/>
        <v>2514.0587804878051</v>
      </c>
      <c r="L132" s="655">
        <v>1000</v>
      </c>
      <c r="M132" s="655"/>
      <c r="N132" s="631">
        <f t="shared" si="159"/>
        <v>1000</v>
      </c>
      <c r="O132" s="631">
        <f t="shared" si="160"/>
        <v>31168.705365853661</v>
      </c>
      <c r="P132" s="771">
        <f t="shared" si="161"/>
        <v>2587002.5453658537</v>
      </c>
      <c r="Q132" s="656">
        <v>76</v>
      </c>
      <c r="R132" s="655">
        <v>2145</v>
      </c>
      <c r="S132" s="654"/>
      <c r="T132" s="594"/>
      <c r="U132" s="594"/>
      <c r="V132" s="594"/>
      <c r="W132" s="594"/>
      <c r="X132" s="594"/>
      <c r="Y132" s="655">
        <v>517.45878048780492</v>
      </c>
      <c r="Z132" s="773">
        <f t="shared" si="162"/>
        <v>2662.4587804878047</v>
      </c>
      <c r="AA132" s="655">
        <v>1000</v>
      </c>
      <c r="AB132" s="655"/>
      <c r="AC132" s="631">
        <f t="shared" si="163"/>
        <v>1000</v>
      </c>
      <c r="AD132" s="631">
        <f t="shared" si="164"/>
        <v>32949.505365853656</v>
      </c>
      <c r="AE132" s="771">
        <f t="shared" si="165"/>
        <v>2504162.407804878</v>
      </c>
      <c r="AF132" s="741">
        <f t="shared" si="166"/>
        <v>1780.7999999999956</v>
      </c>
      <c r="AG132" s="630">
        <f t="shared" si="167"/>
        <v>-82840.137560975738</v>
      </c>
      <c r="AH132" s="653">
        <v>81</v>
      </c>
      <c r="AI132" s="668">
        <v>2165940</v>
      </c>
    </row>
    <row r="133" spans="1:35" ht="14.25">
      <c r="A133" s="724" t="s">
        <v>7056</v>
      </c>
      <c r="B133" s="656">
        <v>88</v>
      </c>
      <c r="C133" s="655">
        <v>1979.2</v>
      </c>
      <c r="D133" s="655"/>
      <c r="E133" s="594"/>
      <c r="F133" s="594"/>
      <c r="G133" s="594"/>
      <c r="H133" s="594"/>
      <c r="I133" s="594"/>
      <c r="J133" s="657">
        <v>514.00425925925924</v>
      </c>
      <c r="K133" s="631">
        <f t="shared" si="158"/>
        <v>2493.2042592592593</v>
      </c>
      <c r="L133" s="655">
        <v>1000</v>
      </c>
      <c r="M133" s="655"/>
      <c r="N133" s="631">
        <f t="shared" si="159"/>
        <v>1000</v>
      </c>
      <c r="O133" s="631">
        <f t="shared" si="160"/>
        <v>30918.451111111113</v>
      </c>
      <c r="P133" s="771">
        <f t="shared" si="161"/>
        <v>2720823.6977777779</v>
      </c>
      <c r="Q133" s="656">
        <v>84</v>
      </c>
      <c r="R133" s="655">
        <v>2127</v>
      </c>
      <c r="S133" s="654"/>
      <c r="T133" s="594"/>
      <c r="U133" s="594"/>
      <c r="V133" s="594"/>
      <c r="W133" s="594"/>
      <c r="X133" s="594"/>
      <c r="Y133" s="655">
        <v>514.00425925925924</v>
      </c>
      <c r="Z133" s="773">
        <f t="shared" si="162"/>
        <v>2641.004259259259</v>
      </c>
      <c r="AA133" s="655">
        <v>1000</v>
      </c>
      <c r="AB133" s="655"/>
      <c r="AC133" s="631">
        <f t="shared" si="163"/>
        <v>1000</v>
      </c>
      <c r="AD133" s="631">
        <f t="shared" si="164"/>
        <v>32692.051111111108</v>
      </c>
      <c r="AE133" s="771">
        <f t="shared" si="165"/>
        <v>2746132.293333333</v>
      </c>
      <c r="AF133" s="741">
        <f t="shared" si="166"/>
        <v>1773.5999999999949</v>
      </c>
      <c r="AG133" s="630">
        <f t="shared" si="167"/>
        <v>25308.595555555075</v>
      </c>
      <c r="AH133" s="653">
        <v>88</v>
      </c>
      <c r="AI133" s="668">
        <v>2334112</v>
      </c>
    </row>
    <row r="134" spans="1:35" ht="14.25">
      <c r="A134" s="724" t="s">
        <v>6972</v>
      </c>
      <c r="B134" s="656">
        <v>166</v>
      </c>
      <c r="C134" s="655">
        <v>1962.4</v>
      </c>
      <c r="D134" s="655"/>
      <c r="E134" s="594"/>
      <c r="F134" s="594"/>
      <c r="G134" s="594"/>
      <c r="H134" s="594"/>
      <c r="I134" s="594"/>
      <c r="J134" s="657">
        <v>506.04572727272728</v>
      </c>
      <c r="K134" s="631">
        <f t="shared" si="158"/>
        <v>2468.4457272727273</v>
      </c>
      <c r="L134" s="655">
        <v>1000</v>
      </c>
      <c r="M134" s="655"/>
      <c r="N134" s="631">
        <f t="shared" si="159"/>
        <v>1000</v>
      </c>
      <c r="O134" s="631">
        <f t="shared" si="160"/>
        <v>30621.348727272729</v>
      </c>
      <c r="P134" s="771">
        <f t="shared" si="161"/>
        <v>5083143.8887272729</v>
      </c>
      <c r="Q134" s="656">
        <v>155</v>
      </c>
      <c r="R134" s="655">
        <v>2109</v>
      </c>
      <c r="S134" s="654"/>
      <c r="T134" s="594"/>
      <c r="U134" s="594"/>
      <c r="V134" s="594"/>
      <c r="W134" s="594"/>
      <c r="X134" s="594"/>
      <c r="Y134" s="655">
        <v>506.04572727272728</v>
      </c>
      <c r="Z134" s="773">
        <f t="shared" si="162"/>
        <v>2615.0457272727272</v>
      </c>
      <c r="AA134" s="655">
        <v>1000</v>
      </c>
      <c r="AB134" s="655"/>
      <c r="AC134" s="631">
        <f t="shared" si="163"/>
        <v>1000</v>
      </c>
      <c r="AD134" s="631">
        <f t="shared" si="164"/>
        <v>32380.548727272726</v>
      </c>
      <c r="AE134" s="771">
        <f t="shared" si="165"/>
        <v>5018985.0527272727</v>
      </c>
      <c r="AF134" s="741">
        <f t="shared" si="166"/>
        <v>1759.1999999999971</v>
      </c>
      <c r="AG134" s="630">
        <f t="shared" si="167"/>
        <v>-64158.836000000127</v>
      </c>
      <c r="AH134" s="653">
        <v>158</v>
      </c>
      <c r="AI134" s="668">
        <v>4156664</v>
      </c>
    </row>
    <row r="135" spans="1:35" ht="14.25">
      <c r="A135" s="724" t="s">
        <v>6971</v>
      </c>
      <c r="B135" s="656">
        <v>99</v>
      </c>
      <c r="C135" s="655">
        <v>1945</v>
      </c>
      <c r="D135" s="655"/>
      <c r="E135" s="594"/>
      <c r="F135" s="594"/>
      <c r="G135" s="594"/>
      <c r="H135" s="594"/>
      <c r="I135" s="594"/>
      <c r="J135" s="657">
        <v>491.05596774193549</v>
      </c>
      <c r="K135" s="631">
        <f t="shared" si="158"/>
        <v>2436.0559677419355</v>
      </c>
      <c r="L135" s="655">
        <v>1000</v>
      </c>
      <c r="M135" s="655"/>
      <c r="N135" s="631">
        <f t="shared" si="159"/>
        <v>1000</v>
      </c>
      <c r="O135" s="631">
        <f t="shared" si="160"/>
        <v>30232.671612903228</v>
      </c>
      <c r="P135" s="771">
        <f t="shared" si="161"/>
        <v>2993034.4896774194</v>
      </c>
      <c r="Q135" s="656">
        <v>96</v>
      </c>
      <c r="R135" s="655">
        <v>2091</v>
      </c>
      <c r="S135" s="654"/>
      <c r="T135" s="594"/>
      <c r="U135" s="594"/>
      <c r="V135" s="594"/>
      <c r="W135" s="594"/>
      <c r="X135" s="594"/>
      <c r="Y135" s="655">
        <v>491.05596774193549</v>
      </c>
      <c r="Z135" s="773">
        <f t="shared" si="162"/>
        <v>2582.0559677419355</v>
      </c>
      <c r="AA135" s="655">
        <v>1000</v>
      </c>
      <c r="AB135" s="655"/>
      <c r="AC135" s="631">
        <f t="shared" si="163"/>
        <v>1000</v>
      </c>
      <c r="AD135" s="631">
        <f t="shared" si="164"/>
        <v>31984.671612903228</v>
      </c>
      <c r="AE135" s="771">
        <f t="shared" si="165"/>
        <v>3070528.4748387099</v>
      </c>
      <c r="AF135" s="741">
        <f t="shared" si="166"/>
        <v>1752</v>
      </c>
      <c r="AG135" s="630">
        <f t="shared" si="167"/>
        <v>77493.985161290504</v>
      </c>
      <c r="AH135" s="653">
        <v>96</v>
      </c>
      <c r="AI135" s="668">
        <v>2504832</v>
      </c>
    </row>
    <row r="136" spans="1:35" ht="14.25">
      <c r="A136" s="724" t="s">
        <v>16</v>
      </c>
      <c r="B136" s="656">
        <v>33</v>
      </c>
      <c r="C136" s="655">
        <v>1932</v>
      </c>
      <c r="D136" s="655"/>
      <c r="E136" s="594"/>
      <c r="F136" s="594"/>
      <c r="G136" s="594"/>
      <c r="H136" s="594"/>
      <c r="I136" s="594"/>
      <c r="J136" s="657">
        <v>490.19749999999999</v>
      </c>
      <c r="K136" s="631">
        <f t="shared" si="158"/>
        <v>2422.1975000000002</v>
      </c>
      <c r="L136" s="655">
        <v>1000</v>
      </c>
      <c r="M136" s="655"/>
      <c r="N136" s="631">
        <f t="shared" si="159"/>
        <v>1000</v>
      </c>
      <c r="O136" s="631">
        <f t="shared" si="160"/>
        <v>30066.370000000003</v>
      </c>
      <c r="P136" s="771">
        <f t="shared" si="161"/>
        <v>992190.21000000008</v>
      </c>
      <c r="Q136" s="656">
        <v>23</v>
      </c>
      <c r="R136" s="655">
        <v>2078</v>
      </c>
      <c r="S136" s="654"/>
      <c r="T136" s="594"/>
      <c r="U136" s="594"/>
      <c r="V136" s="594"/>
      <c r="W136" s="594"/>
      <c r="X136" s="594"/>
      <c r="Y136" s="655">
        <v>490.19749999999999</v>
      </c>
      <c r="Z136" s="773">
        <f t="shared" si="162"/>
        <v>2568.1975000000002</v>
      </c>
      <c r="AA136" s="655">
        <v>1000</v>
      </c>
      <c r="AB136" s="655"/>
      <c r="AC136" s="631">
        <f t="shared" si="163"/>
        <v>1000</v>
      </c>
      <c r="AD136" s="631">
        <f t="shared" si="164"/>
        <v>31818.370000000003</v>
      </c>
      <c r="AE136" s="771">
        <f t="shared" si="165"/>
        <v>731822.51</v>
      </c>
      <c r="AF136" s="741">
        <f t="shared" si="166"/>
        <v>1752</v>
      </c>
      <c r="AG136" s="630">
        <f t="shared" si="167"/>
        <v>-260367.70000000007</v>
      </c>
      <c r="AH136" s="653">
        <v>23</v>
      </c>
      <c r="AI136" s="668">
        <v>596528</v>
      </c>
    </row>
    <row r="137" spans="1:35" ht="14.25">
      <c r="A137" s="724" t="s">
        <v>6970</v>
      </c>
      <c r="B137" s="656">
        <v>59</v>
      </c>
      <c r="C137" s="655">
        <v>1923.2</v>
      </c>
      <c r="D137" s="655"/>
      <c r="E137" s="594"/>
      <c r="F137" s="594"/>
      <c r="G137" s="594"/>
      <c r="H137" s="594"/>
      <c r="I137" s="594"/>
      <c r="J137" s="657">
        <v>505.935</v>
      </c>
      <c r="K137" s="631">
        <f t="shared" si="158"/>
        <v>2429.1350000000002</v>
      </c>
      <c r="L137" s="655">
        <v>1000</v>
      </c>
      <c r="M137" s="655"/>
      <c r="N137" s="631">
        <f t="shared" si="159"/>
        <v>1000</v>
      </c>
      <c r="O137" s="631">
        <f t="shared" si="160"/>
        <v>30149.620000000003</v>
      </c>
      <c r="P137" s="771">
        <f t="shared" si="161"/>
        <v>1778827.58</v>
      </c>
      <c r="Q137" s="656">
        <f>8+58</f>
        <v>66</v>
      </c>
      <c r="R137" s="655">
        <v>2068</v>
      </c>
      <c r="S137" s="654"/>
      <c r="T137" s="594"/>
      <c r="U137" s="594"/>
      <c r="V137" s="594"/>
      <c r="W137" s="594"/>
      <c r="X137" s="594"/>
      <c r="Y137" s="655">
        <v>505.935</v>
      </c>
      <c r="Z137" s="773">
        <f t="shared" si="162"/>
        <v>2573.9349999999999</v>
      </c>
      <c r="AA137" s="655">
        <v>1000</v>
      </c>
      <c r="AB137" s="655"/>
      <c r="AC137" s="631">
        <f t="shared" si="163"/>
        <v>1000</v>
      </c>
      <c r="AD137" s="631">
        <f t="shared" si="164"/>
        <v>31887.22</v>
      </c>
      <c r="AE137" s="771">
        <f t="shared" si="165"/>
        <v>2104556.52</v>
      </c>
      <c r="AF137" s="741">
        <f t="shared" si="166"/>
        <v>1737.5999999999985</v>
      </c>
      <c r="AG137" s="630">
        <f t="shared" si="167"/>
        <v>325728.93999999994</v>
      </c>
      <c r="AH137" s="653">
        <v>66</v>
      </c>
      <c r="AI137" s="668">
        <v>1703856</v>
      </c>
    </row>
    <row r="138" spans="1:35" ht="14.25">
      <c r="A138" s="724" t="s">
        <v>17</v>
      </c>
      <c r="B138" s="656">
        <v>248</v>
      </c>
      <c r="C138" s="655">
        <v>1940</v>
      </c>
      <c r="D138" s="655"/>
      <c r="E138" s="594"/>
      <c r="F138" s="594"/>
      <c r="G138" s="594"/>
      <c r="H138" s="594"/>
      <c r="I138" s="594"/>
      <c r="J138" s="657">
        <v>495.75972222222225</v>
      </c>
      <c r="K138" s="631">
        <f t="shared" si="158"/>
        <v>2435.7597222222221</v>
      </c>
      <c r="L138" s="655">
        <v>1000</v>
      </c>
      <c r="M138" s="655"/>
      <c r="N138" s="631">
        <f t="shared" si="159"/>
        <v>1000</v>
      </c>
      <c r="O138" s="631">
        <f t="shared" si="160"/>
        <v>30229.116666666665</v>
      </c>
      <c r="P138" s="771">
        <f t="shared" si="161"/>
        <v>7496820.9333333327</v>
      </c>
      <c r="Q138" s="656">
        <v>211</v>
      </c>
      <c r="R138" s="655">
        <v>2086</v>
      </c>
      <c r="S138" s="654"/>
      <c r="T138" s="594"/>
      <c r="U138" s="594"/>
      <c r="V138" s="594"/>
      <c r="W138" s="594"/>
      <c r="X138" s="594"/>
      <c r="Y138" s="655">
        <v>495.75972222222225</v>
      </c>
      <c r="Z138" s="773">
        <f t="shared" si="162"/>
        <v>2581.7597222222221</v>
      </c>
      <c r="AA138" s="655">
        <v>1000</v>
      </c>
      <c r="AB138" s="655"/>
      <c r="AC138" s="631">
        <f t="shared" si="163"/>
        <v>1000</v>
      </c>
      <c r="AD138" s="631">
        <f t="shared" si="164"/>
        <v>31981.116666666665</v>
      </c>
      <c r="AE138" s="771">
        <f t="shared" si="165"/>
        <v>6748015.6166666662</v>
      </c>
      <c r="AF138" s="741">
        <f t="shared" si="166"/>
        <v>1752</v>
      </c>
      <c r="AG138" s="630">
        <f t="shared" si="167"/>
        <v>-748805.31666666642</v>
      </c>
      <c r="AH138" s="653">
        <v>216</v>
      </c>
      <c r="AI138" s="668">
        <v>5622912</v>
      </c>
    </row>
    <row r="139" spans="1:35" ht="14.25">
      <c r="A139" s="724" t="s">
        <v>6969</v>
      </c>
      <c r="B139" s="656">
        <v>19</v>
      </c>
      <c r="C139" s="655">
        <v>1931.6</v>
      </c>
      <c r="D139" s="655"/>
      <c r="E139" s="594"/>
      <c r="F139" s="594"/>
      <c r="G139" s="594"/>
      <c r="H139" s="594"/>
      <c r="I139" s="594"/>
      <c r="J139" s="657">
        <v>416.3966666666667</v>
      </c>
      <c r="K139" s="631">
        <f t="shared" si="158"/>
        <v>2347.9966666666664</v>
      </c>
      <c r="L139" s="655">
        <v>1000</v>
      </c>
      <c r="M139" s="655"/>
      <c r="N139" s="631">
        <f t="shared" si="159"/>
        <v>1000</v>
      </c>
      <c r="O139" s="631">
        <f t="shared" si="160"/>
        <v>29175.96</v>
      </c>
      <c r="P139" s="771">
        <f t="shared" si="161"/>
        <v>554343.24</v>
      </c>
      <c r="Q139" s="656">
        <v>17</v>
      </c>
      <c r="R139" s="655">
        <v>2077</v>
      </c>
      <c r="S139" s="654"/>
      <c r="T139" s="594"/>
      <c r="U139" s="594"/>
      <c r="V139" s="594"/>
      <c r="W139" s="594"/>
      <c r="X139" s="594"/>
      <c r="Y139" s="655">
        <v>416.3966666666667</v>
      </c>
      <c r="Z139" s="773">
        <f t="shared" si="162"/>
        <v>2493.3966666666665</v>
      </c>
      <c r="AA139" s="655">
        <v>1000</v>
      </c>
      <c r="AB139" s="655"/>
      <c r="AC139" s="631">
        <f t="shared" si="163"/>
        <v>1000</v>
      </c>
      <c r="AD139" s="631">
        <f t="shared" si="164"/>
        <v>30920.76</v>
      </c>
      <c r="AE139" s="771">
        <f t="shared" si="165"/>
        <v>525652.91999999993</v>
      </c>
      <c r="AF139" s="741">
        <f t="shared" si="166"/>
        <v>1744.7999999999993</v>
      </c>
      <c r="AG139" s="630">
        <f t="shared" si="167"/>
        <v>-28690.320000000065</v>
      </c>
      <c r="AH139" s="653">
        <v>17</v>
      </c>
      <c r="AI139" s="668">
        <v>440708</v>
      </c>
    </row>
    <row r="140" spans="1:35" ht="14.25">
      <c r="A140" s="724" t="s">
        <v>6968</v>
      </c>
      <c r="B140" s="656">
        <v>54</v>
      </c>
      <c r="C140" s="655">
        <v>1922.6</v>
      </c>
      <c r="D140" s="655"/>
      <c r="E140" s="594"/>
      <c r="F140" s="594"/>
      <c r="G140" s="594"/>
      <c r="H140" s="594"/>
      <c r="I140" s="594"/>
      <c r="J140" s="657">
        <v>510.88500000000005</v>
      </c>
      <c r="K140" s="631">
        <f t="shared" si="158"/>
        <v>2433.4850000000001</v>
      </c>
      <c r="L140" s="655">
        <v>1000</v>
      </c>
      <c r="M140" s="655"/>
      <c r="N140" s="631">
        <f t="shared" si="159"/>
        <v>1000</v>
      </c>
      <c r="O140" s="631">
        <f t="shared" si="160"/>
        <v>30201.82</v>
      </c>
      <c r="P140" s="771">
        <f t="shared" si="161"/>
        <v>1630898.28</v>
      </c>
      <c r="Q140" s="656">
        <v>52</v>
      </c>
      <c r="R140" s="655">
        <v>2068</v>
      </c>
      <c r="S140" s="654"/>
      <c r="T140" s="594"/>
      <c r="U140" s="594"/>
      <c r="V140" s="594"/>
      <c r="W140" s="594"/>
      <c r="X140" s="594"/>
      <c r="Y140" s="655">
        <v>510.88500000000005</v>
      </c>
      <c r="Z140" s="773">
        <f t="shared" si="162"/>
        <v>2578.8850000000002</v>
      </c>
      <c r="AA140" s="655">
        <v>1000</v>
      </c>
      <c r="AB140" s="655"/>
      <c r="AC140" s="631">
        <f t="shared" si="163"/>
        <v>1000</v>
      </c>
      <c r="AD140" s="631">
        <f t="shared" si="164"/>
        <v>31946.620000000003</v>
      </c>
      <c r="AE140" s="771">
        <f t="shared" si="165"/>
        <v>1661224.2400000002</v>
      </c>
      <c r="AF140" s="741">
        <f t="shared" si="166"/>
        <v>1744.8000000000029</v>
      </c>
      <c r="AG140" s="630">
        <f t="shared" si="167"/>
        <v>30325.960000000196</v>
      </c>
      <c r="AH140" s="653">
        <v>52</v>
      </c>
      <c r="AI140" s="668">
        <v>1342432</v>
      </c>
    </row>
    <row r="141" spans="1:35" ht="14.25">
      <c r="A141" s="724" t="s">
        <v>6967</v>
      </c>
      <c r="B141" s="656">
        <v>58</v>
      </c>
      <c r="C141" s="655">
        <v>1914.2</v>
      </c>
      <c r="D141" s="655"/>
      <c r="E141" s="594"/>
      <c r="F141" s="594"/>
      <c r="G141" s="594"/>
      <c r="H141" s="594"/>
      <c r="I141" s="594"/>
      <c r="J141" s="657">
        <v>470.39</v>
      </c>
      <c r="K141" s="631">
        <f t="shared" si="158"/>
        <v>2384.59</v>
      </c>
      <c r="L141" s="655">
        <v>1000</v>
      </c>
      <c r="M141" s="655"/>
      <c r="N141" s="631">
        <f t="shared" si="159"/>
        <v>1000</v>
      </c>
      <c r="O141" s="631">
        <f t="shared" si="160"/>
        <v>29615.08</v>
      </c>
      <c r="P141" s="771">
        <f t="shared" si="161"/>
        <v>1717674.6400000001</v>
      </c>
      <c r="Q141" s="656">
        <v>45</v>
      </c>
      <c r="R141" s="655">
        <v>2059</v>
      </c>
      <c r="S141" s="654"/>
      <c r="T141" s="594"/>
      <c r="U141" s="594"/>
      <c r="V141" s="594"/>
      <c r="W141" s="594"/>
      <c r="X141" s="594"/>
      <c r="Y141" s="655">
        <v>470.39</v>
      </c>
      <c r="Z141" s="773">
        <f t="shared" si="162"/>
        <v>2529.39</v>
      </c>
      <c r="AA141" s="655">
        <v>1000</v>
      </c>
      <c r="AB141" s="655"/>
      <c r="AC141" s="631">
        <f t="shared" si="163"/>
        <v>1000</v>
      </c>
      <c r="AD141" s="631">
        <f t="shared" si="164"/>
        <v>31352.68</v>
      </c>
      <c r="AE141" s="771">
        <f t="shared" si="165"/>
        <v>1410870.6</v>
      </c>
      <c r="AF141" s="741">
        <f t="shared" si="166"/>
        <v>1737.5999999999985</v>
      </c>
      <c r="AG141" s="630">
        <f t="shared" si="167"/>
        <v>-306804.04000000004</v>
      </c>
      <c r="AH141" s="653">
        <v>46</v>
      </c>
      <c r="AI141" s="668">
        <v>1182568</v>
      </c>
    </row>
    <row r="142" spans="1:35" ht="14.25">
      <c r="A142" s="724" t="s">
        <v>18</v>
      </c>
      <c r="B142" s="656">
        <v>4</v>
      </c>
      <c r="C142" s="655">
        <v>1905.8</v>
      </c>
      <c r="D142" s="655"/>
      <c r="E142" s="594"/>
      <c r="F142" s="594"/>
      <c r="G142" s="594"/>
      <c r="H142" s="594"/>
      <c r="I142" s="594"/>
      <c r="J142" s="657">
        <v>470.39</v>
      </c>
      <c r="K142" s="631">
        <f t="shared" si="158"/>
        <v>2376.19</v>
      </c>
      <c r="L142" s="655">
        <v>1000</v>
      </c>
      <c r="M142" s="655"/>
      <c r="N142" s="631">
        <f t="shared" si="159"/>
        <v>1000</v>
      </c>
      <c r="O142" s="631">
        <f t="shared" si="160"/>
        <v>29514.28</v>
      </c>
      <c r="P142" s="771">
        <f t="shared" si="161"/>
        <v>118057.12</v>
      </c>
      <c r="Q142" s="656">
        <v>0</v>
      </c>
      <c r="R142" s="655">
        <v>2050</v>
      </c>
      <c r="S142" s="654"/>
      <c r="T142" s="594"/>
      <c r="U142" s="594"/>
      <c r="V142" s="594"/>
      <c r="W142" s="594"/>
      <c r="X142" s="594"/>
      <c r="Y142" s="655">
        <v>470.39</v>
      </c>
      <c r="Z142" s="773">
        <f t="shared" si="162"/>
        <v>2520.39</v>
      </c>
      <c r="AA142" s="655">
        <v>1000</v>
      </c>
      <c r="AB142" s="655"/>
      <c r="AC142" s="631">
        <f t="shared" si="163"/>
        <v>1000</v>
      </c>
      <c r="AD142" s="631">
        <f t="shared" si="164"/>
        <v>31244.68</v>
      </c>
      <c r="AE142" s="771">
        <f t="shared" si="165"/>
        <v>0</v>
      </c>
      <c r="AF142" s="741">
        <f t="shared" si="166"/>
        <v>1730.4000000000015</v>
      </c>
      <c r="AG142" s="630">
        <f t="shared" si="167"/>
        <v>-118057.12</v>
      </c>
      <c r="AH142" s="653">
        <v>0</v>
      </c>
      <c r="AI142" s="668">
        <v>0</v>
      </c>
    </row>
    <row r="143" spans="1:35" ht="14.25">
      <c r="A143" s="724" t="s">
        <v>6966</v>
      </c>
      <c r="B143" s="656">
        <v>62</v>
      </c>
      <c r="C143" s="655">
        <v>1896.8</v>
      </c>
      <c r="D143" s="655"/>
      <c r="E143" s="594"/>
      <c r="F143" s="594"/>
      <c r="G143" s="594"/>
      <c r="H143" s="594"/>
      <c r="I143" s="594"/>
      <c r="J143" s="657">
        <v>470.39</v>
      </c>
      <c r="K143" s="631">
        <f t="shared" si="158"/>
        <v>2367.19</v>
      </c>
      <c r="L143" s="655">
        <v>1000</v>
      </c>
      <c r="M143" s="655"/>
      <c r="N143" s="631">
        <f t="shared" si="159"/>
        <v>1000</v>
      </c>
      <c r="O143" s="631">
        <f t="shared" si="160"/>
        <v>29406.28</v>
      </c>
      <c r="P143" s="771">
        <f t="shared" si="161"/>
        <v>1823189.3599999999</v>
      </c>
      <c r="Q143" s="656">
        <v>87</v>
      </c>
      <c r="R143" s="655">
        <v>2041</v>
      </c>
      <c r="S143" s="654"/>
      <c r="T143" s="594"/>
      <c r="U143" s="594"/>
      <c r="V143" s="594"/>
      <c r="W143" s="594"/>
      <c r="X143" s="594"/>
      <c r="Y143" s="655">
        <v>470.39</v>
      </c>
      <c r="Z143" s="773">
        <f t="shared" si="162"/>
        <v>2511.39</v>
      </c>
      <c r="AA143" s="655">
        <v>1000</v>
      </c>
      <c r="AB143" s="655"/>
      <c r="AC143" s="631">
        <f t="shared" si="163"/>
        <v>1000</v>
      </c>
      <c r="AD143" s="631">
        <f t="shared" si="164"/>
        <v>31136.68</v>
      </c>
      <c r="AE143" s="771">
        <f t="shared" si="165"/>
        <v>2708891.16</v>
      </c>
      <c r="AF143" s="741">
        <f t="shared" si="166"/>
        <v>1730.4000000000015</v>
      </c>
      <c r="AG143" s="630">
        <f t="shared" si="167"/>
        <v>885701.80000000028</v>
      </c>
      <c r="AH143" s="653">
        <v>87</v>
      </c>
      <c r="AI143" s="668">
        <v>2217804</v>
      </c>
    </row>
    <row r="144" spans="1:35" ht="40.5">
      <c r="A144" s="646" t="s">
        <v>7089</v>
      </c>
      <c r="B144" s="666">
        <f>+B145</f>
        <v>79</v>
      </c>
      <c r="C144" s="665"/>
      <c r="D144" s="665"/>
      <c r="E144" s="665"/>
      <c r="F144" s="665"/>
      <c r="G144" s="665"/>
      <c r="H144" s="665"/>
      <c r="I144" s="665"/>
      <c r="J144" s="667"/>
      <c r="K144" s="664">
        <f t="shared" ref="K144:Q144" si="168">+K145</f>
        <v>400</v>
      </c>
      <c r="L144" s="665">
        <f t="shared" si="168"/>
        <v>0</v>
      </c>
      <c r="M144" s="665">
        <f t="shared" si="168"/>
        <v>0</v>
      </c>
      <c r="N144" s="664">
        <f t="shared" si="168"/>
        <v>0</v>
      </c>
      <c r="O144" s="664">
        <f t="shared" si="168"/>
        <v>4800</v>
      </c>
      <c r="P144" s="663">
        <f t="shared" si="168"/>
        <v>379200</v>
      </c>
      <c r="Q144" s="666">
        <f t="shared" si="168"/>
        <v>79</v>
      </c>
      <c r="R144" s="665"/>
      <c r="S144" s="665"/>
      <c r="T144" s="665"/>
      <c r="U144" s="665"/>
      <c r="V144" s="665"/>
      <c r="W144" s="665"/>
      <c r="X144" s="665"/>
      <c r="Y144" s="665">
        <f>+Y145</f>
        <v>0</v>
      </c>
      <c r="Z144" s="665">
        <f>+Z145</f>
        <v>0</v>
      </c>
      <c r="AA144" s="665">
        <f>+AA145</f>
        <v>1000</v>
      </c>
      <c r="AB144" s="665"/>
      <c r="AC144" s="664">
        <f t="shared" ref="AC144:AI144" si="169">+AC145</f>
        <v>1000</v>
      </c>
      <c r="AD144" s="664">
        <f t="shared" si="169"/>
        <v>1000</v>
      </c>
      <c r="AE144" s="663">
        <f t="shared" si="169"/>
        <v>79000</v>
      </c>
      <c r="AF144" s="662">
        <f t="shared" si="169"/>
        <v>-3800</v>
      </c>
      <c r="AG144" s="661">
        <f t="shared" si="169"/>
        <v>-300200</v>
      </c>
      <c r="AH144" s="660">
        <f t="shared" si="169"/>
        <v>87</v>
      </c>
      <c r="AI144" s="659">
        <f t="shared" si="169"/>
        <v>606430</v>
      </c>
    </row>
    <row r="145" spans="1:35" ht="14.25">
      <c r="A145" s="658" t="s">
        <v>7088</v>
      </c>
      <c r="B145" s="656">
        <v>79</v>
      </c>
      <c r="C145" s="655">
        <v>400</v>
      </c>
      <c r="D145" s="655"/>
      <c r="E145" s="594"/>
      <c r="F145" s="594"/>
      <c r="G145" s="594"/>
      <c r="H145" s="594"/>
      <c r="I145" s="594"/>
      <c r="J145" s="657"/>
      <c r="K145" s="631">
        <f>SUM(C145:J145)</f>
        <v>400</v>
      </c>
      <c r="L145" s="655"/>
      <c r="M145" s="655"/>
      <c r="N145" s="631">
        <f>SUM(L145:M145)</f>
        <v>0</v>
      </c>
      <c r="O145" s="631">
        <f>(K145*12)+N145</f>
        <v>4800</v>
      </c>
      <c r="P145" s="771">
        <f>O145*B145</f>
        <v>379200</v>
      </c>
      <c r="Q145" s="656">
        <v>79</v>
      </c>
      <c r="R145" s="655"/>
      <c r="S145" s="654"/>
      <c r="T145" s="594"/>
      <c r="U145" s="594"/>
      <c r="V145" s="594"/>
      <c r="W145" s="594"/>
      <c r="X145" s="594"/>
      <c r="Y145" s="654"/>
      <c r="Z145" s="773">
        <f>SUM(R145:Y145)</f>
        <v>0</v>
      </c>
      <c r="AA145" s="655">
        <v>1000</v>
      </c>
      <c r="AB145" s="654"/>
      <c r="AC145" s="631">
        <f>SUM(AA145:AB145)</f>
        <v>1000</v>
      </c>
      <c r="AD145" s="631">
        <f>(Z145*12)+AC145</f>
        <v>1000</v>
      </c>
      <c r="AE145" s="771">
        <f>AD145*Q145</f>
        <v>79000</v>
      </c>
      <c r="AF145" s="741">
        <f>AD145-O145</f>
        <v>-3800</v>
      </c>
      <c r="AG145" s="630">
        <f>AE145-P145</f>
        <v>-300200</v>
      </c>
      <c r="AH145" s="653">
        <v>87</v>
      </c>
      <c r="AI145" s="652">
        <v>606430</v>
      </c>
    </row>
    <row r="146" spans="1:35" ht="27">
      <c r="A146" s="726" t="s">
        <v>6965</v>
      </c>
      <c r="B146" s="778">
        <f>SUM(B147:B150)</f>
        <v>128</v>
      </c>
      <c r="C146" s="779"/>
      <c r="D146" s="779"/>
      <c r="E146" s="779"/>
      <c r="F146" s="779"/>
      <c r="G146" s="779"/>
      <c r="H146" s="779"/>
      <c r="I146" s="779"/>
      <c r="J146" s="780"/>
      <c r="K146" s="781">
        <f t="shared" ref="K146:Q146" si="170">SUM(K147:K150)</f>
        <v>38554.447368339024</v>
      </c>
      <c r="L146" s="779">
        <f t="shared" si="170"/>
        <v>0</v>
      </c>
      <c r="M146" s="779">
        <f t="shared" si="170"/>
        <v>0</v>
      </c>
      <c r="N146" s="781">
        <f t="shared" si="170"/>
        <v>0</v>
      </c>
      <c r="O146" s="781">
        <f t="shared" si="170"/>
        <v>462653.36842006829</v>
      </c>
      <c r="P146" s="782">
        <f t="shared" si="170"/>
        <v>27007780.501599997</v>
      </c>
      <c r="Q146" s="778">
        <f t="shared" si="170"/>
        <v>106</v>
      </c>
      <c r="R146" s="779"/>
      <c r="S146" s="779"/>
      <c r="T146" s="779"/>
      <c r="U146" s="779"/>
      <c r="V146" s="779"/>
      <c r="W146" s="779"/>
      <c r="X146" s="779"/>
      <c r="Y146" s="779">
        <f>SUM(Y147:Y150)</f>
        <v>0</v>
      </c>
      <c r="Z146" s="779">
        <f>SUM(Z147:Z150)</f>
        <v>36440.88325490932</v>
      </c>
      <c r="AA146" s="779">
        <f>SUM(AA147:AA150)</f>
        <v>0</v>
      </c>
      <c r="AB146" s="779"/>
      <c r="AC146" s="781">
        <f t="shared" ref="AC146:AI146" si="171">SUM(AC147:AC150)</f>
        <v>0</v>
      </c>
      <c r="AD146" s="781">
        <f t="shared" si="171"/>
        <v>437290.59905891179</v>
      </c>
      <c r="AE146" s="782">
        <f t="shared" si="171"/>
        <v>20683351.752800003</v>
      </c>
      <c r="AF146" s="783">
        <f t="shared" si="171"/>
        <v>-25362.769361156475</v>
      </c>
      <c r="AG146" s="784">
        <f t="shared" si="171"/>
        <v>-6324428.7487999983</v>
      </c>
      <c r="AH146" s="785">
        <f t="shared" si="171"/>
        <v>304</v>
      </c>
      <c r="AI146" s="786">
        <f t="shared" si="171"/>
        <v>27917741.392926756</v>
      </c>
    </row>
    <row r="147" spans="1:35" ht="28.5">
      <c r="A147" s="724" t="s">
        <v>6964</v>
      </c>
      <c r="B147" s="772">
        <v>47</v>
      </c>
      <c r="C147" s="770">
        <v>25654.76063829787</v>
      </c>
      <c r="D147" s="633"/>
      <c r="E147" s="594"/>
      <c r="F147" s="594"/>
      <c r="G147" s="594"/>
      <c r="H147" s="594"/>
      <c r="I147" s="594"/>
      <c r="J147" s="635"/>
      <c r="K147" s="631">
        <f>SUM(C147:J147)</f>
        <v>25654.76063829787</v>
      </c>
      <c r="L147" s="633"/>
      <c r="M147" s="633"/>
      <c r="N147" s="631">
        <f>SUM(L147:M147)</f>
        <v>0</v>
      </c>
      <c r="O147" s="631">
        <f>(K147*12)+N147</f>
        <v>307857.12765957444</v>
      </c>
      <c r="P147" s="771">
        <f>O147*B147</f>
        <v>14469284.999999998</v>
      </c>
      <c r="Q147" s="772">
        <v>41</v>
      </c>
      <c r="R147" s="770">
        <v>26876.865229268293</v>
      </c>
      <c r="S147" s="632"/>
      <c r="T147" s="594"/>
      <c r="U147" s="594"/>
      <c r="V147" s="594"/>
      <c r="W147" s="594"/>
      <c r="X147" s="594"/>
      <c r="Y147" s="632"/>
      <c r="Z147" s="773">
        <f>SUM(R147:Y147)</f>
        <v>26876.865229268293</v>
      </c>
      <c r="AA147" s="633"/>
      <c r="AB147" s="632"/>
      <c r="AC147" s="631">
        <f>SUM(AA147:AB147)</f>
        <v>0</v>
      </c>
      <c r="AD147" s="631">
        <f>(Z147*12)+AC147</f>
        <v>322522.3827512195</v>
      </c>
      <c r="AE147" s="771">
        <f>AD147*Q147</f>
        <v>13223417.6928</v>
      </c>
      <c r="AF147" s="741">
        <f t="shared" ref="AF147:AG150" si="172">AD147-O147</f>
        <v>14665.255091645056</v>
      </c>
      <c r="AG147" s="630">
        <f t="shared" si="172"/>
        <v>-1245867.3071999978</v>
      </c>
      <c r="AH147" s="775">
        <v>41</v>
      </c>
      <c r="AI147" s="636">
        <v>15675285.744743995</v>
      </c>
    </row>
    <row r="148" spans="1:35" ht="28.5" hidden="1">
      <c r="A148" s="724" t="s">
        <v>6963</v>
      </c>
      <c r="B148" s="650"/>
      <c r="C148" s="649"/>
      <c r="D148" s="648"/>
      <c r="E148" s="594"/>
      <c r="F148" s="594"/>
      <c r="G148" s="594"/>
      <c r="H148" s="594"/>
      <c r="I148" s="594"/>
      <c r="J148" s="651"/>
      <c r="K148" s="631">
        <f>SUM(C148:J148)</f>
        <v>0</v>
      </c>
      <c r="L148" s="648"/>
      <c r="M148" s="648"/>
      <c r="N148" s="631">
        <f>SUM(L148:M148)</f>
        <v>0</v>
      </c>
      <c r="O148" s="631">
        <f>(K148*12)+N148</f>
        <v>0</v>
      </c>
      <c r="P148" s="771">
        <f>O148*B148</f>
        <v>0</v>
      </c>
      <c r="Q148" s="650"/>
      <c r="R148" s="649"/>
      <c r="S148" s="647"/>
      <c r="T148" s="594"/>
      <c r="U148" s="594"/>
      <c r="V148" s="594"/>
      <c r="W148" s="594"/>
      <c r="X148" s="594"/>
      <c r="Y148" s="647"/>
      <c r="Z148" s="773">
        <f>SUM(R148:Y148)</f>
        <v>0</v>
      </c>
      <c r="AA148" s="648"/>
      <c r="AB148" s="647"/>
      <c r="AC148" s="631">
        <f>SUM(AA148:AB148)</f>
        <v>0</v>
      </c>
      <c r="AD148" s="631">
        <f>(Z148*12)+AC148</f>
        <v>0</v>
      </c>
      <c r="AE148" s="771">
        <f>AD148*Q148</f>
        <v>0</v>
      </c>
      <c r="AF148" s="741">
        <f t="shared" si="172"/>
        <v>0</v>
      </c>
      <c r="AG148" s="630">
        <f t="shared" si="172"/>
        <v>0</v>
      </c>
      <c r="AH148" s="2026">
        <v>263</v>
      </c>
      <c r="AI148" s="2027">
        <v>12242455.648182761</v>
      </c>
    </row>
    <row r="149" spans="1:35" ht="42.75">
      <c r="A149" s="724" t="s">
        <v>7087</v>
      </c>
      <c r="B149" s="772">
        <v>81</v>
      </c>
      <c r="C149" s="649">
        <v>12899.686730041154</v>
      </c>
      <c r="D149" s="648"/>
      <c r="E149" s="594"/>
      <c r="F149" s="594"/>
      <c r="G149" s="594"/>
      <c r="H149" s="594"/>
      <c r="I149" s="594"/>
      <c r="J149" s="651"/>
      <c r="K149" s="631">
        <f>SUM(C149:J149)</f>
        <v>12899.686730041154</v>
      </c>
      <c r="L149" s="648"/>
      <c r="M149" s="648"/>
      <c r="N149" s="631">
        <f>SUM(L149:M149)</f>
        <v>0</v>
      </c>
      <c r="O149" s="631">
        <f>(K149*12)+N149</f>
        <v>154796.24076049385</v>
      </c>
      <c r="P149" s="771">
        <f>O149*B149</f>
        <v>12538495.501600001</v>
      </c>
      <c r="Q149" s="772">
        <v>65</v>
      </c>
      <c r="R149" s="649">
        <v>9564.0180256410258</v>
      </c>
      <c r="S149" s="647"/>
      <c r="T149" s="594"/>
      <c r="U149" s="594"/>
      <c r="V149" s="594"/>
      <c r="W149" s="594"/>
      <c r="X149" s="594"/>
      <c r="Y149" s="647"/>
      <c r="Z149" s="773">
        <f>SUM(R149:Y149)</f>
        <v>9564.0180256410258</v>
      </c>
      <c r="AA149" s="648"/>
      <c r="AB149" s="647"/>
      <c r="AC149" s="631">
        <f>SUM(AA149:AB149)</f>
        <v>0</v>
      </c>
      <c r="AD149" s="631">
        <f>(Z149*12)+AC149</f>
        <v>114768.21630769232</v>
      </c>
      <c r="AE149" s="771">
        <f>AD149*Q149</f>
        <v>7459934.0600000005</v>
      </c>
      <c r="AF149" s="741">
        <f t="shared" si="172"/>
        <v>-40028.024452801532</v>
      </c>
      <c r="AG149" s="630">
        <f t="shared" si="172"/>
        <v>-5078561.4416000005</v>
      </c>
      <c r="AH149" s="2026"/>
      <c r="AI149" s="2027"/>
    </row>
    <row r="150" spans="1:35" ht="14.25" hidden="1">
      <c r="A150" s="724" t="s">
        <v>6962</v>
      </c>
      <c r="B150" s="650"/>
      <c r="C150" s="649"/>
      <c r="D150" s="648"/>
      <c r="E150" s="594"/>
      <c r="F150" s="594"/>
      <c r="G150" s="594"/>
      <c r="H150" s="594"/>
      <c r="I150" s="594"/>
      <c r="J150" s="651"/>
      <c r="K150" s="631">
        <f>SUM(C150:J150)</f>
        <v>0</v>
      </c>
      <c r="L150" s="648"/>
      <c r="M150" s="648"/>
      <c r="N150" s="631">
        <f>SUM(L150:M150)</f>
        <v>0</v>
      </c>
      <c r="O150" s="631">
        <f>(K150*12)+N150</f>
        <v>0</v>
      </c>
      <c r="P150" s="771">
        <f>O150*B150</f>
        <v>0</v>
      </c>
      <c r="Q150" s="650"/>
      <c r="R150" s="649"/>
      <c r="S150" s="647"/>
      <c r="T150" s="594"/>
      <c r="U150" s="594"/>
      <c r="V150" s="594"/>
      <c r="W150" s="594"/>
      <c r="X150" s="594"/>
      <c r="Y150" s="647"/>
      <c r="Z150" s="773">
        <f>SUM(R150:Y150)</f>
        <v>0</v>
      </c>
      <c r="AA150" s="648"/>
      <c r="AB150" s="647"/>
      <c r="AC150" s="631">
        <f>SUM(AA150:AB150)</f>
        <v>0</v>
      </c>
      <c r="AD150" s="631">
        <f>(Z150*12)+AC150</f>
        <v>0</v>
      </c>
      <c r="AE150" s="771">
        <f>AD150*Q150</f>
        <v>0</v>
      </c>
      <c r="AF150" s="741">
        <f t="shared" si="172"/>
        <v>0</v>
      </c>
      <c r="AG150" s="630">
        <f t="shared" si="172"/>
        <v>0</v>
      </c>
      <c r="AH150" s="2026"/>
      <c r="AI150" s="2027"/>
    </row>
    <row r="151" spans="1:35" ht="40.5">
      <c r="A151" s="726" t="s">
        <v>56</v>
      </c>
      <c r="B151" s="778">
        <f>+B152+B161+B170+B185</f>
        <v>56455</v>
      </c>
      <c r="C151" s="779"/>
      <c r="D151" s="779"/>
      <c r="E151" s="779"/>
      <c r="F151" s="779"/>
      <c r="G151" s="779"/>
      <c r="H151" s="779"/>
      <c r="I151" s="779"/>
      <c r="J151" s="780"/>
      <c r="K151" s="781">
        <f t="shared" ref="K151:Q151" si="173">+K152+K161+K170+K185</f>
        <v>155559</v>
      </c>
      <c r="L151" s="779">
        <f t="shared" si="173"/>
        <v>27000</v>
      </c>
      <c r="M151" s="779">
        <f t="shared" si="173"/>
        <v>0</v>
      </c>
      <c r="N151" s="781">
        <f t="shared" si="173"/>
        <v>27000</v>
      </c>
      <c r="O151" s="781">
        <f t="shared" si="173"/>
        <v>1893708</v>
      </c>
      <c r="P151" s="782">
        <f t="shared" si="173"/>
        <v>1306642685</v>
      </c>
      <c r="Q151" s="778">
        <f t="shared" si="173"/>
        <v>56228</v>
      </c>
      <c r="R151" s="779"/>
      <c r="S151" s="779"/>
      <c r="T151" s="779"/>
      <c r="U151" s="779"/>
      <c r="V151" s="779"/>
      <c r="W151" s="779"/>
      <c r="X151" s="779"/>
      <c r="Y151" s="779">
        <f>+Y152+Y161+Y170+Y185</f>
        <v>61750</v>
      </c>
      <c r="Z151" s="779">
        <f>+Z152+Z161+Z170+Z185</f>
        <v>158259</v>
      </c>
      <c r="AA151" s="779">
        <f>+AA152+AA161+AA170+AA185</f>
        <v>27000</v>
      </c>
      <c r="AB151" s="779"/>
      <c r="AC151" s="781">
        <f t="shared" ref="AC151:AI151" si="174">+AC152+AC161+AC170+AC185</f>
        <v>27000</v>
      </c>
      <c r="AD151" s="781">
        <f t="shared" si="174"/>
        <v>1926108</v>
      </c>
      <c r="AE151" s="782">
        <f t="shared" si="174"/>
        <v>1298114601</v>
      </c>
      <c r="AF151" s="783">
        <f t="shared" si="174"/>
        <v>32400</v>
      </c>
      <c r="AG151" s="784">
        <f t="shared" si="174"/>
        <v>-8528084</v>
      </c>
      <c r="AH151" s="785">
        <f t="shared" si="174"/>
        <v>56456</v>
      </c>
      <c r="AI151" s="786">
        <f t="shared" si="174"/>
        <v>1332170927.7</v>
      </c>
    </row>
    <row r="152" spans="1:35" ht="27">
      <c r="A152" s="725" t="s">
        <v>6959</v>
      </c>
      <c r="B152" s="764">
        <f>SUM(B153:B160)</f>
        <v>7036</v>
      </c>
      <c r="C152" s="765"/>
      <c r="D152" s="765"/>
      <c r="E152" s="765"/>
      <c r="F152" s="765"/>
      <c r="G152" s="765"/>
      <c r="H152" s="765"/>
      <c r="I152" s="765"/>
      <c r="J152" s="766"/>
      <c r="K152" s="642">
        <f t="shared" ref="K152:Q152" si="175">SUM(K153:K160)</f>
        <v>59395</v>
      </c>
      <c r="L152" s="765">
        <f t="shared" si="175"/>
        <v>8000</v>
      </c>
      <c r="M152" s="765">
        <f t="shared" si="175"/>
        <v>0</v>
      </c>
      <c r="N152" s="642">
        <f t="shared" si="175"/>
        <v>8000</v>
      </c>
      <c r="O152" s="642">
        <f t="shared" si="175"/>
        <v>720740</v>
      </c>
      <c r="P152" s="641">
        <f t="shared" si="175"/>
        <v>467244124</v>
      </c>
      <c r="Q152" s="764">
        <f t="shared" si="175"/>
        <v>6904</v>
      </c>
      <c r="R152" s="765"/>
      <c r="S152" s="765"/>
      <c r="T152" s="765"/>
      <c r="U152" s="765"/>
      <c r="V152" s="765"/>
      <c r="W152" s="765"/>
      <c r="X152" s="765"/>
      <c r="Y152" s="765">
        <f>SUM(Y153:Y160)</f>
        <v>20850</v>
      </c>
      <c r="Z152" s="765">
        <f>SUM(Z153:Z160)</f>
        <v>59395</v>
      </c>
      <c r="AA152" s="765">
        <f>SUM(AA153:AA160)</f>
        <v>8000</v>
      </c>
      <c r="AB152" s="765"/>
      <c r="AC152" s="642">
        <f t="shared" ref="AC152:AI152" si="176">SUM(AC153:AC160)</f>
        <v>8000</v>
      </c>
      <c r="AD152" s="642">
        <f t="shared" si="176"/>
        <v>720740</v>
      </c>
      <c r="AE152" s="641">
        <f t="shared" si="176"/>
        <v>460308676</v>
      </c>
      <c r="AF152" s="767">
        <f t="shared" si="176"/>
        <v>0</v>
      </c>
      <c r="AG152" s="768">
        <f t="shared" si="176"/>
        <v>-6935448</v>
      </c>
      <c r="AH152" s="769">
        <f t="shared" si="176"/>
        <v>7050</v>
      </c>
      <c r="AI152" s="638">
        <f t="shared" si="176"/>
        <v>475928628</v>
      </c>
    </row>
    <row r="153" spans="1:35" ht="14.25">
      <c r="A153" s="724" t="s">
        <v>6958</v>
      </c>
      <c r="B153" s="634">
        <v>15</v>
      </c>
      <c r="C153" s="633">
        <v>8573</v>
      </c>
      <c r="D153" s="633"/>
      <c r="E153" s="594"/>
      <c r="F153" s="594"/>
      <c r="G153" s="594"/>
      <c r="H153" s="594"/>
      <c r="I153" s="594"/>
      <c r="J153" s="741">
        <v>4900</v>
      </c>
      <c r="K153" s="631">
        <f t="shared" ref="K153:K160" si="177">SUM(C153:J153)</f>
        <v>13473</v>
      </c>
      <c r="L153" s="633">
        <v>1000</v>
      </c>
      <c r="M153" s="770"/>
      <c r="N153" s="631">
        <f t="shared" ref="N153:N160" si="178">SUM(L153:M153)</f>
        <v>1000</v>
      </c>
      <c r="O153" s="631">
        <f t="shared" ref="O153:O160" si="179">(K153*12)+N153</f>
        <v>162676</v>
      </c>
      <c r="P153" s="771">
        <f t="shared" ref="P153:P160" si="180">O153*B153</f>
        <v>2440140</v>
      </c>
      <c r="Q153" s="772">
        <v>14</v>
      </c>
      <c r="R153" s="633">
        <v>8573</v>
      </c>
      <c r="S153" s="632"/>
      <c r="T153" s="594"/>
      <c r="U153" s="594"/>
      <c r="V153" s="594"/>
      <c r="W153" s="594"/>
      <c r="X153" s="594"/>
      <c r="Y153" s="770">
        <v>4900</v>
      </c>
      <c r="Z153" s="773">
        <f t="shared" ref="Z153:Z160" si="181">SUM(R153:Y153)</f>
        <v>13473</v>
      </c>
      <c r="AA153" s="633">
        <v>1000</v>
      </c>
      <c r="AB153" s="770"/>
      <c r="AC153" s="631">
        <f t="shared" ref="AC153:AC160" si="182">SUM(AA153:AB153)</f>
        <v>1000</v>
      </c>
      <c r="AD153" s="631">
        <f t="shared" ref="AD153:AD160" si="183">(Z153*12)+AC153</f>
        <v>162676</v>
      </c>
      <c r="AE153" s="771">
        <f t="shared" ref="AE153:AE160" si="184">AD153*Q153</f>
        <v>2277464</v>
      </c>
      <c r="AF153" s="741">
        <f t="shared" ref="AF153:AG160" si="185">AD153-O153</f>
        <v>0</v>
      </c>
      <c r="AG153" s="630">
        <f t="shared" si="185"/>
        <v>-162676</v>
      </c>
      <c r="AH153" s="775">
        <v>15</v>
      </c>
      <c r="AI153" s="636">
        <v>2425740</v>
      </c>
    </row>
    <row r="154" spans="1:35" ht="28.5">
      <c r="A154" s="724" t="s">
        <v>6957</v>
      </c>
      <c r="B154" s="634">
        <v>85</v>
      </c>
      <c r="C154" s="633">
        <v>8362</v>
      </c>
      <c r="D154" s="633"/>
      <c r="E154" s="594"/>
      <c r="F154" s="594"/>
      <c r="G154" s="594"/>
      <c r="H154" s="594"/>
      <c r="I154" s="594"/>
      <c r="J154" s="741">
        <v>3700</v>
      </c>
      <c r="K154" s="631">
        <f t="shared" si="177"/>
        <v>12062</v>
      </c>
      <c r="L154" s="633">
        <v>1000</v>
      </c>
      <c r="M154" s="770"/>
      <c r="N154" s="631">
        <f t="shared" si="178"/>
        <v>1000</v>
      </c>
      <c r="O154" s="631">
        <f t="shared" si="179"/>
        <v>145744</v>
      </c>
      <c r="P154" s="771">
        <f t="shared" si="180"/>
        <v>12388240</v>
      </c>
      <c r="Q154" s="772">
        <v>87</v>
      </c>
      <c r="R154" s="633">
        <v>8362</v>
      </c>
      <c r="S154" s="632"/>
      <c r="T154" s="594"/>
      <c r="U154" s="594"/>
      <c r="V154" s="594"/>
      <c r="W154" s="594"/>
      <c r="X154" s="594"/>
      <c r="Y154" s="770">
        <v>3700</v>
      </c>
      <c r="Z154" s="773">
        <f t="shared" si="181"/>
        <v>12062</v>
      </c>
      <c r="AA154" s="633">
        <v>1000</v>
      </c>
      <c r="AB154" s="770"/>
      <c r="AC154" s="631">
        <f t="shared" si="182"/>
        <v>1000</v>
      </c>
      <c r="AD154" s="631">
        <f t="shared" si="183"/>
        <v>145744</v>
      </c>
      <c r="AE154" s="771">
        <f t="shared" si="184"/>
        <v>12679728</v>
      </c>
      <c r="AF154" s="741">
        <f t="shared" si="185"/>
        <v>0</v>
      </c>
      <c r="AG154" s="630">
        <f t="shared" si="185"/>
        <v>291488</v>
      </c>
      <c r="AH154" s="775">
        <v>88</v>
      </c>
      <c r="AI154" s="636">
        <v>13211272</v>
      </c>
    </row>
    <row r="155" spans="1:35" ht="28.5">
      <c r="A155" s="724" t="s">
        <v>6953</v>
      </c>
      <c r="B155" s="634">
        <v>743</v>
      </c>
      <c r="C155" s="633">
        <v>6910</v>
      </c>
      <c r="D155" s="633"/>
      <c r="E155" s="594"/>
      <c r="F155" s="594"/>
      <c r="G155" s="594"/>
      <c r="H155" s="594"/>
      <c r="I155" s="594"/>
      <c r="J155" s="741">
        <v>3000</v>
      </c>
      <c r="K155" s="631">
        <f t="shared" si="177"/>
        <v>9910</v>
      </c>
      <c r="L155" s="633">
        <v>1000</v>
      </c>
      <c r="M155" s="770"/>
      <c r="N155" s="631">
        <f t="shared" si="178"/>
        <v>1000</v>
      </c>
      <c r="O155" s="631">
        <f t="shared" si="179"/>
        <v>119920</v>
      </c>
      <c r="P155" s="771">
        <f t="shared" si="180"/>
        <v>89100560</v>
      </c>
      <c r="Q155" s="772">
        <v>741</v>
      </c>
      <c r="R155" s="633">
        <v>6910</v>
      </c>
      <c r="S155" s="632"/>
      <c r="T155" s="594"/>
      <c r="U155" s="594"/>
      <c r="V155" s="594"/>
      <c r="W155" s="594"/>
      <c r="X155" s="594"/>
      <c r="Y155" s="770">
        <v>3000</v>
      </c>
      <c r="Z155" s="773">
        <f t="shared" si="181"/>
        <v>9910</v>
      </c>
      <c r="AA155" s="633">
        <v>1000</v>
      </c>
      <c r="AB155" s="770"/>
      <c r="AC155" s="631">
        <f t="shared" si="182"/>
        <v>1000</v>
      </c>
      <c r="AD155" s="631">
        <f t="shared" si="183"/>
        <v>119920</v>
      </c>
      <c r="AE155" s="771">
        <f t="shared" si="184"/>
        <v>88860720</v>
      </c>
      <c r="AF155" s="741">
        <f t="shared" si="185"/>
        <v>0</v>
      </c>
      <c r="AG155" s="630">
        <f t="shared" si="185"/>
        <v>-239840</v>
      </c>
      <c r="AH155" s="775">
        <v>752</v>
      </c>
      <c r="AI155" s="636">
        <v>90499640</v>
      </c>
    </row>
    <row r="156" spans="1:35" ht="14.25">
      <c r="A156" s="724" t="s">
        <v>6952</v>
      </c>
      <c r="B156" s="634">
        <v>1199</v>
      </c>
      <c r="C156" s="633">
        <v>4279</v>
      </c>
      <c r="D156" s="633"/>
      <c r="E156" s="594"/>
      <c r="F156" s="594"/>
      <c r="G156" s="594"/>
      <c r="H156" s="594"/>
      <c r="I156" s="594"/>
      <c r="J156" s="741">
        <v>2700</v>
      </c>
      <c r="K156" s="631">
        <f t="shared" si="177"/>
        <v>6979</v>
      </c>
      <c r="L156" s="633">
        <v>1000</v>
      </c>
      <c r="M156" s="770"/>
      <c r="N156" s="631">
        <f t="shared" si="178"/>
        <v>1000</v>
      </c>
      <c r="O156" s="631">
        <f t="shared" si="179"/>
        <v>84748</v>
      </c>
      <c r="P156" s="771">
        <f t="shared" si="180"/>
        <v>101612852</v>
      </c>
      <c r="Q156" s="772">
        <v>1173</v>
      </c>
      <c r="R156" s="633">
        <v>4279</v>
      </c>
      <c r="S156" s="632"/>
      <c r="T156" s="594"/>
      <c r="U156" s="594"/>
      <c r="V156" s="594"/>
      <c r="W156" s="594"/>
      <c r="X156" s="594"/>
      <c r="Y156" s="770">
        <v>2700</v>
      </c>
      <c r="Z156" s="773">
        <f t="shared" si="181"/>
        <v>6979</v>
      </c>
      <c r="AA156" s="633">
        <v>1000</v>
      </c>
      <c r="AB156" s="770"/>
      <c r="AC156" s="631">
        <f t="shared" si="182"/>
        <v>1000</v>
      </c>
      <c r="AD156" s="631">
        <f t="shared" si="183"/>
        <v>84748</v>
      </c>
      <c r="AE156" s="771">
        <f t="shared" si="184"/>
        <v>99409404</v>
      </c>
      <c r="AF156" s="741">
        <f t="shared" si="185"/>
        <v>0</v>
      </c>
      <c r="AG156" s="630">
        <f t="shared" si="185"/>
        <v>-2203448</v>
      </c>
      <c r="AH156" s="775">
        <v>1152</v>
      </c>
      <c r="AI156" s="636">
        <v>98506896</v>
      </c>
    </row>
    <row r="157" spans="1:35" ht="28.5">
      <c r="A157" s="724" t="s">
        <v>6951</v>
      </c>
      <c r="B157" s="634">
        <v>1314</v>
      </c>
      <c r="C157" s="633">
        <v>3254</v>
      </c>
      <c r="D157" s="633"/>
      <c r="E157" s="594"/>
      <c r="F157" s="594"/>
      <c r="G157" s="594"/>
      <c r="H157" s="594"/>
      <c r="I157" s="594"/>
      <c r="J157" s="741">
        <v>1800</v>
      </c>
      <c r="K157" s="631">
        <f t="shared" si="177"/>
        <v>5054</v>
      </c>
      <c r="L157" s="633">
        <v>1000</v>
      </c>
      <c r="M157" s="770"/>
      <c r="N157" s="631">
        <f t="shared" si="178"/>
        <v>1000</v>
      </c>
      <c r="O157" s="631">
        <f t="shared" si="179"/>
        <v>61648</v>
      </c>
      <c r="P157" s="771">
        <f t="shared" si="180"/>
        <v>81005472</v>
      </c>
      <c r="Q157" s="772">
        <v>1306</v>
      </c>
      <c r="R157" s="633">
        <v>3254</v>
      </c>
      <c r="S157" s="632"/>
      <c r="T157" s="594"/>
      <c r="U157" s="594"/>
      <c r="V157" s="594"/>
      <c r="W157" s="594"/>
      <c r="X157" s="594"/>
      <c r="Y157" s="770">
        <v>1800</v>
      </c>
      <c r="Z157" s="773">
        <f t="shared" si="181"/>
        <v>5054</v>
      </c>
      <c r="AA157" s="633">
        <v>1000</v>
      </c>
      <c r="AB157" s="770"/>
      <c r="AC157" s="631">
        <f t="shared" si="182"/>
        <v>1000</v>
      </c>
      <c r="AD157" s="631">
        <f t="shared" si="183"/>
        <v>61648</v>
      </c>
      <c r="AE157" s="771">
        <f t="shared" si="184"/>
        <v>80512288</v>
      </c>
      <c r="AF157" s="741">
        <f t="shared" si="185"/>
        <v>0</v>
      </c>
      <c r="AG157" s="630">
        <f t="shared" si="185"/>
        <v>-493184</v>
      </c>
      <c r="AH157" s="775">
        <v>1306</v>
      </c>
      <c r="AI157" s="636">
        <v>85193488</v>
      </c>
    </row>
    <row r="158" spans="1:35" ht="14.25">
      <c r="A158" s="724" t="s">
        <v>6950</v>
      </c>
      <c r="B158" s="634">
        <v>1301</v>
      </c>
      <c r="C158" s="633">
        <v>2705</v>
      </c>
      <c r="D158" s="633"/>
      <c r="E158" s="594"/>
      <c r="F158" s="594"/>
      <c r="G158" s="594"/>
      <c r="H158" s="594"/>
      <c r="I158" s="594"/>
      <c r="J158" s="741">
        <v>1650</v>
      </c>
      <c r="K158" s="631">
        <f t="shared" si="177"/>
        <v>4355</v>
      </c>
      <c r="L158" s="633">
        <v>1000</v>
      </c>
      <c r="M158" s="770"/>
      <c r="N158" s="631">
        <f t="shared" si="178"/>
        <v>1000</v>
      </c>
      <c r="O158" s="631">
        <f t="shared" si="179"/>
        <v>53260</v>
      </c>
      <c r="P158" s="771">
        <f t="shared" si="180"/>
        <v>69291260</v>
      </c>
      <c r="Q158" s="772">
        <f>1326+50</f>
        <v>1376</v>
      </c>
      <c r="R158" s="633">
        <v>2705</v>
      </c>
      <c r="S158" s="632"/>
      <c r="T158" s="594"/>
      <c r="U158" s="594"/>
      <c r="V158" s="594"/>
      <c r="W158" s="594"/>
      <c r="X158" s="594"/>
      <c r="Y158" s="770">
        <v>1650</v>
      </c>
      <c r="Z158" s="773">
        <f t="shared" si="181"/>
        <v>4355</v>
      </c>
      <c r="AA158" s="633">
        <v>1000</v>
      </c>
      <c r="AB158" s="770"/>
      <c r="AC158" s="631">
        <f t="shared" si="182"/>
        <v>1000</v>
      </c>
      <c r="AD158" s="631">
        <f t="shared" si="183"/>
        <v>53260</v>
      </c>
      <c r="AE158" s="771">
        <f t="shared" si="184"/>
        <v>73285760</v>
      </c>
      <c r="AF158" s="741">
        <f t="shared" si="185"/>
        <v>0</v>
      </c>
      <c r="AG158" s="630">
        <f t="shared" si="185"/>
        <v>3994500</v>
      </c>
      <c r="AH158" s="775">
        <v>1456</v>
      </c>
      <c r="AI158" s="636">
        <v>78003160</v>
      </c>
    </row>
    <row r="159" spans="1:35" ht="14.25">
      <c r="A159" s="724" t="s">
        <v>6949</v>
      </c>
      <c r="B159" s="634">
        <v>1546</v>
      </c>
      <c r="C159" s="633">
        <v>2258</v>
      </c>
      <c r="D159" s="633"/>
      <c r="E159" s="594"/>
      <c r="F159" s="594"/>
      <c r="G159" s="594"/>
      <c r="H159" s="594"/>
      <c r="I159" s="594"/>
      <c r="J159" s="741">
        <v>1650</v>
      </c>
      <c r="K159" s="631">
        <f t="shared" si="177"/>
        <v>3908</v>
      </c>
      <c r="L159" s="633">
        <v>1000</v>
      </c>
      <c r="M159" s="770"/>
      <c r="N159" s="631">
        <f t="shared" si="178"/>
        <v>1000</v>
      </c>
      <c r="O159" s="631">
        <f t="shared" si="179"/>
        <v>47896</v>
      </c>
      <c r="P159" s="771">
        <f t="shared" si="180"/>
        <v>74047216</v>
      </c>
      <c r="Q159" s="772">
        <f>1335+77</f>
        <v>1412</v>
      </c>
      <c r="R159" s="633">
        <v>2258</v>
      </c>
      <c r="S159" s="632"/>
      <c r="T159" s="594"/>
      <c r="U159" s="594"/>
      <c r="V159" s="594"/>
      <c r="W159" s="594"/>
      <c r="X159" s="594"/>
      <c r="Y159" s="770">
        <v>1650</v>
      </c>
      <c r="Z159" s="773">
        <f t="shared" si="181"/>
        <v>3908</v>
      </c>
      <c r="AA159" s="633">
        <v>1000</v>
      </c>
      <c r="AB159" s="770"/>
      <c r="AC159" s="631">
        <f t="shared" si="182"/>
        <v>1000</v>
      </c>
      <c r="AD159" s="631">
        <f t="shared" si="183"/>
        <v>47896</v>
      </c>
      <c r="AE159" s="771">
        <f t="shared" si="184"/>
        <v>67629152</v>
      </c>
      <c r="AF159" s="741">
        <f t="shared" si="185"/>
        <v>0</v>
      </c>
      <c r="AG159" s="630">
        <f t="shared" si="185"/>
        <v>-6418064</v>
      </c>
      <c r="AH159" s="775">
        <v>1428</v>
      </c>
      <c r="AI159" s="636">
        <v>69577488</v>
      </c>
    </row>
    <row r="160" spans="1:35" ht="14.25">
      <c r="A160" s="724" t="s">
        <v>6948</v>
      </c>
      <c r="B160" s="634">
        <v>833</v>
      </c>
      <c r="C160" s="633">
        <v>2204</v>
      </c>
      <c r="D160" s="633"/>
      <c r="E160" s="594"/>
      <c r="F160" s="594"/>
      <c r="G160" s="594"/>
      <c r="H160" s="594"/>
      <c r="I160" s="594"/>
      <c r="J160" s="741">
        <v>1450</v>
      </c>
      <c r="K160" s="631">
        <f t="shared" si="177"/>
        <v>3654</v>
      </c>
      <c r="L160" s="633">
        <v>1000</v>
      </c>
      <c r="M160" s="770"/>
      <c r="N160" s="631">
        <f t="shared" si="178"/>
        <v>1000</v>
      </c>
      <c r="O160" s="631">
        <f t="shared" si="179"/>
        <v>44848</v>
      </c>
      <c r="P160" s="771">
        <f t="shared" si="180"/>
        <v>37358384</v>
      </c>
      <c r="Q160" s="772">
        <v>795</v>
      </c>
      <c r="R160" s="633">
        <v>2204</v>
      </c>
      <c r="S160" s="632"/>
      <c r="T160" s="594"/>
      <c r="U160" s="594"/>
      <c r="V160" s="594"/>
      <c r="W160" s="594"/>
      <c r="X160" s="594"/>
      <c r="Y160" s="770">
        <v>1450</v>
      </c>
      <c r="Z160" s="773">
        <f t="shared" si="181"/>
        <v>3654</v>
      </c>
      <c r="AA160" s="633">
        <v>1000</v>
      </c>
      <c r="AB160" s="770"/>
      <c r="AC160" s="631">
        <f t="shared" si="182"/>
        <v>1000</v>
      </c>
      <c r="AD160" s="631">
        <f t="shared" si="183"/>
        <v>44848</v>
      </c>
      <c r="AE160" s="771">
        <f t="shared" si="184"/>
        <v>35654160</v>
      </c>
      <c r="AF160" s="741">
        <f t="shared" si="185"/>
        <v>0</v>
      </c>
      <c r="AG160" s="630">
        <f t="shared" si="185"/>
        <v>-1704224</v>
      </c>
      <c r="AH160" s="775">
        <v>853</v>
      </c>
      <c r="AI160" s="636">
        <v>38510944</v>
      </c>
    </row>
    <row r="161" spans="1:35" ht="27">
      <c r="A161" s="725" t="s">
        <v>6956</v>
      </c>
      <c r="B161" s="764">
        <f>SUM(B162:B169)</f>
        <v>14997</v>
      </c>
      <c r="C161" s="765"/>
      <c r="D161" s="765"/>
      <c r="E161" s="765"/>
      <c r="F161" s="765"/>
      <c r="G161" s="765"/>
      <c r="H161" s="765"/>
      <c r="I161" s="765"/>
      <c r="J161" s="766"/>
      <c r="K161" s="642">
        <f t="shared" ref="K161:Q161" si="186">SUM(K162:K169)</f>
        <v>29167</v>
      </c>
      <c r="L161" s="765">
        <f t="shared" si="186"/>
        <v>8000</v>
      </c>
      <c r="M161" s="765">
        <f t="shared" si="186"/>
        <v>0</v>
      </c>
      <c r="N161" s="642">
        <f t="shared" si="186"/>
        <v>8000</v>
      </c>
      <c r="O161" s="642">
        <f t="shared" si="186"/>
        <v>358004</v>
      </c>
      <c r="P161" s="641">
        <f t="shared" si="186"/>
        <v>634552068</v>
      </c>
      <c r="Q161" s="764">
        <f t="shared" si="186"/>
        <v>14795</v>
      </c>
      <c r="R161" s="765"/>
      <c r="S161" s="765"/>
      <c r="T161" s="765"/>
      <c r="U161" s="765"/>
      <c r="V161" s="765"/>
      <c r="W161" s="765"/>
      <c r="X161" s="765"/>
      <c r="Y161" s="765">
        <f>SUM(Y162:Y169)</f>
        <v>11200</v>
      </c>
      <c r="Z161" s="765">
        <f>SUM(Z162:Z169)</f>
        <v>29167</v>
      </c>
      <c r="AA161" s="765">
        <f>SUM(AA162:AA169)</f>
        <v>8000</v>
      </c>
      <c r="AB161" s="765"/>
      <c r="AC161" s="642">
        <f t="shared" ref="AC161:AI161" si="187">SUM(AC162:AC169)</f>
        <v>8000</v>
      </c>
      <c r="AD161" s="642">
        <f t="shared" si="187"/>
        <v>358004</v>
      </c>
      <c r="AE161" s="641">
        <f t="shared" si="187"/>
        <v>626650364</v>
      </c>
      <c r="AF161" s="767">
        <f t="shared" si="187"/>
        <v>0</v>
      </c>
      <c r="AG161" s="768">
        <f t="shared" si="187"/>
        <v>-7901704</v>
      </c>
      <c r="AH161" s="769">
        <f t="shared" si="187"/>
        <v>14897</v>
      </c>
      <c r="AI161" s="638">
        <f t="shared" si="187"/>
        <v>655389608</v>
      </c>
    </row>
    <row r="162" spans="1:35" ht="14.25">
      <c r="A162" s="724" t="s">
        <v>6955</v>
      </c>
      <c r="B162" s="634">
        <v>157</v>
      </c>
      <c r="C162" s="633">
        <v>2668</v>
      </c>
      <c r="D162" s="633"/>
      <c r="E162" s="594"/>
      <c r="F162" s="594"/>
      <c r="G162" s="594"/>
      <c r="H162" s="594"/>
      <c r="I162" s="594"/>
      <c r="J162" s="741">
        <v>1650</v>
      </c>
      <c r="K162" s="631">
        <f t="shared" ref="K162:K169" si="188">SUM(C162:J162)</f>
        <v>4318</v>
      </c>
      <c r="L162" s="633">
        <v>1000</v>
      </c>
      <c r="M162" s="770"/>
      <c r="N162" s="631">
        <f t="shared" ref="N162:N169" si="189">SUM(L162:M162)</f>
        <v>1000</v>
      </c>
      <c r="O162" s="631">
        <f t="shared" ref="O162:O169" si="190">(K162*12)+N162</f>
        <v>52816</v>
      </c>
      <c r="P162" s="771">
        <f t="shared" ref="P162:P169" si="191">O162*B162</f>
        <v>8292112</v>
      </c>
      <c r="Q162" s="772">
        <v>168</v>
      </c>
      <c r="R162" s="633">
        <v>2668</v>
      </c>
      <c r="S162" s="632"/>
      <c r="T162" s="594"/>
      <c r="U162" s="594"/>
      <c r="V162" s="594"/>
      <c r="W162" s="594"/>
      <c r="X162" s="594"/>
      <c r="Y162" s="770">
        <v>1650</v>
      </c>
      <c r="Z162" s="773">
        <f t="shared" ref="Z162:Z169" si="192">SUM(R162:Y162)</f>
        <v>4318</v>
      </c>
      <c r="AA162" s="633">
        <v>1000</v>
      </c>
      <c r="AB162" s="770"/>
      <c r="AC162" s="631">
        <f t="shared" ref="AC162:AC169" si="193">SUM(AA162:AB162)</f>
        <v>1000</v>
      </c>
      <c r="AD162" s="631">
        <f t="shared" ref="AD162:AD169" si="194">(Z162*12)+AC162</f>
        <v>52816</v>
      </c>
      <c r="AE162" s="771">
        <f t="shared" ref="AE162:AE169" si="195">AD162*Q162</f>
        <v>8873088</v>
      </c>
      <c r="AF162" s="741">
        <f t="shared" ref="AF162:AG169" si="196">AD162-O162</f>
        <v>0</v>
      </c>
      <c r="AG162" s="630">
        <f t="shared" si="196"/>
        <v>580976</v>
      </c>
      <c r="AH162" s="775">
        <v>181</v>
      </c>
      <c r="AI162" s="636">
        <v>9930496</v>
      </c>
    </row>
    <row r="163" spans="1:35" ht="14.25">
      <c r="A163" s="724" t="s">
        <v>6947</v>
      </c>
      <c r="B163" s="634">
        <v>522</v>
      </c>
      <c r="C163" s="633">
        <v>2561</v>
      </c>
      <c r="D163" s="633"/>
      <c r="E163" s="594"/>
      <c r="F163" s="594"/>
      <c r="G163" s="594"/>
      <c r="H163" s="594"/>
      <c r="I163" s="594"/>
      <c r="J163" s="741">
        <v>1650</v>
      </c>
      <c r="K163" s="631">
        <f t="shared" si="188"/>
        <v>4211</v>
      </c>
      <c r="L163" s="633">
        <v>1000</v>
      </c>
      <c r="M163" s="770"/>
      <c r="N163" s="631">
        <f t="shared" si="189"/>
        <v>1000</v>
      </c>
      <c r="O163" s="631">
        <f t="shared" si="190"/>
        <v>51532</v>
      </c>
      <c r="P163" s="771">
        <f t="shared" si="191"/>
        <v>26899704</v>
      </c>
      <c r="Q163" s="772">
        <v>518</v>
      </c>
      <c r="R163" s="633">
        <v>2561</v>
      </c>
      <c r="S163" s="632"/>
      <c r="T163" s="594"/>
      <c r="U163" s="594"/>
      <c r="V163" s="594"/>
      <c r="W163" s="594"/>
      <c r="X163" s="594"/>
      <c r="Y163" s="770">
        <v>1650</v>
      </c>
      <c r="Z163" s="773">
        <f t="shared" si="192"/>
        <v>4211</v>
      </c>
      <c r="AA163" s="633">
        <v>1000</v>
      </c>
      <c r="AB163" s="770"/>
      <c r="AC163" s="631">
        <f t="shared" si="193"/>
        <v>1000</v>
      </c>
      <c r="AD163" s="631">
        <f t="shared" si="194"/>
        <v>51532</v>
      </c>
      <c r="AE163" s="771">
        <f t="shared" si="195"/>
        <v>26693576</v>
      </c>
      <c r="AF163" s="741">
        <f t="shared" si="196"/>
        <v>0</v>
      </c>
      <c r="AG163" s="630">
        <f t="shared" si="196"/>
        <v>-206128</v>
      </c>
      <c r="AH163" s="775">
        <v>524</v>
      </c>
      <c r="AI163" s="636">
        <v>28088768</v>
      </c>
    </row>
    <row r="164" spans="1:35" ht="14.25">
      <c r="A164" s="724" t="s">
        <v>6946</v>
      </c>
      <c r="B164" s="634">
        <v>1496</v>
      </c>
      <c r="C164" s="633">
        <v>2382</v>
      </c>
      <c r="D164" s="633"/>
      <c r="E164" s="594"/>
      <c r="F164" s="594"/>
      <c r="G164" s="594"/>
      <c r="H164" s="594"/>
      <c r="I164" s="594"/>
      <c r="J164" s="741">
        <v>1450</v>
      </c>
      <c r="K164" s="631">
        <f t="shared" si="188"/>
        <v>3832</v>
      </c>
      <c r="L164" s="633">
        <v>1000</v>
      </c>
      <c r="M164" s="770"/>
      <c r="N164" s="631">
        <f t="shared" si="189"/>
        <v>1000</v>
      </c>
      <c r="O164" s="631">
        <f t="shared" si="190"/>
        <v>46984</v>
      </c>
      <c r="P164" s="771">
        <f t="shared" si="191"/>
        <v>70288064</v>
      </c>
      <c r="Q164" s="772">
        <v>1535</v>
      </c>
      <c r="R164" s="633">
        <v>2382</v>
      </c>
      <c r="S164" s="632"/>
      <c r="T164" s="594"/>
      <c r="U164" s="594"/>
      <c r="V164" s="594"/>
      <c r="W164" s="594"/>
      <c r="X164" s="594"/>
      <c r="Y164" s="770">
        <v>1450</v>
      </c>
      <c r="Z164" s="773">
        <f t="shared" si="192"/>
        <v>3832</v>
      </c>
      <c r="AA164" s="633">
        <v>1000</v>
      </c>
      <c r="AB164" s="770"/>
      <c r="AC164" s="631">
        <f t="shared" si="193"/>
        <v>1000</v>
      </c>
      <c r="AD164" s="631">
        <f t="shared" si="194"/>
        <v>46984</v>
      </c>
      <c r="AE164" s="771">
        <f t="shared" si="195"/>
        <v>72120440</v>
      </c>
      <c r="AF164" s="741">
        <f t="shared" si="196"/>
        <v>0</v>
      </c>
      <c r="AG164" s="630">
        <f t="shared" si="196"/>
        <v>1832376</v>
      </c>
      <c r="AH164" s="775">
        <v>1604</v>
      </c>
      <c r="AI164" s="636">
        <v>77009336</v>
      </c>
    </row>
    <row r="165" spans="1:35" ht="14.25">
      <c r="A165" s="724" t="s">
        <v>6945</v>
      </c>
      <c r="B165" s="634">
        <v>2033</v>
      </c>
      <c r="C165" s="633">
        <v>2228</v>
      </c>
      <c r="D165" s="633"/>
      <c r="E165" s="594"/>
      <c r="F165" s="594"/>
      <c r="G165" s="594"/>
      <c r="H165" s="594"/>
      <c r="I165" s="594"/>
      <c r="J165" s="741">
        <v>1300</v>
      </c>
      <c r="K165" s="631">
        <f t="shared" si="188"/>
        <v>3528</v>
      </c>
      <c r="L165" s="633">
        <v>1000</v>
      </c>
      <c r="M165" s="770"/>
      <c r="N165" s="631">
        <f t="shared" si="189"/>
        <v>1000</v>
      </c>
      <c r="O165" s="631">
        <f t="shared" si="190"/>
        <v>43336</v>
      </c>
      <c r="P165" s="771">
        <f t="shared" si="191"/>
        <v>88102088</v>
      </c>
      <c r="Q165" s="772">
        <v>2034</v>
      </c>
      <c r="R165" s="633">
        <v>2228</v>
      </c>
      <c r="S165" s="632"/>
      <c r="T165" s="594"/>
      <c r="U165" s="594"/>
      <c r="V165" s="594"/>
      <c r="W165" s="594"/>
      <c r="X165" s="594"/>
      <c r="Y165" s="770">
        <v>1300</v>
      </c>
      <c r="Z165" s="773">
        <f t="shared" si="192"/>
        <v>3528</v>
      </c>
      <c r="AA165" s="633">
        <v>1000</v>
      </c>
      <c r="AB165" s="770"/>
      <c r="AC165" s="631">
        <f t="shared" si="193"/>
        <v>1000</v>
      </c>
      <c r="AD165" s="631">
        <f t="shared" si="194"/>
        <v>43336</v>
      </c>
      <c r="AE165" s="771">
        <f t="shared" si="195"/>
        <v>88145424</v>
      </c>
      <c r="AF165" s="741">
        <f t="shared" si="196"/>
        <v>0</v>
      </c>
      <c r="AG165" s="630">
        <f t="shared" si="196"/>
        <v>43336</v>
      </c>
      <c r="AH165" s="775">
        <v>2061</v>
      </c>
      <c r="AI165" s="636">
        <v>92216496</v>
      </c>
    </row>
    <row r="166" spans="1:35" ht="14.25">
      <c r="A166" s="724" t="s">
        <v>6944</v>
      </c>
      <c r="B166" s="634">
        <v>2729</v>
      </c>
      <c r="C166" s="633">
        <v>2104</v>
      </c>
      <c r="D166" s="633"/>
      <c r="E166" s="594"/>
      <c r="F166" s="594"/>
      <c r="G166" s="594"/>
      <c r="H166" s="594"/>
      <c r="I166" s="594"/>
      <c r="J166" s="741">
        <v>1300</v>
      </c>
      <c r="K166" s="631">
        <f t="shared" si="188"/>
        <v>3404</v>
      </c>
      <c r="L166" s="633">
        <v>1000</v>
      </c>
      <c r="M166" s="770"/>
      <c r="N166" s="631">
        <f t="shared" si="189"/>
        <v>1000</v>
      </c>
      <c r="O166" s="631">
        <f t="shared" si="190"/>
        <v>41848</v>
      </c>
      <c r="P166" s="771">
        <f t="shared" si="191"/>
        <v>114203192</v>
      </c>
      <c r="Q166" s="772">
        <v>2713</v>
      </c>
      <c r="R166" s="633">
        <v>2104</v>
      </c>
      <c r="S166" s="632"/>
      <c r="T166" s="594"/>
      <c r="U166" s="594"/>
      <c r="V166" s="594"/>
      <c r="W166" s="594"/>
      <c r="X166" s="594"/>
      <c r="Y166" s="770">
        <v>1300</v>
      </c>
      <c r="Z166" s="773">
        <f t="shared" si="192"/>
        <v>3404</v>
      </c>
      <c r="AA166" s="633">
        <v>1000</v>
      </c>
      <c r="AB166" s="770"/>
      <c r="AC166" s="631">
        <f t="shared" si="193"/>
        <v>1000</v>
      </c>
      <c r="AD166" s="631">
        <f t="shared" si="194"/>
        <v>41848</v>
      </c>
      <c r="AE166" s="771">
        <f t="shared" si="195"/>
        <v>113533624</v>
      </c>
      <c r="AF166" s="741">
        <f t="shared" si="196"/>
        <v>0</v>
      </c>
      <c r="AG166" s="630">
        <f t="shared" si="196"/>
        <v>-669568</v>
      </c>
      <c r="AH166" s="775">
        <v>2678</v>
      </c>
      <c r="AI166" s="636">
        <v>116674544</v>
      </c>
    </row>
    <row r="167" spans="1:35" ht="14.25">
      <c r="A167" s="724" t="s">
        <v>6943</v>
      </c>
      <c r="B167" s="634">
        <v>2815</v>
      </c>
      <c r="C167" s="633">
        <v>2043</v>
      </c>
      <c r="D167" s="633"/>
      <c r="E167" s="594"/>
      <c r="F167" s="594"/>
      <c r="G167" s="594"/>
      <c r="H167" s="594"/>
      <c r="I167" s="594"/>
      <c r="J167" s="741">
        <v>1300</v>
      </c>
      <c r="K167" s="631">
        <f t="shared" si="188"/>
        <v>3343</v>
      </c>
      <c r="L167" s="633">
        <v>1000</v>
      </c>
      <c r="M167" s="770"/>
      <c r="N167" s="631">
        <f t="shared" si="189"/>
        <v>1000</v>
      </c>
      <c r="O167" s="631">
        <f t="shared" si="190"/>
        <v>41116</v>
      </c>
      <c r="P167" s="771">
        <f t="shared" si="191"/>
        <v>115741540</v>
      </c>
      <c r="Q167" s="772">
        <v>2810</v>
      </c>
      <c r="R167" s="633">
        <v>2043</v>
      </c>
      <c r="S167" s="632"/>
      <c r="T167" s="594"/>
      <c r="U167" s="594"/>
      <c r="V167" s="594"/>
      <c r="W167" s="594"/>
      <c r="X167" s="594"/>
      <c r="Y167" s="770">
        <v>1300</v>
      </c>
      <c r="Z167" s="773">
        <f t="shared" si="192"/>
        <v>3343</v>
      </c>
      <c r="AA167" s="633">
        <v>1000</v>
      </c>
      <c r="AB167" s="770"/>
      <c r="AC167" s="631">
        <f t="shared" si="193"/>
        <v>1000</v>
      </c>
      <c r="AD167" s="631">
        <f t="shared" si="194"/>
        <v>41116</v>
      </c>
      <c r="AE167" s="771">
        <f t="shared" si="195"/>
        <v>115535960</v>
      </c>
      <c r="AF167" s="741">
        <f t="shared" si="196"/>
        <v>0</v>
      </c>
      <c r="AG167" s="630">
        <f t="shared" si="196"/>
        <v>-205580</v>
      </c>
      <c r="AH167" s="775">
        <v>2831</v>
      </c>
      <c r="AI167" s="636">
        <v>120296996</v>
      </c>
    </row>
    <row r="168" spans="1:35" ht="14.25">
      <c r="A168" s="724" t="s">
        <v>6942</v>
      </c>
      <c r="B168" s="634">
        <v>2886</v>
      </c>
      <c r="C168" s="633">
        <v>2005</v>
      </c>
      <c r="D168" s="633"/>
      <c r="E168" s="594"/>
      <c r="F168" s="594"/>
      <c r="G168" s="594"/>
      <c r="H168" s="594"/>
      <c r="I168" s="594"/>
      <c r="J168" s="741">
        <v>1300</v>
      </c>
      <c r="K168" s="631">
        <f t="shared" si="188"/>
        <v>3305</v>
      </c>
      <c r="L168" s="633">
        <v>1000</v>
      </c>
      <c r="M168" s="770"/>
      <c r="N168" s="631">
        <f t="shared" si="189"/>
        <v>1000</v>
      </c>
      <c r="O168" s="631">
        <f t="shared" si="190"/>
        <v>40660</v>
      </c>
      <c r="P168" s="771">
        <f t="shared" si="191"/>
        <v>117344760</v>
      </c>
      <c r="Q168" s="772">
        <v>2651</v>
      </c>
      <c r="R168" s="633">
        <v>2005</v>
      </c>
      <c r="S168" s="632"/>
      <c r="T168" s="594"/>
      <c r="U168" s="594"/>
      <c r="V168" s="594"/>
      <c r="W168" s="594"/>
      <c r="X168" s="594"/>
      <c r="Y168" s="770">
        <v>1300</v>
      </c>
      <c r="Z168" s="773">
        <f t="shared" si="192"/>
        <v>3305</v>
      </c>
      <c r="AA168" s="633">
        <v>1000</v>
      </c>
      <c r="AB168" s="770"/>
      <c r="AC168" s="631">
        <f t="shared" si="193"/>
        <v>1000</v>
      </c>
      <c r="AD168" s="631">
        <f t="shared" si="194"/>
        <v>40660</v>
      </c>
      <c r="AE168" s="771">
        <f t="shared" si="195"/>
        <v>107789660</v>
      </c>
      <c r="AF168" s="741">
        <f t="shared" si="196"/>
        <v>0</v>
      </c>
      <c r="AG168" s="630">
        <f t="shared" si="196"/>
        <v>-9555100</v>
      </c>
      <c r="AH168" s="775">
        <v>2697</v>
      </c>
      <c r="AI168" s="636">
        <v>114094020</v>
      </c>
    </row>
    <row r="169" spans="1:35" ht="14.25">
      <c r="A169" s="724" t="s">
        <v>6941</v>
      </c>
      <c r="B169" s="634">
        <v>2359</v>
      </c>
      <c r="C169" s="633">
        <v>1976</v>
      </c>
      <c r="D169" s="633"/>
      <c r="E169" s="594"/>
      <c r="F169" s="594"/>
      <c r="G169" s="594"/>
      <c r="H169" s="594"/>
      <c r="I169" s="594"/>
      <c r="J169" s="741">
        <v>1250</v>
      </c>
      <c r="K169" s="631">
        <f t="shared" si="188"/>
        <v>3226</v>
      </c>
      <c r="L169" s="633">
        <v>1000</v>
      </c>
      <c r="M169" s="770"/>
      <c r="N169" s="631">
        <f t="shared" si="189"/>
        <v>1000</v>
      </c>
      <c r="O169" s="631">
        <f t="shared" si="190"/>
        <v>39712</v>
      </c>
      <c r="P169" s="771">
        <f t="shared" si="191"/>
        <v>93680608</v>
      </c>
      <c r="Q169" s="772">
        <v>2366</v>
      </c>
      <c r="R169" s="633">
        <v>1976</v>
      </c>
      <c r="S169" s="632"/>
      <c r="T169" s="594"/>
      <c r="U169" s="594"/>
      <c r="V169" s="594"/>
      <c r="W169" s="594"/>
      <c r="X169" s="594"/>
      <c r="Y169" s="770">
        <v>1250</v>
      </c>
      <c r="Z169" s="773">
        <f t="shared" si="192"/>
        <v>3226</v>
      </c>
      <c r="AA169" s="633">
        <v>1000</v>
      </c>
      <c r="AB169" s="770"/>
      <c r="AC169" s="631">
        <f t="shared" si="193"/>
        <v>1000</v>
      </c>
      <c r="AD169" s="631">
        <f t="shared" si="194"/>
        <v>39712</v>
      </c>
      <c r="AE169" s="771">
        <f t="shared" si="195"/>
        <v>93958592</v>
      </c>
      <c r="AF169" s="741">
        <f t="shared" si="196"/>
        <v>0</v>
      </c>
      <c r="AG169" s="630">
        <f t="shared" si="196"/>
        <v>277984</v>
      </c>
      <c r="AH169" s="775">
        <v>2321</v>
      </c>
      <c r="AI169" s="636">
        <v>97078952</v>
      </c>
    </row>
    <row r="170" spans="1:35" ht="54">
      <c r="A170" s="646" t="s">
        <v>7086</v>
      </c>
      <c r="B170" s="644">
        <f>SUM(B171:B184)</f>
        <v>322</v>
      </c>
      <c r="C170" s="643"/>
      <c r="D170" s="643"/>
      <c r="E170" s="643"/>
      <c r="F170" s="643"/>
      <c r="G170" s="643"/>
      <c r="H170" s="643"/>
      <c r="I170" s="643"/>
      <c r="J170" s="645"/>
      <c r="K170" s="642">
        <f t="shared" ref="K170:Q170" si="197">SUM(K171:K184)</f>
        <v>58966</v>
      </c>
      <c r="L170" s="643">
        <f t="shared" si="197"/>
        <v>11000</v>
      </c>
      <c r="M170" s="643">
        <f t="shared" si="197"/>
        <v>0</v>
      </c>
      <c r="N170" s="642">
        <f t="shared" si="197"/>
        <v>11000</v>
      </c>
      <c r="O170" s="642">
        <f t="shared" si="197"/>
        <v>718592</v>
      </c>
      <c r="P170" s="641">
        <f t="shared" si="197"/>
        <v>19349596</v>
      </c>
      <c r="Q170" s="644">
        <f t="shared" si="197"/>
        <v>429</v>
      </c>
      <c r="R170" s="643"/>
      <c r="S170" s="643"/>
      <c r="T170" s="643"/>
      <c r="U170" s="643"/>
      <c r="V170" s="643"/>
      <c r="W170" s="643"/>
      <c r="X170" s="643"/>
      <c r="Y170" s="643">
        <f>SUM(Y171:Y184)</f>
        <v>29700</v>
      </c>
      <c r="Z170" s="643">
        <f>SUM(Z171:Z184)</f>
        <v>61666</v>
      </c>
      <c r="AA170" s="643">
        <f>SUM(AA171:AA184)</f>
        <v>11000</v>
      </c>
      <c r="AB170" s="643"/>
      <c r="AC170" s="642">
        <f t="shared" ref="AC170:AI170" si="198">SUM(AC171:AC184)</f>
        <v>11000</v>
      </c>
      <c r="AD170" s="642">
        <f t="shared" si="198"/>
        <v>750992</v>
      </c>
      <c r="AE170" s="641">
        <f t="shared" si="198"/>
        <v>25658664</v>
      </c>
      <c r="AF170" s="640">
        <f t="shared" si="198"/>
        <v>32400</v>
      </c>
      <c r="AG170" s="581">
        <f t="shared" si="198"/>
        <v>6309068</v>
      </c>
      <c r="AH170" s="639">
        <f t="shared" si="198"/>
        <v>409</v>
      </c>
      <c r="AI170" s="638">
        <f t="shared" si="198"/>
        <v>20209120</v>
      </c>
    </row>
    <row r="171" spans="1:35" ht="27">
      <c r="A171" s="727" t="s">
        <v>6959</v>
      </c>
      <c r="B171" s="634"/>
      <c r="C171" s="787"/>
      <c r="D171" s="633"/>
      <c r="E171" s="594"/>
      <c r="F171" s="594"/>
      <c r="G171" s="594"/>
      <c r="H171" s="594"/>
      <c r="I171" s="594"/>
      <c r="J171" s="635"/>
      <c r="K171" s="631">
        <f t="shared" ref="K171:K184" si="199">SUM(C171:J171)</f>
        <v>0</v>
      </c>
      <c r="L171" s="633"/>
      <c r="M171" s="633"/>
      <c r="N171" s="631">
        <f t="shared" ref="N171:N184" si="200">SUM(L171:M171)</f>
        <v>0</v>
      </c>
      <c r="O171" s="631">
        <f t="shared" ref="O171:O184" si="201">(K171*12)+N171</f>
        <v>0</v>
      </c>
      <c r="P171" s="771">
        <f t="shared" ref="P171:P184" si="202">O171*B171</f>
        <v>0</v>
      </c>
      <c r="Q171" s="637"/>
      <c r="R171" s="788"/>
      <c r="S171" s="632"/>
      <c r="T171" s="594"/>
      <c r="U171" s="594"/>
      <c r="V171" s="594"/>
      <c r="W171" s="594"/>
      <c r="X171" s="594"/>
      <c r="Y171" s="633"/>
      <c r="Z171" s="773">
        <f t="shared" ref="Z171:Z184" si="203">SUM(R171:Y171)</f>
        <v>0</v>
      </c>
      <c r="AA171" s="633"/>
      <c r="AB171" s="633"/>
      <c r="AC171" s="631">
        <f t="shared" ref="AC171:AC184" si="204">SUM(AA171:AB171)</f>
        <v>0</v>
      </c>
      <c r="AD171" s="631">
        <f t="shared" ref="AD171:AD184" si="205">(Z171*12)+AC171</f>
        <v>0</v>
      </c>
      <c r="AE171" s="771">
        <f t="shared" ref="AE171:AE184" si="206">AD171*Q171</f>
        <v>0</v>
      </c>
      <c r="AF171" s="741">
        <f t="shared" ref="AF171:AF184" si="207">AD171-O171</f>
        <v>0</v>
      </c>
      <c r="AG171" s="630">
        <f t="shared" ref="AG171:AG184" si="208">AE171-P171</f>
        <v>0</v>
      </c>
      <c r="AH171" s="789"/>
      <c r="AI171" s="629"/>
    </row>
    <row r="172" spans="1:35" ht="14.25">
      <c r="A172" s="724" t="s">
        <v>7085</v>
      </c>
      <c r="B172" s="634">
        <v>1</v>
      </c>
      <c r="C172" s="633">
        <v>6910</v>
      </c>
      <c r="D172" s="633"/>
      <c r="E172" s="594"/>
      <c r="F172" s="594"/>
      <c r="G172" s="594"/>
      <c r="H172" s="594"/>
      <c r="I172" s="594"/>
      <c r="J172" s="635"/>
      <c r="K172" s="631">
        <f t="shared" si="199"/>
        <v>6910</v>
      </c>
      <c r="L172" s="633">
        <v>1000</v>
      </c>
      <c r="M172" s="633"/>
      <c r="N172" s="631">
        <f t="shared" si="200"/>
        <v>1000</v>
      </c>
      <c r="O172" s="631">
        <f t="shared" si="201"/>
        <v>83920</v>
      </c>
      <c r="P172" s="771">
        <f t="shared" si="202"/>
        <v>83920</v>
      </c>
      <c r="Q172" s="772">
        <v>2</v>
      </c>
      <c r="R172" s="633">
        <v>6910</v>
      </c>
      <c r="S172" s="632"/>
      <c r="T172" s="594"/>
      <c r="U172" s="594"/>
      <c r="V172" s="594"/>
      <c r="W172" s="594"/>
      <c r="X172" s="594"/>
      <c r="Y172" s="633">
        <v>2700</v>
      </c>
      <c r="Z172" s="773">
        <f t="shared" si="203"/>
        <v>9610</v>
      </c>
      <c r="AA172" s="633">
        <v>1000</v>
      </c>
      <c r="AB172" s="633"/>
      <c r="AC172" s="631">
        <f t="shared" si="204"/>
        <v>1000</v>
      </c>
      <c r="AD172" s="631">
        <f t="shared" si="205"/>
        <v>116320</v>
      </c>
      <c r="AE172" s="771">
        <f t="shared" si="206"/>
        <v>232640</v>
      </c>
      <c r="AF172" s="741">
        <f t="shared" si="207"/>
        <v>32400</v>
      </c>
      <c r="AG172" s="630">
        <f t="shared" si="208"/>
        <v>148720</v>
      </c>
      <c r="AH172" s="775">
        <v>2</v>
      </c>
      <c r="AI172" s="636">
        <v>743840</v>
      </c>
    </row>
    <row r="173" spans="1:35" ht="14.25">
      <c r="A173" s="724" t="s">
        <v>7084</v>
      </c>
      <c r="B173" s="634">
        <v>9</v>
      </c>
      <c r="C173" s="633">
        <v>4279</v>
      </c>
      <c r="D173" s="633"/>
      <c r="E173" s="594"/>
      <c r="F173" s="594"/>
      <c r="G173" s="594"/>
      <c r="H173" s="594"/>
      <c r="I173" s="594"/>
      <c r="J173" s="635">
        <v>2700</v>
      </c>
      <c r="K173" s="631">
        <f t="shared" si="199"/>
        <v>6979</v>
      </c>
      <c r="L173" s="633">
        <v>1000</v>
      </c>
      <c r="M173" s="633"/>
      <c r="N173" s="631">
        <f t="shared" si="200"/>
        <v>1000</v>
      </c>
      <c r="O173" s="631">
        <f t="shared" si="201"/>
        <v>84748</v>
      </c>
      <c r="P173" s="771">
        <f t="shared" si="202"/>
        <v>762732</v>
      </c>
      <c r="Q173" s="772">
        <v>7</v>
      </c>
      <c r="R173" s="633">
        <v>4279</v>
      </c>
      <c r="S173" s="632"/>
      <c r="T173" s="594"/>
      <c r="U173" s="594"/>
      <c r="V173" s="594"/>
      <c r="W173" s="594"/>
      <c r="X173" s="594"/>
      <c r="Y173" s="633">
        <v>2700</v>
      </c>
      <c r="Z173" s="773">
        <f t="shared" si="203"/>
        <v>6979</v>
      </c>
      <c r="AA173" s="633">
        <v>1000</v>
      </c>
      <c r="AB173" s="633"/>
      <c r="AC173" s="631">
        <f t="shared" si="204"/>
        <v>1000</v>
      </c>
      <c r="AD173" s="631">
        <f t="shared" si="205"/>
        <v>84748</v>
      </c>
      <c r="AE173" s="771">
        <f t="shared" si="206"/>
        <v>593236</v>
      </c>
      <c r="AF173" s="741">
        <f t="shared" si="207"/>
        <v>0</v>
      </c>
      <c r="AG173" s="630">
        <f t="shared" si="208"/>
        <v>-169496</v>
      </c>
      <c r="AH173" s="775">
        <v>7</v>
      </c>
      <c r="AI173" s="636">
        <v>949636</v>
      </c>
    </row>
    <row r="174" spans="1:35" ht="14.25">
      <c r="A174" s="724" t="s">
        <v>7083</v>
      </c>
      <c r="B174" s="634">
        <v>25</v>
      </c>
      <c r="C174" s="633">
        <v>3254</v>
      </c>
      <c r="D174" s="633"/>
      <c r="E174" s="594"/>
      <c r="F174" s="594"/>
      <c r="G174" s="594"/>
      <c r="H174" s="594"/>
      <c r="I174" s="594"/>
      <c r="J174" s="635">
        <v>2700</v>
      </c>
      <c r="K174" s="631">
        <f t="shared" si="199"/>
        <v>5954</v>
      </c>
      <c r="L174" s="633">
        <v>1000</v>
      </c>
      <c r="M174" s="633"/>
      <c r="N174" s="631">
        <f t="shared" si="200"/>
        <v>1000</v>
      </c>
      <c r="O174" s="631">
        <f t="shared" si="201"/>
        <v>72448</v>
      </c>
      <c r="P174" s="771">
        <f t="shared" si="202"/>
        <v>1811200</v>
      </c>
      <c r="Q174" s="772">
        <v>28</v>
      </c>
      <c r="R174" s="633">
        <v>3254</v>
      </c>
      <c r="S174" s="632"/>
      <c r="T174" s="594"/>
      <c r="U174" s="594"/>
      <c r="V174" s="594"/>
      <c r="W174" s="594"/>
      <c r="X174" s="594"/>
      <c r="Y174" s="633">
        <v>2700</v>
      </c>
      <c r="Z174" s="773">
        <f t="shared" si="203"/>
        <v>5954</v>
      </c>
      <c r="AA174" s="633">
        <v>1000</v>
      </c>
      <c r="AB174" s="633"/>
      <c r="AC174" s="631">
        <f t="shared" si="204"/>
        <v>1000</v>
      </c>
      <c r="AD174" s="631">
        <f t="shared" si="205"/>
        <v>72448</v>
      </c>
      <c r="AE174" s="771">
        <f t="shared" si="206"/>
        <v>2028544</v>
      </c>
      <c r="AF174" s="741">
        <f t="shared" si="207"/>
        <v>0</v>
      </c>
      <c r="AG174" s="630">
        <f t="shared" si="208"/>
        <v>217344</v>
      </c>
      <c r="AH174" s="775">
        <v>28</v>
      </c>
      <c r="AI174" s="636">
        <v>1510144</v>
      </c>
    </row>
    <row r="175" spans="1:35" ht="14.25">
      <c r="A175" s="724" t="s">
        <v>7082</v>
      </c>
      <c r="B175" s="634">
        <v>14</v>
      </c>
      <c r="C175" s="633">
        <v>2705</v>
      </c>
      <c r="D175" s="633"/>
      <c r="E175" s="594"/>
      <c r="F175" s="594"/>
      <c r="G175" s="594"/>
      <c r="H175" s="594"/>
      <c r="I175" s="594"/>
      <c r="J175" s="635">
        <v>2700</v>
      </c>
      <c r="K175" s="631">
        <f t="shared" si="199"/>
        <v>5405</v>
      </c>
      <c r="L175" s="633">
        <v>1000</v>
      </c>
      <c r="M175" s="633"/>
      <c r="N175" s="631">
        <f t="shared" si="200"/>
        <v>1000</v>
      </c>
      <c r="O175" s="631">
        <f t="shared" si="201"/>
        <v>65860</v>
      </c>
      <c r="P175" s="771">
        <f t="shared" si="202"/>
        <v>922040</v>
      </c>
      <c r="Q175" s="772">
        <v>15</v>
      </c>
      <c r="R175" s="633">
        <v>2705</v>
      </c>
      <c r="S175" s="632"/>
      <c r="T175" s="594"/>
      <c r="U175" s="594"/>
      <c r="V175" s="594"/>
      <c r="W175" s="594"/>
      <c r="X175" s="594"/>
      <c r="Y175" s="633">
        <v>2700</v>
      </c>
      <c r="Z175" s="773">
        <f t="shared" si="203"/>
        <v>5405</v>
      </c>
      <c r="AA175" s="633">
        <v>1000</v>
      </c>
      <c r="AB175" s="633"/>
      <c r="AC175" s="631">
        <f t="shared" si="204"/>
        <v>1000</v>
      </c>
      <c r="AD175" s="631">
        <f t="shared" si="205"/>
        <v>65860</v>
      </c>
      <c r="AE175" s="771">
        <f t="shared" si="206"/>
        <v>987900</v>
      </c>
      <c r="AF175" s="741">
        <f t="shared" si="207"/>
        <v>0</v>
      </c>
      <c r="AG175" s="630">
        <f t="shared" si="208"/>
        <v>65860</v>
      </c>
      <c r="AH175" s="775">
        <v>14</v>
      </c>
      <c r="AI175" s="636">
        <v>695240</v>
      </c>
    </row>
    <row r="176" spans="1:35" ht="14.25">
      <c r="A176" s="724" t="s">
        <v>7081</v>
      </c>
      <c r="B176" s="634">
        <v>10</v>
      </c>
      <c r="C176" s="633">
        <v>2258</v>
      </c>
      <c r="D176" s="633"/>
      <c r="E176" s="594"/>
      <c r="F176" s="594"/>
      <c r="G176" s="594"/>
      <c r="H176" s="594"/>
      <c r="I176" s="594"/>
      <c r="J176" s="635">
        <v>2700</v>
      </c>
      <c r="K176" s="631">
        <f t="shared" si="199"/>
        <v>4958</v>
      </c>
      <c r="L176" s="633">
        <v>1000</v>
      </c>
      <c r="M176" s="633"/>
      <c r="N176" s="631">
        <f t="shared" si="200"/>
        <v>1000</v>
      </c>
      <c r="O176" s="631">
        <f t="shared" si="201"/>
        <v>60496</v>
      </c>
      <c r="P176" s="771">
        <f t="shared" si="202"/>
        <v>604960</v>
      </c>
      <c r="Q176" s="772">
        <v>11</v>
      </c>
      <c r="R176" s="633">
        <v>2258</v>
      </c>
      <c r="S176" s="632"/>
      <c r="T176" s="594"/>
      <c r="U176" s="594"/>
      <c r="V176" s="594"/>
      <c r="W176" s="594"/>
      <c r="X176" s="594"/>
      <c r="Y176" s="633">
        <v>2700</v>
      </c>
      <c r="Z176" s="773">
        <f t="shared" si="203"/>
        <v>4958</v>
      </c>
      <c r="AA176" s="633">
        <v>1000</v>
      </c>
      <c r="AB176" s="633"/>
      <c r="AC176" s="631">
        <f t="shared" si="204"/>
        <v>1000</v>
      </c>
      <c r="AD176" s="631">
        <f t="shared" si="205"/>
        <v>60496</v>
      </c>
      <c r="AE176" s="771">
        <f t="shared" si="206"/>
        <v>665456</v>
      </c>
      <c r="AF176" s="741">
        <f t="shared" si="207"/>
        <v>0</v>
      </c>
      <c r="AG176" s="630">
        <f t="shared" si="208"/>
        <v>60496</v>
      </c>
      <c r="AH176" s="775">
        <v>11</v>
      </c>
      <c r="AI176" s="636">
        <v>438656</v>
      </c>
    </row>
    <row r="177" spans="1:35" ht="14.25">
      <c r="A177" s="724" t="s">
        <v>7080</v>
      </c>
      <c r="B177" s="634">
        <v>15</v>
      </c>
      <c r="C177" s="633">
        <v>2204</v>
      </c>
      <c r="D177" s="633"/>
      <c r="E177" s="594"/>
      <c r="F177" s="594"/>
      <c r="G177" s="594"/>
      <c r="H177" s="594"/>
      <c r="I177" s="594"/>
      <c r="J177" s="635">
        <v>2700</v>
      </c>
      <c r="K177" s="631">
        <f t="shared" si="199"/>
        <v>4904</v>
      </c>
      <c r="L177" s="633">
        <v>1000</v>
      </c>
      <c r="M177" s="633"/>
      <c r="N177" s="631">
        <f t="shared" si="200"/>
        <v>1000</v>
      </c>
      <c r="O177" s="631">
        <f t="shared" si="201"/>
        <v>59848</v>
      </c>
      <c r="P177" s="771">
        <f t="shared" si="202"/>
        <v>897720</v>
      </c>
      <c r="Q177" s="772">
        <f>16+2+3+6</f>
        <v>27</v>
      </c>
      <c r="R177" s="633">
        <v>2204</v>
      </c>
      <c r="S177" s="632"/>
      <c r="T177" s="594"/>
      <c r="U177" s="594"/>
      <c r="V177" s="594"/>
      <c r="W177" s="594"/>
      <c r="X177" s="594"/>
      <c r="Y177" s="633">
        <v>2700</v>
      </c>
      <c r="Z177" s="773">
        <f t="shared" si="203"/>
        <v>4904</v>
      </c>
      <c r="AA177" s="633">
        <v>1000</v>
      </c>
      <c r="AB177" s="633"/>
      <c r="AC177" s="631">
        <f t="shared" si="204"/>
        <v>1000</v>
      </c>
      <c r="AD177" s="631">
        <f t="shared" si="205"/>
        <v>59848</v>
      </c>
      <c r="AE177" s="771">
        <f t="shared" si="206"/>
        <v>1615896</v>
      </c>
      <c r="AF177" s="741">
        <f t="shared" si="207"/>
        <v>0</v>
      </c>
      <c r="AG177" s="630">
        <f t="shared" si="208"/>
        <v>718176</v>
      </c>
      <c r="AH177" s="775">
        <v>25</v>
      </c>
      <c r="AI177" s="636">
        <v>783400</v>
      </c>
    </row>
    <row r="178" spans="1:35" ht="27">
      <c r="A178" s="727" t="s">
        <v>6956</v>
      </c>
      <c r="B178" s="634"/>
      <c r="C178" s="633"/>
      <c r="D178" s="633"/>
      <c r="E178" s="594"/>
      <c r="F178" s="594"/>
      <c r="G178" s="594"/>
      <c r="H178" s="594"/>
      <c r="I178" s="594"/>
      <c r="J178" s="635"/>
      <c r="K178" s="631">
        <f t="shared" si="199"/>
        <v>0</v>
      </c>
      <c r="L178" s="633"/>
      <c r="M178" s="633"/>
      <c r="N178" s="631">
        <f t="shared" si="200"/>
        <v>0</v>
      </c>
      <c r="O178" s="631">
        <f t="shared" si="201"/>
        <v>0</v>
      </c>
      <c r="P178" s="771">
        <f t="shared" si="202"/>
        <v>0</v>
      </c>
      <c r="Q178" s="772"/>
      <c r="R178" s="633"/>
      <c r="S178" s="632"/>
      <c r="T178" s="594"/>
      <c r="U178" s="594"/>
      <c r="V178" s="594"/>
      <c r="W178" s="594"/>
      <c r="X178" s="594"/>
      <c r="Y178" s="633"/>
      <c r="Z178" s="773">
        <f t="shared" si="203"/>
        <v>0</v>
      </c>
      <c r="AA178" s="633"/>
      <c r="AB178" s="633"/>
      <c r="AC178" s="631">
        <f t="shared" si="204"/>
        <v>0</v>
      </c>
      <c r="AD178" s="631">
        <f t="shared" si="205"/>
        <v>0</v>
      </c>
      <c r="AE178" s="771">
        <f t="shared" si="206"/>
        <v>0</v>
      </c>
      <c r="AF178" s="741">
        <f t="shared" si="207"/>
        <v>0</v>
      </c>
      <c r="AG178" s="630">
        <f t="shared" si="208"/>
        <v>0</v>
      </c>
      <c r="AH178" s="775"/>
      <c r="AI178" s="636"/>
    </row>
    <row r="179" spans="1:35" ht="14.25">
      <c r="A179" s="724" t="s">
        <v>7079</v>
      </c>
      <c r="B179" s="634"/>
      <c r="C179" s="633"/>
      <c r="D179" s="633"/>
      <c r="E179" s="594"/>
      <c r="F179" s="594"/>
      <c r="G179" s="594"/>
      <c r="H179" s="594"/>
      <c r="I179" s="594"/>
      <c r="J179" s="635"/>
      <c r="K179" s="631">
        <f t="shared" si="199"/>
        <v>0</v>
      </c>
      <c r="L179" s="633"/>
      <c r="M179" s="633"/>
      <c r="N179" s="631">
        <f t="shared" si="200"/>
        <v>0</v>
      </c>
      <c r="O179" s="631">
        <f t="shared" si="201"/>
        <v>0</v>
      </c>
      <c r="P179" s="771">
        <f t="shared" si="202"/>
        <v>0</v>
      </c>
      <c r="Q179" s="772"/>
      <c r="R179" s="633"/>
      <c r="S179" s="632"/>
      <c r="T179" s="594"/>
      <c r="U179" s="594"/>
      <c r="V179" s="594"/>
      <c r="W179" s="594"/>
      <c r="X179" s="594"/>
      <c r="Y179" s="633"/>
      <c r="Z179" s="773">
        <f t="shared" si="203"/>
        <v>0</v>
      </c>
      <c r="AA179" s="633"/>
      <c r="AB179" s="633"/>
      <c r="AC179" s="631">
        <f t="shared" si="204"/>
        <v>0</v>
      </c>
      <c r="AD179" s="631">
        <f t="shared" si="205"/>
        <v>0</v>
      </c>
      <c r="AE179" s="771">
        <f t="shared" si="206"/>
        <v>0</v>
      </c>
      <c r="AF179" s="741">
        <f t="shared" si="207"/>
        <v>0</v>
      </c>
      <c r="AG179" s="630">
        <f t="shared" si="208"/>
        <v>0</v>
      </c>
      <c r="AH179" s="775">
        <v>2</v>
      </c>
      <c r="AI179" s="636">
        <v>869168</v>
      </c>
    </row>
    <row r="180" spans="1:35" ht="14.25">
      <c r="A180" s="724" t="s">
        <v>7078</v>
      </c>
      <c r="B180" s="634">
        <v>11</v>
      </c>
      <c r="C180" s="633">
        <v>2228</v>
      </c>
      <c r="D180" s="633"/>
      <c r="E180" s="594"/>
      <c r="F180" s="594"/>
      <c r="G180" s="594"/>
      <c r="H180" s="594"/>
      <c r="I180" s="594"/>
      <c r="J180" s="635">
        <v>2700</v>
      </c>
      <c r="K180" s="631">
        <f t="shared" si="199"/>
        <v>4928</v>
      </c>
      <c r="L180" s="633">
        <v>1000</v>
      </c>
      <c r="M180" s="633"/>
      <c r="N180" s="631">
        <f t="shared" si="200"/>
        <v>1000</v>
      </c>
      <c r="O180" s="631">
        <f t="shared" si="201"/>
        <v>60136</v>
      </c>
      <c r="P180" s="771">
        <f t="shared" si="202"/>
        <v>661496</v>
      </c>
      <c r="Q180" s="772">
        <v>21</v>
      </c>
      <c r="R180" s="633">
        <v>2228</v>
      </c>
      <c r="S180" s="632"/>
      <c r="T180" s="594"/>
      <c r="U180" s="594"/>
      <c r="V180" s="594"/>
      <c r="W180" s="594"/>
      <c r="X180" s="594"/>
      <c r="Y180" s="633">
        <v>2700</v>
      </c>
      <c r="Z180" s="773">
        <f t="shared" si="203"/>
        <v>4928</v>
      </c>
      <c r="AA180" s="633">
        <v>1000</v>
      </c>
      <c r="AB180" s="633"/>
      <c r="AC180" s="631">
        <f t="shared" si="204"/>
        <v>1000</v>
      </c>
      <c r="AD180" s="631">
        <f t="shared" si="205"/>
        <v>60136</v>
      </c>
      <c r="AE180" s="771">
        <f t="shared" si="206"/>
        <v>1262856</v>
      </c>
      <c r="AF180" s="741">
        <f t="shared" si="207"/>
        <v>0</v>
      </c>
      <c r="AG180" s="630">
        <f t="shared" si="208"/>
        <v>601360</v>
      </c>
      <c r="AH180" s="775">
        <v>19</v>
      </c>
      <c r="AI180" s="636">
        <v>1369384</v>
      </c>
    </row>
    <row r="181" spans="1:35" ht="14.25">
      <c r="A181" s="724" t="s">
        <v>7077</v>
      </c>
      <c r="B181" s="634">
        <v>22</v>
      </c>
      <c r="C181" s="633">
        <v>2104</v>
      </c>
      <c r="D181" s="633"/>
      <c r="E181" s="594"/>
      <c r="F181" s="594"/>
      <c r="G181" s="594"/>
      <c r="H181" s="594"/>
      <c r="I181" s="594"/>
      <c r="J181" s="635">
        <v>2700</v>
      </c>
      <c r="K181" s="631">
        <f t="shared" si="199"/>
        <v>4804</v>
      </c>
      <c r="L181" s="633">
        <v>1000</v>
      </c>
      <c r="M181" s="633"/>
      <c r="N181" s="631">
        <f t="shared" si="200"/>
        <v>1000</v>
      </c>
      <c r="O181" s="631">
        <f t="shared" si="201"/>
        <v>58648</v>
      </c>
      <c r="P181" s="771">
        <f t="shared" si="202"/>
        <v>1290256</v>
      </c>
      <c r="Q181" s="772">
        <v>37</v>
      </c>
      <c r="R181" s="633">
        <v>2104</v>
      </c>
      <c r="S181" s="632"/>
      <c r="T181" s="594"/>
      <c r="U181" s="594"/>
      <c r="V181" s="594"/>
      <c r="W181" s="594"/>
      <c r="X181" s="594"/>
      <c r="Y181" s="633">
        <v>2700</v>
      </c>
      <c r="Z181" s="773">
        <f t="shared" si="203"/>
        <v>4804</v>
      </c>
      <c r="AA181" s="633">
        <v>1000</v>
      </c>
      <c r="AB181" s="633"/>
      <c r="AC181" s="631">
        <f t="shared" si="204"/>
        <v>1000</v>
      </c>
      <c r="AD181" s="631">
        <f t="shared" si="205"/>
        <v>58648</v>
      </c>
      <c r="AE181" s="771">
        <f t="shared" si="206"/>
        <v>2169976</v>
      </c>
      <c r="AF181" s="741">
        <f t="shared" si="207"/>
        <v>0</v>
      </c>
      <c r="AG181" s="630">
        <f t="shared" si="208"/>
        <v>879720</v>
      </c>
      <c r="AH181" s="775">
        <v>31</v>
      </c>
      <c r="AI181" s="636">
        <v>2239288</v>
      </c>
    </row>
    <row r="182" spans="1:35" ht="14.25">
      <c r="A182" s="724" t="s">
        <v>7076</v>
      </c>
      <c r="B182" s="634">
        <v>29</v>
      </c>
      <c r="C182" s="633">
        <v>2043</v>
      </c>
      <c r="D182" s="633"/>
      <c r="E182" s="594"/>
      <c r="F182" s="594"/>
      <c r="G182" s="594"/>
      <c r="H182" s="594"/>
      <c r="I182" s="594"/>
      <c r="J182" s="635">
        <v>2700</v>
      </c>
      <c r="K182" s="631">
        <f t="shared" si="199"/>
        <v>4743</v>
      </c>
      <c r="L182" s="633">
        <v>1000</v>
      </c>
      <c r="M182" s="633"/>
      <c r="N182" s="631">
        <f t="shared" si="200"/>
        <v>1000</v>
      </c>
      <c r="O182" s="631">
        <f t="shared" si="201"/>
        <v>57916</v>
      </c>
      <c r="P182" s="771">
        <f t="shared" si="202"/>
        <v>1679564</v>
      </c>
      <c r="Q182" s="772">
        <v>46</v>
      </c>
      <c r="R182" s="633">
        <v>2043</v>
      </c>
      <c r="S182" s="632"/>
      <c r="T182" s="594"/>
      <c r="U182" s="594"/>
      <c r="V182" s="594"/>
      <c r="W182" s="594"/>
      <c r="X182" s="594"/>
      <c r="Y182" s="633">
        <v>2700</v>
      </c>
      <c r="Z182" s="773">
        <f t="shared" si="203"/>
        <v>4743</v>
      </c>
      <c r="AA182" s="633">
        <v>1000</v>
      </c>
      <c r="AB182" s="633"/>
      <c r="AC182" s="631">
        <f t="shared" si="204"/>
        <v>1000</v>
      </c>
      <c r="AD182" s="631">
        <f t="shared" si="205"/>
        <v>57916</v>
      </c>
      <c r="AE182" s="771">
        <f t="shared" si="206"/>
        <v>2664136</v>
      </c>
      <c r="AF182" s="741">
        <f t="shared" si="207"/>
        <v>0</v>
      </c>
      <c r="AG182" s="630">
        <f t="shared" si="208"/>
        <v>984572</v>
      </c>
      <c r="AH182" s="775">
        <v>42</v>
      </c>
      <c r="AI182" s="636">
        <v>2302872</v>
      </c>
    </row>
    <row r="183" spans="1:35" ht="14.25">
      <c r="A183" s="724" t="s">
        <v>7075</v>
      </c>
      <c r="B183" s="634">
        <v>37</v>
      </c>
      <c r="C183" s="633">
        <v>2005</v>
      </c>
      <c r="D183" s="633"/>
      <c r="E183" s="594"/>
      <c r="F183" s="594"/>
      <c r="G183" s="594"/>
      <c r="H183" s="594"/>
      <c r="I183" s="594"/>
      <c r="J183" s="635">
        <v>2700</v>
      </c>
      <c r="K183" s="631">
        <f t="shared" si="199"/>
        <v>4705</v>
      </c>
      <c r="L183" s="633">
        <v>1000</v>
      </c>
      <c r="M183" s="633"/>
      <c r="N183" s="631">
        <f t="shared" si="200"/>
        <v>1000</v>
      </c>
      <c r="O183" s="631">
        <f t="shared" si="201"/>
        <v>57460</v>
      </c>
      <c r="P183" s="771">
        <f t="shared" si="202"/>
        <v>2126020</v>
      </c>
      <c r="Q183" s="772">
        <v>48</v>
      </c>
      <c r="R183" s="633">
        <v>2005</v>
      </c>
      <c r="S183" s="632"/>
      <c r="T183" s="594"/>
      <c r="U183" s="594"/>
      <c r="V183" s="594"/>
      <c r="W183" s="594"/>
      <c r="X183" s="594"/>
      <c r="Y183" s="633">
        <v>2700</v>
      </c>
      <c r="Z183" s="773">
        <f t="shared" si="203"/>
        <v>4705</v>
      </c>
      <c r="AA183" s="633">
        <v>1000</v>
      </c>
      <c r="AB183" s="633"/>
      <c r="AC183" s="631">
        <f t="shared" si="204"/>
        <v>1000</v>
      </c>
      <c r="AD183" s="631">
        <f t="shared" si="205"/>
        <v>57460</v>
      </c>
      <c r="AE183" s="771">
        <f t="shared" si="206"/>
        <v>2758080</v>
      </c>
      <c r="AF183" s="741">
        <f t="shared" si="207"/>
        <v>0</v>
      </c>
      <c r="AG183" s="630">
        <f t="shared" si="208"/>
        <v>632060</v>
      </c>
      <c r="AH183" s="775">
        <v>47</v>
      </c>
      <c r="AI183" s="636">
        <v>1825820</v>
      </c>
    </row>
    <row r="184" spans="1:35" ht="14.25">
      <c r="A184" s="724" t="s">
        <v>7074</v>
      </c>
      <c r="B184" s="634">
        <v>149</v>
      </c>
      <c r="C184" s="633">
        <v>1976</v>
      </c>
      <c r="D184" s="633"/>
      <c r="E184" s="594"/>
      <c r="F184" s="594"/>
      <c r="G184" s="594"/>
      <c r="H184" s="594"/>
      <c r="I184" s="594"/>
      <c r="J184" s="635">
        <v>2700</v>
      </c>
      <c r="K184" s="631">
        <f t="shared" si="199"/>
        <v>4676</v>
      </c>
      <c r="L184" s="633">
        <v>1000</v>
      </c>
      <c r="M184" s="633"/>
      <c r="N184" s="631">
        <f t="shared" si="200"/>
        <v>1000</v>
      </c>
      <c r="O184" s="631">
        <f t="shared" si="201"/>
        <v>57112</v>
      </c>
      <c r="P184" s="771">
        <f t="shared" si="202"/>
        <v>8509688</v>
      </c>
      <c r="Q184" s="772">
        <f>29+1+1+156</f>
        <v>187</v>
      </c>
      <c r="R184" s="633">
        <v>1976</v>
      </c>
      <c r="S184" s="632"/>
      <c r="T184" s="594"/>
      <c r="U184" s="594"/>
      <c r="V184" s="594"/>
      <c r="W184" s="594"/>
      <c r="X184" s="594"/>
      <c r="Y184" s="633">
        <v>2700</v>
      </c>
      <c r="Z184" s="773">
        <f t="shared" si="203"/>
        <v>4676</v>
      </c>
      <c r="AA184" s="633">
        <v>1000</v>
      </c>
      <c r="AB184" s="633"/>
      <c r="AC184" s="631">
        <f t="shared" si="204"/>
        <v>1000</v>
      </c>
      <c r="AD184" s="631">
        <f t="shared" si="205"/>
        <v>57112</v>
      </c>
      <c r="AE184" s="771">
        <f t="shared" si="206"/>
        <v>10679944</v>
      </c>
      <c r="AF184" s="741">
        <f t="shared" si="207"/>
        <v>0</v>
      </c>
      <c r="AG184" s="630">
        <f t="shared" si="208"/>
        <v>2170256</v>
      </c>
      <c r="AH184" s="775">
        <v>181</v>
      </c>
      <c r="AI184" s="636">
        <v>6481672</v>
      </c>
    </row>
    <row r="185" spans="1:35" ht="13.5">
      <c r="A185" s="725" t="s">
        <v>6940</v>
      </c>
      <c r="B185" s="764">
        <f>+B186+B191+B195+B199+B203+B207</f>
        <v>34100</v>
      </c>
      <c r="C185" s="765"/>
      <c r="D185" s="765"/>
      <c r="E185" s="765"/>
      <c r="F185" s="765"/>
      <c r="G185" s="765"/>
      <c r="H185" s="765"/>
      <c r="I185" s="765"/>
      <c r="J185" s="766"/>
      <c r="K185" s="642">
        <f>+K186+K191+K195+K199+K203+K207</f>
        <v>8031</v>
      </c>
      <c r="L185" s="765">
        <f>+L186+L191+L195+L199+L203+L207</f>
        <v>0</v>
      </c>
      <c r="M185" s="765">
        <f>+M186+M191+M195+M199+M203+M207</f>
        <v>0</v>
      </c>
      <c r="N185" s="642">
        <f>+N186+N191+N195+N199+N203+N207</f>
        <v>0</v>
      </c>
      <c r="O185" s="642">
        <f>+O186+O191+O195+O199+O203+O207</f>
        <v>96372</v>
      </c>
      <c r="P185" s="641">
        <f>+P186+P191+P195+P199+P203+P207+P211+P216+P220</f>
        <v>185496897</v>
      </c>
      <c r="Q185" s="764">
        <f>+Q186+Q191+Q195+Q199+Q203+Q207</f>
        <v>34100</v>
      </c>
      <c r="R185" s="765"/>
      <c r="S185" s="765"/>
      <c r="T185" s="765"/>
      <c r="U185" s="765"/>
      <c r="V185" s="765"/>
      <c r="W185" s="765"/>
      <c r="X185" s="765"/>
      <c r="Y185" s="765">
        <f>+Y186+Y191+Y195+Y199+Y203+Y207</f>
        <v>0</v>
      </c>
      <c r="Z185" s="765">
        <f>+Z186+Z191+Z195+Z199+Z203+Z207</f>
        <v>8031</v>
      </c>
      <c r="AA185" s="765">
        <f>+AA186+AA191+AA195+AA199+AA203+AA207</f>
        <v>0</v>
      </c>
      <c r="AB185" s="765"/>
      <c r="AC185" s="642">
        <f>+AC186+AC191+AC195+AC199+AC203+AC207</f>
        <v>0</v>
      </c>
      <c r="AD185" s="642">
        <f>+AD186+AD191+AD195+AD199+AD203+AD207</f>
        <v>96372</v>
      </c>
      <c r="AE185" s="641">
        <f>+AE186+AE191+AE195+AE199+AE203+AE207+AE211+AE216+AE220</f>
        <v>185496897</v>
      </c>
      <c r="AF185" s="767">
        <f>+AF186+AF191+AF195+AF199+AF203+AF207</f>
        <v>0</v>
      </c>
      <c r="AG185" s="768">
        <f>+AG186+AG191+AG195+AG199+AG203+AG207</f>
        <v>0</v>
      </c>
      <c r="AH185" s="769">
        <f>+AH186+AH191+AH195+AH199+AH203+AH207</f>
        <v>34100</v>
      </c>
      <c r="AI185" s="638">
        <f>+AI186+AI191+AI195+AI199+AI203+AI207+AI211+AI216+AI220</f>
        <v>180643571.69999999</v>
      </c>
    </row>
    <row r="186" spans="1:35" ht="13.5">
      <c r="A186" s="725" t="s">
        <v>6939</v>
      </c>
      <c r="B186" s="764">
        <f>SUM(B187:B190)</f>
        <v>31030</v>
      </c>
      <c r="C186" s="765"/>
      <c r="D186" s="765"/>
      <c r="E186" s="765"/>
      <c r="F186" s="765"/>
      <c r="G186" s="765"/>
      <c r="H186" s="765"/>
      <c r="I186" s="765"/>
      <c r="J186" s="766"/>
      <c r="K186" s="642">
        <f t="shared" ref="K186:Q186" si="209">SUM(K187:K190)</f>
        <v>1242</v>
      </c>
      <c r="L186" s="765">
        <f t="shared" si="209"/>
        <v>0</v>
      </c>
      <c r="M186" s="765">
        <f t="shared" si="209"/>
        <v>0</v>
      </c>
      <c r="N186" s="642">
        <f t="shared" si="209"/>
        <v>0</v>
      </c>
      <c r="O186" s="642">
        <f t="shared" si="209"/>
        <v>14904</v>
      </c>
      <c r="P186" s="641">
        <f t="shared" si="209"/>
        <v>105791784</v>
      </c>
      <c r="Q186" s="764">
        <f t="shared" si="209"/>
        <v>31030</v>
      </c>
      <c r="R186" s="765"/>
      <c r="S186" s="765"/>
      <c r="T186" s="765"/>
      <c r="U186" s="765"/>
      <c r="V186" s="765"/>
      <c r="W186" s="765"/>
      <c r="X186" s="765"/>
      <c r="Y186" s="765">
        <f>SUM(Y187:Y190)</f>
        <v>0</v>
      </c>
      <c r="Z186" s="765">
        <f>SUM(Z187:Z190)</f>
        <v>1242</v>
      </c>
      <c r="AA186" s="765">
        <f>SUM(AA187:AA190)</f>
        <v>0</v>
      </c>
      <c r="AB186" s="765"/>
      <c r="AC186" s="642">
        <f t="shared" ref="AC186:AI186" si="210">SUM(AC187:AC190)</f>
        <v>0</v>
      </c>
      <c r="AD186" s="642">
        <f t="shared" si="210"/>
        <v>14904</v>
      </c>
      <c r="AE186" s="641">
        <f t="shared" si="210"/>
        <v>105791784</v>
      </c>
      <c r="AF186" s="767">
        <f t="shared" si="210"/>
        <v>0</v>
      </c>
      <c r="AG186" s="768">
        <f t="shared" si="210"/>
        <v>0</v>
      </c>
      <c r="AH186" s="769">
        <f t="shared" si="210"/>
        <v>31025</v>
      </c>
      <c r="AI186" s="638">
        <f t="shared" si="210"/>
        <v>104668361.05</v>
      </c>
    </row>
    <row r="187" spans="1:35" ht="14.25">
      <c r="A187" s="724" t="s">
        <v>6923</v>
      </c>
      <c r="B187" s="634">
        <v>1641</v>
      </c>
      <c r="C187" s="770">
        <v>365</v>
      </c>
      <c r="D187" s="633"/>
      <c r="E187" s="594"/>
      <c r="F187" s="594"/>
      <c r="G187" s="594"/>
      <c r="H187" s="594"/>
      <c r="I187" s="594"/>
      <c r="J187" s="635"/>
      <c r="K187" s="631">
        <f>SUM(C187:J187)</f>
        <v>365</v>
      </c>
      <c r="L187" s="633"/>
      <c r="M187" s="633"/>
      <c r="N187" s="631">
        <f>SUM(L187:M187)</f>
        <v>0</v>
      </c>
      <c r="O187" s="631">
        <f>(K187*12)+N187</f>
        <v>4380</v>
      </c>
      <c r="P187" s="771">
        <f>O187*B187</f>
        <v>7187580</v>
      </c>
      <c r="Q187" s="634">
        <v>1641</v>
      </c>
      <c r="R187" s="770">
        <v>365</v>
      </c>
      <c r="S187" s="632"/>
      <c r="T187" s="594"/>
      <c r="U187" s="594"/>
      <c r="V187" s="594"/>
      <c r="W187" s="594"/>
      <c r="X187" s="594"/>
      <c r="Y187" s="632"/>
      <c r="Z187" s="773">
        <f>SUM(R187:Y187)</f>
        <v>365</v>
      </c>
      <c r="AA187" s="633"/>
      <c r="AB187" s="632"/>
      <c r="AC187" s="631">
        <f>SUM(AA187:AB187)</f>
        <v>0</v>
      </c>
      <c r="AD187" s="631">
        <f>(Z187*12)+AC187</f>
        <v>4380</v>
      </c>
      <c r="AE187" s="771">
        <f>AD187*Q187</f>
        <v>7187580</v>
      </c>
      <c r="AF187" s="741">
        <f t="shared" ref="AF187:AG190" si="211">AD187-O187</f>
        <v>0</v>
      </c>
      <c r="AG187" s="630">
        <f t="shared" si="211"/>
        <v>0</v>
      </c>
      <c r="AH187" s="775">
        <v>1649</v>
      </c>
      <c r="AI187" s="636">
        <v>7222620</v>
      </c>
    </row>
    <row r="188" spans="1:35" ht="14.25">
      <c r="A188" s="724" t="s">
        <v>6925</v>
      </c>
      <c r="B188" s="634">
        <v>5185</v>
      </c>
      <c r="C188" s="770">
        <v>329</v>
      </c>
      <c r="D188" s="633"/>
      <c r="E188" s="594"/>
      <c r="F188" s="594"/>
      <c r="G188" s="594"/>
      <c r="H188" s="594"/>
      <c r="I188" s="594"/>
      <c r="J188" s="635"/>
      <c r="K188" s="631">
        <f>SUM(C188:J188)</f>
        <v>329</v>
      </c>
      <c r="L188" s="633"/>
      <c r="M188" s="633"/>
      <c r="N188" s="631">
        <f>SUM(L188:M188)</f>
        <v>0</v>
      </c>
      <c r="O188" s="631">
        <f>(K188*12)+N188</f>
        <v>3948</v>
      </c>
      <c r="P188" s="771">
        <f>O188*B188</f>
        <v>20470380</v>
      </c>
      <c r="Q188" s="634">
        <v>5185</v>
      </c>
      <c r="R188" s="770">
        <v>329</v>
      </c>
      <c r="S188" s="632"/>
      <c r="T188" s="594"/>
      <c r="U188" s="594"/>
      <c r="V188" s="594"/>
      <c r="W188" s="594"/>
      <c r="X188" s="594"/>
      <c r="Y188" s="632"/>
      <c r="Z188" s="773">
        <f>SUM(R188:Y188)</f>
        <v>329</v>
      </c>
      <c r="AA188" s="633"/>
      <c r="AB188" s="632"/>
      <c r="AC188" s="631">
        <f>SUM(AA188:AB188)</f>
        <v>0</v>
      </c>
      <c r="AD188" s="631">
        <f>(Z188*12)+AC188</f>
        <v>3948</v>
      </c>
      <c r="AE188" s="771">
        <f>AD188*Q188</f>
        <v>20470380</v>
      </c>
      <c r="AF188" s="741">
        <f t="shared" si="211"/>
        <v>0</v>
      </c>
      <c r="AG188" s="630">
        <f t="shared" si="211"/>
        <v>0</v>
      </c>
      <c r="AH188" s="775">
        <v>5182</v>
      </c>
      <c r="AI188" s="636">
        <v>20458536</v>
      </c>
    </row>
    <row r="189" spans="1:35" ht="14.25">
      <c r="A189" s="724" t="s">
        <v>6927</v>
      </c>
      <c r="B189" s="634">
        <v>8748</v>
      </c>
      <c r="C189" s="770">
        <v>292</v>
      </c>
      <c r="D189" s="633"/>
      <c r="E189" s="594"/>
      <c r="F189" s="594"/>
      <c r="G189" s="594"/>
      <c r="H189" s="594"/>
      <c r="I189" s="594"/>
      <c r="J189" s="635"/>
      <c r="K189" s="631">
        <f>SUM(C189:J189)</f>
        <v>292</v>
      </c>
      <c r="L189" s="633"/>
      <c r="M189" s="633"/>
      <c r="N189" s="631">
        <f>SUM(L189:M189)</f>
        <v>0</v>
      </c>
      <c r="O189" s="631">
        <f>(K189*12)+N189</f>
        <v>3504</v>
      </c>
      <c r="P189" s="771">
        <f>O189*B189</f>
        <v>30652992</v>
      </c>
      <c r="Q189" s="634">
        <v>8748</v>
      </c>
      <c r="R189" s="770">
        <v>292</v>
      </c>
      <c r="S189" s="632"/>
      <c r="T189" s="594"/>
      <c r="U189" s="594"/>
      <c r="V189" s="594"/>
      <c r="W189" s="594"/>
      <c r="X189" s="594"/>
      <c r="Y189" s="632"/>
      <c r="Z189" s="773">
        <f>SUM(R189:Y189)</f>
        <v>292</v>
      </c>
      <c r="AA189" s="633"/>
      <c r="AB189" s="632"/>
      <c r="AC189" s="631">
        <f>SUM(AA189:AB189)</f>
        <v>0</v>
      </c>
      <c r="AD189" s="631">
        <f>(Z189*12)+AC189</f>
        <v>3504</v>
      </c>
      <c r="AE189" s="771">
        <f>AD189*Q189</f>
        <v>30652992</v>
      </c>
      <c r="AF189" s="741">
        <f t="shared" si="211"/>
        <v>0</v>
      </c>
      <c r="AG189" s="630">
        <f t="shared" si="211"/>
        <v>0</v>
      </c>
      <c r="AH189" s="775">
        <v>8736</v>
      </c>
      <c r="AI189" s="636">
        <v>30610944</v>
      </c>
    </row>
    <row r="190" spans="1:35" ht="14.25">
      <c r="A190" s="724" t="s">
        <v>6929</v>
      </c>
      <c r="B190" s="634">
        <v>15456</v>
      </c>
      <c r="C190" s="770">
        <v>256</v>
      </c>
      <c r="D190" s="633"/>
      <c r="E190" s="594"/>
      <c r="F190" s="594"/>
      <c r="G190" s="594"/>
      <c r="H190" s="594"/>
      <c r="I190" s="594"/>
      <c r="J190" s="635"/>
      <c r="K190" s="631">
        <f>SUM(C190:J190)</f>
        <v>256</v>
      </c>
      <c r="L190" s="633"/>
      <c r="M190" s="633"/>
      <c r="N190" s="631">
        <f>SUM(L190:M190)</f>
        <v>0</v>
      </c>
      <c r="O190" s="631">
        <f>(K190*12)+N190</f>
        <v>3072</v>
      </c>
      <c r="P190" s="771">
        <f>O190*B190</f>
        <v>47480832</v>
      </c>
      <c r="Q190" s="634">
        <v>15456</v>
      </c>
      <c r="R190" s="770">
        <v>256</v>
      </c>
      <c r="S190" s="632"/>
      <c r="T190" s="594"/>
      <c r="U190" s="594"/>
      <c r="V190" s="594"/>
      <c r="W190" s="594"/>
      <c r="X190" s="594"/>
      <c r="Y190" s="632"/>
      <c r="Z190" s="773">
        <f>SUM(R190:Y190)</f>
        <v>256</v>
      </c>
      <c r="AA190" s="633"/>
      <c r="AB190" s="632"/>
      <c r="AC190" s="631">
        <f>SUM(AA190:AB190)</f>
        <v>0</v>
      </c>
      <c r="AD190" s="631">
        <f>(Z190*12)+AC190</f>
        <v>3072</v>
      </c>
      <c r="AE190" s="771">
        <f>AD190*Q190</f>
        <v>47480832</v>
      </c>
      <c r="AF190" s="741">
        <f t="shared" si="211"/>
        <v>0</v>
      </c>
      <c r="AG190" s="630">
        <f t="shared" si="211"/>
        <v>0</v>
      </c>
      <c r="AH190" s="775">
        <v>15458</v>
      </c>
      <c r="AI190" s="636">
        <v>46376261.049999997</v>
      </c>
    </row>
    <row r="191" spans="1:35" ht="27">
      <c r="A191" s="725" t="s">
        <v>6938</v>
      </c>
      <c r="B191" s="764">
        <f>SUM(B192:B194)</f>
        <v>2239</v>
      </c>
      <c r="C191" s="765"/>
      <c r="D191" s="765"/>
      <c r="E191" s="765"/>
      <c r="F191" s="765"/>
      <c r="G191" s="765"/>
      <c r="H191" s="765"/>
      <c r="I191" s="765"/>
      <c r="J191" s="766"/>
      <c r="K191" s="642">
        <f t="shared" ref="K191:Q191" si="212">SUM(K192:K194)</f>
        <v>1479</v>
      </c>
      <c r="L191" s="765">
        <f t="shared" si="212"/>
        <v>0</v>
      </c>
      <c r="M191" s="765">
        <f t="shared" si="212"/>
        <v>0</v>
      </c>
      <c r="N191" s="642">
        <f t="shared" si="212"/>
        <v>0</v>
      </c>
      <c r="O191" s="642">
        <f t="shared" si="212"/>
        <v>17748</v>
      </c>
      <c r="P191" s="641">
        <f t="shared" si="212"/>
        <v>13812204</v>
      </c>
      <c r="Q191" s="764">
        <f t="shared" si="212"/>
        <v>2239</v>
      </c>
      <c r="R191" s="765"/>
      <c r="S191" s="765"/>
      <c r="T191" s="765"/>
      <c r="U191" s="765"/>
      <c r="V191" s="765"/>
      <c r="W191" s="765"/>
      <c r="X191" s="765"/>
      <c r="Y191" s="765">
        <f>SUM(Y192:Y194)</f>
        <v>0</v>
      </c>
      <c r="Z191" s="765">
        <f>SUM(Z192:Z194)</f>
        <v>1479</v>
      </c>
      <c r="AA191" s="765">
        <f>SUM(AA192:AA194)</f>
        <v>0</v>
      </c>
      <c r="AB191" s="765"/>
      <c r="AC191" s="642">
        <f t="shared" ref="AC191:AI191" si="213">SUM(AC192:AC194)</f>
        <v>0</v>
      </c>
      <c r="AD191" s="642">
        <f t="shared" si="213"/>
        <v>17748</v>
      </c>
      <c r="AE191" s="641">
        <f t="shared" si="213"/>
        <v>13812204</v>
      </c>
      <c r="AF191" s="767">
        <f t="shared" si="213"/>
        <v>0</v>
      </c>
      <c r="AG191" s="768">
        <f t="shared" si="213"/>
        <v>0</v>
      </c>
      <c r="AH191" s="769">
        <f t="shared" si="213"/>
        <v>2044</v>
      </c>
      <c r="AI191" s="638">
        <f t="shared" si="213"/>
        <v>12714684</v>
      </c>
    </row>
    <row r="192" spans="1:35" ht="14.25">
      <c r="A192" s="724" t="s">
        <v>6933</v>
      </c>
      <c r="B192" s="634">
        <v>1023</v>
      </c>
      <c r="C192" s="770">
        <v>548</v>
      </c>
      <c r="D192" s="633"/>
      <c r="E192" s="594"/>
      <c r="F192" s="594"/>
      <c r="G192" s="594"/>
      <c r="H192" s="594"/>
      <c r="I192" s="594"/>
      <c r="J192" s="635"/>
      <c r="K192" s="631">
        <f>SUM(C192:J192)</f>
        <v>548</v>
      </c>
      <c r="L192" s="633"/>
      <c r="M192" s="633"/>
      <c r="N192" s="631">
        <f>SUM(L192:M192)</f>
        <v>0</v>
      </c>
      <c r="O192" s="631">
        <f>(K192*12)+N192</f>
        <v>6576</v>
      </c>
      <c r="P192" s="771">
        <f>O192*B192</f>
        <v>6727248</v>
      </c>
      <c r="Q192" s="634">
        <v>1023</v>
      </c>
      <c r="R192" s="770">
        <v>548</v>
      </c>
      <c r="S192" s="632"/>
      <c r="T192" s="594"/>
      <c r="U192" s="594"/>
      <c r="V192" s="594"/>
      <c r="W192" s="594"/>
      <c r="X192" s="594"/>
      <c r="Y192" s="632"/>
      <c r="Z192" s="773">
        <f>SUM(R192:Y192)</f>
        <v>548</v>
      </c>
      <c r="AA192" s="633"/>
      <c r="AB192" s="632"/>
      <c r="AC192" s="631">
        <f>SUM(AA192:AB192)</f>
        <v>0</v>
      </c>
      <c r="AD192" s="631">
        <f>(Z192*12)+AC192</f>
        <v>6576</v>
      </c>
      <c r="AE192" s="771">
        <f>AD192*Q192</f>
        <v>6727248</v>
      </c>
      <c r="AF192" s="741">
        <f t="shared" ref="AF192:AG194" si="214">AD192-O192</f>
        <v>0</v>
      </c>
      <c r="AG192" s="630">
        <f t="shared" si="214"/>
        <v>0</v>
      </c>
      <c r="AH192" s="775">
        <v>1063</v>
      </c>
      <c r="AI192" s="636">
        <v>6990288</v>
      </c>
    </row>
    <row r="193" spans="1:35" ht="14.25">
      <c r="A193" s="724" t="s">
        <v>6932</v>
      </c>
      <c r="B193" s="634">
        <v>1051</v>
      </c>
      <c r="C193" s="770">
        <v>493</v>
      </c>
      <c r="D193" s="633"/>
      <c r="E193" s="594"/>
      <c r="F193" s="594"/>
      <c r="G193" s="594"/>
      <c r="H193" s="594"/>
      <c r="I193" s="594"/>
      <c r="J193" s="635"/>
      <c r="K193" s="631">
        <f>SUM(C193:J193)</f>
        <v>493</v>
      </c>
      <c r="L193" s="633"/>
      <c r="M193" s="633"/>
      <c r="N193" s="631">
        <f>SUM(L193:M193)</f>
        <v>0</v>
      </c>
      <c r="O193" s="631">
        <f>(K193*12)+N193</f>
        <v>5916</v>
      </c>
      <c r="P193" s="771">
        <f>O193*B193</f>
        <v>6217716</v>
      </c>
      <c r="Q193" s="634">
        <v>1051</v>
      </c>
      <c r="R193" s="770">
        <v>493</v>
      </c>
      <c r="S193" s="632"/>
      <c r="T193" s="594"/>
      <c r="U193" s="594"/>
      <c r="V193" s="594"/>
      <c r="W193" s="594"/>
      <c r="X193" s="594"/>
      <c r="Y193" s="632"/>
      <c r="Z193" s="773">
        <f>SUM(R193:Y193)</f>
        <v>493</v>
      </c>
      <c r="AA193" s="633"/>
      <c r="AB193" s="632"/>
      <c r="AC193" s="631">
        <f>SUM(AA193:AB193)</f>
        <v>0</v>
      </c>
      <c r="AD193" s="631">
        <f>(Z193*12)+AC193</f>
        <v>5916</v>
      </c>
      <c r="AE193" s="771">
        <f>AD193*Q193</f>
        <v>6217716</v>
      </c>
      <c r="AF193" s="741">
        <f t="shared" si="214"/>
        <v>0</v>
      </c>
      <c r="AG193" s="630">
        <f t="shared" si="214"/>
        <v>0</v>
      </c>
      <c r="AH193" s="775">
        <v>861</v>
      </c>
      <c r="AI193" s="636">
        <v>5093676</v>
      </c>
    </row>
    <row r="194" spans="1:35" ht="14.25">
      <c r="A194" s="724" t="s">
        <v>6931</v>
      </c>
      <c r="B194" s="634">
        <v>165</v>
      </c>
      <c r="C194" s="770">
        <v>438</v>
      </c>
      <c r="D194" s="633"/>
      <c r="E194" s="594"/>
      <c r="F194" s="594"/>
      <c r="G194" s="594"/>
      <c r="H194" s="594"/>
      <c r="I194" s="594"/>
      <c r="J194" s="635"/>
      <c r="K194" s="631">
        <f>SUM(C194:J194)</f>
        <v>438</v>
      </c>
      <c r="L194" s="633"/>
      <c r="M194" s="633"/>
      <c r="N194" s="631">
        <f>SUM(L194:M194)</f>
        <v>0</v>
      </c>
      <c r="O194" s="631">
        <f>(K194*12)+N194</f>
        <v>5256</v>
      </c>
      <c r="P194" s="771">
        <f>O194*B194</f>
        <v>867240</v>
      </c>
      <c r="Q194" s="634">
        <v>165</v>
      </c>
      <c r="R194" s="770">
        <v>438</v>
      </c>
      <c r="S194" s="632"/>
      <c r="T194" s="594"/>
      <c r="U194" s="594"/>
      <c r="V194" s="594"/>
      <c r="W194" s="594"/>
      <c r="X194" s="594"/>
      <c r="Y194" s="632"/>
      <c r="Z194" s="773">
        <f>SUM(R194:Y194)</f>
        <v>438</v>
      </c>
      <c r="AA194" s="633"/>
      <c r="AB194" s="632"/>
      <c r="AC194" s="631">
        <f>SUM(AA194:AB194)</f>
        <v>0</v>
      </c>
      <c r="AD194" s="631">
        <f>(Z194*12)+AC194</f>
        <v>5256</v>
      </c>
      <c r="AE194" s="771">
        <f>AD194*Q194</f>
        <v>867240</v>
      </c>
      <c r="AF194" s="741">
        <f t="shared" si="214"/>
        <v>0</v>
      </c>
      <c r="AG194" s="630">
        <f t="shared" si="214"/>
        <v>0</v>
      </c>
      <c r="AH194" s="775">
        <v>120</v>
      </c>
      <c r="AI194" s="636">
        <v>630720</v>
      </c>
    </row>
    <row r="195" spans="1:35" ht="27">
      <c r="A195" s="725" t="s">
        <v>6937</v>
      </c>
      <c r="B195" s="764">
        <f>SUM(B196:B198)</f>
        <v>738</v>
      </c>
      <c r="C195" s="765"/>
      <c r="D195" s="765"/>
      <c r="E195" s="765"/>
      <c r="F195" s="765"/>
      <c r="G195" s="765"/>
      <c r="H195" s="765"/>
      <c r="I195" s="765"/>
      <c r="J195" s="766"/>
      <c r="K195" s="642">
        <f t="shared" ref="K195:Q195" si="215">SUM(K196:K198)</f>
        <v>1144</v>
      </c>
      <c r="L195" s="765">
        <f t="shared" si="215"/>
        <v>0</v>
      </c>
      <c r="M195" s="765">
        <f t="shared" si="215"/>
        <v>0</v>
      </c>
      <c r="N195" s="642">
        <f t="shared" si="215"/>
        <v>0</v>
      </c>
      <c r="O195" s="642">
        <f t="shared" si="215"/>
        <v>13728</v>
      </c>
      <c r="P195" s="641">
        <f t="shared" si="215"/>
        <v>5301072</v>
      </c>
      <c r="Q195" s="764">
        <f t="shared" si="215"/>
        <v>738</v>
      </c>
      <c r="R195" s="765"/>
      <c r="S195" s="765"/>
      <c r="T195" s="765"/>
      <c r="U195" s="765"/>
      <c r="V195" s="765"/>
      <c r="W195" s="765"/>
      <c r="X195" s="765"/>
      <c r="Y195" s="765">
        <f>SUM(Y196:Y198)</f>
        <v>0</v>
      </c>
      <c r="Z195" s="765">
        <f>SUM(Z196:Z198)</f>
        <v>1144</v>
      </c>
      <c r="AA195" s="765">
        <f>SUM(AA196:AA198)</f>
        <v>0</v>
      </c>
      <c r="AB195" s="765"/>
      <c r="AC195" s="642">
        <f t="shared" ref="AC195:AI195" si="216">SUM(AC196:AC198)</f>
        <v>0</v>
      </c>
      <c r="AD195" s="642">
        <f t="shared" si="216"/>
        <v>13728</v>
      </c>
      <c r="AE195" s="641">
        <f t="shared" si="216"/>
        <v>5301072</v>
      </c>
      <c r="AF195" s="767">
        <f t="shared" si="216"/>
        <v>0</v>
      </c>
      <c r="AG195" s="768">
        <f t="shared" si="216"/>
        <v>0</v>
      </c>
      <c r="AH195" s="769">
        <f t="shared" si="216"/>
        <v>930</v>
      </c>
      <c r="AI195" s="638">
        <f t="shared" si="216"/>
        <v>6520320</v>
      </c>
    </row>
    <row r="196" spans="1:35" ht="14.25">
      <c r="A196" s="724" t="s">
        <v>6933</v>
      </c>
      <c r="B196" s="634">
        <v>696</v>
      </c>
      <c r="C196" s="770">
        <v>602</v>
      </c>
      <c r="D196" s="633"/>
      <c r="E196" s="594"/>
      <c r="F196" s="594"/>
      <c r="G196" s="594"/>
      <c r="H196" s="594"/>
      <c r="I196" s="594"/>
      <c r="J196" s="635"/>
      <c r="K196" s="631">
        <f>SUM(C196:J196)</f>
        <v>602</v>
      </c>
      <c r="L196" s="633"/>
      <c r="M196" s="633"/>
      <c r="N196" s="631">
        <f>SUM(L196:M196)</f>
        <v>0</v>
      </c>
      <c r="O196" s="631">
        <f>(K196*12)+N196</f>
        <v>7224</v>
      </c>
      <c r="P196" s="771">
        <f>O196*B196</f>
        <v>5027904</v>
      </c>
      <c r="Q196" s="634">
        <v>696</v>
      </c>
      <c r="R196" s="770">
        <v>602</v>
      </c>
      <c r="S196" s="632"/>
      <c r="T196" s="594"/>
      <c r="U196" s="594"/>
      <c r="V196" s="594"/>
      <c r="W196" s="594"/>
      <c r="X196" s="594"/>
      <c r="Y196" s="632"/>
      <c r="Z196" s="773">
        <f>SUM(R196:Y196)</f>
        <v>602</v>
      </c>
      <c r="AA196" s="633"/>
      <c r="AB196" s="632"/>
      <c r="AC196" s="631">
        <f>SUM(AA196:AB196)</f>
        <v>0</v>
      </c>
      <c r="AD196" s="631">
        <f>(Z196*12)+AC196</f>
        <v>7224</v>
      </c>
      <c r="AE196" s="771">
        <f>AD196*Q196</f>
        <v>5027904</v>
      </c>
      <c r="AF196" s="741">
        <f t="shared" ref="AF196:AG198" si="217">AD196-O196</f>
        <v>0</v>
      </c>
      <c r="AG196" s="630">
        <f t="shared" si="217"/>
        <v>0</v>
      </c>
      <c r="AH196" s="775">
        <v>685</v>
      </c>
      <c r="AI196" s="636">
        <v>4948440</v>
      </c>
    </row>
    <row r="197" spans="1:35" ht="14.25">
      <c r="A197" s="724" t="s">
        <v>6932</v>
      </c>
      <c r="B197" s="634">
        <v>42</v>
      </c>
      <c r="C197" s="770">
        <v>542</v>
      </c>
      <c r="D197" s="633"/>
      <c r="E197" s="594"/>
      <c r="F197" s="594"/>
      <c r="G197" s="594"/>
      <c r="H197" s="594"/>
      <c r="I197" s="594"/>
      <c r="J197" s="635"/>
      <c r="K197" s="631">
        <f>SUM(C197:J197)</f>
        <v>542</v>
      </c>
      <c r="L197" s="633"/>
      <c r="M197" s="633"/>
      <c r="N197" s="631">
        <f>SUM(L197:M197)</f>
        <v>0</v>
      </c>
      <c r="O197" s="631">
        <f>(K197*12)+N197</f>
        <v>6504</v>
      </c>
      <c r="P197" s="771">
        <f>O197*B197</f>
        <v>273168</v>
      </c>
      <c r="Q197" s="634">
        <v>42</v>
      </c>
      <c r="R197" s="770">
        <v>542</v>
      </c>
      <c r="S197" s="632"/>
      <c r="T197" s="594"/>
      <c r="U197" s="594"/>
      <c r="V197" s="594"/>
      <c r="W197" s="594"/>
      <c r="X197" s="594"/>
      <c r="Y197" s="632"/>
      <c r="Z197" s="773">
        <f>SUM(R197:Y197)</f>
        <v>542</v>
      </c>
      <c r="AA197" s="633"/>
      <c r="AB197" s="632"/>
      <c r="AC197" s="631">
        <f>SUM(AA197:AB197)</f>
        <v>0</v>
      </c>
      <c r="AD197" s="631">
        <f>(Z197*12)+AC197</f>
        <v>6504</v>
      </c>
      <c r="AE197" s="771">
        <f>AD197*Q197</f>
        <v>273168</v>
      </c>
      <c r="AF197" s="741">
        <f t="shared" si="217"/>
        <v>0</v>
      </c>
      <c r="AG197" s="630">
        <f t="shared" si="217"/>
        <v>0</v>
      </c>
      <c r="AH197" s="775">
        <v>215</v>
      </c>
      <c r="AI197" s="636">
        <v>1398360</v>
      </c>
    </row>
    <row r="198" spans="1:35" ht="14.25">
      <c r="A198" s="724" t="s">
        <v>6931</v>
      </c>
      <c r="B198" s="634">
        <v>0</v>
      </c>
      <c r="C198" s="770">
        <v>0</v>
      </c>
      <c r="D198" s="633"/>
      <c r="E198" s="594"/>
      <c r="F198" s="594"/>
      <c r="G198" s="594"/>
      <c r="H198" s="594"/>
      <c r="I198" s="594"/>
      <c r="J198" s="635"/>
      <c r="K198" s="631">
        <f>SUM(C198:J198)</f>
        <v>0</v>
      </c>
      <c r="L198" s="633"/>
      <c r="M198" s="633"/>
      <c r="N198" s="631">
        <f>SUM(L198:M198)</f>
        <v>0</v>
      </c>
      <c r="O198" s="631">
        <f>(K198*12)+N198</f>
        <v>0</v>
      </c>
      <c r="P198" s="771">
        <f>O198*B198</f>
        <v>0</v>
      </c>
      <c r="Q198" s="634">
        <v>0</v>
      </c>
      <c r="R198" s="770">
        <v>0</v>
      </c>
      <c r="S198" s="632"/>
      <c r="T198" s="594"/>
      <c r="U198" s="594"/>
      <c r="V198" s="594"/>
      <c r="W198" s="594"/>
      <c r="X198" s="594"/>
      <c r="Y198" s="632"/>
      <c r="Z198" s="773">
        <f>SUM(R198:Y198)</f>
        <v>0</v>
      </c>
      <c r="AA198" s="633"/>
      <c r="AB198" s="632"/>
      <c r="AC198" s="631">
        <f>SUM(AA198:AB198)</f>
        <v>0</v>
      </c>
      <c r="AD198" s="631">
        <f>(Z198*12)+AC198</f>
        <v>0</v>
      </c>
      <c r="AE198" s="771">
        <f>AD198*Q198</f>
        <v>0</v>
      </c>
      <c r="AF198" s="741">
        <f t="shared" si="217"/>
        <v>0</v>
      </c>
      <c r="AG198" s="630">
        <f t="shared" si="217"/>
        <v>0</v>
      </c>
      <c r="AH198" s="775">
        <v>30</v>
      </c>
      <c r="AI198" s="636">
        <v>173520</v>
      </c>
    </row>
    <row r="199" spans="1:35" ht="27">
      <c r="A199" s="725" t="s">
        <v>7073</v>
      </c>
      <c r="B199" s="764">
        <f>SUM(B200:B202)</f>
        <v>93</v>
      </c>
      <c r="C199" s="765"/>
      <c r="D199" s="765"/>
      <c r="E199" s="765"/>
      <c r="F199" s="765"/>
      <c r="G199" s="765"/>
      <c r="H199" s="765"/>
      <c r="I199" s="765"/>
      <c r="J199" s="766"/>
      <c r="K199" s="642">
        <f t="shared" ref="K199:Q199" si="218">SUM(K200:K202)</f>
        <v>1258</v>
      </c>
      <c r="L199" s="765">
        <f t="shared" si="218"/>
        <v>0</v>
      </c>
      <c r="M199" s="765">
        <f t="shared" si="218"/>
        <v>0</v>
      </c>
      <c r="N199" s="642">
        <f t="shared" si="218"/>
        <v>0</v>
      </c>
      <c r="O199" s="642">
        <f t="shared" si="218"/>
        <v>15096</v>
      </c>
      <c r="P199" s="641">
        <f t="shared" si="218"/>
        <v>738792</v>
      </c>
      <c r="Q199" s="764">
        <f t="shared" si="218"/>
        <v>93</v>
      </c>
      <c r="R199" s="765"/>
      <c r="S199" s="765"/>
      <c r="T199" s="765"/>
      <c r="U199" s="765"/>
      <c r="V199" s="765"/>
      <c r="W199" s="765"/>
      <c r="X199" s="765"/>
      <c r="Y199" s="765">
        <f>SUM(Y200:Y202)</f>
        <v>0</v>
      </c>
      <c r="Z199" s="765">
        <f>SUM(Z200:Z202)</f>
        <v>1258</v>
      </c>
      <c r="AA199" s="765">
        <f>SUM(AA200:AA202)</f>
        <v>0</v>
      </c>
      <c r="AB199" s="765"/>
      <c r="AC199" s="642">
        <f t="shared" ref="AC199:AI199" si="219">SUM(AC200:AC202)</f>
        <v>0</v>
      </c>
      <c r="AD199" s="642">
        <f t="shared" si="219"/>
        <v>15096</v>
      </c>
      <c r="AE199" s="641">
        <f t="shared" si="219"/>
        <v>738792</v>
      </c>
      <c r="AF199" s="767">
        <f t="shared" si="219"/>
        <v>0</v>
      </c>
      <c r="AG199" s="768">
        <f t="shared" si="219"/>
        <v>0</v>
      </c>
      <c r="AH199" s="769">
        <f t="shared" si="219"/>
        <v>71</v>
      </c>
      <c r="AI199" s="638">
        <f t="shared" si="219"/>
        <v>523632</v>
      </c>
    </row>
    <row r="200" spans="1:35" ht="14.25">
      <c r="A200" s="724" t="s">
        <v>6933</v>
      </c>
      <c r="B200" s="634">
        <v>93</v>
      </c>
      <c r="C200" s="770">
        <v>662</v>
      </c>
      <c r="D200" s="633"/>
      <c r="E200" s="594"/>
      <c r="F200" s="594"/>
      <c r="G200" s="594"/>
      <c r="H200" s="594"/>
      <c r="I200" s="594"/>
      <c r="J200" s="635"/>
      <c r="K200" s="631">
        <f>SUM(C200:J200)</f>
        <v>662</v>
      </c>
      <c r="L200" s="633"/>
      <c r="M200" s="633"/>
      <c r="N200" s="631">
        <f>SUM(L200:M200)</f>
        <v>0</v>
      </c>
      <c r="O200" s="631">
        <f>(K200*12)+N200</f>
        <v>7944</v>
      </c>
      <c r="P200" s="771">
        <f>O200*B200</f>
        <v>738792</v>
      </c>
      <c r="Q200" s="634">
        <v>93</v>
      </c>
      <c r="R200" s="770">
        <v>662</v>
      </c>
      <c r="S200" s="632"/>
      <c r="T200" s="594"/>
      <c r="U200" s="594"/>
      <c r="V200" s="594"/>
      <c r="W200" s="594"/>
      <c r="X200" s="594"/>
      <c r="Y200" s="632"/>
      <c r="Z200" s="773">
        <f>SUM(R200:Y200)</f>
        <v>662</v>
      </c>
      <c r="AA200" s="633"/>
      <c r="AB200" s="632"/>
      <c r="AC200" s="631">
        <f>SUM(AA200:AB200)</f>
        <v>0</v>
      </c>
      <c r="AD200" s="631">
        <f>(Z200*12)+AC200</f>
        <v>7944</v>
      </c>
      <c r="AE200" s="771">
        <f>AD200*Q200</f>
        <v>738792</v>
      </c>
      <c r="AF200" s="741">
        <f t="shared" ref="AF200:AG202" si="220">AD200-O200</f>
        <v>0</v>
      </c>
      <c r="AG200" s="630">
        <f t="shared" si="220"/>
        <v>0</v>
      </c>
      <c r="AH200" s="775">
        <v>35</v>
      </c>
      <c r="AI200" s="636">
        <v>278040</v>
      </c>
    </row>
    <row r="201" spans="1:35" ht="14.25">
      <c r="A201" s="724" t="s">
        <v>6932</v>
      </c>
      <c r="B201" s="634">
        <v>0</v>
      </c>
      <c r="C201" s="770">
        <v>596</v>
      </c>
      <c r="D201" s="633"/>
      <c r="E201" s="594"/>
      <c r="F201" s="594"/>
      <c r="G201" s="594"/>
      <c r="H201" s="594"/>
      <c r="I201" s="594"/>
      <c r="J201" s="635"/>
      <c r="K201" s="631">
        <f>SUM(C201:J201)</f>
        <v>596</v>
      </c>
      <c r="L201" s="633"/>
      <c r="M201" s="633"/>
      <c r="N201" s="631">
        <f>SUM(L201:M201)</f>
        <v>0</v>
      </c>
      <c r="O201" s="631">
        <f>(K201*12)+N201</f>
        <v>7152</v>
      </c>
      <c r="P201" s="771">
        <f>O201*B201</f>
        <v>0</v>
      </c>
      <c r="Q201" s="634">
        <v>0</v>
      </c>
      <c r="R201" s="770">
        <v>596</v>
      </c>
      <c r="S201" s="632"/>
      <c r="T201" s="594"/>
      <c r="U201" s="594"/>
      <c r="V201" s="594"/>
      <c r="W201" s="594"/>
      <c r="X201" s="594"/>
      <c r="Y201" s="632"/>
      <c r="Z201" s="773">
        <f>SUM(R201:Y201)</f>
        <v>596</v>
      </c>
      <c r="AA201" s="633"/>
      <c r="AB201" s="632"/>
      <c r="AC201" s="631">
        <f>SUM(AA201:AB201)</f>
        <v>0</v>
      </c>
      <c r="AD201" s="631">
        <f>(Z201*12)+AC201</f>
        <v>7152</v>
      </c>
      <c r="AE201" s="771">
        <f>AD201*Q201</f>
        <v>0</v>
      </c>
      <c r="AF201" s="741">
        <f t="shared" si="220"/>
        <v>0</v>
      </c>
      <c r="AG201" s="630">
        <f t="shared" si="220"/>
        <v>0</v>
      </c>
      <c r="AH201" s="775">
        <v>21</v>
      </c>
      <c r="AI201" s="636">
        <v>150192</v>
      </c>
    </row>
    <row r="202" spans="1:35" ht="14.25">
      <c r="A202" s="724" t="s">
        <v>6931</v>
      </c>
      <c r="B202" s="634">
        <v>0</v>
      </c>
      <c r="C202" s="770">
        <v>0</v>
      </c>
      <c r="D202" s="633"/>
      <c r="E202" s="594"/>
      <c r="F202" s="594"/>
      <c r="G202" s="594"/>
      <c r="H202" s="594"/>
      <c r="I202" s="594"/>
      <c r="J202" s="635"/>
      <c r="K202" s="631">
        <f>SUM(C202:J202)</f>
        <v>0</v>
      </c>
      <c r="L202" s="633"/>
      <c r="M202" s="633"/>
      <c r="N202" s="631">
        <f>SUM(L202:M202)</f>
        <v>0</v>
      </c>
      <c r="O202" s="631">
        <f>(K202*12)+N202</f>
        <v>0</v>
      </c>
      <c r="P202" s="771">
        <f>O202*B202</f>
        <v>0</v>
      </c>
      <c r="Q202" s="634">
        <v>0</v>
      </c>
      <c r="R202" s="770">
        <v>0</v>
      </c>
      <c r="S202" s="632"/>
      <c r="T202" s="594"/>
      <c r="U202" s="594"/>
      <c r="V202" s="594"/>
      <c r="W202" s="594"/>
      <c r="X202" s="594"/>
      <c r="Y202" s="632"/>
      <c r="Z202" s="773">
        <f>SUM(R202:Y202)</f>
        <v>0</v>
      </c>
      <c r="AA202" s="633"/>
      <c r="AB202" s="632"/>
      <c r="AC202" s="631">
        <f>SUM(AA202:AB202)</f>
        <v>0</v>
      </c>
      <c r="AD202" s="631">
        <f>(Z202*12)+AC202</f>
        <v>0</v>
      </c>
      <c r="AE202" s="771">
        <f>AD202*Q202</f>
        <v>0</v>
      </c>
      <c r="AF202" s="741">
        <f t="shared" si="220"/>
        <v>0</v>
      </c>
      <c r="AG202" s="630">
        <f t="shared" si="220"/>
        <v>0</v>
      </c>
      <c r="AH202" s="775">
        <v>15</v>
      </c>
      <c r="AI202" s="636">
        <v>95400</v>
      </c>
    </row>
    <row r="203" spans="1:35" ht="27">
      <c r="A203" s="725" t="s">
        <v>6935</v>
      </c>
      <c r="B203" s="764">
        <f>SUM(B204:B206)</f>
        <v>0</v>
      </c>
      <c r="C203" s="765"/>
      <c r="D203" s="765"/>
      <c r="E203" s="765"/>
      <c r="F203" s="765"/>
      <c r="G203" s="765"/>
      <c r="H203" s="765"/>
      <c r="I203" s="765"/>
      <c r="J203" s="766"/>
      <c r="K203" s="642">
        <f t="shared" ref="K203:Q203" si="221">SUM(K204:K206)</f>
        <v>1385</v>
      </c>
      <c r="L203" s="765">
        <f t="shared" si="221"/>
        <v>0</v>
      </c>
      <c r="M203" s="765">
        <f t="shared" si="221"/>
        <v>0</v>
      </c>
      <c r="N203" s="642">
        <f t="shared" si="221"/>
        <v>0</v>
      </c>
      <c r="O203" s="642">
        <f t="shared" si="221"/>
        <v>16620</v>
      </c>
      <c r="P203" s="641">
        <f t="shared" si="221"/>
        <v>0</v>
      </c>
      <c r="Q203" s="764">
        <f t="shared" si="221"/>
        <v>0</v>
      </c>
      <c r="R203" s="765"/>
      <c r="S203" s="765"/>
      <c r="T203" s="765"/>
      <c r="U203" s="765"/>
      <c r="V203" s="765"/>
      <c r="W203" s="765"/>
      <c r="X203" s="765"/>
      <c r="Y203" s="765">
        <f>SUM(Y204:Y206)</f>
        <v>0</v>
      </c>
      <c r="Z203" s="765">
        <f>SUM(Z204:Z206)</f>
        <v>1385</v>
      </c>
      <c r="AA203" s="765">
        <f>SUM(AA204:AA206)</f>
        <v>0</v>
      </c>
      <c r="AB203" s="765"/>
      <c r="AC203" s="642">
        <f t="shared" ref="AC203:AI203" si="222">SUM(AC204:AC206)</f>
        <v>0</v>
      </c>
      <c r="AD203" s="642">
        <f t="shared" si="222"/>
        <v>16620</v>
      </c>
      <c r="AE203" s="641">
        <f t="shared" si="222"/>
        <v>0</v>
      </c>
      <c r="AF203" s="767">
        <f t="shared" si="222"/>
        <v>0</v>
      </c>
      <c r="AG203" s="768">
        <f t="shared" si="222"/>
        <v>0</v>
      </c>
      <c r="AH203" s="769">
        <f t="shared" si="222"/>
        <v>28</v>
      </c>
      <c r="AI203" s="638">
        <f t="shared" si="222"/>
        <v>244944</v>
      </c>
    </row>
    <row r="204" spans="1:35" ht="14.25">
      <c r="A204" s="724" t="s">
        <v>6933</v>
      </c>
      <c r="B204" s="634">
        <v>0</v>
      </c>
      <c r="C204" s="770">
        <v>729</v>
      </c>
      <c r="D204" s="633"/>
      <c r="E204" s="594"/>
      <c r="F204" s="594"/>
      <c r="G204" s="594"/>
      <c r="H204" s="594"/>
      <c r="I204" s="594"/>
      <c r="J204" s="635"/>
      <c r="K204" s="631">
        <f>SUM(C204:J204)</f>
        <v>729</v>
      </c>
      <c r="L204" s="633"/>
      <c r="M204" s="633"/>
      <c r="N204" s="631">
        <f>SUM(L204:M204)</f>
        <v>0</v>
      </c>
      <c r="O204" s="631">
        <f>(K204*12)+N204</f>
        <v>8748</v>
      </c>
      <c r="P204" s="771">
        <f>O204*B204</f>
        <v>0</v>
      </c>
      <c r="Q204" s="634">
        <v>0</v>
      </c>
      <c r="R204" s="770">
        <v>729</v>
      </c>
      <c r="S204" s="632"/>
      <c r="T204" s="594"/>
      <c r="U204" s="594"/>
      <c r="V204" s="594"/>
      <c r="W204" s="594"/>
      <c r="X204" s="594"/>
      <c r="Y204" s="632"/>
      <c r="Z204" s="773">
        <f>SUM(R204:Y204)</f>
        <v>729</v>
      </c>
      <c r="AA204" s="633"/>
      <c r="AB204" s="632"/>
      <c r="AC204" s="631">
        <f>SUM(AA204:AB204)</f>
        <v>0</v>
      </c>
      <c r="AD204" s="631">
        <f>(Z204*12)+AC204</f>
        <v>8748</v>
      </c>
      <c r="AE204" s="771">
        <f>AD204*Q204</f>
        <v>0</v>
      </c>
      <c r="AF204" s="741">
        <f t="shared" ref="AF204:AG206" si="223">AD204-O204</f>
        <v>0</v>
      </c>
      <c r="AG204" s="630">
        <f t="shared" si="223"/>
        <v>0</v>
      </c>
      <c r="AH204" s="775">
        <v>28</v>
      </c>
      <c r="AI204" s="636">
        <v>244944</v>
      </c>
    </row>
    <row r="205" spans="1:35" ht="14.25">
      <c r="A205" s="724" t="s">
        <v>6932</v>
      </c>
      <c r="B205" s="634">
        <v>0</v>
      </c>
      <c r="C205" s="770">
        <v>656</v>
      </c>
      <c r="D205" s="633"/>
      <c r="E205" s="594"/>
      <c r="F205" s="594"/>
      <c r="G205" s="594"/>
      <c r="H205" s="594"/>
      <c r="I205" s="594"/>
      <c r="J205" s="635"/>
      <c r="K205" s="631">
        <f>SUM(C205:J205)</f>
        <v>656</v>
      </c>
      <c r="L205" s="633"/>
      <c r="M205" s="633"/>
      <c r="N205" s="631">
        <f>SUM(L205:M205)</f>
        <v>0</v>
      </c>
      <c r="O205" s="631">
        <f>(K205*12)+N205</f>
        <v>7872</v>
      </c>
      <c r="P205" s="771">
        <f>O205*B205</f>
        <v>0</v>
      </c>
      <c r="Q205" s="634">
        <v>0</v>
      </c>
      <c r="R205" s="770">
        <v>656</v>
      </c>
      <c r="S205" s="632"/>
      <c r="T205" s="594"/>
      <c r="U205" s="594"/>
      <c r="V205" s="594"/>
      <c r="W205" s="594"/>
      <c r="X205" s="594"/>
      <c r="Y205" s="632"/>
      <c r="Z205" s="773">
        <f>SUM(R205:Y205)</f>
        <v>656</v>
      </c>
      <c r="AA205" s="633"/>
      <c r="AB205" s="632"/>
      <c r="AC205" s="631">
        <f>SUM(AA205:AB205)</f>
        <v>0</v>
      </c>
      <c r="AD205" s="631">
        <f>(Z205*12)+AC205</f>
        <v>7872</v>
      </c>
      <c r="AE205" s="771">
        <f>AD205*Q205</f>
        <v>0</v>
      </c>
      <c r="AF205" s="741">
        <f t="shared" si="223"/>
        <v>0</v>
      </c>
      <c r="AG205" s="630">
        <f t="shared" si="223"/>
        <v>0</v>
      </c>
      <c r="AH205" s="775">
        <v>0</v>
      </c>
      <c r="AI205" s="636">
        <v>0</v>
      </c>
    </row>
    <row r="206" spans="1:35" ht="14.25" hidden="1">
      <c r="A206" s="724" t="s">
        <v>6931</v>
      </c>
      <c r="B206" s="634">
        <v>0</v>
      </c>
      <c r="C206" s="770">
        <v>0</v>
      </c>
      <c r="D206" s="633"/>
      <c r="E206" s="594"/>
      <c r="F206" s="594"/>
      <c r="G206" s="594"/>
      <c r="H206" s="594"/>
      <c r="I206" s="594"/>
      <c r="J206" s="635"/>
      <c r="K206" s="631">
        <f>SUM(C206:J206)</f>
        <v>0</v>
      </c>
      <c r="L206" s="633"/>
      <c r="M206" s="633"/>
      <c r="N206" s="631">
        <f>SUM(L206:M206)</f>
        <v>0</v>
      </c>
      <c r="O206" s="631">
        <f>(K206*12)+N206</f>
        <v>0</v>
      </c>
      <c r="P206" s="771">
        <f>O206*B206</f>
        <v>0</v>
      </c>
      <c r="Q206" s="634">
        <v>0</v>
      </c>
      <c r="R206" s="770">
        <v>0</v>
      </c>
      <c r="S206" s="632"/>
      <c r="T206" s="594"/>
      <c r="U206" s="594"/>
      <c r="V206" s="594"/>
      <c r="W206" s="594"/>
      <c r="X206" s="594"/>
      <c r="Y206" s="632"/>
      <c r="Z206" s="773">
        <f>SUM(R206:Y206)</f>
        <v>0</v>
      </c>
      <c r="AA206" s="633"/>
      <c r="AB206" s="632"/>
      <c r="AC206" s="631">
        <f>SUM(AA206:AB206)</f>
        <v>0</v>
      </c>
      <c r="AD206" s="631">
        <f>(Z206*12)+AC206</f>
        <v>0</v>
      </c>
      <c r="AE206" s="771">
        <f>AD206*Q206</f>
        <v>0</v>
      </c>
      <c r="AF206" s="741">
        <f t="shared" si="223"/>
        <v>0</v>
      </c>
      <c r="AG206" s="630">
        <f t="shared" si="223"/>
        <v>0</v>
      </c>
      <c r="AH206" s="775">
        <v>0</v>
      </c>
      <c r="AI206" s="636">
        <v>0</v>
      </c>
    </row>
    <row r="207" spans="1:35" ht="27">
      <c r="A207" s="725" t="s">
        <v>6934</v>
      </c>
      <c r="B207" s="764">
        <f>SUM(B208:B210)</f>
        <v>0</v>
      </c>
      <c r="C207" s="765"/>
      <c r="D207" s="765"/>
      <c r="E207" s="765"/>
      <c r="F207" s="765"/>
      <c r="G207" s="765"/>
      <c r="H207" s="765"/>
      <c r="I207" s="765"/>
      <c r="J207" s="766"/>
      <c r="K207" s="642">
        <f t="shared" ref="K207:Q207" si="224">SUM(K208:K210)</f>
        <v>1523</v>
      </c>
      <c r="L207" s="765">
        <f t="shared" si="224"/>
        <v>0</v>
      </c>
      <c r="M207" s="765">
        <f t="shared" si="224"/>
        <v>0</v>
      </c>
      <c r="N207" s="642">
        <f t="shared" si="224"/>
        <v>0</v>
      </c>
      <c r="O207" s="642">
        <f t="shared" si="224"/>
        <v>18276</v>
      </c>
      <c r="P207" s="641">
        <f t="shared" si="224"/>
        <v>0</v>
      </c>
      <c r="Q207" s="764">
        <f t="shared" si="224"/>
        <v>0</v>
      </c>
      <c r="R207" s="765"/>
      <c r="S207" s="765"/>
      <c r="T207" s="765"/>
      <c r="U207" s="765"/>
      <c r="V207" s="765"/>
      <c r="W207" s="765"/>
      <c r="X207" s="765"/>
      <c r="Y207" s="765">
        <f>SUM(Y208:Y210)</f>
        <v>0</v>
      </c>
      <c r="Z207" s="765">
        <f>SUM(Z208:Z210)</f>
        <v>1523</v>
      </c>
      <c r="AA207" s="765">
        <f>SUM(AA208:AA210)</f>
        <v>0</v>
      </c>
      <c r="AB207" s="765"/>
      <c r="AC207" s="642">
        <f t="shared" ref="AC207:AI207" si="225">SUM(AC208:AC210)</f>
        <v>0</v>
      </c>
      <c r="AD207" s="642">
        <f t="shared" si="225"/>
        <v>18276</v>
      </c>
      <c r="AE207" s="641">
        <f t="shared" si="225"/>
        <v>0</v>
      </c>
      <c r="AF207" s="767">
        <f t="shared" si="225"/>
        <v>0</v>
      </c>
      <c r="AG207" s="768">
        <f t="shared" si="225"/>
        <v>0</v>
      </c>
      <c r="AH207" s="769">
        <f t="shared" si="225"/>
        <v>2</v>
      </c>
      <c r="AI207" s="638">
        <f t="shared" si="225"/>
        <v>19248</v>
      </c>
    </row>
    <row r="208" spans="1:35" ht="14.25">
      <c r="A208" s="724" t="s">
        <v>6933</v>
      </c>
      <c r="B208" s="634">
        <v>0</v>
      </c>
      <c r="C208" s="770">
        <v>802</v>
      </c>
      <c r="D208" s="633"/>
      <c r="E208" s="594"/>
      <c r="F208" s="594"/>
      <c r="G208" s="594"/>
      <c r="H208" s="594"/>
      <c r="I208" s="594"/>
      <c r="J208" s="635"/>
      <c r="K208" s="631">
        <f>SUM(C208:J208)</f>
        <v>802</v>
      </c>
      <c r="L208" s="633"/>
      <c r="M208" s="633"/>
      <c r="N208" s="631">
        <f>SUM(L208:M208)</f>
        <v>0</v>
      </c>
      <c r="O208" s="631">
        <f>(K208*12)+N208</f>
        <v>9624</v>
      </c>
      <c r="P208" s="771">
        <f>O208*B208</f>
        <v>0</v>
      </c>
      <c r="Q208" s="634">
        <v>0</v>
      </c>
      <c r="R208" s="770">
        <v>802</v>
      </c>
      <c r="S208" s="632"/>
      <c r="T208" s="594"/>
      <c r="U208" s="594"/>
      <c r="V208" s="594"/>
      <c r="W208" s="594"/>
      <c r="X208" s="594"/>
      <c r="Y208" s="632"/>
      <c r="Z208" s="773">
        <f>SUM(R208:Y208)</f>
        <v>802</v>
      </c>
      <c r="AA208" s="633"/>
      <c r="AB208" s="632"/>
      <c r="AC208" s="631">
        <f>SUM(AA208:AB208)</f>
        <v>0</v>
      </c>
      <c r="AD208" s="631">
        <f>(Z208*12)+AC208</f>
        <v>9624</v>
      </c>
      <c r="AE208" s="771">
        <f>AD208*Q208</f>
        <v>0</v>
      </c>
      <c r="AF208" s="741">
        <f t="shared" ref="AF208:AG210" si="226">AD208-O208</f>
        <v>0</v>
      </c>
      <c r="AG208" s="630">
        <f t="shared" si="226"/>
        <v>0</v>
      </c>
      <c r="AH208" s="775">
        <v>2</v>
      </c>
      <c r="AI208" s="636">
        <v>19248</v>
      </c>
    </row>
    <row r="209" spans="1:35" ht="14.25">
      <c r="A209" s="724" t="s">
        <v>6932</v>
      </c>
      <c r="B209" s="634">
        <v>0</v>
      </c>
      <c r="C209" s="770">
        <v>721</v>
      </c>
      <c r="D209" s="633"/>
      <c r="E209" s="594"/>
      <c r="F209" s="594"/>
      <c r="G209" s="594"/>
      <c r="H209" s="594"/>
      <c r="I209" s="594"/>
      <c r="J209" s="635"/>
      <c r="K209" s="631">
        <f>SUM(C209:J209)</f>
        <v>721</v>
      </c>
      <c r="L209" s="633"/>
      <c r="M209" s="633"/>
      <c r="N209" s="631">
        <f>SUM(L209:M209)</f>
        <v>0</v>
      </c>
      <c r="O209" s="631">
        <f>(K209*12)+N209</f>
        <v>8652</v>
      </c>
      <c r="P209" s="771">
        <f>O209*B209</f>
        <v>0</v>
      </c>
      <c r="Q209" s="634">
        <v>0</v>
      </c>
      <c r="R209" s="770">
        <v>721</v>
      </c>
      <c r="S209" s="632"/>
      <c r="T209" s="594"/>
      <c r="U209" s="594"/>
      <c r="V209" s="594"/>
      <c r="W209" s="594"/>
      <c r="X209" s="594"/>
      <c r="Y209" s="632"/>
      <c r="Z209" s="773">
        <f>SUM(R209:Y209)</f>
        <v>721</v>
      </c>
      <c r="AA209" s="633"/>
      <c r="AB209" s="632"/>
      <c r="AC209" s="631">
        <f>SUM(AA209:AB209)</f>
        <v>0</v>
      </c>
      <c r="AD209" s="631">
        <f>(Z209*12)+AC209</f>
        <v>8652</v>
      </c>
      <c r="AE209" s="771">
        <f>AD209*Q209</f>
        <v>0</v>
      </c>
      <c r="AF209" s="741">
        <f t="shared" si="226"/>
        <v>0</v>
      </c>
      <c r="AG209" s="630">
        <f t="shared" si="226"/>
        <v>0</v>
      </c>
      <c r="AH209" s="775">
        <v>0</v>
      </c>
      <c r="AI209" s="636">
        <v>0</v>
      </c>
    </row>
    <row r="210" spans="1:35" ht="14.25" hidden="1">
      <c r="A210" s="724" t="s">
        <v>6931</v>
      </c>
      <c r="B210" s="634">
        <v>0</v>
      </c>
      <c r="C210" s="770">
        <v>0</v>
      </c>
      <c r="D210" s="633"/>
      <c r="E210" s="594"/>
      <c r="F210" s="594"/>
      <c r="G210" s="594"/>
      <c r="H210" s="594"/>
      <c r="I210" s="594"/>
      <c r="J210" s="635"/>
      <c r="K210" s="631">
        <f>SUM(C210:J210)</f>
        <v>0</v>
      </c>
      <c r="L210" s="633"/>
      <c r="M210" s="633"/>
      <c r="N210" s="631">
        <f>SUM(L210:M210)</f>
        <v>0</v>
      </c>
      <c r="O210" s="631">
        <f>(K210*12)+N210</f>
        <v>0</v>
      </c>
      <c r="P210" s="771">
        <f>O210*B210</f>
        <v>0</v>
      </c>
      <c r="Q210" s="634">
        <v>0</v>
      </c>
      <c r="R210" s="770">
        <v>0</v>
      </c>
      <c r="S210" s="632"/>
      <c r="T210" s="594"/>
      <c r="U210" s="594"/>
      <c r="V210" s="594"/>
      <c r="W210" s="594"/>
      <c r="X210" s="594"/>
      <c r="Y210" s="632"/>
      <c r="Z210" s="773">
        <f>SUM(R210:Y210)</f>
        <v>0</v>
      </c>
      <c r="AA210" s="633"/>
      <c r="AB210" s="632"/>
      <c r="AC210" s="631">
        <f>SUM(AA210:AB210)</f>
        <v>0</v>
      </c>
      <c r="AD210" s="631">
        <f>(Z210*12)+AC210</f>
        <v>0</v>
      </c>
      <c r="AE210" s="771">
        <f>AD210*Q210</f>
        <v>0</v>
      </c>
      <c r="AF210" s="741">
        <f t="shared" si="226"/>
        <v>0</v>
      </c>
      <c r="AG210" s="630">
        <f t="shared" si="226"/>
        <v>0</v>
      </c>
      <c r="AH210" s="775">
        <v>0</v>
      </c>
      <c r="AI210" s="636">
        <v>0</v>
      </c>
    </row>
    <row r="211" spans="1:35" ht="40.5">
      <c r="A211" s="725" t="s">
        <v>6930</v>
      </c>
      <c r="B211" s="764">
        <f>SUM(B212:B215)</f>
        <v>8514.850203978036</v>
      </c>
      <c r="C211" s="765"/>
      <c r="D211" s="765"/>
      <c r="E211" s="765"/>
      <c r="F211" s="765"/>
      <c r="G211" s="765"/>
      <c r="H211" s="765"/>
      <c r="I211" s="765"/>
      <c r="J211" s="766"/>
      <c r="K211" s="642">
        <f t="shared" ref="K211:Q211" si="227">SUM(K212:K215)</f>
        <v>1242</v>
      </c>
      <c r="L211" s="765">
        <f t="shared" si="227"/>
        <v>0</v>
      </c>
      <c r="M211" s="765">
        <f t="shared" si="227"/>
        <v>0</v>
      </c>
      <c r="N211" s="642">
        <f t="shared" si="227"/>
        <v>0</v>
      </c>
      <c r="O211" s="642">
        <f t="shared" si="227"/>
        <v>7452</v>
      </c>
      <c r="P211" s="641">
        <f t="shared" si="227"/>
        <v>15717734.587129092</v>
      </c>
      <c r="Q211" s="764">
        <f t="shared" si="227"/>
        <v>8514.850203978036</v>
      </c>
      <c r="R211" s="765"/>
      <c r="S211" s="765"/>
      <c r="T211" s="765"/>
      <c r="U211" s="765"/>
      <c r="V211" s="765"/>
      <c r="W211" s="765"/>
      <c r="X211" s="765"/>
      <c r="Y211" s="765">
        <f>SUM(Y212:Y215)</f>
        <v>0</v>
      </c>
      <c r="Z211" s="765">
        <f>SUM(Z212:Z215)</f>
        <v>1242</v>
      </c>
      <c r="AA211" s="765">
        <f>SUM(AA212:AA215)</f>
        <v>0</v>
      </c>
      <c r="AB211" s="765"/>
      <c r="AC211" s="642">
        <f t="shared" ref="AC211:AI211" si="228">SUM(AC212:AC215)</f>
        <v>0</v>
      </c>
      <c r="AD211" s="642">
        <f t="shared" si="228"/>
        <v>7452</v>
      </c>
      <c r="AE211" s="641">
        <f t="shared" si="228"/>
        <v>15717734.587129092</v>
      </c>
      <c r="AF211" s="767">
        <f t="shared" si="228"/>
        <v>0</v>
      </c>
      <c r="AG211" s="768">
        <f t="shared" si="228"/>
        <v>0</v>
      </c>
      <c r="AH211" s="769">
        <f t="shared" si="228"/>
        <v>6816.401567495097</v>
      </c>
      <c r="AI211" s="638">
        <f t="shared" si="228"/>
        <v>15152382.650000002</v>
      </c>
    </row>
    <row r="212" spans="1:35" ht="14.25">
      <c r="A212" s="724" t="s">
        <v>6923</v>
      </c>
      <c r="B212" s="634">
        <v>429.65146991743529</v>
      </c>
      <c r="C212" s="633">
        <v>365</v>
      </c>
      <c r="D212" s="770"/>
      <c r="E212" s="594"/>
      <c r="F212" s="594"/>
      <c r="G212" s="594"/>
      <c r="H212" s="594"/>
      <c r="I212" s="594"/>
      <c r="J212" s="741"/>
      <c r="K212" s="631">
        <f>SUM(C212:J212)</f>
        <v>365</v>
      </c>
      <c r="L212" s="633"/>
      <c r="M212" s="770"/>
      <c r="N212" s="631">
        <f>SUM(L212:M212)</f>
        <v>0</v>
      </c>
      <c r="O212" s="631">
        <f>(K212*6)+N212</f>
        <v>2190</v>
      </c>
      <c r="P212" s="771">
        <f>O212*B212</f>
        <v>940936.71911918325</v>
      </c>
      <c r="Q212" s="634">
        <v>429.65146991743529</v>
      </c>
      <c r="R212" s="633">
        <v>365</v>
      </c>
      <c r="S212" s="791"/>
      <c r="T212" s="594"/>
      <c r="U212" s="594"/>
      <c r="V212" s="594"/>
      <c r="W212" s="594"/>
      <c r="X212" s="594"/>
      <c r="Y212" s="791"/>
      <c r="Z212" s="773">
        <f>SUM(R212:Y212)</f>
        <v>365</v>
      </c>
      <c r="AA212" s="633"/>
      <c r="AB212" s="791"/>
      <c r="AC212" s="631">
        <f>SUM(AA212:AB212)</f>
        <v>0</v>
      </c>
      <c r="AD212" s="631">
        <f>(Z212*6)+AC212</f>
        <v>2190</v>
      </c>
      <c r="AE212" s="771">
        <f>AD212*Q212</f>
        <v>940936.71911918325</v>
      </c>
      <c r="AF212" s="741">
        <f t="shared" ref="AF212:AG215" si="229">AD212-O212</f>
        <v>0</v>
      </c>
      <c r="AG212" s="630">
        <f t="shared" si="229"/>
        <v>0</v>
      </c>
      <c r="AH212" s="775">
        <v>0.58473751342133418</v>
      </c>
      <c r="AI212" s="636">
        <v>1354.0213862042283</v>
      </c>
    </row>
    <row r="213" spans="1:35" ht="14.25">
      <c r="A213" s="724" t="s">
        <v>6925</v>
      </c>
      <c r="B213" s="634">
        <v>3487.9948257682927</v>
      </c>
      <c r="C213" s="633">
        <v>329</v>
      </c>
      <c r="D213" s="770"/>
      <c r="E213" s="594"/>
      <c r="F213" s="594"/>
      <c r="G213" s="594"/>
      <c r="H213" s="594"/>
      <c r="I213" s="594"/>
      <c r="J213" s="741"/>
      <c r="K213" s="631">
        <f>SUM(C213:J213)</f>
        <v>329</v>
      </c>
      <c r="L213" s="633"/>
      <c r="M213" s="770"/>
      <c r="N213" s="631">
        <f>SUM(L213:M213)</f>
        <v>0</v>
      </c>
      <c r="O213" s="631">
        <f>(K213*6)+N213</f>
        <v>1974</v>
      </c>
      <c r="P213" s="771">
        <f>O213*B213</f>
        <v>6885301.7860666094</v>
      </c>
      <c r="Q213" s="634">
        <v>3487.9948257682927</v>
      </c>
      <c r="R213" s="633">
        <v>329</v>
      </c>
      <c r="S213" s="791"/>
      <c r="T213" s="594"/>
      <c r="U213" s="594"/>
      <c r="V213" s="594"/>
      <c r="W213" s="594"/>
      <c r="X213" s="594"/>
      <c r="Y213" s="791"/>
      <c r="Z213" s="773">
        <f>SUM(R213:Y213)</f>
        <v>329</v>
      </c>
      <c r="AA213" s="633"/>
      <c r="AB213" s="791"/>
      <c r="AC213" s="631">
        <f>SUM(AA213:AB213)</f>
        <v>0</v>
      </c>
      <c r="AD213" s="631">
        <f>(Z213*6)+AC213</f>
        <v>1974</v>
      </c>
      <c r="AE213" s="771">
        <f>AD213*Q213</f>
        <v>6885301.7860666094</v>
      </c>
      <c r="AF213" s="741">
        <f t="shared" si="229"/>
        <v>0</v>
      </c>
      <c r="AG213" s="630">
        <f t="shared" si="229"/>
        <v>0</v>
      </c>
      <c r="AH213" s="775">
        <v>346.16460794542985</v>
      </c>
      <c r="AI213" s="636">
        <v>722520.65026910999</v>
      </c>
    </row>
    <row r="214" spans="1:35" ht="14.25">
      <c r="A214" s="724" t="s">
        <v>6927</v>
      </c>
      <c r="B214" s="634">
        <v>3843.4762907699651</v>
      </c>
      <c r="C214" s="633">
        <v>292</v>
      </c>
      <c r="D214" s="770"/>
      <c r="E214" s="594"/>
      <c r="F214" s="594"/>
      <c r="G214" s="594"/>
      <c r="H214" s="594"/>
      <c r="I214" s="594"/>
      <c r="J214" s="741"/>
      <c r="K214" s="631">
        <f>SUM(C214:J214)</f>
        <v>292</v>
      </c>
      <c r="L214" s="633"/>
      <c r="M214" s="770"/>
      <c r="N214" s="631">
        <f>SUM(L214:M214)</f>
        <v>0</v>
      </c>
      <c r="O214" s="631">
        <f>(K214*6)+N214</f>
        <v>1752</v>
      </c>
      <c r="P214" s="771">
        <f>O214*B214</f>
        <v>6733770.4614289785</v>
      </c>
      <c r="Q214" s="634">
        <v>3843.4762907699651</v>
      </c>
      <c r="R214" s="633">
        <v>292</v>
      </c>
      <c r="S214" s="791"/>
      <c r="T214" s="594"/>
      <c r="U214" s="594"/>
      <c r="V214" s="594"/>
      <c r="W214" s="594"/>
      <c r="X214" s="594"/>
      <c r="Y214" s="791"/>
      <c r="Z214" s="773">
        <f>SUM(R214:Y214)</f>
        <v>292</v>
      </c>
      <c r="AA214" s="633"/>
      <c r="AB214" s="791"/>
      <c r="AC214" s="631">
        <f>SUM(AA214:AB214)</f>
        <v>0</v>
      </c>
      <c r="AD214" s="631">
        <f>(Z214*6)+AC214</f>
        <v>1752</v>
      </c>
      <c r="AE214" s="771">
        <f>AD214*Q214</f>
        <v>6733770.4614289785</v>
      </c>
      <c r="AF214" s="741">
        <f t="shared" si="229"/>
        <v>0</v>
      </c>
      <c r="AG214" s="630">
        <f t="shared" si="229"/>
        <v>0</v>
      </c>
      <c r="AH214" s="775">
        <v>4227.6522220362458</v>
      </c>
      <c r="AI214" s="636">
        <v>7831659.6978052566</v>
      </c>
    </row>
    <row r="215" spans="1:35" ht="14.25">
      <c r="A215" s="724" t="s">
        <v>6929</v>
      </c>
      <c r="B215" s="634">
        <v>753.72761752234362</v>
      </c>
      <c r="C215" s="633">
        <v>256</v>
      </c>
      <c r="D215" s="770"/>
      <c r="E215" s="594"/>
      <c r="F215" s="594"/>
      <c r="G215" s="594"/>
      <c r="H215" s="594"/>
      <c r="I215" s="594"/>
      <c r="J215" s="741"/>
      <c r="K215" s="631">
        <f>SUM(C215:J215)</f>
        <v>256</v>
      </c>
      <c r="L215" s="633"/>
      <c r="M215" s="770"/>
      <c r="N215" s="631">
        <f>SUM(L215:M215)</f>
        <v>0</v>
      </c>
      <c r="O215" s="631">
        <f>(K215*6)+N215</f>
        <v>1536</v>
      </c>
      <c r="P215" s="771">
        <f>O215*B215</f>
        <v>1157725.6205143197</v>
      </c>
      <c r="Q215" s="634">
        <v>753.72761752234362</v>
      </c>
      <c r="R215" s="633">
        <v>256</v>
      </c>
      <c r="S215" s="791"/>
      <c r="T215" s="594"/>
      <c r="U215" s="594"/>
      <c r="V215" s="594"/>
      <c r="W215" s="594"/>
      <c r="X215" s="594"/>
      <c r="Y215" s="791"/>
      <c r="Z215" s="773">
        <f>SUM(R215:Y215)</f>
        <v>256</v>
      </c>
      <c r="AA215" s="633"/>
      <c r="AB215" s="791"/>
      <c r="AC215" s="631">
        <f>SUM(AA215:AB215)</f>
        <v>0</v>
      </c>
      <c r="AD215" s="631">
        <f>(Z215*6)+AC215</f>
        <v>1536</v>
      </c>
      <c r="AE215" s="771">
        <f>AD215*Q215</f>
        <v>1157725.6205143197</v>
      </c>
      <c r="AF215" s="741">
        <f t="shared" si="229"/>
        <v>0</v>
      </c>
      <c r="AG215" s="630">
        <f t="shared" si="229"/>
        <v>0</v>
      </c>
      <c r="AH215" s="775">
        <v>2242</v>
      </c>
      <c r="AI215" s="636">
        <v>6596848.2805394307</v>
      </c>
    </row>
    <row r="216" spans="1:35" ht="40.5">
      <c r="A216" s="725" t="s">
        <v>7072</v>
      </c>
      <c r="B216" s="764">
        <f>SUM(B217:B219)</f>
        <v>1741.3246199142088</v>
      </c>
      <c r="C216" s="765"/>
      <c r="D216" s="765"/>
      <c r="E216" s="765"/>
      <c r="F216" s="765"/>
      <c r="G216" s="765"/>
      <c r="H216" s="765"/>
      <c r="I216" s="765"/>
      <c r="J216" s="766"/>
      <c r="K216" s="642">
        <f t="shared" ref="K216:Q216" si="230">SUM(K217:K219)</f>
        <v>1479</v>
      </c>
      <c r="L216" s="765">
        <f t="shared" si="230"/>
        <v>0</v>
      </c>
      <c r="M216" s="765">
        <f t="shared" si="230"/>
        <v>0</v>
      </c>
      <c r="N216" s="642">
        <f t="shared" si="230"/>
        <v>0</v>
      </c>
      <c r="O216" s="642">
        <f t="shared" si="230"/>
        <v>8874</v>
      </c>
      <c r="P216" s="641">
        <f t="shared" si="230"/>
        <v>5780910.4128709063</v>
      </c>
      <c r="Q216" s="764">
        <f t="shared" si="230"/>
        <v>1741.3246199142088</v>
      </c>
      <c r="R216" s="765"/>
      <c r="S216" s="765"/>
      <c r="T216" s="765"/>
      <c r="U216" s="765"/>
      <c r="V216" s="765"/>
      <c r="W216" s="765"/>
      <c r="X216" s="765"/>
      <c r="Y216" s="765">
        <f>SUM(Y217:Y219)</f>
        <v>0</v>
      </c>
      <c r="Z216" s="765">
        <f>SUM(Z217:Z219)</f>
        <v>1479</v>
      </c>
      <c r="AA216" s="765">
        <f>SUM(AA217:AA219)</f>
        <v>0</v>
      </c>
      <c r="AB216" s="765"/>
      <c r="AC216" s="642">
        <f t="shared" ref="AC216:AI216" si="231">SUM(AC217:AC219)</f>
        <v>0</v>
      </c>
      <c r="AD216" s="642">
        <f t="shared" si="231"/>
        <v>8874</v>
      </c>
      <c r="AE216" s="641">
        <f t="shared" si="231"/>
        <v>5780910.4128709063</v>
      </c>
      <c r="AF216" s="767">
        <f t="shared" si="231"/>
        <v>0</v>
      </c>
      <c r="AG216" s="768">
        <f t="shared" si="231"/>
        <v>0</v>
      </c>
      <c r="AH216" s="769">
        <f t="shared" si="231"/>
        <v>0</v>
      </c>
      <c r="AI216" s="638">
        <f t="shared" si="231"/>
        <v>0</v>
      </c>
    </row>
    <row r="217" spans="1:35" ht="14.25">
      <c r="A217" s="724" t="s">
        <v>6923</v>
      </c>
      <c r="B217" s="634">
        <v>1210.1070171391527</v>
      </c>
      <c r="C217" s="633">
        <v>548</v>
      </c>
      <c r="D217" s="633"/>
      <c r="E217" s="594"/>
      <c r="F217" s="594"/>
      <c r="G217" s="594"/>
      <c r="H217" s="594"/>
      <c r="I217" s="594"/>
      <c r="J217" s="635"/>
      <c r="K217" s="631">
        <f>SUM(C217:J217)</f>
        <v>548</v>
      </c>
      <c r="L217" s="633"/>
      <c r="M217" s="633"/>
      <c r="N217" s="631">
        <f>SUM(L217:M217)</f>
        <v>0</v>
      </c>
      <c r="O217" s="631">
        <f>(K217*6)+N217</f>
        <v>3288</v>
      </c>
      <c r="P217" s="771">
        <v>4212194.762955253</v>
      </c>
      <c r="Q217" s="634">
        <v>1210.1070171391527</v>
      </c>
      <c r="R217" s="633">
        <v>548</v>
      </c>
      <c r="S217" s="632"/>
      <c r="T217" s="594"/>
      <c r="U217" s="594"/>
      <c r="V217" s="594"/>
      <c r="W217" s="594"/>
      <c r="X217" s="594"/>
      <c r="Y217" s="632"/>
      <c r="Z217" s="773">
        <f>SUM(R217:Y217)</f>
        <v>548</v>
      </c>
      <c r="AA217" s="633"/>
      <c r="AB217" s="632"/>
      <c r="AC217" s="631">
        <f>SUM(AA217:AB217)</f>
        <v>0</v>
      </c>
      <c r="AD217" s="631">
        <f>(Z217*6)+AC217</f>
        <v>3288</v>
      </c>
      <c r="AE217" s="771">
        <v>4212194.762955253</v>
      </c>
      <c r="AF217" s="741">
        <f t="shared" ref="AF217:AG219" si="232">AD217-O217</f>
        <v>0</v>
      </c>
      <c r="AG217" s="630">
        <f t="shared" si="232"/>
        <v>0</v>
      </c>
      <c r="AH217" s="774"/>
      <c r="AI217" s="629"/>
    </row>
    <row r="218" spans="1:35" ht="14.25">
      <c r="A218" s="724" t="s">
        <v>6925</v>
      </c>
      <c r="B218" s="634">
        <v>496.47129416587001</v>
      </c>
      <c r="C218" s="633">
        <v>493</v>
      </c>
      <c r="D218" s="633"/>
      <c r="E218" s="594"/>
      <c r="F218" s="594"/>
      <c r="G218" s="594"/>
      <c r="H218" s="594"/>
      <c r="I218" s="594"/>
      <c r="J218" s="635"/>
      <c r="K218" s="631">
        <f>SUM(C218:J218)</f>
        <v>493</v>
      </c>
      <c r="L218" s="633"/>
      <c r="M218" s="633"/>
      <c r="N218" s="631">
        <f>SUM(L218:M218)</f>
        <v>0</v>
      </c>
      <c r="O218" s="631">
        <f>(K218*6)+N218</f>
        <v>2958</v>
      </c>
      <c r="P218" s="771">
        <v>1477402.3508907114</v>
      </c>
      <c r="Q218" s="634">
        <v>496.47129416587001</v>
      </c>
      <c r="R218" s="633">
        <v>493</v>
      </c>
      <c r="S218" s="632"/>
      <c r="T218" s="594"/>
      <c r="U218" s="594"/>
      <c r="V218" s="594"/>
      <c r="W218" s="594"/>
      <c r="X218" s="594"/>
      <c r="Y218" s="632"/>
      <c r="Z218" s="773">
        <f>SUM(R218:Y218)</f>
        <v>493</v>
      </c>
      <c r="AA218" s="633"/>
      <c r="AB218" s="632"/>
      <c r="AC218" s="631">
        <f>SUM(AA218:AB218)</f>
        <v>0</v>
      </c>
      <c r="AD218" s="631">
        <f>(Z218*6)+AC218</f>
        <v>2958</v>
      </c>
      <c r="AE218" s="771">
        <v>1477402.3508907114</v>
      </c>
      <c r="AF218" s="741">
        <f t="shared" si="232"/>
        <v>0</v>
      </c>
      <c r="AG218" s="630">
        <f t="shared" si="232"/>
        <v>0</v>
      </c>
      <c r="AH218" s="774"/>
      <c r="AI218" s="629"/>
    </row>
    <row r="219" spans="1:35" ht="14.25">
      <c r="A219" s="724" t="s">
        <v>6927</v>
      </c>
      <c r="B219" s="634">
        <v>34.746308609186059</v>
      </c>
      <c r="C219" s="633">
        <v>438</v>
      </c>
      <c r="D219" s="633"/>
      <c r="E219" s="594"/>
      <c r="F219" s="594"/>
      <c r="G219" s="594"/>
      <c r="H219" s="594"/>
      <c r="I219" s="594"/>
      <c r="J219" s="635"/>
      <c r="K219" s="631">
        <f>SUM(C219:J219)</f>
        <v>438</v>
      </c>
      <c r="L219" s="633"/>
      <c r="M219" s="633"/>
      <c r="N219" s="631">
        <f>SUM(L219:M219)</f>
        <v>0</v>
      </c>
      <c r="O219" s="631">
        <f>(K219*6)+N219</f>
        <v>2628</v>
      </c>
      <c r="P219" s="771">
        <f>O219*B219</f>
        <v>91313.299024940963</v>
      </c>
      <c r="Q219" s="634">
        <v>34.746308609186059</v>
      </c>
      <c r="R219" s="633">
        <v>438</v>
      </c>
      <c r="S219" s="632"/>
      <c r="T219" s="594"/>
      <c r="U219" s="594"/>
      <c r="V219" s="594"/>
      <c r="W219" s="594"/>
      <c r="X219" s="594"/>
      <c r="Y219" s="632"/>
      <c r="Z219" s="773">
        <f>SUM(R219:Y219)</f>
        <v>438</v>
      </c>
      <c r="AA219" s="633"/>
      <c r="AB219" s="632"/>
      <c r="AC219" s="631">
        <f>SUM(AA219:AB219)</f>
        <v>0</v>
      </c>
      <c r="AD219" s="631">
        <f>(Z219*6)+AC219</f>
        <v>2628</v>
      </c>
      <c r="AE219" s="771">
        <v>91313.299024940949</v>
      </c>
      <c r="AF219" s="741">
        <f t="shared" si="232"/>
        <v>0</v>
      </c>
      <c r="AG219" s="630">
        <f t="shared" si="232"/>
        <v>0</v>
      </c>
      <c r="AH219" s="774"/>
      <c r="AI219" s="629"/>
    </row>
    <row r="220" spans="1:35" ht="40.5">
      <c r="A220" s="725" t="s">
        <v>7071</v>
      </c>
      <c r="B220" s="764">
        <f>+B221</f>
        <v>4983</v>
      </c>
      <c r="C220" s="765"/>
      <c r="D220" s="765"/>
      <c r="E220" s="765"/>
      <c r="F220" s="765"/>
      <c r="G220" s="765"/>
      <c r="H220" s="765"/>
      <c r="I220" s="765"/>
      <c r="J220" s="766"/>
      <c r="K220" s="642">
        <f t="shared" ref="K220:Q220" si="233">+K221</f>
        <v>650</v>
      </c>
      <c r="L220" s="765">
        <f t="shared" si="233"/>
        <v>0</v>
      </c>
      <c r="M220" s="765">
        <f t="shared" si="233"/>
        <v>0</v>
      </c>
      <c r="N220" s="642">
        <f t="shared" si="233"/>
        <v>0</v>
      </c>
      <c r="O220" s="642">
        <f t="shared" si="233"/>
        <v>3900</v>
      </c>
      <c r="P220" s="641">
        <f t="shared" si="233"/>
        <v>38354400</v>
      </c>
      <c r="Q220" s="764">
        <f t="shared" si="233"/>
        <v>4983</v>
      </c>
      <c r="R220" s="765"/>
      <c r="S220" s="765"/>
      <c r="T220" s="765"/>
      <c r="U220" s="765"/>
      <c r="V220" s="765"/>
      <c r="W220" s="765"/>
      <c r="X220" s="765"/>
      <c r="Y220" s="765">
        <f>+Y221</f>
        <v>0</v>
      </c>
      <c r="Z220" s="765">
        <f>+Z221</f>
        <v>650</v>
      </c>
      <c r="AA220" s="765">
        <f>+AA221</f>
        <v>0</v>
      </c>
      <c r="AB220" s="765"/>
      <c r="AC220" s="642">
        <f t="shared" ref="AC220:AI220" si="234">+AC221</f>
        <v>0</v>
      </c>
      <c r="AD220" s="642">
        <f t="shared" si="234"/>
        <v>7800</v>
      </c>
      <c r="AE220" s="641">
        <f t="shared" si="234"/>
        <v>38354400</v>
      </c>
      <c r="AF220" s="642">
        <f t="shared" si="234"/>
        <v>0</v>
      </c>
      <c r="AG220" s="768">
        <f t="shared" si="234"/>
        <v>0</v>
      </c>
      <c r="AH220" s="769">
        <f t="shared" si="234"/>
        <v>5300</v>
      </c>
      <c r="AI220" s="638">
        <f t="shared" si="234"/>
        <v>40800000</v>
      </c>
    </row>
    <row r="221" spans="1:35" ht="15" thickBot="1">
      <c r="A221" s="731" t="s">
        <v>7070</v>
      </c>
      <c r="B221" s="627">
        <v>4983</v>
      </c>
      <c r="C221" s="626">
        <v>650</v>
      </c>
      <c r="D221" s="626"/>
      <c r="E221" s="792"/>
      <c r="F221" s="792"/>
      <c r="G221" s="792"/>
      <c r="H221" s="792"/>
      <c r="I221" s="792"/>
      <c r="J221" s="628"/>
      <c r="K221" s="624">
        <f>SUM(C221:J221)</f>
        <v>650</v>
      </c>
      <c r="L221" s="626"/>
      <c r="M221" s="626"/>
      <c r="N221" s="624">
        <f>SUM(L221:M221)</f>
        <v>0</v>
      </c>
      <c r="O221" s="624">
        <f>(K221*6)+N221</f>
        <v>3900</v>
      </c>
      <c r="P221" s="793">
        <v>38354400</v>
      </c>
      <c r="Q221" s="627">
        <v>4983</v>
      </c>
      <c r="R221" s="626">
        <v>650</v>
      </c>
      <c r="S221" s="625"/>
      <c r="T221" s="792"/>
      <c r="U221" s="792"/>
      <c r="V221" s="792"/>
      <c r="W221" s="792"/>
      <c r="X221" s="792"/>
      <c r="Y221" s="625"/>
      <c r="Z221" s="794">
        <f>SUM(R221:Y221)</f>
        <v>650</v>
      </c>
      <c r="AA221" s="626"/>
      <c r="AB221" s="625"/>
      <c r="AC221" s="624">
        <f>SUM(AA221:AB221)</f>
        <v>0</v>
      </c>
      <c r="AD221" s="624">
        <f>(Z221*12)+AC221</f>
        <v>7800</v>
      </c>
      <c r="AE221" s="793">
        <v>38354400</v>
      </c>
      <c r="AF221" s="623"/>
      <c r="AG221" s="795">
        <f>AE221-P221</f>
        <v>0</v>
      </c>
      <c r="AH221" s="796">
        <v>5300</v>
      </c>
      <c r="AI221" s="622">
        <v>40800000</v>
      </c>
    </row>
    <row r="222" spans="1:35" ht="14.25" thickBot="1">
      <c r="A222" s="797" t="s">
        <v>0</v>
      </c>
      <c r="B222" s="798">
        <f t="shared" ref="B222:I222" si="235">+B8+B39+B41+B73+B146+B151</f>
        <v>63491</v>
      </c>
      <c r="C222" s="798">
        <f t="shared" si="235"/>
        <v>0</v>
      </c>
      <c r="D222" s="798">
        <f t="shared" si="235"/>
        <v>0</v>
      </c>
      <c r="E222" s="798">
        <f t="shared" si="235"/>
        <v>0</v>
      </c>
      <c r="F222" s="798">
        <f t="shared" si="235"/>
        <v>0</v>
      </c>
      <c r="G222" s="798">
        <f t="shared" si="235"/>
        <v>0</v>
      </c>
      <c r="H222" s="798">
        <f t="shared" si="235"/>
        <v>0</v>
      </c>
      <c r="I222" s="798">
        <f t="shared" si="235"/>
        <v>0</v>
      </c>
      <c r="J222" s="799"/>
      <c r="K222" s="800">
        <f t="shared" ref="K222:Q222" si="236">+K8+K39+K41+K73+K146+K151</f>
        <v>530467.2577032618</v>
      </c>
      <c r="L222" s="798">
        <f t="shared" si="236"/>
        <v>132000</v>
      </c>
      <c r="M222" s="798">
        <f t="shared" si="236"/>
        <v>0</v>
      </c>
      <c r="N222" s="800">
        <f t="shared" si="236"/>
        <v>132000</v>
      </c>
      <c r="O222" s="800">
        <f t="shared" si="236"/>
        <v>6497607.0924391421</v>
      </c>
      <c r="P222" s="800">
        <f t="shared" si="236"/>
        <v>1577311348.0967345</v>
      </c>
      <c r="Q222" s="798">
        <f t="shared" si="236"/>
        <v>62880</v>
      </c>
      <c r="R222" s="798"/>
      <c r="S222" s="798"/>
      <c r="T222" s="798"/>
      <c r="U222" s="798"/>
      <c r="V222" s="798"/>
      <c r="W222" s="798"/>
      <c r="X222" s="798"/>
      <c r="Y222" s="798">
        <f>+Y8+Y39+Y41+Y73+Y146+Y151</f>
        <v>86301.666025461367</v>
      </c>
      <c r="Z222" s="798">
        <f>+Z8+Z39+Z41+Z73+Z146+Z151</f>
        <v>413811.6092803707</v>
      </c>
      <c r="AA222" s="798">
        <f>+AA8+AA39+AA41+AA73+AA146+AA151</f>
        <v>138000</v>
      </c>
      <c r="AB222" s="798"/>
      <c r="AC222" s="800">
        <f>+AC8+AC39+AC41+AC73+AC146+AC151</f>
        <v>138000</v>
      </c>
      <c r="AD222" s="800">
        <f>+AD8+AD39+AD41+AD73+AD146+AD151</f>
        <v>5103739.3113644477</v>
      </c>
      <c r="AE222" s="800">
        <f>+AE8+AE39+AE41+AE73+AE146+AE151</f>
        <v>1564093560.0711026</v>
      </c>
      <c r="AF222" s="798"/>
      <c r="AG222" s="801"/>
      <c r="AH222" s="802">
        <f>+AH8+AH39+AH41+AH73+AH146+AH151</f>
        <v>63609</v>
      </c>
      <c r="AI222" s="803">
        <f>+AI8+AI39+AI41+AI73+AI146+AI151</f>
        <v>1585336424.4312124</v>
      </c>
    </row>
    <row r="223" spans="1:35">
      <c r="A223" s="265" t="s">
        <v>64</v>
      </c>
    </row>
    <row r="224" spans="1:35">
      <c r="A224" s="265" t="s">
        <v>65</v>
      </c>
      <c r="B224" s="265" t="s">
        <v>152</v>
      </c>
    </row>
    <row r="225" spans="1:2">
      <c r="A225" s="265" t="s">
        <v>66</v>
      </c>
      <c r="B225" s="265" t="s">
        <v>67</v>
      </c>
    </row>
    <row r="226" spans="1:2">
      <c r="A226" s="265" t="s">
        <v>68</v>
      </c>
      <c r="B226" s="265" t="s">
        <v>69</v>
      </c>
    </row>
    <row r="227" spans="1:2">
      <c r="A227" s="265" t="s">
        <v>70</v>
      </c>
      <c r="B227" s="265" t="s">
        <v>71</v>
      </c>
    </row>
    <row r="228" spans="1:2">
      <c r="B228" s="265" t="s">
        <v>72</v>
      </c>
    </row>
    <row r="229" spans="1:2">
      <c r="A229" s="265" t="s">
        <v>73</v>
      </c>
      <c r="B229" s="265" t="s">
        <v>143</v>
      </c>
    </row>
    <row r="230" spans="1:2">
      <c r="B230" s="265" t="s">
        <v>74</v>
      </c>
    </row>
    <row r="231" spans="1:2">
      <c r="B231" s="265" t="s">
        <v>75</v>
      </c>
    </row>
    <row r="232" spans="1:2">
      <c r="B232" s="265" t="s">
        <v>76</v>
      </c>
    </row>
    <row r="233" spans="1:2">
      <c r="A233" s="265" t="s">
        <v>177</v>
      </c>
      <c r="B233" s="265" t="s">
        <v>178</v>
      </c>
    </row>
    <row r="234" spans="1:2">
      <c r="A234" s="265" t="s">
        <v>179</v>
      </c>
      <c r="B234" s="265" t="s">
        <v>148</v>
      </c>
    </row>
    <row r="235" spans="1:2">
      <c r="A235" s="265" t="s">
        <v>180</v>
      </c>
      <c r="B235" s="265" t="s">
        <v>144</v>
      </c>
    </row>
    <row r="236" spans="1:2">
      <c r="B236" s="265" t="s">
        <v>74</v>
      </c>
    </row>
    <row r="237" spans="1:2">
      <c r="B237" s="265" t="s">
        <v>75</v>
      </c>
    </row>
    <row r="238" spans="1:2">
      <c r="B238" s="265" t="s">
        <v>112</v>
      </c>
    </row>
    <row r="239" spans="1:2">
      <c r="A239" s="265" t="s">
        <v>189</v>
      </c>
      <c r="B239" s="265" t="s">
        <v>190</v>
      </c>
    </row>
    <row r="240" spans="1:2">
      <c r="A240" s="265" t="s">
        <v>187</v>
      </c>
      <c r="B240" s="265" t="s">
        <v>183</v>
      </c>
    </row>
    <row r="241" spans="1:2">
      <c r="A241" s="265" t="s">
        <v>188</v>
      </c>
      <c r="B241" s="265" t="s">
        <v>191</v>
      </c>
    </row>
  </sheetData>
  <mergeCells count="7">
    <mergeCell ref="AH148:AH150"/>
    <mergeCell ref="AI148:AI150"/>
    <mergeCell ref="A5:A7"/>
    <mergeCell ref="B5:P5"/>
    <mergeCell ref="Q5:AE5"/>
    <mergeCell ref="AF5:AG5"/>
    <mergeCell ref="AH5:AI5"/>
  </mergeCells>
  <printOptions horizontalCentered="1"/>
  <pageMargins left="0.19685039370078741" right="0.19685039370078741" top="0.78740157480314965" bottom="0.78740157480314965" header="0.19685039370078741" footer="0.19685039370078741"/>
  <pageSetup paperSize="9" scale="58" fitToHeight="15"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2060"/>
  </sheetPr>
  <dimension ref="A1:AJ319"/>
  <sheetViews>
    <sheetView view="pageBreakPreview" zoomScaleNormal="100" zoomScaleSheetLayoutView="100" workbookViewId="0">
      <selection activeCell="B8" sqref="B8"/>
    </sheetView>
  </sheetViews>
  <sheetFormatPr baseColWidth="10" defaultColWidth="11.42578125" defaultRowHeight="12"/>
  <cols>
    <col min="1" max="1" width="15.7109375" style="265" customWidth="1"/>
    <col min="2" max="2" width="6.5703125" style="265" customWidth="1"/>
    <col min="3" max="3" width="7.85546875" style="265" bestFit="1" customWidth="1"/>
    <col min="4" max="10" width="5.7109375" style="265" bestFit="1" customWidth="1"/>
    <col min="11" max="11" width="7.85546875" style="265" bestFit="1" customWidth="1"/>
    <col min="12" max="12" width="6.5703125" style="265" bestFit="1" customWidth="1"/>
    <col min="13" max="13" width="5.7109375" style="265" bestFit="1" customWidth="1"/>
    <col min="14" max="14" width="6.5703125" style="265" bestFit="1" customWidth="1"/>
    <col min="15" max="15" width="8.7109375" style="265" customWidth="1"/>
    <col min="16" max="16" width="10.85546875" style="265" bestFit="1" customWidth="1"/>
    <col min="17" max="17" width="5.7109375" style="265" bestFit="1" customWidth="1"/>
    <col min="18" max="18" width="7.85546875" style="265" bestFit="1" customWidth="1"/>
    <col min="19" max="25" width="5.7109375" style="265" bestFit="1" customWidth="1"/>
    <col min="26" max="26" width="7.85546875" style="265" bestFit="1" customWidth="1"/>
    <col min="27" max="27" width="6.5703125" style="265" bestFit="1" customWidth="1"/>
    <col min="28" max="28" width="5.7109375" style="265" bestFit="1" customWidth="1"/>
    <col min="29" max="29" width="6.5703125" style="265" bestFit="1" customWidth="1"/>
    <col min="30" max="30" width="8.7109375" style="265" customWidth="1"/>
    <col min="31" max="31" width="10.85546875" style="265" bestFit="1" customWidth="1"/>
    <col min="32" max="32" width="7.140625" style="265" bestFit="1" customWidth="1"/>
    <col min="33" max="33" width="9.28515625" style="265" bestFit="1" customWidth="1"/>
    <col min="34" max="34" width="5.7109375" style="265" bestFit="1" customWidth="1"/>
    <col min="35" max="35" width="10.85546875" style="265" bestFit="1" customWidth="1"/>
    <col min="36" max="16384" width="11.42578125" style="265"/>
  </cols>
  <sheetData>
    <row r="1" spans="1:35" s="743" customFormat="1">
      <c r="A1" s="742" t="s">
        <v>465</v>
      </c>
    </row>
    <row r="2" spans="1:35" s="743" customFormat="1">
      <c r="A2" s="69" t="s">
        <v>1655</v>
      </c>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row>
    <row r="3" spans="1:35" s="742" customFormat="1">
      <c r="A3" s="69" t="s">
        <v>1654</v>
      </c>
      <c r="T3" s="745"/>
    </row>
    <row r="4" spans="1:35" s="742" customFormat="1" ht="12.75" thickBot="1">
      <c r="A4" s="69" t="s">
        <v>3624</v>
      </c>
      <c r="P4" s="804"/>
      <c r="T4" s="745"/>
    </row>
    <row r="5" spans="1:35" ht="12.75" thickBot="1">
      <c r="A5" s="1992" t="s">
        <v>41</v>
      </c>
      <c r="B5" s="2021" t="s">
        <v>314</v>
      </c>
      <c r="C5" s="2021"/>
      <c r="D5" s="2021"/>
      <c r="E5" s="2021"/>
      <c r="F5" s="2021"/>
      <c r="G5" s="2021"/>
      <c r="H5" s="2021"/>
      <c r="I5" s="2021"/>
      <c r="J5" s="2021"/>
      <c r="K5" s="2021"/>
      <c r="L5" s="2021"/>
      <c r="M5" s="2021"/>
      <c r="N5" s="2021"/>
      <c r="O5" s="2021"/>
      <c r="P5" s="2021"/>
      <c r="Q5" s="2022" t="s">
        <v>462</v>
      </c>
      <c r="R5" s="2021"/>
      <c r="S5" s="2021"/>
      <c r="T5" s="2021"/>
      <c r="U5" s="2021"/>
      <c r="V5" s="2021"/>
      <c r="W5" s="2021"/>
      <c r="X5" s="2021"/>
      <c r="Y5" s="2021"/>
      <c r="Z5" s="2021"/>
      <c r="AA5" s="2021"/>
      <c r="AB5" s="2021"/>
      <c r="AC5" s="2021"/>
      <c r="AD5" s="2021"/>
      <c r="AE5" s="2023"/>
      <c r="AF5" s="2024" t="s">
        <v>463</v>
      </c>
      <c r="AG5" s="2025"/>
      <c r="AH5" s="2024" t="s">
        <v>464</v>
      </c>
      <c r="AI5" s="2025"/>
    </row>
    <row r="6" spans="1:35" ht="171">
      <c r="A6" s="2019"/>
      <c r="B6" s="130" t="s">
        <v>11</v>
      </c>
      <c r="C6" s="131" t="s">
        <v>137</v>
      </c>
      <c r="D6" s="132" t="s">
        <v>240</v>
      </c>
      <c r="E6" s="132" t="s">
        <v>139</v>
      </c>
      <c r="F6" s="132" t="s">
        <v>173</v>
      </c>
      <c r="G6" s="132" t="s">
        <v>174</v>
      </c>
      <c r="H6" s="132" t="s">
        <v>175</v>
      </c>
      <c r="I6" s="132" t="s">
        <v>176</v>
      </c>
      <c r="J6" s="132" t="s">
        <v>140</v>
      </c>
      <c r="K6" s="132" t="s">
        <v>141</v>
      </c>
      <c r="L6" s="132" t="s">
        <v>142</v>
      </c>
      <c r="M6" s="132" t="s">
        <v>172</v>
      </c>
      <c r="N6" s="133" t="s">
        <v>114</v>
      </c>
      <c r="O6" s="134" t="s">
        <v>147</v>
      </c>
      <c r="P6" s="135" t="s">
        <v>146</v>
      </c>
      <c r="Q6" s="130" t="s">
        <v>11</v>
      </c>
      <c r="R6" s="131" t="s">
        <v>137</v>
      </c>
      <c r="S6" s="132" t="s">
        <v>138</v>
      </c>
      <c r="T6" s="132" t="s">
        <v>139</v>
      </c>
      <c r="U6" s="132" t="s">
        <v>173</v>
      </c>
      <c r="V6" s="132" t="s">
        <v>174</v>
      </c>
      <c r="W6" s="132" t="s">
        <v>175</v>
      </c>
      <c r="X6" s="132" t="s">
        <v>176</v>
      </c>
      <c r="Y6" s="132" t="s">
        <v>140</v>
      </c>
      <c r="Z6" s="132" t="s">
        <v>141</v>
      </c>
      <c r="AA6" s="132" t="s">
        <v>142</v>
      </c>
      <c r="AB6" s="132" t="s">
        <v>172</v>
      </c>
      <c r="AC6" s="133" t="s">
        <v>114</v>
      </c>
      <c r="AD6" s="134" t="s">
        <v>147</v>
      </c>
      <c r="AE6" s="135" t="s">
        <v>315</v>
      </c>
      <c r="AF6" s="136" t="s">
        <v>151</v>
      </c>
      <c r="AG6" s="136" t="s">
        <v>150</v>
      </c>
      <c r="AH6" s="136" t="s">
        <v>11</v>
      </c>
      <c r="AI6" s="135" t="s">
        <v>316</v>
      </c>
    </row>
    <row r="7" spans="1:35" ht="15.75" customHeight="1" thickBot="1">
      <c r="A7" s="2020"/>
      <c r="B7" s="389" t="s">
        <v>42</v>
      </c>
      <c r="C7" s="805" t="s">
        <v>43</v>
      </c>
      <c r="D7" s="806" t="s">
        <v>44</v>
      </c>
      <c r="E7" s="806" t="s">
        <v>45</v>
      </c>
      <c r="F7" s="807" t="s">
        <v>46</v>
      </c>
      <c r="G7" s="807" t="s">
        <v>47</v>
      </c>
      <c r="H7" s="807" t="s">
        <v>77</v>
      </c>
      <c r="I7" s="807" t="s">
        <v>113</v>
      </c>
      <c r="J7" s="807" t="s">
        <v>145</v>
      </c>
      <c r="K7" s="807" t="s">
        <v>149</v>
      </c>
      <c r="L7" s="807" t="s">
        <v>181</v>
      </c>
      <c r="M7" s="807" t="s">
        <v>182</v>
      </c>
      <c r="N7" s="808" t="s">
        <v>184</v>
      </c>
      <c r="O7" s="809" t="s">
        <v>185</v>
      </c>
      <c r="P7" s="810" t="s">
        <v>186</v>
      </c>
      <c r="Q7" s="389" t="s">
        <v>42</v>
      </c>
      <c r="R7" s="805" t="s">
        <v>43</v>
      </c>
      <c r="S7" s="806" t="s">
        <v>44</v>
      </c>
      <c r="T7" s="806" t="s">
        <v>45</v>
      </c>
      <c r="U7" s="807" t="s">
        <v>46</v>
      </c>
      <c r="V7" s="807" t="s">
        <v>47</v>
      </c>
      <c r="W7" s="807" t="s">
        <v>77</v>
      </c>
      <c r="X7" s="807" t="s">
        <v>113</v>
      </c>
      <c r="Y7" s="807" t="s">
        <v>145</v>
      </c>
      <c r="Z7" s="807" t="s">
        <v>149</v>
      </c>
      <c r="AA7" s="807" t="s">
        <v>181</v>
      </c>
      <c r="AB7" s="807" t="s">
        <v>182</v>
      </c>
      <c r="AC7" s="808" t="s">
        <v>184</v>
      </c>
      <c r="AD7" s="809" t="s">
        <v>185</v>
      </c>
      <c r="AE7" s="810" t="s">
        <v>186</v>
      </c>
      <c r="AF7" s="754"/>
      <c r="AG7" s="389"/>
      <c r="AH7" s="754"/>
      <c r="AI7" s="389"/>
    </row>
    <row r="8" spans="1:35" hidden="1">
      <c r="A8" s="811"/>
      <c r="B8" s="777"/>
      <c r="C8" s="458"/>
      <c r="D8" s="458"/>
      <c r="E8" s="458"/>
      <c r="F8" s="458"/>
      <c r="G8" s="458"/>
      <c r="H8" s="458"/>
      <c r="I8" s="458"/>
      <c r="J8" s="458"/>
      <c r="K8" s="458"/>
      <c r="L8" s="458"/>
      <c r="M8" s="458"/>
      <c r="N8" s="412"/>
      <c r="O8" s="812"/>
      <c r="P8" s="776"/>
      <c r="Q8" s="777"/>
      <c r="R8" s="458"/>
      <c r="S8" s="458"/>
      <c r="T8" s="458"/>
      <c r="U8" s="458"/>
      <c r="V8" s="458"/>
      <c r="W8" s="458"/>
      <c r="X8" s="458"/>
      <c r="Y8" s="458"/>
      <c r="Z8" s="458"/>
      <c r="AA8" s="458"/>
      <c r="AB8" s="458"/>
      <c r="AC8" s="412"/>
      <c r="AD8" s="812"/>
      <c r="AE8" s="776"/>
      <c r="AF8" s="776"/>
      <c r="AG8" s="777"/>
      <c r="AH8" s="776"/>
      <c r="AI8" s="777"/>
    </row>
    <row r="9" spans="1:35" ht="22.5">
      <c r="A9" s="699" t="s">
        <v>48</v>
      </c>
      <c r="B9" s="813">
        <f t="shared" ref="B9:AI9" si="0">B10+B19+B26+B33+B40</f>
        <v>2889</v>
      </c>
      <c r="C9" s="813">
        <f t="shared" si="0"/>
        <v>33819.411999999997</v>
      </c>
      <c r="D9" s="813">
        <f t="shared" si="0"/>
        <v>19200</v>
      </c>
      <c r="E9" s="813">
        <f t="shared" si="0"/>
        <v>0</v>
      </c>
      <c r="F9" s="813">
        <f t="shared" si="0"/>
        <v>0</v>
      </c>
      <c r="G9" s="813">
        <f t="shared" si="0"/>
        <v>0</v>
      </c>
      <c r="H9" s="813">
        <f t="shared" si="0"/>
        <v>952.89999999999986</v>
      </c>
      <c r="I9" s="813">
        <f t="shared" si="0"/>
        <v>0</v>
      </c>
      <c r="J9" s="813">
        <f t="shared" si="0"/>
        <v>0</v>
      </c>
      <c r="K9" s="813">
        <f t="shared" si="0"/>
        <v>58672.312000000013</v>
      </c>
      <c r="L9" s="813">
        <f t="shared" si="0"/>
        <v>23000</v>
      </c>
      <c r="M9" s="813">
        <f t="shared" si="0"/>
        <v>0</v>
      </c>
      <c r="N9" s="813">
        <f t="shared" si="0"/>
        <v>23000</v>
      </c>
      <c r="O9" s="813">
        <f t="shared" si="0"/>
        <v>727067.74399999995</v>
      </c>
      <c r="P9" s="813">
        <f t="shared" si="0"/>
        <v>82146455.336400002</v>
      </c>
      <c r="Q9" s="813">
        <f t="shared" si="0"/>
        <v>2889</v>
      </c>
      <c r="R9" s="813">
        <f t="shared" si="0"/>
        <v>34600.429090425088</v>
      </c>
      <c r="S9" s="813">
        <f t="shared" si="0"/>
        <v>21200</v>
      </c>
      <c r="T9" s="813">
        <f t="shared" si="0"/>
        <v>0</v>
      </c>
      <c r="U9" s="813">
        <f t="shared" si="0"/>
        <v>0</v>
      </c>
      <c r="V9" s="813">
        <f t="shared" si="0"/>
        <v>0</v>
      </c>
      <c r="W9" s="813">
        <f t="shared" si="0"/>
        <v>0</v>
      </c>
      <c r="X9" s="813">
        <f t="shared" si="0"/>
        <v>0</v>
      </c>
      <c r="Y9" s="813">
        <f t="shared" si="0"/>
        <v>0</v>
      </c>
      <c r="Z9" s="813">
        <f t="shared" si="0"/>
        <v>58888.76199042509</v>
      </c>
      <c r="AA9" s="813">
        <f t="shared" si="0"/>
        <v>23000</v>
      </c>
      <c r="AB9" s="813">
        <f t="shared" si="0"/>
        <v>0</v>
      </c>
      <c r="AC9" s="813">
        <f t="shared" si="0"/>
        <v>23000</v>
      </c>
      <c r="AD9" s="813">
        <f t="shared" si="0"/>
        <v>729665.14388510108</v>
      </c>
      <c r="AE9" s="813">
        <f t="shared" si="0"/>
        <v>86047631.999999955</v>
      </c>
      <c r="AF9" s="814">
        <f t="shared" si="0"/>
        <v>-2597.3998851010037</v>
      </c>
      <c r="AG9" s="814">
        <f t="shared" si="0"/>
        <v>-3901176.6635999493</v>
      </c>
      <c r="AH9" s="813">
        <f t="shared" si="0"/>
        <v>2889</v>
      </c>
      <c r="AI9" s="813">
        <f t="shared" si="0"/>
        <v>86047631.999999955</v>
      </c>
    </row>
    <row r="10" spans="1:35" ht="22.5">
      <c r="A10" s="698" t="s">
        <v>7</v>
      </c>
      <c r="B10" s="689">
        <f t="shared" ref="B10:AI10" si="1">SUM(B11:B18)</f>
        <v>11</v>
      </c>
      <c r="C10" s="689">
        <f t="shared" si="1"/>
        <v>9619.3371999999999</v>
      </c>
      <c r="D10" s="689">
        <f t="shared" si="1"/>
        <v>6000</v>
      </c>
      <c r="E10" s="689">
        <f t="shared" si="1"/>
        <v>0</v>
      </c>
      <c r="F10" s="689">
        <f t="shared" si="1"/>
        <v>0</v>
      </c>
      <c r="G10" s="689">
        <f t="shared" si="1"/>
        <v>0</v>
      </c>
      <c r="H10" s="689">
        <f t="shared" si="1"/>
        <v>238.22499999999997</v>
      </c>
      <c r="I10" s="689">
        <f t="shared" si="1"/>
        <v>0</v>
      </c>
      <c r="J10" s="689">
        <f t="shared" si="1"/>
        <v>0</v>
      </c>
      <c r="K10" s="689">
        <f t="shared" si="1"/>
        <v>15857.5622</v>
      </c>
      <c r="L10" s="689">
        <f t="shared" si="1"/>
        <v>5000</v>
      </c>
      <c r="M10" s="689">
        <f t="shared" si="1"/>
        <v>0</v>
      </c>
      <c r="N10" s="689">
        <f t="shared" si="1"/>
        <v>5000</v>
      </c>
      <c r="O10" s="689">
        <f t="shared" si="1"/>
        <v>195290.7464</v>
      </c>
      <c r="P10" s="689">
        <f t="shared" si="1"/>
        <v>396169.03320000006</v>
      </c>
      <c r="Q10" s="689">
        <f t="shared" si="1"/>
        <v>11</v>
      </c>
      <c r="R10" s="689">
        <f t="shared" si="1"/>
        <v>7811.65</v>
      </c>
      <c r="S10" s="689">
        <f t="shared" si="1"/>
        <v>6050</v>
      </c>
      <c r="T10" s="689">
        <f t="shared" si="1"/>
        <v>0</v>
      </c>
      <c r="U10" s="689">
        <f t="shared" si="1"/>
        <v>0</v>
      </c>
      <c r="V10" s="689">
        <f t="shared" si="1"/>
        <v>0</v>
      </c>
      <c r="W10" s="689">
        <f t="shared" si="1"/>
        <v>0</v>
      </c>
      <c r="X10" s="689">
        <f t="shared" si="1"/>
        <v>0</v>
      </c>
      <c r="Y10" s="689">
        <f t="shared" si="1"/>
        <v>0</v>
      </c>
      <c r="Z10" s="689">
        <f t="shared" si="1"/>
        <v>13861.65</v>
      </c>
      <c r="AA10" s="689">
        <f t="shared" si="1"/>
        <v>5000</v>
      </c>
      <c r="AB10" s="689">
        <f t="shared" si="1"/>
        <v>0</v>
      </c>
      <c r="AC10" s="689">
        <f t="shared" si="1"/>
        <v>5000</v>
      </c>
      <c r="AD10" s="689">
        <f t="shared" si="1"/>
        <v>171339.8</v>
      </c>
      <c r="AE10" s="689">
        <f t="shared" si="1"/>
        <v>382174.88</v>
      </c>
      <c r="AF10" s="689">
        <f t="shared" si="1"/>
        <v>23950.946400000012</v>
      </c>
      <c r="AG10" s="689">
        <f t="shared" si="1"/>
        <v>13994.153200000059</v>
      </c>
      <c r="AH10" s="689">
        <f t="shared" si="1"/>
        <v>11</v>
      </c>
      <c r="AI10" s="689">
        <f t="shared" si="1"/>
        <v>382174.88</v>
      </c>
    </row>
    <row r="11" spans="1:35" hidden="1">
      <c r="A11" s="687" t="s">
        <v>3</v>
      </c>
      <c r="B11" s="815"/>
      <c r="C11" s="732"/>
      <c r="D11" s="732"/>
      <c r="E11" s="732"/>
      <c r="F11" s="732"/>
      <c r="G11" s="732"/>
      <c r="H11" s="732"/>
      <c r="I11" s="732"/>
      <c r="J11" s="732"/>
      <c r="K11" s="816">
        <f t="shared" ref="K11:K18" si="2">SUM(C11:J11)</f>
        <v>0</v>
      </c>
      <c r="L11" s="732"/>
      <c r="M11" s="732"/>
      <c r="N11" s="732"/>
      <c r="O11" s="732">
        <f>K11*12+N11</f>
        <v>0</v>
      </c>
      <c r="P11" s="732">
        <f t="shared" ref="P11:P18" si="3">B11*O11</f>
        <v>0</v>
      </c>
      <c r="Q11" s="815"/>
      <c r="R11" s="732"/>
      <c r="S11" s="732"/>
      <c r="T11" s="732"/>
      <c r="U11" s="732"/>
      <c r="V11" s="732"/>
      <c r="W11" s="732"/>
      <c r="X11" s="732"/>
      <c r="Y11" s="732"/>
      <c r="Z11" s="816">
        <f t="shared" ref="Z11:Z18" si="4">SUM(R11:Y11)</f>
        <v>0</v>
      </c>
      <c r="AA11" s="732"/>
      <c r="AB11" s="732"/>
      <c r="AC11" s="732"/>
      <c r="AD11" s="732">
        <f>Z11*12+AC11</f>
        <v>0</v>
      </c>
      <c r="AE11" s="732">
        <f t="shared" ref="AE11:AE18" si="5">Q11*AD11</f>
        <v>0</v>
      </c>
      <c r="AF11" s="732">
        <f t="shared" ref="AF11:AG18" si="6">+O11-AD11</f>
        <v>0</v>
      </c>
      <c r="AG11" s="732">
        <f t="shared" si="6"/>
        <v>0</v>
      </c>
      <c r="AH11" s="815">
        <v>0</v>
      </c>
      <c r="AI11" s="732"/>
    </row>
    <row r="12" spans="1:35" hidden="1">
      <c r="A12" s="687" t="s">
        <v>7062</v>
      </c>
      <c r="B12" s="815"/>
      <c r="C12" s="732"/>
      <c r="D12" s="732"/>
      <c r="E12" s="732"/>
      <c r="F12" s="732"/>
      <c r="G12" s="732"/>
      <c r="H12" s="732"/>
      <c r="I12" s="732"/>
      <c r="J12" s="732"/>
      <c r="K12" s="816">
        <f t="shared" si="2"/>
        <v>0</v>
      </c>
      <c r="L12" s="732"/>
      <c r="M12" s="732"/>
      <c r="N12" s="732"/>
      <c r="O12" s="732">
        <f>K12*12+N12</f>
        <v>0</v>
      </c>
      <c r="P12" s="732">
        <f t="shared" si="3"/>
        <v>0</v>
      </c>
      <c r="Q12" s="815"/>
      <c r="R12" s="732"/>
      <c r="S12" s="732"/>
      <c r="T12" s="732"/>
      <c r="U12" s="732"/>
      <c r="V12" s="732"/>
      <c r="W12" s="732"/>
      <c r="X12" s="732"/>
      <c r="Y12" s="732"/>
      <c r="Z12" s="816">
        <f t="shared" si="4"/>
        <v>0</v>
      </c>
      <c r="AA12" s="732"/>
      <c r="AB12" s="732"/>
      <c r="AC12" s="732"/>
      <c r="AD12" s="732">
        <f>Z12*12+AC12</f>
        <v>0</v>
      </c>
      <c r="AE12" s="732">
        <f t="shared" si="5"/>
        <v>0</v>
      </c>
      <c r="AF12" s="732">
        <f t="shared" si="6"/>
        <v>0</v>
      </c>
      <c r="AG12" s="732">
        <f t="shared" si="6"/>
        <v>0</v>
      </c>
      <c r="AH12" s="815">
        <v>0</v>
      </c>
      <c r="AI12" s="732"/>
    </row>
    <row r="13" spans="1:35" ht="22.5">
      <c r="A13" s="687" t="s">
        <v>7156</v>
      </c>
      <c r="B13" s="732">
        <v>0</v>
      </c>
      <c r="C13" s="732">
        <f>1061+400</f>
        <v>1461</v>
      </c>
      <c r="D13" s="732">
        <v>0</v>
      </c>
      <c r="E13" s="732"/>
      <c r="F13" s="732"/>
      <c r="G13" s="732"/>
      <c r="H13" s="817">
        <f t="shared" ref="H13:H18" si="7">(366.5*1.3)/12</f>
        <v>39.704166666666666</v>
      </c>
      <c r="I13" s="732"/>
      <c r="J13" s="732"/>
      <c r="K13" s="816">
        <f t="shared" si="2"/>
        <v>1500.7041666666667</v>
      </c>
      <c r="L13" s="732"/>
      <c r="M13" s="732"/>
      <c r="N13" s="816">
        <f t="shared" ref="N13:N18" si="8">+L13+M13</f>
        <v>0</v>
      </c>
      <c r="O13" s="732">
        <f>K13*12+N13</f>
        <v>18008.45</v>
      </c>
      <c r="P13" s="732">
        <f t="shared" si="3"/>
        <v>0</v>
      </c>
      <c r="Q13" s="732">
        <v>0</v>
      </c>
      <c r="R13" s="732"/>
      <c r="S13" s="732"/>
      <c r="T13" s="732"/>
      <c r="U13" s="732"/>
      <c r="V13" s="732"/>
      <c r="W13" s="817"/>
      <c r="X13" s="732"/>
      <c r="Y13" s="732"/>
      <c r="Z13" s="816">
        <f t="shared" si="4"/>
        <v>0</v>
      </c>
      <c r="AA13" s="732"/>
      <c r="AB13" s="732"/>
      <c r="AC13" s="816">
        <f t="shared" ref="AC13:AC18" si="9">+AA13+AB13</f>
        <v>0</v>
      </c>
      <c r="AD13" s="732">
        <f>Z13*12+AC13</f>
        <v>0</v>
      </c>
      <c r="AE13" s="732">
        <f t="shared" si="5"/>
        <v>0</v>
      </c>
      <c r="AF13" s="732">
        <f t="shared" si="6"/>
        <v>18008.45</v>
      </c>
      <c r="AG13" s="732">
        <f t="shared" si="6"/>
        <v>0</v>
      </c>
      <c r="AH13" s="732">
        <v>0</v>
      </c>
      <c r="AI13" s="816"/>
    </row>
    <row r="14" spans="1:35">
      <c r="A14" s="687" t="s">
        <v>7060</v>
      </c>
      <c r="B14" s="732">
        <v>8</v>
      </c>
      <c r="C14" s="732">
        <f>1286.1636+400</f>
        <v>1686.1636000000001</v>
      </c>
      <c r="D14" s="732">
        <v>1200</v>
      </c>
      <c r="E14" s="732"/>
      <c r="F14" s="732"/>
      <c r="G14" s="732"/>
      <c r="H14" s="817">
        <f t="shared" si="7"/>
        <v>39.704166666666666</v>
      </c>
      <c r="I14" s="732"/>
      <c r="J14" s="732"/>
      <c r="K14" s="816">
        <f t="shared" si="2"/>
        <v>2925.8677666666667</v>
      </c>
      <c r="L14" s="816">
        <v>1000</v>
      </c>
      <c r="M14" s="816"/>
      <c r="N14" s="816">
        <f t="shared" si="8"/>
        <v>1000</v>
      </c>
      <c r="O14" s="732">
        <f>(K14*12)+N14</f>
        <v>36110.413200000003</v>
      </c>
      <c r="P14" s="732">
        <f t="shared" si="3"/>
        <v>288883.30560000002</v>
      </c>
      <c r="Q14" s="732">
        <v>8</v>
      </c>
      <c r="R14" s="732">
        <v>1588.165</v>
      </c>
      <c r="S14" s="732">
        <v>1210</v>
      </c>
      <c r="T14" s="732"/>
      <c r="U14" s="732"/>
      <c r="V14" s="732"/>
      <c r="W14" s="817"/>
      <c r="X14" s="732"/>
      <c r="Y14" s="732"/>
      <c r="Z14" s="816">
        <f t="shared" si="4"/>
        <v>2798.165</v>
      </c>
      <c r="AA14" s="816">
        <v>1000</v>
      </c>
      <c r="AB14" s="816"/>
      <c r="AC14" s="816">
        <f t="shared" si="9"/>
        <v>1000</v>
      </c>
      <c r="AD14" s="732">
        <f>(Z14*12)+AC14</f>
        <v>34577.979999999996</v>
      </c>
      <c r="AE14" s="732">
        <f t="shared" si="5"/>
        <v>276623.83999999997</v>
      </c>
      <c r="AF14" s="732">
        <f t="shared" si="6"/>
        <v>1532.4332000000068</v>
      </c>
      <c r="AG14" s="732">
        <f t="shared" si="6"/>
        <v>12259.465600000054</v>
      </c>
      <c r="AH14" s="732">
        <v>8</v>
      </c>
      <c r="AI14" s="816">
        <v>276623.83999999997</v>
      </c>
    </row>
    <row r="15" spans="1:35">
      <c r="A15" s="687" t="s">
        <v>7059</v>
      </c>
      <c r="B15" s="732">
        <v>3</v>
      </c>
      <c r="C15" s="732">
        <f>1257.1216+400</f>
        <v>1657.1215999999999</v>
      </c>
      <c r="D15" s="732">
        <v>1200</v>
      </c>
      <c r="E15" s="732"/>
      <c r="F15" s="732"/>
      <c r="G15" s="732"/>
      <c r="H15" s="817">
        <f t="shared" si="7"/>
        <v>39.704166666666666</v>
      </c>
      <c r="I15" s="732"/>
      <c r="J15" s="732"/>
      <c r="K15" s="816">
        <f t="shared" si="2"/>
        <v>2896.8257666666668</v>
      </c>
      <c r="L15" s="816">
        <v>1000</v>
      </c>
      <c r="M15" s="816"/>
      <c r="N15" s="816">
        <f t="shared" si="8"/>
        <v>1000</v>
      </c>
      <c r="O15" s="732">
        <f>(K15*12)+N15</f>
        <v>35761.909200000002</v>
      </c>
      <c r="P15" s="732">
        <f t="shared" si="3"/>
        <v>107285.72760000001</v>
      </c>
      <c r="Q15" s="732">
        <v>3</v>
      </c>
      <c r="R15" s="732">
        <v>1638.6399999999999</v>
      </c>
      <c r="S15" s="732">
        <v>1210</v>
      </c>
      <c r="T15" s="732"/>
      <c r="U15" s="732"/>
      <c r="V15" s="732"/>
      <c r="W15" s="817"/>
      <c r="X15" s="732"/>
      <c r="Y15" s="732"/>
      <c r="Z15" s="816">
        <f t="shared" si="4"/>
        <v>2848.64</v>
      </c>
      <c r="AA15" s="816">
        <v>1000</v>
      </c>
      <c r="AB15" s="816"/>
      <c r="AC15" s="816">
        <f t="shared" si="9"/>
        <v>1000</v>
      </c>
      <c r="AD15" s="732">
        <f>(Z15*12)+AC15</f>
        <v>35183.68</v>
      </c>
      <c r="AE15" s="732">
        <f t="shared" si="5"/>
        <v>105551.04000000001</v>
      </c>
      <c r="AF15" s="732">
        <f t="shared" si="6"/>
        <v>578.22920000000158</v>
      </c>
      <c r="AG15" s="732">
        <f t="shared" si="6"/>
        <v>1734.6876000000047</v>
      </c>
      <c r="AH15" s="732">
        <v>3</v>
      </c>
      <c r="AI15" s="816">
        <v>105551.04000000001</v>
      </c>
    </row>
    <row r="16" spans="1:35">
      <c r="A16" s="687" t="s">
        <v>7058</v>
      </c>
      <c r="B16" s="732">
        <v>0</v>
      </c>
      <c r="C16" s="732">
        <f>1236.1532+400</f>
        <v>1636.1532</v>
      </c>
      <c r="D16" s="732">
        <v>1200</v>
      </c>
      <c r="E16" s="732"/>
      <c r="F16" s="732"/>
      <c r="G16" s="732"/>
      <c r="H16" s="817">
        <f t="shared" si="7"/>
        <v>39.704166666666666</v>
      </c>
      <c r="I16" s="732"/>
      <c r="J16" s="732"/>
      <c r="K16" s="816">
        <f t="shared" si="2"/>
        <v>2875.8573666666666</v>
      </c>
      <c r="L16" s="816">
        <v>1000</v>
      </c>
      <c r="M16" s="816"/>
      <c r="N16" s="816">
        <f t="shared" si="8"/>
        <v>1000</v>
      </c>
      <c r="O16" s="732">
        <f>(K16*12)+N16</f>
        <v>35510.288399999998</v>
      </c>
      <c r="P16" s="732">
        <f t="shared" si="3"/>
        <v>0</v>
      </c>
      <c r="Q16" s="732">
        <v>0</v>
      </c>
      <c r="R16" s="732">
        <v>1549.2649999999999</v>
      </c>
      <c r="S16" s="732">
        <v>1210</v>
      </c>
      <c r="T16" s="732"/>
      <c r="U16" s="732"/>
      <c r="V16" s="732"/>
      <c r="W16" s="817"/>
      <c r="X16" s="732"/>
      <c r="Y16" s="732"/>
      <c r="Z16" s="816">
        <f t="shared" si="4"/>
        <v>2759.2649999999999</v>
      </c>
      <c r="AA16" s="816">
        <v>1000</v>
      </c>
      <c r="AB16" s="816"/>
      <c r="AC16" s="816">
        <f t="shared" si="9"/>
        <v>1000</v>
      </c>
      <c r="AD16" s="732">
        <f>(Z16*12)+AC16</f>
        <v>34111.18</v>
      </c>
      <c r="AE16" s="732">
        <f t="shared" si="5"/>
        <v>0</v>
      </c>
      <c r="AF16" s="732">
        <f t="shared" si="6"/>
        <v>1399.1083999999973</v>
      </c>
      <c r="AG16" s="732">
        <f t="shared" si="6"/>
        <v>0</v>
      </c>
      <c r="AH16" s="732">
        <v>0</v>
      </c>
      <c r="AI16" s="816"/>
    </row>
    <row r="17" spans="1:35">
      <c r="A17" s="687" t="s">
        <v>7057</v>
      </c>
      <c r="B17" s="732">
        <v>0</v>
      </c>
      <c r="C17" s="732">
        <f>1211.9524+400</f>
        <v>1611.9523999999999</v>
      </c>
      <c r="D17" s="732">
        <v>1200</v>
      </c>
      <c r="E17" s="732"/>
      <c r="F17" s="732"/>
      <c r="G17" s="732"/>
      <c r="H17" s="817">
        <f t="shared" si="7"/>
        <v>39.704166666666666</v>
      </c>
      <c r="I17" s="732"/>
      <c r="J17" s="732"/>
      <c r="K17" s="816">
        <f t="shared" si="2"/>
        <v>2851.656566666667</v>
      </c>
      <c r="L17" s="816">
        <v>1000</v>
      </c>
      <c r="M17" s="816"/>
      <c r="N17" s="816">
        <f t="shared" si="8"/>
        <v>1000</v>
      </c>
      <c r="O17" s="732">
        <f>(K17*12)+N17</f>
        <v>35219.878800000006</v>
      </c>
      <c r="P17" s="732">
        <f t="shared" si="3"/>
        <v>0</v>
      </c>
      <c r="Q17" s="732">
        <v>0</v>
      </c>
      <c r="R17" s="732">
        <v>1529.875</v>
      </c>
      <c r="S17" s="732">
        <v>1210</v>
      </c>
      <c r="T17" s="732"/>
      <c r="U17" s="732"/>
      <c r="V17" s="732"/>
      <c r="W17" s="817"/>
      <c r="X17" s="732"/>
      <c r="Y17" s="732"/>
      <c r="Z17" s="816">
        <f t="shared" si="4"/>
        <v>2739.875</v>
      </c>
      <c r="AA17" s="816">
        <v>1000</v>
      </c>
      <c r="AB17" s="816"/>
      <c r="AC17" s="816">
        <f t="shared" si="9"/>
        <v>1000</v>
      </c>
      <c r="AD17" s="732">
        <f>(Z17*12)+AC17</f>
        <v>33878.5</v>
      </c>
      <c r="AE17" s="732">
        <f t="shared" si="5"/>
        <v>0</v>
      </c>
      <c r="AF17" s="732">
        <f t="shared" si="6"/>
        <v>1341.3788000000059</v>
      </c>
      <c r="AG17" s="732">
        <f t="shared" si="6"/>
        <v>0</v>
      </c>
      <c r="AH17" s="732">
        <v>0</v>
      </c>
      <c r="AI17" s="816"/>
    </row>
    <row r="18" spans="1:35">
      <c r="A18" s="687" t="s">
        <v>12</v>
      </c>
      <c r="B18" s="732">
        <v>0</v>
      </c>
      <c r="C18" s="732">
        <f>1166.9464+400</f>
        <v>1566.9464</v>
      </c>
      <c r="D18" s="732">
        <v>1200</v>
      </c>
      <c r="E18" s="732"/>
      <c r="F18" s="732"/>
      <c r="G18" s="732"/>
      <c r="H18" s="817">
        <f t="shared" si="7"/>
        <v>39.704166666666666</v>
      </c>
      <c r="I18" s="732"/>
      <c r="J18" s="732"/>
      <c r="K18" s="816">
        <f t="shared" si="2"/>
        <v>2806.6505666666667</v>
      </c>
      <c r="L18" s="816">
        <v>1000</v>
      </c>
      <c r="M18" s="816"/>
      <c r="N18" s="816">
        <f t="shared" si="8"/>
        <v>1000</v>
      </c>
      <c r="O18" s="732">
        <f>(K18*12)+N18</f>
        <v>34679.806799999998</v>
      </c>
      <c r="P18" s="732">
        <f t="shared" si="3"/>
        <v>0</v>
      </c>
      <c r="Q18" s="732">
        <v>0</v>
      </c>
      <c r="R18" s="732">
        <v>1505.7049999999999</v>
      </c>
      <c r="S18" s="732">
        <v>1210</v>
      </c>
      <c r="T18" s="732"/>
      <c r="U18" s="732"/>
      <c r="V18" s="732"/>
      <c r="W18" s="817"/>
      <c r="X18" s="732"/>
      <c r="Y18" s="732"/>
      <c r="Z18" s="816">
        <f t="shared" si="4"/>
        <v>2715.7049999999999</v>
      </c>
      <c r="AA18" s="816">
        <v>1000</v>
      </c>
      <c r="AB18" s="816"/>
      <c r="AC18" s="816">
        <f t="shared" si="9"/>
        <v>1000</v>
      </c>
      <c r="AD18" s="732">
        <f>(Z18*12)+AC18</f>
        <v>33588.46</v>
      </c>
      <c r="AE18" s="732">
        <f t="shared" si="5"/>
        <v>0</v>
      </c>
      <c r="AF18" s="732">
        <f t="shared" si="6"/>
        <v>1091.3467999999993</v>
      </c>
      <c r="AG18" s="732">
        <f t="shared" si="6"/>
        <v>0</v>
      </c>
      <c r="AH18" s="732">
        <v>0</v>
      </c>
      <c r="AI18" s="816"/>
    </row>
    <row r="19" spans="1:35">
      <c r="A19" s="698" t="s">
        <v>4</v>
      </c>
      <c r="B19" s="689">
        <f t="shared" ref="B19:AI19" si="10">SUM(B20:B25)</f>
        <v>247</v>
      </c>
      <c r="C19" s="689">
        <f t="shared" si="10"/>
        <v>8285.0499999999993</v>
      </c>
      <c r="D19" s="689">
        <f t="shared" si="10"/>
        <v>6600</v>
      </c>
      <c r="E19" s="689">
        <f t="shared" si="10"/>
        <v>0</v>
      </c>
      <c r="F19" s="689">
        <f t="shared" si="10"/>
        <v>0</v>
      </c>
      <c r="G19" s="689">
        <f t="shared" si="10"/>
        <v>0</v>
      </c>
      <c r="H19" s="689">
        <f t="shared" si="10"/>
        <v>238.22499999999997</v>
      </c>
      <c r="I19" s="689">
        <f t="shared" si="10"/>
        <v>0</v>
      </c>
      <c r="J19" s="689">
        <f t="shared" si="10"/>
        <v>0</v>
      </c>
      <c r="K19" s="689">
        <f t="shared" si="10"/>
        <v>15123.275000000001</v>
      </c>
      <c r="L19" s="689">
        <f t="shared" si="10"/>
        <v>6000</v>
      </c>
      <c r="M19" s="689">
        <f t="shared" si="10"/>
        <v>0</v>
      </c>
      <c r="N19" s="689">
        <f t="shared" si="10"/>
        <v>6000</v>
      </c>
      <c r="O19" s="689">
        <f t="shared" si="10"/>
        <v>187479.3</v>
      </c>
      <c r="P19" s="689">
        <f t="shared" si="10"/>
        <v>7764822.870000001</v>
      </c>
      <c r="Q19" s="689">
        <f t="shared" si="10"/>
        <v>247</v>
      </c>
      <c r="R19" s="689">
        <f t="shared" si="10"/>
        <v>8431.689104256855</v>
      </c>
      <c r="S19" s="689">
        <f t="shared" si="10"/>
        <v>6660</v>
      </c>
      <c r="T19" s="689">
        <f t="shared" si="10"/>
        <v>0</v>
      </c>
      <c r="U19" s="689">
        <f t="shared" si="10"/>
        <v>0</v>
      </c>
      <c r="V19" s="689">
        <f t="shared" si="10"/>
        <v>0</v>
      </c>
      <c r="W19" s="689">
        <f t="shared" si="10"/>
        <v>0</v>
      </c>
      <c r="X19" s="689">
        <f t="shared" si="10"/>
        <v>0</v>
      </c>
      <c r="Y19" s="689">
        <f t="shared" si="10"/>
        <v>0</v>
      </c>
      <c r="Z19" s="689">
        <f t="shared" si="10"/>
        <v>15091.689104256853</v>
      </c>
      <c r="AA19" s="689">
        <f t="shared" si="10"/>
        <v>6000</v>
      </c>
      <c r="AB19" s="689">
        <f t="shared" si="10"/>
        <v>0</v>
      </c>
      <c r="AC19" s="689">
        <f t="shared" si="10"/>
        <v>6000</v>
      </c>
      <c r="AD19" s="689">
        <f t="shared" si="10"/>
        <v>187100.26925108227</v>
      </c>
      <c r="AE19" s="689">
        <f t="shared" si="10"/>
        <v>7750163.8000000007</v>
      </c>
      <c r="AF19" s="689">
        <f t="shared" si="10"/>
        <v>379.03074891775395</v>
      </c>
      <c r="AG19" s="689">
        <f t="shared" si="10"/>
        <v>14659.070000000298</v>
      </c>
      <c r="AH19" s="689">
        <f t="shared" si="10"/>
        <v>247</v>
      </c>
      <c r="AI19" s="689">
        <f t="shared" si="10"/>
        <v>7750163.8000000007</v>
      </c>
    </row>
    <row r="20" spans="1:35">
      <c r="A20" s="687" t="s">
        <v>13</v>
      </c>
      <c r="B20" s="815">
        <v>63</v>
      </c>
      <c r="C20" s="732">
        <f>1065.77+400</f>
        <v>1465.77</v>
      </c>
      <c r="D20" s="732">
        <v>1100</v>
      </c>
      <c r="E20" s="732"/>
      <c r="F20" s="732"/>
      <c r="G20" s="732"/>
      <c r="H20" s="817">
        <f t="shared" ref="H20:H25" si="11">(366.5*1.3)/12</f>
        <v>39.704166666666666</v>
      </c>
      <c r="I20" s="732"/>
      <c r="J20" s="732"/>
      <c r="K20" s="816">
        <f t="shared" ref="K20:K25" si="12">SUM(C20:J20)</f>
        <v>2605.4741666666669</v>
      </c>
      <c r="L20" s="732">
        <v>1000</v>
      </c>
      <c r="M20" s="732"/>
      <c r="N20" s="732">
        <f t="shared" ref="N20:N25" si="13">+L20+M20</f>
        <v>1000</v>
      </c>
      <c r="O20" s="732">
        <f t="shared" ref="O20:O25" si="14">(K20*12)+N20</f>
        <v>32265.690000000002</v>
      </c>
      <c r="P20" s="732">
        <f t="shared" ref="P20:P25" si="15">B20*O20</f>
        <v>2032738.4700000002</v>
      </c>
      <c r="Q20" s="815">
        <v>63</v>
      </c>
      <c r="R20" s="732">
        <v>1498.6874603174601</v>
      </c>
      <c r="S20" s="732">
        <v>1110</v>
      </c>
      <c r="T20" s="732"/>
      <c r="U20" s="732"/>
      <c r="V20" s="732"/>
      <c r="W20" s="817"/>
      <c r="X20" s="732"/>
      <c r="Y20" s="732"/>
      <c r="Z20" s="816">
        <f t="shared" ref="Z20:Z25" si="16">SUM(R20:Y20)</f>
        <v>2608.6874603174601</v>
      </c>
      <c r="AA20" s="732">
        <v>1000</v>
      </c>
      <c r="AB20" s="732"/>
      <c r="AC20" s="732">
        <f t="shared" ref="AC20:AC25" si="17">+AA20+AB20</f>
        <v>1000</v>
      </c>
      <c r="AD20" s="732">
        <f t="shared" ref="AD20:AD25" si="18">(Z20*12)+AC20</f>
        <v>32304.249523809522</v>
      </c>
      <c r="AE20" s="732">
        <f t="shared" ref="AE20:AE25" si="19">Q20*AD20</f>
        <v>2035167.72</v>
      </c>
      <c r="AF20" s="732">
        <f t="shared" ref="AF20:AG25" si="20">+O20-AD20</f>
        <v>-38.559523809519305</v>
      </c>
      <c r="AG20" s="732">
        <f t="shared" si="20"/>
        <v>-2429.2499999997672</v>
      </c>
      <c r="AH20" s="815">
        <v>63</v>
      </c>
      <c r="AI20" s="732">
        <v>2035167.72</v>
      </c>
    </row>
    <row r="21" spans="1:35">
      <c r="A21" s="687" t="s">
        <v>6978</v>
      </c>
      <c r="B21" s="815">
        <v>30</v>
      </c>
      <c r="C21" s="732">
        <f>1021.28+400</f>
        <v>1421.28</v>
      </c>
      <c r="D21" s="732">
        <v>1100</v>
      </c>
      <c r="E21" s="732"/>
      <c r="F21" s="732"/>
      <c r="G21" s="732"/>
      <c r="H21" s="817">
        <f t="shared" si="11"/>
        <v>39.704166666666666</v>
      </c>
      <c r="I21" s="732"/>
      <c r="J21" s="732"/>
      <c r="K21" s="816">
        <f t="shared" si="12"/>
        <v>2560.9841666666666</v>
      </c>
      <c r="L21" s="732">
        <v>1000</v>
      </c>
      <c r="M21" s="732"/>
      <c r="N21" s="732">
        <f t="shared" si="13"/>
        <v>1000</v>
      </c>
      <c r="O21" s="732">
        <f t="shared" si="14"/>
        <v>31731.809999999998</v>
      </c>
      <c r="P21" s="732">
        <f t="shared" si="15"/>
        <v>951954.29999999993</v>
      </c>
      <c r="Q21" s="815">
        <v>30</v>
      </c>
      <c r="R21" s="732">
        <v>1446.3723333333335</v>
      </c>
      <c r="S21" s="732">
        <v>1110</v>
      </c>
      <c r="T21" s="732"/>
      <c r="U21" s="732"/>
      <c r="V21" s="732"/>
      <c r="W21" s="817"/>
      <c r="X21" s="732"/>
      <c r="Y21" s="732"/>
      <c r="Z21" s="816">
        <f t="shared" si="16"/>
        <v>2556.3723333333337</v>
      </c>
      <c r="AA21" s="732">
        <v>1000</v>
      </c>
      <c r="AB21" s="732"/>
      <c r="AC21" s="732">
        <f t="shared" si="17"/>
        <v>1000</v>
      </c>
      <c r="AD21" s="732">
        <f t="shared" si="18"/>
        <v>31676.468000000004</v>
      </c>
      <c r="AE21" s="732">
        <f t="shared" si="19"/>
        <v>950294.04000000015</v>
      </c>
      <c r="AF21" s="732">
        <f t="shared" si="20"/>
        <v>55.341999999993277</v>
      </c>
      <c r="AG21" s="732">
        <f t="shared" si="20"/>
        <v>1660.2599999997765</v>
      </c>
      <c r="AH21" s="815">
        <v>30</v>
      </c>
      <c r="AI21" s="732">
        <v>950294.04000000015</v>
      </c>
    </row>
    <row r="22" spans="1:35">
      <c r="A22" s="687" t="s">
        <v>6977</v>
      </c>
      <c r="B22" s="732">
        <v>66</v>
      </c>
      <c r="C22" s="732">
        <f>988.78+400</f>
        <v>1388.78</v>
      </c>
      <c r="D22" s="732">
        <v>1100</v>
      </c>
      <c r="E22" s="732"/>
      <c r="F22" s="732"/>
      <c r="G22" s="732"/>
      <c r="H22" s="817">
        <f t="shared" si="11"/>
        <v>39.704166666666666</v>
      </c>
      <c r="I22" s="732"/>
      <c r="J22" s="732"/>
      <c r="K22" s="816">
        <f t="shared" si="12"/>
        <v>2528.4841666666666</v>
      </c>
      <c r="L22" s="732">
        <v>1000</v>
      </c>
      <c r="M22" s="732"/>
      <c r="N22" s="816">
        <f t="shared" si="13"/>
        <v>1000</v>
      </c>
      <c r="O22" s="732">
        <f t="shared" si="14"/>
        <v>31341.809999999998</v>
      </c>
      <c r="P22" s="732">
        <f t="shared" si="15"/>
        <v>2068559.46</v>
      </c>
      <c r="Q22" s="732">
        <v>66</v>
      </c>
      <c r="R22" s="732">
        <v>1414.1193939393938</v>
      </c>
      <c r="S22" s="732">
        <v>1110</v>
      </c>
      <c r="T22" s="732"/>
      <c r="U22" s="732"/>
      <c r="V22" s="732"/>
      <c r="W22" s="817"/>
      <c r="X22" s="732"/>
      <c r="Y22" s="732"/>
      <c r="Z22" s="816">
        <f t="shared" si="16"/>
        <v>2524.1193939393938</v>
      </c>
      <c r="AA22" s="732">
        <v>1000</v>
      </c>
      <c r="AB22" s="732"/>
      <c r="AC22" s="816">
        <f t="shared" si="17"/>
        <v>1000</v>
      </c>
      <c r="AD22" s="732">
        <f t="shared" si="18"/>
        <v>31289.432727272724</v>
      </c>
      <c r="AE22" s="732">
        <f t="shared" si="19"/>
        <v>2065102.5599999998</v>
      </c>
      <c r="AF22" s="732">
        <f t="shared" si="20"/>
        <v>52.377272727273521</v>
      </c>
      <c r="AG22" s="732">
        <f t="shared" si="20"/>
        <v>3456.9000000001397</v>
      </c>
      <c r="AH22" s="732">
        <v>66</v>
      </c>
      <c r="AI22" s="816">
        <v>2065102.56</v>
      </c>
    </row>
    <row r="23" spans="1:35">
      <c r="A23" s="687" t="s">
        <v>6976</v>
      </c>
      <c r="B23" s="732">
        <v>48</v>
      </c>
      <c r="C23" s="732">
        <f>962.59+400</f>
        <v>1362.5900000000001</v>
      </c>
      <c r="D23" s="732">
        <v>1100</v>
      </c>
      <c r="E23" s="732"/>
      <c r="F23" s="732"/>
      <c r="G23" s="732"/>
      <c r="H23" s="817">
        <f t="shared" si="11"/>
        <v>39.704166666666666</v>
      </c>
      <c r="I23" s="732"/>
      <c r="J23" s="732"/>
      <c r="K23" s="816">
        <f t="shared" si="12"/>
        <v>2502.294166666667</v>
      </c>
      <c r="L23" s="816">
        <v>1000</v>
      </c>
      <c r="M23" s="816"/>
      <c r="N23" s="816">
        <f t="shared" si="13"/>
        <v>1000</v>
      </c>
      <c r="O23" s="732">
        <f t="shared" si="14"/>
        <v>31027.530000000006</v>
      </c>
      <c r="P23" s="732">
        <f t="shared" si="15"/>
        <v>1489321.4400000004</v>
      </c>
      <c r="Q23" s="732">
        <v>48</v>
      </c>
      <c r="R23" s="732">
        <v>1375.1104166666673</v>
      </c>
      <c r="S23" s="732">
        <v>1110</v>
      </c>
      <c r="T23" s="732"/>
      <c r="U23" s="732"/>
      <c r="V23" s="732"/>
      <c r="W23" s="817"/>
      <c r="X23" s="732"/>
      <c r="Y23" s="732"/>
      <c r="Z23" s="816">
        <f t="shared" si="16"/>
        <v>2485.1104166666673</v>
      </c>
      <c r="AA23" s="816">
        <v>1000</v>
      </c>
      <c r="AB23" s="816"/>
      <c r="AC23" s="816">
        <f t="shared" si="17"/>
        <v>1000</v>
      </c>
      <c r="AD23" s="732">
        <f t="shared" si="18"/>
        <v>30821.325000000008</v>
      </c>
      <c r="AE23" s="732">
        <f t="shared" si="19"/>
        <v>1479423.6000000003</v>
      </c>
      <c r="AF23" s="732">
        <f t="shared" si="20"/>
        <v>206.20499999999811</v>
      </c>
      <c r="AG23" s="732">
        <f t="shared" si="20"/>
        <v>9897.8400000000838</v>
      </c>
      <c r="AH23" s="732">
        <v>48</v>
      </c>
      <c r="AI23" s="816">
        <v>1479423.6000000003</v>
      </c>
    </row>
    <row r="24" spans="1:35">
      <c r="A24" s="687" t="s">
        <v>14</v>
      </c>
      <c r="B24" s="732">
        <v>20</v>
      </c>
      <c r="C24" s="732">
        <f>936.41+400</f>
        <v>1336.4099999999999</v>
      </c>
      <c r="D24" s="732">
        <v>1100</v>
      </c>
      <c r="E24" s="732"/>
      <c r="F24" s="732"/>
      <c r="G24" s="732"/>
      <c r="H24" s="817">
        <f t="shared" si="11"/>
        <v>39.704166666666666</v>
      </c>
      <c r="I24" s="732"/>
      <c r="J24" s="732"/>
      <c r="K24" s="816">
        <f t="shared" si="12"/>
        <v>2476.1141666666667</v>
      </c>
      <c r="L24" s="816">
        <v>1000</v>
      </c>
      <c r="M24" s="816"/>
      <c r="N24" s="816">
        <f t="shared" si="13"/>
        <v>1000</v>
      </c>
      <c r="O24" s="732">
        <f t="shared" si="14"/>
        <v>30713.370000000003</v>
      </c>
      <c r="P24" s="732">
        <f t="shared" si="15"/>
        <v>614267.4</v>
      </c>
      <c r="Q24" s="732">
        <v>20</v>
      </c>
      <c r="R24" s="732">
        <v>1363.8784999999998</v>
      </c>
      <c r="S24" s="732">
        <v>1110</v>
      </c>
      <c r="T24" s="732"/>
      <c r="U24" s="732"/>
      <c r="V24" s="732"/>
      <c r="W24" s="817"/>
      <c r="X24" s="732"/>
      <c r="Y24" s="732"/>
      <c r="Z24" s="816">
        <f t="shared" si="16"/>
        <v>2473.8784999999998</v>
      </c>
      <c r="AA24" s="816">
        <v>1000</v>
      </c>
      <c r="AB24" s="816"/>
      <c r="AC24" s="816">
        <f t="shared" si="17"/>
        <v>1000</v>
      </c>
      <c r="AD24" s="732">
        <f t="shared" si="18"/>
        <v>30686.541999999998</v>
      </c>
      <c r="AE24" s="732">
        <f t="shared" si="19"/>
        <v>613730.84</v>
      </c>
      <c r="AF24" s="732">
        <f t="shared" si="20"/>
        <v>26.828000000004977</v>
      </c>
      <c r="AG24" s="732">
        <f t="shared" si="20"/>
        <v>536.56000000005588</v>
      </c>
      <c r="AH24" s="732">
        <v>20</v>
      </c>
      <c r="AI24" s="816">
        <v>613730.83999999985</v>
      </c>
    </row>
    <row r="25" spans="1:35">
      <c r="A25" s="687" t="s">
        <v>6975</v>
      </c>
      <c r="B25" s="732">
        <v>20</v>
      </c>
      <c r="C25" s="732">
        <f>910.22+400</f>
        <v>1310.22</v>
      </c>
      <c r="D25" s="732">
        <v>1100</v>
      </c>
      <c r="E25" s="732"/>
      <c r="F25" s="732"/>
      <c r="G25" s="732"/>
      <c r="H25" s="817">
        <f t="shared" si="11"/>
        <v>39.704166666666666</v>
      </c>
      <c r="I25" s="732"/>
      <c r="J25" s="732"/>
      <c r="K25" s="816">
        <f t="shared" si="12"/>
        <v>2449.9241666666671</v>
      </c>
      <c r="L25" s="816">
        <v>1000</v>
      </c>
      <c r="M25" s="816"/>
      <c r="N25" s="816">
        <f t="shared" si="13"/>
        <v>1000</v>
      </c>
      <c r="O25" s="732">
        <f t="shared" si="14"/>
        <v>30399.090000000004</v>
      </c>
      <c r="P25" s="732">
        <f t="shared" si="15"/>
        <v>607981.80000000005</v>
      </c>
      <c r="Q25" s="732">
        <v>20</v>
      </c>
      <c r="R25" s="732">
        <v>1333.5210000000002</v>
      </c>
      <c r="S25" s="732">
        <v>1110</v>
      </c>
      <c r="T25" s="732"/>
      <c r="U25" s="732"/>
      <c r="V25" s="732"/>
      <c r="W25" s="817"/>
      <c r="X25" s="732"/>
      <c r="Y25" s="732"/>
      <c r="Z25" s="816">
        <f t="shared" si="16"/>
        <v>2443.5210000000002</v>
      </c>
      <c r="AA25" s="816">
        <v>1000</v>
      </c>
      <c r="AB25" s="816"/>
      <c r="AC25" s="816">
        <f t="shared" si="17"/>
        <v>1000</v>
      </c>
      <c r="AD25" s="732">
        <f t="shared" si="18"/>
        <v>30322.252</v>
      </c>
      <c r="AE25" s="732">
        <f t="shared" si="19"/>
        <v>606445.04</v>
      </c>
      <c r="AF25" s="732">
        <f t="shared" si="20"/>
        <v>76.838000000003376</v>
      </c>
      <c r="AG25" s="732">
        <f t="shared" si="20"/>
        <v>1536.7600000000093</v>
      </c>
      <c r="AH25" s="732">
        <v>20</v>
      </c>
      <c r="AI25" s="816">
        <v>606445.04</v>
      </c>
    </row>
    <row r="26" spans="1:35">
      <c r="A26" s="698" t="s">
        <v>5</v>
      </c>
      <c r="B26" s="689">
        <f>SUM(B27:B32)</f>
        <v>1366</v>
      </c>
      <c r="C26" s="689">
        <f>SUM(C27:C32)</f>
        <v>7640.7636000000002</v>
      </c>
      <c r="D26" s="689">
        <v>1000</v>
      </c>
      <c r="E26" s="689">
        <f t="shared" ref="E26:R26" si="21">SUM(E27:E32)</f>
        <v>0</v>
      </c>
      <c r="F26" s="689">
        <f t="shared" si="21"/>
        <v>0</v>
      </c>
      <c r="G26" s="689">
        <f t="shared" si="21"/>
        <v>0</v>
      </c>
      <c r="H26" s="689">
        <f t="shared" si="21"/>
        <v>238.22499999999997</v>
      </c>
      <c r="I26" s="689">
        <f t="shared" si="21"/>
        <v>0</v>
      </c>
      <c r="J26" s="689">
        <f t="shared" si="21"/>
        <v>0</v>
      </c>
      <c r="K26" s="689">
        <f t="shared" si="21"/>
        <v>13578.988600000001</v>
      </c>
      <c r="L26" s="689">
        <f t="shared" si="21"/>
        <v>6000</v>
      </c>
      <c r="M26" s="689">
        <f t="shared" si="21"/>
        <v>0</v>
      </c>
      <c r="N26" s="689">
        <f t="shared" si="21"/>
        <v>6000</v>
      </c>
      <c r="O26" s="689">
        <f t="shared" si="21"/>
        <v>168947.86320000002</v>
      </c>
      <c r="P26" s="689">
        <f t="shared" si="21"/>
        <v>38552305.826400004</v>
      </c>
      <c r="Q26" s="689">
        <f t="shared" si="21"/>
        <v>1366</v>
      </c>
      <c r="R26" s="689">
        <f t="shared" si="21"/>
        <v>7907.674142247547</v>
      </c>
      <c r="S26" s="689">
        <v>1000</v>
      </c>
      <c r="T26" s="689">
        <f t="shared" ref="T26:AI26" si="22">SUM(T27:T32)</f>
        <v>0</v>
      </c>
      <c r="U26" s="689">
        <f t="shared" si="22"/>
        <v>0</v>
      </c>
      <c r="V26" s="689">
        <f t="shared" si="22"/>
        <v>0</v>
      </c>
      <c r="W26" s="689">
        <f t="shared" si="22"/>
        <v>0</v>
      </c>
      <c r="X26" s="689">
        <f t="shared" si="22"/>
        <v>0</v>
      </c>
      <c r="Y26" s="689">
        <f t="shared" si="22"/>
        <v>0</v>
      </c>
      <c r="Z26" s="689">
        <f t="shared" si="22"/>
        <v>14327.67414224755</v>
      </c>
      <c r="AA26" s="689">
        <f t="shared" si="22"/>
        <v>6000</v>
      </c>
      <c r="AB26" s="689">
        <f t="shared" si="22"/>
        <v>0</v>
      </c>
      <c r="AC26" s="689">
        <f t="shared" si="22"/>
        <v>6000</v>
      </c>
      <c r="AD26" s="689">
        <f t="shared" si="22"/>
        <v>177932.08970697058</v>
      </c>
      <c r="AE26" s="689">
        <f t="shared" si="22"/>
        <v>40582603.719999984</v>
      </c>
      <c r="AF26" s="689">
        <f t="shared" si="22"/>
        <v>-8984.2265069705463</v>
      </c>
      <c r="AG26" s="689">
        <f t="shared" si="22"/>
        <v>-2030297.8935999866</v>
      </c>
      <c r="AH26" s="689">
        <f t="shared" si="22"/>
        <v>1366</v>
      </c>
      <c r="AI26" s="689">
        <f t="shared" si="22"/>
        <v>40582603.719999984</v>
      </c>
    </row>
    <row r="27" spans="1:35">
      <c r="A27" s="692" t="s">
        <v>15</v>
      </c>
      <c r="B27" s="732">
        <v>400</v>
      </c>
      <c r="C27" s="818">
        <f>893.7656+400</f>
        <v>1293.7655999999999</v>
      </c>
      <c r="D27" s="818">
        <v>950</v>
      </c>
      <c r="E27" s="818"/>
      <c r="F27" s="818"/>
      <c r="G27" s="818"/>
      <c r="H27" s="819">
        <f t="shared" ref="H27:H32" si="23">(366.5*1.3)/12</f>
        <v>39.704166666666666</v>
      </c>
      <c r="I27" s="818"/>
      <c r="J27" s="818"/>
      <c r="K27" s="816">
        <f t="shared" ref="K27:K32" si="24">SUM(C27:J27)</f>
        <v>2283.4697666666666</v>
      </c>
      <c r="L27" s="818">
        <v>1000</v>
      </c>
      <c r="M27" s="818"/>
      <c r="N27" s="820">
        <f t="shared" ref="N27:N32" si="25">+L27+M27</f>
        <v>1000</v>
      </c>
      <c r="O27" s="818">
        <f t="shared" ref="O27:O32" si="26">(K27*12)+N27</f>
        <v>28401.637199999997</v>
      </c>
      <c r="P27" s="818">
        <f t="shared" ref="P27:P32" si="27">B27*O27</f>
        <v>11360654.879999999</v>
      </c>
      <c r="Q27" s="732">
        <v>400</v>
      </c>
      <c r="R27" s="818">
        <v>1338.3731999999986</v>
      </c>
      <c r="S27" s="818">
        <v>1070</v>
      </c>
      <c r="T27" s="818"/>
      <c r="U27" s="818"/>
      <c r="V27" s="818"/>
      <c r="W27" s="819"/>
      <c r="X27" s="818"/>
      <c r="Y27" s="818"/>
      <c r="Z27" s="816">
        <f t="shared" ref="Z27:Z32" si="28">SUM(R27:Y27)</f>
        <v>2408.3731999999986</v>
      </c>
      <c r="AA27" s="818">
        <v>1000</v>
      </c>
      <c r="AB27" s="818"/>
      <c r="AC27" s="820">
        <f t="shared" ref="AC27:AC32" si="29">+AA27+AB27</f>
        <v>1000</v>
      </c>
      <c r="AD27" s="818">
        <f t="shared" ref="AD27:AD32" si="30">(Z27*12)+AC27</f>
        <v>29900.478399999985</v>
      </c>
      <c r="AE27" s="818">
        <f t="shared" ref="AE27:AE32" si="31">Q27*AD27</f>
        <v>11960191.359999994</v>
      </c>
      <c r="AF27" s="732">
        <f t="shared" ref="AF27:AG32" si="32">+O27-AD27</f>
        <v>-1498.841199999988</v>
      </c>
      <c r="AG27" s="732">
        <f t="shared" si="32"/>
        <v>-599536.47999999486</v>
      </c>
      <c r="AH27" s="732">
        <v>400</v>
      </c>
      <c r="AI27" s="820">
        <v>11960191.359999994</v>
      </c>
    </row>
    <row r="28" spans="1:35">
      <c r="A28" s="692" t="s">
        <v>7056</v>
      </c>
      <c r="B28" s="732">
        <v>244</v>
      </c>
      <c r="C28" s="818">
        <f>885.6404+400</f>
        <v>1285.6404</v>
      </c>
      <c r="D28" s="818">
        <v>950</v>
      </c>
      <c r="E28" s="818"/>
      <c r="F28" s="818"/>
      <c r="G28" s="818"/>
      <c r="H28" s="819">
        <f t="shared" si="23"/>
        <v>39.704166666666666</v>
      </c>
      <c r="I28" s="818"/>
      <c r="J28" s="818"/>
      <c r="K28" s="816">
        <f t="shared" si="24"/>
        <v>2275.3445666666671</v>
      </c>
      <c r="L28" s="818">
        <v>1000</v>
      </c>
      <c r="M28" s="818"/>
      <c r="N28" s="820">
        <f t="shared" si="25"/>
        <v>1000</v>
      </c>
      <c r="O28" s="818">
        <f t="shared" si="26"/>
        <v>28304.134800000007</v>
      </c>
      <c r="P28" s="818">
        <f t="shared" si="27"/>
        <v>6906208.8912000014</v>
      </c>
      <c r="Q28" s="732">
        <v>244</v>
      </c>
      <c r="R28" s="818">
        <v>1326.6271721311473</v>
      </c>
      <c r="S28" s="818">
        <v>1070</v>
      </c>
      <c r="T28" s="818"/>
      <c r="U28" s="818"/>
      <c r="V28" s="818"/>
      <c r="W28" s="819"/>
      <c r="X28" s="818"/>
      <c r="Y28" s="818"/>
      <c r="Z28" s="816">
        <f t="shared" si="28"/>
        <v>2396.6271721311473</v>
      </c>
      <c r="AA28" s="818">
        <v>1000</v>
      </c>
      <c r="AB28" s="818"/>
      <c r="AC28" s="820">
        <f t="shared" si="29"/>
        <v>1000</v>
      </c>
      <c r="AD28" s="818">
        <f t="shared" si="30"/>
        <v>29759.526065573766</v>
      </c>
      <c r="AE28" s="818">
        <f t="shared" si="31"/>
        <v>7261324.3599999985</v>
      </c>
      <c r="AF28" s="732">
        <f t="shared" si="32"/>
        <v>-1455.3912655737586</v>
      </c>
      <c r="AG28" s="732">
        <f t="shared" si="32"/>
        <v>-355115.46879999712</v>
      </c>
      <c r="AH28" s="732">
        <v>244</v>
      </c>
      <c r="AI28" s="820">
        <v>7261324.3599999994</v>
      </c>
    </row>
    <row r="29" spans="1:35">
      <c r="A29" s="692" t="s">
        <v>6972</v>
      </c>
      <c r="B29" s="732">
        <v>293</v>
      </c>
      <c r="C29" s="818">
        <f>877.5268+400</f>
        <v>1277.5268000000001</v>
      </c>
      <c r="D29" s="818">
        <v>950</v>
      </c>
      <c r="E29" s="818"/>
      <c r="F29" s="818"/>
      <c r="G29" s="818"/>
      <c r="H29" s="819">
        <f t="shared" si="23"/>
        <v>39.704166666666666</v>
      </c>
      <c r="I29" s="818"/>
      <c r="J29" s="818"/>
      <c r="K29" s="816">
        <f t="shared" si="24"/>
        <v>2267.230966666667</v>
      </c>
      <c r="L29" s="818">
        <v>1000</v>
      </c>
      <c r="M29" s="818"/>
      <c r="N29" s="820">
        <f t="shared" si="25"/>
        <v>1000</v>
      </c>
      <c r="O29" s="818">
        <f t="shared" si="26"/>
        <v>28206.771600000004</v>
      </c>
      <c r="P29" s="818">
        <f t="shared" si="27"/>
        <v>8264584.0788000012</v>
      </c>
      <c r="Q29" s="732">
        <v>293</v>
      </c>
      <c r="R29" s="818">
        <v>1316.248361774743</v>
      </c>
      <c r="S29" s="818">
        <v>1070</v>
      </c>
      <c r="T29" s="818"/>
      <c r="U29" s="818"/>
      <c r="V29" s="818"/>
      <c r="W29" s="819"/>
      <c r="X29" s="818"/>
      <c r="Y29" s="818"/>
      <c r="Z29" s="816">
        <f t="shared" si="28"/>
        <v>2386.248361774743</v>
      </c>
      <c r="AA29" s="818">
        <v>1000</v>
      </c>
      <c r="AB29" s="818"/>
      <c r="AC29" s="820">
        <f t="shared" si="29"/>
        <v>1000</v>
      </c>
      <c r="AD29" s="818">
        <f t="shared" si="30"/>
        <v>29634.980341296916</v>
      </c>
      <c r="AE29" s="818">
        <f t="shared" si="31"/>
        <v>8683049.2399999965</v>
      </c>
      <c r="AF29" s="732">
        <f t="shared" si="32"/>
        <v>-1428.2087412969122</v>
      </c>
      <c r="AG29" s="732">
        <f t="shared" si="32"/>
        <v>-418465.16119999532</v>
      </c>
      <c r="AH29" s="732">
        <v>293</v>
      </c>
      <c r="AI29" s="820">
        <v>8683049.2399999965</v>
      </c>
    </row>
    <row r="30" spans="1:35">
      <c r="A30" s="692" t="s">
        <v>6971</v>
      </c>
      <c r="B30" s="732">
        <v>182</v>
      </c>
      <c r="C30" s="818">
        <f>869.4016+400</f>
        <v>1269.4016000000001</v>
      </c>
      <c r="D30" s="818">
        <v>950</v>
      </c>
      <c r="E30" s="818"/>
      <c r="F30" s="818"/>
      <c r="G30" s="818"/>
      <c r="H30" s="819">
        <f t="shared" si="23"/>
        <v>39.704166666666666</v>
      </c>
      <c r="I30" s="818"/>
      <c r="J30" s="818"/>
      <c r="K30" s="816">
        <f t="shared" si="24"/>
        <v>2259.105766666667</v>
      </c>
      <c r="L30" s="818">
        <v>1000</v>
      </c>
      <c r="M30" s="818"/>
      <c r="N30" s="820">
        <f t="shared" si="25"/>
        <v>1000</v>
      </c>
      <c r="O30" s="818">
        <f t="shared" si="26"/>
        <v>28109.269200000002</v>
      </c>
      <c r="P30" s="818">
        <f t="shared" si="27"/>
        <v>5115886.9944000002</v>
      </c>
      <c r="Q30" s="732">
        <v>182</v>
      </c>
      <c r="R30" s="818">
        <v>1315.4195604395609</v>
      </c>
      <c r="S30" s="818">
        <v>1070</v>
      </c>
      <c r="T30" s="818"/>
      <c r="U30" s="818"/>
      <c r="V30" s="818"/>
      <c r="W30" s="819"/>
      <c r="X30" s="818"/>
      <c r="Y30" s="818"/>
      <c r="Z30" s="816">
        <f t="shared" si="28"/>
        <v>2385.4195604395609</v>
      </c>
      <c r="AA30" s="818">
        <v>1000</v>
      </c>
      <c r="AB30" s="818"/>
      <c r="AC30" s="820">
        <f t="shared" si="29"/>
        <v>1000</v>
      </c>
      <c r="AD30" s="818">
        <f t="shared" si="30"/>
        <v>29625.034725274731</v>
      </c>
      <c r="AE30" s="818">
        <f t="shared" si="31"/>
        <v>5391756.3200000012</v>
      </c>
      <c r="AF30" s="732">
        <f t="shared" si="32"/>
        <v>-1515.7655252747281</v>
      </c>
      <c r="AG30" s="732">
        <f t="shared" si="32"/>
        <v>-275869.32560000103</v>
      </c>
      <c r="AH30" s="732">
        <v>182</v>
      </c>
      <c r="AI30" s="820">
        <v>5391756.3200000012</v>
      </c>
    </row>
    <row r="31" spans="1:35">
      <c r="A31" s="692" t="s">
        <v>16</v>
      </c>
      <c r="B31" s="732">
        <v>104</v>
      </c>
      <c r="C31" s="818">
        <f>861.2664+400</f>
        <v>1261.2664</v>
      </c>
      <c r="D31" s="818">
        <v>950</v>
      </c>
      <c r="E31" s="818"/>
      <c r="F31" s="818"/>
      <c r="G31" s="818"/>
      <c r="H31" s="819">
        <f t="shared" si="23"/>
        <v>39.704166666666666</v>
      </c>
      <c r="I31" s="818"/>
      <c r="J31" s="818"/>
      <c r="K31" s="816">
        <f t="shared" si="24"/>
        <v>2250.9705666666669</v>
      </c>
      <c r="L31" s="818">
        <v>1000</v>
      </c>
      <c r="M31" s="818"/>
      <c r="N31" s="820">
        <f t="shared" si="25"/>
        <v>1000</v>
      </c>
      <c r="O31" s="818">
        <f t="shared" si="26"/>
        <v>28011.646800000002</v>
      </c>
      <c r="P31" s="818">
        <f t="shared" si="27"/>
        <v>2913211.2672000001</v>
      </c>
      <c r="Q31" s="732">
        <v>104</v>
      </c>
      <c r="R31" s="818">
        <v>1309.1529807692305</v>
      </c>
      <c r="S31" s="818">
        <v>1070</v>
      </c>
      <c r="T31" s="818"/>
      <c r="U31" s="818"/>
      <c r="V31" s="818"/>
      <c r="W31" s="819"/>
      <c r="X31" s="818"/>
      <c r="Y31" s="818"/>
      <c r="Z31" s="816">
        <f t="shared" si="28"/>
        <v>2379.1529807692305</v>
      </c>
      <c r="AA31" s="818">
        <v>1000</v>
      </c>
      <c r="AB31" s="818"/>
      <c r="AC31" s="820">
        <f t="shared" si="29"/>
        <v>1000</v>
      </c>
      <c r="AD31" s="818">
        <f t="shared" si="30"/>
        <v>29549.835769230765</v>
      </c>
      <c r="AE31" s="818">
        <f t="shared" si="31"/>
        <v>3073182.9199999995</v>
      </c>
      <c r="AF31" s="732">
        <f t="shared" si="32"/>
        <v>-1538.1889692307632</v>
      </c>
      <c r="AG31" s="732">
        <f t="shared" si="32"/>
        <v>-159971.65279999934</v>
      </c>
      <c r="AH31" s="732">
        <v>104</v>
      </c>
      <c r="AI31" s="820">
        <v>3073182.92</v>
      </c>
    </row>
    <row r="32" spans="1:35">
      <c r="A32" s="692" t="s">
        <v>6970</v>
      </c>
      <c r="B32" s="732">
        <v>143</v>
      </c>
      <c r="C32" s="818">
        <f>853.1628+400</f>
        <v>1253.1628000000001</v>
      </c>
      <c r="D32" s="818">
        <v>950</v>
      </c>
      <c r="E32" s="818"/>
      <c r="F32" s="818"/>
      <c r="G32" s="818"/>
      <c r="H32" s="819">
        <f t="shared" si="23"/>
        <v>39.704166666666666</v>
      </c>
      <c r="I32" s="818"/>
      <c r="J32" s="818"/>
      <c r="K32" s="816">
        <f t="shared" si="24"/>
        <v>2242.8669666666669</v>
      </c>
      <c r="L32" s="818">
        <v>1000</v>
      </c>
      <c r="M32" s="818"/>
      <c r="N32" s="820">
        <f t="shared" si="25"/>
        <v>1000</v>
      </c>
      <c r="O32" s="818">
        <f t="shared" si="26"/>
        <v>27914.403600000005</v>
      </c>
      <c r="P32" s="818">
        <f t="shared" si="27"/>
        <v>3991759.7148000007</v>
      </c>
      <c r="Q32" s="732">
        <v>143</v>
      </c>
      <c r="R32" s="818">
        <v>1301.852867132867</v>
      </c>
      <c r="S32" s="818">
        <v>1070</v>
      </c>
      <c r="T32" s="818"/>
      <c r="U32" s="818"/>
      <c r="V32" s="818"/>
      <c r="W32" s="819"/>
      <c r="X32" s="818"/>
      <c r="Y32" s="818"/>
      <c r="Z32" s="816">
        <f t="shared" si="28"/>
        <v>2371.8528671328668</v>
      </c>
      <c r="AA32" s="818">
        <v>1000</v>
      </c>
      <c r="AB32" s="818"/>
      <c r="AC32" s="820">
        <f t="shared" si="29"/>
        <v>1000</v>
      </c>
      <c r="AD32" s="818">
        <f t="shared" si="30"/>
        <v>29462.234405594401</v>
      </c>
      <c r="AE32" s="818">
        <f t="shared" si="31"/>
        <v>4213099.5199999996</v>
      </c>
      <c r="AF32" s="732">
        <f t="shared" si="32"/>
        <v>-1547.8308055943962</v>
      </c>
      <c r="AG32" s="732">
        <f t="shared" si="32"/>
        <v>-221339.8051999989</v>
      </c>
      <c r="AH32" s="732">
        <v>143</v>
      </c>
      <c r="AI32" s="820">
        <v>4213099.5199999996</v>
      </c>
    </row>
    <row r="33" spans="1:35">
      <c r="A33" s="698" t="s">
        <v>6</v>
      </c>
      <c r="B33" s="689">
        <f t="shared" ref="B33:AI33" si="33">SUM(B34:B39)</f>
        <v>1256</v>
      </c>
      <c r="C33" s="689">
        <f t="shared" si="33"/>
        <v>6267.2611999999999</v>
      </c>
      <c r="D33" s="689">
        <f t="shared" si="33"/>
        <v>4750</v>
      </c>
      <c r="E33" s="689">
        <f t="shared" si="33"/>
        <v>0</v>
      </c>
      <c r="F33" s="689">
        <f t="shared" si="33"/>
        <v>0</v>
      </c>
      <c r="G33" s="689">
        <f t="shared" si="33"/>
        <v>0</v>
      </c>
      <c r="H33" s="689">
        <f t="shared" si="33"/>
        <v>198.52083333333331</v>
      </c>
      <c r="I33" s="689">
        <f t="shared" si="33"/>
        <v>0</v>
      </c>
      <c r="J33" s="689">
        <f t="shared" si="33"/>
        <v>0</v>
      </c>
      <c r="K33" s="689">
        <f t="shared" si="33"/>
        <v>11215.782033333333</v>
      </c>
      <c r="L33" s="689">
        <f t="shared" si="33"/>
        <v>5000</v>
      </c>
      <c r="M33" s="689">
        <f t="shared" si="33"/>
        <v>0</v>
      </c>
      <c r="N33" s="689">
        <f t="shared" si="33"/>
        <v>5000</v>
      </c>
      <c r="O33" s="689">
        <f t="shared" si="33"/>
        <v>139589.38440000001</v>
      </c>
      <c r="P33" s="689">
        <f t="shared" si="33"/>
        <v>35111313.5568</v>
      </c>
      <c r="Q33" s="689">
        <f t="shared" si="33"/>
        <v>1256</v>
      </c>
      <c r="R33" s="689">
        <f t="shared" si="33"/>
        <v>7727.845843920687</v>
      </c>
      <c r="S33" s="689">
        <f t="shared" si="33"/>
        <v>6420</v>
      </c>
      <c r="T33" s="689">
        <f t="shared" si="33"/>
        <v>0</v>
      </c>
      <c r="U33" s="689">
        <f t="shared" si="33"/>
        <v>0</v>
      </c>
      <c r="V33" s="689">
        <f t="shared" si="33"/>
        <v>0</v>
      </c>
      <c r="W33" s="689">
        <f t="shared" si="33"/>
        <v>0</v>
      </c>
      <c r="X33" s="689">
        <f t="shared" si="33"/>
        <v>0</v>
      </c>
      <c r="Y33" s="689">
        <f t="shared" si="33"/>
        <v>0</v>
      </c>
      <c r="Z33" s="689">
        <f t="shared" si="33"/>
        <v>11816.178743920689</v>
      </c>
      <c r="AA33" s="689">
        <f t="shared" si="33"/>
        <v>5000</v>
      </c>
      <c r="AB33" s="689">
        <f t="shared" si="33"/>
        <v>0</v>
      </c>
      <c r="AC33" s="689">
        <f t="shared" si="33"/>
        <v>5000</v>
      </c>
      <c r="AD33" s="689">
        <f t="shared" si="33"/>
        <v>146794.14492704824</v>
      </c>
      <c r="AE33" s="689">
        <f t="shared" si="33"/>
        <v>36914200.039999969</v>
      </c>
      <c r="AF33" s="689">
        <f t="shared" si="33"/>
        <v>-7204.7605270482309</v>
      </c>
      <c r="AG33" s="690">
        <f t="shared" si="33"/>
        <v>-1802886.4831999636</v>
      </c>
      <c r="AH33" s="689">
        <f t="shared" si="33"/>
        <v>1256</v>
      </c>
      <c r="AI33" s="689">
        <f t="shared" si="33"/>
        <v>36914200.039999969</v>
      </c>
    </row>
    <row r="34" spans="1:35">
      <c r="A34" s="687" t="s">
        <v>17</v>
      </c>
      <c r="B34" s="732">
        <v>219</v>
      </c>
      <c r="C34" s="732">
        <f>869.7996+400</f>
        <v>1269.7996000000001</v>
      </c>
      <c r="D34" s="818">
        <v>950</v>
      </c>
      <c r="E34" s="732"/>
      <c r="F34" s="732"/>
      <c r="G34" s="732"/>
      <c r="H34" s="817">
        <f>(366.5*1.3)/12</f>
        <v>39.704166666666666</v>
      </c>
      <c r="I34" s="732"/>
      <c r="J34" s="732"/>
      <c r="K34" s="816">
        <f>SUM(C34:J34)</f>
        <v>2259.5037666666672</v>
      </c>
      <c r="L34" s="732">
        <v>1000</v>
      </c>
      <c r="M34" s="732"/>
      <c r="N34" s="816">
        <f>+L34+M34</f>
        <v>1000</v>
      </c>
      <c r="O34" s="732">
        <f t="shared" ref="O34:O39" si="34">(K34*12)+N34</f>
        <v>28114.045200000008</v>
      </c>
      <c r="P34" s="732">
        <f t="shared" ref="P34:P39" si="35">B34*O34</f>
        <v>6156975.8988000015</v>
      </c>
      <c r="Q34" s="732">
        <v>219</v>
      </c>
      <c r="R34" s="732">
        <v>1314.4373515981736</v>
      </c>
      <c r="S34" s="818">
        <v>1070</v>
      </c>
      <c r="T34" s="732"/>
      <c r="U34" s="732"/>
      <c r="V34" s="732"/>
      <c r="W34" s="817"/>
      <c r="X34" s="732"/>
      <c r="Y34" s="732"/>
      <c r="Z34" s="816">
        <f>SUM(R34:Y34)</f>
        <v>2384.4373515981733</v>
      </c>
      <c r="AA34" s="732">
        <v>1000</v>
      </c>
      <c r="AB34" s="732"/>
      <c r="AC34" s="816">
        <f>+AA34+AB34</f>
        <v>1000</v>
      </c>
      <c r="AD34" s="732">
        <f t="shared" ref="AD34:AD39" si="36">(Z34*12)+AC34</f>
        <v>29613.24821917808</v>
      </c>
      <c r="AE34" s="732">
        <f t="shared" ref="AE34:AE39" si="37">Q34*AD34</f>
        <v>6485301.3599999994</v>
      </c>
      <c r="AF34" s="732">
        <f t="shared" ref="AF34:AG39" si="38">+O34-AD34</f>
        <v>-1499.2030191780723</v>
      </c>
      <c r="AG34" s="732">
        <f t="shared" si="38"/>
        <v>-328325.46119999792</v>
      </c>
      <c r="AH34" s="732">
        <v>219</v>
      </c>
      <c r="AI34" s="816">
        <v>6485301.3599999994</v>
      </c>
    </row>
    <row r="35" spans="1:35">
      <c r="A35" s="687" t="s">
        <v>6969</v>
      </c>
      <c r="B35" s="732">
        <v>305</v>
      </c>
      <c r="C35" s="732">
        <f>861.5728+400</f>
        <v>1261.5727999999999</v>
      </c>
      <c r="D35" s="818">
        <v>950</v>
      </c>
      <c r="E35" s="732"/>
      <c r="F35" s="732"/>
      <c r="G35" s="732"/>
      <c r="H35" s="817">
        <f>(366.5*1.3)/12</f>
        <v>39.704166666666666</v>
      </c>
      <c r="I35" s="732"/>
      <c r="J35" s="732"/>
      <c r="K35" s="816">
        <f>SUM(C35:J35)</f>
        <v>2251.2769666666668</v>
      </c>
      <c r="L35" s="732">
        <v>1000</v>
      </c>
      <c r="M35" s="732"/>
      <c r="N35" s="816">
        <f>+L35+M35</f>
        <v>1000</v>
      </c>
      <c r="O35" s="732">
        <f t="shared" si="34"/>
        <v>28015.323600000003</v>
      </c>
      <c r="P35" s="732">
        <f t="shared" si="35"/>
        <v>8544673.6980000008</v>
      </c>
      <c r="Q35" s="732">
        <v>305</v>
      </c>
      <c r="R35" s="732">
        <v>1302.9240000000018</v>
      </c>
      <c r="S35" s="818">
        <v>1070</v>
      </c>
      <c r="T35" s="732"/>
      <c r="U35" s="732"/>
      <c r="V35" s="732"/>
      <c r="W35" s="817"/>
      <c r="X35" s="732"/>
      <c r="Y35" s="732"/>
      <c r="Z35" s="816">
        <f>SUM(R35:Y35)</f>
        <v>2372.9240000000018</v>
      </c>
      <c r="AA35" s="732">
        <v>1000</v>
      </c>
      <c r="AB35" s="732"/>
      <c r="AC35" s="816">
        <f>+AA35+AB35</f>
        <v>1000</v>
      </c>
      <c r="AD35" s="732">
        <f t="shared" si="36"/>
        <v>29475.088000000022</v>
      </c>
      <c r="AE35" s="732">
        <f t="shared" si="37"/>
        <v>8989901.8400000073</v>
      </c>
      <c r="AF35" s="732">
        <f t="shared" si="38"/>
        <v>-1459.7644000000182</v>
      </c>
      <c r="AG35" s="732">
        <f t="shared" si="38"/>
        <v>-445228.14200000651</v>
      </c>
      <c r="AH35" s="732">
        <v>305</v>
      </c>
      <c r="AI35" s="816">
        <v>8989901.8400000073</v>
      </c>
    </row>
    <row r="36" spans="1:35">
      <c r="A36" s="687" t="s">
        <v>6968</v>
      </c>
      <c r="B36" s="732">
        <v>566</v>
      </c>
      <c r="C36" s="732">
        <f>853.4176+400</f>
        <v>1253.4176</v>
      </c>
      <c r="D36" s="818">
        <v>950</v>
      </c>
      <c r="E36" s="732"/>
      <c r="F36" s="732"/>
      <c r="G36" s="732"/>
      <c r="H36" s="817">
        <f>(366.5*1.3)/12</f>
        <v>39.704166666666666</v>
      </c>
      <c r="I36" s="732"/>
      <c r="J36" s="732"/>
      <c r="K36" s="816">
        <f>SUM(C36:J36)</f>
        <v>2243.1217666666666</v>
      </c>
      <c r="L36" s="732">
        <v>1000</v>
      </c>
      <c r="M36" s="732"/>
      <c r="N36" s="816">
        <f>+L36+M36</f>
        <v>1000</v>
      </c>
      <c r="O36" s="732">
        <f t="shared" si="34"/>
        <v>27917.461199999998</v>
      </c>
      <c r="P36" s="732">
        <f t="shared" si="35"/>
        <v>15801283.039199999</v>
      </c>
      <c r="Q36" s="732">
        <v>566</v>
      </c>
      <c r="R36" s="732">
        <v>1290.3212014134215</v>
      </c>
      <c r="S36" s="818">
        <v>1070</v>
      </c>
      <c r="T36" s="732"/>
      <c r="U36" s="732"/>
      <c r="V36" s="732"/>
      <c r="W36" s="817"/>
      <c r="X36" s="732"/>
      <c r="Y36" s="732"/>
      <c r="Z36" s="816">
        <f>SUM(R36:Y36)</f>
        <v>2360.3212014134215</v>
      </c>
      <c r="AA36" s="732">
        <v>1000</v>
      </c>
      <c r="AB36" s="732"/>
      <c r="AC36" s="816">
        <f>+AA36+AB36</f>
        <v>1000</v>
      </c>
      <c r="AD36" s="732">
        <f t="shared" si="36"/>
        <v>29323.854416961058</v>
      </c>
      <c r="AE36" s="732">
        <f t="shared" si="37"/>
        <v>16597301.599999959</v>
      </c>
      <c r="AF36" s="732">
        <f t="shared" si="38"/>
        <v>-1406.3932169610598</v>
      </c>
      <c r="AG36" s="732">
        <f t="shared" si="38"/>
        <v>-796018.56079996005</v>
      </c>
      <c r="AH36" s="732">
        <v>566</v>
      </c>
      <c r="AI36" s="816">
        <v>16597301.599999959</v>
      </c>
    </row>
    <row r="37" spans="1:35">
      <c r="A37" s="687" t="s">
        <v>6967</v>
      </c>
      <c r="B37" s="732">
        <v>66</v>
      </c>
      <c r="C37" s="732">
        <f>845.2824+400</f>
        <v>1245.2824000000001</v>
      </c>
      <c r="D37" s="818">
        <v>950</v>
      </c>
      <c r="E37" s="732"/>
      <c r="F37" s="732"/>
      <c r="G37" s="732"/>
      <c r="H37" s="817">
        <f>(366.5*1.3)/12</f>
        <v>39.704166666666666</v>
      </c>
      <c r="I37" s="732"/>
      <c r="J37" s="732"/>
      <c r="K37" s="816">
        <f>SUM(C37:J37)</f>
        <v>2234.9865666666669</v>
      </c>
      <c r="L37" s="732">
        <v>1000</v>
      </c>
      <c r="M37" s="732"/>
      <c r="N37" s="816">
        <f>+L37+M37</f>
        <v>1000</v>
      </c>
      <c r="O37" s="732">
        <f t="shared" si="34"/>
        <v>27819.838800000005</v>
      </c>
      <c r="P37" s="732">
        <f t="shared" si="35"/>
        <v>1836109.3608000004</v>
      </c>
      <c r="Q37" s="732">
        <v>66</v>
      </c>
      <c r="R37" s="732">
        <v>1289.0690909090908</v>
      </c>
      <c r="S37" s="818">
        <v>1070</v>
      </c>
      <c r="T37" s="732"/>
      <c r="U37" s="732"/>
      <c r="V37" s="732"/>
      <c r="W37" s="817"/>
      <c r="X37" s="732"/>
      <c r="Y37" s="732"/>
      <c r="Z37" s="816">
        <f>SUM(R37:Y37)</f>
        <v>2359.0690909090908</v>
      </c>
      <c r="AA37" s="732">
        <v>1000</v>
      </c>
      <c r="AB37" s="732"/>
      <c r="AC37" s="816">
        <f>+AA37+AB37</f>
        <v>1000</v>
      </c>
      <c r="AD37" s="732">
        <f t="shared" si="36"/>
        <v>29308.82909090909</v>
      </c>
      <c r="AE37" s="732">
        <f t="shared" si="37"/>
        <v>1934382.72</v>
      </c>
      <c r="AF37" s="732">
        <f t="shared" si="38"/>
        <v>-1488.9902909090852</v>
      </c>
      <c r="AG37" s="732">
        <f t="shared" si="38"/>
        <v>-98273.359199999599</v>
      </c>
      <c r="AH37" s="732">
        <v>66</v>
      </c>
      <c r="AI37" s="816">
        <v>1934382.72</v>
      </c>
    </row>
    <row r="38" spans="1:35">
      <c r="A38" s="687" t="s">
        <v>18</v>
      </c>
      <c r="B38" s="732">
        <v>100</v>
      </c>
      <c r="C38" s="732">
        <f>837.1888+400</f>
        <v>1237.1887999999999</v>
      </c>
      <c r="D38" s="818">
        <v>950</v>
      </c>
      <c r="E38" s="732"/>
      <c r="F38" s="732"/>
      <c r="G38" s="732"/>
      <c r="H38" s="817">
        <f>(366.5*1.3)/12</f>
        <v>39.704166666666666</v>
      </c>
      <c r="I38" s="732"/>
      <c r="J38" s="732"/>
      <c r="K38" s="816">
        <f>SUM(C38:J38)</f>
        <v>2226.8929666666668</v>
      </c>
      <c r="L38" s="732">
        <v>1000</v>
      </c>
      <c r="M38" s="732"/>
      <c r="N38" s="816">
        <f>+L38+M38</f>
        <v>1000</v>
      </c>
      <c r="O38" s="732">
        <f t="shared" si="34"/>
        <v>27722.715600000003</v>
      </c>
      <c r="P38" s="732">
        <f t="shared" si="35"/>
        <v>2772271.5600000005</v>
      </c>
      <c r="Q38" s="732">
        <v>100</v>
      </c>
      <c r="R38" s="732">
        <v>1269.4270999999999</v>
      </c>
      <c r="S38" s="818">
        <v>1070</v>
      </c>
      <c r="T38" s="732"/>
      <c r="U38" s="732"/>
      <c r="V38" s="732"/>
      <c r="W38" s="817"/>
      <c r="X38" s="732"/>
      <c r="Y38" s="732"/>
      <c r="Z38" s="816">
        <f>SUM(R38:Y38)</f>
        <v>2339.4270999999999</v>
      </c>
      <c r="AA38" s="732">
        <v>1000</v>
      </c>
      <c r="AB38" s="732"/>
      <c r="AC38" s="816">
        <f>+AA38+AB38</f>
        <v>1000</v>
      </c>
      <c r="AD38" s="732">
        <f t="shared" si="36"/>
        <v>29073.125199999999</v>
      </c>
      <c r="AE38" s="732">
        <f t="shared" si="37"/>
        <v>2907312.52</v>
      </c>
      <c r="AF38" s="732">
        <f t="shared" si="38"/>
        <v>-1350.4095999999954</v>
      </c>
      <c r="AG38" s="732">
        <f t="shared" si="38"/>
        <v>-135040.9599999995</v>
      </c>
      <c r="AH38" s="732">
        <v>100</v>
      </c>
      <c r="AI38" s="816">
        <v>2907312.52</v>
      </c>
    </row>
    <row r="39" spans="1:35">
      <c r="A39" s="687" t="s">
        <v>6966</v>
      </c>
      <c r="B39" s="732"/>
      <c r="C39" s="732"/>
      <c r="D39" s="732"/>
      <c r="E39" s="732"/>
      <c r="F39" s="732"/>
      <c r="G39" s="732"/>
      <c r="H39" s="817"/>
      <c r="I39" s="732"/>
      <c r="J39" s="732"/>
      <c r="K39" s="816"/>
      <c r="L39" s="732"/>
      <c r="M39" s="732"/>
      <c r="N39" s="816"/>
      <c r="O39" s="732">
        <f t="shared" si="34"/>
        <v>0</v>
      </c>
      <c r="P39" s="732">
        <f t="shared" si="35"/>
        <v>0</v>
      </c>
      <c r="Q39" s="732"/>
      <c r="R39" s="732">
        <v>1261.6670999999999</v>
      </c>
      <c r="S39" s="732">
        <v>1070</v>
      </c>
      <c r="T39" s="732"/>
      <c r="U39" s="732"/>
      <c r="V39" s="732"/>
      <c r="W39" s="817"/>
      <c r="X39" s="732"/>
      <c r="Y39" s="732"/>
      <c r="Z39" s="816"/>
      <c r="AA39" s="732"/>
      <c r="AB39" s="732"/>
      <c r="AC39" s="816"/>
      <c r="AD39" s="732">
        <f t="shared" si="36"/>
        <v>0</v>
      </c>
      <c r="AE39" s="732">
        <f t="shared" si="37"/>
        <v>0</v>
      </c>
      <c r="AF39" s="732">
        <f t="shared" si="38"/>
        <v>0</v>
      </c>
      <c r="AG39" s="732">
        <f t="shared" si="38"/>
        <v>0</v>
      </c>
      <c r="AH39" s="732">
        <v>0</v>
      </c>
      <c r="AI39" s="816"/>
    </row>
    <row r="40" spans="1:35">
      <c r="A40" s="685" t="s">
        <v>7064</v>
      </c>
      <c r="B40" s="821">
        <f t="shared" ref="B40:AI40" si="39">B41</f>
        <v>9</v>
      </c>
      <c r="C40" s="821">
        <f t="shared" si="39"/>
        <v>2007</v>
      </c>
      <c r="D40" s="821">
        <f t="shared" si="39"/>
        <v>850</v>
      </c>
      <c r="E40" s="821">
        <f t="shared" si="39"/>
        <v>0</v>
      </c>
      <c r="F40" s="821">
        <f t="shared" si="39"/>
        <v>0</v>
      </c>
      <c r="G40" s="821">
        <f t="shared" si="39"/>
        <v>0</v>
      </c>
      <c r="H40" s="821">
        <f t="shared" si="39"/>
        <v>39.704166666666666</v>
      </c>
      <c r="I40" s="821">
        <f t="shared" si="39"/>
        <v>0</v>
      </c>
      <c r="J40" s="821">
        <f t="shared" si="39"/>
        <v>0</v>
      </c>
      <c r="K40" s="821">
        <f t="shared" si="39"/>
        <v>2896.7041666666669</v>
      </c>
      <c r="L40" s="821">
        <f t="shared" si="39"/>
        <v>1000</v>
      </c>
      <c r="M40" s="821">
        <f t="shared" si="39"/>
        <v>0</v>
      </c>
      <c r="N40" s="821">
        <f t="shared" si="39"/>
        <v>1000</v>
      </c>
      <c r="O40" s="821">
        <f t="shared" si="39"/>
        <v>35760.450000000004</v>
      </c>
      <c r="P40" s="821">
        <f t="shared" si="39"/>
        <v>321844.05000000005</v>
      </c>
      <c r="Q40" s="821">
        <f t="shared" si="39"/>
        <v>9</v>
      </c>
      <c r="R40" s="821">
        <f t="shared" si="39"/>
        <v>2721.5699999999997</v>
      </c>
      <c r="S40" s="821">
        <f t="shared" si="39"/>
        <v>1070</v>
      </c>
      <c r="T40" s="821">
        <f t="shared" si="39"/>
        <v>0</v>
      </c>
      <c r="U40" s="821">
        <f t="shared" si="39"/>
        <v>0</v>
      </c>
      <c r="V40" s="821">
        <f t="shared" si="39"/>
        <v>0</v>
      </c>
      <c r="W40" s="821">
        <f t="shared" si="39"/>
        <v>0</v>
      </c>
      <c r="X40" s="821">
        <f t="shared" si="39"/>
        <v>0</v>
      </c>
      <c r="Y40" s="821">
        <f t="shared" si="39"/>
        <v>0</v>
      </c>
      <c r="Z40" s="821">
        <f t="shared" si="39"/>
        <v>3791.5699999999997</v>
      </c>
      <c r="AA40" s="821">
        <f t="shared" si="39"/>
        <v>1000</v>
      </c>
      <c r="AB40" s="821">
        <f t="shared" si="39"/>
        <v>0</v>
      </c>
      <c r="AC40" s="821">
        <f t="shared" si="39"/>
        <v>1000</v>
      </c>
      <c r="AD40" s="821">
        <f t="shared" si="39"/>
        <v>46498.84</v>
      </c>
      <c r="AE40" s="821">
        <f t="shared" si="39"/>
        <v>418489.55999999994</v>
      </c>
      <c r="AF40" s="821">
        <f t="shared" si="39"/>
        <v>-10738.389999999992</v>
      </c>
      <c r="AG40" s="821">
        <f t="shared" si="39"/>
        <v>-96645.509999999893</v>
      </c>
      <c r="AH40" s="821">
        <f t="shared" si="39"/>
        <v>9</v>
      </c>
      <c r="AI40" s="821">
        <f t="shared" si="39"/>
        <v>418489.55999999994</v>
      </c>
    </row>
    <row r="41" spans="1:35">
      <c r="A41" s="687" t="s">
        <v>7053</v>
      </c>
      <c r="B41" s="732">
        <v>9</v>
      </c>
      <c r="C41" s="732">
        <f>1607+400</f>
        <v>2007</v>
      </c>
      <c r="D41" s="732">
        <v>850</v>
      </c>
      <c r="E41" s="732"/>
      <c r="F41" s="732"/>
      <c r="G41" s="732"/>
      <c r="H41" s="817">
        <f>(366.5*1.3)/12</f>
        <v>39.704166666666666</v>
      </c>
      <c r="I41" s="732"/>
      <c r="J41" s="732"/>
      <c r="K41" s="816">
        <f>SUM(C41:J41)</f>
        <v>2896.7041666666669</v>
      </c>
      <c r="L41" s="816">
        <v>1000</v>
      </c>
      <c r="M41" s="816"/>
      <c r="N41" s="816">
        <f>+L41+M41</f>
        <v>1000</v>
      </c>
      <c r="O41" s="732">
        <f>(K41*12)+N41</f>
        <v>35760.450000000004</v>
      </c>
      <c r="P41" s="732">
        <f>B41*O41</f>
        <v>321844.05000000005</v>
      </c>
      <c r="Q41" s="732">
        <v>9</v>
      </c>
      <c r="R41" s="732">
        <v>2721.5699999999997</v>
      </c>
      <c r="S41" s="732">
        <v>1070</v>
      </c>
      <c r="T41" s="732"/>
      <c r="U41" s="732"/>
      <c r="V41" s="732"/>
      <c r="W41" s="817"/>
      <c r="X41" s="732"/>
      <c r="Y41" s="732"/>
      <c r="Z41" s="816">
        <f>SUM(R41:Y41)</f>
        <v>3791.5699999999997</v>
      </c>
      <c r="AA41" s="816">
        <v>1000</v>
      </c>
      <c r="AB41" s="816"/>
      <c r="AC41" s="816">
        <f>+AA41+AB41</f>
        <v>1000</v>
      </c>
      <c r="AD41" s="732">
        <f>(Z41*12)+AC41</f>
        <v>46498.84</v>
      </c>
      <c r="AE41" s="732">
        <f>Q41*AD41</f>
        <v>418489.55999999994</v>
      </c>
      <c r="AF41" s="732">
        <f>+O41-AD41</f>
        <v>-10738.389999999992</v>
      </c>
      <c r="AG41" s="732">
        <f>+P41-AE41</f>
        <v>-96645.509999999893</v>
      </c>
      <c r="AH41" s="732">
        <v>9</v>
      </c>
      <c r="AI41" s="816">
        <v>418489.55999999994</v>
      </c>
    </row>
    <row r="42" spans="1:35" hidden="1">
      <c r="A42" s="692"/>
      <c r="B42" s="822"/>
      <c r="C42" s="822"/>
      <c r="D42" s="822"/>
      <c r="E42" s="822"/>
      <c r="F42" s="822"/>
      <c r="G42" s="822"/>
      <c r="H42" s="822"/>
      <c r="I42" s="822"/>
      <c r="J42" s="822"/>
      <c r="K42" s="822"/>
      <c r="L42" s="822"/>
      <c r="M42" s="822"/>
      <c r="N42" s="822"/>
      <c r="O42" s="822"/>
      <c r="P42" s="822"/>
      <c r="Q42" s="822"/>
      <c r="R42" s="822"/>
      <c r="S42" s="822"/>
      <c r="T42" s="822"/>
      <c r="U42" s="822"/>
      <c r="V42" s="822"/>
      <c r="W42" s="822"/>
      <c r="X42" s="822"/>
      <c r="Y42" s="822"/>
      <c r="Z42" s="822"/>
      <c r="AA42" s="822"/>
      <c r="AB42" s="822"/>
      <c r="AC42" s="822"/>
      <c r="AD42" s="822"/>
      <c r="AE42" s="822"/>
      <c r="AF42" s="822"/>
      <c r="AG42" s="822"/>
      <c r="AH42" s="822"/>
      <c r="AI42" s="822"/>
    </row>
    <row r="43" spans="1:35" hidden="1">
      <c r="A43" s="685" t="s">
        <v>57</v>
      </c>
      <c r="B43" s="823"/>
      <c r="C43" s="823"/>
      <c r="D43" s="823"/>
      <c r="E43" s="823"/>
      <c r="F43" s="823"/>
      <c r="G43" s="823"/>
      <c r="H43" s="823"/>
      <c r="I43" s="823"/>
      <c r="J43" s="823"/>
      <c r="K43" s="823"/>
      <c r="L43" s="823"/>
      <c r="M43" s="823"/>
      <c r="N43" s="823"/>
      <c r="O43" s="823"/>
      <c r="P43" s="823"/>
      <c r="Q43" s="823"/>
      <c r="R43" s="823"/>
      <c r="S43" s="823"/>
      <c r="T43" s="823"/>
      <c r="U43" s="823"/>
      <c r="V43" s="823"/>
      <c r="W43" s="823"/>
      <c r="X43" s="823"/>
      <c r="Y43" s="823"/>
      <c r="Z43" s="823"/>
      <c r="AA43" s="823"/>
      <c r="AB43" s="823"/>
      <c r="AC43" s="823"/>
      <c r="AD43" s="823"/>
      <c r="AE43" s="823"/>
      <c r="AF43" s="823"/>
      <c r="AG43" s="823"/>
      <c r="AH43" s="823"/>
      <c r="AI43" s="823"/>
    </row>
    <row r="44" spans="1:35" hidden="1">
      <c r="A44" s="692"/>
      <c r="B44" s="822"/>
      <c r="C44" s="822"/>
      <c r="D44" s="822"/>
      <c r="E44" s="822"/>
      <c r="F44" s="822"/>
      <c r="G44" s="822"/>
      <c r="H44" s="822"/>
      <c r="I44" s="822"/>
      <c r="J44" s="822"/>
      <c r="K44" s="822"/>
      <c r="L44" s="822"/>
      <c r="M44" s="822"/>
      <c r="N44" s="822"/>
      <c r="O44" s="822"/>
      <c r="P44" s="822"/>
      <c r="Q44" s="822"/>
      <c r="R44" s="822"/>
      <c r="S44" s="822"/>
      <c r="T44" s="822"/>
      <c r="U44" s="822"/>
      <c r="V44" s="822"/>
      <c r="W44" s="822"/>
      <c r="X44" s="822"/>
      <c r="Y44" s="822"/>
      <c r="Z44" s="822"/>
      <c r="AA44" s="822"/>
      <c r="AB44" s="822"/>
      <c r="AC44" s="822"/>
      <c r="AD44" s="822"/>
      <c r="AE44" s="822"/>
      <c r="AF44" s="822"/>
      <c r="AG44" s="822"/>
      <c r="AH44" s="822"/>
      <c r="AI44" s="822"/>
    </row>
    <row r="45" spans="1:35" hidden="1">
      <c r="A45" s="692"/>
      <c r="B45" s="822"/>
      <c r="C45" s="822"/>
      <c r="D45" s="822"/>
      <c r="E45" s="822"/>
      <c r="F45" s="822"/>
      <c r="G45" s="822"/>
      <c r="H45" s="822"/>
      <c r="I45" s="822"/>
      <c r="J45" s="822"/>
      <c r="K45" s="822"/>
      <c r="L45" s="822"/>
      <c r="M45" s="822"/>
      <c r="N45" s="822"/>
      <c r="O45" s="822"/>
      <c r="P45" s="822"/>
      <c r="Q45" s="822"/>
      <c r="R45" s="822"/>
      <c r="S45" s="822"/>
      <c r="T45" s="822"/>
      <c r="U45" s="822"/>
      <c r="V45" s="822"/>
      <c r="W45" s="822"/>
      <c r="X45" s="822"/>
      <c r="Y45" s="822"/>
      <c r="Z45" s="822"/>
      <c r="AA45" s="822"/>
      <c r="AB45" s="822"/>
      <c r="AC45" s="822"/>
      <c r="AD45" s="822"/>
      <c r="AE45" s="822"/>
      <c r="AF45" s="822"/>
      <c r="AG45" s="822"/>
      <c r="AH45" s="822"/>
      <c r="AI45" s="822"/>
    </row>
    <row r="46" spans="1:35" ht="60">
      <c r="A46" s="697" t="s">
        <v>7155</v>
      </c>
      <c r="B46" s="696">
        <f t="shared" ref="B46:AI46" si="40">+B47+B62</f>
        <v>771</v>
      </c>
      <c r="C46" s="696">
        <f t="shared" si="40"/>
        <v>17449.23</v>
      </c>
      <c r="D46" s="696">
        <f t="shared" si="40"/>
        <v>0</v>
      </c>
      <c r="E46" s="696">
        <f t="shared" si="40"/>
        <v>0</v>
      </c>
      <c r="F46" s="696">
        <f t="shared" si="40"/>
        <v>0</v>
      </c>
      <c r="G46" s="696">
        <f t="shared" si="40"/>
        <v>0</v>
      </c>
      <c r="H46" s="696">
        <f t="shared" si="40"/>
        <v>397.04166666666657</v>
      </c>
      <c r="I46" s="696">
        <f t="shared" si="40"/>
        <v>0</v>
      </c>
      <c r="J46" s="696">
        <f t="shared" si="40"/>
        <v>0</v>
      </c>
      <c r="K46" s="696">
        <f t="shared" si="40"/>
        <v>17846.271666666664</v>
      </c>
      <c r="L46" s="696">
        <f t="shared" si="40"/>
        <v>13000</v>
      </c>
      <c r="M46" s="696">
        <f t="shared" si="40"/>
        <v>0</v>
      </c>
      <c r="N46" s="696">
        <f t="shared" si="40"/>
        <v>13000</v>
      </c>
      <c r="O46" s="696">
        <f t="shared" si="40"/>
        <v>227155.25999999998</v>
      </c>
      <c r="P46" s="696">
        <f t="shared" si="40"/>
        <v>17076309.990000002</v>
      </c>
      <c r="Q46" s="696">
        <f t="shared" si="40"/>
        <v>771</v>
      </c>
      <c r="R46" s="696">
        <f t="shared" si="40"/>
        <v>17449.23</v>
      </c>
      <c r="S46" s="696">
        <f t="shared" si="40"/>
        <v>0</v>
      </c>
      <c r="T46" s="696">
        <f t="shared" si="40"/>
        <v>0</v>
      </c>
      <c r="U46" s="696">
        <f t="shared" si="40"/>
        <v>0</v>
      </c>
      <c r="V46" s="696">
        <f t="shared" si="40"/>
        <v>0</v>
      </c>
      <c r="W46" s="696">
        <f t="shared" si="40"/>
        <v>397.04166666666657</v>
      </c>
      <c r="X46" s="696">
        <f t="shared" si="40"/>
        <v>0</v>
      </c>
      <c r="Y46" s="696">
        <f t="shared" si="40"/>
        <v>0</v>
      </c>
      <c r="Z46" s="696">
        <f t="shared" si="40"/>
        <v>17846.271666666664</v>
      </c>
      <c r="AA46" s="696">
        <f t="shared" si="40"/>
        <v>13000</v>
      </c>
      <c r="AB46" s="696">
        <f t="shared" si="40"/>
        <v>0</v>
      </c>
      <c r="AC46" s="696">
        <f t="shared" si="40"/>
        <v>13000</v>
      </c>
      <c r="AD46" s="696">
        <f t="shared" si="40"/>
        <v>227155.25999999998</v>
      </c>
      <c r="AE46" s="696">
        <f t="shared" si="40"/>
        <v>17076309.990000002</v>
      </c>
      <c r="AF46" s="696">
        <f t="shared" si="40"/>
        <v>0</v>
      </c>
      <c r="AG46" s="696">
        <f t="shared" si="40"/>
        <v>0</v>
      </c>
      <c r="AH46" s="696">
        <f t="shared" si="40"/>
        <v>771</v>
      </c>
      <c r="AI46" s="696">
        <f t="shared" si="40"/>
        <v>18921403.983524002</v>
      </c>
    </row>
    <row r="47" spans="1:35" ht="22.5">
      <c r="A47" s="688" t="s">
        <v>51</v>
      </c>
      <c r="B47" s="813">
        <f t="shared" ref="B47:AI47" si="41">SUM(B48:B61)</f>
        <v>771</v>
      </c>
      <c r="C47" s="813">
        <f t="shared" si="41"/>
        <v>17449.23</v>
      </c>
      <c r="D47" s="813">
        <f t="shared" si="41"/>
        <v>0</v>
      </c>
      <c r="E47" s="813">
        <f t="shared" si="41"/>
        <v>0</v>
      </c>
      <c r="F47" s="813">
        <f t="shared" si="41"/>
        <v>0</v>
      </c>
      <c r="G47" s="813">
        <f t="shared" si="41"/>
        <v>0</v>
      </c>
      <c r="H47" s="813">
        <f t="shared" si="41"/>
        <v>397.04166666666657</v>
      </c>
      <c r="I47" s="813">
        <f t="shared" si="41"/>
        <v>0</v>
      </c>
      <c r="J47" s="813">
        <f t="shared" si="41"/>
        <v>0</v>
      </c>
      <c r="K47" s="813">
        <f t="shared" si="41"/>
        <v>17846.271666666664</v>
      </c>
      <c r="L47" s="813">
        <f t="shared" si="41"/>
        <v>13000</v>
      </c>
      <c r="M47" s="813">
        <f t="shared" si="41"/>
        <v>0</v>
      </c>
      <c r="N47" s="813">
        <f t="shared" si="41"/>
        <v>13000</v>
      </c>
      <c r="O47" s="813">
        <f t="shared" si="41"/>
        <v>227155.25999999998</v>
      </c>
      <c r="P47" s="813">
        <f t="shared" si="41"/>
        <v>17076309.990000002</v>
      </c>
      <c r="Q47" s="813">
        <f t="shared" si="41"/>
        <v>771</v>
      </c>
      <c r="R47" s="813">
        <f t="shared" si="41"/>
        <v>17449.23</v>
      </c>
      <c r="S47" s="813">
        <f t="shared" si="41"/>
        <v>0</v>
      </c>
      <c r="T47" s="813">
        <f t="shared" si="41"/>
        <v>0</v>
      </c>
      <c r="U47" s="813">
        <f t="shared" si="41"/>
        <v>0</v>
      </c>
      <c r="V47" s="813">
        <f t="shared" si="41"/>
        <v>0</v>
      </c>
      <c r="W47" s="813">
        <f t="shared" si="41"/>
        <v>397.04166666666657</v>
      </c>
      <c r="X47" s="813">
        <f t="shared" si="41"/>
        <v>0</v>
      </c>
      <c r="Y47" s="813">
        <f t="shared" si="41"/>
        <v>0</v>
      </c>
      <c r="Z47" s="813">
        <f t="shared" si="41"/>
        <v>17846.271666666664</v>
      </c>
      <c r="AA47" s="813">
        <f t="shared" si="41"/>
        <v>13000</v>
      </c>
      <c r="AB47" s="813">
        <f t="shared" si="41"/>
        <v>0</v>
      </c>
      <c r="AC47" s="813">
        <f t="shared" si="41"/>
        <v>13000</v>
      </c>
      <c r="AD47" s="813">
        <f t="shared" si="41"/>
        <v>227155.25999999998</v>
      </c>
      <c r="AE47" s="813">
        <f t="shared" si="41"/>
        <v>17076309.990000002</v>
      </c>
      <c r="AF47" s="813">
        <f t="shared" si="41"/>
        <v>0</v>
      </c>
      <c r="AG47" s="813">
        <f t="shared" si="41"/>
        <v>0</v>
      </c>
      <c r="AH47" s="813">
        <f t="shared" si="41"/>
        <v>728</v>
      </c>
      <c r="AI47" s="813">
        <f t="shared" si="41"/>
        <v>17915946.283524003</v>
      </c>
    </row>
    <row r="48" spans="1:35">
      <c r="A48" s="687" t="s">
        <v>7030</v>
      </c>
      <c r="B48" s="824">
        <f>78+13+5</f>
        <v>96</v>
      </c>
      <c r="C48" s="816">
        <v>2591.5</v>
      </c>
      <c r="D48" s="824"/>
      <c r="E48" s="824"/>
      <c r="F48" s="824"/>
      <c r="G48" s="824"/>
      <c r="H48" s="817"/>
      <c r="I48" s="824"/>
      <c r="J48" s="824"/>
      <c r="K48" s="816">
        <f>SUM(C48:J48)</f>
        <v>2591.5</v>
      </c>
      <c r="L48" s="824">
        <f>300+300+400</f>
        <v>1000</v>
      </c>
      <c r="M48" s="824"/>
      <c r="N48" s="816">
        <f>+L48+M48</f>
        <v>1000</v>
      </c>
      <c r="O48" s="732">
        <f>+(K48*12)+N48</f>
        <v>32098</v>
      </c>
      <c r="P48" s="732">
        <f>+B48*O48</f>
        <v>3081408</v>
      </c>
      <c r="Q48" s="824">
        <f>78+13+5</f>
        <v>96</v>
      </c>
      <c r="R48" s="816">
        <v>2591.5</v>
      </c>
      <c r="S48" s="824"/>
      <c r="T48" s="824"/>
      <c r="U48" s="824"/>
      <c r="V48" s="824"/>
      <c r="W48" s="817"/>
      <c r="X48" s="824"/>
      <c r="Y48" s="824"/>
      <c r="Z48" s="816">
        <f>SUM(R48:Y48)</f>
        <v>2591.5</v>
      </c>
      <c r="AA48" s="824">
        <f>300+300+400</f>
        <v>1000</v>
      </c>
      <c r="AB48" s="824"/>
      <c r="AC48" s="816">
        <f>+AA48+AB48</f>
        <v>1000</v>
      </c>
      <c r="AD48" s="732">
        <f>+(Z48*12)+AC48</f>
        <v>32098</v>
      </c>
      <c r="AE48" s="732">
        <f>+Q48*AD48</f>
        <v>3081408</v>
      </c>
      <c r="AF48" s="732">
        <f t="shared" ref="AF48:AF61" si="42">+O48-AD48</f>
        <v>0</v>
      </c>
      <c r="AG48" s="732">
        <f t="shared" ref="AG48:AG61" si="43">+P48-AE48</f>
        <v>0</v>
      </c>
      <c r="AH48" s="824">
        <v>84</v>
      </c>
      <c r="AI48" s="816">
        <v>2696232</v>
      </c>
    </row>
    <row r="49" spans="1:35">
      <c r="A49" s="687" t="s">
        <v>7029</v>
      </c>
      <c r="B49" s="824">
        <f>17+3</f>
        <v>20</v>
      </c>
      <c r="C49" s="816">
        <v>2280.52</v>
      </c>
      <c r="D49" s="824"/>
      <c r="E49" s="824"/>
      <c r="F49" s="824"/>
      <c r="G49" s="824"/>
      <c r="H49" s="817"/>
      <c r="I49" s="824"/>
      <c r="J49" s="824"/>
      <c r="K49" s="816">
        <f>SUM(C49:J49)</f>
        <v>2280.52</v>
      </c>
      <c r="L49" s="824">
        <f>300+300+400</f>
        <v>1000</v>
      </c>
      <c r="M49" s="824"/>
      <c r="N49" s="816">
        <f>+L49+M49</f>
        <v>1000</v>
      </c>
      <c r="O49" s="732">
        <f>+(K49*12)+N49</f>
        <v>28366.239999999998</v>
      </c>
      <c r="P49" s="732">
        <f>+B49*O49</f>
        <v>567324.79999999993</v>
      </c>
      <c r="Q49" s="824">
        <f>17+3</f>
        <v>20</v>
      </c>
      <c r="R49" s="816">
        <v>2280.52</v>
      </c>
      <c r="S49" s="824"/>
      <c r="T49" s="824"/>
      <c r="U49" s="824"/>
      <c r="V49" s="824"/>
      <c r="W49" s="817"/>
      <c r="X49" s="824"/>
      <c r="Y49" s="824"/>
      <c r="Z49" s="816">
        <f>SUM(R49:Y49)</f>
        <v>2280.52</v>
      </c>
      <c r="AA49" s="824">
        <f>300+300+400</f>
        <v>1000</v>
      </c>
      <c r="AB49" s="824"/>
      <c r="AC49" s="816">
        <f>+AA49+AB49</f>
        <v>1000</v>
      </c>
      <c r="AD49" s="732">
        <f>+(Z49*12)+AC49</f>
        <v>28366.239999999998</v>
      </c>
      <c r="AE49" s="732">
        <f>+Q49*AD49</f>
        <v>567324.79999999993</v>
      </c>
      <c r="AF49" s="732">
        <f t="shared" si="42"/>
        <v>0</v>
      </c>
      <c r="AG49" s="732">
        <f t="shared" si="43"/>
        <v>0</v>
      </c>
      <c r="AH49" s="824">
        <v>18</v>
      </c>
      <c r="AI49" s="816">
        <v>510592.32</v>
      </c>
    </row>
    <row r="50" spans="1:35">
      <c r="A50" s="687" t="s">
        <v>7028</v>
      </c>
      <c r="B50" s="824">
        <f>330+10</f>
        <v>340</v>
      </c>
      <c r="C50" s="816">
        <v>2073.1999999999998</v>
      </c>
      <c r="D50" s="824"/>
      <c r="E50" s="824"/>
      <c r="F50" s="824"/>
      <c r="G50" s="824"/>
      <c r="H50" s="817"/>
      <c r="I50" s="824"/>
      <c r="J50" s="824"/>
      <c r="K50" s="816">
        <f>SUM(C50:J50)</f>
        <v>2073.1999999999998</v>
      </c>
      <c r="L50" s="824">
        <f>300+300+400</f>
        <v>1000</v>
      </c>
      <c r="M50" s="824"/>
      <c r="N50" s="816">
        <f>+L50+M50</f>
        <v>1000</v>
      </c>
      <c r="O50" s="732">
        <f>+(K50*12)+N50</f>
        <v>25878.399999999998</v>
      </c>
      <c r="P50" s="732">
        <f>+B50*O50</f>
        <v>8798656</v>
      </c>
      <c r="Q50" s="824">
        <f>330+10</f>
        <v>340</v>
      </c>
      <c r="R50" s="816">
        <v>2073.1999999999998</v>
      </c>
      <c r="S50" s="824"/>
      <c r="T50" s="824"/>
      <c r="U50" s="824"/>
      <c r="V50" s="824"/>
      <c r="W50" s="817"/>
      <c r="X50" s="824"/>
      <c r="Y50" s="824"/>
      <c r="Z50" s="816">
        <f>SUM(R50:Y50)</f>
        <v>2073.1999999999998</v>
      </c>
      <c r="AA50" s="824">
        <f>300+300+400</f>
        <v>1000</v>
      </c>
      <c r="AB50" s="824"/>
      <c r="AC50" s="816">
        <f>+AA50+AB50</f>
        <v>1000</v>
      </c>
      <c r="AD50" s="732">
        <f>+(Z50*12)+AC50</f>
        <v>25878.399999999998</v>
      </c>
      <c r="AE50" s="732">
        <f>+Q50*AD50</f>
        <v>8798656</v>
      </c>
      <c r="AF50" s="732">
        <f t="shared" si="42"/>
        <v>0</v>
      </c>
      <c r="AG50" s="732">
        <f t="shared" si="43"/>
        <v>0</v>
      </c>
      <c r="AH50" s="824">
        <v>489</v>
      </c>
      <c r="AI50" s="816">
        <v>12654537.6</v>
      </c>
    </row>
    <row r="51" spans="1:35" hidden="1">
      <c r="A51" s="693" t="s">
        <v>7013</v>
      </c>
      <c r="B51" s="824"/>
      <c r="C51" s="824"/>
      <c r="D51" s="824"/>
      <c r="E51" s="824"/>
      <c r="F51" s="824"/>
      <c r="G51" s="824"/>
      <c r="H51" s="824"/>
      <c r="I51" s="824"/>
      <c r="J51" s="824"/>
      <c r="K51" s="816"/>
      <c r="L51" s="824"/>
      <c r="M51" s="824"/>
      <c r="N51" s="824"/>
      <c r="O51" s="824"/>
      <c r="P51" s="824"/>
      <c r="Q51" s="824"/>
      <c r="R51" s="824"/>
      <c r="S51" s="824"/>
      <c r="T51" s="824"/>
      <c r="U51" s="824"/>
      <c r="V51" s="824"/>
      <c r="W51" s="824"/>
      <c r="X51" s="824"/>
      <c r="Y51" s="824"/>
      <c r="Z51" s="816"/>
      <c r="AA51" s="824"/>
      <c r="AB51" s="824"/>
      <c r="AC51" s="824"/>
      <c r="AD51" s="824"/>
      <c r="AE51" s="824"/>
      <c r="AF51" s="732">
        <f t="shared" si="42"/>
        <v>0</v>
      </c>
      <c r="AG51" s="732">
        <f t="shared" si="43"/>
        <v>0</v>
      </c>
      <c r="AH51" s="824"/>
      <c r="AI51" s="824"/>
    </row>
    <row r="52" spans="1:35">
      <c r="A52" s="693" t="s">
        <v>7012</v>
      </c>
      <c r="B52" s="732">
        <v>0</v>
      </c>
      <c r="C52" s="732">
        <v>1250</v>
      </c>
      <c r="D52" s="732"/>
      <c r="E52" s="732"/>
      <c r="F52" s="732"/>
      <c r="G52" s="732"/>
      <c r="H52" s="817">
        <f t="shared" ref="H52:H61" si="44">(366.5*1.3)/12</f>
        <v>39.704166666666666</v>
      </c>
      <c r="I52" s="732"/>
      <c r="J52" s="732"/>
      <c r="K52" s="816">
        <f t="shared" ref="K52:K61" si="45">SUM(C52:J52)</f>
        <v>1289.7041666666667</v>
      </c>
      <c r="L52" s="824">
        <f t="shared" ref="L52:L61" si="46">300+300+400</f>
        <v>1000</v>
      </c>
      <c r="M52" s="732"/>
      <c r="N52" s="816">
        <f t="shared" ref="N52:N61" si="47">+L52+M52</f>
        <v>1000</v>
      </c>
      <c r="O52" s="732">
        <f>+(K52*12)+N52</f>
        <v>16476.45</v>
      </c>
      <c r="P52" s="732">
        <f>+B52*O52</f>
        <v>0</v>
      </c>
      <c r="Q52" s="732">
        <v>0</v>
      </c>
      <c r="R52" s="732">
        <v>1250</v>
      </c>
      <c r="S52" s="732"/>
      <c r="T52" s="732"/>
      <c r="U52" s="732"/>
      <c r="V52" s="732"/>
      <c r="W52" s="817">
        <f t="shared" ref="W52:W61" si="48">(366.5*1.3)/12</f>
        <v>39.704166666666666</v>
      </c>
      <c r="X52" s="732"/>
      <c r="Y52" s="732"/>
      <c r="Z52" s="816">
        <f t="shared" ref="Z52:Z61" si="49">SUM(R52:Y52)</f>
        <v>1289.7041666666667</v>
      </c>
      <c r="AA52" s="824">
        <f t="shared" ref="AA52:AA61" si="50">300+300+400</f>
        <v>1000</v>
      </c>
      <c r="AB52" s="732"/>
      <c r="AC52" s="816">
        <f t="shared" ref="AC52:AC61" si="51">+AA52+AB52</f>
        <v>1000</v>
      </c>
      <c r="AD52" s="732">
        <f>+(Z52*12)+AC52</f>
        <v>16476.45</v>
      </c>
      <c r="AE52" s="732">
        <f>+Q52*AD52</f>
        <v>0</v>
      </c>
      <c r="AF52" s="732">
        <f t="shared" si="42"/>
        <v>0</v>
      </c>
      <c r="AG52" s="732">
        <f t="shared" si="43"/>
        <v>0</v>
      </c>
      <c r="AH52" s="732"/>
      <c r="AI52" s="816"/>
    </row>
    <row r="53" spans="1:35">
      <c r="A53" s="693" t="s">
        <v>7011</v>
      </c>
      <c r="B53" s="732">
        <v>0</v>
      </c>
      <c r="C53" s="732">
        <v>1210</v>
      </c>
      <c r="D53" s="732"/>
      <c r="E53" s="732"/>
      <c r="F53" s="732"/>
      <c r="G53" s="732"/>
      <c r="H53" s="817">
        <f t="shared" si="44"/>
        <v>39.704166666666666</v>
      </c>
      <c r="I53" s="732"/>
      <c r="J53" s="732"/>
      <c r="K53" s="816">
        <f t="shared" si="45"/>
        <v>1249.7041666666667</v>
      </c>
      <c r="L53" s="824">
        <f t="shared" si="46"/>
        <v>1000</v>
      </c>
      <c r="M53" s="732"/>
      <c r="N53" s="816">
        <f t="shared" si="47"/>
        <v>1000</v>
      </c>
      <c r="O53" s="732">
        <f>(K53*12)+N53</f>
        <v>15996.45</v>
      </c>
      <c r="P53" s="732">
        <f t="shared" ref="P53:P61" si="52">B53*O53</f>
        <v>0</v>
      </c>
      <c r="Q53" s="732">
        <v>0</v>
      </c>
      <c r="R53" s="732">
        <v>1210</v>
      </c>
      <c r="S53" s="732"/>
      <c r="T53" s="732"/>
      <c r="U53" s="732"/>
      <c r="V53" s="732"/>
      <c r="W53" s="817">
        <f t="shared" si="48"/>
        <v>39.704166666666666</v>
      </c>
      <c r="X53" s="732"/>
      <c r="Y53" s="732"/>
      <c r="Z53" s="816">
        <f t="shared" si="49"/>
        <v>1249.7041666666667</v>
      </c>
      <c r="AA53" s="824">
        <f t="shared" si="50"/>
        <v>1000</v>
      </c>
      <c r="AB53" s="732"/>
      <c r="AC53" s="816">
        <f t="shared" si="51"/>
        <v>1000</v>
      </c>
      <c r="AD53" s="732">
        <f>(Z53*12)+AC53</f>
        <v>15996.45</v>
      </c>
      <c r="AE53" s="732">
        <f t="shared" ref="AE53:AE61" si="53">Q53*AD53</f>
        <v>0</v>
      </c>
      <c r="AF53" s="732">
        <f t="shared" si="42"/>
        <v>0</v>
      </c>
      <c r="AG53" s="732">
        <f t="shared" si="43"/>
        <v>0</v>
      </c>
      <c r="AH53" s="732">
        <v>1</v>
      </c>
      <c r="AI53" s="816">
        <v>16146.45</v>
      </c>
    </row>
    <row r="54" spans="1:35">
      <c r="A54" s="693" t="s">
        <v>7042</v>
      </c>
      <c r="B54" s="732">
        <v>1</v>
      </c>
      <c r="C54" s="732">
        <v>1208.0450000000001</v>
      </c>
      <c r="D54" s="732"/>
      <c r="E54" s="732"/>
      <c r="F54" s="732"/>
      <c r="G54" s="732"/>
      <c r="H54" s="817">
        <f t="shared" si="44"/>
        <v>39.704166666666666</v>
      </c>
      <c r="I54" s="732"/>
      <c r="J54" s="732"/>
      <c r="K54" s="816">
        <f t="shared" si="45"/>
        <v>1247.7491666666667</v>
      </c>
      <c r="L54" s="824">
        <f t="shared" si="46"/>
        <v>1000</v>
      </c>
      <c r="M54" s="732"/>
      <c r="N54" s="816">
        <f t="shared" si="47"/>
        <v>1000</v>
      </c>
      <c r="O54" s="732">
        <f>(K54*12)+N54</f>
        <v>15972.990000000002</v>
      </c>
      <c r="P54" s="732">
        <f t="shared" si="52"/>
        <v>15972.990000000002</v>
      </c>
      <c r="Q54" s="732">
        <v>1</v>
      </c>
      <c r="R54" s="732">
        <v>1208.0450000000001</v>
      </c>
      <c r="S54" s="732"/>
      <c r="T54" s="732"/>
      <c r="U54" s="732"/>
      <c r="V54" s="732"/>
      <c r="W54" s="817">
        <f t="shared" si="48"/>
        <v>39.704166666666666</v>
      </c>
      <c r="X54" s="732"/>
      <c r="Y54" s="732"/>
      <c r="Z54" s="816">
        <f t="shared" si="49"/>
        <v>1247.7491666666667</v>
      </c>
      <c r="AA54" s="824">
        <f t="shared" si="50"/>
        <v>1000</v>
      </c>
      <c r="AB54" s="732"/>
      <c r="AC54" s="816">
        <f t="shared" si="51"/>
        <v>1000</v>
      </c>
      <c r="AD54" s="732">
        <f>(Z54*12)+AC54</f>
        <v>15972.990000000002</v>
      </c>
      <c r="AE54" s="732">
        <f t="shared" si="53"/>
        <v>15972.990000000002</v>
      </c>
      <c r="AF54" s="732">
        <f t="shared" si="42"/>
        <v>0</v>
      </c>
      <c r="AG54" s="732">
        <f t="shared" si="43"/>
        <v>0</v>
      </c>
      <c r="AH54" s="732">
        <v>1</v>
      </c>
      <c r="AI54" s="816">
        <v>15970.889999999996</v>
      </c>
    </row>
    <row r="55" spans="1:35">
      <c r="A55" s="693" t="s">
        <v>7041</v>
      </c>
      <c r="B55" s="732">
        <v>0</v>
      </c>
      <c r="C55" s="732">
        <v>1150.08</v>
      </c>
      <c r="D55" s="732"/>
      <c r="E55" s="732"/>
      <c r="F55" s="732"/>
      <c r="G55" s="732"/>
      <c r="H55" s="817">
        <f t="shared" si="44"/>
        <v>39.704166666666666</v>
      </c>
      <c r="I55" s="732"/>
      <c r="J55" s="732"/>
      <c r="K55" s="816">
        <f t="shared" si="45"/>
        <v>1189.7841666666666</v>
      </c>
      <c r="L55" s="824">
        <f t="shared" si="46"/>
        <v>1000</v>
      </c>
      <c r="M55" s="732"/>
      <c r="N55" s="816">
        <f t="shared" si="47"/>
        <v>1000</v>
      </c>
      <c r="O55" s="732">
        <f>(K55*12)+N55</f>
        <v>15277.41</v>
      </c>
      <c r="P55" s="732">
        <f t="shared" si="52"/>
        <v>0</v>
      </c>
      <c r="Q55" s="732">
        <v>0</v>
      </c>
      <c r="R55" s="732">
        <v>1150.08</v>
      </c>
      <c r="S55" s="732"/>
      <c r="T55" s="732"/>
      <c r="U55" s="732"/>
      <c r="V55" s="732"/>
      <c r="W55" s="817">
        <f t="shared" si="48"/>
        <v>39.704166666666666</v>
      </c>
      <c r="X55" s="732"/>
      <c r="Y55" s="732"/>
      <c r="Z55" s="816">
        <f t="shared" si="49"/>
        <v>1189.7841666666666</v>
      </c>
      <c r="AA55" s="824">
        <f t="shared" si="50"/>
        <v>1000</v>
      </c>
      <c r="AB55" s="732"/>
      <c r="AC55" s="816">
        <f t="shared" si="51"/>
        <v>1000</v>
      </c>
      <c r="AD55" s="732">
        <f>(Z55*12)+AC55</f>
        <v>15277.41</v>
      </c>
      <c r="AE55" s="732">
        <f t="shared" si="53"/>
        <v>0</v>
      </c>
      <c r="AF55" s="732">
        <f t="shared" si="42"/>
        <v>0</v>
      </c>
      <c r="AG55" s="732">
        <f t="shared" si="43"/>
        <v>0</v>
      </c>
      <c r="AH55" s="732">
        <v>0</v>
      </c>
      <c r="AI55" s="816"/>
    </row>
    <row r="56" spans="1:35">
      <c r="A56" s="693" t="s">
        <v>7040</v>
      </c>
      <c r="B56" s="732">
        <v>263</v>
      </c>
      <c r="C56" s="732">
        <v>1140.42</v>
      </c>
      <c r="D56" s="732"/>
      <c r="E56" s="732"/>
      <c r="F56" s="732"/>
      <c r="G56" s="732"/>
      <c r="H56" s="817">
        <f t="shared" si="44"/>
        <v>39.704166666666666</v>
      </c>
      <c r="I56" s="732"/>
      <c r="J56" s="732"/>
      <c r="K56" s="816">
        <f t="shared" si="45"/>
        <v>1180.1241666666667</v>
      </c>
      <c r="L56" s="824">
        <f t="shared" si="46"/>
        <v>1000</v>
      </c>
      <c r="M56" s="732"/>
      <c r="N56" s="816">
        <f t="shared" si="47"/>
        <v>1000</v>
      </c>
      <c r="O56" s="732">
        <f>(K56*12)+N56</f>
        <v>15161.490000000002</v>
      </c>
      <c r="P56" s="732">
        <f t="shared" si="52"/>
        <v>3987471.8700000006</v>
      </c>
      <c r="Q56" s="732">
        <v>263</v>
      </c>
      <c r="R56" s="732">
        <v>1140.42</v>
      </c>
      <c r="S56" s="732"/>
      <c r="T56" s="732"/>
      <c r="U56" s="732"/>
      <c r="V56" s="732"/>
      <c r="W56" s="817">
        <f t="shared" si="48"/>
        <v>39.704166666666666</v>
      </c>
      <c r="X56" s="732"/>
      <c r="Y56" s="732"/>
      <c r="Z56" s="816">
        <f t="shared" si="49"/>
        <v>1180.1241666666667</v>
      </c>
      <c r="AA56" s="824">
        <f t="shared" si="50"/>
        <v>1000</v>
      </c>
      <c r="AB56" s="732"/>
      <c r="AC56" s="816">
        <f t="shared" si="51"/>
        <v>1000</v>
      </c>
      <c r="AD56" s="732">
        <f>(Z56*12)+AC56</f>
        <v>15161.490000000002</v>
      </c>
      <c r="AE56" s="732">
        <f t="shared" si="53"/>
        <v>3987471.8700000006</v>
      </c>
      <c r="AF56" s="732">
        <f t="shared" si="42"/>
        <v>0</v>
      </c>
      <c r="AG56" s="732">
        <f t="shared" si="43"/>
        <v>0</v>
      </c>
      <c r="AH56" s="732">
        <v>97</v>
      </c>
      <c r="AI56" s="816">
        <v>1558181.0235240038</v>
      </c>
    </row>
    <row r="57" spans="1:35">
      <c r="A57" s="687" t="s">
        <v>7039</v>
      </c>
      <c r="B57" s="732">
        <v>9</v>
      </c>
      <c r="C57" s="732">
        <v>952</v>
      </c>
      <c r="D57" s="732"/>
      <c r="E57" s="732"/>
      <c r="F57" s="732"/>
      <c r="G57" s="732"/>
      <c r="H57" s="817">
        <f t="shared" si="44"/>
        <v>39.704166666666666</v>
      </c>
      <c r="I57" s="732"/>
      <c r="J57" s="732"/>
      <c r="K57" s="816">
        <f t="shared" si="45"/>
        <v>991.70416666666665</v>
      </c>
      <c r="L57" s="824">
        <f t="shared" si="46"/>
        <v>1000</v>
      </c>
      <c r="M57" s="732"/>
      <c r="N57" s="816">
        <f t="shared" si="47"/>
        <v>1000</v>
      </c>
      <c r="O57" s="732">
        <f>(K57*12)+N57</f>
        <v>12900.45</v>
      </c>
      <c r="P57" s="732">
        <f t="shared" si="52"/>
        <v>116104.05</v>
      </c>
      <c r="Q57" s="732">
        <v>9</v>
      </c>
      <c r="R57" s="732">
        <v>952</v>
      </c>
      <c r="S57" s="732"/>
      <c r="T57" s="732"/>
      <c r="U57" s="732"/>
      <c r="V57" s="732"/>
      <c r="W57" s="817">
        <f t="shared" si="48"/>
        <v>39.704166666666666</v>
      </c>
      <c r="X57" s="732"/>
      <c r="Y57" s="732"/>
      <c r="Z57" s="816">
        <f t="shared" si="49"/>
        <v>991.70416666666665</v>
      </c>
      <c r="AA57" s="824">
        <f t="shared" si="50"/>
        <v>1000</v>
      </c>
      <c r="AB57" s="732"/>
      <c r="AC57" s="816">
        <f t="shared" si="51"/>
        <v>1000</v>
      </c>
      <c r="AD57" s="732">
        <f>(Z57*12)+AC57</f>
        <v>12900.45</v>
      </c>
      <c r="AE57" s="732">
        <f t="shared" si="53"/>
        <v>116104.05</v>
      </c>
      <c r="AF57" s="732">
        <f t="shared" si="42"/>
        <v>0</v>
      </c>
      <c r="AG57" s="732">
        <f t="shared" si="43"/>
        <v>0</v>
      </c>
      <c r="AH57" s="732">
        <v>4</v>
      </c>
      <c r="AI57" s="816">
        <v>51601.8</v>
      </c>
    </row>
    <row r="58" spans="1:35">
      <c r="A58" s="693" t="s">
        <v>7038</v>
      </c>
      <c r="B58" s="732">
        <v>0</v>
      </c>
      <c r="C58" s="732">
        <v>911.99</v>
      </c>
      <c r="D58" s="732"/>
      <c r="E58" s="732"/>
      <c r="F58" s="732"/>
      <c r="G58" s="732"/>
      <c r="H58" s="817">
        <f t="shared" si="44"/>
        <v>39.704166666666666</v>
      </c>
      <c r="I58" s="732"/>
      <c r="J58" s="732"/>
      <c r="K58" s="816">
        <f t="shared" si="45"/>
        <v>951.69416666666666</v>
      </c>
      <c r="L58" s="824">
        <f t="shared" si="46"/>
        <v>1000</v>
      </c>
      <c r="M58" s="732"/>
      <c r="N58" s="816">
        <f t="shared" si="47"/>
        <v>1000</v>
      </c>
      <c r="O58" s="732">
        <f>(K58*12)+L58</f>
        <v>12420.33</v>
      </c>
      <c r="P58" s="732">
        <f t="shared" si="52"/>
        <v>0</v>
      </c>
      <c r="Q58" s="732">
        <v>0</v>
      </c>
      <c r="R58" s="732">
        <v>911.99</v>
      </c>
      <c r="S58" s="732"/>
      <c r="T58" s="732"/>
      <c r="U58" s="732"/>
      <c r="V58" s="732"/>
      <c r="W58" s="817">
        <f t="shared" si="48"/>
        <v>39.704166666666666</v>
      </c>
      <c r="X58" s="732"/>
      <c r="Y58" s="732"/>
      <c r="Z58" s="816">
        <f t="shared" si="49"/>
        <v>951.69416666666666</v>
      </c>
      <c r="AA58" s="824">
        <f t="shared" si="50"/>
        <v>1000</v>
      </c>
      <c r="AB58" s="732"/>
      <c r="AC58" s="816">
        <f t="shared" si="51"/>
        <v>1000</v>
      </c>
      <c r="AD58" s="732">
        <f>(Z58*12)+AA58</f>
        <v>12420.33</v>
      </c>
      <c r="AE58" s="732">
        <f t="shared" si="53"/>
        <v>0</v>
      </c>
      <c r="AF58" s="732">
        <f t="shared" si="42"/>
        <v>0</v>
      </c>
      <c r="AG58" s="732">
        <f t="shared" si="43"/>
        <v>0</v>
      </c>
      <c r="AH58" s="732">
        <v>0</v>
      </c>
      <c r="AI58" s="816"/>
    </row>
    <row r="59" spans="1:35">
      <c r="A59" s="693" t="s">
        <v>7037</v>
      </c>
      <c r="B59" s="732">
        <v>7</v>
      </c>
      <c r="C59" s="732">
        <v>910.29499999999996</v>
      </c>
      <c r="D59" s="732"/>
      <c r="E59" s="732"/>
      <c r="F59" s="732"/>
      <c r="G59" s="732"/>
      <c r="H59" s="817">
        <f t="shared" si="44"/>
        <v>39.704166666666666</v>
      </c>
      <c r="I59" s="732"/>
      <c r="J59" s="732"/>
      <c r="K59" s="816">
        <f t="shared" si="45"/>
        <v>949.99916666666661</v>
      </c>
      <c r="L59" s="824">
        <f t="shared" si="46"/>
        <v>1000</v>
      </c>
      <c r="M59" s="732"/>
      <c r="N59" s="816">
        <f t="shared" si="47"/>
        <v>1000</v>
      </c>
      <c r="O59" s="732">
        <f>(K59*12)+L59</f>
        <v>12399.99</v>
      </c>
      <c r="P59" s="732">
        <f t="shared" si="52"/>
        <v>86799.93</v>
      </c>
      <c r="Q59" s="732">
        <v>7</v>
      </c>
      <c r="R59" s="732">
        <v>910.29499999999996</v>
      </c>
      <c r="S59" s="732"/>
      <c r="T59" s="732"/>
      <c r="U59" s="732"/>
      <c r="V59" s="732"/>
      <c r="W59" s="817">
        <f t="shared" si="48"/>
        <v>39.704166666666666</v>
      </c>
      <c r="X59" s="732"/>
      <c r="Y59" s="732"/>
      <c r="Z59" s="816">
        <f t="shared" si="49"/>
        <v>949.99916666666661</v>
      </c>
      <c r="AA59" s="824">
        <f t="shared" si="50"/>
        <v>1000</v>
      </c>
      <c r="AB59" s="732"/>
      <c r="AC59" s="816">
        <f t="shared" si="51"/>
        <v>1000</v>
      </c>
      <c r="AD59" s="732">
        <f>(Z59*12)+AA59</f>
        <v>12399.99</v>
      </c>
      <c r="AE59" s="732">
        <f t="shared" si="53"/>
        <v>86799.93</v>
      </c>
      <c r="AF59" s="732">
        <f t="shared" si="42"/>
        <v>0</v>
      </c>
      <c r="AG59" s="732">
        <f t="shared" si="43"/>
        <v>0</v>
      </c>
      <c r="AH59" s="732">
        <v>7</v>
      </c>
      <c r="AI59" s="816">
        <v>86799.93</v>
      </c>
    </row>
    <row r="60" spans="1:35">
      <c r="A60" s="693" t="s">
        <v>7036</v>
      </c>
      <c r="B60" s="732">
        <v>10</v>
      </c>
      <c r="C60" s="732">
        <v>891.43</v>
      </c>
      <c r="D60" s="732"/>
      <c r="E60" s="732"/>
      <c r="F60" s="732"/>
      <c r="G60" s="732"/>
      <c r="H60" s="817">
        <f t="shared" si="44"/>
        <v>39.704166666666666</v>
      </c>
      <c r="I60" s="732"/>
      <c r="J60" s="732"/>
      <c r="K60" s="816">
        <f t="shared" si="45"/>
        <v>931.1341666666666</v>
      </c>
      <c r="L60" s="824">
        <f t="shared" si="46"/>
        <v>1000</v>
      </c>
      <c r="M60" s="732"/>
      <c r="N60" s="816">
        <f t="shared" si="47"/>
        <v>1000</v>
      </c>
      <c r="O60" s="732">
        <f>(K60*12)+L60</f>
        <v>12173.609999999999</v>
      </c>
      <c r="P60" s="732">
        <f t="shared" si="52"/>
        <v>121736.09999999999</v>
      </c>
      <c r="Q60" s="732">
        <v>10</v>
      </c>
      <c r="R60" s="732">
        <v>891.43</v>
      </c>
      <c r="S60" s="732"/>
      <c r="T60" s="732"/>
      <c r="U60" s="732"/>
      <c r="V60" s="732"/>
      <c r="W60" s="817">
        <f t="shared" si="48"/>
        <v>39.704166666666666</v>
      </c>
      <c r="X60" s="732"/>
      <c r="Y60" s="732"/>
      <c r="Z60" s="816">
        <f t="shared" si="49"/>
        <v>931.1341666666666</v>
      </c>
      <c r="AA60" s="824">
        <f t="shared" si="50"/>
        <v>1000</v>
      </c>
      <c r="AB60" s="732"/>
      <c r="AC60" s="816">
        <f t="shared" si="51"/>
        <v>1000</v>
      </c>
      <c r="AD60" s="732">
        <f>(Z60*12)+AA60</f>
        <v>12173.609999999999</v>
      </c>
      <c r="AE60" s="732">
        <f t="shared" si="53"/>
        <v>121736.09999999999</v>
      </c>
      <c r="AF60" s="732">
        <f t="shared" si="42"/>
        <v>0</v>
      </c>
      <c r="AG60" s="732">
        <f t="shared" si="43"/>
        <v>0</v>
      </c>
      <c r="AH60" s="732">
        <v>7</v>
      </c>
      <c r="AI60" s="816">
        <v>85215.26999999999</v>
      </c>
    </row>
    <row r="61" spans="1:35">
      <c r="A61" s="693" t="s">
        <v>7035</v>
      </c>
      <c r="B61" s="732">
        <v>25</v>
      </c>
      <c r="C61" s="732">
        <v>879.75</v>
      </c>
      <c r="D61" s="732"/>
      <c r="E61" s="732"/>
      <c r="F61" s="732"/>
      <c r="G61" s="732"/>
      <c r="H61" s="817">
        <f t="shared" si="44"/>
        <v>39.704166666666666</v>
      </c>
      <c r="I61" s="732"/>
      <c r="J61" s="732"/>
      <c r="K61" s="816">
        <f t="shared" si="45"/>
        <v>919.45416666666665</v>
      </c>
      <c r="L61" s="824">
        <f t="shared" si="46"/>
        <v>1000</v>
      </c>
      <c r="M61" s="732"/>
      <c r="N61" s="816">
        <f t="shared" si="47"/>
        <v>1000</v>
      </c>
      <c r="O61" s="732">
        <f>(K61*12)+L61</f>
        <v>12033.45</v>
      </c>
      <c r="P61" s="732">
        <f t="shared" si="52"/>
        <v>300836.25</v>
      </c>
      <c r="Q61" s="732">
        <v>25</v>
      </c>
      <c r="R61" s="732">
        <v>879.75</v>
      </c>
      <c r="S61" s="732"/>
      <c r="T61" s="732"/>
      <c r="U61" s="732"/>
      <c r="V61" s="732"/>
      <c r="W61" s="817">
        <f t="shared" si="48"/>
        <v>39.704166666666666</v>
      </c>
      <c r="X61" s="732"/>
      <c r="Y61" s="732"/>
      <c r="Z61" s="816">
        <f t="shared" si="49"/>
        <v>919.45416666666665</v>
      </c>
      <c r="AA61" s="824">
        <f t="shared" si="50"/>
        <v>1000</v>
      </c>
      <c r="AB61" s="732"/>
      <c r="AC61" s="816">
        <f t="shared" si="51"/>
        <v>1000</v>
      </c>
      <c r="AD61" s="732">
        <f>(Z61*12)+AA61</f>
        <v>12033.45</v>
      </c>
      <c r="AE61" s="732">
        <f t="shared" si="53"/>
        <v>300836.25</v>
      </c>
      <c r="AF61" s="732">
        <f t="shared" si="42"/>
        <v>0</v>
      </c>
      <c r="AG61" s="732">
        <f t="shared" si="43"/>
        <v>0</v>
      </c>
      <c r="AH61" s="732">
        <v>20</v>
      </c>
      <c r="AI61" s="816">
        <v>240669.00000000006</v>
      </c>
    </row>
    <row r="62" spans="1:35" ht="72">
      <c r="A62" s="695" t="s">
        <v>7154</v>
      </c>
      <c r="B62" s="694"/>
      <c r="C62" s="813"/>
      <c r="D62" s="813"/>
      <c r="E62" s="813"/>
      <c r="F62" s="813"/>
      <c r="G62" s="813"/>
      <c r="H62" s="813"/>
      <c r="I62" s="813"/>
      <c r="J62" s="813"/>
      <c r="K62" s="813"/>
      <c r="L62" s="813"/>
      <c r="M62" s="813"/>
      <c r="N62" s="813"/>
      <c r="O62" s="813"/>
      <c r="P62" s="813"/>
      <c r="Q62" s="813"/>
      <c r="R62" s="813"/>
      <c r="S62" s="813"/>
      <c r="T62" s="813"/>
      <c r="U62" s="813"/>
      <c r="V62" s="813"/>
      <c r="W62" s="813"/>
      <c r="X62" s="813"/>
      <c r="Y62" s="813"/>
      <c r="Z62" s="813"/>
      <c r="AA62" s="813"/>
      <c r="AB62" s="813"/>
      <c r="AC62" s="813"/>
      <c r="AD62" s="813"/>
      <c r="AE62" s="813"/>
      <c r="AF62" s="813"/>
      <c r="AG62" s="813"/>
      <c r="AH62" s="813">
        <f>SUM(AH63:AH78)</f>
        <v>43</v>
      </c>
      <c r="AI62" s="813">
        <f>SUM(AI63:AI78)</f>
        <v>1005457.6999999998</v>
      </c>
    </row>
    <row r="63" spans="1:35" hidden="1">
      <c r="A63" s="693" t="s">
        <v>7153</v>
      </c>
      <c r="B63" s="732"/>
      <c r="C63" s="732"/>
      <c r="D63" s="732"/>
      <c r="E63" s="732"/>
      <c r="F63" s="732"/>
      <c r="G63" s="732"/>
      <c r="H63" s="817"/>
      <c r="I63" s="732"/>
      <c r="J63" s="732"/>
      <c r="K63" s="816"/>
      <c r="L63" s="824"/>
      <c r="M63" s="732"/>
      <c r="N63" s="816"/>
      <c r="O63" s="732"/>
      <c r="P63" s="732"/>
      <c r="Q63" s="732"/>
      <c r="R63" s="732"/>
      <c r="S63" s="732"/>
      <c r="T63" s="732"/>
      <c r="U63" s="732"/>
      <c r="V63" s="732"/>
      <c r="W63" s="817"/>
      <c r="X63" s="732"/>
      <c r="Y63" s="732"/>
      <c r="Z63" s="816"/>
      <c r="AA63" s="824"/>
      <c r="AB63" s="732"/>
      <c r="AC63" s="816"/>
      <c r="AD63" s="732"/>
      <c r="AE63" s="732"/>
      <c r="AF63" s="732"/>
      <c r="AG63" s="732"/>
      <c r="AH63" s="732"/>
      <c r="AI63" s="816"/>
    </row>
    <row r="64" spans="1:35" hidden="1">
      <c r="A64" s="693" t="s">
        <v>7012</v>
      </c>
      <c r="B64" s="732"/>
      <c r="C64" s="732"/>
      <c r="D64" s="732"/>
      <c r="E64" s="732"/>
      <c r="F64" s="732"/>
      <c r="G64" s="732"/>
      <c r="H64" s="817"/>
      <c r="I64" s="732"/>
      <c r="J64" s="732"/>
      <c r="K64" s="816"/>
      <c r="L64" s="824"/>
      <c r="M64" s="732"/>
      <c r="N64" s="816"/>
      <c r="O64" s="732"/>
      <c r="P64" s="732"/>
      <c r="Q64" s="732"/>
      <c r="R64" s="732"/>
      <c r="S64" s="732"/>
      <c r="T64" s="732"/>
      <c r="U64" s="732"/>
      <c r="V64" s="732"/>
      <c r="W64" s="817"/>
      <c r="X64" s="732"/>
      <c r="Y64" s="732"/>
      <c r="Z64" s="816"/>
      <c r="AA64" s="824"/>
      <c r="AB64" s="732"/>
      <c r="AC64" s="816"/>
      <c r="AD64" s="732"/>
      <c r="AE64" s="732"/>
      <c r="AF64" s="732"/>
      <c r="AG64" s="732"/>
      <c r="AH64" s="732"/>
      <c r="AI64" s="816"/>
    </row>
    <row r="65" spans="1:35" hidden="1">
      <c r="A65" s="693" t="s">
        <v>7011</v>
      </c>
      <c r="B65" s="732"/>
      <c r="C65" s="732"/>
      <c r="D65" s="732"/>
      <c r="E65" s="732"/>
      <c r="F65" s="732"/>
      <c r="G65" s="732"/>
      <c r="H65" s="817"/>
      <c r="I65" s="732"/>
      <c r="J65" s="732"/>
      <c r="K65" s="816"/>
      <c r="L65" s="824"/>
      <c r="M65" s="732"/>
      <c r="N65" s="816"/>
      <c r="O65" s="732"/>
      <c r="P65" s="732"/>
      <c r="Q65" s="732"/>
      <c r="R65" s="732"/>
      <c r="S65" s="732"/>
      <c r="T65" s="732"/>
      <c r="U65" s="732"/>
      <c r="V65" s="732"/>
      <c r="W65" s="817"/>
      <c r="X65" s="732"/>
      <c r="Y65" s="732"/>
      <c r="Z65" s="816"/>
      <c r="AA65" s="824"/>
      <c r="AB65" s="732"/>
      <c r="AC65" s="816"/>
      <c r="AD65" s="732"/>
      <c r="AE65" s="732"/>
      <c r="AF65" s="732"/>
      <c r="AG65" s="732"/>
      <c r="AH65" s="732"/>
      <c r="AI65" s="816"/>
    </row>
    <row r="66" spans="1:35">
      <c r="A66" s="693" t="s">
        <v>7030</v>
      </c>
      <c r="B66" s="732"/>
      <c r="C66" s="732"/>
      <c r="D66" s="732"/>
      <c r="E66" s="732"/>
      <c r="F66" s="732"/>
      <c r="G66" s="732"/>
      <c r="H66" s="817"/>
      <c r="I66" s="732"/>
      <c r="J66" s="732"/>
      <c r="K66" s="816"/>
      <c r="L66" s="824"/>
      <c r="M66" s="732"/>
      <c r="N66" s="816"/>
      <c r="O66" s="732"/>
      <c r="P66" s="732"/>
      <c r="Q66" s="732"/>
      <c r="R66" s="732"/>
      <c r="S66" s="732"/>
      <c r="T66" s="732"/>
      <c r="U66" s="732"/>
      <c r="V66" s="732"/>
      <c r="W66" s="817"/>
      <c r="X66" s="732"/>
      <c r="Y66" s="732"/>
      <c r="Z66" s="816"/>
      <c r="AA66" s="824"/>
      <c r="AB66" s="732"/>
      <c r="AC66" s="816"/>
      <c r="AD66" s="732"/>
      <c r="AE66" s="732"/>
      <c r="AF66" s="732"/>
      <c r="AG66" s="732"/>
      <c r="AH66" s="732">
        <v>11</v>
      </c>
      <c r="AI66" s="816">
        <v>353078</v>
      </c>
    </row>
    <row r="67" spans="1:35">
      <c r="A67" s="693" t="s">
        <v>7029</v>
      </c>
      <c r="B67" s="732"/>
      <c r="C67" s="732"/>
      <c r="D67" s="732"/>
      <c r="E67" s="732"/>
      <c r="F67" s="732"/>
      <c r="G67" s="732"/>
      <c r="H67" s="817"/>
      <c r="I67" s="732"/>
      <c r="J67" s="732"/>
      <c r="K67" s="816"/>
      <c r="L67" s="824"/>
      <c r="M67" s="732"/>
      <c r="N67" s="816"/>
      <c r="O67" s="732"/>
      <c r="P67" s="732"/>
      <c r="Q67" s="732"/>
      <c r="R67" s="732"/>
      <c r="S67" s="732"/>
      <c r="T67" s="732"/>
      <c r="U67" s="732"/>
      <c r="V67" s="732"/>
      <c r="W67" s="817"/>
      <c r="X67" s="732"/>
      <c r="Y67" s="732"/>
      <c r="Z67" s="816"/>
      <c r="AA67" s="824"/>
      <c r="AB67" s="732"/>
      <c r="AC67" s="816"/>
      <c r="AD67" s="732"/>
      <c r="AE67" s="732"/>
      <c r="AF67" s="732"/>
      <c r="AG67" s="732"/>
      <c r="AH67" s="732">
        <v>2</v>
      </c>
      <c r="AI67" s="816">
        <v>56732.479999999996</v>
      </c>
    </row>
    <row r="68" spans="1:35">
      <c r="A68" s="693" t="s">
        <v>7028</v>
      </c>
      <c r="B68" s="732"/>
      <c r="C68" s="732"/>
      <c r="D68" s="732"/>
      <c r="E68" s="732"/>
      <c r="F68" s="732"/>
      <c r="G68" s="732"/>
      <c r="H68" s="817"/>
      <c r="I68" s="732"/>
      <c r="J68" s="732"/>
      <c r="K68" s="816"/>
      <c r="L68" s="824"/>
      <c r="M68" s="732"/>
      <c r="N68" s="816"/>
      <c r="O68" s="732"/>
      <c r="P68" s="732"/>
      <c r="Q68" s="732"/>
      <c r="R68" s="732"/>
      <c r="S68" s="732"/>
      <c r="T68" s="732"/>
      <c r="U68" s="732"/>
      <c r="V68" s="732"/>
      <c r="W68" s="817"/>
      <c r="X68" s="732"/>
      <c r="Y68" s="732"/>
      <c r="Z68" s="816"/>
      <c r="AA68" s="824"/>
      <c r="AB68" s="732"/>
      <c r="AC68" s="816"/>
      <c r="AD68" s="732"/>
      <c r="AE68" s="732"/>
      <c r="AF68" s="732"/>
      <c r="AG68" s="732"/>
      <c r="AH68" s="732">
        <v>16</v>
      </c>
      <c r="AI68" s="816">
        <v>414054.39999999997</v>
      </c>
    </row>
    <row r="69" spans="1:35" hidden="1">
      <c r="A69" s="693" t="s">
        <v>7152</v>
      </c>
      <c r="B69" s="732"/>
      <c r="C69" s="732"/>
      <c r="D69" s="732"/>
      <c r="E69" s="732"/>
      <c r="F69" s="732"/>
      <c r="G69" s="732"/>
      <c r="H69" s="817"/>
      <c r="I69" s="732"/>
      <c r="J69" s="732"/>
      <c r="K69" s="816"/>
      <c r="L69" s="824"/>
      <c r="M69" s="732"/>
      <c r="N69" s="816"/>
      <c r="O69" s="732"/>
      <c r="P69" s="732"/>
      <c r="Q69" s="732"/>
      <c r="R69" s="732"/>
      <c r="S69" s="732"/>
      <c r="T69" s="732"/>
      <c r="U69" s="732"/>
      <c r="V69" s="732"/>
      <c r="W69" s="817"/>
      <c r="X69" s="732"/>
      <c r="Y69" s="732"/>
      <c r="Z69" s="816"/>
      <c r="AA69" s="824"/>
      <c r="AB69" s="732"/>
      <c r="AC69" s="816"/>
      <c r="AD69" s="732"/>
      <c r="AE69" s="732"/>
      <c r="AF69" s="732"/>
      <c r="AG69" s="732"/>
      <c r="AH69" s="732"/>
      <c r="AI69" s="816"/>
    </row>
    <row r="70" spans="1:35" hidden="1">
      <c r="A70" s="693" t="s">
        <v>7011</v>
      </c>
      <c r="B70" s="732"/>
      <c r="C70" s="732"/>
      <c r="D70" s="732"/>
      <c r="E70" s="732"/>
      <c r="F70" s="732"/>
      <c r="G70" s="732"/>
      <c r="H70" s="817"/>
      <c r="I70" s="732"/>
      <c r="J70" s="732"/>
      <c r="K70" s="816"/>
      <c r="L70" s="824"/>
      <c r="M70" s="732"/>
      <c r="N70" s="816"/>
      <c r="O70" s="732"/>
      <c r="P70" s="732"/>
      <c r="Q70" s="732"/>
      <c r="R70" s="732"/>
      <c r="S70" s="732"/>
      <c r="T70" s="732"/>
      <c r="U70" s="732"/>
      <c r="V70" s="732"/>
      <c r="W70" s="817"/>
      <c r="X70" s="732"/>
      <c r="Y70" s="732"/>
      <c r="Z70" s="816"/>
      <c r="AA70" s="824"/>
      <c r="AB70" s="732"/>
      <c r="AC70" s="816"/>
      <c r="AD70" s="732"/>
      <c r="AE70" s="732"/>
      <c r="AF70" s="732"/>
      <c r="AG70" s="732"/>
      <c r="AH70" s="732"/>
      <c r="AI70" s="816"/>
    </row>
    <row r="71" spans="1:35" hidden="1">
      <c r="A71" s="693" t="s">
        <v>7042</v>
      </c>
      <c r="B71" s="732"/>
      <c r="C71" s="732"/>
      <c r="D71" s="732"/>
      <c r="E71" s="732"/>
      <c r="F71" s="732"/>
      <c r="G71" s="732"/>
      <c r="H71" s="817"/>
      <c r="I71" s="732"/>
      <c r="J71" s="732"/>
      <c r="K71" s="816"/>
      <c r="L71" s="824"/>
      <c r="M71" s="732"/>
      <c r="N71" s="816"/>
      <c r="O71" s="732"/>
      <c r="P71" s="732"/>
      <c r="Q71" s="732"/>
      <c r="R71" s="732"/>
      <c r="S71" s="732"/>
      <c r="T71" s="732"/>
      <c r="U71" s="732"/>
      <c r="V71" s="732"/>
      <c r="W71" s="817"/>
      <c r="X71" s="732"/>
      <c r="Y71" s="732"/>
      <c r="Z71" s="816"/>
      <c r="AA71" s="824"/>
      <c r="AB71" s="732"/>
      <c r="AC71" s="816"/>
      <c r="AD71" s="732"/>
      <c r="AE71" s="732"/>
      <c r="AF71" s="732"/>
      <c r="AG71" s="732"/>
      <c r="AH71" s="732"/>
      <c r="AI71" s="816"/>
    </row>
    <row r="72" spans="1:35" hidden="1">
      <c r="A72" s="693" t="s">
        <v>7041</v>
      </c>
      <c r="B72" s="732"/>
      <c r="C72" s="732"/>
      <c r="D72" s="732"/>
      <c r="E72" s="732"/>
      <c r="F72" s="732"/>
      <c r="G72" s="732"/>
      <c r="H72" s="817"/>
      <c r="I72" s="732"/>
      <c r="J72" s="732"/>
      <c r="K72" s="816"/>
      <c r="L72" s="824"/>
      <c r="M72" s="732"/>
      <c r="N72" s="816"/>
      <c r="O72" s="732"/>
      <c r="P72" s="732"/>
      <c r="Q72" s="732"/>
      <c r="R72" s="732"/>
      <c r="S72" s="732"/>
      <c r="T72" s="732"/>
      <c r="U72" s="732"/>
      <c r="V72" s="732"/>
      <c r="W72" s="817"/>
      <c r="X72" s="732"/>
      <c r="Y72" s="732"/>
      <c r="Z72" s="816"/>
      <c r="AA72" s="824"/>
      <c r="AB72" s="732"/>
      <c r="AC72" s="816"/>
      <c r="AD72" s="732"/>
      <c r="AE72" s="732"/>
      <c r="AF72" s="732"/>
      <c r="AG72" s="732"/>
      <c r="AH72" s="732"/>
      <c r="AI72" s="816"/>
    </row>
    <row r="73" spans="1:35">
      <c r="A73" s="693" t="s">
        <v>7040</v>
      </c>
      <c r="B73" s="732"/>
      <c r="C73" s="732"/>
      <c r="D73" s="732"/>
      <c r="E73" s="732"/>
      <c r="F73" s="732"/>
      <c r="G73" s="732"/>
      <c r="H73" s="817"/>
      <c r="I73" s="732"/>
      <c r="J73" s="732"/>
      <c r="K73" s="816"/>
      <c r="L73" s="824"/>
      <c r="M73" s="732"/>
      <c r="N73" s="816"/>
      <c r="O73" s="732"/>
      <c r="P73" s="732"/>
      <c r="Q73" s="732"/>
      <c r="R73" s="732"/>
      <c r="S73" s="732"/>
      <c r="T73" s="732"/>
      <c r="U73" s="732"/>
      <c r="V73" s="732"/>
      <c r="W73" s="817"/>
      <c r="X73" s="732"/>
      <c r="Y73" s="732"/>
      <c r="Z73" s="816"/>
      <c r="AA73" s="824"/>
      <c r="AB73" s="732"/>
      <c r="AC73" s="816"/>
      <c r="AD73" s="732"/>
      <c r="AE73" s="732"/>
      <c r="AF73" s="732"/>
      <c r="AG73" s="732"/>
      <c r="AH73" s="732">
        <v>1</v>
      </c>
      <c r="AI73" s="816">
        <v>15161.490000000002</v>
      </c>
    </row>
    <row r="74" spans="1:35">
      <c r="A74" s="693" t="s">
        <v>7151</v>
      </c>
      <c r="B74" s="732"/>
      <c r="C74" s="732"/>
      <c r="D74" s="732"/>
      <c r="E74" s="732"/>
      <c r="F74" s="732"/>
      <c r="G74" s="732"/>
      <c r="H74" s="817"/>
      <c r="I74" s="732"/>
      <c r="J74" s="732"/>
      <c r="K74" s="816"/>
      <c r="L74" s="824"/>
      <c r="M74" s="732"/>
      <c r="N74" s="816"/>
      <c r="O74" s="732"/>
      <c r="P74" s="732"/>
      <c r="Q74" s="732"/>
      <c r="R74" s="732"/>
      <c r="S74" s="732"/>
      <c r="T74" s="732"/>
      <c r="U74" s="732"/>
      <c r="V74" s="732"/>
      <c r="W74" s="817"/>
      <c r="X74" s="732"/>
      <c r="Y74" s="732"/>
      <c r="Z74" s="816"/>
      <c r="AA74" s="824"/>
      <c r="AB74" s="732"/>
      <c r="AC74" s="816"/>
      <c r="AD74" s="732"/>
      <c r="AE74" s="732"/>
      <c r="AF74" s="732"/>
      <c r="AG74" s="732"/>
      <c r="AH74" s="732">
        <v>5</v>
      </c>
      <c r="AI74" s="816">
        <v>69743.250000000015</v>
      </c>
    </row>
    <row r="75" spans="1:35" hidden="1">
      <c r="A75" s="693" t="s">
        <v>7038</v>
      </c>
      <c r="B75" s="732"/>
      <c r="C75" s="732"/>
      <c r="D75" s="732"/>
      <c r="E75" s="732"/>
      <c r="F75" s="732"/>
      <c r="G75" s="732"/>
      <c r="H75" s="817"/>
      <c r="I75" s="732"/>
      <c r="J75" s="732"/>
      <c r="K75" s="816"/>
      <c r="L75" s="824"/>
      <c r="M75" s="732"/>
      <c r="N75" s="816"/>
      <c r="O75" s="732"/>
      <c r="P75" s="732"/>
      <c r="Q75" s="732"/>
      <c r="R75" s="732"/>
      <c r="S75" s="732"/>
      <c r="T75" s="732"/>
      <c r="U75" s="732"/>
      <c r="V75" s="732"/>
      <c r="W75" s="817"/>
      <c r="X75" s="732"/>
      <c r="Y75" s="732"/>
      <c r="Z75" s="816"/>
      <c r="AA75" s="824"/>
      <c r="AB75" s="732"/>
      <c r="AC75" s="816"/>
      <c r="AD75" s="732"/>
      <c r="AE75" s="732"/>
      <c r="AF75" s="732"/>
      <c r="AG75" s="732"/>
      <c r="AH75" s="732">
        <v>0</v>
      </c>
      <c r="AI75" s="816">
        <v>0</v>
      </c>
    </row>
    <row r="76" spans="1:35" hidden="1">
      <c r="A76" s="693" t="s">
        <v>7037</v>
      </c>
      <c r="B76" s="732"/>
      <c r="C76" s="732"/>
      <c r="D76" s="732"/>
      <c r="E76" s="732"/>
      <c r="F76" s="732"/>
      <c r="G76" s="732"/>
      <c r="H76" s="817"/>
      <c r="I76" s="732"/>
      <c r="J76" s="732"/>
      <c r="K76" s="816"/>
      <c r="L76" s="824"/>
      <c r="M76" s="732"/>
      <c r="N76" s="816"/>
      <c r="O76" s="732"/>
      <c r="P76" s="732"/>
      <c r="Q76" s="732"/>
      <c r="R76" s="732"/>
      <c r="S76" s="732"/>
      <c r="T76" s="732"/>
      <c r="U76" s="732"/>
      <c r="V76" s="732"/>
      <c r="W76" s="817"/>
      <c r="X76" s="732"/>
      <c r="Y76" s="732"/>
      <c r="Z76" s="816"/>
      <c r="AA76" s="824"/>
      <c r="AB76" s="732"/>
      <c r="AC76" s="816"/>
      <c r="AD76" s="732"/>
      <c r="AE76" s="732"/>
      <c r="AF76" s="732"/>
      <c r="AG76" s="732"/>
      <c r="AH76" s="732">
        <v>0</v>
      </c>
      <c r="AI76" s="816">
        <v>0</v>
      </c>
    </row>
    <row r="77" spans="1:35">
      <c r="A77" s="693" t="s">
        <v>7036</v>
      </c>
      <c r="B77" s="732"/>
      <c r="C77" s="732"/>
      <c r="D77" s="732"/>
      <c r="E77" s="732"/>
      <c r="F77" s="732"/>
      <c r="G77" s="732"/>
      <c r="H77" s="817"/>
      <c r="I77" s="732"/>
      <c r="J77" s="732"/>
      <c r="K77" s="816"/>
      <c r="L77" s="824"/>
      <c r="M77" s="732"/>
      <c r="N77" s="816"/>
      <c r="O77" s="732"/>
      <c r="P77" s="732"/>
      <c r="Q77" s="732"/>
      <c r="R77" s="732"/>
      <c r="S77" s="732"/>
      <c r="T77" s="732"/>
      <c r="U77" s="732"/>
      <c r="V77" s="732"/>
      <c r="W77" s="817"/>
      <c r="X77" s="732"/>
      <c r="Y77" s="732"/>
      <c r="Z77" s="816"/>
      <c r="AA77" s="824"/>
      <c r="AB77" s="732"/>
      <c r="AC77" s="816"/>
      <c r="AD77" s="732"/>
      <c r="AE77" s="732"/>
      <c r="AF77" s="732"/>
      <c r="AG77" s="732"/>
      <c r="AH77" s="732">
        <v>3</v>
      </c>
      <c r="AI77" s="816">
        <v>36520.829999999994</v>
      </c>
    </row>
    <row r="78" spans="1:35">
      <c r="A78" s="693" t="s">
        <v>7035</v>
      </c>
      <c r="B78" s="732"/>
      <c r="C78" s="732"/>
      <c r="D78" s="732"/>
      <c r="E78" s="732"/>
      <c r="F78" s="732"/>
      <c r="G78" s="732"/>
      <c r="H78" s="817"/>
      <c r="I78" s="732"/>
      <c r="J78" s="732"/>
      <c r="K78" s="816"/>
      <c r="L78" s="824"/>
      <c r="M78" s="732"/>
      <c r="N78" s="816"/>
      <c r="O78" s="732"/>
      <c r="P78" s="732"/>
      <c r="Q78" s="732"/>
      <c r="R78" s="732"/>
      <c r="S78" s="732"/>
      <c r="T78" s="732"/>
      <c r="U78" s="732"/>
      <c r="V78" s="732"/>
      <c r="W78" s="817"/>
      <c r="X78" s="732"/>
      <c r="Y78" s="732"/>
      <c r="Z78" s="816"/>
      <c r="AA78" s="824"/>
      <c r="AB78" s="732"/>
      <c r="AC78" s="816"/>
      <c r="AD78" s="732"/>
      <c r="AE78" s="732"/>
      <c r="AF78" s="732"/>
      <c r="AG78" s="732"/>
      <c r="AH78" s="732">
        <v>5</v>
      </c>
      <c r="AI78" s="816">
        <v>60167.25</v>
      </c>
    </row>
    <row r="79" spans="1:35" ht="22.5">
      <c r="A79" s="688" t="s">
        <v>54</v>
      </c>
      <c r="B79" s="689">
        <f t="shared" ref="B79:AI79" si="54">SUM(B80:B90)</f>
        <v>7</v>
      </c>
      <c r="C79" s="689">
        <f t="shared" si="54"/>
        <v>3781.5870000000004</v>
      </c>
      <c r="D79" s="689">
        <f t="shared" si="54"/>
        <v>0</v>
      </c>
      <c r="E79" s="689">
        <f t="shared" si="54"/>
        <v>0</v>
      </c>
      <c r="F79" s="689">
        <f t="shared" si="54"/>
        <v>0</v>
      </c>
      <c r="G79" s="689">
        <f t="shared" si="54"/>
        <v>0</v>
      </c>
      <c r="H79" s="689">
        <f t="shared" si="54"/>
        <v>158.81666666666666</v>
      </c>
      <c r="I79" s="689">
        <f t="shared" si="54"/>
        <v>0</v>
      </c>
      <c r="J79" s="689">
        <f t="shared" si="54"/>
        <v>0</v>
      </c>
      <c r="K79" s="689">
        <f t="shared" si="54"/>
        <v>3940.4036666666666</v>
      </c>
      <c r="L79" s="689">
        <f t="shared" si="54"/>
        <v>4000</v>
      </c>
      <c r="M79" s="689">
        <f t="shared" si="54"/>
        <v>0</v>
      </c>
      <c r="N79" s="689">
        <f t="shared" si="54"/>
        <v>4000</v>
      </c>
      <c r="O79" s="689">
        <f t="shared" si="54"/>
        <v>51284.844000000005</v>
      </c>
      <c r="P79" s="689">
        <f t="shared" si="54"/>
        <v>96950.838000000018</v>
      </c>
      <c r="Q79" s="689">
        <f t="shared" si="54"/>
        <v>7</v>
      </c>
      <c r="R79" s="689">
        <f t="shared" si="54"/>
        <v>4011.6670000000004</v>
      </c>
      <c r="S79" s="689">
        <f t="shared" si="54"/>
        <v>0</v>
      </c>
      <c r="T79" s="689">
        <f t="shared" si="54"/>
        <v>0</v>
      </c>
      <c r="U79" s="689">
        <f t="shared" si="54"/>
        <v>0</v>
      </c>
      <c r="V79" s="689">
        <f t="shared" si="54"/>
        <v>0</v>
      </c>
      <c r="W79" s="689">
        <f t="shared" si="54"/>
        <v>158.81666666666666</v>
      </c>
      <c r="X79" s="689">
        <f t="shared" si="54"/>
        <v>0</v>
      </c>
      <c r="Y79" s="689">
        <f t="shared" si="54"/>
        <v>0</v>
      </c>
      <c r="Z79" s="689">
        <f t="shared" si="54"/>
        <v>4170.483666666667</v>
      </c>
      <c r="AA79" s="689">
        <f t="shared" si="54"/>
        <v>4000</v>
      </c>
      <c r="AB79" s="689">
        <f t="shared" si="54"/>
        <v>0</v>
      </c>
      <c r="AC79" s="689">
        <f t="shared" si="54"/>
        <v>4000</v>
      </c>
      <c r="AD79" s="689">
        <f t="shared" si="54"/>
        <v>54045.804000000004</v>
      </c>
      <c r="AE79" s="689">
        <f t="shared" si="54"/>
        <v>103651.87800000001</v>
      </c>
      <c r="AF79" s="689">
        <f t="shared" si="54"/>
        <v>-2760.9599999999955</v>
      </c>
      <c r="AG79" s="689">
        <f t="shared" si="54"/>
        <v>-6701.0399999999863</v>
      </c>
      <c r="AH79" s="689">
        <f t="shared" si="54"/>
        <v>7</v>
      </c>
      <c r="AI79" s="689">
        <f t="shared" si="54"/>
        <v>103651.71</v>
      </c>
    </row>
    <row r="80" spans="1:35">
      <c r="A80" s="693" t="s">
        <v>7034</v>
      </c>
      <c r="B80" s="825">
        <v>2</v>
      </c>
      <c r="C80" s="732">
        <v>1139.3800000000001</v>
      </c>
      <c r="D80" s="732"/>
      <c r="E80" s="732"/>
      <c r="F80" s="732"/>
      <c r="G80" s="732"/>
      <c r="H80" s="817">
        <f>(366.5*1.3)/12</f>
        <v>39.704166666666666</v>
      </c>
      <c r="I80" s="732"/>
      <c r="J80" s="732"/>
      <c r="K80" s="816">
        <f>SUM(C80:J80)</f>
        <v>1179.0841666666668</v>
      </c>
      <c r="L80" s="824">
        <f>300+300+400</f>
        <v>1000</v>
      </c>
      <c r="M80" s="732"/>
      <c r="N80" s="816">
        <f>+L80+M80</f>
        <v>1000</v>
      </c>
      <c r="O80" s="732">
        <f>K80*12+N80</f>
        <v>15149.010000000002</v>
      </c>
      <c r="P80" s="732">
        <f t="shared" ref="P80:P90" si="55">B80*O80</f>
        <v>30298.020000000004</v>
      </c>
      <c r="Q80" s="825">
        <v>2</v>
      </c>
      <c r="R80" s="732">
        <v>1271.2</v>
      </c>
      <c r="S80" s="732"/>
      <c r="T80" s="732"/>
      <c r="U80" s="732"/>
      <c r="V80" s="732"/>
      <c r="W80" s="817">
        <f>(366.5*1.3)/12</f>
        <v>39.704166666666666</v>
      </c>
      <c r="X80" s="732"/>
      <c r="Y80" s="732"/>
      <c r="Z80" s="816">
        <f>SUM(R80:Y80)</f>
        <v>1310.9041666666667</v>
      </c>
      <c r="AA80" s="824">
        <f>300+300+400</f>
        <v>1000</v>
      </c>
      <c r="AB80" s="732"/>
      <c r="AC80" s="816">
        <f>+AA80+AB80</f>
        <v>1000</v>
      </c>
      <c r="AD80" s="732">
        <f>Z80*12+AC80</f>
        <v>16730.849999999999</v>
      </c>
      <c r="AE80" s="732">
        <f t="shared" ref="AE80:AE90" si="56">Q80*AD80</f>
        <v>33461.699999999997</v>
      </c>
      <c r="AF80" s="732">
        <f t="shared" ref="AF80:AF90" si="57">+O80-AD80</f>
        <v>-1581.8399999999965</v>
      </c>
      <c r="AG80" s="732">
        <f t="shared" ref="AG80:AG90" si="58">+P80-AE80</f>
        <v>-3163.679999999993</v>
      </c>
      <c r="AH80" s="825">
        <v>2</v>
      </c>
      <c r="AI80" s="816">
        <v>33461.699999999997</v>
      </c>
    </row>
    <row r="81" spans="1:35">
      <c r="A81" s="693" t="s">
        <v>7033</v>
      </c>
      <c r="B81" s="825">
        <v>3</v>
      </c>
      <c r="C81" s="732">
        <v>1022.0600000000002</v>
      </c>
      <c r="D81" s="732"/>
      <c r="E81" s="732"/>
      <c r="F81" s="732"/>
      <c r="G81" s="732"/>
      <c r="H81" s="817">
        <f>(366.5*1.3)/12</f>
        <v>39.704166666666666</v>
      </c>
      <c r="I81" s="732"/>
      <c r="J81" s="732"/>
      <c r="K81" s="816">
        <f>SUM(C81:J81)</f>
        <v>1061.7641666666668</v>
      </c>
      <c r="L81" s="824">
        <f>300+300+400</f>
        <v>1000</v>
      </c>
      <c r="M81" s="732"/>
      <c r="N81" s="816">
        <f>+L81+M81</f>
        <v>1000</v>
      </c>
      <c r="O81" s="732">
        <f>K81*12+N81</f>
        <v>13741.170000000002</v>
      </c>
      <c r="P81" s="732">
        <f t="shared" si="55"/>
        <v>41223.510000000009</v>
      </c>
      <c r="Q81" s="825">
        <v>3</v>
      </c>
      <c r="R81" s="732">
        <v>1120.3200000000002</v>
      </c>
      <c r="S81" s="732"/>
      <c r="T81" s="732"/>
      <c r="U81" s="732"/>
      <c r="V81" s="732"/>
      <c r="W81" s="817">
        <f>(366.5*1.3)/12</f>
        <v>39.704166666666666</v>
      </c>
      <c r="X81" s="732"/>
      <c r="Y81" s="732"/>
      <c r="Z81" s="816">
        <f>SUM(R81:Y81)</f>
        <v>1160.0241666666668</v>
      </c>
      <c r="AA81" s="824">
        <f>300+300+400</f>
        <v>1000</v>
      </c>
      <c r="AB81" s="732"/>
      <c r="AC81" s="816">
        <f>+AA81+AB81</f>
        <v>1000</v>
      </c>
      <c r="AD81" s="732">
        <f>Z81*12+AC81</f>
        <v>14920.29</v>
      </c>
      <c r="AE81" s="732">
        <f t="shared" si="56"/>
        <v>44760.87</v>
      </c>
      <c r="AF81" s="732">
        <f t="shared" si="57"/>
        <v>-1179.119999999999</v>
      </c>
      <c r="AG81" s="732">
        <f t="shared" si="58"/>
        <v>-3537.3599999999933</v>
      </c>
      <c r="AH81" s="825">
        <v>3</v>
      </c>
      <c r="AI81" s="816">
        <v>44760.87</v>
      </c>
    </row>
    <row r="82" spans="1:35">
      <c r="A82" s="693" t="s">
        <v>7032</v>
      </c>
      <c r="B82" s="825">
        <v>2</v>
      </c>
      <c r="C82" s="732">
        <v>936.51700000000005</v>
      </c>
      <c r="D82" s="732"/>
      <c r="E82" s="732"/>
      <c r="F82" s="732"/>
      <c r="G82" s="732"/>
      <c r="H82" s="817">
        <f>(366.5*1.3)/12</f>
        <v>39.704166666666666</v>
      </c>
      <c r="I82" s="732"/>
      <c r="J82" s="732"/>
      <c r="K82" s="816">
        <f>SUM(C82:J82)</f>
        <v>976.2211666666667</v>
      </c>
      <c r="L82" s="824">
        <f>300+300+400</f>
        <v>1000</v>
      </c>
      <c r="M82" s="732"/>
      <c r="N82" s="816">
        <f>+L82+M82</f>
        <v>1000</v>
      </c>
      <c r="O82" s="732">
        <f>K82*12+N82</f>
        <v>12714.654</v>
      </c>
      <c r="P82" s="732">
        <f t="shared" si="55"/>
        <v>25429.308000000001</v>
      </c>
      <c r="Q82" s="825">
        <v>2</v>
      </c>
      <c r="R82" s="732">
        <v>936.51700000000005</v>
      </c>
      <c r="S82" s="732"/>
      <c r="T82" s="732"/>
      <c r="U82" s="732"/>
      <c r="V82" s="732"/>
      <c r="W82" s="817">
        <f>(366.5*1.3)/12</f>
        <v>39.704166666666666</v>
      </c>
      <c r="X82" s="732"/>
      <c r="Y82" s="732"/>
      <c r="Z82" s="816">
        <f>SUM(R82:Y82)</f>
        <v>976.2211666666667</v>
      </c>
      <c r="AA82" s="824">
        <f>300+300+400</f>
        <v>1000</v>
      </c>
      <c r="AB82" s="732"/>
      <c r="AC82" s="816">
        <f>+AA82+AB82</f>
        <v>1000</v>
      </c>
      <c r="AD82" s="732">
        <f>Z82*12+AC82</f>
        <v>12714.654</v>
      </c>
      <c r="AE82" s="732">
        <f t="shared" si="56"/>
        <v>25429.308000000001</v>
      </c>
      <c r="AF82" s="732">
        <f t="shared" si="57"/>
        <v>0</v>
      </c>
      <c r="AG82" s="732">
        <f t="shared" si="58"/>
        <v>0</v>
      </c>
      <c r="AH82" s="825">
        <v>2</v>
      </c>
      <c r="AI82" s="816">
        <v>25429.14</v>
      </c>
    </row>
    <row r="83" spans="1:35">
      <c r="A83" s="693" t="s">
        <v>7027</v>
      </c>
      <c r="B83" s="825">
        <v>0</v>
      </c>
      <c r="C83" s="732">
        <v>683.63</v>
      </c>
      <c r="D83" s="732"/>
      <c r="E83" s="732"/>
      <c r="F83" s="732"/>
      <c r="G83" s="732"/>
      <c r="H83" s="817">
        <f>(366.5*1.3)/12</f>
        <v>39.704166666666666</v>
      </c>
      <c r="I83" s="732"/>
      <c r="J83" s="732"/>
      <c r="K83" s="816">
        <f>SUM(C83:J83)</f>
        <v>723.33416666666665</v>
      </c>
      <c r="L83" s="824">
        <f>300+300+400</f>
        <v>1000</v>
      </c>
      <c r="M83" s="732"/>
      <c r="N83" s="816">
        <f>+L83+M83</f>
        <v>1000</v>
      </c>
      <c r="O83" s="732">
        <f>K83*12+N83</f>
        <v>9680.01</v>
      </c>
      <c r="P83" s="732">
        <f t="shared" si="55"/>
        <v>0</v>
      </c>
      <c r="Q83" s="825">
        <v>0</v>
      </c>
      <c r="R83" s="732">
        <v>683.63</v>
      </c>
      <c r="S83" s="732"/>
      <c r="T83" s="732"/>
      <c r="U83" s="732"/>
      <c r="V83" s="732"/>
      <c r="W83" s="817">
        <f>(366.5*1.3)/12</f>
        <v>39.704166666666666</v>
      </c>
      <c r="X83" s="732"/>
      <c r="Y83" s="732"/>
      <c r="Z83" s="816">
        <f>SUM(R83:Y83)</f>
        <v>723.33416666666665</v>
      </c>
      <c r="AA83" s="824">
        <f>300+300+400</f>
        <v>1000</v>
      </c>
      <c r="AB83" s="732"/>
      <c r="AC83" s="816">
        <f>+AA83+AB83</f>
        <v>1000</v>
      </c>
      <c r="AD83" s="732">
        <f>Z83*12+AC83</f>
        <v>9680.01</v>
      </c>
      <c r="AE83" s="732">
        <f t="shared" si="56"/>
        <v>0</v>
      </c>
      <c r="AF83" s="732">
        <f t="shared" si="57"/>
        <v>0</v>
      </c>
      <c r="AG83" s="732">
        <f t="shared" si="58"/>
        <v>0</v>
      </c>
      <c r="AH83" s="825"/>
      <c r="AI83" s="816"/>
    </row>
    <row r="84" spans="1:35" hidden="1">
      <c r="A84" s="693" t="s">
        <v>7026</v>
      </c>
      <c r="B84" s="825"/>
      <c r="C84" s="732"/>
      <c r="D84" s="732"/>
      <c r="E84" s="732"/>
      <c r="F84" s="732"/>
      <c r="G84" s="732"/>
      <c r="H84" s="732"/>
      <c r="I84" s="732"/>
      <c r="J84" s="732"/>
      <c r="K84" s="732"/>
      <c r="L84" s="732"/>
      <c r="M84" s="732"/>
      <c r="N84" s="732"/>
      <c r="O84" s="732">
        <f>(K84*12)+N84</f>
        <v>0</v>
      </c>
      <c r="P84" s="732">
        <f t="shared" si="55"/>
        <v>0</v>
      </c>
      <c r="Q84" s="825"/>
      <c r="R84" s="732"/>
      <c r="S84" s="732"/>
      <c r="T84" s="732"/>
      <c r="U84" s="732"/>
      <c r="V84" s="732"/>
      <c r="W84" s="732"/>
      <c r="X84" s="732"/>
      <c r="Y84" s="732"/>
      <c r="Z84" s="732"/>
      <c r="AA84" s="732"/>
      <c r="AB84" s="732"/>
      <c r="AC84" s="732"/>
      <c r="AD84" s="732">
        <f>(Z84*12)+AC84</f>
        <v>0</v>
      </c>
      <c r="AE84" s="732">
        <f t="shared" si="56"/>
        <v>0</v>
      </c>
      <c r="AF84" s="732">
        <f t="shared" si="57"/>
        <v>0</v>
      </c>
      <c r="AG84" s="732">
        <f t="shared" si="58"/>
        <v>0</v>
      </c>
      <c r="AH84" s="825"/>
      <c r="AI84" s="732"/>
    </row>
    <row r="85" spans="1:35" hidden="1">
      <c r="A85" s="693" t="s">
        <v>7025</v>
      </c>
      <c r="B85" s="825"/>
      <c r="C85" s="732"/>
      <c r="D85" s="732"/>
      <c r="E85" s="732"/>
      <c r="F85" s="732"/>
      <c r="G85" s="732"/>
      <c r="H85" s="732"/>
      <c r="I85" s="732"/>
      <c r="J85" s="732"/>
      <c r="K85" s="732"/>
      <c r="L85" s="732"/>
      <c r="M85" s="732"/>
      <c r="N85" s="732"/>
      <c r="O85" s="732">
        <f t="shared" ref="O85:O90" si="59">(K85*12)+L85</f>
        <v>0</v>
      </c>
      <c r="P85" s="732">
        <f t="shared" si="55"/>
        <v>0</v>
      </c>
      <c r="Q85" s="825"/>
      <c r="R85" s="732"/>
      <c r="S85" s="732"/>
      <c r="T85" s="732"/>
      <c r="U85" s="732"/>
      <c r="V85" s="732"/>
      <c r="W85" s="732"/>
      <c r="X85" s="732"/>
      <c r="Y85" s="732"/>
      <c r="Z85" s="732"/>
      <c r="AA85" s="732"/>
      <c r="AB85" s="732"/>
      <c r="AC85" s="732"/>
      <c r="AD85" s="732">
        <f t="shared" ref="AD85:AD90" si="60">(Z85*12)+AA85</f>
        <v>0</v>
      </c>
      <c r="AE85" s="732">
        <f t="shared" si="56"/>
        <v>0</v>
      </c>
      <c r="AF85" s="732">
        <f t="shared" si="57"/>
        <v>0</v>
      </c>
      <c r="AG85" s="732">
        <f t="shared" si="58"/>
        <v>0</v>
      </c>
      <c r="AH85" s="825"/>
      <c r="AI85" s="732"/>
    </row>
    <row r="86" spans="1:35" hidden="1">
      <c r="A86" s="693" t="s">
        <v>7024</v>
      </c>
      <c r="B86" s="825"/>
      <c r="C86" s="732"/>
      <c r="D86" s="732"/>
      <c r="E86" s="732"/>
      <c r="F86" s="732"/>
      <c r="G86" s="732"/>
      <c r="H86" s="732"/>
      <c r="I86" s="732"/>
      <c r="J86" s="732"/>
      <c r="K86" s="732"/>
      <c r="L86" s="732"/>
      <c r="M86" s="732"/>
      <c r="N86" s="732"/>
      <c r="O86" s="732">
        <f t="shared" si="59"/>
        <v>0</v>
      </c>
      <c r="P86" s="732">
        <f t="shared" si="55"/>
        <v>0</v>
      </c>
      <c r="Q86" s="825"/>
      <c r="R86" s="732"/>
      <c r="S86" s="732"/>
      <c r="T86" s="732"/>
      <c r="U86" s="732"/>
      <c r="V86" s="732"/>
      <c r="W86" s="732"/>
      <c r="X86" s="732"/>
      <c r="Y86" s="732"/>
      <c r="Z86" s="732"/>
      <c r="AA86" s="732"/>
      <c r="AB86" s="732"/>
      <c r="AC86" s="732"/>
      <c r="AD86" s="732">
        <f t="shared" si="60"/>
        <v>0</v>
      </c>
      <c r="AE86" s="732">
        <f t="shared" si="56"/>
        <v>0</v>
      </c>
      <c r="AF86" s="732">
        <f t="shared" si="57"/>
        <v>0</v>
      </c>
      <c r="AG86" s="732">
        <f t="shared" si="58"/>
        <v>0</v>
      </c>
      <c r="AH86" s="825"/>
      <c r="AI86" s="732"/>
    </row>
    <row r="87" spans="1:35" hidden="1">
      <c r="A87" s="693" t="s">
        <v>7023</v>
      </c>
      <c r="B87" s="825"/>
      <c r="C87" s="732"/>
      <c r="D87" s="732"/>
      <c r="E87" s="732"/>
      <c r="F87" s="732"/>
      <c r="G87" s="732"/>
      <c r="H87" s="732"/>
      <c r="I87" s="732"/>
      <c r="J87" s="732"/>
      <c r="K87" s="732"/>
      <c r="L87" s="732"/>
      <c r="M87" s="732"/>
      <c r="N87" s="732"/>
      <c r="O87" s="732">
        <f t="shared" si="59"/>
        <v>0</v>
      </c>
      <c r="P87" s="732">
        <f t="shared" si="55"/>
        <v>0</v>
      </c>
      <c r="Q87" s="825"/>
      <c r="R87" s="732"/>
      <c r="S87" s="732"/>
      <c r="T87" s="732"/>
      <c r="U87" s="732"/>
      <c r="V87" s="732"/>
      <c r="W87" s="732"/>
      <c r="X87" s="732"/>
      <c r="Y87" s="732"/>
      <c r="Z87" s="732"/>
      <c r="AA87" s="732"/>
      <c r="AB87" s="732"/>
      <c r="AC87" s="732"/>
      <c r="AD87" s="732">
        <f t="shared" si="60"/>
        <v>0</v>
      </c>
      <c r="AE87" s="732">
        <f t="shared" si="56"/>
        <v>0</v>
      </c>
      <c r="AF87" s="732">
        <f t="shared" si="57"/>
        <v>0</v>
      </c>
      <c r="AG87" s="732">
        <f t="shared" si="58"/>
        <v>0</v>
      </c>
      <c r="AH87" s="825"/>
      <c r="AI87" s="732"/>
    </row>
    <row r="88" spans="1:35" hidden="1">
      <c r="A88" s="693" t="s">
        <v>7022</v>
      </c>
      <c r="B88" s="825"/>
      <c r="C88" s="732"/>
      <c r="D88" s="732"/>
      <c r="E88" s="732"/>
      <c r="F88" s="732"/>
      <c r="G88" s="732"/>
      <c r="H88" s="732"/>
      <c r="I88" s="732"/>
      <c r="J88" s="732"/>
      <c r="K88" s="732"/>
      <c r="L88" s="732"/>
      <c r="M88" s="732"/>
      <c r="N88" s="732"/>
      <c r="O88" s="732">
        <f t="shared" si="59"/>
        <v>0</v>
      </c>
      <c r="P88" s="732">
        <f t="shared" si="55"/>
        <v>0</v>
      </c>
      <c r="Q88" s="825"/>
      <c r="R88" s="732"/>
      <c r="S88" s="732"/>
      <c r="T88" s="732"/>
      <c r="U88" s="732"/>
      <c r="V88" s="732"/>
      <c r="W88" s="732"/>
      <c r="X88" s="732"/>
      <c r="Y88" s="732"/>
      <c r="Z88" s="732"/>
      <c r="AA88" s="732"/>
      <c r="AB88" s="732"/>
      <c r="AC88" s="732"/>
      <c r="AD88" s="732">
        <f t="shared" si="60"/>
        <v>0</v>
      </c>
      <c r="AE88" s="732">
        <f t="shared" si="56"/>
        <v>0</v>
      </c>
      <c r="AF88" s="732">
        <f t="shared" si="57"/>
        <v>0</v>
      </c>
      <c r="AG88" s="732">
        <f t="shared" si="58"/>
        <v>0</v>
      </c>
      <c r="AH88" s="825"/>
      <c r="AI88" s="732"/>
    </row>
    <row r="89" spans="1:35" hidden="1">
      <c r="A89" s="693" t="s">
        <v>7021</v>
      </c>
      <c r="B89" s="825"/>
      <c r="C89" s="732"/>
      <c r="D89" s="732"/>
      <c r="E89" s="732"/>
      <c r="F89" s="732"/>
      <c r="G89" s="732"/>
      <c r="H89" s="732"/>
      <c r="I89" s="732"/>
      <c r="J89" s="732"/>
      <c r="K89" s="732"/>
      <c r="L89" s="732"/>
      <c r="M89" s="732"/>
      <c r="N89" s="732"/>
      <c r="O89" s="732">
        <f t="shared" si="59"/>
        <v>0</v>
      </c>
      <c r="P89" s="732">
        <f t="shared" si="55"/>
        <v>0</v>
      </c>
      <c r="Q89" s="825"/>
      <c r="R89" s="732"/>
      <c r="S89" s="732"/>
      <c r="T89" s="732"/>
      <c r="U89" s="732"/>
      <c r="V89" s="732"/>
      <c r="W89" s="732"/>
      <c r="X89" s="732"/>
      <c r="Y89" s="732"/>
      <c r="Z89" s="732"/>
      <c r="AA89" s="732"/>
      <c r="AB89" s="732"/>
      <c r="AC89" s="732"/>
      <c r="AD89" s="732">
        <f t="shared" si="60"/>
        <v>0</v>
      </c>
      <c r="AE89" s="732">
        <f t="shared" si="56"/>
        <v>0</v>
      </c>
      <c r="AF89" s="732">
        <f t="shared" si="57"/>
        <v>0</v>
      </c>
      <c r="AG89" s="732">
        <f t="shared" si="58"/>
        <v>0</v>
      </c>
      <c r="AH89" s="825"/>
      <c r="AI89" s="732"/>
    </row>
    <row r="90" spans="1:35" hidden="1">
      <c r="A90" s="693" t="s">
        <v>7020</v>
      </c>
      <c r="B90" s="825"/>
      <c r="C90" s="732"/>
      <c r="D90" s="732"/>
      <c r="E90" s="732"/>
      <c r="F90" s="732"/>
      <c r="G90" s="732"/>
      <c r="H90" s="732"/>
      <c r="I90" s="732"/>
      <c r="J90" s="732"/>
      <c r="K90" s="732"/>
      <c r="L90" s="732"/>
      <c r="M90" s="732"/>
      <c r="N90" s="732"/>
      <c r="O90" s="732">
        <f t="shared" si="59"/>
        <v>0</v>
      </c>
      <c r="P90" s="732">
        <f t="shared" si="55"/>
        <v>0</v>
      </c>
      <c r="Q90" s="825"/>
      <c r="R90" s="732"/>
      <c r="S90" s="732"/>
      <c r="T90" s="732"/>
      <c r="U90" s="732"/>
      <c r="V90" s="732"/>
      <c r="W90" s="732"/>
      <c r="X90" s="732"/>
      <c r="Y90" s="732"/>
      <c r="Z90" s="732"/>
      <c r="AA90" s="732"/>
      <c r="AB90" s="732"/>
      <c r="AC90" s="732"/>
      <c r="AD90" s="732">
        <f t="shared" si="60"/>
        <v>0</v>
      </c>
      <c r="AE90" s="732">
        <f t="shared" si="56"/>
        <v>0</v>
      </c>
      <c r="AF90" s="732">
        <f t="shared" si="57"/>
        <v>0</v>
      </c>
      <c r="AG90" s="732">
        <f t="shared" si="58"/>
        <v>0</v>
      </c>
      <c r="AH90" s="825"/>
      <c r="AI90" s="732"/>
    </row>
    <row r="91" spans="1:35" ht="22.5">
      <c r="A91" s="688" t="s">
        <v>7019</v>
      </c>
      <c r="B91" s="813">
        <f t="shared" ref="B91:AI91" si="61">B92+B99+B105+B111+B117+B123+B129+B135+B141+B147+B153+B159+B165+B171+B177+B185+B188+B192+B199+B206</f>
        <v>1483</v>
      </c>
      <c r="C91" s="813">
        <f t="shared" si="61"/>
        <v>158618.80000000002</v>
      </c>
      <c r="D91" s="813">
        <f t="shared" si="61"/>
        <v>0</v>
      </c>
      <c r="E91" s="813">
        <f t="shared" si="61"/>
        <v>0</v>
      </c>
      <c r="F91" s="813">
        <f t="shared" si="61"/>
        <v>0</v>
      </c>
      <c r="G91" s="813">
        <f t="shared" si="61"/>
        <v>0</v>
      </c>
      <c r="H91" s="813">
        <f t="shared" si="61"/>
        <v>0</v>
      </c>
      <c r="I91" s="813">
        <f t="shared" si="61"/>
        <v>0</v>
      </c>
      <c r="J91" s="813">
        <f t="shared" si="61"/>
        <v>26073.455892575632</v>
      </c>
      <c r="K91" s="813">
        <f t="shared" si="61"/>
        <v>184692.25589257563</v>
      </c>
      <c r="L91" s="813">
        <f t="shared" si="61"/>
        <v>48400</v>
      </c>
      <c r="M91" s="813">
        <f t="shared" si="61"/>
        <v>0</v>
      </c>
      <c r="N91" s="813">
        <f t="shared" si="61"/>
        <v>48400</v>
      </c>
      <c r="O91" s="813">
        <f t="shared" si="61"/>
        <v>2264707.0707109072</v>
      </c>
      <c r="P91" s="813">
        <f t="shared" si="61"/>
        <v>63821822.872344084</v>
      </c>
      <c r="Q91" s="813">
        <f t="shared" si="61"/>
        <v>1483</v>
      </c>
      <c r="R91" s="813">
        <f t="shared" si="61"/>
        <v>183508</v>
      </c>
      <c r="S91" s="813">
        <f t="shared" si="61"/>
        <v>0</v>
      </c>
      <c r="T91" s="813">
        <f t="shared" si="61"/>
        <v>0</v>
      </c>
      <c r="U91" s="813">
        <f t="shared" si="61"/>
        <v>0</v>
      </c>
      <c r="V91" s="813">
        <f t="shared" si="61"/>
        <v>0</v>
      </c>
      <c r="W91" s="813">
        <f t="shared" si="61"/>
        <v>0</v>
      </c>
      <c r="X91" s="813">
        <f t="shared" si="61"/>
        <v>0</v>
      </c>
      <c r="Y91" s="813">
        <f t="shared" si="61"/>
        <v>26073.455892575632</v>
      </c>
      <c r="Z91" s="813">
        <f t="shared" si="61"/>
        <v>202124.45589257561</v>
      </c>
      <c r="AA91" s="813">
        <f t="shared" si="61"/>
        <v>48400</v>
      </c>
      <c r="AB91" s="813">
        <f t="shared" si="61"/>
        <v>0</v>
      </c>
      <c r="AC91" s="813">
        <f t="shared" si="61"/>
        <v>48400</v>
      </c>
      <c r="AD91" s="813">
        <f t="shared" si="61"/>
        <v>2473893.4707109071</v>
      </c>
      <c r="AE91" s="813">
        <f t="shared" si="61"/>
        <v>69332844.4723441</v>
      </c>
      <c r="AF91" s="813">
        <f t="shared" si="61"/>
        <v>-209186.39999999997</v>
      </c>
      <c r="AG91" s="813">
        <f t="shared" si="61"/>
        <v>-5511021.5999999968</v>
      </c>
      <c r="AH91" s="813">
        <f t="shared" si="61"/>
        <v>1483</v>
      </c>
      <c r="AI91" s="813">
        <f t="shared" si="61"/>
        <v>71071008.996000007</v>
      </c>
    </row>
    <row r="92" spans="1:35">
      <c r="A92" s="685" t="s">
        <v>7018</v>
      </c>
      <c r="B92" s="689">
        <f t="shared" ref="B92:AI92" si="62">SUM(B93:B98)</f>
        <v>216</v>
      </c>
      <c r="C92" s="821">
        <f t="shared" si="62"/>
        <v>34558.400000000001</v>
      </c>
      <c r="D92" s="821">
        <f t="shared" si="62"/>
        <v>0</v>
      </c>
      <c r="E92" s="821">
        <f t="shared" si="62"/>
        <v>0</v>
      </c>
      <c r="F92" s="821">
        <f t="shared" si="62"/>
        <v>0</v>
      </c>
      <c r="G92" s="821">
        <f t="shared" si="62"/>
        <v>0</v>
      </c>
      <c r="H92" s="821">
        <f t="shared" si="62"/>
        <v>0</v>
      </c>
      <c r="I92" s="821">
        <f t="shared" si="62"/>
        <v>0</v>
      </c>
      <c r="J92" s="821">
        <f t="shared" si="62"/>
        <v>2237.5459606949371</v>
      </c>
      <c r="K92" s="821">
        <f t="shared" si="62"/>
        <v>36795.945960694939</v>
      </c>
      <c r="L92" s="821">
        <f t="shared" si="62"/>
        <v>6000</v>
      </c>
      <c r="M92" s="821">
        <f t="shared" si="62"/>
        <v>0</v>
      </c>
      <c r="N92" s="821">
        <f t="shared" si="62"/>
        <v>6000</v>
      </c>
      <c r="O92" s="821">
        <f t="shared" si="62"/>
        <v>447551.35152833926</v>
      </c>
      <c r="P92" s="821">
        <f t="shared" si="62"/>
        <v>15763644.224541292</v>
      </c>
      <c r="Q92" s="689">
        <f t="shared" si="62"/>
        <v>216</v>
      </c>
      <c r="R92" s="821">
        <f t="shared" si="62"/>
        <v>37424</v>
      </c>
      <c r="S92" s="821">
        <f t="shared" si="62"/>
        <v>0</v>
      </c>
      <c r="T92" s="821">
        <f t="shared" si="62"/>
        <v>0</v>
      </c>
      <c r="U92" s="821">
        <f t="shared" si="62"/>
        <v>0</v>
      </c>
      <c r="V92" s="821">
        <f t="shared" si="62"/>
        <v>0</v>
      </c>
      <c r="W92" s="821">
        <f t="shared" si="62"/>
        <v>0</v>
      </c>
      <c r="X92" s="821">
        <f t="shared" si="62"/>
        <v>0</v>
      </c>
      <c r="Y92" s="821">
        <f t="shared" si="62"/>
        <v>2237.5459606949371</v>
      </c>
      <c r="Z92" s="821">
        <f t="shared" si="62"/>
        <v>39661.545960694937</v>
      </c>
      <c r="AA92" s="821">
        <f t="shared" si="62"/>
        <v>6000</v>
      </c>
      <c r="AB92" s="821">
        <f t="shared" si="62"/>
        <v>0</v>
      </c>
      <c r="AC92" s="821">
        <f t="shared" si="62"/>
        <v>6000</v>
      </c>
      <c r="AD92" s="821">
        <f t="shared" si="62"/>
        <v>481938.55152833927</v>
      </c>
      <c r="AE92" s="821">
        <f t="shared" si="62"/>
        <v>16876313.024541292</v>
      </c>
      <c r="AF92" s="821">
        <f t="shared" si="62"/>
        <v>-34387.19999999999</v>
      </c>
      <c r="AG92" s="821">
        <f t="shared" si="62"/>
        <v>-1112668.7999999996</v>
      </c>
      <c r="AH92" s="821">
        <f t="shared" si="62"/>
        <v>216</v>
      </c>
      <c r="AI92" s="689">
        <f t="shared" si="62"/>
        <v>17314946.184178017</v>
      </c>
    </row>
    <row r="93" spans="1:35">
      <c r="A93" s="687" t="s">
        <v>7001</v>
      </c>
      <c r="B93" s="825">
        <v>41</v>
      </c>
      <c r="C93" s="826">
        <v>6583</v>
      </c>
      <c r="D93" s="732"/>
      <c r="E93" s="732"/>
      <c r="F93" s="732"/>
      <c r="G93" s="732"/>
      <c r="H93" s="732"/>
      <c r="I93" s="732"/>
      <c r="J93" s="732">
        <v>650.06294117647053</v>
      </c>
      <c r="K93" s="816">
        <f t="shared" ref="K93:K98" si="63">SUM(C93:J93)</f>
        <v>7233.0629411764703</v>
      </c>
      <c r="L93" s="824">
        <f t="shared" ref="L93:L98" si="64">300+300+400</f>
        <v>1000</v>
      </c>
      <c r="M93" s="732"/>
      <c r="N93" s="816">
        <f t="shared" ref="N93:N98" si="65">+L93+M93</f>
        <v>1000</v>
      </c>
      <c r="O93" s="732">
        <f t="shared" ref="O93:O98" si="66">(K93*12)+N93</f>
        <v>87796.75529411764</v>
      </c>
      <c r="P93" s="732">
        <f t="shared" ref="P93:P98" si="67">B93*O93</f>
        <v>3599666.9670588234</v>
      </c>
      <c r="Q93" s="825">
        <v>41</v>
      </c>
      <c r="R93" s="826">
        <v>7266</v>
      </c>
      <c r="S93" s="732"/>
      <c r="T93" s="732"/>
      <c r="U93" s="732"/>
      <c r="V93" s="732"/>
      <c r="W93" s="732"/>
      <c r="X93" s="732"/>
      <c r="Y93" s="732">
        <v>650.06294117647053</v>
      </c>
      <c r="Z93" s="816">
        <f t="shared" ref="Z93:Z98" si="68">SUM(R93:Y93)</f>
        <v>7916.0629411764703</v>
      </c>
      <c r="AA93" s="824">
        <f t="shared" ref="AA93:AA98" si="69">300+300+400</f>
        <v>1000</v>
      </c>
      <c r="AB93" s="732"/>
      <c r="AC93" s="816">
        <f t="shared" ref="AC93:AC98" si="70">+AA93+AB93</f>
        <v>1000</v>
      </c>
      <c r="AD93" s="732">
        <f t="shared" ref="AD93:AD98" si="71">(Z93*12)+AC93</f>
        <v>95992.75529411764</v>
      </c>
      <c r="AE93" s="732">
        <f t="shared" ref="AE93:AE98" si="72">Q93*AD93</f>
        <v>3935702.9670588234</v>
      </c>
      <c r="AF93" s="732">
        <f t="shared" ref="AF93:AG98" si="73">+O93-AD93</f>
        <v>-8196</v>
      </c>
      <c r="AG93" s="732">
        <f t="shared" si="73"/>
        <v>-336036</v>
      </c>
      <c r="AH93" s="825">
        <v>41</v>
      </c>
      <c r="AI93" s="816">
        <v>3898034.4145893455</v>
      </c>
    </row>
    <row r="94" spans="1:35">
      <c r="A94" s="687" t="s">
        <v>7000</v>
      </c>
      <c r="B94" s="825">
        <v>19</v>
      </c>
      <c r="C94" s="826">
        <v>6212.6</v>
      </c>
      <c r="D94" s="732"/>
      <c r="E94" s="732"/>
      <c r="F94" s="732"/>
      <c r="G94" s="732"/>
      <c r="H94" s="732"/>
      <c r="I94" s="732"/>
      <c r="J94" s="732">
        <v>471.82956521739129</v>
      </c>
      <c r="K94" s="816">
        <f t="shared" si="63"/>
        <v>6684.4295652173914</v>
      </c>
      <c r="L94" s="824">
        <f t="shared" si="64"/>
        <v>1000</v>
      </c>
      <c r="M94" s="732"/>
      <c r="N94" s="816">
        <f t="shared" si="65"/>
        <v>1000</v>
      </c>
      <c r="O94" s="732">
        <f t="shared" si="66"/>
        <v>81213.154782608704</v>
      </c>
      <c r="P94" s="732">
        <f t="shared" si="67"/>
        <v>1543049.9408695654</v>
      </c>
      <c r="Q94" s="825">
        <v>19</v>
      </c>
      <c r="R94" s="826">
        <v>6826</v>
      </c>
      <c r="S94" s="732"/>
      <c r="T94" s="732"/>
      <c r="U94" s="732"/>
      <c r="V94" s="732"/>
      <c r="W94" s="732"/>
      <c r="X94" s="732"/>
      <c r="Y94" s="732">
        <v>471.82956521739129</v>
      </c>
      <c r="Z94" s="816">
        <f t="shared" si="68"/>
        <v>7297.8295652173911</v>
      </c>
      <c r="AA94" s="824">
        <f t="shared" si="69"/>
        <v>1000</v>
      </c>
      <c r="AB94" s="732"/>
      <c r="AC94" s="816">
        <f t="shared" si="70"/>
        <v>1000</v>
      </c>
      <c r="AD94" s="732">
        <f t="shared" si="71"/>
        <v>88573.954782608693</v>
      </c>
      <c r="AE94" s="732">
        <f t="shared" si="72"/>
        <v>1682905.1408695651</v>
      </c>
      <c r="AF94" s="732">
        <f t="shared" si="73"/>
        <v>-7360.7999999999884</v>
      </c>
      <c r="AG94" s="732">
        <f t="shared" si="73"/>
        <v>-139855.19999999972</v>
      </c>
      <c r="AH94" s="825">
        <v>19</v>
      </c>
      <c r="AI94" s="816">
        <v>1706086.19212677</v>
      </c>
    </row>
    <row r="95" spans="1:35">
      <c r="A95" s="687" t="s">
        <v>6999</v>
      </c>
      <c r="B95" s="825">
        <v>11</v>
      </c>
      <c r="C95" s="826">
        <v>5834.6</v>
      </c>
      <c r="D95" s="732"/>
      <c r="E95" s="732"/>
      <c r="F95" s="732"/>
      <c r="G95" s="732"/>
      <c r="H95" s="732"/>
      <c r="I95" s="732"/>
      <c r="J95" s="732">
        <v>351.81625000000003</v>
      </c>
      <c r="K95" s="816">
        <f t="shared" si="63"/>
        <v>6186.4162500000002</v>
      </c>
      <c r="L95" s="824">
        <f t="shared" si="64"/>
        <v>1000</v>
      </c>
      <c r="M95" s="732"/>
      <c r="N95" s="816">
        <f t="shared" si="65"/>
        <v>1000</v>
      </c>
      <c r="O95" s="732">
        <f t="shared" si="66"/>
        <v>75236.994999999995</v>
      </c>
      <c r="P95" s="732">
        <f t="shared" si="67"/>
        <v>827606.94499999995</v>
      </c>
      <c r="Q95" s="825">
        <v>11</v>
      </c>
      <c r="R95" s="826">
        <v>6336</v>
      </c>
      <c r="S95" s="732"/>
      <c r="T95" s="732"/>
      <c r="U95" s="732"/>
      <c r="V95" s="732"/>
      <c r="W95" s="732"/>
      <c r="X95" s="732"/>
      <c r="Y95" s="732">
        <v>351.81625000000003</v>
      </c>
      <c r="Z95" s="816">
        <f t="shared" si="68"/>
        <v>6687.8162499999999</v>
      </c>
      <c r="AA95" s="824">
        <f t="shared" si="69"/>
        <v>1000</v>
      </c>
      <c r="AB95" s="732"/>
      <c r="AC95" s="816">
        <f t="shared" si="70"/>
        <v>1000</v>
      </c>
      <c r="AD95" s="732">
        <f t="shared" si="71"/>
        <v>81253.794999999998</v>
      </c>
      <c r="AE95" s="732">
        <f t="shared" si="72"/>
        <v>893791.745</v>
      </c>
      <c r="AF95" s="732">
        <f t="shared" si="73"/>
        <v>-6016.8000000000029</v>
      </c>
      <c r="AG95" s="732">
        <f t="shared" si="73"/>
        <v>-66184.800000000047</v>
      </c>
      <c r="AH95" s="825">
        <v>11</v>
      </c>
      <c r="AI95" s="816">
        <v>923054.11123128794</v>
      </c>
    </row>
    <row r="96" spans="1:35">
      <c r="A96" s="687" t="s">
        <v>6998</v>
      </c>
      <c r="B96" s="825">
        <v>4</v>
      </c>
      <c r="C96" s="826">
        <v>5515</v>
      </c>
      <c r="D96" s="732"/>
      <c r="E96" s="732"/>
      <c r="F96" s="732"/>
      <c r="G96" s="732"/>
      <c r="H96" s="732"/>
      <c r="I96" s="732"/>
      <c r="J96" s="732">
        <v>302.18</v>
      </c>
      <c r="K96" s="816">
        <f t="shared" si="63"/>
        <v>5817.18</v>
      </c>
      <c r="L96" s="824">
        <f t="shared" si="64"/>
        <v>1000</v>
      </c>
      <c r="M96" s="732"/>
      <c r="N96" s="816">
        <f t="shared" si="65"/>
        <v>1000</v>
      </c>
      <c r="O96" s="732">
        <f t="shared" si="66"/>
        <v>70806.16</v>
      </c>
      <c r="P96" s="732">
        <f t="shared" si="67"/>
        <v>283224.64</v>
      </c>
      <c r="Q96" s="825">
        <v>4</v>
      </c>
      <c r="R96" s="826">
        <v>5932</v>
      </c>
      <c r="S96" s="732"/>
      <c r="T96" s="732"/>
      <c r="U96" s="732"/>
      <c r="V96" s="732"/>
      <c r="W96" s="732"/>
      <c r="X96" s="732"/>
      <c r="Y96" s="732">
        <v>302.18</v>
      </c>
      <c r="Z96" s="816">
        <f t="shared" si="68"/>
        <v>6234.18</v>
      </c>
      <c r="AA96" s="824">
        <f t="shared" si="69"/>
        <v>1000</v>
      </c>
      <c r="AB96" s="732"/>
      <c r="AC96" s="816">
        <f t="shared" si="70"/>
        <v>1000</v>
      </c>
      <c r="AD96" s="732">
        <f t="shared" si="71"/>
        <v>75810.16</v>
      </c>
      <c r="AE96" s="732">
        <f t="shared" si="72"/>
        <v>303240.64</v>
      </c>
      <c r="AF96" s="732">
        <f t="shared" si="73"/>
        <v>-5004</v>
      </c>
      <c r="AG96" s="732">
        <f t="shared" si="73"/>
        <v>-20016</v>
      </c>
      <c r="AH96" s="825">
        <v>4</v>
      </c>
      <c r="AI96" s="816">
        <v>316264.04044774105</v>
      </c>
    </row>
    <row r="97" spans="1:35">
      <c r="A97" s="687" t="s">
        <v>6997</v>
      </c>
      <c r="B97" s="825">
        <v>101</v>
      </c>
      <c r="C97" s="826">
        <v>5206.6000000000004</v>
      </c>
      <c r="D97" s="732"/>
      <c r="E97" s="732"/>
      <c r="F97" s="732"/>
      <c r="G97" s="732"/>
      <c r="H97" s="732"/>
      <c r="I97" s="732"/>
      <c r="J97" s="732">
        <v>461.65720430107524</v>
      </c>
      <c r="K97" s="816">
        <f t="shared" si="63"/>
        <v>5668.2572043010759</v>
      </c>
      <c r="L97" s="824">
        <f t="shared" si="64"/>
        <v>1000</v>
      </c>
      <c r="M97" s="732"/>
      <c r="N97" s="816">
        <f t="shared" si="65"/>
        <v>1000</v>
      </c>
      <c r="O97" s="732">
        <f t="shared" si="66"/>
        <v>69019.086451612908</v>
      </c>
      <c r="P97" s="732">
        <f t="shared" si="67"/>
        <v>6970927.731612904</v>
      </c>
      <c r="Q97" s="825">
        <v>101</v>
      </c>
      <c r="R97" s="826">
        <v>5532</v>
      </c>
      <c r="S97" s="732"/>
      <c r="T97" s="732"/>
      <c r="U97" s="732"/>
      <c r="V97" s="732"/>
      <c r="W97" s="732"/>
      <c r="X97" s="732"/>
      <c r="Y97" s="732">
        <v>461.65720430107524</v>
      </c>
      <c r="Z97" s="816">
        <f t="shared" si="68"/>
        <v>5993.6572043010756</v>
      </c>
      <c r="AA97" s="824">
        <f t="shared" si="69"/>
        <v>1000</v>
      </c>
      <c r="AB97" s="732"/>
      <c r="AC97" s="816">
        <f t="shared" si="70"/>
        <v>1000</v>
      </c>
      <c r="AD97" s="732">
        <f t="shared" si="71"/>
        <v>72923.886451612911</v>
      </c>
      <c r="AE97" s="732">
        <f t="shared" si="72"/>
        <v>7365312.5316129038</v>
      </c>
      <c r="AF97" s="732">
        <f t="shared" si="73"/>
        <v>-3904.8000000000029</v>
      </c>
      <c r="AG97" s="732">
        <f t="shared" si="73"/>
        <v>-394384.79999999981</v>
      </c>
      <c r="AH97" s="825">
        <v>101</v>
      </c>
      <c r="AI97" s="816">
        <v>7500867.0213054614</v>
      </c>
    </row>
    <row r="98" spans="1:35">
      <c r="A98" s="687" t="s">
        <v>7017</v>
      </c>
      <c r="B98" s="825">
        <v>40</v>
      </c>
      <c r="C98" s="826">
        <v>5206.6000000000004</v>
      </c>
      <c r="D98" s="732"/>
      <c r="E98" s="732"/>
      <c r="F98" s="732"/>
      <c r="G98" s="732"/>
      <c r="H98" s="732"/>
      <c r="I98" s="732"/>
      <c r="J98" s="732">
        <v>0</v>
      </c>
      <c r="K98" s="732">
        <f t="shared" si="63"/>
        <v>5206.6000000000004</v>
      </c>
      <c r="L98" s="824">
        <f t="shared" si="64"/>
        <v>1000</v>
      </c>
      <c r="M98" s="732"/>
      <c r="N98" s="816">
        <f t="shared" si="65"/>
        <v>1000</v>
      </c>
      <c r="O98" s="732">
        <f t="shared" si="66"/>
        <v>63479.200000000004</v>
      </c>
      <c r="P98" s="732">
        <f t="shared" si="67"/>
        <v>2539168</v>
      </c>
      <c r="Q98" s="825">
        <v>40</v>
      </c>
      <c r="R98" s="826">
        <v>5532</v>
      </c>
      <c r="S98" s="732"/>
      <c r="T98" s="732"/>
      <c r="U98" s="732"/>
      <c r="V98" s="732"/>
      <c r="W98" s="732"/>
      <c r="X98" s="732"/>
      <c r="Y98" s="732">
        <v>0</v>
      </c>
      <c r="Z98" s="732">
        <f t="shared" si="68"/>
        <v>5532</v>
      </c>
      <c r="AA98" s="824">
        <f t="shared" si="69"/>
        <v>1000</v>
      </c>
      <c r="AB98" s="732"/>
      <c r="AC98" s="816">
        <f t="shared" si="70"/>
        <v>1000</v>
      </c>
      <c r="AD98" s="732">
        <f t="shared" si="71"/>
        <v>67384</v>
      </c>
      <c r="AE98" s="732">
        <f t="shared" si="72"/>
        <v>2695360</v>
      </c>
      <c r="AF98" s="732">
        <f t="shared" si="73"/>
        <v>-3904.7999999999956</v>
      </c>
      <c r="AG98" s="732">
        <f t="shared" si="73"/>
        <v>-156192</v>
      </c>
      <c r="AH98" s="825">
        <v>40</v>
      </c>
      <c r="AI98" s="816">
        <v>2970640.4044774109</v>
      </c>
    </row>
    <row r="99" spans="1:35" ht="33.75">
      <c r="A99" s="685" t="s">
        <v>7097</v>
      </c>
      <c r="B99" s="689">
        <f t="shared" ref="B99:AI99" si="74">SUM(B100:B104)</f>
        <v>139</v>
      </c>
      <c r="C99" s="689">
        <f t="shared" si="74"/>
        <v>17051.599999999999</v>
      </c>
      <c r="D99" s="689">
        <f t="shared" si="74"/>
        <v>0</v>
      </c>
      <c r="E99" s="689">
        <f t="shared" si="74"/>
        <v>0</v>
      </c>
      <c r="F99" s="689">
        <f t="shared" si="74"/>
        <v>0</v>
      </c>
      <c r="G99" s="689">
        <f t="shared" si="74"/>
        <v>0</v>
      </c>
      <c r="H99" s="689">
        <f t="shared" si="74"/>
        <v>0</v>
      </c>
      <c r="I99" s="689">
        <f t="shared" si="74"/>
        <v>0</v>
      </c>
      <c r="J99" s="689">
        <f t="shared" si="74"/>
        <v>3887.8905984014668</v>
      </c>
      <c r="K99" s="689">
        <f t="shared" si="74"/>
        <v>20939.490598401466</v>
      </c>
      <c r="L99" s="689">
        <f t="shared" si="74"/>
        <v>5000</v>
      </c>
      <c r="M99" s="689">
        <f t="shared" si="74"/>
        <v>0</v>
      </c>
      <c r="N99" s="689">
        <f t="shared" si="74"/>
        <v>5000</v>
      </c>
      <c r="O99" s="689">
        <f t="shared" si="74"/>
        <v>256273.8871808176</v>
      </c>
      <c r="P99" s="689">
        <f t="shared" si="74"/>
        <v>6845946.578534591</v>
      </c>
      <c r="Q99" s="689">
        <f t="shared" si="74"/>
        <v>139</v>
      </c>
      <c r="R99" s="689">
        <f t="shared" si="74"/>
        <v>19533</v>
      </c>
      <c r="S99" s="689">
        <f t="shared" si="74"/>
        <v>0</v>
      </c>
      <c r="T99" s="689">
        <f t="shared" si="74"/>
        <v>0</v>
      </c>
      <c r="U99" s="689">
        <f t="shared" si="74"/>
        <v>0</v>
      </c>
      <c r="V99" s="689">
        <f t="shared" si="74"/>
        <v>0</v>
      </c>
      <c r="W99" s="689">
        <f t="shared" si="74"/>
        <v>0</v>
      </c>
      <c r="X99" s="689">
        <f t="shared" si="74"/>
        <v>0</v>
      </c>
      <c r="Y99" s="689">
        <f t="shared" si="74"/>
        <v>3887.8905984014668</v>
      </c>
      <c r="Z99" s="689">
        <f t="shared" si="74"/>
        <v>23420.890598401467</v>
      </c>
      <c r="AA99" s="689">
        <f t="shared" si="74"/>
        <v>5000</v>
      </c>
      <c r="AB99" s="689">
        <f t="shared" si="74"/>
        <v>0</v>
      </c>
      <c r="AC99" s="689">
        <f t="shared" si="74"/>
        <v>5000</v>
      </c>
      <c r="AD99" s="689">
        <f t="shared" si="74"/>
        <v>286050.68718081759</v>
      </c>
      <c r="AE99" s="689">
        <f t="shared" si="74"/>
        <v>7615837.7785345903</v>
      </c>
      <c r="AF99" s="689">
        <f t="shared" si="74"/>
        <v>-29776.799999999996</v>
      </c>
      <c r="AG99" s="689">
        <f t="shared" si="74"/>
        <v>-769891.19999999949</v>
      </c>
      <c r="AH99" s="689">
        <f t="shared" si="74"/>
        <v>139</v>
      </c>
      <c r="AI99" s="689">
        <f t="shared" si="74"/>
        <v>7312199.4055590015</v>
      </c>
    </row>
    <row r="100" spans="1:35">
      <c r="A100" s="693" t="s">
        <v>7015</v>
      </c>
      <c r="B100" s="825">
        <v>8</v>
      </c>
      <c r="C100" s="732">
        <v>3875</v>
      </c>
      <c r="D100" s="732"/>
      <c r="E100" s="732"/>
      <c r="F100" s="732"/>
      <c r="G100" s="732"/>
      <c r="H100" s="732"/>
      <c r="I100" s="732"/>
      <c r="J100" s="732">
        <v>804.50593749999996</v>
      </c>
      <c r="K100" s="816">
        <f>SUM(C100:J100)</f>
        <v>4679.5059375000001</v>
      </c>
      <c r="L100" s="824">
        <f>300+300+400</f>
        <v>1000</v>
      </c>
      <c r="M100" s="732"/>
      <c r="N100" s="816">
        <f>+L100+M100</f>
        <v>1000</v>
      </c>
      <c r="O100" s="732">
        <f>+(K100*12)+N100</f>
        <v>57154.071250000001</v>
      </c>
      <c r="P100" s="732">
        <f>+B100*O100</f>
        <v>457232.57</v>
      </c>
      <c r="Q100" s="825">
        <v>8</v>
      </c>
      <c r="R100" s="732">
        <v>4471</v>
      </c>
      <c r="S100" s="732"/>
      <c r="T100" s="732"/>
      <c r="U100" s="732"/>
      <c r="V100" s="732"/>
      <c r="W100" s="732"/>
      <c r="X100" s="732"/>
      <c r="Y100" s="732">
        <v>804.50593749999996</v>
      </c>
      <c r="Z100" s="816">
        <f>SUM(R100:Y100)</f>
        <v>5275.5059375000001</v>
      </c>
      <c r="AA100" s="824">
        <f>300+300+400</f>
        <v>1000</v>
      </c>
      <c r="AB100" s="732"/>
      <c r="AC100" s="816">
        <f>+AA100+AB100</f>
        <v>1000</v>
      </c>
      <c r="AD100" s="732">
        <f>+(Z100*12)+AC100</f>
        <v>64306.071250000001</v>
      </c>
      <c r="AE100" s="732">
        <f>+Q100*AD100</f>
        <v>514448.57</v>
      </c>
      <c r="AF100" s="732">
        <f t="shared" ref="AF100:AG104" si="75">+O100-AD100</f>
        <v>-7152</v>
      </c>
      <c r="AG100" s="732">
        <f t="shared" si="75"/>
        <v>-57216</v>
      </c>
      <c r="AH100" s="825">
        <v>8</v>
      </c>
      <c r="AI100" s="816">
        <v>492272.0808954821</v>
      </c>
    </row>
    <row r="101" spans="1:35">
      <c r="A101" s="693" t="s">
        <v>7014</v>
      </c>
      <c r="B101" s="825">
        <v>9</v>
      </c>
      <c r="C101" s="732">
        <v>3619.6</v>
      </c>
      <c r="D101" s="732"/>
      <c r="E101" s="732"/>
      <c r="F101" s="732"/>
      <c r="G101" s="732"/>
      <c r="H101" s="732"/>
      <c r="I101" s="732"/>
      <c r="J101" s="732">
        <v>855.33958333333339</v>
      </c>
      <c r="K101" s="816">
        <f>SUM(C101:J101)</f>
        <v>4474.9395833333328</v>
      </c>
      <c r="L101" s="824">
        <f>300+300+400</f>
        <v>1000</v>
      </c>
      <c r="M101" s="732"/>
      <c r="N101" s="816">
        <f>+L101+M101</f>
        <v>1000</v>
      </c>
      <c r="O101" s="732">
        <f>+(K101*12)+N101</f>
        <v>54699.274999999994</v>
      </c>
      <c r="P101" s="732">
        <f>+B101*O101</f>
        <v>492293.47499999998</v>
      </c>
      <c r="Q101" s="825">
        <v>9</v>
      </c>
      <c r="R101" s="732">
        <v>4158</v>
      </c>
      <c r="S101" s="732"/>
      <c r="T101" s="732"/>
      <c r="U101" s="732"/>
      <c r="V101" s="732"/>
      <c r="W101" s="732"/>
      <c r="X101" s="732"/>
      <c r="Y101" s="732">
        <v>855.33958333333339</v>
      </c>
      <c r="Z101" s="816">
        <f>SUM(R101:Y101)</f>
        <v>5013.3395833333334</v>
      </c>
      <c r="AA101" s="824">
        <f>300+300+400</f>
        <v>1000</v>
      </c>
      <c r="AB101" s="732"/>
      <c r="AC101" s="816">
        <f>+AA101+AB101</f>
        <v>1000</v>
      </c>
      <c r="AD101" s="732">
        <f>+(Z101*12)+AC101</f>
        <v>61160.074999999997</v>
      </c>
      <c r="AE101" s="732">
        <f>+Q101*AD101</f>
        <v>550440.67499999993</v>
      </c>
      <c r="AF101" s="732">
        <f t="shared" si="75"/>
        <v>-6460.8000000000029</v>
      </c>
      <c r="AG101" s="732">
        <f t="shared" si="75"/>
        <v>-58147.199999999953</v>
      </c>
      <c r="AH101" s="825">
        <v>9</v>
      </c>
      <c r="AI101" s="816">
        <v>520002.09100741736</v>
      </c>
    </row>
    <row r="102" spans="1:35">
      <c r="A102" s="693" t="s">
        <v>7013</v>
      </c>
      <c r="B102" s="825">
        <v>26</v>
      </c>
      <c r="C102" s="732">
        <v>3409</v>
      </c>
      <c r="D102" s="732"/>
      <c r="E102" s="732"/>
      <c r="F102" s="732"/>
      <c r="G102" s="732"/>
      <c r="H102" s="732"/>
      <c r="I102" s="732"/>
      <c r="J102" s="732">
        <v>780.08018867924534</v>
      </c>
      <c r="K102" s="816">
        <f>SUM(C102:J102)</f>
        <v>4189.0801886792451</v>
      </c>
      <c r="L102" s="824">
        <f>300+300+400</f>
        <v>1000</v>
      </c>
      <c r="M102" s="732"/>
      <c r="N102" s="816">
        <f>+L102+M102</f>
        <v>1000</v>
      </c>
      <c r="O102" s="732">
        <f>+(K102*12)+N102</f>
        <v>51268.962264150941</v>
      </c>
      <c r="P102" s="732">
        <f>+B102*O102</f>
        <v>1332993.0188679246</v>
      </c>
      <c r="Q102" s="825">
        <v>26</v>
      </c>
      <c r="R102" s="732">
        <v>3900</v>
      </c>
      <c r="S102" s="732"/>
      <c r="T102" s="732"/>
      <c r="U102" s="732"/>
      <c r="V102" s="732"/>
      <c r="W102" s="732"/>
      <c r="X102" s="732"/>
      <c r="Y102" s="732">
        <v>780.08018867924534</v>
      </c>
      <c r="Z102" s="816">
        <f>SUM(R102:Y102)</f>
        <v>4680.0801886792451</v>
      </c>
      <c r="AA102" s="824">
        <f>300+300+400</f>
        <v>1000</v>
      </c>
      <c r="AB102" s="732"/>
      <c r="AC102" s="816">
        <f>+AA102+AB102</f>
        <v>1000</v>
      </c>
      <c r="AD102" s="732">
        <f>+(Z102*12)+AC102</f>
        <v>57160.962264150941</v>
      </c>
      <c r="AE102" s="732">
        <f>+Q102*AD102</f>
        <v>1486185.0188679246</v>
      </c>
      <c r="AF102" s="732">
        <f t="shared" si="75"/>
        <v>-5892</v>
      </c>
      <c r="AG102" s="732">
        <f t="shared" si="75"/>
        <v>-153192</v>
      </c>
      <c r="AH102" s="825">
        <v>26</v>
      </c>
      <c r="AI102" s="816">
        <v>1421732.2629103169</v>
      </c>
    </row>
    <row r="103" spans="1:35">
      <c r="A103" s="693" t="s">
        <v>7012</v>
      </c>
      <c r="B103" s="825">
        <v>71</v>
      </c>
      <c r="C103" s="732">
        <v>3217</v>
      </c>
      <c r="D103" s="732"/>
      <c r="E103" s="732"/>
      <c r="F103" s="732"/>
      <c r="G103" s="732"/>
      <c r="H103" s="732"/>
      <c r="I103" s="732"/>
      <c r="J103" s="732">
        <v>747.92399999999952</v>
      </c>
      <c r="K103" s="816">
        <f>SUM(C103:J103)</f>
        <v>3964.9239999999995</v>
      </c>
      <c r="L103" s="824">
        <f>300+300+400</f>
        <v>1000</v>
      </c>
      <c r="M103" s="732"/>
      <c r="N103" s="816">
        <f>+L103+M103</f>
        <v>1000</v>
      </c>
      <c r="O103" s="732">
        <f>+(K103*12)+N103</f>
        <v>48579.087999999996</v>
      </c>
      <c r="P103" s="732">
        <f>+B103*O103</f>
        <v>3449115.2479999997</v>
      </c>
      <c r="Q103" s="825">
        <v>71</v>
      </c>
      <c r="R103" s="732">
        <v>3660</v>
      </c>
      <c r="S103" s="732"/>
      <c r="T103" s="732"/>
      <c r="U103" s="732"/>
      <c r="V103" s="732"/>
      <c r="W103" s="732"/>
      <c r="X103" s="732"/>
      <c r="Y103" s="732">
        <v>747.92399999999952</v>
      </c>
      <c r="Z103" s="816">
        <f>SUM(R103:Y103)</f>
        <v>4407.9239999999991</v>
      </c>
      <c r="AA103" s="824">
        <f>300+300+400</f>
        <v>1000</v>
      </c>
      <c r="AB103" s="732"/>
      <c r="AC103" s="816">
        <f>+AA103+AB103</f>
        <v>1000</v>
      </c>
      <c r="AD103" s="732">
        <f>+(Z103*12)+AC103</f>
        <v>53895.087999999989</v>
      </c>
      <c r="AE103" s="732">
        <f>+Q103*AD103</f>
        <v>3826551.2479999992</v>
      </c>
      <c r="AF103" s="732">
        <f t="shared" si="75"/>
        <v>-5315.9999999999927</v>
      </c>
      <c r="AG103" s="732">
        <f t="shared" si="75"/>
        <v>-377435.99999999953</v>
      </c>
      <c r="AH103" s="825">
        <v>71</v>
      </c>
      <c r="AI103" s="816">
        <v>3677942.7179474039</v>
      </c>
    </row>
    <row r="104" spans="1:35">
      <c r="A104" s="693" t="s">
        <v>7011</v>
      </c>
      <c r="B104" s="825">
        <v>25</v>
      </c>
      <c r="C104" s="732">
        <v>2931</v>
      </c>
      <c r="D104" s="732"/>
      <c r="E104" s="732"/>
      <c r="F104" s="732"/>
      <c r="G104" s="732"/>
      <c r="H104" s="732"/>
      <c r="I104" s="732"/>
      <c r="J104" s="732">
        <v>700.04088888888884</v>
      </c>
      <c r="K104" s="816">
        <f>SUM(C104:J104)</f>
        <v>3631.0408888888887</v>
      </c>
      <c r="L104" s="824">
        <f>300+300+400</f>
        <v>1000</v>
      </c>
      <c r="M104" s="732"/>
      <c r="N104" s="816">
        <f>+L104+M104</f>
        <v>1000</v>
      </c>
      <c r="O104" s="732">
        <f>+(K104*12)+N104</f>
        <v>44572.490666666665</v>
      </c>
      <c r="P104" s="732">
        <f>+B104*O104</f>
        <v>1114312.2666666666</v>
      </c>
      <c r="Q104" s="825">
        <v>25</v>
      </c>
      <c r="R104" s="732">
        <v>3344</v>
      </c>
      <c r="S104" s="732"/>
      <c r="T104" s="732"/>
      <c r="U104" s="732"/>
      <c r="V104" s="732"/>
      <c r="W104" s="732"/>
      <c r="X104" s="732"/>
      <c r="Y104" s="732">
        <v>700.04088888888884</v>
      </c>
      <c r="Z104" s="816">
        <f>SUM(R104:Y104)</f>
        <v>4044.0408888888887</v>
      </c>
      <c r="AA104" s="824">
        <f>300+300+400</f>
        <v>1000</v>
      </c>
      <c r="AB104" s="732"/>
      <c r="AC104" s="816">
        <f>+AA104+AB104</f>
        <v>1000</v>
      </c>
      <c r="AD104" s="732">
        <f>+(Z104*12)+AC104</f>
        <v>49528.490666666665</v>
      </c>
      <c r="AE104" s="732">
        <f>+Q104*AD104</f>
        <v>1238212.2666666666</v>
      </c>
      <c r="AF104" s="732">
        <f t="shared" si="75"/>
        <v>-4956</v>
      </c>
      <c r="AG104" s="732">
        <f t="shared" si="75"/>
        <v>-123900</v>
      </c>
      <c r="AH104" s="825">
        <v>25</v>
      </c>
      <c r="AI104" s="816">
        <v>1200250.2527983817</v>
      </c>
    </row>
    <row r="105" spans="1:35">
      <c r="A105" s="685" t="s">
        <v>7009</v>
      </c>
      <c r="B105" s="689">
        <f t="shared" ref="B105:AI105" si="76">SUM(B106:B110)</f>
        <v>309</v>
      </c>
      <c r="C105" s="689">
        <f t="shared" si="76"/>
        <v>17051.599999999999</v>
      </c>
      <c r="D105" s="689">
        <f t="shared" si="76"/>
        <v>0</v>
      </c>
      <c r="E105" s="689">
        <f t="shared" si="76"/>
        <v>0</v>
      </c>
      <c r="F105" s="689">
        <f t="shared" si="76"/>
        <v>0</v>
      </c>
      <c r="G105" s="689">
        <f t="shared" si="76"/>
        <v>0</v>
      </c>
      <c r="H105" s="689">
        <f t="shared" si="76"/>
        <v>0</v>
      </c>
      <c r="I105" s="689">
        <f t="shared" si="76"/>
        <v>0</v>
      </c>
      <c r="J105" s="689">
        <f t="shared" si="76"/>
        <v>3887.8905984014668</v>
      </c>
      <c r="K105" s="689">
        <f t="shared" si="76"/>
        <v>20939.490598401466</v>
      </c>
      <c r="L105" s="689">
        <f t="shared" si="76"/>
        <v>5000</v>
      </c>
      <c r="M105" s="689">
        <f t="shared" si="76"/>
        <v>0</v>
      </c>
      <c r="N105" s="689">
        <f t="shared" si="76"/>
        <v>5000</v>
      </c>
      <c r="O105" s="689">
        <f t="shared" si="76"/>
        <v>256273.8871808176</v>
      </c>
      <c r="P105" s="689">
        <f t="shared" si="76"/>
        <v>15461216.682029873</v>
      </c>
      <c r="Q105" s="689">
        <f t="shared" si="76"/>
        <v>309</v>
      </c>
      <c r="R105" s="689">
        <f t="shared" si="76"/>
        <v>19533</v>
      </c>
      <c r="S105" s="689">
        <f t="shared" si="76"/>
        <v>0</v>
      </c>
      <c r="T105" s="689">
        <f t="shared" si="76"/>
        <v>0</v>
      </c>
      <c r="U105" s="689">
        <f t="shared" si="76"/>
        <v>0</v>
      </c>
      <c r="V105" s="689">
        <f t="shared" si="76"/>
        <v>0</v>
      </c>
      <c r="W105" s="689">
        <f t="shared" si="76"/>
        <v>0</v>
      </c>
      <c r="X105" s="689">
        <f t="shared" si="76"/>
        <v>0</v>
      </c>
      <c r="Y105" s="689">
        <f t="shared" si="76"/>
        <v>3887.8905984014668</v>
      </c>
      <c r="Z105" s="689">
        <f t="shared" si="76"/>
        <v>23420.890598401467</v>
      </c>
      <c r="AA105" s="689">
        <f t="shared" si="76"/>
        <v>5000</v>
      </c>
      <c r="AB105" s="689">
        <f t="shared" si="76"/>
        <v>0</v>
      </c>
      <c r="AC105" s="689">
        <f t="shared" si="76"/>
        <v>5000</v>
      </c>
      <c r="AD105" s="689">
        <f t="shared" si="76"/>
        <v>286050.68718081759</v>
      </c>
      <c r="AE105" s="689">
        <f t="shared" si="76"/>
        <v>17220198.282029875</v>
      </c>
      <c r="AF105" s="689">
        <f t="shared" si="76"/>
        <v>-29776.799999999996</v>
      </c>
      <c r="AG105" s="689">
        <f t="shared" si="76"/>
        <v>-1758981.5999999992</v>
      </c>
      <c r="AH105" s="827">
        <f t="shared" si="76"/>
        <v>309</v>
      </c>
      <c r="AI105" s="689">
        <f t="shared" si="76"/>
        <v>16518129.124587998</v>
      </c>
    </row>
    <row r="106" spans="1:35">
      <c r="A106" s="687" t="s">
        <v>7008</v>
      </c>
      <c r="B106" s="824">
        <v>37</v>
      </c>
      <c r="C106" s="732">
        <v>3875</v>
      </c>
      <c r="D106" s="732"/>
      <c r="E106" s="732"/>
      <c r="F106" s="732"/>
      <c r="G106" s="732"/>
      <c r="H106" s="732"/>
      <c r="I106" s="732"/>
      <c r="J106" s="732">
        <v>804.50593749999996</v>
      </c>
      <c r="K106" s="816">
        <f>SUM(C106:J106)</f>
        <v>4679.5059375000001</v>
      </c>
      <c r="L106" s="824">
        <f>300+300+400</f>
        <v>1000</v>
      </c>
      <c r="M106" s="732"/>
      <c r="N106" s="816">
        <f>+L106+M106</f>
        <v>1000</v>
      </c>
      <c r="O106" s="732">
        <f>+(K106*12)+N106</f>
        <v>57154.071250000001</v>
      </c>
      <c r="P106" s="732">
        <f>+B106*O106</f>
        <v>2114700.63625</v>
      </c>
      <c r="Q106" s="824">
        <v>37</v>
      </c>
      <c r="R106" s="732">
        <v>4471</v>
      </c>
      <c r="S106" s="732"/>
      <c r="T106" s="732"/>
      <c r="U106" s="732"/>
      <c r="V106" s="732"/>
      <c r="W106" s="732"/>
      <c r="X106" s="732"/>
      <c r="Y106" s="732">
        <v>804.50593749999996</v>
      </c>
      <c r="Z106" s="816">
        <f>SUM(R106:Y106)</f>
        <v>5275.5059375000001</v>
      </c>
      <c r="AA106" s="824">
        <f>300+300+400</f>
        <v>1000</v>
      </c>
      <c r="AB106" s="732"/>
      <c r="AC106" s="816">
        <f>+AA106+AB106</f>
        <v>1000</v>
      </c>
      <c r="AD106" s="732">
        <f>+(Z106*12)+AC106</f>
        <v>64306.071250000001</v>
      </c>
      <c r="AE106" s="732">
        <f>+Q106*AD106</f>
        <v>2379324.63625</v>
      </c>
      <c r="AF106" s="732">
        <f t="shared" ref="AF106:AG110" si="77">+O106-AD106</f>
        <v>-7152</v>
      </c>
      <c r="AG106" s="732">
        <f t="shared" si="77"/>
        <v>-264624</v>
      </c>
      <c r="AH106" s="824">
        <v>37</v>
      </c>
      <c r="AI106" s="816">
        <v>2276758.3741416046</v>
      </c>
    </row>
    <row r="107" spans="1:35">
      <c r="A107" s="687" t="s">
        <v>7007</v>
      </c>
      <c r="B107" s="824">
        <v>27</v>
      </c>
      <c r="C107" s="732">
        <v>3619.6</v>
      </c>
      <c r="D107" s="732"/>
      <c r="E107" s="732"/>
      <c r="F107" s="732"/>
      <c r="G107" s="732"/>
      <c r="H107" s="732"/>
      <c r="I107" s="732"/>
      <c r="J107" s="732">
        <v>855.33958333333339</v>
      </c>
      <c r="K107" s="816">
        <f>SUM(C107:J107)</f>
        <v>4474.9395833333328</v>
      </c>
      <c r="L107" s="824">
        <f>300+300+400</f>
        <v>1000</v>
      </c>
      <c r="M107" s="732"/>
      <c r="N107" s="816">
        <f>+L107+M107</f>
        <v>1000</v>
      </c>
      <c r="O107" s="732">
        <f>+(K107*12)+N107</f>
        <v>54699.274999999994</v>
      </c>
      <c r="P107" s="732">
        <f>+B107*O107</f>
        <v>1476880.4249999998</v>
      </c>
      <c r="Q107" s="824">
        <v>27</v>
      </c>
      <c r="R107" s="732">
        <v>4158</v>
      </c>
      <c r="S107" s="732"/>
      <c r="T107" s="732"/>
      <c r="U107" s="732"/>
      <c r="V107" s="732"/>
      <c r="W107" s="732"/>
      <c r="X107" s="732"/>
      <c r="Y107" s="732">
        <v>855.33958333333339</v>
      </c>
      <c r="Z107" s="816">
        <f>SUM(R107:Y107)</f>
        <v>5013.3395833333334</v>
      </c>
      <c r="AA107" s="824">
        <f>300+300+400</f>
        <v>1000</v>
      </c>
      <c r="AB107" s="732"/>
      <c r="AC107" s="816">
        <f>+AA107+AB107</f>
        <v>1000</v>
      </c>
      <c r="AD107" s="732">
        <f>+(Z107*12)+AC107</f>
        <v>61160.074999999997</v>
      </c>
      <c r="AE107" s="732">
        <f>+Q107*AD107</f>
        <v>1651322.0249999999</v>
      </c>
      <c r="AF107" s="732">
        <f t="shared" si="77"/>
        <v>-6460.8000000000029</v>
      </c>
      <c r="AG107" s="732">
        <f t="shared" si="77"/>
        <v>-174441.60000000009</v>
      </c>
      <c r="AH107" s="824">
        <v>27</v>
      </c>
      <c r="AI107" s="816">
        <v>1560006.2730222521</v>
      </c>
    </row>
    <row r="108" spans="1:35">
      <c r="A108" s="687" t="s">
        <v>7006</v>
      </c>
      <c r="B108" s="824">
        <v>61</v>
      </c>
      <c r="C108" s="732">
        <v>3409</v>
      </c>
      <c r="D108" s="732"/>
      <c r="E108" s="732"/>
      <c r="F108" s="732"/>
      <c r="G108" s="732"/>
      <c r="H108" s="732"/>
      <c r="I108" s="732"/>
      <c r="J108" s="732">
        <v>780.08018867924534</v>
      </c>
      <c r="K108" s="816">
        <f>SUM(C108:J108)</f>
        <v>4189.0801886792451</v>
      </c>
      <c r="L108" s="824">
        <f>300+300+400</f>
        <v>1000</v>
      </c>
      <c r="M108" s="732"/>
      <c r="N108" s="816">
        <f>+L108+M108</f>
        <v>1000</v>
      </c>
      <c r="O108" s="732">
        <f>+(K108*12)+N108</f>
        <v>51268.962264150941</v>
      </c>
      <c r="P108" s="732">
        <f>+B108*O108</f>
        <v>3127406.6981132072</v>
      </c>
      <c r="Q108" s="824">
        <v>61</v>
      </c>
      <c r="R108" s="732">
        <v>3900</v>
      </c>
      <c r="S108" s="732"/>
      <c r="T108" s="732"/>
      <c r="U108" s="732"/>
      <c r="V108" s="732"/>
      <c r="W108" s="732"/>
      <c r="X108" s="732"/>
      <c r="Y108" s="732">
        <v>780.08018867924534</v>
      </c>
      <c r="Z108" s="816">
        <f>SUM(R108:Y108)</f>
        <v>4680.0801886792451</v>
      </c>
      <c r="AA108" s="824">
        <f>300+300+400</f>
        <v>1000</v>
      </c>
      <c r="AB108" s="732"/>
      <c r="AC108" s="816">
        <f>+AA108+AB108</f>
        <v>1000</v>
      </c>
      <c r="AD108" s="732">
        <f>+(Z108*12)+AC108</f>
        <v>57160.962264150941</v>
      </c>
      <c r="AE108" s="732">
        <f>+Q108*AD108</f>
        <v>3486818.6981132072</v>
      </c>
      <c r="AF108" s="732">
        <f t="shared" si="77"/>
        <v>-5892</v>
      </c>
      <c r="AG108" s="732">
        <f t="shared" si="77"/>
        <v>-359412</v>
      </c>
      <c r="AH108" s="824">
        <v>61</v>
      </c>
      <c r="AI108" s="816">
        <v>3335602.6168280514</v>
      </c>
    </row>
    <row r="109" spans="1:35">
      <c r="A109" s="687" t="s">
        <v>7005</v>
      </c>
      <c r="B109" s="824">
        <v>135</v>
      </c>
      <c r="C109" s="732">
        <v>3217</v>
      </c>
      <c r="D109" s="732"/>
      <c r="E109" s="732"/>
      <c r="F109" s="732"/>
      <c r="G109" s="732"/>
      <c r="H109" s="732"/>
      <c r="I109" s="732"/>
      <c r="J109" s="732">
        <v>747.92399999999952</v>
      </c>
      <c r="K109" s="816">
        <f>SUM(C109:J109)</f>
        <v>3964.9239999999995</v>
      </c>
      <c r="L109" s="824">
        <f>300+300+400</f>
        <v>1000</v>
      </c>
      <c r="M109" s="732"/>
      <c r="N109" s="816">
        <f>+L109+M109</f>
        <v>1000</v>
      </c>
      <c r="O109" s="732">
        <f>+(K109*12)+N109</f>
        <v>48579.087999999996</v>
      </c>
      <c r="P109" s="732">
        <f>+B109*O109</f>
        <v>6558176.8799999999</v>
      </c>
      <c r="Q109" s="824">
        <v>135</v>
      </c>
      <c r="R109" s="732">
        <v>3660</v>
      </c>
      <c r="S109" s="732"/>
      <c r="T109" s="732"/>
      <c r="U109" s="732"/>
      <c r="V109" s="732"/>
      <c r="W109" s="732"/>
      <c r="X109" s="732"/>
      <c r="Y109" s="732">
        <v>747.92399999999952</v>
      </c>
      <c r="Z109" s="816">
        <f>SUM(R109:Y109)</f>
        <v>4407.9239999999991</v>
      </c>
      <c r="AA109" s="824">
        <f>300+300+400</f>
        <v>1000</v>
      </c>
      <c r="AB109" s="732"/>
      <c r="AC109" s="816">
        <f>+AA109+AB109</f>
        <v>1000</v>
      </c>
      <c r="AD109" s="732">
        <f>+(Z109*12)+AC109</f>
        <v>53895.087999999989</v>
      </c>
      <c r="AE109" s="732">
        <f>+Q109*AD109</f>
        <v>7275836.879999999</v>
      </c>
      <c r="AF109" s="732">
        <f t="shared" si="77"/>
        <v>-5315.9999999999927</v>
      </c>
      <c r="AG109" s="732">
        <f t="shared" si="77"/>
        <v>-717659.99999999907</v>
      </c>
      <c r="AH109" s="824">
        <v>135</v>
      </c>
      <c r="AI109" s="816">
        <v>6993271.3651112597</v>
      </c>
    </row>
    <row r="110" spans="1:35">
      <c r="A110" s="687" t="s">
        <v>7004</v>
      </c>
      <c r="B110" s="824">
        <v>49</v>
      </c>
      <c r="C110" s="732">
        <v>2931</v>
      </c>
      <c r="D110" s="732"/>
      <c r="E110" s="732"/>
      <c r="F110" s="732"/>
      <c r="G110" s="732"/>
      <c r="H110" s="732"/>
      <c r="I110" s="732"/>
      <c r="J110" s="732">
        <v>700.04088888888884</v>
      </c>
      <c r="K110" s="816">
        <f>SUM(C110:J110)</f>
        <v>3631.0408888888887</v>
      </c>
      <c r="L110" s="824">
        <f>300+300+400</f>
        <v>1000</v>
      </c>
      <c r="M110" s="732"/>
      <c r="N110" s="816">
        <f>+L110+M110</f>
        <v>1000</v>
      </c>
      <c r="O110" s="732">
        <f>+(K110*12)+N110</f>
        <v>44572.490666666665</v>
      </c>
      <c r="P110" s="732">
        <f>+B110*O110</f>
        <v>2184052.0426666667</v>
      </c>
      <c r="Q110" s="824">
        <v>49</v>
      </c>
      <c r="R110" s="732">
        <v>3344</v>
      </c>
      <c r="S110" s="732"/>
      <c r="T110" s="732"/>
      <c r="U110" s="732"/>
      <c r="V110" s="732"/>
      <c r="W110" s="732"/>
      <c r="X110" s="732"/>
      <c r="Y110" s="732">
        <v>700.04088888888884</v>
      </c>
      <c r="Z110" s="816">
        <f>SUM(R110:Y110)</f>
        <v>4044.0408888888887</v>
      </c>
      <c r="AA110" s="824">
        <f>300+300+400</f>
        <v>1000</v>
      </c>
      <c r="AB110" s="732"/>
      <c r="AC110" s="816">
        <f>+AA110+AB110</f>
        <v>1000</v>
      </c>
      <c r="AD110" s="732">
        <f>+(Z110*12)+AC110</f>
        <v>49528.490666666665</v>
      </c>
      <c r="AE110" s="732">
        <f>+Q110*AD110</f>
        <v>2426896.0426666667</v>
      </c>
      <c r="AF110" s="732">
        <f t="shared" si="77"/>
        <v>-4956</v>
      </c>
      <c r="AG110" s="732">
        <f t="shared" si="77"/>
        <v>-242844</v>
      </c>
      <c r="AH110" s="824">
        <v>49</v>
      </c>
      <c r="AI110" s="816">
        <v>2352490.495484828</v>
      </c>
    </row>
    <row r="111" spans="1:35" hidden="1">
      <c r="A111" s="685" t="s">
        <v>7150</v>
      </c>
      <c r="B111" s="689">
        <f t="shared" ref="B111:AI111" si="78">SUM(B112:B116)</f>
        <v>0</v>
      </c>
      <c r="C111" s="689">
        <f t="shared" si="78"/>
        <v>0</v>
      </c>
      <c r="D111" s="689">
        <f t="shared" si="78"/>
        <v>0</v>
      </c>
      <c r="E111" s="689">
        <f t="shared" si="78"/>
        <v>0</v>
      </c>
      <c r="F111" s="689">
        <f t="shared" si="78"/>
        <v>0</v>
      </c>
      <c r="G111" s="689">
        <f t="shared" si="78"/>
        <v>0</v>
      </c>
      <c r="H111" s="689">
        <f t="shared" si="78"/>
        <v>0</v>
      </c>
      <c r="I111" s="689">
        <f t="shared" si="78"/>
        <v>0</v>
      </c>
      <c r="J111" s="689">
        <f t="shared" si="78"/>
        <v>0</v>
      </c>
      <c r="K111" s="689">
        <f t="shared" si="78"/>
        <v>0</v>
      </c>
      <c r="L111" s="689">
        <f t="shared" si="78"/>
        <v>0</v>
      </c>
      <c r="M111" s="689">
        <f t="shared" si="78"/>
        <v>0</v>
      </c>
      <c r="N111" s="689">
        <f t="shared" si="78"/>
        <v>0</v>
      </c>
      <c r="O111" s="689">
        <f t="shared" si="78"/>
        <v>0</v>
      </c>
      <c r="P111" s="689">
        <f t="shared" si="78"/>
        <v>0</v>
      </c>
      <c r="Q111" s="689">
        <f t="shared" si="78"/>
        <v>0</v>
      </c>
      <c r="R111" s="689">
        <f t="shared" si="78"/>
        <v>0</v>
      </c>
      <c r="S111" s="689">
        <f t="shared" si="78"/>
        <v>0</v>
      </c>
      <c r="T111" s="689">
        <f t="shared" si="78"/>
        <v>0</v>
      </c>
      <c r="U111" s="689">
        <f t="shared" si="78"/>
        <v>0</v>
      </c>
      <c r="V111" s="689">
        <f t="shared" si="78"/>
        <v>0</v>
      </c>
      <c r="W111" s="689">
        <f t="shared" si="78"/>
        <v>0</v>
      </c>
      <c r="X111" s="689">
        <f t="shared" si="78"/>
        <v>0</v>
      </c>
      <c r="Y111" s="689">
        <f t="shared" si="78"/>
        <v>0</v>
      </c>
      <c r="Z111" s="689">
        <f t="shared" si="78"/>
        <v>0</v>
      </c>
      <c r="AA111" s="689">
        <f t="shared" si="78"/>
        <v>0</v>
      </c>
      <c r="AB111" s="689">
        <f t="shared" si="78"/>
        <v>0</v>
      </c>
      <c r="AC111" s="689">
        <f t="shared" si="78"/>
        <v>0</v>
      </c>
      <c r="AD111" s="689">
        <f t="shared" si="78"/>
        <v>0</v>
      </c>
      <c r="AE111" s="689">
        <f t="shared" si="78"/>
        <v>0</v>
      </c>
      <c r="AF111" s="689">
        <f t="shared" si="78"/>
        <v>0</v>
      </c>
      <c r="AG111" s="689">
        <f t="shared" si="78"/>
        <v>0</v>
      </c>
      <c r="AH111" s="689">
        <f t="shared" si="78"/>
        <v>0</v>
      </c>
      <c r="AI111" s="689">
        <f t="shared" si="78"/>
        <v>0</v>
      </c>
    </row>
    <row r="112" spans="1:35" hidden="1">
      <c r="A112" s="687" t="s">
        <v>6985</v>
      </c>
      <c r="B112" s="824"/>
      <c r="C112" s="732"/>
      <c r="D112" s="732"/>
      <c r="E112" s="732"/>
      <c r="F112" s="732"/>
      <c r="G112" s="732"/>
      <c r="H112" s="732"/>
      <c r="I112" s="732"/>
      <c r="J112" s="680"/>
      <c r="K112" s="732"/>
      <c r="L112" s="732"/>
      <c r="M112" s="732"/>
      <c r="N112" s="732"/>
      <c r="O112" s="732">
        <f>(K112*12)+N112</f>
        <v>0</v>
      </c>
      <c r="P112" s="732">
        <f>B112*O112</f>
        <v>0</v>
      </c>
      <c r="Q112" s="824"/>
      <c r="R112" s="732"/>
      <c r="S112" s="732"/>
      <c r="T112" s="732"/>
      <c r="U112" s="732"/>
      <c r="V112" s="732"/>
      <c r="W112" s="732"/>
      <c r="X112" s="732"/>
      <c r="Y112" s="680"/>
      <c r="Z112" s="732"/>
      <c r="AA112" s="732"/>
      <c r="AB112" s="732"/>
      <c r="AC112" s="732"/>
      <c r="AD112" s="732">
        <f>(Z112*12)+AC112</f>
        <v>0</v>
      </c>
      <c r="AE112" s="732">
        <f>Q112*AD112</f>
        <v>0</v>
      </c>
      <c r="AF112" s="732">
        <f t="shared" ref="AF112:AG116" si="79">+O112-AD112</f>
        <v>0</v>
      </c>
      <c r="AG112" s="732">
        <f t="shared" si="79"/>
        <v>0</v>
      </c>
      <c r="AH112" s="824"/>
      <c r="AI112" s="732"/>
    </row>
    <row r="113" spans="1:35" hidden="1">
      <c r="A113" s="687" t="s">
        <v>6984</v>
      </c>
      <c r="B113" s="824"/>
      <c r="C113" s="732"/>
      <c r="D113" s="732"/>
      <c r="E113" s="732"/>
      <c r="F113" s="732"/>
      <c r="G113" s="732"/>
      <c r="H113" s="732"/>
      <c r="I113" s="732"/>
      <c r="J113" s="680"/>
      <c r="K113" s="732"/>
      <c r="L113" s="732"/>
      <c r="M113" s="732"/>
      <c r="N113" s="732"/>
      <c r="O113" s="732">
        <f>(K113*12)+N113</f>
        <v>0</v>
      </c>
      <c r="P113" s="732">
        <f>B113*O113</f>
        <v>0</v>
      </c>
      <c r="Q113" s="824"/>
      <c r="R113" s="732"/>
      <c r="S113" s="732"/>
      <c r="T113" s="732"/>
      <c r="U113" s="732"/>
      <c r="V113" s="732"/>
      <c r="W113" s="732"/>
      <c r="X113" s="732"/>
      <c r="Y113" s="680"/>
      <c r="Z113" s="732"/>
      <c r="AA113" s="732"/>
      <c r="AB113" s="732"/>
      <c r="AC113" s="732"/>
      <c r="AD113" s="732">
        <f>(Z113*12)+AC113</f>
        <v>0</v>
      </c>
      <c r="AE113" s="732">
        <f>Q113*AD113</f>
        <v>0</v>
      </c>
      <c r="AF113" s="732">
        <f t="shared" si="79"/>
        <v>0</v>
      </c>
      <c r="AG113" s="732">
        <f t="shared" si="79"/>
        <v>0</v>
      </c>
      <c r="AH113" s="824"/>
      <c r="AI113" s="732"/>
    </row>
    <row r="114" spans="1:35" hidden="1">
      <c r="A114" s="687" t="s">
        <v>6983</v>
      </c>
      <c r="B114" s="824"/>
      <c r="C114" s="732"/>
      <c r="D114" s="732"/>
      <c r="E114" s="732"/>
      <c r="F114" s="732"/>
      <c r="G114" s="732"/>
      <c r="H114" s="732"/>
      <c r="I114" s="732"/>
      <c r="J114" s="680"/>
      <c r="K114" s="732"/>
      <c r="L114" s="732"/>
      <c r="M114" s="732"/>
      <c r="N114" s="732"/>
      <c r="O114" s="732">
        <f>(K114*12)+N114</f>
        <v>0</v>
      </c>
      <c r="P114" s="732">
        <f>B114*O114</f>
        <v>0</v>
      </c>
      <c r="Q114" s="824"/>
      <c r="R114" s="732"/>
      <c r="S114" s="732"/>
      <c r="T114" s="732"/>
      <c r="U114" s="732"/>
      <c r="V114" s="732"/>
      <c r="W114" s="732"/>
      <c r="X114" s="732"/>
      <c r="Y114" s="680"/>
      <c r="Z114" s="732"/>
      <c r="AA114" s="732"/>
      <c r="AB114" s="732"/>
      <c r="AC114" s="732"/>
      <c r="AD114" s="732">
        <f>(Z114*12)+AC114</f>
        <v>0</v>
      </c>
      <c r="AE114" s="732">
        <f>Q114*AD114</f>
        <v>0</v>
      </c>
      <c r="AF114" s="732">
        <f t="shared" si="79"/>
        <v>0</v>
      </c>
      <c r="AG114" s="732">
        <f t="shared" si="79"/>
        <v>0</v>
      </c>
      <c r="AH114" s="824"/>
      <c r="AI114" s="732"/>
    </row>
    <row r="115" spans="1:35" hidden="1">
      <c r="A115" s="687" t="s">
        <v>6982</v>
      </c>
      <c r="B115" s="824"/>
      <c r="C115" s="732"/>
      <c r="D115" s="732"/>
      <c r="E115" s="732"/>
      <c r="F115" s="732"/>
      <c r="G115" s="732"/>
      <c r="H115" s="732"/>
      <c r="I115" s="732"/>
      <c r="J115" s="680"/>
      <c r="K115" s="732"/>
      <c r="L115" s="732"/>
      <c r="M115" s="732"/>
      <c r="N115" s="732"/>
      <c r="O115" s="732">
        <f>(K115*12)+N115</f>
        <v>0</v>
      </c>
      <c r="P115" s="732">
        <f>B115*O115</f>
        <v>0</v>
      </c>
      <c r="Q115" s="824"/>
      <c r="R115" s="732"/>
      <c r="S115" s="732"/>
      <c r="T115" s="732"/>
      <c r="U115" s="732"/>
      <c r="V115" s="732"/>
      <c r="W115" s="732"/>
      <c r="X115" s="732"/>
      <c r="Y115" s="680"/>
      <c r="Z115" s="732"/>
      <c r="AA115" s="732"/>
      <c r="AB115" s="732"/>
      <c r="AC115" s="732"/>
      <c r="AD115" s="732">
        <f>(Z115*12)+AC115</f>
        <v>0</v>
      </c>
      <c r="AE115" s="732">
        <f>Q115*AD115</f>
        <v>0</v>
      </c>
      <c r="AF115" s="732">
        <f t="shared" si="79"/>
        <v>0</v>
      </c>
      <c r="AG115" s="732">
        <f t="shared" si="79"/>
        <v>0</v>
      </c>
      <c r="AH115" s="824"/>
      <c r="AI115" s="732"/>
    </row>
    <row r="116" spans="1:35" hidden="1">
      <c r="A116" s="687" t="s">
        <v>6981</v>
      </c>
      <c r="B116" s="824"/>
      <c r="C116" s="732"/>
      <c r="D116" s="732"/>
      <c r="E116" s="732"/>
      <c r="F116" s="732"/>
      <c r="G116" s="732"/>
      <c r="H116" s="732"/>
      <c r="I116" s="732"/>
      <c r="J116" s="680"/>
      <c r="K116" s="732"/>
      <c r="L116" s="732"/>
      <c r="M116" s="732"/>
      <c r="N116" s="732"/>
      <c r="O116" s="732">
        <f>(K116*12)+N116</f>
        <v>0</v>
      </c>
      <c r="P116" s="732">
        <f>B116*O116</f>
        <v>0</v>
      </c>
      <c r="Q116" s="824"/>
      <c r="R116" s="732"/>
      <c r="S116" s="732"/>
      <c r="T116" s="732"/>
      <c r="U116" s="732"/>
      <c r="V116" s="732"/>
      <c r="W116" s="732"/>
      <c r="X116" s="732"/>
      <c r="Y116" s="680"/>
      <c r="Z116" s="732"/>
      <c r="AA116" s="732"/>
      <c r="AB116" s="732"/>
      <c r="AC116" s="732"/>
      <c r="AD116" s="732">
        <f>(Z116*12)+AC116</f>
        <v>0</v>
      </c>
      <c r="AE116" s="732">
        <f>Q116*AD116</f>
        <v>0</v>
      </c>
      <c r="AF116" s="732">
        <f t="shared" si="79"/>
        <v>0</v>
      </c>
      <c r="AG116" s="732">
        <f t="shared" si="79"/>
        <v>0</v>
      </c>
      <c r="AH116" s="824"/>
      <c r="AI116" s="732"/>
    </row>
    <row r="117" spans="1:35" ht="22.5">
      <c r="A117" s="685" t="s">
        <v>2879</v>
      </c>
      <c r="B117" s="689">
        <f t="shared" ref="B117:AI117" si="80">SUM(B118:B122)</f>
        <v>33</v>
      </c>
      <c r="C117" s="689">
        <f t="shared" si="80"/>
        <v>17051.599999999999</v>
      </c>
      <c r="D117" s="689">
        <f t="shared" si="80"/>
        <v>0</v>
      </c>
      <c r="E117" s="689">
        <f t="shared" si="80"/>
        <v>0</v>
      </c>
      <c r="F117" s="689">
        <f t="shared" si="80"/>
        <v>0</v>
      </c>
      <c r="G117" s="689">
        <f t="shared" si="80"/>
        <v>0</v>
      </c>
      <c r="H117" s="689">
        <f t="shared" si="80"/>
        <v>0</v>
      </c>
      <c r="I117" s="689">
        <f t="shared" si="80"/>
        <v>0</v>
      </c>
      <c r="J117" s="689">
        <f t="shared" si="80"/>
        <v>3887.8905984014668</v>
      </c>
      <c r="K117" s="689">
        <f t="shared" si="80"/>
        <v>20939.490598401466</v>
      </c>
      <c r="L117" s="689">
        <f t="shared" si="80"/>
        <v>5000</v>
      </c>
      <c r="M117" s="689">
        <f t="shared" si="80"/>
        <v>0</v>
      </c>
      <c r="N117" s="689">
        <f t="shared" si="80"/>
        <v>5000</v>
      </c>
      <c r="O117" s="689">
        <f t="shared" si="80"/>
        <v>256273.8871808176</v>
      </c>
      <c r="P117" s="689">
        <f t="shared" si="80"/>
        <v>1643258.185625786</v>
      </c>
      <c r="Q117" s="689">
        <f t="shared" si="80"/>
        <v>33</v>
      </c>
      <c r="R117" s="689">
        <f t="shared" si="80"/>
        <v>19533</v>
      </c>
      <c r="S117" s="689">
        <f t="shared" si="80"/>
        <v>0</v>
      </c>
      <c r="T117" s="689">
        <f t="shared" si="80"/>
        <v>0</v>
      </c>
      <c r="U117" s="689">
        <f t="shared" si="80"/>
        <v>0</v>
      </c>
      <c r="V117" s="689">
        <f t="shared" si="80"/>
        <v>0</v>
      </c>
      <c r="W117" s="689">
        <f t="shared" si="80"/>
        <v>0</v>
      </c>
      <c r="X117" s="689">
        <f t="shared" si="80"/>
        <v>0</v>
      </c>
      <c r="Y117" s="689">
        <f t="shared" si="80"/>
        <v>3887.8905984014668</v>
      </c>
      <c r="Z117" s="689">
        <f t="shared" si="80"/>
        <v>23420.890598401467</v>
      </c>
      <c r="AA117" s="689">
        <f t="shared" si="80"/>
        <v>5000</v>
      </c>
      <c r="AB117" s="689">
        <f t="shared" si="80"/>
        <v>0</v>
      </c>
      <c r="AC117" s="689">
        <f t="shared" si="80"/>
        <v>5000</v>
      </c>
      <c r="AD117" s="689">
        <f t="shared" si="80"/>
        <v>286050.68718081759</v>
      </c>
      <c r="AE117" s="689">
        <f t="shared" si="80"/>
        <v>1833258.985625786</v>
      </c>
      <c r="AF117" s="689">
        <f t="shared" si="80"/>
        <v>-29776.799999999996</v>
      </c>
      <c r="AG117" s="689">
        <f t="shared" si="80"/>
        <v>-190000.79999999996</v>
      </c>
      <c r="AH117" s="689">
        <f t="shared" si="80"/>
        <v>33</v>
      </c>
      <c r="AI117" s="689">
        <f t="shared" si="80"/>
        <v>1759266.3336938638</v>
      </c>
    </row>
    <row r="118" spans="1:35">
      <c r="A118" s="687" t="s">
        <v>6985</v>
      </c>
      <c r="B118" s="824">
        <v>6</v>
      </c>
      <c r="C118" s="732">
        <v>3875</v>
      </c>
      <c r="D118" s="732"/>
      <c r="E118" s="732"/>
      <c r="F118" s="732"/>
      <c r="G118" s="732"/>
      <c r="H118" s="732"/>
      <c r="I118" s="732"/>
      <c r="J118" s="732">
        <v>804.50593749999996</v>
      </c>
      <c r="K118" s="816">
        <f>SUM(C118:J118)</f>
        <v>4679.5059375000001</v>
      </c>
      <c r="L118" s="824">
        <f>300+300+400</f>
        <v>1000</v>
      </c>
      <c r="M118" s="732"/>
      <c r="N118" s="816">
        <f>+L118+M118</f>
        <v>1000</v>
      </c>
      <c r="O118" s="732">
        <f>+(K118*12)+N118</f>
        <v>57154.071250000001</v>
      </c>
      <c r="P118" s="732">
        <f>+B118*O118</f>
        <v>342924.42749999999</v>
      </c>
      <c r="Q118" s="824">
        <v>6</v>
      </c>
      <c r="R118" s="732">
        <v>4471</v>
      </c>
      <c r="S118" s="732"/>
      <c r="T118" s="732"/>
      <c r="U118" s="732"/>
      <c r="V118" s="732"/>
      <c r="W118" s="732"/>
      <c r="X118" s="732"/>
      <c r="Y118" s="732">
        <v>804.50593749999996</v>
      </c>
      <c r="Z118" s="816">
        <f>SUM(R118:Y118)</f>
        <v>5275.5059375000001</v>
      </c>
      <c r="AA118" s="824">
        <f>300+300+400</f>
        <v>1000</v>
      </c>
      <c r="AB118" s="732"/>
      <c r="AC118" s="816">
        <f>+AA118+AB118</f>
        <v>1000</v>
      </c>
      <c r="AD118" s="732">
        <f>+(Z118*12)+AC118</f>
        <v>64306.071250000001</v>
      </c>
      <c r="AE118" s="732">
        <f>+Q118*AD118</f>
        <v>385836.42749999999</v>
      </c>
      <c r="AF118" s="732">
        <f t="shared" ref="AF118:AG122" si="81">+O118-AD118</f>
        <v>-7152</v>
      </c>
      <c r="AG118" s="732">
        <f t="shared" si="81"/>
        <v>-42912</v>
      </c>
      <c r="AH118" s="824">
        <v>6</v>
      </c>
      <c r="AI118" s="816">
        <v>369204.06067161157</v>
      </c>
    </row>
    <row r="119" spans="1:35">
      <c r="A119" s="687" t="s">
        <v>6984</v>
      </c>
      <c r="B119" s="824">
        <v>6</v>
      </c>
      <c r="C119" s="732">
        <v>3619.6</v>
      </c>
      <c r="D119" s="732"/>
      <c r="E119" s="732"/>
      <c r="F119" s="732"/>
      <c r="G119" s="732"/>
      <c r="H119" s="732"/>
      <c r="I119" s="732"/>
      <c r="J119" s="732">
        <v>855.33958333333339</v>
      </c>
      <c r="K119" s="816">
        <f>SUM(C119:J119)</f>
        <v>4474.9395833333328</v>
      </c>
      <c r="L119" s="824">
        <f>300+300+400</f>
        <v>1000</v>
      </c>
      <c r="M119" s="732"/>
      <c r="N119" s="816">
        <f>+L119+M119</f>
        <v>1000</v>
      </c>
      <c r="O119" s="732">
        <f>+(K119*12)+N119</f>
        <v>54699.274999999994</v>
      </c>
      <c r="P119" s="732">
        <f>+B119*O119</f>
        <v>328195.64999999997</v>
      </c>
      <c r="Q119" s="824">
        <v>6</v>
      </c>
      <c r="R119" s="732">
        <v>4158</v>
      </c>
      <c r="S119" s="732"/>
      <c r="T119" s="732"/>
      <c r="U119" s="732"/>
      <c r="V119" s="732"/>
      <c r="W119" s="732"/>
      <c r="X119" s="732"/>
      <c r="Y119" s="732">
        <v>855.33958333333339</v>
      </c>
      <c r="Z119" s="816">
        <f>SUM(R119:Y119)</f>
        <v>5013.3395833333334</v>
      </c>
      <c r="AA119" s="824">
        <f>300+300+400</f>
        <v>1000</v>
      </c>
      <c r="AB119" s="732"/>
      <c r="AC119" s="816">
        <f>+AA119+AB119</f>
        <v>1000</v>
      </c>
      <c r="AD119" s="732">
        <f>+(Z119*12)+AC119</f>
        <v>61160.074999999997</v>
      </c>
      <c r="AE119" s="732">
        <f>+Q119*AD119</f>
        <v>366960.44999999995</v>
      </c>
      <c r="AF119" s="732">
        <f t="shared" si="81"/>
        <v>-6460.8000000000029</v>
      </c>
      <c r="AG119" s="732">
        <f t="shared" si="81"/>
        <v>-38764.799999999988</v>
      </c>
      <c r="AH119" s="824">
        <v>6</v>
      </c>
      <c r="AI119" s="816">
        <v>346668.06067161157</v>
      </c>
    </row>
    <row r="120" spans="1:35">
      <c r="A120" s="687" t="s">
        <v>6983</v>
      </c>
      <c r="B120" s="824">
        <v>3</v>
      </c>
      <c r="C120" s="732">
        <v>3409</v>
      </c>
      <c r="D120" s="732"/>
      <c r="E120" s="732"/>
      <c r="F120" s="732"/>
      <c r="G120" s="732"/>
      <c r="H120" s="732"/>
      <c r="I120" s="732"/>
      <c r="J120" s="732">
        <v>780.08018867924534</v>
      </c>
      <c r="K120" s="816">
        <f>SUM(C120:J120)</f>
        <v>4189.0801886792451</v>
      </c>
      <c r="L120" s="824">
        <f>300+300+400</f>
        <v>1000</v>
      </c>
      <c r="M120" s="732"/>
      <c r="N120" s="816">
        <f>+L120+M120</f>
        <v>1000</v>
      </c>
      <c r="O120" s="732">
        <f>+(K120*12)+N120</f>
        <v>51268.962264150941</v>
      </c>
      <c r="P120" s="732">
        <f>+B120*O120</f>
        <v>153806.88679245283</v>
      </c>
      <c r="Q120" s="824">
        <v>3</v>
      </c>
      <c r="R120" s="732">
        <v>3900</v>
      </c>
      <c r="S120" s="732"/>
      <c r="T120" s="732"/>
      <c r="U120" s="732"/>
      <c r="V120" s="732"/>
      <c r="W120" s="732"/>
      <c r="X120" s="732"/>
      <c r="Y120" s="732">
        <v>780.08018867924534</v>
      </c>
      <c r="Z120" s="816">
        <f>SUM(R120:Y120)</f>
        <v>4680.0801886792451</v>
      </c>
      <c r="AA120" s="824">
        <f>300+300+400</f>
        <v>1000</v>
      </c>
      <c r="AB120" s="732"/>
      <c r="AC120" s="816">
        <f>+AA120+AB120</f>
        <v>1000</v>
      </c>
      <c r="AD120" s="732">
        <f>+(Z120*12)+AC120</f>
        <v>57160.962264150941</v>
      </c>
      <c r="AE120" s="732">
        <f>+Q120*AD120</f>
        <v>171482.88679245283</v>
      </c>
      <c r="AF120" s="732">
        <f t="shared" si="81"/>
        <v>-5892</v>
      </c>
      <c r="AG120" s="732">
        <f t="shared" si="81"/>
        <v>-17676</v>
      </c>
      <c r="AH120" s="824">
        <v>3</v>
      </c>
      <c r="AI120" s="816">
        <v>164046.03033580579</v>
      </c>
    </row>
    <row r="121" spans="1:35">
      <c r="A121" s="687" t="s">
        <v>6982</v>
      </c>
      <c r="B121" s="824">
        <v>4</v>
      </c>
      <c r="C121" s="732">
        <v>3217</v>
      </c>
      <c r="D121" s="732"/>
      <c r="E121" s="732"/>
      <c r="F121" s="732"/>
      <c r="G121" s="732"/>
      <c r="H121" s="732"/>
      <c r="I121" s="732"/>
      <c r="J121" s="732">
        <v>747.92399999999952</v>
      </c>
      <c r="K121" s="816">
        <f>SUM(C121:J121)</f>
        <v>3964.9239999999995</v>
      </c>
      <c r="L121" s="824">
        <f>300+300+400</f>
        <v>1000</v>
      </c>
      <c r="M121" s="732"/>
      <c r="N121" s="816">
        <f>+L121+M121</f>
        <v>1000</v>
      </c>
      <c r="O121" s="732">
        <f>+(K121*12)+N121</f>
        <v>48579.087999999996</v>
      </c>
      <c r="P121" s="732">
        <f>+B121*O121</f>
        <v>194316.35199999998</v>
      </c>
      <c r="Q121" s="824">
        <v>4</v>
      </c>
      <c r="R121" s="732">
        <v>3660</v>
      </c>
      <c r="S121" s="732"/>
      <c r="T121" s="732"/>
      <c r="U121" s="732"/>
      <c r="V121" s="732"/>
      <c r="W121" s="732"/>
      <c r="X121" s="732"/>
      <c r="Y121" s="732">
        <v>747.92399999999952</v>
      </c>
      <c r="Z121" s="816">
        <f>SUM(R121:Y121)</f>
        <v>4407.9239999999991</v>
      </c>
      <c r="AA121" s="824">
        <f>300+300+400</f>
        <v>1000</v>
      </c>
      <c r="AB121" s="732"/>
      <c r="AC121" s="816">
        <f>+AA121+AB121</f>
        <v>1000</v>
      </c>
      <c r="AD121" s="732">
        <f>+(Z121*12)+AC121</f>
        <v>53895.087999999989</v>
      </c>
      <c r="AE121" s="732">
        <f>+Q121*AD121</f>
        <v>215580.35199999996</v>
      </c>
      <c r="AF121" s="732">
        <f t="shared" si="81"/>
        <v>-5315.9999999999927</v>
      </c>
      <c r="AG121" s="732">
        <f t="shared" si="81"/>
        <v>-21263.999999999971</v>
      </c>
      <c r="AH121" s="824">
        <v>4</v>
      </c>
      <c r="AI121" s="816">
        <v>207208.04044774105</v>
      </c>
    </row>
    <row r="122" spans="1:35">
      <c r="A122" s="687" t="s">
        <v>6981</v>
      </c>
      <c r="B122" s="824">
        <v>14</v>
      </c>
      <c r="C122" s="732">
        <v>2931</v>
      </c>
      <c r="D122" s="732"/>
      <c r="E122" s="732"/>
      <c r="F122" s="732"/>
      <c r="G122" s="732"/>
      <c r="H122" s="732"/>
      <c r="I122" s="732"/>
      <c r="J122" s="732">
        <v>700.04088888888884</v>
      </c>
      <c r="K122" s="816">
        <f>SUM(C122:J122)</f>
        <v>3631.0408888888887</v>
      </c>
      <c r="L122" s="824">
        <f>300+300+400</f>
        <v>1000</v>
      </c>
      <c r="M122" s="732"/>
      <c r="N122" s="816">
        <f>+L122+M122</f>
        <v>1000</v>
      </c>
      <c r="O122" s="732">
        <f>+(K122*12)+N122</f>
        <v>44572.490666666665</v>
      </c>
      <c r="P122" s="732">
        <f>+B122*O122</f>
        <v>624014.86933333334</v>
      </c>
      <c r="Q122" s="824">
        <v>14</v>
      </c>
      <c r="R122" s="732">
        <v>3344</v>
      </c>
      <c r="S122" s="732"/>
      <c r="T122" s="732"/>
      <c r="U122" s="732"/>
      <c r="V122" s="732"/>
      <c r="W122" s="732"/>
      <c r="X122" s="732"/>
      <c r="Y122" s="732">
        <v>700.04088888888884</v>
      </c>
      <c r="Z122" s="816">
        <f>SUM(R122:Y122)</f>
        <v>4044.0408888888887</v>
      </c>
      <c r="AA122" s="824">
        <f>300+300+400</f>
        <v>1000</v>
      </c>
      <c r="AB122" s="732"/>
      <c r="AC122" s="816">
        <f>+AA122+AB122</f>
        <v>1000</v>
      </c>
      <c r="AD122" s="732">
        <f>+(Z122*12)+AC122</f>
        <v>49528.490666666665</v>
      </c>
      <c r="AE122" s="732">
        <f>+Q122*AD122</f>
        <v>693398.86933333334</v>
      </c>
      <c r="AF122" s="732">
        <f t="shared" si="81"/>
        <v>-4956</v>
      </c>
      <c r="AG122" s="732">
        <f t="shared" si="81"/>
        <v>-69384</v>
      </c>
      <c r="AH122" s="824">
        <v>14</v>
      </c>
      <c r="AI122" s="816">
        <v>672140.14156709367</v>
      </c>
    </row>
    <row r="123" spans="1:35" ht="22.5">
      <c r="A123" s="685" t="s">
        <v>7002</v>
      </c>
      <c r="B123" s="689">
        <f t="shared" ref="B123:AI123" si="82">SUM(B124:B128)</f>
        <v>39</v>
      </c>
      <c r="C123" s="689">
        <f t="shared" si="82"/>
        <v>17051.599999999999</v>
      </c>
      <c r="D123" s="689">
        <f t="shared" si="82"/>
        <v>0</v>
      </c>
      <c r="E123" s="689">
        <f t="shared" si="82"/>
        <v>0</v>
      </c>
      <c r="F123" s="689">
        <f t="shared" si="82"/>
        <v>0</v>
      </c>
      <c r="G123" s="689">
        <f t="shared" si="82"/>
        <v>0</v>
      </c>
      <c r="H123" s="689">
        <f t="shared" si="82"/>
        <v>0</v>
      </c>
      <c r="I123" s="689">
        <f t="shared" si="82"/>
        <v>0</v>
      </c>
      <c r="J123" s="689">
        <f t="shared" si="82"/>
        <v>3887.8905984014668</v>
      </c>
      <c r="K123" s="689">
        <f t="shared" si="82"/>
        <v>20939.490598401466</v>
      </c>
      <c r="L123" s="689">
        <f t="shared" si="82"/>
        <v>5000</v>
      </c>
      <c r="M123" s="689">
        <f t="shared" si="82"/>
        <v>0</v>
      </c>
      <c r="N123" s="689">
        <f t="shared" si="82"/>
        <v>5000</v>
      </c>
      <c r="O123" s="689">
        <f t="shared" si="82"/>
        <v>256273.8871808176</v>
      </c>
      <c r="P123" s="689">
        <f t="shared" si="82"/>
        <v>1916201.7863506288</v>
      </c>
      <c r="Q123" s="689">
        <f t="shared" si="82"/>
        <v>39</v>
      </c>
      <c r="R123" s="689">
        <f t="shared" si="82"/>
        <v>19533</v>
      </c>
      <c r="S123" s="689">
        <f t="shared" si="82"/>
        <v>0</v>
      </c>
      <c r="T123" s="689">
        <f t="shared" si="82"/>
        <v>0</v>
      </c>
      <c r="U123" s="689">
        <f t="shared" si="82"/>
        <v>0</v>
      </c>
      <c r="V123" s="689">
        <f t="shared" si="82"/>
        <v>0</v>
      </c>
      <c r="W123" s="689">
        <f t="shared" si="82"/>
        <v>0</v>
      </c>
      <c r="X123" s="689">
        <f t="shared" si="82"/>
        <v>0</v>
      </c>
      <c r="Y123" s="689">
        <f t="shared" si="82"/>
        <v>3887.8905984014668</v>
      </c>
      <c r="Z123" s="689">
        <f t="shared" si="82"/>
        <v>23420.890598401467</v>
      </c>
      <c r="AA123" s="689">
        <f t="shared" si="82"/>
        <v>5000</v>
      </c>
      <c r="AB123" s="689">
        <f t="shared" si="82"/>
        <v>0</v>
      </c>
      <c r="AC123" s="689">
        <f t="shared" si="82"/>
        <v>5000</v>
      </c>
      <c r="AD123" s="689">
        <f t="shared" si="82"/>
        <v>286050.68718081759</v>
      </c>
      <c r="AE123" s="689">
        <f t="shared" si="82"/>
        <v>2131474.5863506286</v>
      </c>
      <c r="AF123" s="689">
        <f t="shared" si="82"/>
        <v>-29776.799999999996</v>
      </c>
      <c r="AG123" s="689">
        <f t="shared" si="82"/>
        <v>-215272.79999999987</v>
      </c>
      <c r="AH123" s="689">
        <f t="shared" si="82"/>
        <v>39</v>
      </c>
      <c r="AI123" s="689">
        <f t="shared" si="82"/>
        <v>2046882.3943654755</v>
      </c>
    </row>
    <row r="124" spans="1:35">
      <c r="A124" s="687" t="s">
        <v>7001</v>
      </c>
      <c r="B124" s="824">
        <v>1</v>
      </c>
      <c r="C124" s="732">
        <v>3875</v>
      </c>
      <c r="D124" s="732"/>
      <c r="E124" s="732"/>
      <c r="F124" s="732"/>
      <c r="G124" s="732"/>
      <c r="H124" s="732"/>
      <c r="I124" s="732"/>
      <c r="J124" s="732">
        <v>804.50593749999996</v>
      </c>
      <c r="K124" s="816">
        <f>SUM(C124:J124)</f>
        <v>4679.5059375000001</v>
      </c>
      <c r="L124" s="824">
        <f>300+300+400</f>
        <v>1000</v>
      </c>
      <c r="M124" s="732"/>
      <c r="N124" s="816">
        <f>+L124+M124</f>
        <v>1000</v>
      </c>
      <c r="O124" s="732">
        <f>+(K124*12)+N124</f>
        <v>57154.071250000001</v>
      </c>
      <c r="P124" s="732">
        <f>+B124*O124</f>
        <v>57154.071250000001</v>
      </c>
      <c r="Q124" s="824">
        <v>1</v>
      </c>
      <c r="R124" s="732">
        <v>4471</v>
      </c>
      <c r="S124" s="732"/>
      <c r="T124" s="732"/>
      <c r="U124" s="732"/>
      <c r="V124" s="732"/>
      <c r="W124" s="732"/>
      <c r="X124" s="732"/>
      <c r="Y124" s="732">
        <v>804.50593749999996</v>
      </c>
      <c r="Z124" s="816">
        <f>SUM(R124:Y124)</f>
        <v>5275.5059375000001</v>
      </c>
      <c r="AA124" s="824">
        <f>300+300+400</f>
        <v>1000</v>
      </c>
      <c r="AB124" s="732"/>
      <c r="AC124" s="816">
        <f>+AA124+AB124</f>
        <v>1000</v>
      </c>
      <c r="AD124" s="732">
        <f>+(Z124*12)+AC124</f>
        <v>64306.071250000001</v>
      </c>
      <c r="AE124" s="732">
        <f>+Q124*AD124</f>
        <v>64306.071250000001</v>
      </c>
      <c r="AF124" s="732">
        <f t="shared" ref="AF124:AG128" si="83">+O124-AD124</f>
        <v>-7152</v>
      </c>
      <c r="AG124" s="732">
        <f t="shared" si="83"/>
        <v>-7152</v>
      </c>
      <c r="AH124" s="824">
        <v>1</v>
      </c>
      <c r="AI124" s="816">
        <v>61534.010111935262</v>
      </c>
    </row>
    <row r="125" spans="1:35">
      <c r="A125" s="687" t="s">
        <v>7000</v>
      </c>
      <c r="B125" s="824">
        <v>1</v>
      </c>
      <c r="C125" s="732">
        <v>3619.6</v>
      </c>
      <c r="D125" s="732"/>
      <c r="E125" s="732"/>
      <c r="F125" s="732"/>
      <c r="G125" s="732"/>
      <c r="H125" s="732"/>
      <c r="I125" s="732"/>
      <c r="J125" s="732">
        <v>855.33958333333339</v>
      </c>
      <c r="K125" s="816">
        <f>SUM(C125:J125)</f>
        <v>4474.9395833333328</v>
      </c>
      <c r="L125" s="824">
        <f>300+300+400</f>
        <v>1000</v>
      </c>
      <c r="M125" s="732"/>
      <c r="N125" s="816">
        <f>+L125+M125</f>
        <v>1000</v>
      </c>
      <c r="O125" s="732">
        <f>+(K125*12)+N125</f>
        <v>54699.274999999994</v>
      </c>
      <c r="P125" s="732">
        <f>+B125*O125</f>
        <v>54699.274999999994</v>
      </c>
      <c r="Q125" s="824">
        <v>1</v>
      </c>
      <c r="R125" s="732">
        <v>4158</v>
      </c>
      <c r="S125" s="732"/>
      <c r="T125" s="732"/>
      <c r="U125" s="732"/>
      <c r="V125" s="732"/>
      <c r="W125" s="732"/>
      <c r="X125" s="732"/>
      <c r="Y125" s="732">
        <v>855.33958333333339</v>
      </c>
      <c r="Z125" s="816">
        <f>SUM(R125:Y125)</f>
        <v>5013.3395833333334</v>
      </c>
      <c r="AA125" s="824">
        <f>300+300+400</f>
        <v>1000</v>
      </c>
      <c r="AB125" s="732"/>
      <c r="AC125" s="816">
        <f>+AA125+AB125</f>
        <v>1000</v>
      </c>
      <c r="AD125" s="732">
        <f>+(Z125*12)+AC125</f>
        <v>61160.074999999997</v>
      </c>
      <c r="AE125" s="732">
        <f>+Q125*AD125</f>
        <v>61160.074999999997</v>
      </c>
      <c r="AF125" s="732">
        <f t="shared" si="83"/>
        <v>-6460.8000000000029</v>
      </c>
      <c r="AG125" s="732">
        <f t="shared" si="83"/>
        <v>-6460.8000000000029</v>
      </c>
      <c r="AH125" s="824">
        <v>1</v>
      </c>
      <c r="AI125" s="816">
        <v>57778.010111935262</v>
      </c>
    </row>
    <row r="126" spans="1:35">
      <c r="A126" s="687" t="s">
        <v>6999</v>
      </c>
      <c r="B126" s="824">
        <v>13</v>
      </c>
      <c r="C126" s="732">
        <v>3409</v>
      </c>
      <c r="D126" s="732"/>
      <c r="E126" s="732"/>
      <c r="F126" s="732"/>
      <c r="G126" s="732"/>
      <c r="H126" s="732"/>
      <c r="I126" s="732"/>
      <c r="J126" s="732">
        <v>780.08018867924534</v>
      </c>
      <c r="K126" s="816">
        <f>SUM(C126:J126)</f>
        <v>4189.0801886792451</v>
      </c>
      <c r="L126" s="824">
        <f>300+300+400</f>
        <v>1000</v>
      </c>
      <c r="M126" s="732"/>
      <c r="N126" s="816">
        <f>+L126+M126</f>
        <v>1000</v>
      </c>
      <c r="O126" s="732">
        <f>+(K126*12)+N126</f>
        <v>51268.962264150941</v>
      </c>
      <c r="P126" s="732">
        <f>+B126*O126</f>
        <v>666496.50943396229</v>
      </c>
      <c r="Q126" s="824">
        <v>13</v>
      </c>
      <c r="R126" s="732">
        <v>3900</v>
      </c>
      <c r="S126" s="732"/>
      <c r="T126" s="732"/>
      <c r="U126" s="732"/>
      <c r="V126" s="732"/>
      <c r="W126" s="732"/>
      <c r="X126" s="732"/>
      <c r="Y126" s="732">
        <v>780.08018867924534</v>
      </c>
      <c r="Z126" s="816">
        <f>SUM(R126:Y126)</f>
        <v>4680.0801886792451</v>
      </c>
      <c r="AA126" s="824">
        <f>300+300+400</f>
        <v>1000</v>
      </c>
      <c r="AB126" s="732"/>
      <c r="AC126" s="816">
        <f>+AA126+AB126</f>
        <v>1000</v>
      </c>
      <c r="AD126" s="732">
        <f>+(Z126*12)+AC126</f>
        <v>57160.962264150941</v>
      </c>
      <c r="AE126" s="732">
        <f>+Q126*AD126</f>
        <v>743092.50943396229</v>
      </c>
      <c r="AF126" s="732">
        <f t="shared" si="83"/>
        <v>-5892</v>
      </c>
      <c r="AG126" s="732">
        <f t="shared" si="83"/>
        <v>-76596</v>
      </c>
      <c r="AH126" s="824">
        <v>13</v>
      </c>
      <c r="AI126" s="816">
        <v>710866.13145515847</v>
      </c>
    </row>
    <row r="127" spans="1:35">
      <c r="A127" s="687" t="s">
        <v>6998</v>
      </c>
      <c r="B127" s="824">
        <v>17</v>
      </c>
      <c r="C127" s="732">
        <v>3217</v>
      </c>
      <c r="D127" s="732"/>
      <c r="E127" s="732"/>
      <c r="F127" s="732"/>
      <c r="G127" s="732"/>
      <c r="H127" s="732"/>
      <c r="I127" s="732"/>
      <c r="J127" s="732">
        <v>747.92399999999952</v>
      </c>
      <c r="K127" s="816">
        <f>SUM(C127:J127)</f>
        <v>3964.9239999999995</v>
      </c>
      <c r="L127" s="824">
        <f>300+300+400</f>
        <v>1000</v>
      </c>
      <c r="M127" s="732"/>
      <c r="N127" s="816">
        <f>+L127+M127</f>
        <v>1000</v>
      </c>
      <c r="O127" s="732">
        <f>+(K127*12)+N127</f>
        <v>48579.087999999996</v>
      </c>
      <c r="P127" s="732">
        <f>+B127*O127</f>
        <v>825844.49599999993</v>
      </c>
      <c r="Q127" s="824">
        <v>17</v>
      </c>
      <c r="R127" s="732">
        <v>3660</v>
      </c>
      <c r="S127" s="732"/>
      <c r="T127" s="732"/>
      <c r="U127" s="732"/>
      <c r="V127" s="732"/>
      <c r="W127" s="732"/>
      <c r="X127" s="732"/>
      <c r="Y127" s="732">
        <v>747.92399999999952</v>
      </c>
      <c r="Z127" s="816">
        <f>SUM(R127:Y127)</f>
        <v>4407.9239999999991</v>
      </c>
      <c r="AA127" s="824">
        <f>300+300+400</f>
        <v>1000</v>
      </c>
      <c r="AB127" s="732"/>
      <c r="AC127" s="816">
        <f>+AA127+AB127</f>
        <v>1000</v>
      </c>
      <c r="AD127" s="732">
        <f>+(Z127*12)+AC127</f>
        <v>53895.087999999989</v>
      </c>
      <c r="AE127" s="732">
        <f>+Q127*AD127</f>
        <v>916216.49599999981</v>
      </c>
      <c r="AF127" s="732">
        <f t="shared" si="83"/>
        <v>-5315.9999999999927</v>
      </c>
      <c r="AG127" s="732">
        <f t="shared" si="83"/>
        <v>-90371.999999999884</v>
      </c>
      <c r="AH127" s="824">
        <v>17</v>
      </c>
      <c r="AI127" s="816">
        <v>880634.17190289963</v>
      </c>
    </row>
    <row r="128" spans="1:35">
      <c r="A128" s="687" t="s">
        <v>6997</v>
      </c>
      <c r="B128" s="824">
        <v>7</v>
      </c>
      <c r="C128" s="732">
        <v>2931</v>
      </c>
      <c r="D128" s="732"/>
      <c r="E128" s="732"/>
      <c r="F128" s="732"/>
      <c r="G128" s="732"/>
      <c r="H128" s="732"/>
      <c r="I128" s="732"/>
      <c r="J128" s="732">
        <v>700.04088888888884</v>
      </c>
      <c r="K128" s="816">
        <f>SUM(C128:J128)</f>
        <v>3631.0408888888887</v>
      </c>
      <c r="L128" s="824">
        <f>300+300+400</f>
        <v>1000</v>
      </c>
      <c r="M128" s="732"/>
      <c r="N128" s="816">
        <f>+L128+M128</f>
        <v>1000</v>
      </c>
      <c r="O128" s="732">
        <f>+(K128*12)+N128</f>
        <v>44572.490666666665</v>
      </c>
      <c r="P128" s="732">
        <f>+B128*O128</f>
        <v>312007.43466666667</v>
      </c>
      <c r="Q128" s="824">
        <v>7</v>
      </c>
      <c r="R128" s="732">
        <v>3344</v>
      </c>
      <c r="S128" s="732"/>
      <c r="T128" s="732"/>
      <c r="U128" s="732"/>
      <c r="V128" s="732"/>
      <c r="W128" s="732"/>
      <c r="X128" s="732"/>
      <c r="Y128" s="732">
        <v>700.04088888888884</v>
      </c>
      <c r="Z128" s="816">
        <f>SUM(R128:Y128)</f>
        <v>4044.0408888888887</v>
      </c>
      <c r="AA128" s="824">
        <f>300+300+400</f>
        <v>1000</v>
      </c>
      <c r="AB128" s="732"/>
      <c r="AC128" s="816">
        <f>+AA128+AB128</f>
        <v>1000</v>
      </c>
      <c r="AD128" s="732">
        <f>+(Z128*12)+AC128</f>
        <v>49528.490666666665</v>
      </c>
      <c r="AE128" s="732">
        <f>+Q128*AD128</f>
        <v>346699.43466666667</v>
      </c>
      <c r="AF128" s="732">
        <f t="shared" si="83"/>
        <v>-4956</v>
      </c>
      <c r="AG128" s="732">
        <f t="shared" si="83"/>
        <v>-34692</v>
      </c>
      <c r="AH128" s="824">
        <v>7</v>
      </c>
      <c r="AI128" s="816">
        <v>336070.07078354683</v>
      </c>
    </row>
    <row r="129" spans="1:35" ht="22.5">
      <c r="A129" s="685" t="s">
        <v>6996</v>
      </c>
      <c r="B129" s="689">
        <f t="shared" ref="B129:AI129" si="84">SUM(B130:B134)</f>
        <v>12</v>
      </c>
      <c r="C129" s="689">
        <f t="shared" si="84"/>
        <v>17051.599999999999</v>
      </c>
      <c r="D129" s="689">
        <f t="shared" si="84"/>
        <v>0</v>
      </c>
      <c r="E129" s="689">
        <f t="shared" si="84"/>
        <v>0</v>
      </c>
      <c r="F129" s="689">
        <f t="shared" si="84"/>
        <v>0</v>
      </c>
      <c r="G129" s="689">
        <f t="shared" si="84"/>
        <v>0</v>
      </c>
      <c r="H129" s="689">
        <f t="shared" si="84"/>
        <v>0</v>
      </c>
      <c r="I129" s="689">
        <f t="shared" si="84"/>
        <v>0</v>
      </c>
      <c r="J129" s="689">
        <f t="shared" si="84"/>
        <v>3887.8905984014668</v>
      </c>
      <c r="K129" s="689">
        <f t="shared" si="84"/>
        <v>20939.490598401466</v>
      </c>
      <c r="L129" s="689">
        <f t="shared" si="84"/>
        <v>5000</v>
      </c>
      <c r="M129" s="689">
        <f t="shared" si="84"/>
        <v>0</v>
      </c>
      <c r="N129" s="689">
        <f t="shared" si="84"/>
        <v>5000</v>
      </c>
      <c r="O129" s="689">
        <f t="shared" si="84"/>
        <v>256273.8871808176</v>
      </c>
      <c r="P129" s="689">
        <f t="shared" si="84"/>
        <v>564289.2205283019</v>
      </c>
      <c r="Q129" s="689">
        <f t="shared" si="84"/>
        <v>12</v>
      </c>
      <c r="R129" s="689">
        <f t="shared" si="84"/>
        <v>19533</v>
      </c>
      <c r="S129" s="689">
        <f t="shared" si="84"/>
        <v>0</v>
      </c>
      <c r="T129" s="689">
        <f t="shared" si="84"/>
        <v>0</v>
      </c>
      <c r="U129" s="689">
        <f t="shared" si="84"/>
        <v>0</v>
      </c>
      <c r="V129" s="689">
        <f t="shared" si="84"/>
        <v>0</v>
      </c>
      <c r="W129" s="689">
        <f t="shared" si="84"/>
        <v>0</v>
      </c>
      <c r="X129" s="689">
        <f t="shared" si="84"/>
        <v>0</v>
      </c>
      <c r="Y129" s="689">
        <f t="shared" si="84"/>
        <v>3887.8905984014668</v>
      </c>
      <c r="Z129" s="689">
        <f t="shared" si="84"/>
        <v>23420.890598401467</v>
      </c>
      <c r="AA129" s="689">
        <f t="shared" si="84"/>
        <v>5000</v>
      </c>
      <c r="AB129" s="689">
        <f t="shared" si="84"/>
        <v>0</v>
      </c>
      <c r="AC129" s="689">
        <f t="shared" si="84"/>
        <v>5000</v>
      </c>
      <c r="AD129" s="689">
        <f t="shared" si="84"/>
        <v>286050.68718081759</v>
      </c>
      <c r="AE129" s="689">
        <f t="shared" si="84"/>
        <v>627073.22052830178</v>
      </c>
      <c r="AF129" s="689">
        <f t="shared" si="84"/>
        <v>-29776.799999999996</v>
      </c>
      <c r="AG129" s="689">
        <f t="shared" si="84"/>
        <v>-62783.999999999971</v>
      </c>
      <c r="AH129" s="689">
        <f t="shared" si="84"/>
        <v>12</v>
      </c>
      <c r="AI129" s="689">
        <f t="shared" si="84"/>
        <v>604632.12134322315</v>
      </c>
    </row>
    <row r="130" spans="1:35">
      <c r="A130" s="687" t="s">
        <v>6989</v>
      </c>
      <c r="B130" s="824">
        <v>0</v>
      </c>
      <c r="C130" s="732">
        <v>3875</v>
      </c>
      <c r="D130" s="732"/>
      <c r="E130" s="732"/>
      <c r="F130" s="732"/>
      <c r="G130" s="732"/>
      <c r="H130" s="732"/>
      <c r="I130" s="732"/>
      <c r="J130" s="732">
        <v>804.50593749999996</v>
      </c>
      <c r="K130" s="816">
        <f>SUM(C130:J130)</f>
        <v>4679.5059375000001</v>
      </c>
      <c r="L130" s="824">
        <f>300+300+400</f>
        <v>1000</v>
      </c>
      <c r="M130" s="732"/>
      <c r="N130" s="816">
        <f>+L130+M130</f>
        <v>1000</v>
      </c>
      <c r="O130" s="732">
        <f>+(K130*12)+N130</f>
        <v>57154.071250000001</v>
      </c>
      <c r="P130" s="732">
        <f>+B130*O130</f>
        <v>0</v>
      </c>
      <c r="Q130" s="824">
        <v>0</v>
      </c>
      <c r="R130" s="732">
        <v>4471</v>
      </c>
      <c r="S130" s="732"/>
      <c r="T130" s="732"/>
      <c r="U130" s="732"/>
      <c r="V130" s="732"/>
      <c r="W130" s="732"/>
      <c r="X130" s="732"/>
      <c r="Y130" s="732">
        <v>804.50593749999996</v>
      </c>
      <c r="Z130" s="816">
        <f>SUM(R130:Y130)</f>
        <v>5275.5059375000001</v>
      </c>
      <c r="AA130" s="824">
        <f>300+300+400</f>
        <v>1000</v>
      </c>
      <c r="AB130" s="732"/>
      <c r="AC130" s="816">
        <f>+AA130+AB130</f>
        <v>1000</v>
      </c>
      <c r="AD130" s="732">
        <f>+(Z130*12)+AC130</f>
        <v>64306.071250000001</v>
      </c>
      <c r="AE130" s="732">
        <f>+Q130*AD130</f>
        <v>0</v>
      </c>
      <c r="AF130" s="732">
        <f t="shared" ref="AF130:AG134" si="85">+O130-AD130</f>
        <v>-7152</v>
      </c>
      <c r="AG130" s="732">
        <f t="shared" si="85"/>
        <v>0</v>
      </c>
      <c r="AH130" s="824">
        <v>0</v>
      </c>
      <c r="AI130" s="816">
        <v>0</v>
      </c>
    </row>
    <row r="131" spans="1:35">
      <c r="A131" s="687" t="s">
        <v>6988</v>
      </c>
      <c r="B131" s="824">
        <v>0</v>
      </c>
      <c r="C131" s="732">
        <v>3619.6</v>
      </c>
      <c r="D131" s="732"/>
      <c r="E131" s="732"/>
      <c r="F131" s="732"/>
      <c r="G131" s="732"/>
      <c r="H131" s="732"/>
      <c r="I131" s="732"/>
      <c r="J131" s="732">
        <v>855.33958333333339</v>
      </c>
      <c r="K131" s="816">
        <f>SUM(C131:J131)</f>
        <v>4474.9395833333328</v>
      </c>
      <c r="L131" s="824">
        <f>300+300+400</f>
        <v>1000</v>
      </c>
      <c r="M131" s="732"/>
      <c r="N131" s="816">
        <f>+L131+M131</f>
        <v>1000</v>
      </c>
      <c r="O131" s="732">
        <f>+(K131*12)+N131</f>
        <v>54699.274999999994</v>
      </c>
      <c r="P131" s="732">
        <f>+B131*O131</f>
        <v>0</v>
      </c>
      <c r="Q131" s="824">
        <v>0</v>
      </c>
      <c r="R131" s="732">
        <v>4158</v>
      </c>
      <c r="S131" s="732"/>
      <c r="T131" s="732"/>
      <c r="U131" s="732"/>
      <c r="V131" s="732"/>
      <c r="W131" s="732"/>
      <c r="X131" s="732"/>
      <c r="Y131" s="732">
        <v>855.33958333333339</v>
      </c>
      <c r="Z131" s="816">
        <f>SUM(R131:Y131)</f>
        <v>5013.3395833333334</v>
      </c>
      <c r="AA131" s="824">
        <f>300+300+400</f>
        <v>1000</v>
      </c>
      <c r="AB131" s="732"/>
      <c r="AC131" s="816">
        <f>+AA131+AB131</f>
        <v>1000</v>
      </c>
      <c r="AD131" s="732">
        <f>+(Z131*12)+AC131</f>
        <v>61160.074999999997</v>
      </c>
      <c r="AE131" s="732">
        <f>+Q131*AD131</f>
        <v>0</v>
      </c>
      <c r="AF131" s="732">
        <f t="shared" si="85"/>
        <v>-6460.8000000000029</v>
      </c>
      <c r="AG131" s="732">
        <f t="shared" si="85"/>
        <v>0</v>
      </c>
      <c r="AH131" s="824">
        <v>0</v>
      </c>
      <c r="AI131" s="816">
        <v>0</v>
      </c>
    </row>
    <row r="132" spans="1:35">
      <c r="A132" s="687" t="s">
        <v>6986</v>
      </c>
      <c r="B132" s="824">
        <v>2</v>
      </c>
      <c r="C132" s="732">
        <v>3409</v>
      </c>
      <c r="D132" s="732"/>
      <c r="E132" s="732"/>
      <c r="F132" s="732"/>
      <c r="G132" s="732"/>
      <c r="H132" s="732"/>
      <c r="I132" s="732"/>
      <c r="J132" s="732">
        <v>780.08018867924534</v>
      </c>
      <c r="K132" s="816">
        <f>SUM(C132:J132)</f>
        <v>4189.0801886792451</v>
      </c>
      <c r="L132" s="824">
        <f>300+300+400</f>
        <v>1000</v>
      </c>
      <c r="M132" s="732"/>
      <c r="N132" s="816">
        <f>+L132+M132</f>
        <v>1000</v>
      </c>
      <c r="O132" s="732">
        <f>+(K132*12)+N132</f>
        <v>51268.962264150941</v>
      </c>
      <c r="P132" s="732">
        <f>+B132*O132</f>
        <v>102537.92452830188</v>
      </c>
      <c r="Q132" s="824">
        <v>2</v>
      </c>
      <c r="R132" s="732">
        <v>3900</v>
      </c>
      <c r="S132" s="732"/>
      <c r="T132" s="732"/>
      <c r="U132" s="732"/>
      <c r="V132" s="732"/>
      <c r="W132" s="732"/>
      <c r="X132" s="732"/>
      <c r="Y132" s="732">
        <v>780.08018867924534</v>
      </c>
      <c r="Z132" s="816">
        <f>SUM(R132:Y132)</f>
        <v>4680.0801886792451</v>
      </c>
      <c r="AA132" s="824">
        <f>300+300+400</f>
        <v>1000</v>
      </c>
      <c r="AB132" s="732"/>
      <c r="AC132" s="816">
        <f>+AA132+AB132</f>
        <v>1000</v>
      </c>
      <c r="AD132" s="732">
        <f>+(Z132*12)+AC132</f>
        <v>57160.962264150941</v>
      </c>
      <c r="AE132" s="732">
        <f>+Q132*AD132</f>
        <v>114321.92452830188</v>
      </c>
      <c r="AF132" s="732">
        <f t="shared" si="85"/>
        <v>-5892</v>
      </c>
      <c r="AG132" s="732">
        <f t="shared" si="85"/>
        <v>-11784</v>
      </c>
      <c r="AH132" s="824">
        <v>2</v>
      </c>
      <c r="AI132" s="816">
        <v>109364.02022387052</v>
      </c>
    </row>
    <row r="133" spans="1:35">
      <c r="A133" s="687" t="s">
        <v>6985</v>
      </c>
      <c r="B133" s="824">
        <v>4</v>
      </c>
      <c r="C133" s="732">
        <v>3217</v>
      </c>
      <c r="D133" s="732"/>
      <c r="E133" s="732"/>
      <c r="F133" s="732"/>
      <c r="G133" s="732"/>
      <c r="H133" s="732"/>
      <c r="I133" s="732"/>
      <c r="J133" s="732">
        <v>747.92399999999952</v>
      </c>
      <c r="K133" s="816">
        <f>SUM(C133:J133)</f>
        <v>3964.9239999999995</v>
      </c>
      <c r="L133" s="824">
        <f>300+300+400</f>
        <v>1000</v>
      </c>
      <c r="M133" s="732"/>
      <c r="N133" s="816">
        <f>+L133+M133</f>
        <v>1000</v>
      </c>
      <c r="O133" s="732">
        <f>+(K133*12)+N133</f>
        <v>48579.087999999996</v>
      </c>
      <c r="P133" s="732">
        <f>+B133*O133</f>
        <v>194316.35199999998</v>
      </c>
      <c r="Q133" s="824">
        <v>4</v>
      </c>
      <c r="R133" s="732">
        <v>3660</v>
      </c>
      <c r="S133" s="732"/>
      <c r="T133" s="732"/>
      <c r="U133" s="732"/>
      <c r="V133" s="732"/>
      <c r="W133" s="732"/>
      <c r="X133" s="732"/>
      <c r="Y133" s="732">
        <v>747.92399999999952</v>
      </c>
      <c r="Z133" s="816">
        <f>SUM(R133:Y133)</f>
        <v>4407.9239999999991</v>
      </c>
      <c r="AA133" s="824">
        <f>300+300+400</f>
        <v>1000</v>
      </c>
      <c r="AB133" s="732"/>
      <c r="AC133" s="816">
        <f>+AA133+AB133</f>
        <v>1000</v>
      </c>
      <c r="AD133" s="732">
        <f>+(Z133*12)+AC133</f>
        <v>53895.087999999989</v>
      </c>
      <c r="AE133" s="732">
        <f>+Q133*AD133</f>
        <v>215580.35199999996</v>
      </c>
      <c r="AF133" s="732">
        <f t="shared" si="85"/>
        <v>-5315.9999999999927</v>
      </c>
      <c r="AG133" s="732">
        <f t="shared" si="85"/>
        <v>-21263.999999999971</v>
      </c>
      <c r="AH133" s="824">
        <v>4</v>
      </c>
      <c r="AI133" s="816">
        <v>207208.04044774105</v>
      </c>
    </row>
    <row r="134" spans="1:35">
      <c r="A134" s="687" t="s">
        <v>6984</v>
      </c>
      <c r="B134" s="824">
        <v>6</v>
      </c>
      <c r="C134" s="732">
        <v>2931</v>
      </c>
      <c r="D134" s="732"/>
      <c r="E134" s="732"/>
      <c r="F134" s="732"/>
      <c r="G134" s="732"/>
      <c r="H134" s="732"/>
      <c r="I134" s="732"/>
      <c r="J134" s="732">
        <v>700.04088888888884</v>
      </c>
      <c r="K134" s="816">
        <f>SUM(C134:J134)</f>
        <v>3631.0408888888887</v>
      </c>
      <c r="L134" s="824">
        <f>300+300+400</f>
        <v>1000</v>
      </c>
      <c r="M134" s="732"/>
      <c r="N134" s="816">
        <f>+L134+M134</f>
        <v>1000</v>
      </c>
      <c r="O134" s="732">
        <f>+(K134*12)+N134</f>
        <v>44572.490666666665</v>
      </c>
      <c r="P134" s="732">
        <f>+B134*O134</f>
        <v>267434.94400000002</v>
      </c>
      <c r="Q134" s="824">
        <v>6</v>
      </c>
      <c r="R134" s="732">
        <v>3344</v>
      </c>
      <c r="S134" s="732"/>
      <c r="T134" s="732"/>
      <c r="U134" s="732"/>
      <c r="V134" s="732"/>
      <c r="W134" s="732"/>
      <c r="X134" s="732"/>
      <c r="Y134" s="732">
        <v>700.04088888888884</v>
      </c>
      <c r="Z134" s="816">
        <f>SUM(R134:Y134)</f>
        <v>4044.0408888888887</v>
      </c>
      <c r="AA134" s="824">
        <f>300+300+400</f>
        <v>1000</v>
      </c>
      <c r="AB134" s="732"/>
      <c r="AC134" s="816">
        <f>+AA134+AB134</f>
        <v>1000</v>
      </c>
      <c r="AD134" s="732">
        <f>+(Z134*12)+AC134</f>
        <v>49528.490666666665</v>
      </c>
      <c r="AE134" s="732">
        <f>+Q134*AD134</f>
        <v>297170.94400000002</v>
      </c>
      <c r="AF134" s="732">
        <f t="shared" si="85"/>
        <v>-4956</v>
      </c>
      <c r="AG134" s="732">
        <f t="shared" si="85"/>
        <v>-29736</v>
      </c>
      <c r="AH134" s="824">
        <v>6</v>
      </c>
      <c r="AI134" s="816">
        <v>288060.06067161157</v>
      </c>
    </row>
    <row r="135" spans="1:35" hidden="1">
      <c r="A135" s="685" t="s">
        <v>2097</v>
      </c>
      <c r="B135" s="689">
        <f t="shared" ref="B135:AI135" si="86">SUM(B136:B140)</f>
        <v>0</v>
      </c>
      <c r="C135" s="689">
        <f t="shared" si="86"/>
        <v>0</v>
      </c>
      <c r="D135" s="689">
        <f t="shared" si="86"/>
        <v>0</v>
      </c>
      <c r="E135" s="689">
        <f t="shared" si="86"/>
        <v>0</v>
      </c>
      <c r="F135" s="689">
        <f t="shared" si="86"/>
        <v>0</v>
      </c>
      <c r="G135" s="689">
        <f t="shared" si="86"/>
        <v>0</v>
      </c>
      <c r="H135" s="689">
        <f t="shared" si="86"/>
        <v>0</v>
      </c>
      <c r="I135" s="689">
        <f t="shared" si="86"/>
        <v>0</v>
      </c>
      <c r="J135" s="689">
        <f t="shared" si="86"/>
        <v>0</v>
      </c>
      <c r="K135" s="689">
        <f t="shared" si="86"/>
        <v>0</v>
      </c>
      <c r="L135" s="689">
        <f t="shared" si="86"/>
        <v>0</v>
      </c>
      <c r="M135" s="689">
        <f t="shared" si="86"/>
        <v>0</v>
      </c>
      <c r="N135" s="689">
        <f t="shared" si="86"/>
        <v>0</v>
      </c>
      <c r="O135" s="689">
        <f t="shared" si="86"/>
        <v>0</v>
      </c>
      <c r="P135" s="689">
        <f t="shared" si="86"/>
        <v>0</v>
      </c>
      <c r="Q135" s="689">
        <f t="shared" si="86"/>
        <v>0</v>
      </c>
      <c r="R135" s="689">
        <f t="shared" si="86"/>
        <v>0</v>
      </c>
      <c r="S135" s="689">
        <f t="shared" si="86"/>
        <v>0</v>
      </c>
      <c r="T135" s="689">
        <f t="shared" si="86"/>
        <v>0</v>
      </c>
      <c r="U135" s="689">
        <f t="shared" si="86"/>
        <v>0</v>
      </c>
      <c r="V135" s="689">
        <f t="shared" si="86"/>
        <v>0</v>
      </c>
      <c r="W135" s="689">
        <f t="shared" si="86"/>
        <v>0</v>
      </c>
      <c r="X135" s="689">
        <f t="shared" si="86"/>
        <v>0</v>
      </c>
      <c r="Y135" s="689">
        <f t="shared" si="86"/>
        <v>0</v>
      </c>
      <c r="Z135" s="689">
        <f t="shared" si="86"/>
        <v>0</v>
      </c>
      <c r="AA135" s="689">
        <f t="shared" si="86"/>
        <v>0</v>
      </c>
      <c r="AB135" s="689">
        <f t="shared" si="86"/>
        <v>0</v>
      </c>
      <c r="AC135" s="689">
        <f t="shared" si="86"/>
        <v>0</v>
      </c>
      <c r="AD135" s="689">
        <f t="shared" si="86"/>
        <v>0</v>
      </c>
      <c r="AE135" s="689">
        <f t="shared" si="86"/>
        <v>0</v>
      </c>
      <c r="AF135" s="690">
        <f t="shared" si="86"/>
        <v>0</v>
      </c>
      <c r="AG135" s="690">
        <f t="shared" si="86"/>
        <v>0</v>
      </c>
      <c r="AH135" s="689">
        <f t="shared" si="86"/>
        <v>0</v>
      </c>
      <c r="AI135" s="689">
        <f t="shared" si="86"/>
        <v>0</v>
      </c>
    </row>
    <row r="136" spans="1:35" hidden="1">
      <c r="A136" s="687" t="s">
        <v>6989</v>
      </c>
      <c r="B136" s="824"/>
      <c r="C136" s="732"/>
      <c r="D136" s="732"/>
      <c r="E136" s="732"/>
      <c r="F136" s="732"/>
      <c r="G136" s="732"/>
      <c r="H136" s="732"/>
      <c r="I136" s="732"/>
      <c r="J136" s="680"/>
      <c r="K136" s="732"/>
      <c r="L136" s="732"/>
      <c r="M136" s="732"/>
      <c r="N136" s="732"/>
      <c r="O136" s="732">
        <f>(K136*12)+N136</f>
        <v>0</v>
      </c>
      <c r="P136" s="732">
        <f>B136*O136</f>
        <v>0</v>
      </c>
      <c r="Q136" s="824"/>
      <c r="R136" s="732"/>
      <c r="S136" s="732"/>
      <c r="T136" s="732"/>
      <c r="U136" s="732"/>
      <c r="V136" s="732"/>
      <c r="W136" s="732"/>
      <c r="X136" s="732"/>
      <c r="Y136" s="680"/>
      <c r="Z136" s="732"/>
      <c r="AA136" s="732"/>
      <c r="AB136" s="732"/>
      <c r="AC136" s="732"/>
      <c r="AD136" s="732">
        <f>(Z136*12)+AC136</f>
        <v>0</v>
      </c>
      <c r="AE136" s="732">
        <f>Q136*AD136</f>
        <v>0</v>
      </c>
      <c r="AF136" s="732">
        <f t="shared" ref="AF136:AG140" si="87">+O136-AD136</f>
        <v>0</v>
      </c>
      <c r="AG136" s="732">
        <f t="shared" si="87"/>
        <v>0</v>
      </c>
      <c r="AH136" s="824"/>
      <c r="AI136" s="732"/>
    </row>
    <row r="137" spans="1:35" hidden="1">
      <c r="A137" s="687" t="s">
        <v>6988</v>
      </c>
      <c r="B137" s="824"/>
      <c r="C137" s="732"/>
      <c r="D137" s="732"/>
      <c r="E137" s="732"/>
      <c r="F137" s="732"/>
      <c r="G137" s="732"/>
      <c r="H137" s="732"/>
      <c r="I137" s="732"/>
      <c r="J137" s="680"/>
      <c r="K137" s="732"/>
      <c r="L137" s="732"/>
      <c r="M137" s="732"/>
      <c r="N137" s="732"/>
      <c r="O137" s="732">
        <f>(K137*12)+N137</f>
        <v>0</v>
      </c>
      <c r="P137" s="732">
        <f>B137*O137</f>
        <v>0</v>
      </c>
      <c r="Q137" s="824"/>
      <c r="R137" s="732"/>
      <c r="S137" s="732"/>
      <c r="T137" s="732"/>
      <c r="U137" s="732"/>
      <c r="V137" s="732"/>
      <c r="W137" s="732"/>
      <c r="X137" s="732"/>
      <c r="Y137" s="680"/>
      <c r="Z137" s="732"/>
      <c r="AA137" s="732"/>
      <c r="AB137" s="732"/>
      <c r="AC137" s="732"/>
      <c r="AD137" s="732">
        <f>(Z137*12)+AC137</f>
        <v>0</v>
      </c>
      <c r="AE137" s="732">
        <f>Q137*AD137</f>
        <v>0</v>
      </c>
      <c r="AF137" s="732">
        <f t="shared" si="87"/>
        <v>0</v>
      </c>
      <c r="AG137" s="732">
        <f t="shared" si="87"/>
        <v>0</v>
      </c>
      <c r="AH137" s="824"/>
      <c r="AI137" s="732"/>
    </row>
    <row r="138" spans="1:35" hidden="1">
      <c r="A138" s="687" t="s">
        <v>6986</v>
      </c>
      <c r="B138" s="824"/>
      <c r="C138" s="732"/>
      <c r="D138" s="732"/>
      <c r="E138" s="732"/>
      <c r="F138" s="732"/>
      <c r="G138" s="732"/>
      <c r="H138" s="732"/>
      <c r="I138" s="732"/>
      <c r="J138" s="680"/>
      <c r="K138" s="732"/>
      <c r="L138" s="732"/>
      <c r="M138" s="732"/>
      <c r="N138" s="732"/>
      <c r="O138" s="732">
        <f>(K138*12)+N138</f>
        <v>0</v>
      </c>
      <c r="P138" s="732">
        <f>B138*O138</f>
        <v>0</v>
      </c>
      <c r="Q138" s="824"/>
      <c r="R138" s="732"/>
      <c r="S138" s="732"/>
      <c r="T138" s="732"/>
      <c r="U138" s="732"/>
      <c r="V138" s="732"/>
      <c r="W138" s="732"/>
      <c r="X138" s="732"/>
      <c r="Y138" s="680"/>
      <c r="Z138" s="732"/>
      <c r="AA138" s="732"/>
      <c r="AB138" s="732"/>
      <c r="AC138" s="732"/>
      <c r="AD138" s="732">
        <f>(Z138*12)+AC138</f>
        <v>0</v>
      </c>
      <c r="AE138" s="732">
        <f>Q138*AD138</f>
        <v>0</v>
      </c>
      <c r="AF138" s="732">
        <f t="shared" si="87"/>
        <v>0</v>
      </c>
      <c r="AG138" s="732">
        <f t="shared" si="87"/>
        <v>0</v>
      </c>
      <c r="AH138" s="824"/>
      <c r="AI138" s="732"/>
    </row>
    <row r="139" spans="1:35" hidden="1">
      <c r="A139" s="687" t="s">
        <v>6985</v>
      </c>
      <c r="B139" s="824"/>
      <c r="C139" s="732"/>
      <c r="D139" s="732"/>
      <c r="E139" s="732"/>
      <c r="F139" s="732"/>
      <c r="G139" s="732"/>
      <c r="H139" s="732"/>
      <c r="I139" s="732"/>
      <c r="J139" s="680"/>
      <c r="K139" s="732"/>
      <c r="L139" s="732"/>
      <c r="M139" s="732"/>
      <c r="N139" s="732"/>
      <c r="O139" s="732">
        <f>(K139*12)+N139</f>
        <v>0</v>
      </c>
      <c r="P139" s="732">
        <f>B139*O139</f>
        <v>0</v>
      </c>
      <c r="Q139" s="824"/>
      <c r="R139" s="732"/>
      <c r="S139" s="732"/>
      <c r="T139" s="732"/>
      <c r="U139" s="732"/>
      <c r="V139" s="732"/>
      <c r="W139" s="732"/>
      <c r="X139" s="732"/>
      <c r="Y139" s="680"/>
      <c r="Z139" s="732"/>
      <c r="AA139" s="732"/>
      <c r="AB139" s="732"/>
      <c r="AC139" s="732"/>
      <c r="AD139" s="732">
        <f>(Z139*12)+AC139</f>
        <v>0</v>
      </c>
      <c r="AE139" s="732">
        <f>Q139*AD139</f>
        <v>0</v>
      </c>
      <c r="AF139" s="732">
        <f t="shared" si="87"/>
        <v>0</v>
      </c>
      <c r="AG139" s="732">
        <f t="shared" si="87"/>
        <v>0</v>
      </c>
      <c r="AH139" s="824"/>
      <c r="AI139" s="732"/>
    </row>
    <row r="140" spans="1:35" hidden="1">
      <c r="A140" s="687" t="s">
        <v>6984</v>
      </c>
      <c r="B140" s="824"/>
      <c r="C140" s="732"/>
      <c r="D140" s="732"/>
      <c r="E140" s="732"/>
      <c r="F140" s="732"/>
      <c r="G140" s="732"/>
      <c r="H140" s="732"/>
      <c r="I140" s="732"/>
      <c r="J140" s="680"/>
      <c r="K140" s="732"/>
      <c r="L140" s="732"/>
      <c r="M140" s="732"/>
      <c r="N140" s="732"/>
      <c r="O140" s="732">
        <f>(K140*12)+N140</f>
        <v>0</v>
      </c>
      <c r="P140" s="732">
        <f>B140*O140</f>
        <v>0</v>
      </c>
      <c r="Q140" s="824"/>
      <c r="R140" s="732"/>
      <c r="S140" s="732"/>
      <c r="T140" s="732"/>
      <c r="U140" s="732"/>
      <c r="V140" s="732"/>
      <c r="W140" s="732"/>
      <c r="X140" s="732"/>
      <c r="Y140" s="680"/>
      <c r="Z140" s="732"/>
      <c r="AA140" s="732"/>
      <c r="AB140" s="732"/>
      <c r="AC140" s="732"/>
      <c r="AD140" s="732">
        <f>(Z140*12)+AC140</f>
        <v>0</v>
      </c>
      <c r="AE140" s="732">
        <f>Q140*AD140</f>
        <v>0</v>
      </c>
      <c r="AF140" s="732">
        <f t="shared" si="87"/>
        <v>0</v>
      </c>
      <c r="AG140" s="732">
        <f t="shared" si="87"/>
        <v>0</v>
      </c>
      <c r="AH140" s="824"/>
      <c r="AI140" s="732"/>
    </row>
    <row r="141" spans="1:35" hidden="1">
      <c r="A141" s="685" t="s">
        <v>6995</v>
      </c>
      <c r="B141" s="689">
        <f t="shared" ref="B141:AI141" si="88">SUM(B142:B146)</f>
        <v>0</v>
      </c>
      <c r="C141" s="689">
        <f t="shared" si="88"/>
        <v>0</v>
      </c>
      <c r="D141" s="689">
        <f t="shared" si="88"/>
        <v>0</v>
      </c>
      <c r="E141" s="689">
        <f t="shared" si="88"/>
        <v>0</v>
      </c>
      <c r="F141" s="689">
        <f t="shared" si="88"/>
        <v>0</v>
      </c>
      <c r="G141" s="689">
        <f t="shared" si="88"/>
        <v>0</v>
      </c>
      <c r="H141" s="689">
        <f t="shared" si="88"/>
        <v>0</v>
      </c>
      <c r="I141" s="689">
        <f t="shared" si="88"/>
        <v>0</v>
      </c>
      <c r="J141" s="689">
        <f t="shared" si="88"/>
        <v>0</v>
      </c>
      <c r="K141" s="689">
        <f t="shared" si="88"/>
        <v>0</v>
      </c>
      <c r="L141" s="689">
        <f t="shared" si="88"/>
        <v>0</v>
      </c>
      <c r="M141" s="689">
        <f t="shared" si="88"/>
        <v>0</v>
      </c>
      <c r="N141" s="689">
        <f t="shared" si="88"/>
        <v>0</v>
      </c>
      <c r="O141" s="689">
        <f t="shared" si="88"/>
        <v>0</v>
      </c>
      <c r="P141" s="689">
        <f t="shared" si="88"/>
        <v>0</v>
      </c>
      <c r="Q141" s="689">
        <f t="shared" si="88"/>
        <v>0</v>
      </c>
      <c r="R141" s="689">
        <f t="shared" si="88"/>
        <v>0</v>
      </c>
      <c r="S141" s="689">
        <f t="shared" si="88"/>
        <v>0</v>
      </c>
      <c r="T141" s="689">
        <f t="shared" si="88"/>
        <v>0</v>
      </c>
      <c r="U141" s="689">
        <f t="shared" si="88"/>
        <v>0</v>
      </c>
      <c r="V141" s="689">
        <f t="shared" si="88"/>
        <v>0</v>
      </c>
      <c r="W141" s="689">
        <f t="shared" si="88"/>
        <v>0</v>
      </c>
      <c r="X141" s="689">
        <f t="shared" si="88"/>
        <v>0</v>
      </c>
      <c r="Y141" s="689">
        <f t="shared" si="88"/>
        <v>0</v>
      </c>
      <c r="Z141" s="689">
        <f t="shared" si="88"/>
        <v>0</v>
      </c>
      <c r="AA141" s="689">
        <f t="shared" si="88"/>
        <v>0</v>
      </c>
      <c r="AB141" s="689">
        <f t="shared" si="88"/>
        <v>0</v>
      </c>
      <c r="AC141" s="689">
        <f t="shared" si="88"/>
        <v>0</v>
      </c>
      <c r="AD141" s="689">
        <f t="shared" si="88"/>
        <v>0</v>
      </c>
      <c r="AE141" s="689">
        <f t="shared" si="88"/>
        <v>0</v>
      </c>
      <c r="AF141" s="689">
        <f t="shared" si="88"/>
        <v>0</v>
      </c>
      <c r="AG141" s="689">
        <f t="shared" si="88"/>
        <v>0</v>
      </c>
      <c r="AH141" s="689">
        <f t="shared" si="88"/>
        <v>0</v>
      </c>
      <c r="AI141" s="689">
        <f t="shared" si="88"/>
        <v>0</v>
      </c>
    </row>
    <row r="142" spans="1:35" hidden="1">
      <c r="A142" s="687" t="s">
        <v>6989</v>
      </c>
      <c r="B142" s="824"/>
      <c r="C142" s="732"/>
      <c r="D142" s="732"/>
      <c r="E142" s="732"/>
      <c r="F142" s="732"/>
      <c r="G142" s="732"/>
      <c r="H142" s="732"/>
      <c r="I142" s="732"/>
      <c r="J142" s="680"/>
      <c r="K142" s="732"/>
      <c r="L142" s="732"/>
      <c r="M142" s="732"/>
      <c r="N142" s="732"/>
      <c r="O142" s="732">
        <f>(K142*12)+N142</f>
        <v>0</v>
      </c>
      <c r="P142" s="732">
        <f>B142*O142</f>
        <v>0</v>
      </c>
      <c r="Q142" s="824"/>
      <c r="R142" s="732"/>
      <c r="S142" s="732"/>
      <c r="T142" s="732"/>
      <c r="U142" s="732"/>
      <c r="V142" s="732"/>
      <c r="W142" s="732"/>
      <c r="X142" s="732"/>
      <c r="Y142" s="680"/>
      <c r="Z142" s="732"/>
      <c r="AA142" s="732"/>
      <c r="AB142" s="732"/>
      <c r="AC142" s="732"/>
      <c r="AD142" s="732">
        <f>(Z142*12)+AC142</f>
        <v>0</v>
      </c>
      <c r="AE142" s="732">
        <f>Q142*AD142</f>
        <v>0</v>
      </c>
      <c r="AF142" s="732">
        <f t="shared" ref="AF142:AG146" si="89">+O142-AD142</f>
        <v>0</v>
      </c>
      <c r="AG142" s="732">
        <f t="shared" si="89"/>
        <v>0</v>
      </c>
      <c r="AH142" s="824"/>
      <c r="AI142" s="732"/>
    </row>
    <row r="143" spans="1:35" hidden="1">
      <c r="A143" s="687" t="s">
        <v>6988</v>
      </c>
      <c r="B143" s="824"/>
      <c r="C143" s="732"/>
      <c r="D143" s="732"/>
      <c r="E143" s="732"/>
      <c r="F143" s="732"/>
      <c r="G143" s="732"/>
      <c r="H143" s="732"/>
      <c r="I143" s="732"/>
      <c r="J143" s="680"/>
      <c r="K143" s="732"/>
      <c r="L143" s="732"/>
      <c r="M143" s="732"/>
      <c r="N143" s="732"/>
      <c r="O143" s="732">
        <f>(K143*12)+N143</f>
        <v>0</v>
      </c>
      <c r="P143" s="732">
        <f>B143*O143</f>
        <v>0</v>
      </c>
      <c r="Q143" s="824"/>
      <c r="R143" s="732"/>
      <c r="S143" s="732"/>
      <c r="T143" s="732"/>
      <c r="U143" s="732"/>
      <c r="V143" s="732"/>
      <c r="W143" s="732"/>
      <c r="X143" s="732"/>
      <c r="Y143" s="680"/>
      <c r="Z143" s="732"/>
      <c r="AA143" s="732"/>
      <c r="AB143" s="732"/>
      <c r="AC143" s="732"/>
      <c r="AD143" s="732">
        <f>(Z143*12)+AC143</f>
        <v>0</v>
      </c>
      <c r="AE143" s="732">
        <f>Q143*AD143</f>
        <v>0</v>
      </c>
      <c r="AF143" s="732">
        <f t="shared" si="89"/>
        <v>0</v>
      </c>
      <c r="AG143" s="732">
        <f t="shared" si="89"/>
        <v>0</v>
      </c>
      <c r="AH143" s="824"/>
      <c r="AI143" s="732"/>
    </row>
    <row r="144" spans="1:35" hidden="1">
      <c r="A144" s="687" t="s">
        <v>6986</v>
      </c>
      <c r="B144" s="824"/>
      <c r="C144" s="732"/>
      <c r="D144" s="732"/>
      <c r="E144" s="732"/>
      <c r="F144" s="732"/>
      <c r="G144" s="732"/>
      <c r="H144" s="732"/>
      <c r="I144" s="732"/>
      <c r="J144" s="680"/>
      <c r="K144" s="732"/>
      <c r="L144" s="732"/>
      <c r="M144" s="732"/>
      <c r="N144" s="732"/>
      <c r="O144" s="732">
        <f>(K144*12)+N144</f>
        <v>0</v>
      </c>
      <c r="P144" s="732">
        <f>B144*O144</f>
        <v>0</v>
      </c>
      <c r="Q144" s="824"/>
      <c r="R144" s="732"/>
      <c r="S144" s="732"/>
      <c r="T144" s="732"/>
      <c r="U144" s="732"/>
      <c r="V144" s="732"/>
      <c r="W144" s="732"/>
      <c r="X144" s="732"/>
      <c r="Y144" s="680"/>
      <c r="Z144" s="732"/>
      <c r="AA144" s="732"/>
      <c r="AB144" s="732"/>
      <c r="AC144" s="732"/>
      <c r="AD144" s="732">
        <f>(Z144*12)+AC144</f>
        <v>0</v>
      </c>
      <c r="AE144" s="732">
        <f>Q144*AD144</f>
        <v>0</v>
      </c>
      <c r="AF144" s="732">
        <f t="shared" si="89"/>
        <v>0</v>
      </c>
      <c r="AG144" s="732">
        <f t="shared" si="89"/>
        <v>0</v>
      </c>
      <c r="AH144" s="824"/>
      <c r="AI144" s="732"/>
    </row>
    <row r="145" spans="1:35" hidden="1">
      <c r="A145" s="687" t="s">
        <v>6985</v>
      </c>
      <c r="B145" s="824"/>
      <c r="C145" s="732"/>
      <c r="D145" s="732"/>
      <c r="E145" s="732"/>
      <c r="F145" s="732"/>
      <c r="G145" s="732"/>
      <c r="H145" s="732"/>
      <c r="I145" s="732"/>
      <c r="J145" s="680"/>
      <c r="K145" s="732"/>
      <c r="L145" s="732"/>
      <c r="M145" s="732"/>
      <c r="N145" s="732"/>
      <c r="O145" s="732">
        <f>(K145*12)+N145</f>
        <v>0</v>
      </c>
      <c r="P145" s="732">
        <f>B145*O145</f>
        <v>0</v>
      </c>
      <c r="Q145" s="824"/>
      <c r="R145" s="732"/>
      <c r="S145" s="732"/>
      <c r="T145" s="732"/>
      <c r="U145" s="732"/>
      <c r="V145" s="732"/>
      <c r="W145" s="732"/>
      <c r="X145" s="732"/>
      <c r="Y145" s="680"/>
      <c r="Z145" s="732"/>
      <c r="AA145" s="732"/>
      <c r="AB145" s="732"/>
      <c r="AC145" s="732"/>
      <c r="AD145" s="732">
        <f>(Z145*12)+AC145</f>
        <v>0</v>
      </c>
      <c r="AE145" s="732">
        <f>Q145*AD145</f>
        <v>0</v>
      </c>
      <c r="AF145" s="732">
        <f t="shared" si="89"/>
        <v>0</v>
      </c>
      <c r="AG145" s="732">
        <f t="shared" si="89"/>
        <v>0</v>
      </c>
      <c r="AH145" s="824"/>
      <c r="AI145" s="732"/>
    </row>
    <row r="146" spans="1:35" hidden="1">
      <c r="A146" s="687" t="s">
        <v>6984</v>
      </c>
      <c r="B146" s="824"/>
      <c r="C146" s="732"/>
      <c r="D146" s="732"/>
      <c r="E146" s="732"/>
      <c r="F146" s="732"/>
      <c r="G146" s="732"/>
      <c r="H146" s="732"/>
      <c r="I146" s="732"/>
      <c r="J146" s="732"/>
      <c r="K146" s="732"/>
      <c r="L146" s="732"/>
      <c r="M146" s="732"/>
      <c r="N146" s="732"/>
      <c r="O146" s="732">
        <f>(K146*12)+N146</f>
        <v>0</v>
      </c>
      <c r="P146" s="732">
        <f>B146*O146</f>
        <v>0</v>
      </c>
      <c r="Q146" s="824"/>
      <c r="R146" s="732"/>
      <c r="S146" s="732"/>
      <c r="T146" s="732"/>
      <c r="U146" s="732"/>
      <c r="V146" s="732"/>
      <c r="W146" s="732"/>
      <c r="X146" s="732"/>
      <c r="Y146" s="732"/>
      <c r="Z146" s="732"/>
      <c r="AA146" s="732"/>
      <c r="AB146" s="732"/>
      <c r="AC146" s="732"/>
      <c r="AD146" s="732">
        <f>(Z146*12)+AC146</f>
        <v>0</v>
      </c>
      <c r="AE146" s="732">
        <f>Q146*AD146</f>
        <v>0</v>
      </c>
      <c r="AF146" s="732">
        <f t="shared" si="89"/>
        <v>0</v>
      </c>
      <c r="AG146" s="732">
        <f t="shared" si="89"/>
        <v>0</v>
      </c>
      <c r="AH146" s="824"/>
      <c r="AI146" s="732"/>
    </row>
    <row r="147" spans="1:35" hidden="1">
      <c r="A147" s="685" t="s">
        <v>6994</v>
      </c>
      <c r="B147" s="689">
        <f t="shared" ref="B147:AI147" si="90">SUM(B148:B152)</f>
        <v>0</v>
      </c>
      <c r="C147" s="689">
        <f t="shared" si="90"/>
        <v>0</v>
      </c>
      <c r="D147" s="689">
        <f t="shared" si="90"/>
        <v>0</v>
      </c>
      <c r="E147" s="689">
        <f t="shared" si="90"/>
        <v>0</v>
      </c>
      <c r="F147" s="689">
        <f t="shared" si="90"/>
        <v>0</v>
      </c>
      <c r="G147" s="689">
        <f t="shared" si="90"/>
        <v>0</v>
      </c>
      <c r="H147" s="689">
        <f t="shared" si="90"/>
        <v>0</v>
      </c>
      <c r="I147" s="689">
        <f t="shared" si="90"/>
        <v>0</v>
      </c>
      <c r="J147" s="689">
        <f t="shared" si="90"/>
        <v>0</v>
      </c>
      <c r="K147" s="689">
        <f t="shared" si="90"/>
        <v>0</v>
      </c>
      <c r="L147" s="689">
        <f t="shared" si="90"/>
        <v>0</v>
      </c>
      <c r="M147" s="689">
        <f t="shared" si="90"/>
        <v>0</v>
      </c>
      <c r="N147" s="689">
        <f t="shared" si="90"/>
        <v>0</v>
      </c>
      <c r="O147" s="689">
        <f t="shared" si="90"/>
        <v>0</v>
      </c>
      <c r="P147" s="689">
        <f t="shared" si="90"/>
        <v>0</v>
      </c>
      <c r="Q147" s="689">
        <f t="shared" si="90"/>
        <v>0</v>
      </c>
      <c r="R147" s="689">
        <f t="shared" si="90"/>
        <v>0</v>
      </c>
      <c r="S147" s="689">
        <f t="shared" si="90"/>
        <v>0</v>
      </c>
      <c r="T147" s="689">
        <f t="shared" si="90"/>
        <v>0</v>
      </c>
      <c r="U147" s="689">
        <f t="shared" si="90"/>
        <v>0</v>
      </c>
      <c r="V147" s="689">
        <f t="shared" si="90"/>
        <v>0</v>
      </c>
      <c r="W147" s="689">
        <f t="shared" si="90"/>
        <v>0</v>
      </c>
      <c r="X147" s="689">
        <f t="shared" si="90"/>
        <v>0</v>
      </c>
      <c r="Y147" s="689">
        <f t="shared" si="90"/>
        <v>0</v>
      </c>
      <c r="Z147" s="689">
        <f t="shared" si="90"/>
        <v>0</v>
      </c>
      <c r="AA147" s="689">
        <f t="shared" si="90"/>
        <v>0</v>
      </c>
      <c r="AB147" s="689">
        <f t="shared" si="90"/>
        <v>0</v>
      </c>
      <c r="AC147" s="689">
        <f t="shared" si="90"/>
        <v>0</v>
      </c>
      <c r="AD147" s="689">
        <f t="shared" si="90"/>
        <v>0</v>
      </c>
      <c r="AE147" s="689">
        <f t="shared" si="90"/>
        <v>0</v>
      </c>
      <c r="AF147" s="690">
        <f t="shared" si="90"/>
        <v>0</v>
      </c>
      <c r="AG147" s="690">
        <f t="shared" si="90"/>
        <v>0</v>
      </c>
      <c r="AH147" s="689">
        <f t="shared" si="90"/>
        <v>0</v>
      </c>
      <c r="AI147" s="689">
        <f t="shared" si="90"/>
        <v>0</v>
      </c>
    </row>
    <row r="148" spans="1:35" hidden="1">
      <c r="A148" s="687" t="s">
        <v>6989</v>
      </c>
      <c r="B148" s="824"/>
      <c r="C148" s="732"/>
      <c r="D148" s="732"/>
      <c r="E148" s="732"/>
      <c r="F148" s="732"/>
      <c r="G148" s="732"/>
      <c r="H148" s="732"/>
      <c r="I148" s="732"/>
      <c r="J148" s="680"/>
      <c r="K148" s="732"/>
      <c r="L148" s="732"/>
      <c r="M148" s="732"/>
      <c r="N148" s="732"/>
      <c r="O148" s="732">
        <f>(K148*12)+N148</f>
        <v>0</v>
      </c>
      <c r="P148" s="732">
        <f>B148*O148</f>
        <v>0</v>
      </c>
      <c r="Q148" s="824"/>
      <c r="R148" s="732"/>
      <c r="S148" s="732"/>
      <c r="T148" s="732"/>
      <c r="U148" s="732"/>
      <c r="V148" s="732"/>
      <c r="W148" s="732"/>
      <c r="X148" s="732"/>
      <c r="Y148" s="680"/>
      <c r="Z148" s="732"/>
      <c r="AA148" s="732"/>
      <c r="AB148" s="732"/>
      <c r="AC148" s="732"/>
      <c r="AD148" s="732">
        <f>(Z148*12)+AC148</f>
        <v>0</v>
      </c>
      <c r="AE148" s="732">
        <f>Q148*AD148</f>
        <v>0</v>
      </c>
      <c r="AF148" s="732">
        <f t="shared" ref="AF148:AG152" si="91">+O148-AD148</f>
        <v>0</v>
      </c>
      <c r="AG148" s="732">
        <f t="shared" si="91"/>
        <v>0</v>
      </c>
      <c r="AH148" s="824"/>
      <c r="AI148" s="732"/>
    </row>
    <row r="149" spans="1:35" hidden="1">
      <c r="A149" s="687" t="s">
        <v>6988</v>
      </c>
      <c r="B149" s="824"/>
      <c r="C149" s="732"/>
      <c r="D149" s="732"/>
      <c r="E149" s="732"/>
      <c r="F149" s="732"/>
      <c r="G149" s="732"/>
      <c r="H149" s="732"/>
      <c r="I149" s="732"/>
      <c r="J149" s="680"/>
      <c r="K149" s="732"/>
      <c r="L149" s="732"/>
      <c r="M149" s="732"/>
      <c r="N149" s="732"/>
      <c r="O149" s="732">
        <f>(K149*12)+N149</f>
        <v>0</v>
      </c>
      <c r="P149" s="732">
        <f>B149*O149</f>
        <v>0</v>
      </c>
      <c r="Q149" s="824"/>
      <c r="R149" s="732"/>
      <c r="S149" s="732"/>
      <c r="T149" s="732"/>
      <c r="U149" s="732"/>
      <c r="V149" s="732"/>
      <c r="W149" s="732"/>
      <c r="X149" s="732"/>
      <c r="Y149" s="680"/>
      <c r="Z149" s="732"/>
      <c r="AA149" s="732"/>
      <c r="AB149" s="732"/>
      <c r="AC149" s="732"/>
      <c r="AD149" s="732">
        <f>(Z149*12)+AC149</f>
        <v>0</v>
      </c>
      <c r="AE149" s="732">
        <f>Q149*AD149</f>
        <v>0</v>
      </c>
      <c r="AF149" s="732">
        <f t="shared" si="91"/>
        <v>0</v>
      </c>
      <c r="AG149" s="732">
        <f t="shared" si="91"/>
        <v>0</v>
      </c>
      <c r="AH149" s="824"/>
      <c r="AI149" s="732"/>
    </row>
    <row r="150" spans="1:35" hidden="1">
      <c r="A150" s="687" t="s">
        <v>6986</v>
      </c>
      <c r="B150" s="824"/>
      <c r="C150" s="732"/>
      <c r="D150" s="732"/>
      <c r="E150" s="732"/>
      <c r="F150" s="732"/>
      <c r="G150" s="732"/>
      <c r="H150" s="732"/>
      <c r="I150" s="732"/>
      <c r="J150" s="680"/>
      <c r="K150" s="732"/>
      <c r="L150" s="732"/>
      <c r="M150" s="732"/>
      <c r="N150" s="732"/>
      <c r="O150" s="732">
        <f>(K150*12)+N150</f>
        <v>0</v>
      </c>
      <c r="P150" s="732">
        <f>B150*O150</f>
        <v>0</v>
      </c>
      <c r="Q150" s="824"/>
      <c r="R150" s="732"/>
      <c r="S150" s="732"/>
      <c r="T150" s="732"/>
      <c r="U150" s="732"/>
      <c r="V150" s="732"/>
      <c r="W150" s="732"/>
      <c r="X150" s="732"/>
      <c r="Y150" s="680"/>
      <c r="Z150" s="732"/>
      <c r="AA150" s="732"/>
      <c r="AB150" s="732"/>
      <c r="AC150" s="732"/>
      <c r="AD150" s="732">
        <f>(Z150*12)+AC150</f>
        <v>0</v>
      </c>
      <c r="AE150" s="732">
        <f>Q150*AD150</f>
        <v>0</v>
      </c>
      <c r="AF150" s="732">
        <f t="shared" si="91"/>
        <v>0</v>
      </c>
      <c r="AG150" s="732">
        <f t="shared" si="91"/>
        <v>0</v>
      </c>
      <c r="AH150" s="824"/>
      <c r="AI150" s="732"/>
    </row>
    <row r="151" spans="1:35" hidden="1">
      <c r="A151" s="687" t="s">
        <v>6985</v>
      </c>
      <c r="B151" s="824"/>
      <c r="C151" s="732"/>
      <c r="D151" s="732"/>
      <c r="E151" s="732"/>
      <c r="F151" s="732"/>
      <c r="G151" s="732"/>
      <c r="H151" s="732"/>
      <c r="I151" s="732"/>
      <c r="J151" s="680"/>
      <c r="K151" s="732"/>
      <c r="L151" s="732"/>
      <c r="M151" s="732"/>
      <c r="N151" s="732"/>
      <c r="O151" s="732">
        <f>(K151*12)+N151</f>
        <v>0</v>
      </c>
      <c r="P151" s="732">
        <f>B151*O151</f>
        <v>0</v>
      </c>
      <c r="Q151" s="824"/>
      <c r="R151" s="732"/>
      <c r="S151" s="732"/>
      <c r="T151" s="732"/>
      <c r="U151" s="732"/>
      <c r="V151" s="732"/>
      <c r="W151" s="732"/>
      <c r="X151" s="732"/>
      <c r="Y151" s="680"/>
      <c r="Z151" s="732"/>
      <c r="AA151" s="732"/>
      <c r="AB151" s="732"/>
      <c r="AC151" s="732"/>
      <c r="AD151" s="732">
        <f>(Z151*12)+AC151</f>
        <v>0</v>
      </c>
      <c r="AE151" s="732">
        <f>Q151*AD151</f>
        <v>0</v>
      </c>
      <c r="AF151" s="732">
        <f t="shared" si="91"/>
        <v>0</v>
      </c>
      <c r="AG151" s="732">
        <f t="shared" si="91"/>
        <v>0</v>
      </c>
      <c r="AH151" s="824"/>
      <c r="AI151" s="732"/>
    </row>
    <row r="152" spans="1:35" hidden="1">
      <c r="A152" s="687" t="s">
        <v>6984</v>
      </c>
      <c r="B152" s="824"/>
      <c r="C152" s="732"/>
      <c r="D152" s="732"/>
      <c r="E152" s="732"/>
      <c r="F152" s="732"/>
      <c r="G152" s="732"/>
      <c r="H152" s="732"/>
      <c r="I152" s="732"/>
      <c r="J152" s="680"/>
      <c r="K152" s="732"/>
      <c r="L152" s="732"/>
      <c r="M152" s="732"/>
      <c r="N152" s="732"/>
      <c r="O152" s="732">
        <f>(K152*12)+N152</f>
        <v>0</v>
      </c>
      <c r="P152" s="732">
        <f>B152*O152</f>
        <v>0</v>
      </c>
      <c r="Q152" s="824"/>
      <c r="R152" s="732"/>
      <c r="S152" s="732"/>
      <c r="T152" s="732"/>
      <c r="U152" s="732"/>
      <c r="V152" s="732"/>
      <c r="W152" s="732"/>
      <c r="X152" s="732"/>
      <c r="Y152" s="680"/>
      <c r="Z152" s="732"/>
      <c r="AA152" s="732"/>
      <c r="AB152" s="732"/>
      <c r="AC152" s="732"/>
      <c r="AD152" s="732">
        <f>(Z152*12)+AC152</f>
        <v>0</v>
      </c>
      <c r="AE152" s="732">
        <f>Q152*AD152</f>
        <v>0</v>
      </c>
      <c r="AF152" s="732">
        <f t="shared" si="91"/>
        <v>0</v>
      </c>
      <c r="AG152" s="732">
        <f t="shared" si="91"/>
        <v>0</v>
      </c>
      <c r="AH152" s="824"/>
      <c r="AI152" s="732"/>
    </row>
    <row r="153" spans="1:35" hidden="1">
      <c r="A153" s="685" t="s">
        <v>6993</v>
      </c>
      <c r="B153" s="689">
        <f t="shared" ref="B153:AI153" si="92">SUM(B154:B158)</f>
        <v>0</v>
      </c>
      <c r="C153" s="689">
        <f t="shared" si="92"/>
        <v>0</v>
      </c>
      <c r="D153" s="689">
        <f t="shared" si="92"/>
        <v>0</v>
      </c>
      <c r="E153" s="689">
        <f t="shared" si="92"/>
        <v>0</v>
      </c>
      <c r="F153" s="689">
        <f t="shared" si="92"/>
        <v>0</v>
      </c>
      <c r="G153" s="689">
        <f t="shared" si="92"/>
        <v>0</v>
      </c>
      <c r="H153" s="689">
        <f t="shared" si="92"/>
        <v>0</v>
      </c>
      <c r="I153" s="689">
        <f t="shared" si="92"/>
        <v>0</v>
      </c>
      <c r="J153" s="689">
        <f t="shared" si="92"/>
        <v>0</v>
      </c>
      <c r="K153" s="689">
        <f t="shared" si="92"/>
        <v>0</v>
      </c>
      <c r="L153" s="689">
        <f t="shared" si="92"/>
        <v>0</v>
      </c>
      <c r="M153" s="689">
        <f t="shared" si="92"/>
        <v>0</v>
      </c>
      <c r="N153" s="689">
        <f t="shared" si="92"/>
        <v>0</v>
      </c>
      <c r="O153" s="689">
        <f t="shared" si="92"/>
        <v>0</v>
      </c>
      <c r="P153" s="689">
        <f t="shared" si="92"/>
        <v>0</v>
      </c>
      <c r="Q153" s="689">
        <f t="shared" si="92"/>
        <v>0</v>
      </c>
      <c r="R153" s="689">
        <f t="shared" si="92"/>
        <v>0</v>
      </c>
      <c r="S153" s="689">
        <f t="shared" si="92"/>
        <v>0</v>
      </c>
      <c r="T153" s="689">
        <f t="shared" si="92"/>
        <v>0</v>
      </c>
      <c r="U153" s="689">
        <f t="shared" si="92"/>
        <v>0</v>
      </c>
      <c r="V153" s="689">
        <f t="shared" si="92"/>
        <v>0</v>
      </c>
      <c r="W153" s="689">
        <f t="shared" si="92"/>
        <v>0</v>
      </c>
      <c r="X153" s="689">
        <f t="shared" si="92"/>
        <v>0</v>
      </c>
      <c r="Y153" s="689">
        <f t="shared" si="92"/>
        <v>0</v>
      </c>
      <c r="Z153" s="689">
        <f t="shared" si="92"/>
        <v>0</v>
      </c>
      <c r="AA153" s="689">
        <f t="shared" si="92"/>
        <v>0</v>
      </c>
      <c r="AB153" s="689">
        <f t="shared" si="92"/>
        <v>0</v>
      </c>
      <c r="AC153" s="689">
        <f t="shared" si="92"/>
        <v>0</v>
      </c>
      <c r="AD153" s="689">
        <f t="shared" si="92"/>
        <v>0</v>
      </c>
      <c r="AE153" s="689">
        <f t="shared" si="92"/>
        <v>0</v>
      </c>
      <c r="AF153" s="690">
        <f t="shared" si="92"/>
        <v>0</v>
      </c>
      <c r="AG153" s="690">
        <f t="shared" si="92"/>
        <v>0</v>
      </c>
      <c r="AH153" s="689">
        <f t="shared" si="92"/>
        <v>0</v>
      </c>
      <c r="AI153" s="689">
        <f t="shared" si="92"/>
        <v>0</v>
      </c>
    </row>
    <row r="154" spans="1:35" hidden="1">
      <c r="A154" s="692" t="s">
        <v>6989</v>
      </c>
      <c r="B154" s="822"/>
      <c r="C154" s="818"/>
      <c r="D154" s="818"/>
      <c r="E154" s="818"/>
      <c r="F154" s="818"/>
      <c r="G154" s="818"/>
      <c r="H154" s="818"/>
      <c r="I154" s="818"/>
      <c r="J154" s="680"/>
      <c r="K154" s="818"/>
      <c r="L154" s="818"/>
      <c r="M154" s="818"/>
      <c r="N154" s="818"/>
      <c r="O154" s="818">
        <f>(K154*12)+N154</f>
        <v>0</v>
      </c>
      <c r="P154" s="818">
        <f>B154*O154</f>
        <v>0</v>
      </c>
      <c r="Q154" s="822"/>
      <c r="R154" s="818"/>
      <c r="S154" s="818"/>
      <c r="T154" s="818"/>
      <c r="U154" s="818"/>
      <c r="V154" s="818"/>
      <c r="W154" s="818"/>
      <c r="X154" s="818"/>
      <c r="Y154" s="680"/>
      <c r="Z154" s="818"/>
      <c r="AA154" s="818"/>
      <c r="AB154" s="818"/>
      <c r="AC154" s="818"/>
      <c r="AD154" s="818">
        <f>(Z154*12)+AC154</f>
        <v>0</v>
      </c>
      <c r="AE154" s="818">
        <f>Q154*AD154</f>
        <v>0</v>
      </c>
      <c r="AF154" s="732">
        <f t="shared" ref="AF154:AG158" si="93">+O154-AD154</f>
        <v>0</v>
      </c>
      <c r="AG154" s="732">
        <f t="shared" si="93"/>
        <v>0</v>
      </c>
      <c r="AH154" s="822"/>
      <c r="AI154" s="818"/>
    </row>
    <row r="155" spans="1:35" hidden="1">
      <c r="A155" s="692" t="s">
        <v>6988</v>
      </c>
      <c r="B155" s="822"/>
      <c r="C155" s="818"/>
      <c r="D155" s="818"/>
      <c r="E155" s="818"/>
      <c r="F155" s="818"/>
      <c r="G155" s="818"/>
      <c r="H155" s="818"/>
      <c r="I155" s="818"/>
      <c r="J155" s="680"/>
      <c r="K155" s="818"/>
      <c r="L155" s="818"/>
      <c r="M155" s="818"/>
      <c r="N155" s="818"/>
      <c r="O155" s="818">
        <f>(K155*12)+N155</f>
        <v>0</v>
      </c>
      <c r="P155" s="818">
        <f>B155*O155</f>
        <v>0</v>
      </c>
      <c r="Q155" s="822"/>
      <c r="R155" s="818"/>
      <c r="S155" s="818"/>
      <c r="T155" s="818"/>
      <c r="U155" s="818"/>
      <c r="V155" s="818"/>
      <c r="W155" s="818"/>
      <c r="X155" s="818"/>
      <c r="Y155" s="680"/>
      <c r="Z155" s="818"/>
      <c r="AA155" s="818"/>
      <c r="AB155" s="818"/>
      <c r="AC155" s="818"/>
      <c r="AD155" s="818">
        <f>(Z155*12)+AC155</f>
        <v>0</v>
      </c>
      <c r="AE155" s="818">
        <f>Q155*AD155</f>
        <v>0</v>
      </c>
      <c r="AF155" s="732">
        <f t="shared" si="93"/>
        <v>0</v>
      </c>
      <c r="AG155" s="732">
        <f t="shared" si="93"/>
        <v>0</v>
      </c>
      <c r="AH155" s="822"/>
      <c r="AI155" s="818"/>
    </row>
    <row r="156" spans="1:35" hidden="1">
      <c r="A156" s="692" t="s">
        <v>6986</v>
      </c>
      <c r="B156" s="822"/>
      <c r="C156" s="818"/>
      <c r="D156" s="818"/>
      <c r="E156" s="818"/>
      <c r="F156" s="818"/>
      <c r="G156" s="818"/>
      <c r="H156" s="818"/>
      <c r="I156" s="818"/>
      <c r="J156" s="680"/>
      <c r="K156" s="818"/>
      <c r="L156" s="818"/>
      <c r="M156" s="818"/>
      <c r="N156" s="818"/>
      <c r="O156" s="818">
        <f>(K156*12)+N156</f>
        <v>0</v>
      </c>
      <c r="P156" s="818">
        <f>B156*O156</f>
        <v>0</v>
      </c>
      <c r="Q156" s="822"/>
      <c r="R156" s="818"/>
      <c r="S156" s="818"/>
      <c r="T156" s="818"/>
      <c r="U156" s="818"/>
      <c r="V156" s="818"/>
      <c r="W156" s="818"/>
      <c r="X156" s="818"/>
      <c r="Y156" s="680"/>
      <c r="Z156" s="818"/>
      <c r="AA156" s="818"/>
      <c r="AB156" s="818"/>
      <c r="AC156" s="818"/>
      <c r="AD156" s="818">
        <f>(Z156*12)+AC156</f>
        <v>0</v>
      </c>
      <c r="AE156" s="818">
        <f>Q156*AD156</f>
        <v>0</v>
      </c>
      <c r="AF156" s="732">
        <f t="shared" si="93"/>
        <v>0</v>
      </c>
      <c r="AG156" s="732">
        <f t="shared" si="93"/>
        <v>0</v>
      </c>
      <c r="AH156" s="822"/>
      <c r="AI156" s="818"/>
    </row>
    <row r="157" spans="1:35" hidden="1">
      <c r="A157" s="692" t="s">
        <v>6985</v>
      </c>
      <c r="B157" s="822"/>
      <c r="C157" s="818"/>
      <c r="D157" s="818"/>
      <c r="E157" s="818"/>
      <c r="F157" s="818"/>
      <c r="G157" s="818"/>
      <c r="H157" s="818"/>
      <c r="I157" s="818"/>
      <c r="J157" s="680"/>
      <c r="K157" s="818"/>
      <c r="L157" s="818"/>
      <c r="M157" s="818"/>
      <c r="N157" s="818"/>
      <c r="O157" s="818">
        <f>(K157*12)+N157</f>
        <v>0</v>
      </c>
      <c r="P157" s="818">
        <f>B157*O157</f>
        <v>0</v>
      </c>
      <c r="Q157" s="822"/>
      <c r="R157" s="818"/>
      <c r="S157" s="818"/>
      <c r="T157" s="818"/>
      <c r="U157" s="818"/>
      <c r="V157" s="818"/>
      <c r="W157" s="818"/>
      <c r="X157" s="818"/>
      <c r="Y157" s="680"/>
      <c r="Z157" s="818"/>
      <c r="AA157" s="818"/>
      <c r="AB157" s="818"/>
      <c r="AC157" s="818"/>
      <c r="AD157" s="818">
        <f>(Z157*12)+AC157</f>
        <v>0</v>
      </c>
      <c r="AE157" s="818">
        <f>Q157*AD157</f>
        <v>0</v>
      </c>
      <c r="AF157" s="732">
        <f t="shared" si="93"/>
        <v>0</v>
      </c>
      <c r="AG157" s="732">
        <f t="shared" si="93"/>
        <v>0</v>
      </c>
      <c r="AH157" s="822"/>
      <c r="AI157" s="818"/>
    </row>
    <row r="158" spans="1:35" hidden="1">
      <c r="A158" s="692" t="s">
        <v>6984</v>
      </c>
      <c r="B158" s="822"/>
      <c r="C158" s="818"/>
      <c r="D158" s="818"/>
      <c r="E158" s="818"/>
      <c r="F158" s="818"/>
      <c r="G158" s="818"/>
      <c r="H158" s="818"/>
      <c r="I158" s="818"/>
      <c r="J158" s="680"/>
      <c r="K158" s="818"/>
      <c r="L158" s="818"/>
      <c r="M158" s="818"/>
      <c r="N158" s="818"/>
      <c r="O158" s="818">
        <f>(K158*12)+N158</f>
        <v>0</v>
      </c>
      <c r="P158" s="818">
        <f>B158*O158</f>
        <v>0</v>
      </c>
      <c r="Q158" s="822"/>
      <c r="R158" s="818"/>
      <c r="S158" s="818"/>
      <c r="T158" s="818"/>
      <c r="U158" s="818"/>
      <c r="V158" s="818"/>
      <c r="W158" s="818"/>
      <c r="X158" s="818"/>
      <c r="Y158" s="680"/>
      <c r="Z158" s="818"/>
      <c r="AA158" s="818"/>
      <c r="AB158" s="818"/>
      <c r="AC158" s="818"/>
      <c r="AD158" s="818">
        <f>(Z158*12)+AC158</f>
        <v>0</v>
      </c>
      <c r="AE158" s="818">
        <f>Q158*AD158</f>
        <v>0</v>
      </c>
      <c r="AF158" s="732">
        <f t="shared" si="93"/>
        <v>0</v>
      </c>
      <c r="AG158" s="732">
        <f t="shared" si="93"/>
        <v>0</v>
      </c>
      <c r="AH158" s="822"/>
      <c r="AI158" s="818"/>
    </row>
    <row r="159" spans="1:35" ht="22.5" hidden="1">
      <c r="A159" s="685" t="s">
        <v>6992</v>
      </c>
      <c r="B159" s="689">
        <f t="shared" ref="B159:AI159" si="94">SUM(B160:B164)</f>
        <v>0</v>
      </c>
      <c r="C159" s="689">
        <f t="shared" si="94"/>
        <v>0</v>
      </c>
      <c r="D159" s="689">
        <f t="shared" si="94"/>
        <v>0</v>
      </c>
      <c r="E159" s="689">
        <f t="shared" si="94"/>
        <v>0</v>
      </c>
      <c r="F159" s="689">
        <f t="shared" si="94"/>
        <v>0</v>
      </c>
      <c r="G159" s="689">
        <f t="shared" si="94"/>
        <v>0</v>
      </c>
      <c r="H159" s="689">
        <f t="shared" si="94"/>
        <v>0</v>
      </c>
      <c r="I159" s="689">
        <f t="shared" si="94"/>
        <v>0</v>
      </c>
      <c r="J159" s="689">
        <f t="shared" si="94"/>
        <v>0</v>
      </c>
      <c r="K159" s="689">
        <f t="shared" si="94"/>
        <v>0</v>
      </c>
      <c r="L159" s="689">
        <f t="shared" si="94"/>
        <v>0</v>
      </c>
      <c r="M159" s="689">
        <f t="shared" si="94"/>
        <v>0</v>
      </c>
      <c r="N159" s="689">
        <f t="shared" si="94"/>
        <v>0</v>
      </c>
      <c r="O159" s="689">
        <f t="shared" si="94"/>
        <v>0</v>
      </c>
      <c r="P159" s="689">
        <f t="shared" si="94"/>
        <v>0</v>
      </c>
      <c r="Q159" s="689">
        <f t="shared" si="94"/>
        <v>0</v>
      </c>
      <c r="R159" s="689">
        <f t="shared" si="94"/>
        <v>0</v>
      </c>
      <c r="S159" s="689">
        <f t="shared" si="94"/>
        <v>0</v>
      </c>
      <c r="T159" s="689">
        <f t="shared" si="94"/>
        <v>0</v>
      </c>
      <c r="U159" s="689">
        <f t="shared" si="94"/>
        <v>0</v>
      </c>
      <c r="V159" s="689">
        <f t="shared" si="94"/>
        <v>0</v>
      </c>
      <c r="W159" s="689">
        <f t="shared" si="94"/>
        <v>0</v>
      </c>
      <c r="X159" s="689">
        <f t="shared" si="94"/>
        <v>0</v>
      </c>
      <c r="Y159" s="689">
        <f t="shared" si="94"/>
        <v>0</v>
      </c>
      <c r="Z159" s="689">
        <f t="shared" si="94"/>
        <v>0</v>
      </c>
      <c r="AA159" s="689">
        <f t="shared" si="94"/>
        <v>0</v>
      </c>
      <c r="AB159" s="689">
        <f t="shared" si="94"/>
        <v>0</v>
      </c>
      <c r="AC159" s="689">
        <f t="shared" si="94"/>
        <v>0</v>
      </c>
      <c r="AD159" s="689">
        <f t="shared" si="94"/>
        <v>0</v>
      </c>
      <c r="AE159" s="689">
        <f t="shared" si="94"/>
        <v>0</v>
      </c>
      <c r="AF159" s="689">
        <f t="shared" si="94"/>
        <v>0</v>
      </c>
      <c r="AG159" s="689">
        <f t="shared" si="94"/>
        <v>0</v>
      </c>
      <c r="AH159" s="689">
        <f t="shared" si="94"/>
        <v>0</v>
      </c>
      <c r="AI159" s="689">
        <f t="shared" si="94"/>
        <v>0</v>
      </c>
    </row>
    <row r="160" spans="1:35" hidden="1">
      <c r="A160" s="692" t="s">
        <v>6989</v>
      </c>
      <c r="B160" s="822"/>
      <c r="C160" s="818"/>
      <c r="D160" s="818"/>
      <c r="E160" s="818"/>
      <c r="F160" s="818"/>
      <c r="G160" s="818"/>
      <c r="H160" s="818"/>
      <c r="I160" s="818"/>
      <c r="J160" s="680"/>
      <c r="K160" s="818"/>
      <c r="L160" s="818"/>
      <c r="M160" s="818"/>
      <c r="N160" s="818"/>
      <c r="O160" s="818">
        <f>(K160*12)+N160</f>
        <v>0</v>
      </c>
      <c r="P160" s="818">
        <f>B160*O160</f>
        <v>0</v>
      </c>
      <c r="Q160" s="822"/>
      <c r="R160" s="818"/>
      <c r="S160" s="818"/>
      <c r="T160" s="818"/>
      <c r="U160" s="818"/>
      <c r="V160" s="818"/>
      <c r="W160" s="818"/>
      <c r="X160" s="818"/>
      <c r="Y160" s="680"/>
      <c r="Z160" s="818"/>
      <c r="AA160" s="818"/>
      <c r="AB160" s="818"/>
      <c r="AC160" s="818"/>
      <c r="AD160" s="818">
        <f>(Z160*12)+AC160</f>
        <v>0</v>
      </c>
      <c r="AE160" s="818">
        <f>Q160*AD160</f>
        <v>0</v>
      </c>
      <c r="AF160" s="732">
        <f t="shared" ref="AF160:AG164" si="95">+O160-AD160</f>
        <v>0</v>
      </c>
      <c r="AG160" s="732">
        <f t="shared" si="95"/>
        <v>0</v>
      </c>
      <c r="AH160" s="822"/>
      <c r="AI160" s="818"/>
    </row>
    <row r="161" spans="1:35" hidden="1">
      <c r="A161" s="692" t="s">
        <v>6988</v>
      </c>
      <c r="B161" s="822"/>
      <c r="C161" s="818"/>
      <c r="D161" s="818"/>
      <c r="E161" s="818"/>
      <c r="F161" s="818"/>
      <c r="G161" s="818"/>
      <c r="H161" s="818"/>
      <c r="I161" s="818"/>
      <c r="J161" s="680"/>
      <c r="K161" s="818"/>
      <c r="L161" s="818"/>
      <c r="M161" s="818"/>
      <c r="N161" s="818"/>
      <c r="O161" s="818">
        <f>(K161*12)+N161</f>
        <v>0</v>
      </c>
      <c r="P161" s="818">
        <f>B161*O161</f>
        <v>0</v>
      </c>
      <c r="Q161" s="822"/>
      <c r="R161" s="818"/>
      <c r="S161" s="818"/>
      <c r="T161" s="818"/>
      <c r="U161" s="818"/>
      <c r="V161" s="818"/>
      <c r="W161" s="818"/>
      <c r="X161" s="818"/>
      <c r="Y161" s="680"/>
      <c r="Z161" s="818"/>
      <c r="AA161" s="818"/>
      <c r="AB161" s="818"/>
      <c r="AC161" s="818"/>
      <c r="AD161" s="818">
        <f>(Z161*12)+AC161</f>
        <v>0</v>
      </c>
      <c r="AE161" s="818">
        <f>Q161*AD161</f>
        <v>0</v>
      </c>
      <c r="AF161" s="732">
        <f t="shared" si="95"/>
        <v>0</v>
      </c>
      <c r="AG161" s="732">
        <f t="shared" si="95"/>
        <v>0</v>
      </c>
      <c r="AH161" s="822"/>
      <c r="AI161" s="818"/>
    </row>
    <row r="162" spans="1:35" hidden="1">
      <c r="A162" s="692" t="s">
        <v>6986</v>
      </c>
      <c r="B162" s="822"/>
      <c r="C162" s="818"/>
      <c r="D162" s="818"/>
      <c r="E162" s="818"/>
      <c r="F162" s="818"/>
      <c r="G162" s="818"/>
      <c r="H162" s="818"/>
      <c r="I162" s="818"/>
      <c r="J162" s="680"/>
      <c r="K162" s="818"/>
      <c r="L162" s="818"/>
      <c r="M162" s="818"/>
      <c r="N162" s="818"/>
      <c r="O162" s="818">
        <f>(K162*12)+N162</f>
        <v>0</v>
      </c>
      <c r="P162" s="818">
        <f>B162*O162</f>
        <v>0</v>
      </c>
      <c r="Q162" s="822"/>
      <c r="R162" s="818"/>
      <c r="S162" s="818"/>
      <c r="T162" s="818"/>
      <c r="U162" s="818"/>
      <c r="V162" s="818"/>
      <c r="W162" s="818"/>
      <c r="X162" s="818"/>
      <c r="Y162" s="680"/>
      <c r="Z162" s="818"/>
      <c r="AA162" s="818"/>
      <c r="AB162" s="818"/>
      <c r="AC162" s="818"/>
      <c r="AD162" s="818">
        <f>(Z162*12)+AC162</f>
        <v>0</v>
      </c>
      <c r="AE162" s="818">
        <f>Q162*AD162</f>
        <v>0</v>
      </c>
      <c r="AF162" s="732">
        <f t="shared" si="95"/>
        <v>0</v>
      </c>
      <c r="AG162" s="732">
        <f t="shared" si="95"/>
        <v>0</v>
      </c>
      <c r="AH162" s="822"/>
      <c r="AI162" s="818"/>
    </row>
    <row r="163" spans="1:35" hidden="1">
      <c r="A163" s="692" t="s">
        <v>6985</v>
      </c>
      <c r="B163" s="822"/>
      <c r="C163" s="818"/>
      <c r="D163" s="818"/>
      <c r="E163" s="818"/>
      <c r="F163" s="818"/>
      <c r="G163" s="818"/>
      <c r="H163" s="818"/>
      <c r="I163" s="818"/>
      <c r="J163" s="680"/>
      <c r="K163" s="818"/>
      <c r="L163" s="818"/>
      <c r="M163" s="818"/>
      <c r="N163" s="818"/>
      <c r="O163" s="818">
        <f>(K163*12)+N163</f>
        <v>0</v>
      </c>
      <c r="P163" s="818">
        <f>B163*O163</f>
        <v>0</v>
      </c>
      <c r="Q163" s="822"/>
      <c r="R163" s="818"/>
      <c r="S163" s="818"/>
      <c r="T163" s="818"/>
      <c r="U163" s="818"/>
      <c r="V163" s="818"/>
      <c r="W163" s="818"/>
      <c r="X163" s="818"/>
      <c r="Y163" s="680"/>
      <c r="Z163" s="818"/>
      <c r="AA163" s="818"/>
      <c r="AB163" s="818"/>
      <c r="AC163" s="818"/>
      <c r="AD163" s="818">
        <f>(Z163*12)+AC163</f>
        <v>0</v>
      </c>
      <c r="AE163" s="818">
        <f>Q163*AD163</f>
        <v>0</v>
      </c>
      <c r="AF163" s="732">
        <f t="shared" si="95"/>
        <v>0</v>
      </c>
      <c r="AG163" s="732">
        <f t="shared" si="95"/>
        <v>0</v>
      </c>
      <c r="AH163" s="822"/>
      <c r="AI163" s="818"/>
    </row>
    <row r="164" spans="1:35" hidden="1">
      <c r="A164" s="692" t="s">
        <v>6984</v>
      </c>
      <c r="B164" s="822"/>
      <c r="C164" s="818"/>
      <c r="D164" s="818"/>
      <c r="E164" s="818"/>
      <c r="F164" s="818"/>
      <c r="G164" s="818"/>
      <c r="H164" s="818"/>
      <c r="I164" s="818"/>
      <c r="J164" s="680"/>
      <c r="K164" s="818"/>
      <c r="L164" s="818"/>
      <c r="M164" s="818"/>
      <c r="N164" s="818"/>
      <c r="O164" s="818">
        <f>(K164*12)+N164</f>
        <v>0</v>
      </c>
      <c r="P164" s="818">
        <f>B164*O164</f>
        <v>0</v>
      </c>
      <c r="Q164" s="822"/>
      <c r="R164" s="818"/>
      <c r="S164" s="818"/>
      <c r="T164" s="818"/>
      <c r="U164" s="818"/>
      <c r="V164" s="818"/>
      <c r="W164" s="818"/>
      <c r="X164" s="818"/>
      <c r="Y164" s="680"/>
      <c r="Z164" s="818"/>
      <c r="AA164" s="818"/>
      <c r="AB164" s="818"/>
      <c r="AC164" s="818"/>
      <c r="AD164" s="818">
        <f>(Z164*12)+AC164</f>
        <v>0</v>
      </c>
      <c r="AE164" s="818">
        <f>Q164*AD164</f>
        <v>0</v>
      </c>
      <c r="AF164" s="732">
        <f t="shared" si="95"/>
        <v>0</v>
      </c>
      <c r="AG164" s="732">
        <f t="shared" si="95"/>
        <v>0</v>
      </c>
      <c r="AH164" s="822"/>
      <c r="AI164" s="818"/>
    </row>
    <row r="165" spans="1:35" ht="22.5" hidden="1">
      <c r="A165" s="685" t="s">
        <v>6991</v>
      </c>
      <c r="B165" s="689">
        <f t="shared" ref="B165:AI165" si="96">SUM(B166:B170)</f>
        <v>0</v>
      </c>
      <c r="C165" s="689">
        <f t="shared" si="96"/>
        <v>0</v>
      </c>
      <c r="D165" s="689">
        <f t="shared" si="96"/>
        <v>0</v>
      </c>
      <c r="E165" s="689">
        <f t="shared" si="96"/>
        <v>0</v>
      </c>
      <c r="F165" s="689">
        <f t="shared" si="96"/>
        <v>0</v>
      </c>
      <c r="G165" s="689">
        <f t="shared" si="96"/>
        <v>0</v>
      </c>
      <c r="H165" s="689">
        <f t="shared" si="96"/>
        <v>0</v>
      </c>
      <c r="I165" s="689">
        <f t="shared" si="96"/>
        <v>0</v>
      </c>
      <c r="J165" s="689">
        <f t="shared" si="96"/>
        <v>0</v>
      </c>
      <c r="K165" s="689">
        <f t="shared" si="96"/>
        <v>0</v>
      </c>
      <c r="L165" s="689">
        <f t="shared" si="96"/>
        <v>0</v>
      </c>
      <c r="M165" s="689">
        <f t="shared" si="96"/>
        <v>0</v>
      </c>
      <c r="N165" s="689">
        <f t="shared" si="96"/>
        <v>0</v>
      </c>
      <c r="O165" s="689">
        <f t="shared" si="96"/>
        <v>0</v>
      </c>
      <c r="P165" s="689">
        <f t="shared" si="96"/>
        <v>0</v>
      </c>
      <c r="Q165" s="689">
        <f t="shared" si="96"/>
        <v>0</v>
      </c>
      <c r="R165" s="689">
        <f t="shared" si="96"/>
        <v>0</v>
      </c>
      <c r="S165" s="689">
        <f t="shared" si="96"/>
        <v>0</v>
      </c>
      <c r="T165" s="689">
        <f t="shared" si="96"/>
        <v>0</v>
      </c>
      <c r="U165" s="689">
        <f t="shared" si="96"/>
        <v>0</v>
      </c>
      <c r="V165" s="689">
        <f t="shared" si="96"/>
        <v>0</v>
      </c>
      <c r="W165" s="689">
        <f t="shared" si="96"/>
        <v>0</v>
      </c>
      <c r="X165" s="689">
        <f t="shared" si="96"/>
        <v>0</v>
      </c>
      <c r="Y165" s="689">
        <f t="shared" si="96"/>
        <v>0</v>
      </c>
      <c r="Z165" s="689">
        <f t="shared" si="96"/>
        <v>0</v>
      </c>
      <c r="AA165" s="689">
        <f t="shared" si="96"/>
        <v>0</v>
      </c>
      <c r="AB165" s="689">
        <f t="shared" si="96"/>
        <v>0</v>
      </c>
      <c r="AC165" s="689">
        <f t="shared" si="96"/>
        <v>0</v>
      </c>
      <c r="AD165" s="689">
        <f t="shared" si="96"/>
        <v>0</v>
      </c>
      <c r="AE165" s="689">
        <f t="shared" si="96"/>
        <v>0</v>
      </c>
      <c r="AF165" s="690">
        <f t="shared" si="96"/>
        <v>0</v>
      </c>
      <c r="AG165" s="690">
        <f t="shared" si="96"/>
        <v>0</v>
      </c>
      <c r="AH165" s="689">
        <f t="shared" si="96"/>
        <v>0</v>
      </c>
      <c r="AI165" s="689">
        <f t="shared" si="96"/>
        <v>0</v>
      </c>
    </row>
    <row r="166" spans="1:35" hidden="1">
      <c r="A166" s="692" t="s">
        <v>6989</v>
      </c>
      <c r="B166" s="822"/>
      <c r="C166" s="818"/>
      <c r="D166" s="818"/>
      <c r="E166" s="818"/>
      <c r="F166" s="818"/>
      <c r="G166" s="818"/>
      <c r="H166" s="818"/>
      <c r="I166" s="818"/>
      <c r="J166" s="680"/>
      <c r="K166" s="818"/>
      <c r="L166" s="818"/>
      <c r="M166" s="818"/>
      <c r="N166" s="818"/>
      <c r="O166" s="818">
        <f>(K166*12)+N166</f>
        <v>0</v>
      </c>
      <c r="P166" s="818">
        <f>B166*O166</f>
        <v>0</v>
      </c>
      <c r="Q166" s="822"/>
      <c r="R166" s="818"/>
      <c r="S166" s="818"/>
      <c r="T166" s="818"/>
      <c r="U166" s="818"/>
      <c r="V166" s="818"/>
      <c r="W166" s="818"/>
      <c r="X166" s="818"/>
      <c r="Y166" s="680"/>
      <c r="Z166" s="818"/>
      <c r="AA166" s="818"/>
      <c r="AB166" s="818"/>
      <c r="AC166" s="818"/>
      <c r="AD166" s="818">
        <f>(Z166*12)+AC166</f>
        <v>0</v>
      </c>
      <c r="AE166" s="818">
        <f>Q166*AD166</f>
        <v>0</v>
      </c>
      <c r="AF166" s="732">
        <f t="shared" ref="AF166:AG170" si="97">+O166-AD166</f>
        <v>0</v>
      </c>
      <c r="AG166" s="732">
        <f t="shared" si="97"/>
        <v>0</v>
      </c>
      <c r="AH166" s="822"/>
      <c r="AI166" s="818"/>
    </row>
    <row r="167" spans="1:35" hidden="1">
      <c r="A167" s="692" t="s">
        <v>6988</v>
      </c>
      <c r="B167" s="822"/>
      <c r="C167" s="818"/>
      <c r="D167" s="818"/>
      <c r="E167" s="818"/>
      <c r="F167" s="818"/>
      <c r="G167" s="818"/>
      <c r="H167" s="818"/>
      <c r="I167" s="818"/>
      <c r="J167" s="680"/>
      <c r="K167" s="818"/>
      <c r="L167" s="818"/>
      <c r="M167" s="818"/>
      <c r="N167" s="818"/>
      <c r="O167" s="818">
        <f>(K167*12)+N167</f>
        <v>0</v>
      </c>
      <c r="P167" s="818">
        <f>B167*O167</f>
        <v>0</v>
      </c>
      <c r="Q167" s="822"/>
      <c r="R167" s="818"/>
      <c r="S167" s="818"/>
      <c r="T167" s="818"/>
      <c r="U167" s="818"/>
      <c r="V167" s="818"/>
      <c r="W167" s="818"/>
      <c r="X167" s="818"/>
      <c r="Y167" s="680"/>
      <c r="Z167" s="818"/>
      <c r="AA167" s="818"/>
      <c r="AB167" s="818"/>
      <c r="AC167" s="818"/>
      <c r="AD167" s="818">
        <f>(Z167*12)+AC167</f>
        <v>0</v>
      </c>
      <c r="AE167" s="818">
        <f>Q167*AD167</f>
        <v>0</v>
      </c>
      <c r="AF167" s="732">
        <f t="shared" si="97"/>
        <v>0</v>
      </c>
      <c r="AG167" s="732">
        <f t="shared" si="97"/>
        <v>0</v>
      </c>
      <c r="AH167" s="822"/>
      <c r="AI167" s="818"/>
    </row>
    <row r="168" spans="1:35" hidden="1">
      <c r="A168" s="692" t="s">
        <v>6986</v>
      </c>
      <c r="B168" s="822"/>
      <c r="C168" s="818"/>
      <c r="D168" s="818"/>
      <c r="E168" s="818"/>
      <c r="F168" s="818"/>
      <c r="G168" s="818"/>
      <c r="H168" s="818"/>
      <c r="I168" s="818"/>
      <c r="J168" s="680"/>
      <c r="K168" s="818"/>
      <c r="L168" s="818"/>
      <c r="M168" s="818"/>
      <c r="N168" s="818"/>
      <c r="O168" s="818">
        <f>(K168*12)+N168</f>
        <v>0</v>
      </c>
      <c r="P168" s="818">
        <f>B168*O168</f>
        <v>0</v>
      </c>
      <c r="Q168" s="822"/>
      <c r="R168" s="818"/>
      <c r="S168" s="818"/>
      <c r="T168" s="818"/>
      <c r="U168" s="818"/>
      <c r="V168" s="818"/>
      <c r="W168" s="818"/>
      <c r="X168" s="818"/>
      <c r="Y168" s="680"/>
      <c r="Z168" s="818"/>
      <c r="AA168" s="818"/>
      <c r="AB168" s="818"/>
      <c r="AC168" s="818"/>
      <c r="AD168" s="818">
        <f>(Z168*12)+AC168</f>
        <v>0</v>
      </c>
      <c r="AE168" s="818">
        <f>Q168*AD168</f>
        <v>0</v>
      </c>
      <c r="AF168" s="732">
        <f t="shared" si="97"/>
        <v>0</v>
      </c>
      <c r="AG168" s="732">
        <f t="shared" si="97"/>
        <v>0</v>
      </c>
      <c r="AH168" s="822"/>
      <c r="AI168" s="818"/>
    </row>
    <row r="169" spans="1:35" hidden="1">
      <c r="A169" s="692" t="s">
        <v>6985</v>
      </c>
      <c r="B169" s="822"/>
      <c r="C169" s="818"/>
      <c r="D169" s="818"/>
      <c r="E169" s="818"/>
      <c r="F169" s="818"/>
      <c r="G169" s="818"/>
      <c r="H169" s="818"/>
      <c r="I169" s="818"/>
      <c r="J169" s="680"/>
      <c r="K169" s="818"/>
      <c r="L169" s="818"/>
      <c r="M169" s="818"/>
      <c r="N169" s="818"/>
      <c r="O169" s="818">
        <f>(K169*12)+N169</f>
        <v>0</v>
      </c>
      <c r="P169" s="818">
        <f>B169*O169</f>
        <v>0</v>
      </c>
      <c r="Q169" s="822"/>
      <c r="R169" s="818"/>
      <c r="S169" s="818"/>
      <c r="T169" s="818"/>
      <c r="U169" s="818"/>
      <c r="V169" s="818"/>
      <c r="W169" s="818"/>
      <c r="X169" s="818"/>
      <c r="Y169" s="680"/>
      <c r="Z169" s="818"/>
      <c r="AA169" s="818"/>
      <c r="AB169" s="818"/>
      <c r="AC169" s="818"/>
      <c r="AD169" s="818">
        <f>(Z169*12)+AC169</f>
        <v>0</v>
      </c>
      <c r="AE169" s="818">
        <f>Q169*AD169</f>
        <v>0</v>
      </c>
      <c r="AF169" s="732">
        <f t="shared" si="97"/>
        <v>0</v>
      </c>
      <c r="AG169" s="732">
        <f t="shared" si="97"/>
        <v>0</v>
      </c>
      <c r="AH169" s="822"/>
      <c r="AI169" s="818"/>
    </row>
    <row r="170" spans="1:35" hidden="1">
      <c r="A170" s="692" t="s">
        <v>6984</v>
      </c>
      <c r="B170" s="822"/>
      <c r="C170" s="818"/>
      <c r="D170" s="818"/>
      <c r="E170" s="818"/>
      <c r="F170" s="818"/>
      <c r="G170" s="818"/>
      <c r="H170" s="818"/>
      <c r="I170" s="818"/>
      <c r="J170" s="680"/>
      <c r="K170" s="818"/>
      <c r="L170" s="818"/>
      <c r="M170" s="818"/>
      <c r="N170" s="818"/>
      <c r="O170" s="818">
        <f>(K170*12)+N170</f>
        <v>0</v>
      </c>
      <c r="P170" s="818">
        <f>B170*O170</f>
        <v>0</v>
      </c>
      <c r="Q170" s="822"/>
      <c r="R170" s="818"/>
      <c r="S170" s="818"/>
      <c r="T170" s="818"/>
      <c r="U170" s="818"/>
      <c r="V170" s="818"/>
      <c r="W170" s="818"/>
      <c r="X170" s="818"/>
      <c r="Y170" s="680"/>
      <c r="Z170" s="818"/>
      <c r="AA170" s="818"/>
      <c r="AB170" s="818"/>
      <c r="AC170" s="818"/>
      <c r="AD170" s="818">
        <f>(Z170*12)+AC170</f>
        <v>0</v>
      </c>
      <c r="AE170" s="818">
        <f>Q170*AD170</f>
        <v>0</v>
      </c>
      <c r="AF170" s="732">
        <f t="shared" si="97"/>
        <v>0</v>
      </c>
      <c r="AG170" s="732">
        <f t="shared" si="97"/>
        <v>0</v>
      </c>
      <c r="AH170" s="822"/>
      <c r="AI170" s="818"/>
    </row>
    <row r="171" spans="1:35" ht="45" hidden="1">
      <c r="A171" s="685" t="s">
        <v>7149</v>
      </c>
      <c r="B171" s="689">
        <f t="shared" ref="B171:AI171" si="98">SUM(B172:B176)</f>
        <v>0</v>
      </c>
      <c r="C171" s="689">
        <f t="shared" si="98"/>
        <v>0</v>
      </c>
      <c r="D171" s="689">
        <f t="shared" si="98"/>
        <v>0</v>
      </c>
      <c r="E171" s="689">
        <f t="shared" si="98"/>
        <v>0</v>
      </c>
      <c r="F171" s="689">
        <f t="shared" si="98"/>
        <v>0</v>
      </c>
      <c r="G171" s="689">
        <f t="shared" si="98"/>
        <v>0</v>
      </c>
      <c r="H171" s="689">
        <f t="shared" si="98"/>
        <v>0</v>
      </c>
      <c r="I171" s="689">
        <f t="shared" si="98"/>
        <v>0</v>
      </c>
      <c r="J171" s="689">
        <f t="shared" si="98"/>
        <v>0</v>
      </c>
      <c r="K171" s="689">
        <f t="shared" si="98"/>
        <v>0</v>
      </c>
      <c r="L171" s="689">
        <f t="shared" si="98"/>
        <v>0</v>
      </c>
      <c r="M171" s="689">
        <f t="shared" si="98"/>
        <v>0</v>
      </c>
      <c r="N171" s="689">
        <f t="shared" si="98"/>
        <v>0</v>
      </c>
      <c r="O171" s="689">
        <f t="shared" si="98"/>
        <v>0</v>
      </c>
      <c r="P171" s="689">
        <f t="shared" si="98"/>
        <v>0</v>
      </c>
      <c r="Q171" s="689">
        <f t="shared" si="98"/>
        <v>0</v>
      </c>
      <c r="R171" s="689">
        <f t="shared" si="98"/>
        <v>0</v>
      </c>
      <c r="S171" s="689">
        <f t="shared" si="98"/>
        <v>0</v>
      </c>
      <c r="T171" s="689">
        <f t="shared" si="98"/>
        <v>0</v>
      </c>
      <c r="U171" s="689">
        <f t="shared" si="98"/>
        <v>0</v>
      </c>
      <c r="V171" s="689">
        <f t="shared" si="98"/>
        <v>0</v>
      </c>
      <c r="W171" s="689">
        <f t="shared" si="98"/>
        <v>0</v>
      </c>
      <c r="X171" s="689">
        <f t="shared" si="98"/>
        <v>0</v>
      </c>
      <c r="Y171" s="689">
        <f t="shared" si="98"/>
        <v>0</v>
      </c>
      <c r="Z171" s="689">
        <f t="shared" si="98"/>
        <v>0</v>
      </c>
      <c r="AA171" s="689">
        <f t="shared" si="98"/>
        <v>0</v>
      </c>
      <c r="AB171" s="689">
        <f t="shared" si="98"/>
        <v>0</v>
      </c>
      <c r="AC171" s="689">
        <f t="shared" si="98"/>
        <v>0</v>
      </c>
      <c r="AD171" s="689">
        <f t="shared" si="98"/>
        <v>0</v>
      </c>
      <c r="AE171" s="689">
        <f t="shared" si="98"/>
        <v>0</v>
      </c>
      <c r="AF171" s="690">
        <f t="shared" si="98"/>
        <v>0</v>
      </c>
      <c r="AG171" s="690">
        <f t="shared" si="98"/>
        <v>0</v>
      </c>
      <c r="AH171" s="689">
        <f t="shared" si="98"/>
        <v>0</v>
      </c>
      <c r="AI171" s="689">
        <f t="shared" si="98"/>
        <v>0</v>
      </c>
    </row>
    <row r="172" spans="1:35" hidden="1">
      <c r="A172" s="692" t="s">
        <v>6989</v>
      </c>
      <c r="B172" s="822"/>
      <c r="C172" s="818"/>
      <c r="D172" s="818"/>
      <c r="E172" s="818"/>
      <c r="F172" s="818"/>
      <c r="G172" s="818"/>
      <c r="H172" s="818"/>
      <c r="I172" s="818"/>
      <c r="J172" s="680"/>
      <c r="K172" s="818"/>
      <c r="L172" s="818"/>
      <c r="M172" s="818"/>
      <c r="N172" s="818"/>
      <c r="O172" s="818">
        <f>(K172*12)+N172</f>
        <v>0</v>
      </c>
      <c r="P172" s="818">
        <f>B172*O172</f>
        <v>0</v>
      </c>
      <c r="Q172" s="822"/>
      <c r="R172" s="818"/>
      <c r="S172" s="818"/>
      <c r="T172" s="818"/>
      <c r="U172" s="818"/>
      <c r="V172" s="818"/>
      <c r="W172" s="818"/>
      <c r="X172" s="818"/>
      <c r="Y172" s="680"/>
      <c r="Z172" s="818"/>
      <c r="AA172" s="818"/>
      <c r="AB172" s="818"/>
      <c r="AC172" s="818"/>
      <c r="AD172" s="818">
        <f>(Z172*12)+AC172</f>
        <v>0</v>
      </c>
      <c r="AE172" s="818">
        <f>Q172*AD172</f>
        <v>0</v>
      </c>
      <c r="AF172" s="732">
        <f t="shared" ref="AF172:AG176" si="99">+O172-AD172</f>
        <v>0</v>
      </c>
      <c r="AG172" s="732">
        <f t="shared" si="99"/>
        <v>0</v>
      </c>
      <c r="AH172" s="822"/>
      <c r="AI172" s="818"/>
    </row>
    <row r="173" spans="1:35" hidden="1">
      <c r="A173" s="692" t="s">
        <v>6988</v>
      </c>
      <c r="B173" s="822"/>
      <c r="C173" s="818"/>
      <c r="D173" s="818"/>
      <c r="E173" s="818"/>
      <c r="F173" s="818"/>
      <c r="G173" s="818"/>
      <c r="H173" s="818"/>
      <c r="I173" s="818"/>
      <c r="J173" s="680"/>
      <c r="K173" s="818"/>
      <c r="L173" s="818"/>
      <c r="M173" s="818"/>
      <c r="N173" s="818"/>
      <c r="O173" s="818">
        <f>(K173*12)+N173</f>
        <v>0</v>
      </c>
      <c r="P173" s="818">
        <f>B173*O173</f>
        <v>0</v>
      </c>
      <c r="Q173" s="822"/>
      <c r="R173" s="818"/>
      <c r="S173" s="818"/>
      <c r="T173" s="818"/>
      <c r="U173" s="818"/>
      <c r="V173" s="818"/>
      <c r="W173" s="818"/>
      <c r="X173" s="818"/>
      <c r="Y173" s="680"/>
      <c r="Z173" s="818"/>
      <c r="AA173" s="818"/>
      <c r="AB173" s="818"/>
      <c r="AC173" s="818"/>
      <c r="AD173" s="818">
        <f>(Z173*12)+AC173</f>
        <v>0</v>
      </c>
      <c r="AE173" s="818">
        <f>Q173*AD173</f>
        <v>0</v>
      </c>
      <c r="AF173" s="732">
        <f t="shared" si="99"/>
        <v>0</v>
      </c>
      <c r="AG173" s="732">
        <f t="shared" si="99"/>
        <v>0</v>
      </c>
      <c r="AH173" s="822"/>
      <c r="AI173" s="818"/>
    </row>
    <row r="174" spans="1:35" hidden="1">
      <c r="A174" s="692" t="s">
        <v>6986</v>
      </c>
      <c r="B174" s="822"/>
      <c r="C174" s="818"/>
      <c r="D174" s="818"/>
      <c r="E174" s="818"/>
      <c r="F174" s="818"/>
      <c r="G174" s="818"/>
      <c r="H174" s="818"/>
      <c r="I174" s="818"/>
      <c r="J174" s="680"/>
      <c r="K174" s="818"/>
      <c r="L174" s="818"/>
      <c r="M174" s="818"/>
      <c r="N174" s="818"/>
      <c r="O174" s="818">
        <f>(K174*12)+N174</f>
        <v>0</v>
      </c>
      <c r="P174" s="818">
        <f>B174*O174</f>
        <v>0</v>
      </c>
      <c r="Q174" s="822"/>
      <c r="R174" s="818"/>
      <c r="S174" s="818"/>
      <c r="T174" s="818"/>
      <c r="U174" s="818"/>
      <c r="V174" s="818"/>
      <c r="W174" s="818"/>
      <c r="X174" s="818"/>
      <c r="Y174" s="680"/>
      <c r="Z174" s="818"/>
      <c r="AA174" s="818"/>
      <c r="AB174" s="818"/>
      <c r="AC174" s="818"/>
      <c r="AD174" s="818">
        <f>(Z174*12)+AC174</f>
        <v>0</v>
      </c>
      <c r="AE174" s="818">
        <f>Q174*AD174</f>
        <v>0</v>
      </c>
      <c r="AF174" s="732">
        <f t="shared" si="99"/>
        <v>0</v>
      </c>
      <c r="AG174" s="732">
        <f t="shared" si="99"/>
        <v>0</v>
      </c>
      <c r="AH174" s="822"/>
      <c r="AI174" s="818"/>
    </row>
    <row r="175" spans="1:35" hidden="1">
      <c r="A175" s="692" t="s">
        <v>6985</v>
      </c>
      <c r="B175" s="822"/>
      <c r="C175" s="818"/>
      <c r="D175" s="818"/>
      <c r="E175" s="818"/>
      <c r="F175" s="818"/>
      <c r="G175" s="818"/>
      <c r="H175" s="818"/>
      <c r="I175" s="818"/>
      <c r="J175" s="680"/>
      <c r="K175" s="818"/>
      <c r="L175" s="818"/>
      <c r="M175" s="818"/>
      <c r="N175" s="818"/>
      <c r="O175" s="818">
        <f>(K175*12)+N175</f>
        <v>0</v>
      </c>
      <c r="P175" s="818">
        <f>B175*O175</f>
        <v>0</v>
      </c>
      <c r="Q175" s="822"/>
      <c r="R175" s="818"/>
      <c r="S175" s="818"/>
      <c r="T175" s="818"/>
      <c r="U175" s="818"/>
      <c r="V175" s="818"/>
      <c r="W175" s="818"/>
      <c r="X175" s="818"/>
      <c r="Y175" s="680"/>
      <c r="Z175" s="818"/>
      <c r="AA175" s="818"/>
      <c r="AB175" s="818"/>
      <c r="AC175" s="818"/>
      <c r="AD175" s="818">
        <f>(Z175*12)+AC175</f>
        <v>0</v>
      </c>
      <c r="AE175" s="818">
        <f>Q175*AD175</f>
        <v>0</v>
      </c>
      <c r="AF175" s="732">
        <f t="shared" si="99"/>
        <v>0</v>
      </c>
      <c r="AG175" s="732">
        <f t="shared" si="99"/>
        <v>0</v>
      </c>
      <c r="AH175" s="822"/>
      <c r="AI175" s="818"/>
    </row>
    <row r="176" spans="1:35" hidden="1">
      <c r="A176" s="692" t="s">
        <v>6984</v>
      </c>
      <c r="B176" s="822"/>
      <c r="C176" s="818"/>
      <c r="D176" s="818"/>
      <c r="E176" s="818"/>
      <c r="F176" s="818"/>
      <c r="G176" s="818"/>
      <c r="H176" s="818"/>
      <c r="I176" s="818"/>
      <c r="J176" s="680"/>
      <c r="K176" s="818"/>
      <c r="L176" s="818"/>
      <c r="M176" s="818"/>
      <c r="N176" s="818"/>
      <c r="O176" s="818">
        <f>(K176*12)+N176</f>
        <v>0</v>
      </c>
      <c r="P176" s="818">
        <f>B176*O176</f>
        <v>0</v>
      </c>
      <c r="Q176" s="822"/>
      <c r="R176" s="818"/>
      <c r="S176" s="818"/>
      <c r="T176" s="818"/>
      <c r="U176" s="818"/>
      <c r="V176" s="818"/>
      <c r="W176" s="818"/>
      <c r="X176" s="818"/>
      <c r="Y176" s="680"/>
      <c r="Z176" s="818"/>
      <c r="AA176" s="818"/>
      <c r="AB176" s="818"/>
      <c r="AC176" s="818"/>
      <c r="AD176" s="818">
        <f>(Z176*12)+AC176</f>
        <v>0</v>
      </c>
      <c r="AE176" s="818">
        <f>Q176*AD176</f>
        <v>0</v>
      </c>
      <c r="AF176" s="732">
        <f t="shared" si="99"/>
        <v>0</v>
      </c>
      <c r="AG176" s="732">
        <f t="shared" si="99"/>
        <v>0</v>
      </c>
      <c r="AH176" s="822"/>
      <c r="AI176" s="818"/>
    </row>
    <row r="177" spans="1:35" ht="45" hidden="1">
      <c r="A177" s="685" t="s">
        <v>7148</v>
      </c>
      <c r="B177" s="689">
        <f>SUM(B178:B184)</f>
        <v>0</v>
      </c>
      <c r="C177" s="689">
        <f t="shared" ref="C177:P177" si="100">SUM(C179:C184)</f>
        <v>0</v>
      </c>
      <c r="D177" s="689">
        <f t="shared" si="100"/>
        <v>0</v>
      </c>
      <c r="E177" s="689">
        <f t="shared" si="100"/>
        <v>0</v>
      </c>
      <c r="F177" s="689">
        <f t="shared" si="100"/>
        <v>0</v>
      </c>
      <c r="G177" s="689">
        <f t="shared" si="100"/>
        <v>0</v>
      </c>
      <c r="H177" s="689">
        <f t="shared" si="100"/>
        <v>0</v>
      </c>
      <c r="I177" s="689">
        <f t="shared" si="100"/>
        <v>0</v>
      </c>
      <c r="J177" s="689">
        <f t="shared" si="100"/>
        <v>0</v>
      </c>
      <c r="K177" s="689">
        <f t="shared" si="100"/>
        <v>0</v>
      </c>
      <c r="L177" s="689">
        <f t="shared" si="100"/>
        <v>0</v>
      </c>
      <c r="M177" s="689">
        <f t="shared" si="100"/>
        <v>0</v>
      </c>
      <c r="N177" s="689">
        <f t="shared" si="100"/>
        <v>0</v>
      </c>
      <c r="O177" s="689">
        <f t="shared" si="100"/>
        <v>0</v>
      </c>
      <c r="P177" s="689">
        <f t="shared" si="100"/>
        <v>0</v>
      </c>
      <c r="Q177" s="689">
        <f>SUM(Q178:Q184)</f>
        <v>0</v>
      </c>
      <c r="R177" s="689">
        <f t="shared" ref="R177:AG177" si="101">SUM(R179:R184)</f>
        <v>0</v>
      </c>
      <c r="S177" s="689">
        <f t="shared" si="101"/>
        <v>0</v>
      </c>
      <c r="T177" s="689">
        <f t="shared" si="101"/>
        <v>0</v>
      </c>
      <c r="U177" s="689">
        <f t="shared" si="101"/>
        <v>0</v>
      </c>
      <c r="V177" s="689">
        <f t="shared" si="101"/>
        <v>0</v>
      </c>
      <c r="W177" s="689">
        <f t="shared" si="101"/>
        <v>0</v>
      </c>
      <c r="X177" s="689">
        <f t="shared" si="101"/>
        <v>0</v>
      </c>
      <c r="Y177" s="689">
        <f t="shared" si="101"/>
        <v>0</v>
      </c>
      <c r="Z177" s="689">
        <f t="shared" si="101"/>
        <v>0</v>
      </c>
      <c r="AA177" s="689">
        <f t="shared" si="101"/>
        <v>0</v>
      </c>
      <c r="AB177" s="689">
        <f t="shared" si="101"/>
        <v>0</v>
      </c>
      <c r="AC177" s="689">
        <f t="shared" si="101"/>
        <v>0</v>
      </c>
      <c r="AD177" s="689">
        <f t="shared" si="101"/>
        <v>0</v>
      </c>
      <c r="AE177" s="689">
        <f t="shared" si="101"/>
        <v>0</v>
      </c>
      <c r="AF177" s="690">
        <f t="shared" si="101"/>
        <v>0</v>
      </c>
      <c r="AG177" s="690">
        <f t="shared" si="101"/>
        <v>0</v>
      </c>
      <c r="AH177" s="689">
        <f>SUM(AH178:AH184)</f>
        <v>0</v>
      </c>
      <c r="AI177" s="689">
        <f>SUM(AI179:AI184)</f>
        <v>0</v>
      </c>
    </row>
    <row r="178" spans="1:35" hidden="1">
      <c r="A178" s="692" t="s">
        <v>6988</v>
      </c>
      <c r="B178" s="822"/>
      <c r="C178" s="818"/>
      <c r="D178" s="818"/>
      <c r="E178" s="818"/>
      <c r="F178" s="818"/>
      <c r="G178" s="818"/>
      <c r="H178" s="818"/>
      <c r="I178" s="818"/>
      <c r="J178" s="818"/>
      <c r="K178" s="818"/>
      <c r="L178" s="818"/>
      <c r="M178" s="818"/>
      <c r="N178" s="818"/>
      <c r="O178" s="818">
        <f t="shared" ref="O178:O184" si="102">(K178*12)+N178</f>
        <v>0</v>
      </c>
      <c r="P178" s="818">
        <f t="shared" ref="P178:P184" si="103">B178*O178</f>
        <v>0</v>
      </c>
      <c r="Q178" s="822"/>
      <c r="R178" s="818"/>
      <c r="S178" s="818"/>
      <c r="T178" s="818"/>
      <c r="U178" s="818"/>
      <c r="V178" s="818"/>
      <c r="W178" s="818"/>
      <c r="X178" s="818"/>
      <c r="Y178" s="818"/>
      <c r="Z178" s="818"/>
      <c r="AA178" s="818"/>
      <c r="AB178" s="818"/>
      <c r="AC178" s="818"/>
      <c r="AD178" s="818">
        <f t="shared" ref="AD178:AD184" si="104">(Z178*12)+AC178</f>
        <v>0</v>
      </c>
      <c r="AE178" s="818">
        <f t="shared" ref="AE178:AE184" si="105">Q178*AD178</f>
        <v>0</v>
      </c>
      <c r="AF178" s="732">
        <f t="shared" ref="AF178:AG184" si="106">+O178-AD178</f>
        <v>0</v>
      </c>
      <c r="AG178" s="732">
        <f t="shared" si="106"/>
        <v>0</v>
      </c>
      <c r="AH178" s="822"/>
      <c r="AI178" s="818"/>
    </row>
    <row r="179" spans="1:35" hidden="1">
      <c r="A179" s="692" t="s">
        <v>6986</v>
      </c>
      <c r="B179" s="822"/>
      <c r="C179" s="818"/>
      <c r="D179" s="818"/>
      <c r="E179" s="818"/>
      <c r="F179" s="818"/>
      <c r="G179" s="818"/>
      <c r="H179" s="818"/>
      <c r="I179" s="818"/>
      <c r="J179" s="818"/>
      <c r="K179" s="818"/>
      <c r="L179" s="818"/>
      <c r="M179" s="818"/>
      <c r="N179" s="818"/>
      <c r="O179" s="818">
        <f t="shared" si="102"/>
        <v>0</v>
      </c>
      <c r="P179" s="818">
        <f t="shared" si="103"/>
        <v>0</v>
      </c>
      <c r="Q179" s="822"/>
      <c r="R179" s="818"/>
      <c r="S179" s="818"/>
      <c r="T179" s="818"/>
      <c r="U179" s="818"/>
      <c r="V179" s="818"/>
      <c r="W179" s="818"/>
      <c r="X179" s="818"/>
      <c r="Y179" s="818"/>
      <c r="Z179" s="818"/>
      <c r="AA179" s="818"/>
      <c r="AB179" s="818"/>
      <c r="AC179" s="818"/>
      <c r="AD179" s="818">
        <f t="shared" si="104"/>
        <v>0</v>
      </c>
      <c r="AE179" s="818">
        <f t="shared" si="105"/>
        <v>0</v>
      </c>
      <c r="AF179" s="732">
        <f t="shared" si="106"/>
        <v>0</v>
      </c>
      <c r="AG179" s="732">
        <f t="shared" si="106"/>
        <v>0</v>
      </c>
      <c r="AH179" s="822"/>
      <c r="AI179" s="818"/>
    </row>
    <row r="180" spans="1:35" hidden="1">
      <c r="A180" s="692" t="s">
        <v>6985</v>
      </c>
      <c r="B180" s="822"/>
      <c r="C180" s="818"/>
      <c r="D180" s="818"/>
      <c r="E180" s="818"/>
      <c r="F180" s="818"/>
      <c r="G180" s="818"/>
      <c r="H180" s="818"/>
      <c r="I180" s="818"/>
      <c r="J180" s="818"/>
      <c r="K180" s="818"/>
      <c r="L180" s="818"/>
      <c r="M180" s="818"/>
      <c r="N180" s="818"/>
      <c r="O180" s="818">
        <f t="shared" si="102"/>
        <v>0</v>
      </c>
      <c r="P180" s="818">
        <f t="shared" si="103"/>
        <v>0</v>
      </c>
      <c r="Q180" s="822"/>
      <c r="R180" s="818"/>
      <c r="S180" s="818"/>
      <c r="T180" s="818"/>
      <c r="U180" s="818"/>
      <c r="V180" s="818"/>
      <c r="W180" s="818"/>
      <c r="X180" s="818"/>
      <c r="Y180" s="818"/>
      <c r="Z180" s="818"/>
      <c r="AA180" s="818"/>
      <c r="AB180" s="818"/>
      <c r="AC180" s="818"/>
      <c r="AD180" s="818">
        <f t="shared" si="104"/>
        <v>0</v>
      </c>
      <c r="AE180" s="818">
        <f t="shared" si="105"/>
        <v>0</v>
      </c>
      <c r="AF180" s="732">
        <f t="shared" si="106"/>
        <v>0</v>
      </c>
      <c r="AG180" s="732">
        <f t="shared" si="106"/>
        <v>0</v>
      </c>
      <c r="AH180" s="822"/>
      <c r="AI180" s="818"/>
    </row>
    <row r="181" spans="1:35" hidden="1">
      <c r="A181" s="692" t="s">
        <v>6984</v>
      </c>
      <c r="B181" s="822"/>
      <c r="C181" s="818"/>
      <c r="D181" s="818"/>
      <c r="E181" s="818"/>
      <c r="F181" s="818"/>
      <c r="G181" s="818"/>
      <c r="H181" s="818"/>
      <c r="I181" s="818"/>
      <c r="J181" s="818"/>
      <c r="K181" s="818"/>
      <c r="L181" s="818"/>
      <c r="M181" s="818"/>
      <c r="N181" s="818"/>
      <c r="O181" s="818">
        <f t="shared" si="102"/>
        <v>0</v>
      </c>
      <c r="P181" s="818">
        <f t="shared" si="103"/>
        <v>0</v>
      </c>
      <c r="Q181" s="822"/>
      <c r="R181" s="818"/>
      <c r="S181" s="818"/>
      <c r="T181" s="818"/>
      <c r="U181" s="818"/>
      <c r="V181" s="818"/>
      <c r="W181" s="818"/>
      <c r="X181" s="818"/>
      <c r="Y181" s="818"/>
      <c r="Z181" s="818"/>
      <c r="AA181" s="818"/>
      <c r="AB181" s="818"/>
      <c r="AC181" s="818"/>
      <c r="AD181" s="818">
        <f t="shared" si="104"/>
        <v>0</v>
      </c>
      <c r="AE181" s="818">
        <f t="shared" si="105"/>
        <v>0</v>
      </c>
      <c r="AF181" s="732">
        <f t="shared" si="106"/>
        <v>0</v>
      </c>
      <c r="AG181" s="732">
        <f t="shared" si="106"/>
        <v>0</v>
      </c>
      <c r="AH181" s="822"/>
      <c r="AI181" s="818"/>
    </row>
    <row r="182" spans="1:35" hidden="1">
      <c r="A182" s="692" t="s">
        <v>6983</v>
      </c>
      <c r="B182" s="822"/>
      <c r="C182" s="818"/>
      <c r="D182" s="818"/>
      <c r="E182" s="818"/>
      <c r="F182" s="818"/>
      <c r="G182" s="818"/>
      <c r="H182" s="818"/>
      <c r="I182" s="818"/>
      <c r="J182" s="818"/>
      <c r="K182" s="818"/>
      <c r="L182" s="818"/>
      <c r="M182" s="818"/>
      <c r="N182" s="818"/>
      <c r="O182" s="818">
        <f t="shared" si="102"/>
        <v>0</v>
      </c>
      <c r="P182" s="818">
        <f t="shared" si="103"/>
        <v>0</v>
      </c>
      <c r="Q182" s="822"/>
      <c r="R182" s="818"/>
      <c r="S182" s="818"/>
      <c r="T182" s="818"/>
      <c r="U182" s="818"/>
      <c r="V182" s="818"/>
      <c r="W182" s="818"/>
      <c r="X182" s="818"/>
      <c r="Y182" s="818"/>
      <c r="Z182" s="818"/>
      <c r="AA182" s="818"/>
      <c r="AB182" s="818"/>
      <c r="AC182" s="818"/>
      <c r="AD182" s="818">
        <f t="shared" si="104"/>
        <v>0</v>
      </c>
      <c r="AE182" s="818">
        <f t="shared" si="105"/>
        <v>0</v>
      </c>
      <c r="AF182" s="732">
        <f t="shared" si="106"/>
        <v>0</v>
      </c>
      <c r="AG182" s="732">
        <f t="shared" si="106"/>
        <v>0</v>
      </c>
      <c r="AH182" s="822"/>
      <c r="AI182" s="818"/>
    </row>
    <row r="183" spans="1:35" hidden="1">
      <c r="A183" s="692" t="s">
        <v>6982</v>
      </c>
      <c r="B183" s="822"/>
      <c r="C183" s="818"/>
      <c r="D183" s="818"/>
      <c r="E183" s="818"/>
      <c r="F183" s="818"/>
      <c r="G183" s="818"/>
      <c r="H183" s="818"/>
      <c r="I183" s="818"/>
      <c r="J183" s="818"/>
      <c r="K183" s="818"/>
      <c r="L183" s="818"/>
      <c r="M183" s="818"/>
      <c r="N183" s="818"/>
      <c r="O183" s="818">
        <f t="shared" si="102"/>
        <v>0</v>
      </c>
      <c r="P183" s="818">
        <f t="shared" si="103"/>
        <v>0</v>
      </c>
      <c r="Q183" s="822"/>
      <c r="R183" s="818"/>
      <c r="S183" s="818"/>
      <c r="T183" s="818"/>
      <c r="U183" s="818"/>
      <c r="V183" s="818"/>
      <c r="W183" s="818"/>
      <c r="X183" s="818"/>
      <c r="Y183" s="818"/>
      <c r="Z183" s="818"/>
      <c r="AA183" s="818"/>
      <c r="AB183" s="818"/>
      <c r="AC183" s="818"/>
      <c r="AD183" s="818">
        <f t="shared" si="104"/>
        <v>0</v>
      </c>
      <c r="AE183" s="818">
        <f t="shared" si="105"/>
        <v>0</v>
      </c>
      <c r="AF183" s="732">
        <f t="shared" si="106"/>
        <v>0</v>
      </c>
      <c r="AG183" s="732">
        <f t="shared" si="106"/>
        <v>0</v>
      </c>
      <c r="AH183" s="822"/>
      <c r="AI183" s="818"/>
    </row>
    <row r="184" spans="1:35" hidden="1">
      <c r="A184" s="692" t="s">
        <v>6981</v>
      </c>
      <c r="B184" s="822"/>
      <c r="C184" s="818"/>
      <c r="D184" s="818"/>
      <c r="E184" s="818"/>
      <c r="F184" s="818"/>
      <c r="G184" s="818"/>
      <c r="H184" s="818"/>
      <c r="I184" s="818"/>
      <c r="J184" s="818"/>
      <c r="K184" s="818"/>
      <c r="L184" s="818"/>
      <c r="M184" s="818"/>
      <c r="N184" s="818"/>
      <c r="O184" s="818">
        <f t="shared" si="102"/>
        <v>0</v>
      </c>
      <c r="P184" s="818">
        <f t="shared" si="103"/>
        <v>0</v>
      </c>
      <c r="Q184" s="822"/>
      <c r="R184" s="818"/>
      <c r="S184" s="818"/>
      <c r="T184" s="818"/>
      <c r="U184" s="818"/>
      <c r="V184" s="818"/>
      <c r="W184" s="818"/>
      <c r="X184" s="818"/>
      <c r="Y184" s="818"/>
      <c r="Z184" s="818"/>
      <c r="AA184" s="818"/>
      <c r="AB184" s="818"/>
      <c r="AC184" s="818"/>
      <c r="AD184" s="818">
        <f t="shared" si="104"/>
        <v>0</v>
      </c>
      <c r="AE184" s="818">
        <f t="shared" si="105"/>
        <v>0</v>
      </c>
      <c r="AF184" s="732">
        <f t="shared" si="106"/>
        <v>0</v>
      </c>
      <c r="AG184" s="732">
        <f t="shared" si="106"/>
        <v>0</v>
      </c>
      <c r="AH184" s="822"/>
      <c r="AI184" s="818"/>
    </row>
    <row r="185" spans="1:35">
      <c r="A185" s="685" t="s">
        <v>58</v>
      </c>
      <c r="B185" s="689">
        <f t="shared" ref="B185:AI185" si="107">SUM(B186:B187)</f>
        <v>42</v>
      </c>
      <c r="C185" s="689">
        <f t="shared" si="107"/>
        <v>8137.6</v>
      </c>
      <c r="D185" s="689">
        <f t="shared" si="107"/>
        <v>0</v>
      </c>
      <c r="E185" s="689">
        <f t="shared" si="107"/>
        <v>0</v>
      </c>
      <c r="F185" s="689">
        <f t="shared" si="107"/>
        <v>0</v>
      </c>
      <c r="G185" s="689">
        <f t="shared" si="107"/>
        <v>0</v>
      </c>
      <c r="H185" s="689">
        <f t="shared" si="107"/>
        <v>0</v>
      </c>
      <c r="I185" s="689">
        <f t="shared" si="107"/>
        <v>0</v>
      </c>
      <c r="J185" s="689">
        <f t="shared" si="107"/>
        <v>991.37999999999988</v>
      </c>
      <c r="K185" s="689">
        <f t="shared" si="107"/>
        <v>9128.98</v>
      </c>
      <c r="L185" s="689">
        <f t="shared" si="107"/>
        <v>2000</v>
      </c>
      <c r="M185" s="689">
        <f t="shared" si="107"/>
        <v>0</v>
      </c>
      <c r="N185" s="689">
        <f t="shared" si="107"/>
        <v>2000</v>
      </c>
      <c r="O185" s="689">
        <f t="shared" si="107"/>
        <v>111547.76000000001</v>
      </c>
      <c r="P185" s="689">
        <f t="shared" si="107"/>
        <v>2395120.08</v>
      </c>
      <c r="Q185" s="689">
        <f t="shared" si="107"/>
        <v>42</v>
      </c>
      <c r="R185" s="689">
        <f t="shared" si="107"/>
        <v>8876</v>
      </c>
      <c r="S185" s="689">
        <f t="shared" si="107"/>
        <v>0</v>
      </c>
      <c r="T185" s="689">
        <f t="shared" si="107"/>
        <v>0</v>
      </c>
      <c r="U185" s="689">
        <f t="shared" si="107"/>
        <v>0</v>
      </c>
      <c r="V185" s="689">
        <f t="shared" si="107"/>
        <v>0</v>
      </c>
      <c r="W185" s="689">
        <f t="shared" si="107"/>
        <v>0</v>
      </c>
      <c r="X185" s="689">
        <f t="shared" si="107"/>
        <v>0</v>
      </c>
      <c r="Y185" s="689">
        <f t="shared" si="107"/>
        <v>991.37999999999988</v>
      </c>
      <c r="Z185" s="689">
        <f t="shared" si="107"/>
        <v>9867.380000000001</v>
      </c>
      <c r="AA185" s="689">
        <f t="shared" si="107"/>
        <v>2000</v>
      </c>
      <c r="AB185" s="689">
        <f t="shared" si="107"/>
        <v>0</v>
      </c>
      <c r="AC185" s="689">
        <f t="shared" si="107"/>
        <v>2000</v>
      </c>
      <c r="AD185" s="689">
        <f t="shared" si="107"/>
        <v>120408.56</v>
      </c>
      <c r="AE185" s="689">
        <f t="shared" si="107"/>
        <v>2579094.48</v>
      </c>
      <c r="AF185" s="689">
        <f t="shared" si="107"/>
        <v>-8860.7999999999884</v>
      </c>
      <c r="AG185" s="689">
        <f t="shared" si="107"/>
        <v>-183974.39999999967</v>
      </c>
      <c r="AH185" s="689">
        <f t="shared" si="107"/>
        <v>42</v>
      </c>
      <c r="AI185" s="689">
        <f t="shared" si="107"/>
        <v>2620308.4247012809</v>
      </c>
    </row>
    <row r="186" spans="1:35">
      <c r="A186" s="692" t="s">
        <v>6980</v>
      </c>
      <c r="B186" s="828">
        <v>23</v>
      </c>
      <c r="C186" s="732">
        <v>5206.6000000000004</v>
      </c>
      <c r="D186" s="818"/>
      <c r="E186" s="818"/>
      <c r="F186" s="818"/>
      <c r="G186" s="818"/>
      <c r="H186" s="818"/>
      <c r="I186" s="818"/>
      <c r="J186" s="818">
        <v>454.08</v>
      </c>
      <c r="K186" s="816">
        <f>SUM(C186:J186)</f>
        <v>5660.68</v>
      </c>
      <c r="L186" s="822">
        <f>300+300+400</f>
        <v>1000</v>
      </c>
      <c r="M186" s="818"/>
      <c r="N186" s="820">
        <f>+L186+M186</f>
        <v>1000</v>
      </c>
      <c r="O186" s="818">
        <f>+(K186*12)+N186</f>
        <v>68928.160000000003</v>
      </c>
      <c r="P186" s="818">
        <f>B186*O186</f>
        <v>1585347.6800000002</v>
      </c>
      <c r="Q186" s="828">
        <v>23</v>
      </c>
      <c r="R186" s="732">
        <v>5532</v>
      </c>
      <c r="S186" s="818"/>
      <c r="T186" s="818"/>
      <c r="U186" s="818"/>
      <c r="V186" s="818"/>
      <c r="W186" s="818"/>
      <c r="X186" s="818"/>
      <c r="Y186" s="818">
        <v>454.08</v>
      </c>
      <c r="Z186" s="816">
        <f>SUM(R186:Y186)</f>
        <v>5986.08</v>
      </c>
      <c r="AA186" s="822">
        <f>300+300+400</f>
        <v>1000</v>
      </c>
      <c r="AB186" s="818"/>
      <c r="AC186" s="820">
        <f>+AA186+AB186</f>
        <v>1000</v>
      </c>
      <c r="AD186" s="818">
        <f>+(Z186*12)+AC186</f>
        <v>72832.959999999992</v>
      </c>
      <c r="AE186" s="818">
        <f>Q186*AD186</f>
        <v>1675158.0799999998</v>
      </c>
      <c r="AF186" s="732">
        <f>+O186-AD186</f>
        <v>-3904.7999999999884</v>
      </c>
      <c r="AG186" s="732">
        <f>+P186-AE186</f>
        <v>-89810.399999999674</v>
      </c>
      <c r="AH186" s="828">
        <v>23</v>
      </c>
      <c r="AI186" s="820">
        <v>1708118.2325745109</v>
      </c>
    </row>
    <row r="187" spans="1:35" ht="22.5">
      <c r="A187" s="692" t="s">
        <v>6979</v>
      </c>
      <c r="B187" s="828">
        <v>19</v>
      </c>
      <c r="C187" s="732">
        <v>2931</v>
      </c>
      <c r="D187" s="818"/>
      <c r="E187" s="818"/>
      <c r="F187" s="818"/>
      <c r="G187" s="818"/>
      <c r="H187" s="818"/>
      <c r="I187" s="818"/>
      <c r="J187" s="818">
        <v>537.29999999999995</v>
      </c>
      <c r="K187" s="816">
        <f>SUM(C187:J187)</f>
        <v>3468.3</v>
      </c>
      <c r="L187" s="822">
        <f>300+300+400</f>
        <v>1000</v>
      </c>
      <c r="M187" s="818"/>
      <c r="N187" s="820">
        <f>+L187+M187</f>
        <v>1000</v>
      </c>
      <c r="O187" s="818">
        <f>+(K187*12)+N187</f>
        <v>42619.600000000006</v>
      </c>
      <c r="P187" s="818">
        <f>B187*O187</f>
        <v>809772.40000000014</v>
      </c>
      <c r="Q187" s="828">
        <v>19</v>
      </c>
      <c r="R187" s="732">
        <v>3344</v>
      </c>
      <c r="S187" s="818"/>
      <c r="T187" s="818"/>
      <c r="U187" s="818"/>
      <c r="V187" s="818"/>
      <c r="W187" s="818"/>
      <c r="X187" s="818"/>
      <c r="Y187" s="818">
        <v>537.29999999999995</v>
      </c>
      <c r="Z187" s="816">
        <f>SUM(R187:Y187)</f>
        <v>3881.3</v>
      </c>
      <c r="AA187" s="822">
        <f>300+300+400</f>
        <v>1000</v>
      </c>
      <c r="AB187" s="818"/>
      <c r="AC187" s="820">
        <f>+AA187+AB187</f>
        <v>1000</v>
      </c>
      <c r="AD187" s="818">
        <f>+(Z187*12)+AC187</f>
        <v>47575.600000000006</v>
      </c>
      <c r="AE187" s="818">
        <f>Q187*AD187</f>
        <v>903936.40000000014</v>
      </c>
      <c r="AF187" s="732">
        <f>+O187-AD187</f>
        <v>-4956</v>
      </c>
      <c r="AG187" s="732">
        <f>+P187-AE187</f>
        <v>-94164</v>
      </c>
      <c r="AH187" s="828">
        <v>19</v>
      </c>
      <c r="AI187" s="820">
        <v>912190.19212677004</v>
      </c>
    </row>
    <row r="188" spans="1:35" ht="22.5">
      <c r="A188" s="685" t="s">
        <v>6912</v>
      </c>
      <c r="B188" s="689">
        <f t="shared" ref="B188:L188" si="108">SUM(B189:B190)</f>
        <v>0</v>
      </c>
      <c r="C188" s="689">
        <f t="shared" si="108"/>
        <v>800</v>
      </c>
      <c r="D188" s="689">
        <f t="shared" si="108"/>
        <v>0</v>
      </c>
      <c r="E188" s="689">
        <f t="shared" si="108"/>
        <v>0</v>
      </c>
      <c r="F188" s="689">
        <f t="shared" si="108"/>
        <v>0</v>
      </c>
      <c r="G188" s="689">
        <f t="shared" si="108"/>
        <v>0</v>
      </c>
      <c r="H188" s="689">
        <f t="shared" si="108"/>
        <v>0</v>
      </c>
      <c r="I188" s="689">
        <f t="shared" si="108"/>
        <v>0</v>
      </c>
      <c r="J188" s="689">
        <f t="shared" si="108"/>
        <v>0</v>
      </c>
      <c r="K188" s="689">
        <f t="shared" si="108"/>
        <v>800</v>
      </c>
      <c r="L188" s="689">
        <f t="shared" si="108"/>
        <v>400</v>
      </c>
      <c r="M188" s="689">
        <v>0</v>
      </c>
      <c r="N188" s="689">
        <f t="shared" ref="N188:AA188" si="109">SUM(N189:N190)</f>
        <v>400</v>
      </c>
      <c r="O188" s="689">
        <f t="shared" si="109"/>
        <v>10000</v>
      </c>
      <c r="P188" s="689">
        <f t="shared" si="109"/>
        <v>0</v>
      </c>
      <c r="Q188" s="689">
        <f t="shared" si="109"/>
        <v>0</v>
      </c>
      <c r="R188" s="689">
        <f t="shared" si="109"/>
        <v>0</v>
      </c>
      <c r="S188" s="689">
        <f t="shared" si="109"/>
        <v>0</v>
      </c>
      <c r="T188" s="689">
        <f t="shared" si="109"/>
        <v>0</v>
      </c>
      <c r="U188" s="689">
        <f t="shared" si="109"/>
        <v>0</v>
      </c>
      <c r="V188" s="689">
        <f t="shared" si="109"/>
        <v>0</v>
      </c>
      <c r="W188" s="689">
        <f t="shared" si="109"/>
        <v>0</v>
      </c>
      <c r="X188" s="689">
        <f t="shared" si="109"/>
        <v>0</v>
      </c>
      <c r="Y188" s="689">
        <f t="shared" si="109"/>
        <v>0</v>
      </c>
      <c r="Z188" s="689">
        <f t="shared" si="109"/>
        <v>0</v>
      </c>
      <c r="AA188" s="689">
        <f t="shared" si="109"/>
        <v>400</v>
      </c>
      <c r="AB188" s="689">
        <v>0</v>
      </c>
      <c r="AC188" s="689">
        <f t="shared" ref="AC188:AI188" si="110">SUM(AC189:AC190)</f>
        <v>400</v>
      </c>
      <c r="AD188" s="689">
        <f t="shared" si="110"/>
        <v>400</v>
      </c>
      <c r="AE188" s="689">
        <f t="shared" si="110"/>
        <v>0</v>
      </c>
      <c r="AF188" s="690">
        <f t="shared" si="110"/>
        <v>9600</v>
      </c>
      <c r="AG188" s="690">
        <f t="shared" si="110"/>
        <v>0</v>
      </c>
      <c r="AH188" s="689">
        <f t="shared" si="110"/>
        <v>0</v>
      </c>
      <c r="AI188" s="689">
        <f t="shared" si="110"/>
        <v>0</v>
      </c>
    </row>
    <row r="189" spans="1:35" ht="22.5">
      <c r="A189" s="692" t="s">
        <v>6911</v>
      </c>
      <c r="B189" s="828"/>
      <c r="C189" s="732">
        <v>400</v>
      </c>
      <c r="D189" s="818"/>
      <c r="E189" s="818"/>
      <c r="F189" s="818"/>
      <c r="G189" s="818"/>
      <c r="H189" s="818"/>
      <c r="I189" s="818"/>
      <c r="J189" s="818"/>
      <c r="K189" s="816">
        <f>SUM(C189:J189)</f>
        <v>400</v>
      </c>
      <c r="L189" s="818">
        <v>200</v>
      </c>
      <c r="M189" s="818"/>
      <c r="N189" s="820">
        <f>+L189+M189</f>
        <v>200</v>
      </c>
      <c r="O189" s="818">
        <f>(K189*12)+N189</f>
        <v>5000</v>
      </c>
      <c r="P189" s="818">
        <f>B189*O189</f>
        <v>0</v>
      </c>
      <c r="Q189" s="828"/>
      <c r="R189" s="732"/>
      <c r="S189" s="818"/>
      <c r="T189" s="818"/>
      <c r="U189" s="818"/>
      <c r="V189" s="818"/>
      <c r="W189" s="818"/>
      <c r="X189" s="818"/>
      <c r="Y189" s="818"/>
      <c r="Z189" s="816">
        <f>SUM(R189:Y189)</f>
        <v>0</v>
      </c>
      <c r="AA189" s="818">
        <v>200</v>
      </c>
      <c r="AB189" s="818"/>
      <c r="AC189" s="820">
        <f>+AA189+AB189</f>
        <v>200</v>
      </c>
      <c r="AD189" s="818">
        <f>(Z189*12)+AC189</f>
        <v>200</v>
      </c>
      <c r="AE189" s="818">
        <f>Q189*AD189</f>
        <v>0</v>
      </c>
      <c r="AF189" s="732">
        <f>+O189-AD189</f>
        <v>4800</v>
      </c>
      <c r="AG189" s="732">
        <f>+P189-AE189</f>
        <v>0</v>
      </c>
      <c r="AH189" s="828"/>
      <c r="AI189" s="820"/>
    </row>
    <row r="190" spans="1:35" ht="22.5">
      <c r="A190" s="692" t="s">
        <v>6910</v>
      </c>
      <c r="B190" s="828"/>
      <c r="C190" s="732">
        <v>400</v>
      </c>
      <c r="D190" s="818"/>
      <c r="E190" s="818"/>
      <c r="F190" s="818"/>
      <c r="G190" s="818"/>
      <c r="H190" s="818"/>
      <c r="I190" s="818"/>
      <c r="J190" s="818"/>
      <c r="K190" s="816">
        <f>SUM(C190:J190)</f>
        <v>400</v>
      </c>
      <c r="L190" s="818">
        <v>200</v>
      </c>
      <c r="M190" s="818"/>
      <c r="N190" s="820">
        <f>+L190+M190</f>
        <v>200</v>
      </c>
      <c r="O190" s="818">
        <f>(K190*12)+N190</f>
        <v>5000</v>
      </c>
      <c r="P190" s="818">
        <f>B190*O190</f>
        <v>0</v>
      </c>
      <c r="Q190" s="828"/>
      <c r="R190" s="732"/>
      <c r="S190" s="818"/>
      <c r="T190" s="818"/>
      <c r="U190" s="818"/>
      <c r="V190" s="818"/>
      <c r="W190" s="818"/>
      <c r="X190" s="818"/>
      <c r="Y190" s="818"/>
      <c r="Z190" s="816">
        <f>SUM(R190:Y190)</f>
        <v>0</v>
      </c>
      <c r="AA190" s="818">
        <v>200</v>
      </c>
      <c r="AB190" s="818"/>
      <c r="AC190" s="820">
        <f>+AA190+AB190</f>
        <v>200</v>
      </c>
      <c r="AD190" s="818">
        <f>(Z190*12)+AC190</f>
        <v>200</v>
      </c>
      <c r="AE190" s="818">
        <f>Q190*AD190</f>
        <v>0</v>
      </c>
      <c r="AF190" s="732">
        <f>+O190-AD190</f>
        <v>4800</v>
      </c>
      <c r="AG190" s="732">
        <f>+P190-AE190</f>
        <v>0</v>
      </c>
      <c r="AH190" s="828"/>
      <c r="AI190" s="820"/>
    </row>
    <row r="191" spans="1:35" ht="33.75">
      <c r="A191" s="691" t="s">
        <v>50</v>
      </c>
      <c r="B191" s="689">
        <f t="shared" ref="B191:AI191" si="111">B192+B199+B206</f>
        <v>693</v>
      </c>
      <c r="C191" s="689">
        <f t="shared" si="111"/>
        <v>29864.800000000003</v>
      </c>
      <c r="D191" s="689">
        <f t="shared" si="111"/>
        <v>0</v>
      </c>
      <c r="E191" s="689">
        <f t="shared" si="111"/>
        <v>0</v>
      </c>
      <c r="F191" s="689">
        <f t="shared" si="111"/>
        <v>0</v>
      </c>
      <c r="G191" s="689">
        <f t="shared" si="111"/>
        <v>0</v>
      </c>
      <c r="H191" s="689">
        <f t="shared" si="111"/>
        <v>0</v>
      </c>
      <c r="I191" s="689">
        <f t="shared" si="111"/>
        <v>0</v>
      </c>
      <c r="J191" s="689">
        <f t="shared" si="111"/>
        <v>3405.0769398733573</v>
      </c>
      <c r="K191" s="689">
        <f t="shared" si="111"/>
        <v>33269.876939873357</v>
      </c>
      <c r="L191" s="689">
        <f t="shared" si="111"/>
        <v>15000</v>
      </c>
      <c r="M191" s="689">
        <f t="shared" si="111"/>
        <v>0</v>
      </c>
      <c r="N191" s="689">
        <f t="shared" si="111"/>
        <v>15000</v>
      </c>
      <c r="O191" s="689">
        <f t="shared" si="111"/>
        <v>414238.52327848028</v>
      </c>
      <c r="P191" s="689">
        <f t="shared" si="111"/>
        <v>19232146.114733618</v>
      </c>
      <c r="Q191" s="689">
        <f t="shared" si="111"/>
        <v>693</v>
      </c>
      <c r="R191" s="689">
        <f t="shared" si="111"/>
        <v>39543</v>
      </c>
      <c r="S191" s="689">
        <f t="shared" si="111"/>
        <v>0</v>
      </c>
      <c r="T191" s="689">
        <f t="shared" si="111"/>
        <v>0</v>
      </c>
      <c r="U191" s="689">
        <f t="shared" si="111"/>
        <v>0</v>
      </c>
      <c r="V191" s="689">
        <f t="shared" si="111"/>
        <v>0</v>
      </c>
      <c r="W191" s="689">
        <f t="shared" si="111"/>
        <v>0</v>
      </c>
      <c r="X191" s="689">
        <f t="shared" si="111"/>
        <v>0</v>
      </c>
      <c r="Y191" s="689">
        <f t="shared" si="111"/>
        <v>3405.0769398733573</v>
      </c>
      <c r="Z191" s="689">
        <f t="shared" si="111"/>
        <v>35491.076939873361</v>
      </c>
      <c r="AA191" s="689">
        <f t="shared" si="111"/>
        <v>15000</v>
      </c>
      <c r="AB191" s="689">
        <f t="shared" si="111"/>
        <v>0</v>
      </c>
      <c r="AC191" s="689">
        <f t="shared" si="111"/>
        <v>15000</v>
      </c>
      <c r="AD191" s="689">
        <f t="shared" si="111"/>
        <v>440892.9232784803</v>
      </c>
      <c r="AE191" s="689">
        <f t="shared" si="111"/>
        <v>20449594.114733621</v>
      </c>
      <c r="AF191" s="690">
        <f t="shared" si="111"/>
        <v>-26654.399999999998</v>
      </c>
      <c r="AG191" s="690">
        <f t="shared" si="111"/>
        <v>-1217447.9999999995</v>
      </c>
      <c r="AH191" s="689">
        <f t="shared" si="111"/>
        <v>693</v>
      </c>
      <c r="AI191" s="689">
        <f t="shared" si="111"/>
        <v>22894645.007571138</v>
      </c>
    </row>
    <row r="192" spans="1:35">
      <c r="A192" s="685" t="s">
        <v>4</v>
      </c>
      <c r="B192" s="689">
        <f t="shared" ref="B192:AI192" si="112">SUM(B193:B198)</f>
        <v>7</v>
      </c>
      <c r="C192" s="689">
        <f t="shared" si="112"/>
        <v>6615.4</v>
      </c>
      <c r="D192" s="689">
        <f t="shared" si="112"/>
        <v>0</v>
      </c>
      <c r="E192" s="689">
        <f t="shared" si="112"/>
        <v>0</v>
      </c>
      <c r="F192" s="689">
        <f t="shared" si="112"/>
        <v>0</v>
      </c>
      <c r="G192" s="689">
        <f t="shared" si="112"/>
        <v>0</v>
      </c>
      <c r="H192" s="689">
        <f t="shared" si="112"/>
        <v>0</v>
      </c>
      <c r="I192" s="689">
        <f t="shared" si="112"/>
        <v>0</v>
      </c>
      <c r="J192" s="689">
        <f t="shared" si="112"/>
        <v>497.5</v>
      </c>
      <c r="K192" s="689">
        <f t="shared" si="112"/>
        <v>7112.9</v>
      </c>
      <c r="L192" s="689">
        <f t="shared" si="112"/>
        <v>3000</v>
      </c>
      <c r="M192" s="689">
        <f t="shared" si="112"/>
        <v>0</v>
      </c>
      <c r="N192" s="689">
        <f t="shared" si="112"/>
        <v>3000</v>
      </c>
      <c r="O192" s="689">
        <f t="shared" si="112"/>
        <v>88354.8</v>
      </c>
      <c r="P192" s="689">
        <f t="shared" si="112"/>
        <v>216956.79999999999</v>
      </c>
      <c r="Q192" s="689">
        <f t="shared" si="112"/>
        <v>7</v>
      </c>
      <c r="R192" s="689">
        <f t="shared" si="112"/>
        <v>14544</v>
      </c>
      <c r="S192" s="689">
        <f t="shared" si="112"/>
        <v>0</v>
      </c>
      <c r="T192" s="689">
        <f t="shared" si="112"/>
        <v>0</v>
      </c>
      <c r="U192" s="689">
        <f t="shared" si="112"/>
        <v>0</v>
      </c>
      <c r="V192" s="689">
        <f t="shared" si="112"/>
        <v>0</v>
      </c>
      <c r="W192" s="689">
        <f t="shared" si="112"/>
        <v>0</v>
      </c>
      <c r="X192" s="689">
        <f t="shared" si="112"/>
        <v>0</v>
      </c>
      <c r="Y192" s="689">
        <f t="shared" si="112"/>
        <v>497.5</v>
      </c>
      <c r="Z192" s="689">
        <f t="shared" si="112"/>
        <v>7584.5</v>
      </c>
      <c r="AA192" s="689">
        <f t="shared" si="112"/>
        <v>3000</v>
      </c>
      <c r="AB192" s="689">
        <f t="shared" si="112"/>
        <v>0</v>
      </c>
      <c r="AC192" s="689">
        <f t="shared" si="112"/>
        <v>3000</v>
      </c>
      <c r="AD192" s="689">
        <f t="shared" si="112"/>
        <v>94014</v>
      </c>
      <c r="AE192" s="689">
        <f t="shared" si="112"/>
        <v>230200</v>
      </c>
      <c r="AF192" s="690">
        <f t="shared" si="112"/>
        <v>-5659.1999999999971</v>
      </c>
      <c r="AG192" s="690">
        <f t="shared" si="112"/>
        <v>-13243.199999999997</v>
      </c>
      <c r="AH192" s="689">
        <f t="shared" si="112"/>
        <v>7</v>
      </c>
      <c r="AI192" s="689">
        <f t="shared" si="112"/>
        <v>254494.07078354683</v>
      </c>
    </row>
    <row r="193" spans="1:35">
      <c r="A193" s="687" t="s">
        <v>13</v>
      </c>
      <c r="B193" s="824"/>
      <c r="C193" s="732"/>
      <c r="D193" s="732"/>
      <c r="E193" s="732"/>
      <c r="F193" s="732"/>
      <c r="G193" s="732"/>
      <c r="H193" s="732"/>
      <c r="I193" s="732"/>
      <c r="J193" s="732"/>
      <c r="K193" s="732"/>
      <c r="L193" s="732"/>
      <c r="M193" s="732"/>
      <c r="N193" s="732"/>
      <c r="O193" s="732">
        <f t="shared" ref="O193:O198" si="113">(K193*12)+N193</f>
        <v>0</v>
      </c>
      <c r="P193" s="732">
        <f t="shared" ref="P193:P198" si="114">B193*O193</f>
        <v>0</v>
      </c>
      <c r="Q193" s="824"/>
      <c r="R193" s="732">
        <v>2513</v>
      </c>
      <c r="S193" s="732"/>
      <c r="T193" s="732"/>
      <c r="U193" s="732"/>
      <c r="V193" s="732"/>
      <c r="W193" s="732"/>
      <c r="X193" s="732"/>
      <c r="Y193" s="732"/>
      <c r="Z193" s="732"/>
      <c r="AA193" s="732"/>
      <c r="AB193" s="732"/>
      <c r="AC193" s="732"/>
      <c r="AD193" s="732">
        <f t="shared" ref="AD193:AD198" si="115">(Z193*12)+AC193</f>
        <v>0</v>
      </c>
      <c r="AE193" s="732">
        <f t="shared" ref="AE193:AE198" si="116">Q193*AD193</f>
        <v>0</v>
      </c>
      <c r="AF193" s="732">
        <f t="shared" ref="AF193:AG198" si="117">+O193-AD193</f>
        <v>0</v>
      </c>
      <c r="AG193" s="732">
        <f t="shared" si="117"/>
        <v>0</v>
      </c>
      <c r="AH193" s="824">
        <v>0</v>
      </c>
      <c r="AI193" s="732"/>
    </row>
    <row r="194" spans="1:35">
      <c r="A194" s="687" t="s">
        <v>6978</v>
      </c>
      <c r="B194" s="824"/>
      <c r="C194" s="732"/>
      <c r="D194" s="732"/>
      <c r="E194" s="732"/>
      <c r="F194" s="732"/>
      <c r="G194" s="732"/>
      <c r="H194" s="732"/>
      <c r="I194" s="732"/>
      <c r="J194" s="732"/>
      <c r="K194" s="732"/>
      <c r="L194" s="732"/>
      <c r="M194" s="732"/>
      <c r="N194" s="732"/>
      <c r="O194" s="732">
        <f t="shared" si="113"/>
        <v>0</v>
      </c>
      <c r="P194" s="732">
        <f t="shared" si="114"/>
        <v>0</v>
      </c>
      <c r="Q194" s="824"/>
      <c r="R194" s="732">
        <v>2502</v>
      </c>
      <c r="S194" s="732"/>
      <c r="T194" s="732"/>
      <c r="U194" s="732"/>
      <c r="V194" s="732"/>
      <c r="W194" s="732"/>
      <c r="X194" s="732"/>
      <c r="Y194" s="732"/>
      <c r="Z194" s="732"/>
      <c r="AA194" s="732"/>
      <c r="AB194" s="732"/>
      <c r="AC194" s="732"/>
      <c r="AD194" s="732">
        <f t="shared" si="115"/>
        <v>0</v>
      </c>
      <c r="AE194" s="732">
        <f t="shared" si="116"/>
        <v>0</v>
      </c>
      <c r="AF194" s="732">
        <f t="shared" si="117"/>
        <v>0</v>
      </c>
      <c r="AG194" s="732">
        <f t="shared" si="117"/>
        <v>0</v>
      </c>
      <c r="AH194" s="824">
        <v>0</v>
      </c>
      <c r="AI194" s="732"/>
    </row>
    <row r="195" spans="1:35">
      <c r="A195" s="687" t="s">
        <v>6977</v>
      </c>
      <c r="B195" s="824"/>
      <c r="C195" s="732"/>
      <c r="D195" s="732"/>
      <c r="E195" s="732"/>
      <c r="F195" s="732"/>
      <c r="G195" s="732"/>
      <c r="H195" s="732"/>
      <c r="I195" s="732"/>
      <c r="J195" s="732"/>
      <c r="K195" s="732"/>
      <c r="L195" s="732"/>
      <c r="M195" s="732"/>
      <c r="N195" s="732"/>
      <c r="O195" s="732">
        <f t="shared" si="113"/>
        <v>0</v>
      </c>
      <c r="P195" s="732">
        <f t="shared" si="114"/>
        <v>0</v>
      </c>
      <c r="Q195" s="824"/>
      <c r="R195" s="732">
        <v>2442</v>
      </c>
      <c r="S195" s="732"/>
      <c r="T195" s="732"/>
      <c r="U195" s="732"/>
      <c r="V195" s="732"/>
      <c r="W195" s="732"/>
      <c r="X195" s="732"/>
      <c r="Y195" s="732"/>
      <c r="Z195" s="732"/>
      <c r="AA195" s="732"/>
      <c r="AB195" s="732"/>
      <c r="AC195" s="732"/>
      <c r="AD195" s="732">
        <f t="shared" si="115"/>
        <v>0</v>
      </c>
      <c r="AE195" s="732">
        <f t="shared" si="116"/>
        <v>0</v>
      </c>
      <c r="AF195" s="732">
        <f t="shared" si="117"/>
        <v>0</v>
      </c>
      <c r="AG195" s="732">
        <f t="shared" si="117"/>
        <v>0</v>
      </c>
      <c r="AH195" s="824">
        <v>0</v>
      </c>
      <c r="AI195" s="732"/>
    </row>
    <row r="196" spans="1:35">
      <c r="A196" s="687" t="s">
        <v>6976</v>
      </c>
      <c r="B196" s="825">
        <v>2</v>
      </c>
      <c r="C196" s="732">
        <v>2225</v>
      </c>
      <c r="D196" s="732"/>
      <c r="E196" s="732"/>
      <c r="F196" s="732"/>
      <c r="G196" s="732"/>
      <c r="H196" s="732"/>
      <c r="I196" s="732"/>
      <c r="J196" s="732"/>
      <c r="K196" s="816">
        <f>SUM(C196:J196)</f>
        <v>2225</v>
      </c>
      <c r="L196" s="824">
        <f>300+300+400</f>
        <v>1000</v>
      </c>
      <c r="M196" s="732"/>
      <c r="N196" s="816">
        <f>+L196+M196</f>
        <v>1000</v>
      </c>
      <c r="O196" s="732">
        <f t="shared" si="113"/>
        <v>27700</v>
      </c>
      <c r="P196" s="732">
        <f t="shared" si="114"/>
        <v>55400</v>
      </c>
      <c r="Q196" s="825">
        <v>2</v>
      </c>
      <c r="R196" s="732">
        <v>2383</v>
      </c>
      <c r="S196" s="732"/>
      <c r="T196" s="732"/>
      <c r="U196" s="732"/>
      <c r="V196" s="732"/>
      <c r="W196" s="732"/>
      <c r="X196" s="732"/>
      <c r="Y196" s="732"/>
      <c r="Z196" s="816">
        <f>SUM(R196:Y196)</f>
        <v>2383</v>
      </c>
      <c r="AA196" s="824">
        <f>300+300+400</f>
        <v>1000</v>
      </c>
      <c r="AB196" s="732"/>
      <c r="AC196" s="816">
        <f>+AA196+AB196</f>
        <v>1000</v>
      </c>
      <c r="AD196" s="732">
        <f t="shared" si="115"/>
        <v>29596</v>
      </c>
      <c r="AE196" s="732">
        <f t="shared" si="116"/>
        <v>59192</v>
      </c>
      <c r="AF196" s="732">
        <f t="shared" si="117"/>
        <v>-1896</v>
      </c>
      <c r="AG196" s="732">
        <f t="shared" si="117"/>
        <v>-3792</v>
      </c>
      <c r="AH196" s="825">
        <v>2</v>
      </c>
      <c r="AI196" s="816">
        <v>72956.020223870524</v>
      </c>
    </row>
    <row r="197" spans="1:35">
      <c r="A197" s="687" t="s">
        <v>14</v>
      </c>
      <c r="B197" s="825">
        <v>4</v>
      </c>
      <c r="C197" s="732">
        <v>2222</v>
      </c>
      <c r="D197" s="732"/>
      <c r="E197" s="732"/>
      <c r="F197" s="732"/>
      <c r="G197" s="732"/>
      <c r="H197" s="732"/>
      <c r="I197" s="732"/>
      <c r="J197" s="732">
        <v>497.5</v>
      </c>
      <c r="K197" s="816">
        <f>SUM(C197:J197)</f>
        <v>2719.5</v>
      </c>
      <c r="L197" s="824">
        <f>300+300+400</f>
        <v>1000</v>
      </c>
      <c r="M197" s="732"/>
      <c r="N197" s="816">
        <f>+L197+M197</f>
        <v>1000</v>
      </c>
      <c r="O197" s="732">
        <f t="shared" si="113"/>
        <v>33634</v>
      </c>
      <c r="P197" s="732">
        <f t="shared" si="114"/>
        <v>134536</v>
      </c>
      <c r="Q197" s="825">
        <v>4</v>
      </c>
      <c r="R197" s="732">
        <v>2380</v>
      </c>
      <c r="S197" s="732"/>
      <c r="T197" s="732"/>
      <c r="U197" s="732"/>
      <c r="V197" s="732"/>
      <c r="W197" s="732"/>
      <c r="X197" s="732"/>
      <c r="Y197" s="732">
        <v>497.5</v>
      </c>
      <c r="Z197" s="816">
        <f>SUM(R197:Y197)</f>
        <v>2877.5</v>
      </c>
      <c r="AA197" s="824">
        <f>300+300+400</f>
        <v>1000</v>
      </c>
      <c r="AB197" s="732"/>
      <c r="AC197" s="816">
        <f>+AA197+AB197</f>
        <v>1000</v>
      </c>
      <c r="AD197" s="732">
        <f t="shared" si="115"/>
        <v>35530</v>
      </c>
      <c r="AE197" s="732">
        <f t="shared" si="116"/>
        <v>142120</v>
      </c>
      <c r="AF197" s="732">
        <f t="shared" si="117"/>
        <v>-1896</v>
      </c>
      <c r="AG197" s="732">
        <f t="shared" si="117"/>
        <v>-7584</v>
      </c>
      <c r="AH197" s="825">
        <v>4</v>
      </c>
      <c r="AI197" s="816">
        <v>145768.04044774105</v>
      </c>
    </row>
    <row r="198" spans="1:35">
      <c r="A198" s="687" t="s">
        <v>6975</v>
      </c>
      <c r="B198" s="825">
        <v>1</v>
      </c>
      <c r="C198" s="732">
        <v>2168.4</v>
      </c>
      <c r="D198" s="732"/>
      <c r="E198" s="732"/>
      <c r="F198" s="732"/>
      <c r="G198" s="732"/>
      <c r="H198" s="732"/>
      <c r="I198" s="732"/>
      <c r="J198" s="732"/>
      <c r="K198" s="816">
        <f>SUM(C198:J198)</f>
        <v>2168.4</v>
      </c>
      <c r="L198" s="824">
        <f>300+300+400</f>
        <v>1000</v>
      </c>
      <c r="M198" s="732"/>
      <c r="N198" s="816">
        <f>+L198+M198</f>
        <v>1000</v>
      </c>
      <c r="O198" s="732">
        <f t="shared" si="113"/>
        <v>27020.800000000003</v>
      </c>
      <c r="P198" s="732">
        <f t="shared" si="114"/>
        <v>27020.800000000003</v>
      </c>
      <c r="Q198" s="825">
        <v>1</v>
      </c>
      <c r="R198" s="732">
        <v>2324</v>
      </c>
      <c r="S198" s="732"/>
      <c r="T198" s="732"/>
      <c r="U198" s="732"/>
      <c r="V198" s="732"/>
      <c r="W198" s="732"/>
      <c r="X198" s="732"/>
      <c r="Y198" s="732"/>
      <c r="Z198" s="816">
        <f>SUM(R198:Y198)</f>
        <v>2324</v>
      </c>
      <c r="AA198" s="824">
        <f>300+300+400</f>
        <v>1000</v>
      </c>
      <c r="AB198" s="732"/>
      <c r="AC198" s="816">
        <f>+AA198+AB198</f>
        <v>1000</v>
      </c>
      <c r="AD198" s="732">
        <f t="shared" si="115"/>
        <v>28888</v>
      </c>
      <c r="AE198" s="732">
        <f t="shared" si="116"/>
        <v>28888</v>
      </c>
      <c r="AF198" s="732">
        <f t="shared" si="117"/>
        <v>-1867.1999999999971</v>
      </c>
      <c r="AG198" s="732">
        <f t="shared" si="117"/>
        <v>-1867.1999999999971</v>
      </c>
      <c r="AH198" s="825">
        <v>1</v>
      </c>
      <c r="AI198" s="816">
        <v>35770.010111935262</v>
      </c>
    </row>
    <row r="199" spans="1:35">
      <c r="A199" s="685" t="s">
        <v>5</v>
      </c>
      <c r="B199" s="689">
        <f t="shared" ref="B199:AI199" si="118">SUM(B200:B205)</f>
        <v>220</v>
      </c>
      <c r="C199" s="689">
        <f t="shared" si="118"/>
        <v>11738.400000000001</v>
      </c>
      <c r="D199" s="689">
        <f t="shared" si="118"/>
        <v>0</v>
      </c>
      <c r="E199" s="689">
        <f t="shared" si="118"/>
        <v>0</v>
      </c>
      <c r="F199" s="689">
        <f t="shared" si="118"/>
        <v>0</v>
      </c>
      <c r="G199" s="689">
        <f t="shared" si="118"/>
        <v>0</v>
      </c>
      <c r="H199" s="689">
        <f t="shared" si="118"/>
        <v>0</v>
      </c>
      <c r="I199" s="689">
        <f t="shared" si="118"/>
        <v>0</v>
      </c>
      <c r="J199" s="689">
        <f t="shared" si="118"/>
        <v>1748.1488203463202</v>
      </c>
      <c r="K199" s="689">
        <f t="shared" si="118"/>
        <v>13486.548820346321</v>
      </c>
      <c r="L199" s="689">
        <f t="shared" si="118"/>
        <v>6000</v>
      </c>
      <c r="M199" s="689">
        <f t="shared" si="118"/>
        <v>0</v>
      </c>
      <c r="N199" s="689">
        <f t="shared" si="118"/>
        <v>6000</v>
      </c>
      <c r="O199" s="689">
        <f t="shared" si="118"/>
        <v>167838.58584415584</v>
      </c>
      <c r="P199" s="689">
        <f t="shared" si="118"/>
        <v>6209699.5812987015</v>
      </c>
      <c r="Q199" s="689">
        <f t="shared" si="118"/>
        <v>220</v>
      </c>
      <c r="R199" s="689">
        <f t="shared" si="118"/>
        <v>12618</v>
      </c>
      <c r="S199" s="689">
        <f t="shared" si="118"/>
        <v>0</v>
      </c>
      <c r="T199" s="689">
        <f t="shared" si="118"/>
        <v>0</v>
      </c>
      <c r="U199" s="689">
        <f t="shared" si="118"/>
        <v>0</v>
      </c>
      <c r="V199" s="689">
        <f t="shared" si="118"/>
        <v>0</v>
      </c>
      <c r="W199" s="689">
        <f t="shared" si="118"/>
        <v>0</v>
      </c>
      <c r="X199" s="689">
        <f t="shared" si="118"/>
        <v>0</v>
      </c>
      <c r="Y199" s="689">
        <f t="shared" si="118"/>
        <v>1748.1488203463202</v>
      </c>
      <c r="Z199" s="689">
        <f t="shared" si="118"/>
        <v>14366.14882034632</v>
      </c>
      <c r="AA199" s="689">
        <f t="shared" si="118"/>
        <v>6000</v>
      </c>
      <c r="AB199" s="689">
        <f t="shared" si="118"/>
        <v>0</v>
      </c>
      <c r="AC199" s="689">
        <f t="shared" si="118"/>
        <v>6000</v>
      </c>
      <c r="AD199" s="689">
        <f t="shared" si="118"/>
        <v>178393.78584415582</v>
      </c>
      <c r="AE199" s="689">
        <f t="shared" si="118"/>
        <v>6599301.1812987011</v>
      </c>
      <c r="AF199" s="690">
        <f t="shared" si="118"/>
        <v>-10555.199999999997</v>
      </c>
      <c r="AG199" s="690">
        <f t="shared" si="118"/>
        <v>-389601.5999999991</v>
      </c>
      <c r="AH199" s="689">
        <f t="shared" si="118"/>
        <v>220</v>
      </c>
      <c r="AI199" s="689">
        <f t="shared" si="118"/>
        <v>7342614.2246257588</v>
      </c>
    </row>
    <row r="200" spans="1:35">
      <c r="A200" s="687" t="s">
        <v>6974</v>
      </c>
      <c r="B200" s="825">
        <v>50</v>
      </c>
      <c r="C200" s="732">
        <v>1996.6</v>
      </c>
      <c r="D200" s="732"/>
      <c r="E200" s="732"/>
      <c r="F200" s="732"/>
      <c r="G200" s="732"/>
      <c r="H200" s="732"/>
      <c r="I200" s="732"/>
      <c r="J200" s="732">
        <v>165.53750000000002</v>
      </c>
      <c r="K200" s="816">
        <f t="shared" ref="K200:K205" si="119">SUM(C200:J200)</f>
        <v>2162.1374999999998</v>
      </c>
      <c r="L200" s="824">
        <f t="shared" ref="L200:L205" si="120">300+300+400</f>
        <v>1000</v>
      </c>
      <c r="M200" s="732"/>
      <c r="N200" s="816">
        <f t="shared" ref="N200:N205" si="121">+L200+M200</f>
        <v>1000</v>
      </c>
      <c r="O200" s="732">
        <f t="shared" ref="O200:O205" si="122">(K200*12)+N200</f>
        <v>26945.649999999998</v>
      </c>
      <c r="P200" s="732">
        <f t="shared" ref="P200:P205" si="123">B200*O200</f>
        <v>1347282.5</v>
      </c>
      <c r="Q200" s="825">
        <v>50</v>
      </c>
      <c r="R200" s="732">
        <v>2145</v>
      </c>
      <c r="S200" s="732"/>
      <c r="T200" s="732"/>
      <c r="U200" s="732"/>
      <c r="V200" s="732"/>
      <c r="W200" s="732"/>
      <c r="X200" s="732"/>
      <c r="Y200" s="732">
        <v>165.53750000000002</v>
      </c>
      <c r="Z200" s="816">
        <f t="shared" ref="Z200:Z205" si="124">SUM(R200:Y200)</f>
        <v>2310.5374999999999</v>
      </c>
      <c r="AA200" s="824">
        <f t="shared" ref="AA200:AA205" si="125">300+300+400</f>
        <v>1000</v>
      </c>
      <c r="AB200" s="732"/>
      <c r="AC200" s="816">
        <f t="shared" ref="AC200:AC205" si="126">+AA200+AB200</f>
        <v>1000</v>
      </c>
      <c r="AD200" s="732">
        <f t="shared" ref="AD200:AD205" si="127">(Z200*12)+AC200</f>
        <v>28726.449999999997</v>
      </c>
      <c r="AE200" s="732">
        <f t="shared" ref="AE200:AE205" si="128">Q200*AD200</f>
        <v>1436322.4999999998</v>
      </c>
      <c r="AF200" s="732">
        <f t="shared" ref="AF200:AG205" si="129">+O200-AD200</f>
        <v>-1780.7999999999993</v>
      </c>
      <c r="AG200" s="732">
        <f t="shared" si="129"/>
        <v>-89039.999999999767</v>
      </c>
      <c r="AH200" s="825">
        <v>50</v>
      </c>
      <c r="AI200" s="816">
        <v>1681100.5055967632</v>
      </c>
    </row>
    <row r="201" spans="1:35">
      <c r="A201" s="687" t="s">
        <v>6973</v>
      </c>
      <c r="B201" s="825">
        <v>127</v>
      </c>
      <c r="C201" s="732">
        <v>1979.2</v>
      </c>
      <c r="D201" s="732"/>
      <c r="E201" s="732"/>
      <c r="F201" s="732"/>
      <c r="G201" s="732"/>
      <c r="H201" s="732"/>
      <c r="I201" s="732"/>
      <c r="J201" s="732">
        <v>334.79904761904754</v>
      </c>
      <c r="K201" s="816">
        <f t="shared" si="119"/>
        <v>2313.9990476190478</v>
      </c>
      <c r="L201" s="824">
        <f t="shared" si="120"/>
        <v>1000</v>
      </c>
      <c r="M201" s="732"/>
      <c r="N201" s="816">
        <f t="shared" si="121"/>
        <v>1000</v>
      </c>
      <c r="O201" s="732">
        <f t="shared" si="122"/>
        <v>28767.988571428574</v>
      </c>
      <c r="P201" s="732">
        <f t="shared" si="123"/>
        <v>3653534.5485714287</v>
      </c>
      <c r="Q201" s="825">
        <v>127</v>
      </c>
      <c r="R201" s="732">
        <v>2127</v>
      </c>
      <c r="S201" s="732"/>
      <c r="T201" s="732"/>
      <c r="U201" s="732"/>
      <c r="V201" s="732"/>
      <c r="W201" s="732"/>
      <c r="X201" s="732"/>
      <c r="Y201" s="732">
        <v>334.79904761904754</v>
      </c>
      <c r="Z201" s="816">
        <f t="shared" si="124"/>
        <v>2461.7990476190475</v>
      </c>
      <c r="AA201" s="824">
        <f t="shared" si="125"/>
        <v>1000</v>
      </c>
      <c r="AB201" s="732"/>
      <c r="AC201" s="816">
        <f t="shared" si="126"/>
        <v>1000</v>
      </c>
      <c r="AD201" s="732">
        <f t="shared" si="127"/>
        <v>30541.588571428569</v>
      </c>
      <c r="AE201" s="732">
        <f t="shared" si="128"/>
        <v>3878781.748571428</v>
      </c>
      <c r="AF201" s="732">
        <f t="shared" si="129"/>
        <v>-1773.5999999999949</v>
      </c>
      <c r="AG201" s="732">
        <f t="shared" si="129"/>
        <v>-225247.19999999925</v>
      </c>
      <c r="AH201" s="825">
        <v>127</v>
      </c>
      <c r="AI201" s="816">
        <v>4242563.284215779</v>
      </c>
    </row>
    <row r="202" spans="1:35">
      <c r="A202" s="687" t="s">
        <v>6972</v>
      </c>
      <c r="B202" s="825">
        <v>21</v>
      </c>
      <c r="C202" s="732">
        <v>1962.4</v>
      </c>
      <c r="D202" s="732"/>
      <c r="E202" s="732"/>
      <c r="F202" s="732"/>
      <c r="G202" s="732"/>
      <c r="H202" s="732"/>
      <c r="I202" s="732"/>
      <c r="J202" s="732">
        <v>309.64727272727271</v>
      </c>
      <c r="K202" s="816">
        <f t="shared" si="119"/>
        <v>2272.0472727272727</v>
      </c>
      <c r="L202" s="824">
        <f t="shared" si="120"/>
        <v>1000</v>
      </c>
      <c r="M202" s="732"/>
      <c r="N202" s="816">
        <f t="shared" si="121"/>
        <v>1000</v>
      </c>
      <c r="O202" s="732">
        <f t="shared" si="122"/>
        <v>28264.567272727272</v>
      </c>
      <c r="P202" s="732">
        <f t="shared" si="123"/>
        <v>593555.91272727272</v>
      </c>
      <c r="Q202" s="825">
        <v>21</v>
      </c>
      <c r="R202" s="732">
        <v>2109</v>
      </c>
      <c r="S202" s="732"/>
      <c r="T202" s="732"/>
      <c r="U202" s="732"/>
      <c r="V202" s="732"/>
      <c r="W202" s="732"/>
      <c r="X202" s="732"/>
      <c r="Y202" s="732">
        <v>309.64727272727271</v>
      </c>
      <c r="Z202" s="816">
        <f t="shared" si="124"/>
        <v>2418.6472727272726</v>
      </c>
      <c r="AA202" s="824">
        <f t="shared" si="125"/>
        <v>1000</v>
      </c>
      <c r="AB202" s="732"/>
      <c r="AC202" s="816">
        <f t="shared" si="126"/>
        <v>1000</v>
      </c>
      <c r="AD202" s="732">
        <f t="shared" si="127"/>
        <v>30023.767272727273</v>
      </c>
      <c r="AE202" s="732">
        <f t="shared" si="128"/>
        <v>630499.11272727279</v>
      </c>
      <c r="AF202" s="732">
        <f t="shared" si="129"/>
        <v>-1759.2000000000007</v>
      </c>
      <c r="AG202" s="732">
        <f t="shared" si="129"/>
        <v>-36943.20000000007</v>
      </c>
      <c r="AH202" s="825">
        <v>21</v>
      </c>
      <c r="AI202" s="816">
        <v>696990.21235064056</v>
      </c>
    </row>
    <row r="203" spans="1:35">
      <c r="A203" s="687" t="s">
        <v>6971</v>
      </c>
      <c r="B203" s="825">
        <v>9</v>
      </c>
      <c r="C203" s="732">
        <v>1945</v>
      </c>
      <c r="D203" s="732"/>
      <c r="E203" s="732"/>
      <c r="F203" s="732"/>
      <c r="G203" s="732"/>
      <c r="H203" s="732"/>
      <c r="I203" s="732"/>
      <c r="J203" s="732">
        <v>343.16500000000002</v>
      </c>
      <c r="K203" s="816">
        <f t="shared" si="119"/>
        <v>2288.165</v>
      </c>
      <c r="L203" s="824">
        <f t="shared" si="120"/>
        <v>1000</v>
      </c>
      <c r="M203" s="732"/>
      <c r="N203" s="816">
        <f t="shared" si="121"/>
        <v>1000</v>
      </c>
      <c r="O203" s="732">
        <f t="shared" si="122"/>
        <v>28457.98</v>
      </c>
      <c r="P203" s="732">
        <f t="shared" si="123"/>
        <v>256121.82</v>
      </c>
      <c r="Q203" s="825">
        <v>9</v>
      </c>
      <c r="R203" s="732">
        <v>2091</v>
      </c>
      <c r="S203" s="732"/>
      <c r="T203" s="732"/>
      <c r="U203" s="732"/>
      <c r="V203" s="732"/>
      <c r="W203" s="732"/>
      <c r="X203" s="732"/>
      <c r="Y203" s="732">
        <v>343.16500000000002</v>
      </c>
      <c r="Z203" s="816">
        <f t="shared" si="124"/>
        <v>2434.165</v>
      </c>
      <c r="AA203" s="824">
        <f t="shared" si="125"/>
        <v>1000</v>
      </c>
      <c r="AB203" s="732"/>
      <c r="AC203" s="816">
        <f t="shared" si="126"/>
        <v>1000</v>
      </c>
      <c r="AD203" s="732">
        <f t="shared" si="127"/>
        <v>30209.98</v>
      </c>
      <c r="AE203" s="732">
        <f t="shared" si="128"/>
        <v>271889.82</v>
      </c>
      <c r="AF203" s="732">
        <f t="shared" si="129"/>
        <v>-1752</v>
      </c>
      <c r="AG203" s="732">
        <f t="shared" si="129"/>
        <v>-15768</v>
      </c>
      <c r="AH203" s="825">
        <v>9</v>
      </c>
      <c r="AI203" s="816">
        <v>296766.09100741742</v>
      </c>
    </row>
    <row r="204" spans="1:35">
      <c r="A204" s="687" t="s">
        <v>16</v>
      </c>
      <c r="B204" s="825">
        <v>1</v>
      </c>
      <c r="C204" s="732">
        <v>1932</v>
      </c>
      <c r="D204" s="732"/>
      <c r="E204" s="732"/>
      <c r="F204" s="732"/>
      <c r="G204" s="732"/>
      <c r="H204" s="732"/>
      <c r="I204" s="732"/>
      <c r="J204" s="732">
        <v>300</v>
      </c>
      <c r="K204" s="816">
        <f t="shared" si="119"/>
        <v>2232</v>
      </c>
      <c r="L204" s="824">
        <f t="shared" si="120"/>
        <v>1000</v>
      </c>
      <c r="M204" s="732"/>
      <c r="N204" s="816">
        <f t="shared" si="121"/>
        <v>1000</v>
      </c>
      <c r="O204" s="732">
        <f t="shared" si="122"/>
        <v>27784</v>
      </c>
      <c r="P204" s="732">
        <f t="shared" si="123"/>
        <v>27784</v>
      </c>
      <c r="Q204" s="825">
        <v>1</v>
      </c>
      <c r="R204" s="732">
        <v>2078</v>
      </c>
      <c r="S204" s="732"/>
      <c r="T204" s="732"/>
      <c r="U204" s="732"/>
      <c r="V204" s="732"/>
      <c r="W204" s="732"/>
      <c r="X204" s="732"/>
      <c r="Y204" s="732">
        <v>300</v>
      </c>
      <c r="Z204" s="816">
        <f t="shared" si="124"/>
        <v>2378</v>
      </c>
      <c r="AA204" s="824">
        <f t="shared" si="125"/>
        <v>1000</v>
      </c>
      <c r="AB204" s="732"/>
      <c r="AC204" s="816">
        <f t="shared" si="126"/>
        <v>1000</v>
      </c>
      <c r="AD204" s="732">
        <f t="shared" si="127"/>
        <v>29536</v>
      </c>
      <c r="AE204" s="732">
        <f t="shared" si="128"/>
        <v>29536</v>
      </c>
      <c r="AF204" s="732">
        <f t="shared" si="129"/>
        <v>-1752</v>
      </c>
      <c r="AG204" s="732">
        <f t="shared" si="129"/>
        <v>-1752</v>
      </c>
      <c r="AH204" s="825">
        <v>1</v>
      </c>
      <c r="AI204" s="816">
        <v>32818.010111935262</v>
      </c>
    </row>
    <row r="205" spans="1:35">
      <c r="A205" s="687" t="s">
        <v>6970</v>
      </c>
      <c r="B205" s="825">
        <v>12</v>
      </c>
      <c r="C205" s="732">
        <v>1923.2</v>
      </c>
      <c r="D205" s="732"/>
      <c r="E205" s="732"/>
      <c r="F205" s="732"/>
      <c r="G205" s="732"/>
      <c r="H205" s="732"/>
      <c r="I205" s="732"/>
      <c r="J205" s="732">
        <v>295</v>
      </c>
      <c r="K205" s="816">
        <f t="shared" si="119"/>
        <v>2218.1999999999998</v>
      </c>
      <c r="L205" s="824">
        <f t="shared" si="120"/>
        <v>1000</v>
      </c>
      <c r="M205" s="732"/>
      <c r="N205" s="816">
        <f t="shared" si="121"/>
        <v>1000</v>
      </c>
      <c r="O205" s="732">
        <f t="shared" si="122"/>
        <v>27618.399999999998</v>
      </c>
      <c r="P205" s="732">
        <f t="shared" si="123"/>
        <v>331420.79999999999</v>
      </c>
      <c r="Q205" s="825">
        <v>12</v>
      </c>
      <c r="R205" s="732">
        <v>2068</v>
      </c>
      <c r="S205" s="732"/>
      <c r="T205" s="732"/>
      <c r="U205" s="732"/>
      <c r="V205" s="732"/>
      <c r="W205" s="732"/>
      <c r="X205" s="732"/>
      <c r="Y205" s="732">
        <v>295</v>
      </c>
      <c r="Z205" s="816">
        <f t="shared" si="124"/>
        <v>2363</v>
      </c>
      <c r="AA205" s="824">
        <f t="shared" si="125"/>
        <v>1000</v>
      </c>
      <c r="AB205" s="732"/>
      <c r="AC205" s="816">
        <f t="shared" si="126"/>
        <v>1000</v>
      </c>
      <c r="AD205" s="732">
        <f t="shared" si="127"/>
        <v>29356</v>
      </c>
      <c r="AE205" s="732">
        <f t="shared" si="128"/>
        <v>352272</v>
      </c>
      <c r="AF205" s="732">
        <f t="shared" si="129"/>
        <v>-1737.6000000000022</v>
      </c>
      <c r="AG205" s="732">
        <f t="shared" si="129"/>
        <v>-20851.200000000012</v>
      </c>
      <c r="AH205" s="825">
        <v>12</v>
      </c>
      <c r="AI205" s="816">
        <v>392376.1213432232</v>
      </c>
    </row>
    <row r="206" spans="1:35">
      <c r="A206" s="685" t="s">
        <v>6</v>
      </c>
      <c r="B206" s="689">
        <f t="shared" ref="B206:AI206" si="130">SUM(B207:B213)</f>
        <v>466</v>
      </c>
      <c r="C206" s="689">
        <f t="shared" si="130"/>
        <v>11510.999999999998</v>
      </c>
      <c r="D206" s="689">
        <f t="shared" si="130"/>
        <v>0</v>
      </c>
      <c r="E206" s="689">
        <f t="shared" si="130"/>
        <v>0</v>
      </c>
      <c r="F206" s="689">
        <f t="shared" si="130"/>
        <v>0</v>
      </c>
      <c r="G206" s="689">
        <f t="shared" si="130"/>
        <v>0</v>
      </c>
      <c r="H206" s="689">
        <f t="shared" si="130"/>
        <v>0</v>
      </c>
      <c r="I206" s="689">
        <f t="shared" si="130"/>
        <v>0</v>
      </c>
      <c r="J206" s="689">
        <f t="shared" si="130"/>
        <v>1159.4281195270369</v>
      </c>
      <c r="K206" s="689">
        <f t="shared" si="130"/>
        <v>12670.428119527036</v>
      </c>
      <c r="L206" s="689">
        <f t="shared" si="130"/>
        <v>6000</v>
      </c>
      <c r="M206" s="689">
        <f t="shared" si="130"/>
        <v>0</v>
      </c>
      <c r="N206" s="689">
        <f t="shared" si="130"/>
        <v>6000</v>
      </c>
      <c r="O206" s="689">
        <f t="shared" si="130"/>
        <v>158045.13743432442</v>
      </c>
      <c r="P206" s="689">
        <f t="shared" si="130"/>
        <v>12805489.733434917</v>
      </c>
      <c r="Q206" s="689">
        <f t="shared" si="130"/>
        <v>466</v>
      </c>
      <c r="R206" s="689">
        <f t="shared" si="130"/>
        <v>12381</v>
      </c>
      <c r="S206" s="689">
        <f t="shared" si="130"/>
        <v>0</v>
      </c>
      <c r="T206" s="689">
        <f t="shared" si="130"/>
        <v>0</v>
      </c>
      <c r="U206" s="689">
        <f t="shared" si="130"/>
        <v>0</v>
      </c>
      <c r="V206" s="689">
        <f t="shared" si="130"/>
        <v>0</v>
      </c>
      <c r="W206" s="689">
        <f t="shared" si="130"/>
        <v>0</v>
      </c>
      <c r="X206" s="689">
        <f t="shared" si="130"/>
        <v>0</v>
      </c>
      <c r="Y206" s="689">
        <f t="shared" si="130"/>
        <v>1159.4281195270369</v>
      </c>
      <c r="Z206" s="689">
        <f t="shared" si="130"/>
        <v>13540.42811952704</v>
      </c>
      <c r="AA206" s="689">
        <f t="shared" si="130"/>
        <v>6000</v>
      </c>
      <c r="AB206" s="689">
        <f t="shared" si="130"/>
        <v>0</v>
      </c>
      <c r="AC206" s="689">
        <f t="shared" si="130"/>
        <v>6000</v>
      </c>
      <c r="AD206" s="689">
        <f t="shared" si="130"/>
        <v>168485.13743432445</v>
      </c>
      <c r="AE206" s="689">
        <f t="shared" si="130"/>
        <v>13620092.93343492</v>
      </c>
      <c r="AF206" s="690">
        <f t="shared" si="130"/>
        <v>-10440.000000000004</v>
      </c>
      <c r="AG206" s="690">
        <f t="shared" si="130"/>
        <v>-814603.20000000042</v>
      </c>
      <c r="AH206" s="689">
        <f t="shared" si="130"/>
        <v>466</v>
      </c>
      <c r="AI206" s="689">
        <f t="shared" si="130"/>
        <v>15297536.712161833</v>
      </c>
    </row>
    <row r="207" spans="1:35">
      <c r="A207" s="687" t="s">
        <v>17</v>
      </c>
      <c r="B207" s="825">
        <v>265</v>
      </c>
      <c r="C207" s="732">
        <v>1940</v>
      </c>
      <c r="D207" s="732"/>
      <c r="E207" s="732"/>
      <c r="F207" s="732"/>
      <c r="G207" s="732"/>
      <c r="H207" s="732"/>
      <c r="I207" s="732"/>
      <c r="J207" s="732">
        <v>308.39088235294082</v>
      </c>
      <c r="K207" s="816">
        <f t="shared" ref="K207:K212" si="131">SUM(C207:J207)</f>
        <v>2248.3908823529409</v>
      </c>
      <c r="L207" s="824">
        <f t="shared" ref="L207:L212" si="132">300+300+400</f>
        <v>1000</v>
      </c>
      <c r="M207" s="732"/>
      <c r="N207" s="816">
        <f t="shared" ref="N207:N212" si="133">+L207+M207</f>
        <v>1000</v>
      </c>
      <c r="O207" s="732">
        <f t="shared" ref="O207:O213" si="134">(K207*12)+N207</f>
        <v>27980.690588235291</v>
      </c>
      <c r="P207" s="732">
        <f t="shared" ref="P207:P213" si="135">B207*O207</f>
        <v>7414883.0058823526</v>
      </c>
      <c r="Q207" s="825">
        <v>265</v>
      </c>
      <c r="R207" s="732">
        <v>2086</v>
      </c>
      <c r="S207" s="732"/>
      <c r="T207" s="732"/>
      <c r="U207" s="732"/>
      <c r="V207" s="732"/>
      <c r="W207" s="732"/>
      <c r="X207" s="732"/>
      <c r="Y207" s="732">
        <v>308.39088235294082</v>
      </c>
      <c r="Z207" s="816">
        <f t="shared" ref="Z207:Z212" si="136">SUM(R207:Y207)</f>
        <v>2394.3908823529409</v>
      </c>
      <c r="AA207" s="824">
        <f t="shared" ref="AA207:AA212" si="137">300+300+400</f>
        <v>1000</v>
      </c>
      <c r="AB207" s="732"/>
      <c r="AC207" s="816">
        <f t="shared" ref="AC207:AC212" si="138">+AA207+AB207</f>
        <v>1000</v>
      </c>
      <c r="AD207" s="732">
        <f t="shared" ref="AD207:AD213" si="139">(Z207*12)+AC207</f>
        <v>29732.690588235291</v>
      </c>
      <c r="AE207" s="732">
        <f t="shared" ref="AE207:AE213" si="140">Q207*AD207</f>
        <v>7879163.0058823526</v>
      </c>
      <c r="AF207" s="732">
        <f t="shared" ref="AF207:AG213" si="141">+O207-AD207</f>
        <v>-1752</v>
      </c>
      <c r="AG207" s="732">
        <f t="shared" si="141"/>
        <v>-464280</v>
      </c>
      <c r="AH207" s="825">
        <v>265</v>
      </c>
      <c r="AI207" s="816">
        <v>8722212.679662846</v>
      </c>
    </row>
    <row r="208" spans="1:35">
      <c r="A208" s="687" t="s">
        <v>6969</v>
      </c>
      <c r="B208" s="825">
        <v>101</v>
      </c>
      <c r="C208" s="732">
        <v>1931.6</v>
      </c>
      <c r="D208" s="732"/>
      <c r="E208" s="732"/>
      <c r="F208" s="732"/>
      <c r="G208" s="732"/>
      <c r="H208" s="732"/>
      <c r="I208" s="732"/>
      <c r="J208" s="732">
        <v>262.51931034482766</v>
      </c>
      <c r="K208" s="816">
        <f t="shared" si="131"/>
        <v>2194.1193103448277</v>
      </c>
      <c r="L208" s="824">
        <f t="shared" si="132"/>
        <v>1000</v>
      </c>
      <c r="M208" s="732"/>
      <c r="N208" s="816">
        <f t="shared" si="133"/>
        <v>1000</v>
      </c>
      <c r="O208" s="732">
        <f t="shared" si="134"/>
        <v>27329.431724137932</v>
      </c>
      <c r="P208" s="732">
        <f t="shared" si="135"/>
        <v>2760272.604137931</v>
      </c>
      <c r="Q208" s="825">
        <v>101</v>
      </c>
      <c r="R208" s="732">
        <v>2077</v>
      </c>
      <c r="S208" s="732"/>
      <c r="T208" s="732"/>
      <c r="U208" s="732"/>
      <c r="V208" s="732"/>
      <c r="W208" s="732"/>
      <c r="X208" s="732"/>
      <c r="Y208" s="732">
        <v>262.51931034482766</v>
      </c>
      <c r="Z208" s="816">
        <f t="shared" si="136"/>
        <v>2339.5193103448278</v>
      </c>
      <c r="AA208" s="824">
        <f t="shared" si="137"/>
        <v>1000</v>
      </c>
      <c r="AB208" s="732"/>
      <c r="AC208" s="816">
        <f t="shared" si="138"/>
        <v>1000</v>
      </c>
      <c r="AD208" s="732">
        <f t="shared" si="139"/>
        <v>29074.231724137935</v>
      </c>
      <c r="AE208" s="732">
        <f t="shared" si="140"/>
        <v>2936497.4041379313</v>
      </c>
      <c r="AF208" s="732">
        <f t="shared" si="141"/>
        <v>-1744.8000000000029</v>
      </c>
      <c r="AG208" s="732">
        <f t="shared" si="141"/>
        <v>-176224.80000000028</v>
      </c>
      <c r="AH208" s="825">
        <v>101</v>
      </c>
      <c r="AI208" s="816">
        <v>3313407.0213054623</v>
      </c>
    </row>
    <row r="209" spans="1:35">
      <c r="A209" s="687" t="s">
        <v>6968</v>
      </c>
      <c r="B209" s="825">
        <v>69</v>
      </c>
      <c r="C209" s="732">
        <v>1922.6</v>
      </c>
      <c r="D209" s="732"/>
      <c r="E209" s="732"/>
      <c r="F209" s="732"/>
      <c r="G209" s="732"/>
      <c r="H209" s="732"/>
      <c r="I209" s="732"/>
      <c r="J209" s="732">
        <v>224.06292682926829</v>
      </c>
      <c r="K209" s="816">
        <f t="shared" si="131"/>
        <v>2146.6629268292681</v>
      </c>
      <c r="L209" s="824">
        <f t="shared" si="132"/>
        <v>1000</v>
      </c>
      <c r="M209" s="732"/>
      <c r="N209" s="816">
        <f t="shared" si="133"/>
        <v>1000</v>
      </c>
      <c r="O209" s="732">
        <f t="shared" si="134"/>
        <v>26759.955121951218</v>
      </c>
      <c r="P209" s="732">
        <f t="shared" si="135"/>
        <v>1846436.9034146341</v>
      </c>
      <c r="Q209" s="825">
        <v>69</v>
      </c>
      <c r="R209" s="732">
        <v>2068</v>
      </c>
      <c r="S209" s="732"/>
      <c r="T209" s="732"/>
      <c r="U209" s="732"/>
      <c r="V209" s="732"/>
      <c r="W209" s="732"/>
      <c r="X209" s="732"/>
      <c r="Y209" s="732">
        <v>224.06292682926829</v>
      </c>
      <c r="Z209" s="816">
        <f t="shared" si="136"/>
        <v>2292.0629268292682</v>
      </c>
      <c r="AA209" s="824">
        <f t="shared" si="137"/>
        <v>1000</v>
      </c>
      <c r="AB209" s="732"/>
      <c r="AC209" s="816">
        <f t="shared" si="138"/>
        <v>1000</v>
      </c>
      <c r="AD209" s="732">
        <f t="shared" si="139"/>
        <v>28504.755121951217</v>
      </c>
      <c r="AE209" s="732">
        <f t="shared" si="140"/>
        <v>1966828.103414634</v>
      </c>
      <c r="AF209" s="732">
        <f t="shared" si="141"/>
        <v>-1744.7999999999993</v>
      </c>
      <c r="AG209" s="732">
        <f t="shared" si="141"/>
        <v>-120391.19999999995</v>
      </c>
      <c r="AH209" s="825">
        <v>69</v>
      </c>
      <c r="AI209" s="816">
        <v>2256162.697723533</v>
      </c>
    </row>
    <row r="210" spans="1:35">
      <c r="A210" s="687" t="s">
        <v>6967</v>
      </c>
      <c r="B210" s="825">
        <v>9</v>
      </c>
      <c r="C210" s="732">
        <v>1914.2</v>
      </c>
      <c r="D210" s="732"/>
      <c r="E210" s="732"/>
      <c r="F210" s="732"/>
      <c r="G210" s="732"/>
      <c r="H210" s="732"/>
      <c r="I210" s="732"/>
      <c r="J210" s="732">
        <v>121.48500000000001</v>
      </c>
      <c r="K210" s="816">
        <f t="shared" si="131"/>
        <v>2035.6849999999999</v>
      </c>
      <c r="L210" s="824">
        <f t="shared" si="132"/>
        <v>1000</v>
      </c>
      <c r="M210" s="732"/>
      <c r="N210" s="816">
        <f t="shared" si="133"/>
        <v>1000</v>
      </c>
      <c r="O210" s="732">
        <f t="shared" si="134"/>
        <v>25428.22</v>
      </c>
      <c r="P210" s="732">
        <f t="shared" si="135"/>
        <v>228853.98</v>
      </c>
      <c r="Q210" s="825">
        <v>9</v>
      </c>
      <c r="R210" s="732">
        <v>2059</v>
      </c>
      <c r="S210" s="732"/>
      <c r="T210" s="732"/>
      <c r="U210" s="732"/>
      <c r="V210" s="732"/>
      <c r="W210" s="732"/>
      <c r="X210" s="732"/>
      <c r="Y210" s="732">
        <v>121.48500000000001</v>
      </c>
      <c r="Z210" s="816">
        <f t="shared" si="136"/>
        <v>2180.4850000000001</v>
      </c>
      <c r="AA210" s="824">
        <f t="shared" si="137"/>
        <v>1000</v>
      </c>
      <c r="AB210" s="732"/>
      <c r="AC210" s="816">
        <f t="shared" si="138"/>
        <v>1000</v>
      </c>
      <c r="AD210" s="732">
        <f t="shared" si="139"/>
        <v>27165.82</v>
      </c>
      <c r="AE210" s="732">
        <f t="shared" si="140"/>
        <v>244492.38</v>
      </c>
      <c r="AF210" s="732">
        <f t="shared" si="141"/>
        <v>-1737.5999999999985</v>
      </c>
      <c r="AG210" s="732">
        <f t="shared" si="141"/>
        <v>-15638.399999999994</v>
      </c>
      <c r="AH210" s="825">
        <v>9</v>
      </c>
      <c r="AI210" s="816">
        <v>293310.09100741742</v>
      </c>
    </row>
    <row r="211" spans="1:35">
      <c r="A211" s="687" t="s">
        <v>18</v>
      </c>
      <c r="B211" s="825">
        <v>2</v>
      </c>
      <c r="C211" s="732">
        <v>1905.8</v>
      </c>
      <c r="D211" s="732"/>
      <c r="E211" s="732"/>
      <c r="F211" s="732"/>
      <c r="G211" s="732"/>
      <c r="H211" s="732"/>
      <c r="I211" s="732"/>
      <c r="J211" s="732">
        <v>121.48500000000001</v>
      </c>
      <c r="K211" s="816">
        <f t="shared" si="131"/>
        <v>2027.2849999999999</v>
      </c>
      <c r="L211" s="824">
        <f t="shared" si="132"/>
        <v>1000</v>
      </c>
      <c r="M211" s="732"/>
      <c r="N211" s="816">
        <f t="shared" si="133"/>
        <v>1000</v>
      </c>
      <c r="O211" s="732">
        <f t="shared" si="134"/>
        <v>25327.42</v>
      </c>
      <c r="P211" s="732">
        <f t="shared" si="135"/>
        <v>50654.84</v>
      </c>
      <c r="Q211" s="825">
        <v>2</v>
      </c>
      <c r="R211" s="732">
        <v>2050</v>
      </c>
      <c r="S211" s="732"/>
      <c r="T211" s="732"/>
      <c r="U211" s="732"/>
      <c r="V211" s="732"/>
      <c r="W211" s="732"/>
      <c r="X211" s="732"/>
      <c r="Y211" s="732">
        <v>121.48500000000001</v>
      </c>
      <c r="Z211" s="816">
        <f t="shared" si="136"/>
        <v>2171.4850000000001</v>
      </c>
      <c r="AA211" s="824">
        <f t="shared" si="137"/>
        <v>1000</v>
      </c>
      <c r="AB211" s="732"/>
      <c r="AC211" s="816">
        <f t="shared" si="138"/>
        <v>1000</v>
      </c>
      <c r="AD211" s="732">
        <f t="shared" si="139"/>
        <v>27057.82</v>
      </c>
      <c r="AE211" s="732">
        <f t="shared" si="140"/>
        <v>54115.64</v>
      </c>
      <c r="AF211" s="732">
        <f t="shared" si="141"/>
        <v>-1730.4000000000015</v>
      </c>
      <c r="AG211" s="732">
        <f t="shared" si="141"/>
        <v>-3460.8000000000029</v>
      </c>
      <c r="AH211" s="825">
        <v>2</v>
      </c>
      <c r="AI211" s="816">
        <v>64964.020223870531</v>
      </c>
    </row>
    <row r="212" spans="1:35">
      <c r="A212" s="687" t="s">
        <v>6966</v>
      </c>
      <c r="B212" s="825">
        <v>20</v>
      </c>
      <c r="C212" s="732">
        <v>1896.8</v>
      </c>
      <c r="D212" s="732"/>
      <c r="E212" s="732"/>
      <c r="F212" s="732"/>
      <c r="G212" s="732"/>
      <c r="H212" s="732"/>
      <c r="I212" s="732"/>
      <c r="J212" s="732">
        <v>121.48500000000001</v>
      </c>
      <c r="K212" s="816">
        <f t="shared" si="131"/>
        <v>2018.2849999999999</v>
      </c>
      <c r="L212" s="824">
        <f t="shared" si="132"/>
        <v>1000</v>
      </c>
      <c r="M212" s="732"/>
      <c r="N212" s="816">
        <f t="shared" si="133"/>
        <v>1000</v>
      </c>
      <c r="O212" s="732">
        <f t="shared" si="134"/>
        <v>25219.42</v>
      </c>
      <c r="P212" s="732">
        <f t="shared" si="135"/>
        <v>504388.39999999997</v>
      </c>
      <c r="Q212" s="825">
        <v>20</v>
      </c>
      <c r="R212" s="732">
        <v>2041</v>
      </c>
      <c r="S212" s="732"/>
      <c r="T212" s="732"/>
      <c r="U212" s="732"/>
      <c r="V212" s="732"/>
      <c r="W212" s="732"/>
      <c r="X212" s="732"/>
      <c r="Y212" s="732">
        <v>121.48500000000001</v>
      </c>
      <c r="Z212" s="816">
        <f t="shared" si="136"/>
        <v>2162.4850000000001</v>
      </c>
      <c r="AA212" s="824">
        <f t="shared" si="137"/>
        <v>1000</v>
      </c>
      <c r="AB212" s="732"/>
      <c r="AC212" s="816">
        <f t="shared" si="138"/>
        <v>1000</v>
      </c>
      <c r="AD212" s="732">
        <f t="shared" si="139"/>
        <v>26949.82</v>
      </c>
      <c r="AE212" s="732">
        <f t="shared" si="140"/>
        <v>538996.4</v>
      </c>
      <c r="AF212" s="732">
        <f t="shared" si="141"/>
        <v>-1730.4000000000015</v>
      </c>
      <c r="AG212" s="732">
        <f t="shared" si="141"/>
        <v>-34608.000000000058</v>
      </c>
      <c r="AH212" s="825">
        <v>20</v>
      </c>
      <c r="AI212" s="816">
        <v>647480.20223870536</v>
      </c>
    </row>
    <row r="213" spans="1:35" hidden="1">
      <c r="A213" s="687" t="s">
        <v>7147</v>
      </c>
      <c r="B213" s="815"/>
      <c r="C213" s="732"/>
      <c r="D213" s="732"/>
      <c r="E213" s="732"/>
      <c r="F213" s="732"/>
      <c r="G213" s="732"/>
      <c r="H213" s="732"/>
      <c r="I213" s="732"/>
      <c r="J213" s="732"/>
      <c r="K213" s="732"/>
      <c r="L213" s="732"/>
      <c r="M213" s="732"/>
      <c r="N213" s="732"/>
      <c r="O213" s="732">
        <f t="shared" si="134"/>
        <v>0</v>
      </c>
      <c r="P213" s="732">
        <f t="shared" si="135"/>
        <v>0</v>
      </c>
      <c r="Q213" s="815"/>
      <c r="R213" s="732"/>
      <c r="S213" s="732"/>
      <c r="T213" s="732"/>
      <c r="U213" s="732"/>
      <c r="V213" s="732"/>
      <c r="W213" s="732"/>
      <c r="X213" s="732"/>
      <c r="Y213" s="732"/>
      <c r="Z213" s="732"/>
      <c r="AA213" s="732"/>
      <c r="AB213" s="732"/>
      <c r="AC213" s="732"/>
      <c r="AD213" s="732">
        <f t="shared" si="139"/>
        <v>0</v>
      </c>
      <c r="AE213" s="732">
        <f t="shared" si="140"/>
        <v>0</v>
      </c>
      <c r="AF213" s="732">
        <f t="shared" si="141"/>
        <v>0</v>
      </c>
      <c r="AG213" s="732">
        <f t="shared" si="141"/>
        <v>0</v>
      </c>
      <c r="AH213" s="815"/>
      <c r="AI213" s="732"/>
    </row>
    <row r="214" spans="1:35" ht="22.5">
      <c r="A214" s="688" t="s">
        <v>6965</v>
      </c>
      <c r="B214" s="689"/>
      <c r="C214" s="689">
        <f t="shared" ref="C214:P214" si="142">SUM(C215:C219)</f>
        <v>1470702.7192028984</v>
      </c>
      <c r="D214" s="689">
        <f t="shared" si="142"/>
        <v>0</v>
      </c>
      <c r="E214" s="689">
        <f t="shared" si="142"/>
        <v>0</v>
      </c>
      <c r="F214" s="689">
        <f t="shared" si="142"/>
        <v>0</v>
      </c>
      <c r="G214" s="689">
        <f t="shared" si="142"/>
        <v>0</v>
      </c>
      <c r="H214" s="689">
        <f t="shared" si="142"/>
        <v>0</v>
      </c>
      <c r="I214" s="689">
        <f t="shared" si="142"/>
        <v>0</v>
      </c>
      <c r="J214" s="689">
        <f t="shared" si="142"/>
        <v>0</v>
      </c>
      <c r="K214" s="689">
        <f t="shared" si="142"/>
        <v>1470702.7192028984</v>
      </c>
      <c r="L214" s="689">
        <f t="shared" si="142"/>
        <v>0</v>
      </c>
      <c r="M214" s="689">
        <f t="shared" si="142"/>
        <v>0</v>
      </c>
      <c r="N214" s="689">
        <f t="shared" si="142"/>
        <v>0</v>
      </c>
      <c r="O214" s="689">
        <f t="shared" si="142"/>
        <v>17648432.630434781</v>
      </c>
      <c r="P214" s="689">
        <f t="shared" si="142"/>
        <v>34162831</v>
      </c>
      <c r="Q214" s="689"/>
      <c r="R214" s="689">
        <f t="shared" ref="R214:AG214" si="143">SUM(R215:R219)</f>
        <v>1470702.7192028984</v>
      </c>
      <c r="S214" s="689">
        <f t="shared" si="143"/>
        <v>0</v>
      </c>
      <c r="T214" s="689">
        <f t="shared" si="143"/>
        <v>0</v>
      </c>
      <c r="U214" s="689">
        <f t="shared" si="143"/>
        <v>0</v>
      </c>
      <c r="V214" s="689">
        <f t="shared" si="143"/>
        <v>0</v>
      </c>
      <c r="W214" s="689">
        <f t="shared" si="143"/>
        <v>0</v>
      </c>
      <c r="X214" s="689">
        <f t="shared" si="143"/>
        <v>0</v>
      </c>
      <c r="Y214" s="689">
        <f t="shared" si="143"/>
        <v>0</v>
      </c>
      <c r="Z214" s="689">
        <f t="shared" si="143"/>
        <v>1470702.7192028984</v>
      </c>
      <c r="AA214" s="689">
        <f t="shared" si="143"/>
        <v>0</v>
      </c>
      <c r="AB214" s="689">
        <f t="shared" si="143"/>
        <v>0</v>
      </c>
      <c r="AC214" s="689">
        <f t="shared" si="143"/>
        <v>0</v>
      </c>
      <c r="AD214" s="689">
        <f t="shared" si="143"/>
        <v>17648432.630434781</v>
      </c>
      <c r="AE214" s="689">
        <f t="shared" si="143"/>
        <v>34162831</v>
      </c>
      <c r="AF214" s="689">
        <f t="shared" si="143"/>
        <v>0</v>
      </c>
      <c r="AG214" s="689">
        <f t="shared" si="143"/>
        <v>0</v>
      </c>
      <c r="AH214" s="689"/>
      <c r="AI214" s="689">
        <f>SUM(AI215:AI219)</f>
        <v>22867466</v>
      </c>
    </row>
    <row r="215" spans="1:35" ht="22.5">
      <c r="A215" s="687" t="s">
        <v>6964</v>
      </c>
      <c r="B215" s="824">
        <v>46</v>
      </c>
      <c r="C215" s="826">
        <f>(16881385/12)/46</f>
        <v>30582.219202898548</v>
      </c>
      <c r="D215" s="732"/>
      <c r="E215" s="732"/>
      <c r="F215" s="732"/>
      <c r="G215" s="732"/>
      <c r="H215" s="732"/>
      <c r="I215" s="732"/>
      <c r="J215" s="732"/>
      <c r="K215" s="826">
        <f>SUM(C215:J215)</f>
        <v>30582.219202898548</v>
      </c>
      <c r="L215" s="732"/>
      <c r="M215" s="732"/>
      <c r="N215" s="816">
        <f>+L215+M215</f>
        <v>0</v>
      </c>
      <c r="O215" s="826">
        <f>(K215*12)+N215</f>
        <v>366986.63043478259</v>
      </c>
      <c r="P215" s="732">
        <f>B215*O215</f>
        <v>16881385</v>
      </c>
      <c r="Q215" s="824">
        <v>46</v>
      </c>
      <c r="R215" s="829">
        <f>(16881385/12)/46</f>
        <v>30582.219202898548</v>
      </c>
      <c r="S215" s="732"/>
      <c r="T215" s="732"/>
      <c r="U215" s="732"/>
      <c r="V215" s="732"/>
      <c r="W215" s="732"/>
      <c r="X215" s="732"/>
      <c r="Y215" s="732"/>
      <c r="Z215" s="826">
        <f>SUM(R215:Y215)</f>
        <v>30582.219202898548</v>
      </c>
      <c r="AA215" s="732"/>
      <c r="AB215" s="732"/>
      <c r="AC215" s="816">
        <f>+AA215+AB215</f>
        <v>0</v>
      </c>
      <c r="AD215" s="826">
        <f>(Z215*12)+AC215</f>
        <v>366986.63043478259</v>
      </c>
      <c r="AE215" s="732">
        <f>Q215*AD215</f>
        <v>16881385</v>
      </c>
      <c r="AF215" s="732">
        <f t="shared" ref="AF215:AG219" si="144">+O215-AD215</f>
        <v>0</v>
      </c>
      <c r="AG215" s="732">
        <f t="shared" si="144"/>
        <v>0</v>
      </c>
      <c r="AH215" s="824">
        <v>46</v>
      </c>
      <c r="AI215" s="816">
        <v>17022117</v>
      </c>
    </row>
    <row r="216" spans="1:35">
      <c r="A216" s="687" t="s">
        <v>6963</v>
      </c>
      <c r="B216" s="824"/>
      <c r="C216" s="826">
        <f>6033969/12</f>
        <v>502830.75</v>
      </c>
      <c r="D216" s="732"/>
      <c r="E216" s="732"/>
      <c r="F216" s="732"/>
      <c r="G216" s="732"/>
      <c r="H216" s="732"/>
      <c r="I216" s="732"/>
      <c r="J216" s="732"/>
      <c r="K216" s="826">
        <f>SUM(C216:J216)</f>
        <v>502830.75</v>
      </c>
      <c r="L216" s="732"/>
      <c r="M216" s="732"/>
      <c r="N216" s="816">
        <f>+L216+M216</f>
        <v>0</v>
      </c>
      <c r="O216" s="826">
        <f>(K216*12)+N216</f>
        <v>6033969</v>
      </c>
      <c r="P216" s="732">
        <f>+O216</f>
        <v>6033969</v>
      </c>
      <c r="Q216" s="824"/>
      <c r="R216" s="829">
        <f>6033969/12</f>
        <v>502830.75</v>
      </c>
      <c r="S216" s="732"/>
      <c r="T216" s="732"/>
      <c r="U216" s="732"/>
      <c r="V216" s="732"/>
      <c r="W216" s="732"/>
      <c r="X216" s="732"/>
      <c r="Y216" s="732"/>
      <c r="Z216" s="826">
        <f>SUM(R216:Y216)</f>
        <v>502830.75</v>
      </c>
      <c r="AA216" s="732"/>
      <c r="AB216" s="732"/>
      <c r="AC216" s="816">
        <f>+AA216+AB216</f>
        <v>0</v>
      </c>
      <c r="AD216" s="826">
        <f>(Z216*12)+AC216</f>
        <v>6033969</v>
      </c>
      <c r="AE216" s="732">
        <f>+AD216</f>
        <v>6033969</v>
      </c>
      <c r="AF216" s="732">
        <f t="shared" si="144"/>
        <v>0</v>
      </c>
      <c r="AG216" s="732">
        <f t="shared" si="144"/>
        <v>0</v>
      </c>
      <c r="AH216" s="824"/>
      <c r="AI216" s="816">
        <v>5845349</v>
      </c>
    </row>
    <row r="217" spans="1:35">
      <c r="A217" s="687" t="s">
        <v>6962</v>
      </c>
      <c r="B217" s="824"/>
      <c r="C217" s="824"/>
      <c r="D217" s="824"/>
      <c r="E217" s="824"/>
      <c r="F217" s="824"/>
      <c r="G217" s="824"/>
      <c r="H217" s="824"/>
      <c r="I217" s="824"/>
      <c r="J217" s="824"/>
      <c r="K217" s="824">
        <f>SUM(C217:J217)</f>
        <v>0</v>
      </c>
      <c r="L217" s="824"/>
      <c r="M217" s="824"/>
      <c r="N217" s="816">
        <f>+L217+M217</f>
        <v>0</v>
      </c>
      <c r="O217" s="826">
        <f>(K217*12)+N217</f>
        <v>0</v>
      </c>
      <c r="P217" s="732">
        <f>B217*O217</f>
        <v>0</v>
      </c>
      <c r="Q217" s="824"/>
      <c r="R217" s="830"/>
      <c r="S217" s="824"/>
      <c r="T217" s="824"/>
      <c r="U217" s="824"/>
      <c r="V217" s="824"/>
      <c r="W217" s="824"/>
      <c r="X217" s="824"/>
      <c r="Y217" s="824"/>
      <c r="Z217" s="824">
        <f>SUM(R217:Y217)</f>
        <v>0</v>
      </c>
      <c r="AA217" s="824"/>
      <c r="AB217" s="824"/>
      <c r="AC217" s="816">
        <f>+AA217+AB217</f>
        <v>0</v>
      </c>
      <c r="AD217" s="826">
        <f>(Z217*12)+AC217</f>
        <v>0</v>
      </c>
      <c r="AE217" s="732">
        <f>Q217*AD217</f>
        <v>0</v>
      </c>
      <c r="AF217" s="732">
        <f t="shared" si="144"/>
        <v>0</v>
      </c>
      <c r="AG217" s="732">
        <f t="shared" si="144"/>
        <v>0</v>
      </c>
      <c r="AH217" s="824"/>
      <c r="AI217" s="816"/>
    </row>
    <row r="218" spans="1:35" ht="22.5">
      <c r="A218" s="687" t="s">
        <v>6961</v>
      </c>
      <c r="B218" s="824"/>
      <c r="C218" s="826">
        <f>(10465477+782000)/12</f>
        <v>937289.75</v>
      </c>
      <c r="D218" s="824"/>
      <c r="E218" s="824"/>
      <c r="F218" s="824"/>
      <c r="G218" s="824"/>
      <c r="H218" s="824"/>
      <c r="I218" s="824"/>
      <c r="J218" s="824"/>
      <c r="K218" s="826">
        <f>SUM(C218:J218)</f>
        <v>937289.75</v>
      </c>
      <c r="L218" s="824"/>
      <c r="M218" s="824"/>
      <c r="N218" s="816">
        <f>+L218+M218</f>
        <v>0</v>
      </c>
      <c r="O218" s="826">
        <f>(K218*12)+N218</f>
        <v>11247477</v>
      </c>
      <c r="P218" s="732">
        <f>+O218</f>
        <v>11247477</v>
      </c>
      <c r="Q218" s="824"/>
      <c r="R218" s="829">
        <f>(10465477+782000)/12</f>
        <v>937289.75</v>
      </c>
      <c r="S218" s="824"/>
      <c r="T218" s="824"/>
      <c r="U218" s="824"/>
      <c r="V218" s="824"/>
      <c r="W218" s="824"/>
      <c r="X218" s="824"/>
      <c r="Y218" s="824"/>
      <c r="Z218" s="826">
        <f>SUM(R218:Y218)</f>
        <v>937289.75</v>
      </c>
      <c r="AA218" s="824"/>
      <c r="AB218" s="824"/>
      <c r="AC218" s="816">
        <f>+AA218+AB218</f>
        <v>0</v>
      </c>
      <c r="AD218" s="826">
        <f>(Z218*12)+AC218</f>
        <v>11247477</v>
      </c>
      <c r="AE218" s="732">
        <f>+AD218</f>
        <v>11247477</v>
      </c>
      <c r="AF218" s="732">
        <f t="shared" si="144"/>
        <v>0</v>
      </c>
      <c r="AG218" s="732">
        <f t="shared" si="144"/>
        <v>0</v>
      </c>
      <c r="AH218" s="824"/>
      <c r="AI218" s="816"/>
    </row>
    <row r="219" spans="1:35" hidden="1">
      <c r="A219" s="687" t="s">
        <v>6960</v>
      </c>
      <c r="B219" s="824"/>
      <c r="C219" s="824"/>
      <c r="D219" s="824"/>
      <c r="E219" s="824"/>
      <c r="F219" s="824"/>
      <c r="G219" s="824"/>
      <c r="H219" s="824"/>
      <c r="I219" s="824"/>
      <c r="J219" s="824"/>
      <c r="K219" s="824">
        <f>SUM(C219:J219)</f>
        <v>0</v>
      </c>
      <c r="L219" s="824"/>
      <c r="M219" s="824"/>
      <c r="N219" s="816">
        <f>+L219+M219</f>
        <v>0</v>
      </c>
      <c r="O219" s="824"/>
      <c r="P219" s="824"/>
      <c r="Q219" s="824"/>
      <c r="R219" s="830"/>
      <c r="S219" s="824"/>
      <c r="T219" s="824"/>
      <c r="U219" s="824"/>
      <c r="V219" s="824"/>
      <c r="W219" s="824"/>
      <c r="X219" s="824"/>
      <c r="Y219" s="824"/>
      <c r="Z219" s="824">
        <f>SUM(R219:Y219)</f>
        <v>0</v>
      </c>
      <c r="AA219" s="824"/>
      <c r="AB219" s="824"/>
      <c r="AC219" s="816">
        <f>+AA219+AB219</f>
        <v>0</v>
      </c>
      <c r="AD219" s="824"/>
      <c r="AE219" s="824"/>
      <c r="AF219" s="732">
        <f t="shared" si="144"/>
        <v>0</v>
      </c>
      <c r="AG219" s="732">
        <f t="shared" si="144"/>
        <v>0</v>
      </c>
      <c r="AH219" s="824"/>
      <c r="AI219" s="816"/>
    </row>
    <row r="220" spans="1:35" ht="33.75">
      <c r="A220" s="688" t="s">
        <v>56</v>
      </c>
      <c r="B220" s="813">
        <f t="shared" ref="B220:AI220" si="145">B221+B230+B254+B259+B263+B267+B271+B275+B239</f>
        <v>25503</v>
      </c>
      <c r="C220" s="813">
        <f t="shared" si="145"/>
        <v>89482</v>
      </c>
      <c r="D220" s="813">
        <f t="shared" si="145"/>
        <v>0</v>
      </c>
      <c r="E220" s="813">
        <f t="shared" si="145"/>
        <v>0</v>
      </c>
      <c r="F220" s="813">
        <f t="shared" si="145"/>
        <v>0</v>
      </c>
      <c r="G220" s="813">
        <f t="shared" si="145"/>
        <v>0</v>
      </c>
      <c r="H220" s="813">
        <f t="shared" si="145"/>
        <v>0</v>
      </c>
      <c r="I220" s="813">
        <f t="shared" si="145"/>
        <v>0</v>
      </c>
      <c r="J220" s="813">
        <f t="shared" si="145"/>
        <v>50350</v>
      </c>
      <c r="K220" s="813">
        <f t="shared" si="145"/>
        <v>139832</v>
      </c>
      <c r="L220" s="813">
        <f t="shared" si="145"/>
        <v>24000</v>
      </c>
      <c r="M220" s="813">
        <f t="shared" si="145"/>
        <v>0</v>
      </c>
      <c r="N220" s="813">
        <f t="shared" si="145"/>
        <v>24000</v>
      </c>
      <c r="O220" s="813">
        <f t="shared" si="145"/>
        <v>1701984</v>
      </c>
      <c r="P220" s="813">
        <f t="shared" si="145"/>
        <v>958637036</v>
      </c>
      <c r="Q220" s="813">
        <f t="shared" si="145"/>
        <v>25919</v>
      </c>
      <c r="R220" s="813">
        <f t="shared" si="145"/>
        <v>90706</v>
      </c>
      <c r="S220" s="813">
        <f t="shared" si="145"/>
        <v>0</v>
      </c>
      <c r="T220" s="813">
        <f t="shared" si="145"/>
        <v>0</v>
      </c>
      <c r="U220" s="813">
        <f t="shared" si="145"/>
        <v>0</v>
      </c>
      <c r="V220" s="813">
        <f t="shared" si="145"/>
        <v>0</v>
      </c>
      <c r="W220" s="813">
        <f t="shared" si="145"/>
        <v>0</v>
      </c>
      <c r="X220" s="813">
        <f t="shared" si="145"/>
        <v>0</v>
      </c>
      <c r="Y220" s="813">
        <f t="shared" si="145"/>
        <v>50850</v>
      </c>
      <c r="Z220" s="813">
        <f t="shared" si="145"/>
        <v>140332</v>
      </c>
      <c r="AA220" s="813">
        <f t="shared" si="145"/>
        <v>24000</v>
      </c>
      <c r="AB220" s="813">
        <f t="shared" si="145"/>
        <v>0</v>
      </c>
      <c r="AC220" s="813">
        <f t="shared" si="145"/>
        <v>24000</v>
      </c>
      <c r="AD220" s="813">
        <f t="shared" si="145"/>
        <v>1707984</v>
      </c>
      <c r="AE220" s="813">
        <f t="shared" si="145"/>
        <v>968886080</v>
      </c>
      <c r="AF220" s="813">
        <f t="shared" si="145"/>
        <v>-6000</v>
      </c>
      <c r="AG220" s="813">
        <f t="shared" si="145"/>
        <v>-5590404</v>
      </c>
      <c r="AH220" s="813">
        <f t="shared" si="145"/>
        <v>26283</v>
      </c>
      <c r="AI220" s="813">
        <f t="shared" si="145"/>
        <v>962707155.00000012</v>
      </c>
    </row>
    <row r="221" spans="1:35" ht="22.5">
      <c r="A221" s="685" t="s">
        <v>6959</v>
      </c>
      <c r="B221" s="821">
        <f t="shared" ref="B221:AI221" si="146">SUM(B222:B229)</f>
        <v>2234</v>
      </c>
      <c r="C221" s="821">
        <f t="shared" si="146"/>
        <v>38545</v>
      </c>
      <c r="D221" s="821">
        <f t="shared" si="146"/>
        <v>0</v>
      </c>
      <c r="E221" s="821">
        <f t="shared" si="146"/>
        <v>0</v>
      </c>
      <c r="F221" s="821">
        <f t="shared" si="146"/>
        <v>0</v>
      </c>
      <c r="G221" s="821">
        <f t="shared" si="146"/>
        <v>0</v>
      </c>
      <c r="H221" s="821">
        <f t="shared" si="146"/>
        <v>0</v>
      </c>
      <c r="I221" s="821">
        <f t="shared" si="146"/>
        <v>0</v>
      </c>
      <c r="J221" s="821">
        <f t="shared" si="146"/>
        <v>20350</v>
      </c>
      <c r="K221" s="821">
        <f t="shared" si="146"/>
        <v>58895</v>
      </c>
      <c r="L221" s="821">
        <f t="shared" si="146"/>
        <v>8000</v>
      </c>
      <c r="M221" s="821">
        <f t="shared" si="146"/>
        <v>0</v>
      </c>
      <c r="N221" s="821">
        <f t="shared" si="146"/>
        <v>8000</v>
      </c>
      <c r="O221" s="821">
        <f t="shared" si="146"/>
        <v>714740</v>
      </c>
      <c r="P221" s="821">
        <f t="shared" si="146"/>
        <v>147598892</v>
      </c>
      <c r="Q221" s="821">
        <f t="shared" si="146"/>
        <v>2274</v>
      </c>
      <c r="R221" s="821">
        <f t="shared" si="146"/>
        <v>38545</v>
      </c>
      <c r="S221" s="821">
        <f t="shared" si="146"/>
        <v>0</v>
      </c>
      <c r="T221" s="821">
        <f t="shared" si="146"/>
        <v>0</v>
      </c>
      <c r="U221" s="821">
        <f t="shared" si="146"/>
        <v>0</v>
      </c>
      <c r="V221" s="821">
        <f t="shared" si="146"/>
        <v>0</v>
      </c>
      <c r="W221" s="821">
        <f t="shared" si="146"/>
        <v>0</v>
      </c>
      <c r="X221" s="821">
        <f t="shared" si="146"/>
        <v>0</v>
      </c>
      <c r="Y221" s="821">
        <f t="shared" si="146"/>
        <v>20350</v>
      </c>
      <c r="Z221" s="821">
        <f t="shared" si="146"/>
        <v>58895</v>
      </c>
      <c r="AA221" s="821">
        <f t="shared" si="146"/>
        <v>8000</v>
      </c>
      <c r="AB221" s="821">
        <f t="shared" si="146"/>
        <v>0</v>
      </c>
      <c r="AC221" s="821">
        <f t="shared" si="146"/>
        <v>8000</v>
      </c>
      <c r="AD221" s="821">
        <f t="shared" si="146"/>
        <v>714740</v>
      </c>
      <c r="AE221" s="821">
        <f t="shared" si="146"/>
        <v>147217752</v>
      </c>
      <c r="AF221" s="821">
        <f t="shared" si="146"/>
        <v>0</v>
      </c>
      <c r="AG221" s="821">
        <f t="shared" si="146"/>
        <v>381140</v>
      </c>
      <c r="AH221" s="821">
        <f t="shared" si="146"/>
        <v>2334</v>
      </c>
      <c r="AI221" s="821">
        <f t="shared" si="146"/>
        <v>132631099.42577872</v>
      </c>
    </row>
    <row r="222" spans="1:35">
      <c r="A222" s="687" t="s">
        <v>6958</v>
      </c>
      <c r="B222" s="824">
        <v>11</v>
      </c>
      <c r="C222" s="826">
        <v>8573</v>
      </c>
      <c r="D222" s="732"/>
      <c r="E222" s="732"/>
      <c r="F222" s="732"/>
      <c r="G222" s="732"/>
      <c r="H222" s="732"/>
      <c r="I222" s="732"/>
      <c r="J222" s="732">
        <v>4900</v>
      </c>
      <c r="K222" s="826">
        <f t="shared" ref="K222:K229" si="147">SUM(C222:J222)</f>
        <v>13473</v>
      </c>
      <c r="L222" s="732">
        <f t="shared" ref="L222:L229" si="148">300+300+400</f>
        <v>1000</v>
      </c>
      <c r="M222" s="732"/>
      <c r="N222" s="816">
        <f t="shared" ref="N222:N229" si="149">+L222+M222</f>
        <v>1000</v>
      </c>
      <c r="O222" s="826">
        <f t="shared" ref="O222:O229" si="150">K222*12+N222</f>
        <v>162676</v>
      </c>
      <c r="P222" s="732">
        <f t="shared" ref="P222:P229" si="151">B222*O222</f>
        <v>1789436</v>
      </c>
      <c r="Q222" s="826">
        <v>11</v>
      </c>
      <c r="R222" s="826">
        <v>8573</v>
      </c>
      <c r="S222" s="732"/>
      <c r="T222" s="732"/>
      <c r="U222" s="732"/>
      <c r="V222" s="732"/>
      <c r="W222" s="732"/>
      <c r="X222" s="732"/>
      <c r="Y222" s="732">
        <v>4900</v>
      </c>
      <c r="Z222" s="826">
        <f t="shared" ref="Z222:Z229" si="152">SUM(R222:Y222)</f>
        <v>13473</v>
      </c>
      <c r="AA222" s="732">
        <f t="shared" ref="AA222:AA229" si="153">300+300+400</f>
        <v>1000</v>
      </c>
      <c r="AB222" s="732"/>
      <c r="AC222" s="816">
        <f t="shared" ref="AC222:AC229" si="154">+AA222+AB222</f>
        <v>1000</v>
      </c>
      <c r="AD222" s="826">
        <f t="shared" ref="AD222:AD229" si="155">Z222*12+AC222</f>
        <v>162676</v>
      </c>
      <c r="AE222" s="732">
        <f t="shared" ref="AE222:AE229" si="156">Q222*AD222</f>
        <v>1789436</v>
      </c>
      <c r="AF222" s="732">
        <f t="shared" ref="AF222:AG229" si="157">+O222-AD222</f>
        <v>0</v>
      </c>
      <c r="AG222" s="732">
        <f t="shared" si="157"/>
        <v>0</v>
      </c>
      <c r="AH222" s="824">
        <v>11</v>
      </c>
      <c r="AI222" s="816">
        <v>1331031.3666167804</v>
      </c>
    </row>
    <row r="223" spans="1:35">
      <c r="A223" s="687" t="s">
        <v>6957</v>
      </c>
      <c r="B223" s="824">
        <v>49</v>
      </c>
      <c r="C223" s="826">
        <v>8362</v>
      </c>
      <c r="D223" s="732"/>
      <c r="E223" s="732"/>
      <c r="F223" s="732"/>
      <c r="G223" s="732"/>
      <c r="H223" s="732"/>
      <c r="I223" s="732"/>
      <c r="J223" s="732">
        <v>3700</v>
      </c>
      <c r="K223" s="826">
        <f t="shared" si="147"/>
        <v>12062</v>
      </c>
      <c r="L223" s="732">
        <f t="shared" si="148"/>
        <v>1000</v>
      </c>
      <c r="M223" s="732"/>
      <c r="N223" s="816">
        <f t="shared" si="149"/>
        <v>1000</v>
      </c>
      <c r="O223" s="826">
        <f t="shared" si="150"/>
        <v>145744</v>
      </c>
      <c r="P223" s="732">
        <f t="shared" si="151"/>
        <v>7141456</v>
      </c>
      <c r="Q223" s="826">
        <v>49</v>
      </c>
      <c r="R223" s="826">
        <v>8362</v>
      </c>
      <c r="S223" s="732"/>
      <c r="T223" s="732"/>
      <c r="U223" s="732"/>
      <c r="V223" s="732"/>
      <c r="W223" s="732"/>
      <c r="X223" s="732"/>
      <c r="Y223" s="732">
        <v>3700</v>
      </c>
      <c r="Z223" s="826">
        <f t="shared" si="152"/>
        <v>12062</v>
      </c>
      <c r="AA223" s="732">
        <f t="shared" si="153"/>
        <v>1000</v>
      </c>
      <c r="AB223" s="732"/>
      <c r="AC223" s="816">
        <f t="shared" si="154"/>
        <v>1000</v>
      </c>
      <c r="AD223" s="826">
        <f t="shared" si="155"/>
        <v>145744</v>
      </c>
      <c r="AE223" s="732">
        <f t="shared" si="156"/>
        <v>7141456</v>
      </c>
      <c r="AF223" s="732">
        <f t="shared" si="157"/>
        <v>0</v>
      </c>
      <c r="AG223" s="732">
        <f t="shared" si="157"/>
        <v>0</v>
      </c>
      <c r="AH223" s="824">
        <v>50</v>
      </c>
      <c r="AI223" s="816">
        <v>5923542.5755308196</v>
      </c>
    </row>
    <row r="224" spans="1:35">
      <c r="A224" s="687" t="s">
        <v>6953</v>
      </c>
      <c r="B224" s="824">
        <v>259</v>
      </c>
      <c r="C224" s="826">
        <v>6910</v>
      </c>
      <c r="D224" s="732"/>
      <c r="E224" s="732"/>
      <c r="F224" s="732"/>
      <c r="G224" s="732"/>
      <c r="H224" s="732"/>
      <c r="I224" s="732"/>
      <c r="J224" s="732">
        <v>3000</v>
      </c>
      <c r="K224" s="826">
        <f t="shared" si="147"/>
        <v>9910</v>
      </c>
      <c r="L224" s="732">
        <f t="shared" si="148"/>
        <v>1000</v>
      </c>
      <c r="M224" s="732"/>
      <c r="N224" s="816">
        <f t="shared" si="149"/>
        <v>1000</v>
      </c>
      <c r="O224" s="826">
        <f t="shared" si="150"/>
        <v>119920</v>
      </c>
      <c r="P224" s="732">
        <f t="shared" si="151"/>
        <v>31059280</v>
      </c>
      <c r="Q224" s="826">
        <f>218-1</f>
        <v>217</v>
      </c>
      <c r="R224" s="826">
        <v>6910</v>
      </c>
      <c r="S224" s="732"/>
      <c r="T224" s="732"/>
      <c r="U224" s="732"/>
      <c r="V224" s="732"/>
      <c r="W224" s="732"/>
      <c r="X224" s="732"/>
      <c r="Y224" s="732">
        <v>3000</v>
      </c>
      <c r="Z224" s="826">
        <f t="shared" si="152"/>
        <v>9910</v>
      </c>
      <c r="AA224" s="732">
        <f t="shared" si="153"/>
        <v>1000</v>
      </c>
      <c r="AB224" s="732"/>
      <c r="AC224" s="816">
        <f t="shared" si="154"/>
        <v>1000</v>
      </c>
      <c r="AD224" s="826">
        <f t="shared" si="155"/>
        <v>119920</v>
      </c>
      <c r="AE224" s="732">
        <f t="shared" si="156"/>
        <v>26022640</v>
      </c>
      <c r="AF224" s="732">
        <f t="shared" si="157"/>
        <v>0</v>
      </c>
      <c r="AG224" s="732">
        <f t="shared" si="157"/>
        <v>5036640</v>
      </c>
      <c r="AH224" s="824">
        <f>230-1</f>
        <v>229</v>
      </c>
      <c r="AI224" s="816">
        <v>23139728.995931156</v>
      </c>
    </row>
    <row r="225" spans="1:36">
      <c r="A225" s="687" t="s">
        <v>6952</v>
      </c>
      <c r="B225" s="824">
        <v>277</v>
      </c>
      <c r="C225" s="826">
        <v>4279</v>
      </c>
      <c r="D225" s="732"/>
      <c r="E225" s="732"/>
      <c r="F225" s="732"/>
      <c r="G225" s="732"/>
      <c r="H225" s="732"/>
      <c r="I225" s="732"/>
      <c r="J225" s="732">
        <v>2200</v>
      </c>
      <c r="K225" s="826">
        <f t="shared" si="147"/>
        <v>6479</v>
      </c>
      <c r="L225" s="732">
        <f t="shared" si="148"/>
        <v>1000</v>
      </c>
      <c r="M225" s="732"/>
      <c r="N225" s="816">
        <f t="shared" si="149"/>
        <v>1000</v>
      </c>
      <c r="O225" s="826">
        <f t="shared" si="150"/>
        <v>78748</v>
      </c>
      <c r="P225" s="732">
        <f t="shared" si="151"/>
        <v>21813196</v>
      </c>
      <c r="Q225" s="826">
        <f>270-2</f>
        <v>268</v>
      </c>
      <c r="R225" s="826">
        <v>4279</v>
      </c>
      <c r="S225" s="732"/>
      <c r="T225" s="732"/>
      <c r="U225" s="732"/>
      <c r="V225" s="732"/>
      <c r="W225" s="732"/>
      <c r="X225" s="732"/>
      <c r="Y225" s="732">
        <v>2200</v>
      </c>
      <c r="Z225" s="826">
        <f t="shared" si="152"/>
        <v>6479</v>
      </c>
      <c r="AA225" s="732">
        <f t="shared" si="153"/>
        <v>1000</v>
      </c>
      <c r="AB225" s="732"/>
      <c r="AC225" s="816">
        <f t="shared" si="154"/>
        <v>1000</v>
      </c>
      <c r="AD225" s="826">
        <f t="shared" si="155"/>
        <v>78748</v>
      </c>
      <c r="AE225" s="732">
        <f t="shared" si="156"/>
        <v>21104464</v>
      </c>
      <c r="AF225" s="732">
        <f t="shared" si="157"/>
        <v>0</v>
      </c>
      <c r="AG225" s="732">
        <f t="shared" si="157"/>
        <v>708732</v>
      </c>
      <c r="AH225" s="824">
        <f>273-3</f>
        <v>270</v>
      </c>
      <c r="AI225" s="816">
        <v>18758209.907866433</v>
      </c>
    </row>
    <row r="226" spans="1:36">
      <c r="A226" s="687" t="s">
        <v>6951</v>
      </c>
      <c r="B226" s="824">
        <v>427</v>
      </c>
      <c r="C226" s="826">
        <v>3254</v>
      </c>
      <c r="D226" s="732"/>
      <c r="E226" s="732"/>
      <c r="F226" s="732"/>
      <c r="G226" s="732"/>
      <c r="H226" s="732"/>
      <c r="I226" s="732"/>
      <c r="J226" s="732">
        <v>1800</v>
      </c>
      <c r="K226" s="826">
        <f t="shared" si="147"/>
        <v>5054</v>
      </c>
      <c r="L226" s="732">
        <f t="shared" si="148"/>
        <v>1000</v>
      </c>
      <c r="M226" s="732"/>
      <c r="N226" s="816">
        <f t="shared" si="149"/>
        <v>1000</v>
      </c>
      <c r="O226" s="826">
        <f t="shared" si="150"/>
        <v>61648</v>
      </c>
      <c r="P226" s="732">
        <f t="shared" si="151"/>
        <v>26323696</v>
      </c>
      <c r="Q226" s="826">
        <f>502-1</f>
        <v>501</v>
      </c>
      <c r="R226" s="826">
        <v>3254</v>
      </c>
      <c r="S226" s="732"/>
      <c r="T226" s="732"/>
      <c r="U226" s="732"/>
      <c r="V226" s="732"/>
      <c r="W226" s="732"/>
      <c r="X226" s="732"/>
      <c r="Y226" s="732">
        <v>1800</v>
      </c>
      <c r="Z226" s="826">
        <f t="shared" si="152"/>
        <v>5054</v>
      </c>
      <c r="AA226" s="732">
        <f t="shared" si="153"/>
        <v>1000</v>
      </c>
      <c r="AB226" s="732"/>
      <c r="AC226" s="816">
        <f t="shared" si="154"/>
        <v>1000</v>
      </c>
      <c r="AD226" s="826">
        <f t="shared" si="155"/>
        <v>61648</v>
      </c>
      <c r="AE226" s="732">
        <f t="shared" si="156"/>
        <v>30885648</v>
      </c>
      <c r="AF226" s="732">
        <f t="shared" si="157"/>
        <v>0</v>
      </c>
      <c r="AG226" s="732">
        <f t="shared" si="157"/>
        <v>-4561952</v>
      </c>
      <c r="AH226" s="824">
        <f>524-1</f>
        <v>523</v>
      </c>
      <c r="AI226" s="816">
        <v>29902447.340052381</v>
      </c>
    </row>
    <row r="227" spans="1:36">
      <c r="A227" s="687" t="s">
        <v>6950</v>
      </c>
      <c r="B227" s="824">
        <v>453</v>
      </c>
      <c r="C227" s="826">
        <v>2705</v>
      </c>
      <c r="D227" s="732"/>
      <c r="E227" s="732"/>
      <c r="F227" s="732"/>
      <c r="G227" s="732"/>
      <c r="H227" s="732"/>
      <c r="I227" s="732"/>
      <c r="J227" s="732">
        <v>1650</v>
      </c>
      <c r="K227" s="826">
        <f t="shared" si="147"/>
        <v>4355</v>
      </c>
      <c r="L227" s="732">
        <f t="shared" si="148"/>
        <v>1000</v>
      </c>
      <c r="M227" s="732"/>
      <c r="N227" s="816">
        <f t="shared" si="149"/>
        <v>1000</v>
      </c>
      <c r="O227" s="826">
        <f t="shared" si="150"/>
        <v>53260</v>
      </c>
      <c r="P227" s="732">
        <f t="shared" si="151"/>
        <v>24126780</v>
      </c>
      <c r="Q227" s="826">
        <v>461</v>
      </c>
      <c r="R227" s="826">
        <v>2705</v>
      </c>
      <c r="S227" s="732"/>
      <c r="T227" s="732"/>
      <c r="U227" s="732"/>
      <c r="V227" s="732"/>
      <c r="W227" s="732"/>
      <c r="X227" s="732"/>
      <c r="Y227" s="732">
        <v>1650</v>
      </c>
      <c r="Z227" s="826">
        <f t="shared" si="152"/>
        <v>4355</v>
      </c>
      <c r="AA227" s="732">
        <f t="shared" si="153"/>
        <v>1000</v>
      </c>
      <c r="AB227" s="732"/>
      <c r="AC227" s="816">
        <f t="shared" si="154"/>
        <v>1000</v>
      </c>
      <c r="AD227" s="826">
        <f t="shared" si="155"/>
        <v>53260</v>
      </c>
      <c r="AE227" s="732">
        <f t="shared" si="156"/>
        <v>24552860</v>
      </c>
      <c r="AF227" s="732">
        <f t="shared" si="157"/>
        <v>0</v>
      </c>
      <c r="AG227" s="732">
        <f t="shared" si="157"/>
        <v>-426080</v>
      </c>
      <c r="AH227" s="824">
        <f>469-1</f>
        <v>468</v>
      </c>
      <c r="AI227" s="816">
        <v>23674646.50696848</v>
      </c>
    </row>
    <row r="228" spans="1:36">
      <c r="A228" s="687" t="s">
        <v>6949</v>
      </c>
      <c r="B228" s="824">
        <v>443</v>
      </c>
      <c r="C228" s="826">
        <v>2258</v>
      </c>
      <c r="D228" s="732"/>
      <c r="E228" s="732"/>
      <c r="F228" s="732"/>
      <c r="G228" s="732"/>
      <c r="H228" s="732"/>
      <c r="I228" s="732"/>
      <c r="J228" s="732">
        <v>1650</v>
      </c>
      <c r="K228" s="826">
        <f t="shared" si="147"/>
        <v>3908</v>
      </c>
      <c r="L228" s="732">
        <f t="shared" si="148"/>
        <v>1000</v>
      </c>
      <c r="M228" s="732"/>
      <c r="N228" s="816">
        <f t="shared" si="149"/>
        <v>1000</v>
      </c>
      <c r="O228" s="826">
        <f t="shared" si="150"/>
        <v>47896</v>
      </c>
      <c r="P228" s="732">
        <f t="shared" si="151"/>
        <v>21217928</v>
      </c>
      <c r="Q228" s="826">
        <f>435-1</f>
        <v>434</v>
      </c>
      <c r="R228" s="826">
        <v>2258</v>
      </c>
      <c r="S228" s="732"/>
      <c r="T228" s="732"/>
      <c r="U228" s="732"/>
      <c r="V228" s="732"/>
      <c r="W228" s="732"/>
      <c r="X228" s="732"/>
      <c r="Y228" s="732">
        <v>1650</v>
      </c>
      <c r="Z228" s="826">
        <f t="shared" si="152"/>
        <v>3908</v>
      </c>
      <c r="AA228" s="732">
        <f t="shared" si="153"/>
        <v>1000</v>
      </c>
      <c r="AB228" s="732"/>
      <c r="AC228" s="816">
        <f t="shared" si="154"/>
        <v>1000</v>
      </c>
      <c r="AD228" s="826">
        <f t="shared" si="155"/>
        <v>47896</v>
      </c>
      <c r="AE228" s="732">
        <f t="shared" si="156"/>
        <v>20786864</v>
      </c>
      <c r="AF228" s="732">
        <f t="shared" si="157"/>
        <v>0</v>
      </c>
      <c r="AG228" s="732">
        <f t="shared" si="157"/>
        <v>431064</v>
      </c>
      <c r="AH228" s="824">
        <v>403</v>
      </c>
      <c r="AI228" s="816">
        <v>18224809.15877841</v>
      </c>
    </row>
    <row r="229" spans="1:36">
      <c r="A229" s="687" t="s">
        <v>6948</v>
      </c>
      <c r="B229" s="824">
        <v>315</v>
      </c>
      <c r="C229" s="826">
        <v>2204</v>
      </c>
      <c r="D229" s="732"/>
      <c r="E229" s="732"/>
      <c r="F229" s="732"/>
      <c r="G229" s="732"/>
      <c r="H229" s="732"/>
      <c r="I229" s="732"/>
      <c r="J229" s="732">
        <v>1450</v>
      </c>
      <c r="K229" s="826">
        <f t="shared" si="147"/>
        <v>3654</v>
      </c>
      <c r="L229" s="732">
        <f t="shared" si="148"/>
        <v>1000</v>
      </c>
      <c r="M229" s="732"/>
      <c r="N229" s="816">
        <f t="shared" si="149"/>
        <v>1000</v>
      </c>
      <c r="O229" s="826">
        <f t="shared" si="150"/>
        <v>44848</v>
      </c>
      <c r="P229" s="732">
        <f t="shared" si="151"/>
        <v>14127120</v>
      </c>
      <c r="Q229" s="826">
        <v>333</v>
      </c>
      <c r="R229" s="826">
        <v>2204</v>
      </c>
      <c r="S229" s="732"/>
      <c r="T229" s="732"/>
      <c r="U229" s="732"/>
      <c r="V229" s="732"/>
      <c r="W229" s="732"/>
      <c r="X229" s="732"/>
      <c r="Y229" s="732">
        <v>1450</v>
      </c>
      <c r="Z229" s="826">
        <f t="shared" si="152"/>
        <v>3654</v>
      </c>
      <c r="AA229" s="732">
        <f t="shared" si="153"/>
        <v>1000</v>
      </c>
      <c r="AB229" s="732"/>
      <c r="AC229" s="816">
        <f t="shared" si="154"/>
        <v>1000</v>
      </c>
      <c r="AD229" s="826">
        <f t="shared" si="155"/>
        <v>44848</v>
      </c>
      <c r="AE229" s="732">
        <f t="shared" si="156"/>
        <v>14934384</v>
      </c>
      <c r="AF229" s="732">
        <f t="shared" si="157"/>
        <v>0</v>
      </c>
      <c r="AG229" s="732">
        <f t="shared" si="157"/>
        <v>-807264</v>
      </c>
      <c r="AH229" s="824">
        <v>380</v>
      </c>
      <c r="AI229" s="816">
        <v>11676683.574034236</v>
      </c>
    </row>
    <row r="230" spans="1:36" ht="22.5">
      <c r="A230" s="685" t="s">
        <v>6956</v>
      </c>
      <c r="B230" s="821">
        <f t="shared" ref="B230:AI230" si="158">SUM(B231:B238)</f>
        <v>18757</v>
      </c>
      <c r="C230" s="821">
        <f t="shared" si="158"/>
        <v>17967</v>
      </c>
      <c r="D230" s="821">
        <f t="shared" si="158"/>
        <v>0</v>
      </c>
      <c r="E230" s="821">
        <f t="shared" si="158"/>
        <v>0</v>
      </c>
      <c r="F230" s="821">
        <f t="shared" si="158"/>
        <v>0</v>
      </c>
      <c r="G230" s="821">
        <f t="shared" si="158"/>
        <v>0</v>
      </c>
      <c r="H230" s="821">
        <f t="shared" si="158"/>
        <v>0</v>
      </c>
      <c r="I230" s="821">
        <f t="shared" si="158"/>
        <v>0</v>
      </c>
      <c r="J230" s="821">
        <f t="shared" si="158"/>
        <v>11200</v>
      </c>
      <c r="K230" s="821">
        <f t="shared" si="158"/>
        <v>29167</v>
      </c>
      <c r="L230" s="821">
        <f t="shared" si="158"/>
        <v>8000</v>
      </c>
      <c r="M230" s="821">
        <f t="shared" si="158"/>
        <v>0</v>
      </c>
      <c r="N230" s="821">
        <f t="shared" si="158"/>
        <v>8000</v>
      </c>
      <c r="O230" s="821">
        <f t="shared" si="158"/>
        <v>358004</v>
      </c>
      <c r="P230" s="821">
        <f t="shared" si="158"/>
        <v>789241684</v>
      </c>
      <c r="Q230" s="821">
        <f t="shared" si="158"/>
        <v>18913</v>
      </c>
      <c r="R230" s="821">
        <f t="shared" si="158"/>
        <v>17967</v>
      </c>
      <c r="S230" s="821">
        <f t="shared" si="158"/>
        <v>0</v>
      </c>
      <c r="T230" s="821">
        <f t="shared" si="158"/>
        <v>0</v>
      </c>
      <c r="U230" s="821">
        <f t="shared" si="158"/>
        <v>0</v>
      </c>
      <c r="V230" s="821">
        <f t="shared" si="158"/>
        <v>0</v>
      </c>
      <c r="W230" s="821">
        <f t="shared" si="158"/>
        <v>0</v>
      </c>
      <c r="X230" s="821">
        <f t="shared" si="158"/>
        <v>0</v>
      </c>
      <c r="Y230" s="821">
        <f t="shared" si="158"/>
        <v>11200</v>
      </c>
      <c r="Z230" s="821">
        <f t="shared" si="158"/>
        <v>29167</v>
      </c>
      <c r="AA230" s="821">
        <f t="shared" si="158"/>
        <v>8000</v>
      </c>
      <c r="AB230" s="821">
        <f t="shared" si="158"/>
        <v>0</v>
      </c>
      <c r="AC230" s="821">
        <f t="shared" si="158"/>
        <v>8000</v>
      </c>
      <c r="AD230" s="821">
        <f t="shared" si="158"/>
        <v>358004</v>
      </c>
      <c r="AE230" s="821">
        <f t="shared" si="158"/>
        <v>797204596</v>
      </c>
      <c r="AF230" s="821">
        <f t="shared" si="158"/>
        <v>0</v>
      </c>
      <c r="AG230" s="821">
        <f t="shared" si="158"/>
        <v>-7962912</v>
      </c>
      <c r="AH230" s="821">
        <f t="shared" si="158"/>
        <v>18997</v>
      </c>
      <c r="AI230" s="821">
        <f t="shared" si="158"/>
        <v>804070098.14717996</v>
      </c>
    </row>
    <row r="231" spans="1:36">
      <c r="A231" s="687" t="s">
        <v>6955</v>
      </c>
      <c r="B231" s="825">
        <v>196</v>
      </c>
      <c r="C231" s="816">
        <v>2668</v>
      </c>
      <c r="D231" s="831"/>
      <c r="E231" s="831"/>
      <c r="F231" s="831"/>
      <c r="G231" s="831"/>
      <c r="H231" s="831"/>
      <c r="I231" s="831"/>
      <c r="J231" s="816">
        <v>1650</v>
      </c>
      <c r="K231" s="816">
        <f t="shared" ref="K231:K238" si="159">SUM(C231:J231)</f>
        <v>4318</v>
      </c>
      <c r="L231" s="824">
        <f t="shared" ref="L231:L238" si="160">300+300+400</f>
        <v>1000</v>
      </c>
      <c r="M231" s="732"/>
      <c r="N231" s="816">
        <f t="shared" ref="N231:N238" si="161">+L231+M231</f>
        <v>1000</v>
      </c>
      <c r="O231" s="816">
        <f t="shared" ref="O231:O238" si="162">K231*12+N231</f>
        <v>52816</v>
      </c>
      <c r="P231" s="816">
        <f t="shared" ref="P231:P238" si="163">B231*O231</f>
        <v>10351936</v>
      </c>
      <c r="Q231" s="826">
        <v>203</v>
      </c>
      <c r="R231" s="816">
        <v>2668</v>
      </c>
      <c r="S231" s="831"/>
      <c r="T231" s="831"/>
      <c r="U231" s="831"/>
      <c r="V231" s="831"/>
      <c r="W231" s="831"/>
      <c r="X231" s="831"/>
      <c r="Y231" s="816">
        <v>1650</v>
      </c>
      <c r="Z231" s="816">
        <f t="shared" ref="Z231:Z238" si="164">SUM(R231:Y231)</f>
        <v>4318</v>
      </c>
      <c r="AA231" s="824">
        <f t="shared" ref="AA231:AA238" si="165">300+300+400</f>
        <v>1000</v>
      </c>
      <c r="AB231" s="732"/>
      <c r="AC231" s="816">
        <f t="shared" ref="AC231:AC238" si="166">+AA231+AB231</f>
        <v>1000</v>
      </c>
      <c r="AD231" s="816">
        <f t="shared" ref="AD231:AD238" si="167">Z231*12+AC231</f>
        <v>52816</v>
      </c>
      <c r="AE231" s="816">
        <f t="shared" ref="AE231:AE238" si="168">Q231*AD231</f>
        <v>10721648</v>
      </c>
      <c r="AF231" s="732">
        <f t="shared" ref="AF231:AG238" si="169">+O231-AD231</f>
        <v>0</v>
      </c>
      <c r="AG231" s="732">
        <f t="shared" si="169"/>
        <v>-369712</v>
      </c>
      <c r="AH231" s="825">
        <v>196</v>
      </c>
      <c r="AI231" s="816">
        <v>9827998.8960808162</v>
      </c>
    </row>
    <row r="232" spans="1:36">
      <c r="A232" s="687" t="s">
        <v>6947</v>
      </c>
      <c r="B232" s="825">
        <v>472</v>
      </c>
      <c r="C232" s="816">
        <v>2561</v>
      </c>
      <c r="D232" s="831"/>
      <c r="E232" s="831"/>
      <c r="F232" s="831"/>
      <c r="G232" s="831"/>
      <c r="H232" s="831"/>
      <c r="I232" s="831"/>
      <c r="J232" s="816">
        <v>1650</v>
      </c>
      <c r="K232" s="816">
        <f t="shared" si="159"/>
        <v>4211</v>
      </c>
      <c r="L232" s="824">
        <f t="shared" si="160"/>
        <v>1000</v>
      </c>
      <c r="M232" s="732"/>
      <c r="N232" s="816">
        <f t="shared" si="161"/>
        <v>1000</v>
      </c>
      <c r="O232" s="816">
        <f t="shared" si="162"/>
        <v>51532</v>
      </c>
      <c r="P232" s="816">
        <f t="shared" si="163"/>
        <v>24323104</v>
      </c>
      <c r="Q232" s="826">
        <v>506</v>
      </c>
      <c r="R232" s="816">
        <v>2561</v>
      </c>
      <c r="S232" s="831"/>
      <c r="T232" s="831"/>
      <c r="U232" s="831"/>
      <c r="V232" s="831"/>
      <c r="W232" s="831"/>
      <c r="X232" s="831"/>
      <c r="Y232" s="816">
        <v>1650</v>
      </c>
      <c r="Z232" s="816">
        <f t="shared" si="164"/>
        <v>4211</v>
      </c>
      <c r="AA232" s="824">
        <f t="shared" si="165"/>
        <v>1000</v>
      </c>
      <c r="AB232" s="732"/>
      <c r="AC232" s="816">
        <f t="shared" si="166"/>
        <v>1000</v>
      </c>
      <c r="AD232" s="816">
        <f t="shared" si="167"/>
        <v>51532</v>
      </c>
      <c r="AE232" s="816">
        <f t="shared" si="168"/>
        <v>26075192</v>
      </c>
      <c r="AF232" s="732">
        <f t="shared" si="169"/>
        <v>0</v>
      </c>
      <c r="AG232" s="732">
        <f t="shared" si="169"/>
        <v>-1752088</v>
      </c>
      <c r="AH232" s="825">
        <v>518</v>
      </c>
      <c r="AI232" s="816">
        <v>25308885.082499299</v>
      </c>
    </row>
    <row r="233" spans="1:36">
      <c r="A233" s="687" t="s">
        <v>6946</v>
      </c>
      <c r="B233" s="825">
        <v>1129</v>
      </c>
      <c r="C233" s="816">
        <v>2382</v>
      </c>
      <c r="D233" s="831"/>
      <c r="E233" s="831"/>
      <c r="F233" s="831"/>
      <c r="G233" s="831"/>
      <c r="H233" s="831"/>
      <c r="I233" s="831"/>
      <c r="J233" s="816">
        <v>1450</v>
      </c>
      <c r="K233" s="816">
        <f t="shared" si="159"/>
        <v>3832</v>
      </c>
      <c r="L233" s="824">
        <f t="shared" si="160"/>
        <v>1000</v>
      </c>
      <c r="M233" s="732"/>
      <c r="N233" s="816">
        <f t="shared" si="161"/>
        <v>1000</v>
      </c>
      <c r="O233" s="816">
        <f t="shared" si="162"/>
        <v>46984</v>
      </c>
      <c r="P233" s="816">
        <f t="shared" si="163"/>
        <v>53044936</v>
      </c>
      <c r="Q233" s="826">
        <f>1252-1</f>
        <v>1251</v>
      </c>
      <c r="R233" s="816">
        <v>2382</v>
      </c>
      <c r="S233" s="831"/>
      <c r="T233" s="831"/>
      <c r="U233" s="831"/>
      <c r="V233" s="831"/>
      <c r="W233" s="831"/>
      <c r="X233" s="831"/>
      <c r="Y233" s="816">
        <v>1450</v>
      </c>
      <c r="Z233" s="816">
        <f t="shared" si="164"/>
        <v>3832</v>
      </c>
      <c r="AA233" s="824">
        <f t="shared" si="165"/>
        <v>1000</v>
      </c>
      <c r="AB233" s="732"/>
      <c r="AC233" s="816">
        <f t="shared" si="166"/>
        <v>1000</v>
      </c>
      <c r="AD233" s="816">
        <f t="shared" si="167"/>
        <v>46984</v>
      </c>
      <c r="AE233" s="816">
        <f t="shared" si="168"/>
        <v>58776984</v>
      </c>
      <c r="AF233" s="732">
        <f t="shared" si="169"/>
        <v>0</v>
      </c>
      <c r="AG233" s="732">
        <f t="shared" si="169"/>
        <v>-5732048</v>
      </c>
      <c r="AH233" s="825">
        <f>1439-6</f>
        <v>1433</v>
      </c>
      <c r="AI233" s="816">
        <v>66936650.214713313</v>
      </c>
    </row>
    <row r="234" spans="1:36">
      <c r="A234" s="687" t="s">
        <v>6945</v>
      </c>
      <c r="B234" s="825">
        <v>3643</v>
      </c>
      <c r="C234" s="816">
        <v>2228</v>
      </c>
      <c r="D234" s="831"/>
      <c r="E234" s="831"/>
      <c r="F234" s="831"/>
      <c r="G234" s="831"/>
      <c r="H234" s="831"/>
      <c r="I234" s="831"/>
      <c r="J234" s="816">
        <v>1300</v>
      </c>
      <c r="K234" s="816">
        <f t="shared" si="159"/>
        <v>3528</v>
      </c>
      <c r="L234" s="824">
        <f t="shared" si="160"/>
        <v>1000</v>
      </c>
      <c r="M234" s="732"/>
      <c r="N234" s="816">
        <f t="shared" si="161"/>
        <v>1000</v>
      </c>
      <c r="O234" s="816">
        <f t="shared" si="162"/>
        <v>43336</v>
      </c>
      <c r="P234" s="816">
        <f t="shared" si="163"/>
        <v>157873048</v>
      </c>
      <c r="Q234" s="826">
        <f>3861-13</f>
        <v>3848</v>
      </c>
      <c r="R234" s="816">
        <v>2228</v>
      </c>
      <c r="S234" s="831"/>
      <c r="T234" s="831"/>
      <c r="U234" s="831"/>
      <c r="V234" s="831"/>
      <c r="W234" s="831"/>
      <c r="X234" s="831"/>
      <c r="Y234" s="816">
        <v>1300</v>
      </c>
      <c r="Z234" s="816">
        <f t="shared" si="164"/>
        <v>3528</v>
      </c>
      <c r="AA234" s="824">
        <f t="shared" si="165"/>
        <v>1000</v>
      </c>
      <c r="AB234" s="732"/>
      <c r="AC234" s="816">
        <f t="shared" si="166"/>
        <v>1000</v>
      </c>
      <c r="AD234" s="816">
        <f t="shared" si="167"/>
        <v>43336</v>
      </c>
      <c r="AE234" s="816">
        <f t="shared" si="168"/>
        <v>166756928</v>
      </c>
      <c r="AF234" s="732">
        <f t="shared" si="169"/>
        <v>0</v>
      </c>
      <c r="AG234" s="732">
        <f t="shared" si="169"/>
        <v>-8883880</v>
      </c>
      <c r="AH234" s="825">
        <f>3980-12</f>
        <v>3968</v>
      </c>
      <c r="AI234" s="816">
        <v>178015794.79412591</v>
      </c>
    </row>
    <row r="235" spans="1:36">
      <c r="A235" s="687" t="s">
        <v>6944</v>
      </c>
      <c r="B235" s="825">
        <v>3723</v>
      </c>
      <c r="C235" s="816">
        <v>2104</v>
      </c>
      <c r="D235" s="831"/>
      <c r="E235" s="831"/>
      <c r="F235" s="831"/>
      <c r="G235" s="831"/>
      <c r="H235" s="831"/>
      <c r="I235" s="831"/>
      <c r="J235" s="816">
        <v>1300</v>
      </c>
      <c r="K235" s="816">
        <f t="shared" si="159"/>
        <v>3404</v>
      </c>
      <c r="L235" s="824">
        <f t="shared" si="160"/>
        <v>1000</v>
      </c>
      <c r="M235" s="732"/>
      <c r="N235" s="816">
        <f t="shared" si="161"/>
        <v>1000</v>
      </c>
      <c r="O235" s="816">
        <f t="shared" si="162"/>
        <v>41848</v>
      </c>
      <c r="P235" s="816">
        <f t="shared" si="163"/>
        <v>155800104</v>
      </c>
      <c r="Q235" s="826">
        <f>3457-8</f>
        <v>3449</v>
      </c>
      <c r="R235" s="816">
        <v>2104</v>
      </c>
      <c r="S235" s="831"/>
      <c r="T235" s="831"/>
      <c r="U235" s="831"/>
      <c r="V235" s="831"/>
      <c r="W235" s="831"/>
      <c r="X235" s="831"/>
      <c r="Y235" s="816">
        <v>1300</v>
      </c>
      <c r="Z235" s="816">
        <f t="shared" si="164"/>
        <v>3404</v>
      </c>
      <c r="AA235" s="824">
        <f t="shared" si="165"/>
        <v>1000</v>
      </c>
      <c r="AB235" s="732"/>
      <c r="AC235" s="816">
        <f t="shared" si="166"/>
        <v>1000</v>
      </c>
      <c r="AD235" s="816">
        <f t="shared" si="167"/>
        <v>41848</v>
      </c>
      <c r="AE235" s="816">
        <f t="shared" si="168"/>
        <v>144333752</v>
      </c>
      <c r="AF235" s="732">
        <f t="shared" si="169"/>
        <v>0</v>
      </c>
      <c r="AG235" s="732">
        <f t="shared" si="169"/>
        <v>11466352</v>
      </c>
      <c r="AH235" s="825">
        <f>3500-10</f>
        <v>3490</v>
      </c>
      <c r="AI235" s="816">
        <v>151378231.77205127</v>
      </c>
    </row>
    <row r="236" spans="1:36">
      <c r="A236" s="687" t="s">
        <v>6943</v>
      </c>
      <c r="B236" s="825">
        <v>2820</v>
      </c>
      <c r="C236" s="816">
        <v>2043</v>
      </c>
      <c r="D236" s="831"/>
      <c r="E236" s="831"/>
      <c r="F236" s="831"/>
      <c r="G236" s="831"/>
      <c r="H236" s="831"/>
      <c r="I236" s="831"/>
      <c r="J236" s="816">
        <v>1300</v>
      </c>
      <c r="K236" s="816">
        <f t="shared" si="159"/>
        <v>3343</v>
      </c>
      <c r="L236" s="824">
        <f t="shared" si="160"/>
        <v>1000</v>
      </c>
      <c r="M236" s="732"/>
      <c r="N236" s="816">
        <f t="shared" si="161"/>
        <v>1000</v>
      </c>
      <c r="O236" s="816">
        <f t="shared" si="162"/>
        <v>41116</v>
      </c>
      <c r="P236" s="816">
        <f t="shared" si="163"/>
        <v>115947120</v>
      </c>
      <c r="Q236" s="826">
        <f>2725-9</f>
        <v>2716</v>
      </c>
      <c r="R236" s="816">
        <v>2043</v>
      </c>
      <c r="S236" s="831"/>
      <c r="T236" s="831"/>
      <c r="U236" s="831"/>
      <c r="V236" s="831"/>
      <c r="W236" s="831"/>
      <c r="X236" s="831"/>
      <c r="Y236" s="816">
        <v>1300</v>
      </c>
      <c r="Z236" s="816">
        <f t="shared" si="164"/>
        <v>3343</v>
      </c>
      <c r="AA236" s="824">
        <f t="shared" si="165"/>
        <v>1000</v>
      </c>
      <c r="AB236" s="732"/>
      <c r="AC236" s="816">
        <f t="shared" si="166"/>
        <v>1000</v>
      </c>
      <c r="AD236" s="816">
        <f t="shared" si="167"/>
        <v>41116</v>
      </c>
      <c r="AE236" s="816">
        <f t="shared" si="168"/>
        <v>111671056</v>
      </c>
      <c r="AF236" s="732">
        <f t="shared" si="169"/>
        <v>0</v>
      </c>
      <c r="AG236" s="732">
        <f t="shared" si="169"/>
        <v>4276064</v>
      </c>
      <c r="AH236" s="825">
        <f>2605-6</f>
        <v>2599</v>
      </c>
      <c r="AI236" s="816">
        <v>110828771.07609203</v>
      </c>
    </row>
    <row r="237" spans="1:36" ht="13.5">
      <c r="A237" s="687" t="s">
        <v>6942</v>
      </c>
      <c r="B237" s="825">
        <v>3051</v>
      </c>
      <c r="C237" s="816">
        <v>2005</v>
      </c>
      <c r="D237" s="831"/>
      <c r="E237" s="831"/>
      <c r="F237" s="831"/>
      <c r="G237" s="831"/>
      <c r="H237" s="831"/>
      <c r="I237" s="831"/>
      <c r="J237" s="816">
        <v>1300</v>
      </c>
      <c r="K237" s="816">
        <f t="shared" si="159"/>
        <v>3305</v>
      </c>
      <c r="L237" s="824">
        <f t="shared" si="160"/>
        <v>1000</v>
      </c>
      <c r="M237" s="732"/>
      <c r="N237" s="816">
        <f t="shared" si="161"/>
        <v>1000</v>
      </c>
      <c r="O237" s="816">
        <f t="shared" si="162"/>
        <v>40660</v>
      </c>
      <c r="P237" s="816">
        <f t="shared" si="163"/>
        <v>124053660</v>
      </c>
      <c r="Q237" s="826">
        <f>3448-1</f>
        <v>3447</v>
      </c>
      <c r="R237" s="816">
        <v>2005</v>
      </c>
      <c r="S237" s="831"/>
      <c r="T237" s="831"/>
      <c r="U237" s="831"/>
      <c r="V237" s="831"/>
      <c r="W237" s="831"/>
      <c r="X237" s="831"/>
      <c r="Y237" s="816">
        <v>1300</v>
      </c>
      <c r="Z237" s="816">
        <f t="shared" si="164"/>
        <v>3305</v>
      </c>
      <c r="AA237" s="824">
        <f t="shared" si="165"/>
        <v>1000</v>
      </c>
      <c r="AB237" s="732"/>
      <c r="AC237" s="816">
        <f t="shared" si="166"/>
        <v>1000</v>
      </c>
      <c r="AD237" s="816">
        <f t="shared" si="167"/>
        <v>40660</v>
      </c>
      <c r="AE237" s="816">
        <f t="shared" si="168"/>
        <v>140155020</v>
      </c>
      <c r="AF237" s="732">
        <f t="shared" si="169"/>
        <v>0</v>
      </c>
      <c r="AG237" s="732">
        <f t="shared" si="169"/>
        <v>-16101360</v>
      </c>
      <c r="AH237" s="825">
        <f>3609-5</f>
        <v>3604</v>
      </c>
      <c r="AI237" s="816">
        <v>152041412.84426153</v>
      </c>
      <c r="AJ237" s="832"/>
    </row>
    <row r="238" spans="1:36">
      <c r="A238" s="687" t="s">
        <v>6941</v>
      </c>
      <c r="B238" s="825">
        <v>3723</v>
      </c>
      <c r="C238" s="816">
        <v>1976</v>
      </c>
      <c r="D238" s="831"/>
      <c r="E238" s="831"/>
      <c r="F238" s="831"/>
      <c r="G238" s="831"/>
      <c r="H238" s="831"/>
      <c r="I238" s="831"/>
      <c r="J238" s="816">
        <v>1250</v>
      </c>
      <c r="K238" s="816">
        <f t="shared" si="159"/>
        <v>3226</v>
      </c>
      <c r="L238" s="824">
        <f t="shared" si="160"/>
        <v>1000</v>
      </c>
      <c r="M238" s="732"/>
      <c r="N238" s="816">
        <f t="shared" si="161"/>
        <v>1000</v>
      </c>
      <c r="O238" s="816">
        <f t="shared" si="162"/>
        <v>39712</v>
      </c>
      <c r="P238" s="816">
        <f t="shared" si="163"/>
        <v>147847776</v>
      </c>
      <c r="Q238" s="826">
        <f>3501-8</f>
        <v>3493</v>
      </c>
      <c r="R238" s="816">
        <v>1976</v>
      </c>
      <c r="S238" s="831"/>
      <c r="T238" s="831"/>
      <c r="U238" s="831"/>
      <c r="V238" s="831"/>
      <c r="W238" s="831"/>
      <c r="X238" s="831"/>
      <c r="Y238" s="816">
        <v>1250</v>
      </c>
      <c r="Z238" s="816">
        <f t="shared" si="164"/>
        <v>3226</v>
      </c>
      <c r="AA238" s="824">
        <f t="shared" si="165"/>
        <v>1000</v>
      </c>
      <c r="AB238" s="732"/>
      <c r="AC238" s="816">
        <f t="shared" si="166"/>
        <v>1000</v>
      </c>
      <c r="AD238" s="816">
        <f t="shared" si="167"/>
        <v>39712</v>
      </c>
      <c r="AE238" s="816">
        <f t="shared" si="168"/>
        <v>138714016</v>
      </c>
      <c r="AF238" s="732">
        <f t="shared" si="169"/>
        <v>0</v>
      </c>
      <c r="AG238" s="732">
        <f t="shared" si="169"/>
        <v>9133760</v>
      </c>
      <c r="AH238" s="825">
        <f>3195-6</f>
        <v>3189</v>
      </c>
      <c r="AI238" s="816">
        <v>109732353.46735573</v>
      </c>
    </row>
    <row r="239" spans="1:36" ht="45">
      <c r="A239" s="685" t="s">
        <v>7146</v>
      </c>
      <c r="B239" s="833">
        <f t="shared" ref="B239:AI239" si="170">SUM(B240:B251)</f>
        <v>38</v>
      </c>
      <c r="C239" s="821">
        <f t="shared" si="170"/>
        <v>23927</v>
      </c>
      <c r="D239" s="821">
        <f t="shared" si="170"/>
        <v>0</v>
      </c>
      <c r="E239" s="821">
        <f t="shared" si="170"/>
        <v>0</v>
      </c>
      <c r="F239" s="821">
        <f t="shared" si="170"/>
        <v>0</v>
      </c>
      <c r="G239" s="821">
        <f t="shared" si="170"/>
        <v>0</v>
      </c>
      <c r="H239" s="821">
        <f t="shared" si="170"/>
        <v>0</v>
      </c>
      <c r="I239" s="821">
        <f t="shared" si="170"/>
        <v>0</v>
      </c>
      <c r="J239" s="821">
        <f t="shared" si="170"/>
        <v>18800</v>
      </c>
      <c r="K239" s="821">
        <f t="shared" si="170"/>
        <v>42727</v>
      </c>
      <c r="L239" s="821">
        <f t="shared" si="170"/>
        <v>8000</v>
      </c>
      <c r="M239" s="821">
        <f t="shared" si="170"/>
        <v>0</v>
      </c>
      <c r="N239" s="821">
        <f t="shared" si="170"/>
        <v>8000</v>
      </c>
      <c r="O239" s="821">
        <f t="shared" si="170"/>
        <v>520724</v>
      </c>
      <c r="P239" s="821">
        <f t="shared" si="170"/>
        <v>2079956</v>
      </c>
      <c r="Q239" s="821">
        <f t="shared" si="170"/>
        <v>45</v>
      </c>
      <c r="R239" s="821">
        <f t="shared" si="170"/>
        <v>23927</v>
      </c>
      <c r="S239" s="821">
        <f t="shared" si="170"/>
        <v>0</v>
      </c>
      <c r="T239" s="821">
        <f t="shared" si="170"/>
        <v>0</v>
      </c>
      <c r="U239" s="821">
        <f t="shared" si="170"/>
        <v>0</v>
      </c>
      <c r="V239" s="821">
        <f t="shared" si="170"/>
        <v>0</v>
      </c>
      <c r="W239" s="821">
        <f t="shared" si="170"/>
        <v>0</v>
      </c>
      <c r="X239" s="821">
        <f t="shared" si="170"/>
        <v>0</v>
      </c>
      <c r="Y239" s="821">
        <f t="shared" si="170"/>
        <v>19300</v>
      </c>
      <c r="Z239" s="821">
        <f t="shared" si="170"/>
        <v>43227</v>
      </c>
      <c r="AA239" s="821">
        <f t="shared" si="170"/>
        <v>8000</v>
      </c>
      <c r="AB239" s="821">
        <f t="shared" si="170"/>
        <v>0</v>
      </c>
      <c r="AC239" s="821">
        <f t="shared" si="170"/>
        <v>8000</v>
      </c>
      <c r="AD239" s="821">
        <f t="shared" si="170"/>
        <v>526724</v>
      </c>
      <c r="AE239" s="821">
        <f t="shared" si="170"/>
        <v>2388352</v>
      </c>
      <c r="AF239" s="821">
        <f t="shared" si="170"/>
        <v>-6000</v>
      </c>
      <c r="AG239" s="821">
        <f t="shared" si="170"/>
        <v>-308396</v>
      </c>
      <c r="AH239" s="834">
        <f t="shared" si="170"/>
        <v>51</v>
      </c>
      <c r="AI239" s="821">
        <f t="shared" si="170"/>
        <v>2387425.4270414365</v>
      </c>
    </row>
    <row r="240" spans="1:36">
      <c r="A240" s="687" t="s">
        <v>6953</v>
      </c>
      <c r="B240" s="835">
        <v>1</v>
      </c>
      <c r="C240" s="816">
        <v>6910</v>
      </c>
      <c r="D240" s="831"/>
      <c r="E240" s="831"/>
      <c r="F240" s="831"/>
      <c r="G240" s="831"/>
      <c r="H240" s="831"/>
      <c r="I240" s="831"/>
      <c r="J240" s="816">
        <v>3200</v>
      </c>
      <c r="K240" s="816">
        <f t="shared" ref="K240:K251" si="171">SUM(C240:J240)</f>
        <v>10110</v>
      </c>
      <c r="L240" s="824">
        <f>300+300+400</f>
        <v>1000</v>
      </c>
      <c r="M240" s="831"/>
      <c r="N240" s="816">
        <f>+L240+M240</f>
        <v>1000</v>
      </c>
      <c r="O240" s="816">
        <f t="shared" ref="O240:O251" si="172">K240*12+N240</f>
        <v>122320</v>
      </c>
      <c r="P240" s="816">
        <f t="shared" ref="P240:P251" si="173">B240*O240</f>
        <v>122320</v>
      </c>
      <c r="Q240" s="826">
        <v>1</v>
      </c>
      <c r="R240" s="816">
        <v>6910</v>
      </c>
      <c r="S240" s="831"/>
      <c r="T240" s="831"/>
      <c r="U240" s="831"/>
      <c r="V240" s="831"/>
      <c r="W240" s="831"/>
      <c r="X240" s="831"/>
      <c r="Y240" s="816">
        <v>3200</v>
      </c>
      <c r="Z240" s="816">
        <f t="shared" ref="Z240:Z251" si="174">SUM(R240:Y240)</f>
        <v>10110</v>
      </c>
      <c r="AA240" s="824">
        <f>300+300+400</f>
        <v>1000</v>
      </c>
      <c r="AB240" s="831"/>
      <c r="AC240" s="816">
        <f>+AA240+AB240</f>
        <v>1000</v>
      </c>
      <c r="AD240" s="816">
        <f t="shared" ref="AD240:AD251" si="175">Z240*12+AC240</f>
        <v>122320</v>
      </c>
      <c r="AE240" s="816">
        <f t="shared" ref="AE240:AE251" si="176">Q240*AD240</f>
        <v>122320</v>
      </c>
      <c r="AF240" s="732">
        <f t="shared" ref="AF240:AF251" si="177">+O240-AD240</f>
        <v>0</v>
      </c>
      <c r="AG240" s="732">
        <f t="shared" ref="AG240:AG251" si="178">+P240-AE240</f>
        <v>0</v>
      </c>
      <c r="AH240" s="836">
        <v>1</v>
      </c>
      <c r="AI240" s="816">
        <v>101046.8515106164</v>
      </c>
    </row>
    <row r="241" spans="1:35">
      <c r="A241" s="687" t="s">
        <v>6952</v>
      </c>
      <c r="B241" s="835">
        <v>1</v>
      </c>
      <c r="C241" s="816">
        <v>4279</v>
      </c>
      <c r="D241" s="831"/>
      <c r="E241" s="831"/>
      <c r="F241" s="831"/>
      <c r="G241" s="831"/>
      <c r="H241" s="831"/>
      <c r="I241" s="831"/>
      <c r="J241" s="816">
        <v>2700</v>
      </c>
      <c r="K241" s="816">
        <f t="shared" si="171"/>
        <v>6979</v>
      </c>
      <c r="L241" s="824">
        <f>300+300+400</f>
        <v>1000</v>
      </c>
      <c r="M241" s="831"/>
      <c r="N241" s="816">
        <f>+L241+M241</f>
        <v>1000</v>
      </c>
      <c r="O241" s="816">
        <f t="shared" si="172"/>
        <v>84748</v>
      </c>
      <c r="P241" s="816">
        <f t="shared" si="173"/>
        <v>84748</v>
      </c>
      <c r="Q241" s="826">
        <v>2</v>
      </c>
      <c r="R241" s="816">
        <v>4279</v>
      </c>
      <c r="S241" s="831"/>
      <c r="T241" s="831"/>
      <c r="U241" s="831"/>
      <c r="V241" s="831"/>
      <c r="W241" s="831"/>
      <c r="X241" s="831"/>
      <c r="Y241" s="816">
        <v>3200</v>
      </c>
      <c r="Z241" s="816">
        <f t="shared" si="174"/>
        <v>7479</v>
      </c>
      <c r="AA241" s="824">
        <f>300+300+400</f>
        <v>1000</v>
      </c>
      <c r="AB241" s="831"/>
      <c r="AC241" s="816">
        <f>+AA241+AB241</f>
        <v>1000</v>
      </c>
      <c r="AD241" s="816">
        <f t="shared" si="175"/>
        <v>90748</v>
      </c>
      <c r="AE241" s="816">
        <f t="shared" si="176"/>
        <v>181496</v>
      </c>
      <c r="AF241" s="732">
        <f t="shared" si="177"/>
        <v>-6000</v>
      </c>
      <c r="AG241" s="732">
        <f t="shared" si="178"/>
        <v>-96748</v>
      </c>
      <c r="AH241" s="836">
        <v>3</v>
      </c>
      <c r="AI241" s="816">
        <v>208424.55453184922</v>
      </c>
    </row>
    <row r="242" spans="1:35">
      <c r="A242" s="687" t="s">
        <v>6951</v>
      </c>
      <c r="B242" s="835"/>
      <c r="C242" s="816"/>
      <c r="D242" s="831"/>
      <c r="E242" s="831"/>
      <c r="F242" s="831"/>
      <c r="G242" s="831"/>
      <c r="H242" s="831"/>
      <c r="I242" s="831"/>
      <c r="J242" s="816"/>
      <c r="K242" s="816">
        <f t="shared" si="171"/>
        <v>0</v>
      </c>
      <c r="L242" s="831"/>
      <c r="M242" s="831"/>
      <c r="N242" s="831"/>
      <c r="O242" s="816">
        <f t="shared" si="172"/>
        <v>0</v>
      </c>
      <c r="P242" s="816">
        <f t="shared" si="173"/>
        <v>0</v>
      </c>
      <c r="Q242" s="826">
        <v>1</v>
      </c>
      <c r="R242" s="816"/>
      <c r="S242" s="831"/>
      <c r="T242" s="831"/>
      <c r="U242" s="831"/>
      <c r="V242" s="831"/>
      <c r="W242" s="831"/>
      <c r="X242" s="831"/>
      <c r="Y242" s="816"/>
      <c r="Z242" s="816">
        <f t="shared" si="174"/>
        <v>0</v>
      </c>
      <c r="AA242" s="831"/>
      <c r="AB242" s="831"/>
      <c r="AC242" s="831"/>
      <c r="AD242" s="816">
        <f t="shared" si="175"/>
        <v>0</v>
      </c>
      <c r="AE242" s="816">
        <f t="shared" si="176"/>
        <v>0</v>
      </c>
      <c r="AF242" s="732">
        <f t="shared" si="177"/>
        <v>0</v>
      </c>
      <c r="AG242" s="732">
        <f t="shared" si="178"/>
        <v>0</v>
      </c>
      <c r="AH242" s="836">
        <v>1</v>
      </c>
      <c r="AI242" s="816">
        <v>57174.851510616412</v>
      </c>
    </row>
    <row r="243" spans="1:35">
      <c r="A243" s="687" t="s">
        <v>6950</v>
      </c>
      <c r="B243" s="835"/>
      <c r="C243" s="816"/>
      <c r="D243" s="831"/>
      <c r="E243" s="831"/>
      <c r="F243" s="831"/>
      <c r="G243" s="831"/>
      <c r="H243" s="831"/>
      <c r="I243" s="831"/>
      <c r="J243" s="816"/>
      <c r="K243" s="816">
        <f t="shared" si="171"/>
        <v>0</v>
      </c>
      <c r="L243" s="831"/>
      <c r="M243" s="831"/>
      <c r="N243" s="831"/>
      <c r="O243" s="816">
        <f t="shared" si="172"/>
        <v>0</v>
      </c>
      <c r="P243" s="816">
        <f t="shared" si="173"/>
        <v>0</v>
      </c>
      <c r="Q243" s="826"/>
      <c r="R243" s="816"/>
      <c r="S243" s="831"/>
      <c r="T243" s="831"/>
      <c r="U243" s="831"/>
      <c r="V243" s="831"/>
      <c r="W243" s="831"/>
      <c r="X243" s="831"/>
      <c r="Y243" s="816"/>
      <c r="Z243" s="816">
        <f t="shared" si="174"/>
        <v>0</v>
      </c>
      <c r="AA243" s="831"/>
      <c r="AB243" s="831"/>
      <c r="AC243" s="831"/>
      <c r="AD243" s="816">
        <f t="shared" si="175"/>
        <v>0</v>
      </c>
      <c r="AE243" s="816">
        <f t="shared" si="176"/>
        <v>0</v>
      </c>
      <c r="AF243" s="732">
        <f t="shared" si="177"/>
        <v>0</v>
      </c>
      <c r="AG243" s="732">
        <f t="shared" si="178"/>
        <v>0</v>
      </c>
      <c r="AH243" s="836">
        <v>1</v>
      </c>
      <c r="AI243" s="816">
        <v>50586.851510616412</v>
      </c>
    </row>
    <row r="244" spans="1:35">
      <c r="A244" s="687" t="s">
        <v>6949</v>
      </c>
      <c r="B244" s="835"/>
      <c r="C244" s="816"/>
      <c r="D244" s="831"/>
      <c r="E244" s="831"/>
      <c r="F244" s="831"/>
      <c r="G244" s="831"/>
      <c r="H244" s="831"/>
      <c r="I244" s="831"/>
      <c r="J244" s="816"/>
      <c r="K244" s="816">
        <f t="shared" si="171"/>
        <v>0</v>
      </c>
      <c r="L244" s="831"/>
      <c r="M244" s="831"/>
      <c r="N244" s="831"/>
      <c r="O244" s="816">
        <f t="shared" si="172"/>
        <v>0</v>
      </c>
      <c r="P244" s="816">
        <f t="shared" si="173"/>
        <v>0</v>
      </c>
      <c r="Q244" s="826">
        <v>1</v>
      </c>
      <c r="R244" s="816"/>
      <c r="S244" s="831"/>
      <c r="T244" s="831"/>
      <c r="U244" s="831"/>
      <c r="V244" s="831"/>
      <c r="W244" s="831"/>
      <c r="X244" s="831"/>
      <c r="Y244" s="816"/>
      <c r="Z244" s="816">
        <f t="shared" si="174"/>
        <v>0</v>
      </c>
      <c r="AA244" s="831"/>
      <c r="AB244" s="831"/>
      <c r="AC244" s="831"/>
      <c r="AD244" s="816">
        <f t="shared" si="175"/>
        <v>0</v>
      </c>
      <c r="AE244" s="816">
        <f t="shared" si="176"/>
        <v>0</v>
      </c>
      <c r="AF244" s="732">
        <f t="shared" si="177"/>
        <v>0</v>
      </c>
      <c r="AG244" s="732">
        <f t="shared" si="178"/>
        <v>0</v>
      </c>
      <c r="AH244" s="836">
        <v>0</v>
      </c>
      <c r="AI244" s="831"/>
    </row>
    <row r="245" spans="1:35" hidden="1">
      <c r="A245" s="687" t="s">
        <v>6948</v>
      </c>
      <c r="B245" s="835"/>
      <c r="C245" s="816"/>
      <c r="D245" s="831"/>
      <c r="E245" s="831"/>
      <c r="F245" s="831"/>
      <c r="G245" s="831"/>
      <c r="H245" s="831"/>
      <c r="I245" s="831"/>
      <c r="J245" s="816"/>
      <c r="K245" s="816">
        <f t="shared" si="171"/>
        <v>0</v>
      </c>
      <c r="L245" s="831"/>
      <c r="M245" s="831"/>
      <c r="N245" s="831"/>
      <c r="O245" s="816">
        <f t="shared" si="172"/>
        <v>0</v>
      </c>
      <c r="P245" s="816">
        <f t="shared" si="173"/>
        <v>0</v>
      </c>
      <c r="Q245" s="826"/>
      <c r="R245" s="816"/>
      <c r="S245" s="831"/>
      <c r="T245" s="831"/>
      <c r="U245" s="831"/>
      <c r="V245" s="831"/>
      <c r="W245" s="831"/>
      <c r="X245" s="831"/>
      <c r="Y245" s="816"/>
      <c r="Z245" s="816">
        <f t="shared" si="174"/>
        <v>0</v>
      </c>
      <c r="AA245" s="831"/>
      <c r="AB245" s="831"/>
      <c r="AC245" s="831"/>
      <c r="AD245" s="816">
        <f t="shared" si="175"/>
        <v>0</v>
      </c>
      <c r="AE245" s="816">
        <f t="shared" si="176"/>
        <v>0</v>
      </c>
      <c r="AF245" s="732">
        <f t="shared" si="177"/>
        <v>0</v>
      </c>
      <c r="AG245" s="732">
        <f t="shared" si="178"/>
        <v>0</v>
      </c>
      <c r="AH245" s="836">
        <v>0</v>
      </c>
      <c r="AI245" s="831"/>
    </row>
    <row r="246" spans="1:35">
      <c r="A246" s="687" t="s">
        <v>6946</v>
      </c>
      <c r="B246" s="835">
        <v>1</v>
      </c>
      <c r="C246" s="816">
        <v>2382</v>
      </c>
      <c r="D246" s="831"/>
      <c r="E246" s="831"/>
      <c r="F246" s="831"/>
      <c r="G246" s="831"/>
      <c r="H246" s="831"/>
      <c r="I246" s="831"/>
      <c r="J246" s="816">
        <v>2150</v>
      </c>
      <c r="K246" s="816">
        <f t="shared" si="171"/>
        <v>4532</v>
      </c>
      <c r="L246" s="824">
        <f t="shared" ref="L246:L251" si="179">300+300+400</f>
        <v>1000</v>
      </c>
      <c r="M246" s="831"/>
      <c r="N246" s="816">
        <f t="shared" ref="N246:N251" si="180">+L246+M246</f>
        <v>1000</v>
      </c>
      <c r="O246" s="816">
        <f t="shared" si="172"/>
        <v>55384</v>
      </c>
      <c r="P246" s="816">
        <f t="shared" si="173"/>
        <v>55384</v>
      </c>
      <c r="Q246" s="826">
        <v>1</v>
      </c>
      <c r="R246" s="816">
        <v>2382</v>
      </c>
      <c r="S246" s="831"/>
      <c r="T246" s="831"/>
      <c r="U246" s="831"/>
      <c r="V246" s="831"/>
      <c r="W246" s="831"/>
      <c r="X246" s="831"/>
      <c r="Y246" s="816">
        <v>2150</v>
      </c>
      <c r="Z246" s="816">
        <f t="shared" si="174"/>
        <v>4532</v>
      </c>
      <c r="AA246" s="824">
        <f t="shared" ref="AA246:AA251" si="181">300+300+400</f>
        <v>1000</v>
      </c>
      <c r="AB246" s="831"/>
      <c r="AC246" s="816">
        <f t="shared" ref="AC246:AC251" si="182">+AA246+AB246</f>
        <v>1000</v>
      </c>
      <c r="AD246" s="816">
        <f t="shared" si="175"/>
        <v>55384</v>
      </c>
      <c r="AE246" s="816">
        <f t="shared" si="176"/>
        <v>55384</v>
      </c>
      <c r="AF246" s="732">
        <f t="shared" si="177"/>
        <v>0</v>
      </c>
      <c r="AG246" s="732">
        <f t="shared" si="178"/>
        <v>0</v>
      </c>
      <c r="AH246" s="836">
        <v>6</v>
      </c>
      <c r="AI246" s="816">
        <v>280265.10906369844</v>
      </c>
    </row>
    <row r="247" spans="1:35">
      <c r="A247" s="687" t="s">
        <v>6945</v>
      </c>
      <c r="B247" s="835">
        <v>10</v>
      </c>
      <c r="C247" s="816">
        <v>2228</v>
      </c>
      <c r="D247" s="831"/>
      <c r="E247" s="831"/>
      <c r="F247" s="831"/>
      <c r="G247" s="831"/>
      <c r="H247" s="831"/>
      <c r="I247" s="831"/>
      <c r="J247" s="816">
        <v>2150</v>
      </c>
      <c r="K247" s="816">
        <f t="shared" si="171"/>
        <v>4378</v>
      </c>
      <c r="L247" s="824">
        <f t="shared" si="179"/>
        <v>1000</v>
      </c>
      <c r="M247" s="831"/>
      <c r="N247" s="816">
        <f t="shared" si="180"/>
        <v>1000</v>
      </c>
      <c r="O247" s="816">
        <f t="shared" si="172"/>
        <v>53536</v>
      </c>
      <c r="P247" s="816">
        <f t="shared" si="173"/>
        <v>535360</v>
      </c>
      <c r="Q247" s="826">
        <v>13</v>
      </c>
      <c r="R247" s="816">
        <v>2228</v>
      </c>
      <c r="S247" s="831"/>
      <c r="T247" s="831"/>
      <c r="U247" s="831"/>
      <c r="V247" s="831"/>
      <c r="W247" s="831"/>
      <c r="X247" s="831"/>
      <c r="Y247" s="816">
        <v>2150</v>
      </c>
      <c r="Z247" s="816">
        <f t="shared" si="174"/>
        <v>4378</v>
      </c>
      <c r="AA247" s="824">
        <f t="shared" si="181"/>
        <v>1000</v>
      </c>
      <c r="AB247" s="831"/>
      <c r="AC247" s="816">
        <f t="shared" si="182"/>
        <v>1000</v>
      </c>
      <c r="AD247" s="816">
        <f t="shared" si="175"/>
        <v>53536</v>
      </c>
      <c r="AE247" s="816">
        <f t="shared" si="176"/>
        <v>695968</v>
      </c>
      <c r="AF247" s="732">
        <f t="shared" si="177"/>
        <v>0</v>
      </c>
      <c r="AG247" s="732">
        <f t="shared" si="178"/>
        <v>-160608</v>
      </c>
      <c r="AH247" s="836">
        <v>12</v>
      </c>
      <c r="AI247" s="816">
        <v>538354.21812739689</v>
      </c>
    </row>
    <row r="248" spans="1:35">
      <c r="A248" s="687" t="s">
        <v>6944</v>
      </c>
      <c r="B248" s="835">
        <v>9</v>
      </c>
      <c r="C248" s="816">
        <v>2104</v>
      </c>
      <c r="D248" s="831"/>
      <c r="E248" s="831"/>
      <c r="F248" s="831"/>
      <c r="G248" s="831"/>
      <c r="H248" s="831"/>
      <c r="I248" s="831"/>
      <c r="J248" s="816">
        <v>2150</v>
      </c>
      <c r="K248" s="816">
        <f t="shared" si="171"/>
        <v>4254</v>
      </c>
      <c r="L248" s="824">
        <f t="shared" si="179"/>
        <v>1000</v>
      </c>
      <c r="M248" s="831"/>
      <c r="N248" s="816">
        <f t="shared" si="180"/>
        <v>1000</v>
      </c>
      <c r="O248" s="816">
        <f t="shared" si="172"/>
        <v>52048</v>
      </c>
      <c r="P248" s="816">
        <f t="shared" si="173"/>
        <v>468432</v>
      </c>
      <c r="Q248" s="826">
        <v>8</v>
      </c>
      <c r="R248" s="816">
        <v>2104</v>
      </c>
      <c r="S248" s="831"/>
      <c r="T248" s="831"/>
      <c r="U248" s="831"/>
      <c r="V248" s="831"/>
      <c r="W248" s="831"/>
      <c r="X248" s="831"/>
      <c r="Y248" s="816">
        <v>2150</v>
      </c>
      <c r="Z248" s="816">
        <f t="shared" si="174"/>
        <v>4254</v>
      </c>
      <c r="AA248" s="824">
        <f t="shared" si="181"/>
        <v>1000</v>
      </c>
      <c r="AB248" s="831"/>
      <c r="AC248" s="816">
        <f t="shared" si="182"/>
        <v>1000</v>
      </c>
      <c r="AD248" s="816">
        <f t="shared" si="175"/>
        <v>52048</v>
      </c>
      <c r="AE248" s="816">
        <f t="shared" si="176"/>
        <v>416384</v>
      </c>
      <c r="AF248" s="732">
        <f t="shared" si="177"/>
        <v>0</v>
      </c>
      <c r="AG248" s="732">
        <f t="shared" si="178"/>
        <v>52048</v>
      </c>
      <c r="AH248" s="836">
        <v>10</v>
      </c>
      <c r="AI248" s="816">
        <v>433748.51510616404</v>
      </c>
    </row>
    <row r="249" spans="1:35">
      <c r="A249" s="687" t="s">
        <v>6943</v>
      </c>
      <c r="B249" s="835">
        <v>6</v>
      </c>
      <c r="C249" s="816">
        <v>2043</v>
      </c>
      <c r="D249" s="831"/>
      <c r="E249" s="831"/>
      <c r="F249" s="831"/>
      <c r="G249" s="831"/>
      <c r="H249" s="831"/>
      <c r="I249" s="831"/>
      <c r="J249" s="816">
        <v>2150</v>
      </c>
      <c r="K249" s="816">
        <f t="shared" si="171"/>
        <v>4193</v>
      </c>
      <c r="L249" s="824">
        <f t="shared" si="179"/>
        <v>1000</v>
      </c>
      <c r="M249" s="831"/>
      <c r="N249" s="816">
        <f t="shared" si="180"/>
        <v>1000</v>
      </c>
      <c r="O249" s="816">
        <f t="shared" si="172"/>
        <v>51316</v>
      </c>
      <c r="P249" s="816">
        <f t="shared" si="173"/>
        <v>307896</v>
      </c>
      <c r="Q249" s="826">
        <v>9</v>
      </c>
      <c r="R249" s="816">
        <v>2043</v>
      </c>
      <c r="S249" s="831"/>
      <c r="T249" s="831"/>
      <c r="U249" s="831"/>
      <c r="V249" s="831"/>
      <c r="W249" s="831"/>
      <c r="X249" s="831"/>
      <c r="Y249" s="816">
        <v>2150</v>
      </c>
      <c r="Z249" s="816">
        <f t="shared" si="174"/>
        <v>4193</v>
      </c>
      <c r="AA249" s="824">
        <f t="shared" si="181"/>
        <v>1000</v>
      </c>
      <c r="AB249" s="831"/>
      <c r="AC249" s="816">
        <f t="shared" si="182"/>
        <v>1000</v>
      </c>
      <c r="AD249" s="816">
        <f t="shared" si="175"/>
        <v>51316</v>
      </c>
      <c r="AE249" s="816">
        <f t="shared" si="176"/>
        <v>461844</v>
      </c>
      <c r="AF249" s="732">
        <f t="shared" si="177"/>
        <v>0</v>
      </c>
      <c r="AG249" s="732">
        <f t="shared" si="178"/>
        <v>-153948</v>
      </c>
      <c r="AH249" s="836">
        <v>6</v>
      </c>
      <c r="AI249" s="816">
        <v>255857.10906369847</v>
      </c>
    </row>
    <row r="250" spans="1:35">
      <c r="A250" s="687" t="s">
        <v>6942</v>
      </c>
      <c r="B250" s="835">
        <v>2</v>
      </c>
      <c r="C250" s="816">
        <v>2005</v>
      </c>
      <c r="D250" s="831"/>
      <c r="E250" s="831"/>
      <c r="F250" s="831"/>
      <c r="G250" s="831"/>
      <c r="H250" s="831"/>
      <c r="I250" s="831"/>
      <c r="J250" s="816">
        <v>2150</v>
      </c>
      <c r="K250" s="816">
        <f t="shared" si="171"/>
        <v>4155</v>
      </c>
      <c r="L250" s="824">
        <f t="shared" si="179"/>
        <v>1000</v>
      </c>
      <c r="M250" s="831"/>
      <c r="N250" s="816">
        <f t="shared" si="180"/>
        <v>1000</v>
      </c>
      <c r="O250" s="816">
        <f t="shared" si="172"/>
        <v>50860</v>
      </c>
      <c r="P250" s="816">
        <f t="shared" si="173"/>
        <v>101720</v>
      </c>
      <c r="Q250" s="826">
        <v>1</v>
      </c>
      <c r="R250" s="816">
        <v>2005</v>
      </c>
      <c r="S250" s="831"/>
      <c r="T250" s="831"/>
      <c r="U250" s="831"/>
      <c r="V250" s="831"/>
      <c r="W250" s="831"/>
      <c r="X250" s="831"/>
      <c r="Y250" s="816">
        <v>2150</v>
      </c>
      <c r="Z250" s="816">
        <f t="shared" si="174"/>
        <v>4155</v>
      </c>
      <c r="AA250" s="824">
        <f t="shared" si="181"/>
        <v>1000</v>
      </c>
      <c r="AB250" s="831"/>
      <c r="AC250" s="816">
        <f t="shared" si="182"/>
        <v>1000</v>
      </c>
      <c r="AD250" s="816">
        <f t="shared" si="175"/>
        <v>50860</v>
      </c>
      <c r="AE250" s="816">
        <f t="shared" si="176"/>
        <v>50860</v>
      </c>
      <c r="AF250" s="732">
        <f t="shared" si="177"/>
        <v>0</v>
      </c>
      <c r="AG250" s="732">
        <f t="shared" si="178"/>
        <v>50860</v>
      </c>
      <c r="AH250" s="836">
        <v>5</v>
      </c>
      <c r="AI250" s="816">
        <v>210934.25755308202</v>
      </c>
    </row>
    <row r="251" spans="1:35">
      <c r="A251" s="687" t="s">
        <v>6941</v>
      </c>
      <c r="B251" s="835">
        <v>8</v>
      </c>
      <c r="C251" s="816">
        <v>1976</v>
      </c>
      <c r="D251" s="831"/>
      <c r="E251" s="831"/>
      <c r="F251" s="831"/>
      <c r="G251" s="831"/>
      <c r="H251" s="831"/>
      <c r="I251" s="831"/>
      <c r="J251" s="816">
        <v>2150</v>
      </c>
      <c r="K251" s="816">
        <f t="shared" si="171"/>
        <v>4126</v>
      </c>
      <c r="L251" s="824">
        <f t="shared" si="179"/>
        <v>1000</v>
      </c>
      <c r="M251" s="831"/>
      <c r="N251" s="816">
        <f t="shared" si="180"/>
        <v>1000</v>
      </c>
      <c r="O251" s="816">
        <f t="shared" si="172"/>
        <v>50512</v>
      </c>
      <c r="P251" s="816">
        <f t="shared" si="173"/>
        <v>404096</v>
      </c>
      <c r="Q251" s="826">
        <v>8</v>
      </c>
      <c r="R251" s="816">
        <v>1976</v>
      </c>
      <c r="S251" s="831"/>
      <c r="T251" s="831"/>
      <c r="U251" s="831"/>
      <c r="V251" s="831"/>
      <c r="W251" s="831"/>
      <c r="X251" s="831"/>
      <c r="Y251" s="816">
        <v>2150</v>
      </c>
      <c r="Z251" s="816">
        <f t="shared" si="174"/>
        <v>4126</v>
      </c>
      <c r="AA251" s="824">
        <f t="shared" si="181"/>
        <v>1000</v>
      </c>
      <c r="AB251" s="831"/>
      <c r="AC251" s="816">
        <f t="shared" si="182"/>
        <v>1000</v>
      </c>
      <c r="AD251" s="816">
        <f t="shared" si="175"/>
        <v>50512</v>
      </c>
      <c r="AE251" s="816">
        <f t="shared" si="176"/>
        <v>404096</v>
      </c>
      <c r="AF251" s="732">
        <f t="shared" si="177"/>
        <v>0</v>
      </c>
      <c r="AG251" s="732">
        <f t="shared" si="178"/>
        <v>0</v>
      </c>
      <c r="AH251" s="836">
        <v>6</v>
      </c>
      <c r="AI251" s="816">
        <v>251033.10906369847</v>
      </c>
    </row>
    <row r="252" spans="1:35">
      <c r="A252" s="685" t="s">
        <v>6940</v>
      </c>
      <c r="B252" s="821">
        <f t="shared" ref="B252:AI252" si="183">+B254+B259+B263+B267+B271+B275</f>
        <v>4474</v>
      </c>
      <c r="C252" s="821">
        <f t="shared" si="183"/>
        <v>9043</v>
      </c>
      <c r="D252" s="821">
        <f t="shared" si="183"/>
        <v>0</v>
      </c>
      <c r="E252" s="821">
        <f t="shared" si="183"/>
        <v>0</v>
      </c>
      <c r="F252" s="821">
        <f t="shared" si="183"/>
        <v>0</v>
      </c>
      <c r="G252" s="821">
        <f t="shared" si="183"/>
        <v>0</v>
      </c>
      <c r="H252" s="821">
        <f t="shared" si="183"/>
        <v>0</v>
      </c>
      <c r="I252" s="821">
        <f t="shared" si="183"/>
        <v>0</v>
      </c>
      <c r="J252" s="821">
        <f t="shared" si="183"/>
        <v>0</v>
      </c>
      <c r="K252" s="821">
        <f t="shared" si="183"/>
        <v>9043</v>
      </c>
      <c r="L252" s="821">
        <f t="shared" si="183"/>
        <v>0</v>
      </c>
      <c r="M252" s="821">
        <f t="shared" si="183"/>
        <v>0</v>
      </c>
      <c r="N252" s="821">
        <f t="shared" si="183"/>
        <v>0</v>
      </c>
      <c r="O252" s="821">
        <f t="shared" si="183"/>
        <v>108516</v>
      </c>
      <c r="P252" s="821">
        <f t="shared" si="183"/>
        <v>19716504</v>
      </c>
      <c r="Q252" s="821">
        <f t="shared" si="183"/>
        <v>4687</v>
      </c>
      <c r="R252" s="821">
        <f t="shared" si="183"/>
        <v>10267</v>
      </c>
      <c r="S252" s="821">
        <f t="shared" si="183"/>
        <v>0</v>
      </c>
      <c r="T252" s="821">
        <f t="shared" si="183"/>
        <v>0</v>
      </c>
      <c r="U252" s="821">
        <f t="shared" si="183"/>
        <v>0</v>
      </c>
      <c r="V252" s="821">
        <f t="shared" si="183"/>
        <v>0</v>
      </c>
      <c r="W252" s="821">
        <f t="shared" si="183"/>
        <v>0</v>
      </c>
      <c r="X252" s="821">
        <f t="shared" si="183"/>
        <v>0</v>
      </c>
      <c r="Y252" s="821">
        <f t="shared" si="183"/>
        <v>0</v>
      </c>
      <c r="Z252" s="821">
        <f t="shared" si="183"/>
        <v>9043</v>
      </c>
      <c r="AA252" s="821">
        <f t="shared" si="183"/>
        <v>0</v>
      </c>
      <c r="AB252" s="821">
        <f t="shared" si="183"/>
        <v>0</v>
      </c>
      <c r="AC252" s="821">
        <f t="shared" si="183"/>
        <v>0</v>
      </c>
      <c r="AD252" s="821">
        <f t="shared" si="183"/>
        <v>108516</v>
      </c>
      <c r="AE252" s="821">
        <f t="shared" si="183"/>
        <v>22075380</v>
      </c>
      <c r="AF252" s="821">
        <f t="shared" si="183"/>
        <v>0</v>
      </c>
      <c r="AG252" s="821">
        <f t="shared" si="183"/>
        <v>2299764</v>
      </c>
      <c r="AH252" s="834">
        <f t="shared" si="183"/>
        <v>4901</v>
      </c>
      <c r="AI252" s="821">
        <f t="shared" si="183"/>
        <v>23618532</v>
      </c>
    </row>
    <row r="253" spans="1:35" hidden="1">
      <c r="A253" s="682"/>
      <c r="B253" s="822"/>
      <c r="C253" s="822"/>
      <c r="D253" s="822"/>
      <c r="E253" s="822"/>
      <c r="F253" s="822"/>
      <c r="G253" s="822"/>
      <c r="H253" s="822"/>
      <c r="I253" s="822"/>
      <c r="J253" s="822"/>
      <c r="K253" s="822"/>
      <c r="L253" s="822"/>
      <c r="M253" s="822"/>
      <c r="N253" s="822"/>
      <c r="O253" s="822"/>
      <c r="P253" s="822"/>
      <c r="Q253" s="822"/>
      <c r="R253" s="822"/>
      <c r="S253" s="822"/>
      <c r="T253" s="822"/>
      <c r="U253" s="822"/>
      <c r="V253" s="822"/>
      <c r="W253" s="822"/>
      <c r="X253" s="822"/>
      <c r="Y253" s="822"/>
      <c r="Z253" s="822"/>
      <c r="AA253" s="822"/>
      <c r="AB253" s="822"/>
      <c r="AC253" s="822"/>
      <c r="AD253" s="822"/>
      <c r="AE253" s="822"/>
      <c r="AF253" s="732">
        <f>+O253-AD253</f>
        <v>0</v>
      </c>
      <c r="AG253" s="732">
        <f>+P253-AE253</f>
        <v>0</v>
      </c>
      <c r="AH253" s="837"/>
      <c r="AI253" s="822"/>
    </row>
    <row r="254" spans="1:35" ht="33.75">
      <c r="A254" s="685" t="s">
        <v>7145</v>
      </c>
      <c r="B254" s="821">
        <f t="shared" ref="B254:AI254" si="184">SUM(B255:B258)</f>
        <v>3074</v>
      </c>
      <c r="C254" s="821">
        <f t="shared" si="184"/>
        <v>1242</v>
      </c>
      <c r="D254" s="821">
        <f t="shared" si="184"/>
        <v>0</v>
      </c>
      <c r="E254" s="821">
        <f t="shared" si="184"/>
        <v>0</v>
      </c>
      <c r="F254" s="821">
        <f t="shared" si="184"/>
        <v>0</v>
      </c>
      <c r="G254" s="821">
        <f t="shared" si="184"/>
        <v>0</v>
      </c>
      <c r="H254" s="821">
        <f t="shared" si="184"/>
        <v>0</v>
      </c>
      <c r="I254" s="821">
        <f t="shared" si="184"/>
        <v>0</v>
      </c>
      <c r="J254" s="821">
        <f t="shared" si="184"/>
        <v>0</v>
      </c>
      <c r="K254" s="821">
        <f t="shared" si="184"/>
        <v>1242</v>
      </c>
      <c r="L254" s="821">
        <f t="shared" si="184"/>
        <v>0</v>
      </c>
      <c r="M254" s="821">
        <f t="shared" si="184"/>
        <v>0</v>
      </c>
      <c r="N254" s="821">
        <f t="shared" si="184"/>
        <v>0</v>
      </c>
      <c r="O254" s="821">
        <f t="shared" si="184"/>
        <v>14904</v>
      </c>
      <c r="P254" s="821">
        <f t="shared" si="184"/>
        <v>10708404</v>
      </c>
      <c r="Q254" s="821">
        <f t="shared" si="184"/>
        <v>3036</v>
      </c>
      <c r="R254" s="821">
        <f t="shared" si="184"/>
        <v>1242</v>
      </c>
      <c r="S254" s="821">
        <f t="shared" si="184"/>
        <v>0</v>
      </c>
      <c r="T254" s="821">
        <f t="shared" si="184"/>
        <v>0</v>
      </c>
      <c r="U254" s="821">
        <f t="shared" si="184"/>
        <v>0</v>
      </c>
      <c r="V254" s="821">
        <f t="shared" si="184"/>
        <v>0</v>
      </c>
      <c r="W254" s="821">
        <f t="shared" si="184"/>
        <v>0</v>
      </c>
      <c r="X254" s="821">
        <f t="shared" si="184"/>
        <v>0</v>
      </c>
      <c r="Y254" s="821">
        <f t="shared" si="184"/>
        <v>0</v>
      </c>
      <c r="Z254" s="821">
        <f t="shared" si="184"/>
        <v>1242</v>
      </c>
      <c r="AA254" s="821">
        <f t="shared" si="184"/>
        <v>0</v>
      </c>
      <c r="AB254" s="821">
        <f t="shared" si="184"/>
        <v>0</v>
      </c>
      <c r="AC254" s="821">
        <f t="shared" si="184"/>
        <v>0</v>
      </c>
      <c r="AD254" s="821">
        <f t="shared" si="184"/>
        <v>14904</v>
      </c>
      <c r="AE254" s="821">
        <f t="shared" si="184"/>
        <v>10402416</v>
      </c>
      <c r="AF254" s="821">
        <f t="shared" si="184"/>
        <v>0</v>
      </c>
      <c r="AG254" s="821">
        <f t="shared" si="184"/>
        <v>305988</v>
      </c>
      <c r="AH254" s="834">
        <f t="shared" si="184"/>
        <v>2677</v>
      </c>
      <c r="AI254" s="821">
        <f t="shared" si="184"/>
        <v>9087048</v>
      </c>
    </row>
    <row r="255" spans="1:35" ht="22.5">
      <c r="A255" s="687" t="s">
        <v>7144</v>
      </c>
      <c r="B255" s="825">
        <v>301</v>
      </c>
      <c r="C255" s="825">
        <v>365</v>
      </c>
      <c r="D255" s="831"/>
      <c r="E255" s="831"/>
      <c r="F255" s="831"/>
      <c r="G255" s="831"/>
      <c r="H255" s="831"/>
      <c r="I255" s="831"/>
      <c r="J255" s="831"/>
      <c r="K255" s="816">
        <f>SUM(C255:J255)</f>
        <v>365</v>
      </c>
      <c r="L255" s="831"/>
      <c r="M255" s="831"/>
      <c r="N255" s="831"/>
      <c r="O255" s="816">
        <f>K255*12+N255</f>
        <v>4380</v>
      </c>
      <c r="P255" s="816">
        <f>B255*O255</f>
        <v>1318380</v>
      </c>
      <c r="Q255" s="825">
        <v>104</v>
      </c>
      <c r="R255" s="825">
        <v>365</v>
      </c>
      <c r="S255" s="831"/>
      <c r="T255" s="831"/>
      <c r="U255" s="831"/>
      <c r="V255" s="831"/>
      <c r="W255" s="831"/>
      <c r="X255" s="831"/>
      <c r="Y255" s="831"/>
      <c r="Z255" s="816">
        <f>SUM(R255:Y255)</f>
        <v>365</v>
      </c>
      <c r="AA255" s="831"/>
      <c r="AB255" s="831"/>
      <c r="AC255" s="831"/>
      <c r="AD255" s="816">
        <f>Z255*12+AC255</f>
        <v>4380</v>
      </c>
      <c r="AE255" s="816">
        <f>Q255*AD255</f>
        <v>455520</v>
      </c>
      <c r="AF255" s="732">
        <f t="shared" ref="AF255:AG258" si="185">+O255-AD255</f>
        <v>0</v>
      </c>
      <c r="AG255" s="732">
        <f t="shared" si="185"/>
        <v>862860</v>
      </c>
      <c r="AH255" s="838">
        <v>166</v>
      </c>
      <c r="AI255" s="816">
        <v>727080</v>
      </c>
    </row>
    <row r="256" spans="1:35" ht="22.5">
      <c r="A256" s="687" t="s">
        <v>7143</v>
      </c>
      <c r="B256" s="825">
        <v>578</v>
      </c>
      <c r="C256" s="825">
        <v>329</v>
      </c>
      <c r="D256" s="831"/>
      <c r="E256" s="831"/>
      <c r="F256" s="831"/>
      <c r="G256" s="831"/>
      <c r="H256" s="831"/>
      <c r="I256" s="831"/>
      <c r="J256" s="831"/>
      <c r="K256" s="816">
        <f>SUM(C256:J256)</f>
        <v>329</v>
      </c>
      <c r="L256" s="831"/>
      <c r="M256" s="831"/>
      <c r="N256" s="831"/>
      <c r="O256" s="816">
        <f>K256*12+N256</f>
        <v>3948</v>
      </c>
      <c r="P256" s="816">
        <f>B256*O256</f>
        <v>2281944</v>
      </c>
      <c r="Q256" s="825">
        <v>592</v>
      </c>
      <c r="R256" s="825">
        <v>329</v>
      </c>
      <c r="S256" s="831"/>
      <c r="T256" s="831"/>
      <c r="U256" s="831"/>
      <c r="V256" s="831"/>
      <c r="W256" s="831"/>
      <c r="X256" s="831"/>
      <c r="Y256" s="831"/>
      <c r="Z256" s="816">
        <f>SUM(R256:Y256)</f>
        <v>329</v>
      </c>
      <c r="AA256" s="831"/>
      <c r="AB256" s="831"/>
      <c r="AC256" s="831"/>
      <c r="AD256" s="816">
        <f>Z256*12+AC256</f>
        <v>3948</v>
      </c>
      <c r="AE256" s="816">
        <f>Q256*AD256</f>
        <v>2337216</v>
      </c>
      <c r="AF256" s="732">
        <f t="shared" si="185"/>
        <v>0</v>
      </c>
      <c r="AG256" s="732">
        <f t="shared" si="185"/>
        <v>-55272</v>
      </c>
      <c r="AH256" s="838">
        <v>208</v>
      </c>
      <c r="AI256" s="816">
        <v>821184</v>
      </c>
    </row>
    <row r="257" spans="1:35">
      <c r="A257" s="687" t="s">
        <v>7134</v>
      </c>
      <c r="B257" s="825">
        <v>845</v>
      </c>
      <c r="C257" s="825">
        <v>292</v>
      </c>
      <c r="D257" s="831"/>
      <c r="E257" s="831"/>
      <c r="F257" s="831"/>
      <c r="G257" s="831"/>
      <c r="H257" s="831"/>
      <c r="I257" s="831"/>
      <c r="J257" s="831"/>
      <c r="K257" s="816">
        <f>SUM(C257:J257)</f>
        <v>292</v>
      </c>
      <c r="L257" s="831"/>
      <c r="M257" s="831"/>
      <c r="N257" s="831"/>
      <c r="O257" s="816">
        <f>K257*12+N257</f>
        <v>3504</v>
      </c>
      <c r="P257" s="816">
        <f>B257*O257</f>
        <v>2960880</v>
      </c>
      <c r="Q257" s="825">
        <v>975</v>
      </c>
      <c r="R257" s="825">
        <v>292</v>
      </c>
      <c r="S257" s="831"/>
      <c r="T257" s="831"/>
      <c r="U257" s="831"/>
      <c r="V257" s="831"/>
      <c r="W257" s="831"/>
      <c r="X257" s="831"/>
      <c r="Y257" s="831"/>
      <c r="Z257" s="816">
        <f>SUM(R257:Y257)</f>
        <v>292</v>
      </c>
      <c r="AA257" s="831"/>
      <c r="AB257" s="831"/>
      <c r="AC257" s="831"/>
      <c r="AD257" s="816">
        <f>Z257*12+AC257</f>
        <v>3504</v>
      </c>
      <c r="AE257" s="816">
        <f>Q257*AD257</f>
        <v>3416400</v>
      </c>
      <c r="AF257" s="732">
        <f t="shared" si="185"/>
        <v>0</v>
      </c>
      <c r="AG257" s="732">
        <f t="shared" si="185"/>
        <v>-455520</v>
      </c>
      <c r="AH257" s="838">
        <v>1074</v>
      </c>
      <c r="AI257" s="816">
        <v>3763296</v>
      </c>
    </row>
    <row r="258" spans="1:35" ht="33.75">
      <c r="A258" s="687" t="s">
        <v>7142</v>
      </c>
      <c r="B258" s="825">
        <v>1350</v>
      </c>
      <c r="C258" s="825">
        <v>256</v>
      </c>
      <c r="D258" s="831"/>
      <c r="E258" s="831"/>
      <c r="F258" s="831"/>
      <c r="G258" s="831"/>
      <c r="H258" s="831"/>
      <c r="I258" s="831"/>
      <c r="J258" s="831"/>
      <c r="K258" s="816">
        <f>SUM(C258:J258)</f>
        <v>256</v>
      </c>
      <c r="L258" s="831"/>
      <c r="M258" s="831"/>
      <c r="N258" s="831"/>
      <c r="O258" s="816">
        <f>K258*12+N258</f>
        <v>3072</v>
      </c>
      <c r="P258" s="816">
        <f>B258*O258</f>
        <v>4147200</v>
      </c>
      <c r="Q258" s="825">
        <v>1365</v>
      </c>
      <c r="R258" s="825">
        <v>256</v>
      </c>
      <c r="S258" s="831"/>
      <c r="T258" s="831"/>
      <c r="U258" s="831"/>
      <c r="V258" s="831"/>
      <c r="W258" s="831"/>
      <c r="X258" s="831"/>
      <c r="Y258" s="831"/>
      <c r="Z258" s="816">
        <f>SUM(R258:Y258)</f>
        <v>256</v>
      </c>
      <c r="AA258" s="831"/>
      <c r="AB258" s="831"/>
      <c r="AC258" s="831"/>
      <c r="AD258" s="816">
        <f>Z258*12+AC258</f>
        <v>3072</v>
      </c>
      <c r="AE258" s="816">
        <f>Q258*AD258</f>
        <v>4193280</v>
      </c>
      <c r="AF258" s="732">
        <f t="shared" si="185"/>
        <v>0</v>
      </c>
      <c r="AG258" s="732">
        <f t="shared" si="185"/>
        <v>-46080</v>
      </c>
      <c r="AH258" s="838">
        <v>1229</v>
      </c>
      <c r="AI258" s="816">
        <v>3775488</v>
      </c>
    </row>
    <row r="259" spans="1:35" ht="22.5">
      <c r="A259" s="685" t="s">
        <v>7141</v>
      </c>
      <c r="B259" s="821">
        <f t="shared" ref="B259:AI259" si="186">SUM(B260:B262)</f>
        <v>1086</v>
      </c>
      <c r="C259" s="821">
        <f t="shared" si="186"/>
        <v>1479</v>
      </c>
      <c r="D259" s="821">
        <f t="shared" si="186"/>
        <v>0</v>
      </c>
      <c r="E259" s="821">
        <f t="shared" si="186"/>
        <v>0</v>
      </c>
      <c r="F259" s="821">
        <f t="shared" si="186"/>
        <v>0</v>
      </c>
      <c r="G259" s="821">
        <f t="shared" si="186"/>
        <v>0</v>
      </c>
      <c r="H259" s="821">
        <f t="shared" si="186"/>
        <v>0</v>
      </c>
      <c r="I259" s="821">
        <f t="shared" si="186"/>
        <v>0</v>
      </c>
      <c r="J259" s="821">
        <f t="shared" si="186"/>
        <v>0</v>
      </c>
      <c r="K259" s="821">
        <f t="shared" si="186"/>
        <v>1479</v>
      </c>
      <c r="L259" s="821">
        <f t="shared" si="186"/>
        <v>0</v>
      </c>
      <c r="M259" s="821">
        <f t="shared" si="186"/>
        <v>0</v>
      </c>
      <c r="N259" s="821">
        <f t="shared" si="186"/>
        <v>0</v>
      </c>
      <c r="O259" s="821">
        <f t="shared" si="186"/>
        <v>17748</v>
      </c>
      <c r="P259" s="821">
        <f t="shared" si="186"/>
        <v>6692076</v>
      </c>
      <c r="Q259" s="821">
        <f t="shared" si="186"/>
        <v>525</v>
      </c>
      <c r="R259" s="821">
        <f t="shared" si="186"/>
        <v>1479</v>
      </c>
      <c r="S259" s="821">
        <f t="shared" si="186"/>
        <v>0</v>
      </c>
      <c r="T259" s="821">
        <f t="shared" si="186"/>
        <v>0</v>
      </c>
      <c r="U259" s="821">
        <f t="shared" si="186"/>
        <v>0</v>
      </c>
      <c r="V259" s="821">
        <f t="shared" si="186"/>
        <v>0</v>
      </c>
      <c r="W259" s="821">
        <f t="shared" si="186"/>
        <v>0</v>
      </c>
      <c r="X259" s="821">
        <f t="shared" si="186"/>
        <v>0</v>
      </c>
      <c r="Y259" s="821">
        <f t="shared" si="186"/>
        <v>0</v>
      </c>
      <c r="Z259" s="821">
        <f t="shared" si="186"/>
        <v>1479</v>
      </c>
      <c r="AA259" s="821">
        <f t="shared" si="186"/>
        <v>0</v>
      </c>
      <c r="AB259" s="821">
        <f t="shared" si="186"/>
        <v>0</v>
      </c>
      <c r="AC259" s="821">
        <f t="shared" si="186"/>
        <v>0</v>
      </c>
      <c r="AD259" s="821">
        <f t="shared" si="186"/>
        <v>17748</v>
      </c>
      <c r="AE259" s="821">
        <f t="shared" si="186"/>
        <v>3234600</v>
      </c>
      <c r="AF259" s="821">
        <f t="shared" si="186"/>
        <v>0</v>
      </c>
      <c r="AG259" s="821">
        <f t="shared" si="186"/>
        <v>3457476</v>
      </c>
      <c r="AH259" s="834">
        <f t="shared" si="186"/>
        <v>1178</v>
      </c>
      <c r="AI259" s="821">
        <f t="shared" si="186"/>
        <v>6852228</v>
      </c>
    </row>
    <row r="260" spans="1:35" ht="22.5">
      <c r="A260" s="687" t="s">
        <v>7136</v>
      </c>
      <c r="B260" s="825">
        <v>598</v>
      </c>
      <c r="C260" s="825">
        <v>548</v>
      </c>
      <c r="D260" s="831"/>
      <c r="E260" s="831"/>
      <c r="F260" s="831"/>
      <c r="G260" s="831"/>
      <c r="H260" s="831"/>
      <c r="I260" s="831"/>
      <c r="J260" s="831"/>
      <c r="K260" s="816">
        <f>SUM(C260:J260)</f>
        <v>548</v>
      </c>
      <c r="L260" s="831"/>
      <c r="M260" s="831"/>
      <c r="N260" s="831"/>
      <c r="O260" s="816">
        <f>K260*12+N260</f>
        <v>6576</v>
      </c>
      <c r="P260" s="816">
        <f>B260*O260</f>
        <v>3932448</v>
      </c>
      <c r="Q260" s="825">
        <v>270</v>
      </c>
      <c r="R260" s="825">
        <v>548</v>
      </c>
      <c r="S260" s="831"/>
      <c r="T260" s="831"/>
      <c r="U260" s="831"/>
      <c r="V260" s="831"/>
      <c r="W260" s="831"/>
      <c r="X260" s="831"/>
      <c r="Y260" s="831"/>
      <c r="Z260" s="816">
        <f>SUM(R260:Y260)</f>
        <v>548</v>
      </c>
      <c r="AA260" s="831"/>
      <c r="AB260" s="831"/>
      <c r="AC260" s="831"/>
      <c r="AD260" s="816">
        <f>Z260*12+AC260</f>
        <v>6576</v>
      </c>
      <c r="AE260" s="816">
        <f>Q260*AD260</f>
        <v>1775520</v>
      </c>
      <c r="AF260" s="732">
        <f t="shared" ref="AF260:AG262" si="187">+O260-AD260</f>
        <v>0</v>
      </c>
      <c r="AG260" s="732">
        <f t="shared" si="187"/>
        <v>2156928</v>
      </c>
      <c r="AH260" s="838">
        <v>257</v>
      </c>
      <c r="AI260" s="816">
        <v>1690032</v>
      </c>
    </row>
    <row r="261" spans="1:35" ht="22.5">
      <c r="A261" s="687" t="s">
        <v>7135</v>
      </c>
      <c r="B261" s="825">
        <v>295</v>
      </c>
      <c r="C261" s="825">
        <v>493</v>
      </c>
      <c r="D261" s="831"/>
      <c r="E261" s="831"/>
      <c r="F261" s="831"/>
      <c r="G261" s="831"/>
      <c r="H261" s="831"/>
      <c r="I261" s="831"/>
      <c r="J261" s="831"/>
      <c r="K261" s="816">
        <f>SUM(C261:J261)</f>
        <v>493</v>
      </c>
      <c r="L261" s="831"/>
      <c r="M261" s="831"/>
      <c r="N261" s="831"/>
      <c r="O261" s="816">
        <f>K261*12+N261</f>
        <v>5916</v>
      </c>
      <c r="P261" s="816">
        <f>B261*O261</f>
        <v>1745220</v>
      </c>
      <c r="Q261" s="825">
        <v>180</v>
      </c>
      <c r="R261" s="825">
        <v>493</v>
      </c>
      <c r="S261" s="831"/>
      <c r="T261" s="831"/>
      <c r="U261" s="831"/>
      <c r="V261" s="831"/>
      <c r="W261" s="831"/>
      <c r="X261" s="831"/>
      <c r="Y261" s="831"/>
      <c r="Z261" s="816">
        <f>SUM(R261:Y261)</f>
        <v>493</v>
      </c>
      <c r="AA261" s="831"/>
      <c r="AB261" s="831"/>
      <c r="AC261" s="831"/>
      <c r="AD261" s="816">
        <f>Z261*12+AC261</f>
        <v>5916</v>
      </c>
      <c r="AE261" s="816">
        <f>Q261*AD261</f>
        <v>1064880</v>
      </c>
      <c r="AF261" s="732">
        <f t="shared" si="187"/>
        <v>0</v>
      </c>
      <c r="AG261" s="732">
        <f t="shared" si="187"/>
        <v>680340</v>
      </c>
      <c r="AH261" s="838">
        <v>487</v>
      </c>
      <c r="AI261" s="816">
        <v>2881092</v>
      </c>
    </row>
    <row r="262" spans="1:35">
      <c r="A262" s="687" t="s">
        <v>7134</v>
      </c>
      <c r="B262" s="825">
        <v>193</v>
      </c>
      <c r="C262" s="825">
        <v>438</v>
      </c>
      <c r="D262" s="831"/>
      <c r="E262" s="831"/>
      <c r="F262" s="831"/>
      <c r="G262" s="831"/>
      <c r="H262" s="831"/>
      <c r="I262" s="831"/>
      <c r="J262" s="831"/>
      <c r="K262" s="816">
        <f>SUM(C262:J262)</f>
        <v>438</v>
      </c>
      <c r="L262" s="831"/>
      <c r="M262" s="831"/>
      <c r="N262" s="831"/>
      <c r="O262" s="816">
        <f>K262*12+N262</f>
        <v>5256</v>
      </c>
      <c r="P262" s="816">
        <f>B262*O262</f>
        <v>1014408</v>
      </c>
      <c r="Q262" s="825">
        <v>75</v>
      </c>
      <c r="R262" s="825">
        <v>438</v>
      </c>
      <c r="S262" s="831"/>
      <c r="T262" s="831"/>
      <c r="U262" s="831"/>
      <c r="V262" s="831"/>
      <c r="W262" s="831"/>
      <c r="X262" s="831"/>
      <c r="Y262" s="831"/>
      <c r="Z262" s="816">
        <f>SUM(R262:Y262)</f>
        <v>438</v>
      </c>
      <c r="AA262" s="831"/>
      <c r="AB262" s="831"/>
      <c r="AC262" s="831"/>
      <c r="AD262" s="816">
        <f>Z262*12+AC262</f>
        <v>5256</v>
      </c>
      <c r="AE262" s="816">
        <f>Q262*AD262</f>
        <v>394200</v>
      </c>
      <c r="AF262" s="732">
        <f t="shared" si="187"/>
        <v>0</v>
      </c>
      <c r="AG262" s="732">
        <f t="shared" si="187"/>
        <v>620208</v>
      </c>
      <c r="AH262" s="838">
        <v>434</v>
      </c>
      <c r="AI262" s="816">
        <v>2281104</v>
      </c>
    </row>
    <row r="263" spans="1:35" ht="22.5">
      <c r="A263" s="685" t="s">
        <v>7140</v>
      </c>
      <c r="B263" s="821">
        <f t="shared" ref="B263:AI263" si="188">SUM(B264:B266)</f>
        <v>238</v>
      </c>
      <c r="C263" s="821">
        <f t="shared" si="188"/>
        <v>1626</v>
      </c>
      <c r="D263" s="821">
        <f t="shared" si="188"/>
        <v>0</v>
      </c>
      <c r="E263" s="821">
        <f t="shared" si="188"/>
        <v>0</v>
      </c>
      <c r="F263" s="821">
        <f t="shared" si="188"/>
        <v>0</v>
      </c>
      <c r="G263" s="821">
        <f t="shared" si="188"/>
        <v>0</v>
      </c>
      <c r="H263" s="821">
        <f t="shared" si="188"/>
        <v>0</v>
      </c>
      <c r="I263" s="821">
        <f t="shared" si="188"/>
        <v>0</v>
      </c>
      <c r="J263" s="821">
        <f t="shared" si="188"/>
        <v>0</v>
      </c>
      <c r="K263" s="821">
        <f t="shared" si="188"/>
        <v>1626</v>
      </c>
      <c r="L263" s="821">
        <f t="shared" si="188"/>
        <v>0</v>
      </c>
      <c r="M263" s="821">
        <f t="shared" si="188"/>
        <v>0</v>
      </c>
      <c r="N263" s="821">
        <f t="shared" si="188"/>
        <v>0</v>
      </c>
      <c r="O263" s="821">
        <f t="shared" si="188"/>
        <v>19512</v>
      </c>
      <c r="P263" s="821">
        <f t="shared" si="188"/>
        <v>1710672</v>
      </c>
      <c r="Q263" s="821">
        <f t="shared" si="188"/>
        <v>573</v>
      </c>
      <c r="R263" s="821">
        <f t="shared" si="188"/>
        <v>1626</v>
      </c>
      <c r="S263" s="821">
        <f t="shared" si="188"/>
        <v>0</v>
      </c>
      <c r="T263" s="821">
        <f t="shared" si="188"/>
        <v>0</v>
      </c>
      <c r="U263" s="821">
        <f t="shared" si="188"/>
        <v>0</v>
      </c>
      <c r="V263" s="821">
        <f t="shared" si="188"/>
        <v>0</v>
      </c>
      <c r="W263" s="821">
        <f t="shared" si="188"/>
        <v>0</v>
      </c>
      <c r="X263" s="821">
        <f t="shared" si="188"/>
        <v>0</v>
      </c>
      <c r="Y263" s="821">
        <f t="shared" si="188"/>
        <v>0</v>
      </c>
      <c r="Z263" s="821">
        <f t="shared" si="188"/>
        <v>1626</v>
      </c>
      <c r="AA263" s="821">
        <f t="shared" si="188"/>
        <v>0</v>
      </c>
      <c r="AB263" s="821">
        <f t="shared" si="188"/>
        <v>0</v>
      </c>
      <c r="AC263" s="821">
        <f t="shared" si="188"/>
        <v>0</v>
      </c>
      <c r="AD263" s="821">
        <f t="shared" si="188"/>
        <v>19512</v>
      </c>
      <c r="AE263" s="821">
        <f t="shared" si="188"/>
        <v>4039992</v>
      </c>
      <c r="AF263" s="821">
        <f t="shared" si="188"/>
        <v>0</v>
      </c>
      <c r="AG263" s="821">
        <f t="shared" si="188"/>
        <v>2329320</v>
      </c>
      <c r="AH263" s="834">
        <f t="shared" si="188"/>
        <v>742</v>
      </c>
      <c r="AI263" s="821">
        <f t="shared" si="188"/>
        <v>5242128</v>
      </c>
    </row>
    <row r="264" spans="1:35" ht="22.5">
      <c r="A264" s="687" t="s">
        <v>7136</v>
      </c>
      <c r="B264" s="825">
        <v>227</v>
      </c>
      <c r="C264" s="825">
        <v>602</v>
      </c>
      <c r="D264" s="831"/>
      <c r="E264" s="831"/>
      <c r="F264" s="831"/>
      <c r="G264" s="831"/>
      <c r="H264" s="831"/>
      <c r="I264" s="831"/>
      <c r="J264" s="831"/>
      <c r="K264" s="816">
        <f>SUM(C264:J264)</f>
        <v>602</v>
      </c>
      <c r="L264" s="831"/>
      <c r="M264" s="831"/>
      <c r="N264" s="831"/>
      <c r="O264" s="816">
        <f>K264*12+N264</f>
        <v>7224</v>
      </c>
      <c r="P264" s="816">
        <f>B264*O264</f>
        <v>1639848</v>
      </c>
      <c r="Q264" s="825">
        <v>450</v>
      </c>
      <c r="R264" s="825">
        <v>602</v>
      </c>
      <c r="S264" s="831"/>
      <c r="T264" s="831"/>
      <c r="U264" s="831"/>
      <c r="V264" s="831"/>
      <c r="W264" s="831"/>
      <c r="X264" s="831"/>
      <c r="Y264" s="831"/>
      <c r="Z264" s="816">
        <f>SUM(R264:Y264)</f>
        <v>602</v>
      </c>
      <c r="AA264" s="831"/>
      <c r="AB264" s="831"/>
      <c r="AC264" s="831"/>
      <c r="AD264" s="816">
        <f>Z264*12+AC264</f>
        <v>7224</v>
      </c>
      <c r="AE264" s="816">
        <f>Q264*AD264</f>
        <v>3250800</v>
      </c>
      <c r="AF264" s="732">
        <f t="shared" ref="AF264:AG266" si="189">AD264-O264</f>
        <v>0</v>
      </c>
      <c r="AG264" s="732">
        <f t="shared" si="189"/>
        <v>1610952</v>
      </c>
      <c r="AH264" s="838">
        <v>579</v>
      </c>
      <c r="AI264" s="816">
        <v>4182696</v>
      </c>
    </row>
    <row r="265" spans="1:35" ht="22.5">
      <c r="A265" s="687" t="s">
        <v>7135</v>
      </c>
      <c r="B265" s="825">
        <v>10</v>
      </c>
      <c r="C265" s="825">
        <v>542</v>
      </c>
      <c r="D265" s="831"/>
      <c r="E265" s="831"/>
      <c r="F265" s="831"/>
      <c r="G265" s="831"/>
      <c r="H265" s="831"/>
      <c r="I265" s="831"/>
      <c r="J265" s="831"/>
      <c r="K265" s="816">
        <f>SUM(C265:J265)</f>
        <v>542</v>
      </c>
      <c r="L265" s="831"/>
      <c r="M265" s="831"/>
      <c r="N265" s="831"/>
      <c r="O265" s="816">
        <f>K265*12+N265</f>
        <v>6504</v>
      </c>
      <c r="P265" s="816">
        <f>B265*O265</f>
        <v>65040</v>
      </c>
      <c r="Q265" s="825">
        <v>108</v>
      </c>
      <c r="R265" s="825">
        <v>542</v>
      </c>
      <c r="S265" s="831"/>
      <c r="T265" s="831"/>
      <c r="U265" s="831"/>
      <c r="V265" s="831"/>
      <c r="W265" s="831"/>
      <c r="X265" s="831"/>
      <c r="Y265" s="831"/>
      <c r="Z265" s="816">
        <f>SUM(R265:Y265)</f>
        <v>542</v>
      </c>
      <c r="AA265" s="831"/>
      <c r="AB265" s="831"/>
      <c r="AC265" s="831"/>
      <c r="AD265" s="816">
        <f>Z265*12+AC265</f>
        <v>6504</v>
      </c>
      <c r="AE265" s="816">
        <f>Q265*AD265</f>
        <v>702432</v>
      </c>
      <c r="AF265" s="732">
        <f t="shared" si="189"/>
        <v>0</v>
      </c>
      <c r="AG265" s="732">
        <f t="shared" si="189"/>
        <v>637392</v>
      </c>
      <c r="AH265" s="838">
        <v>162</v>
      </c>
      <c r="AI265" s="816">
        <v>1053648</v>
      </c>
    </row>
    <row r="266" spans="1:35">
      <c r="A266" s="687" t="s">
        <v>7134</v>
      </c>
      <c r="B266" s="825">
        <v>1</v>
      </c>
      <c r="C266" s="825">
        <v>482</v>
      </c>
      <c r="D266" s="831"/>
      <c r="E266" s="831"/>
      <c r="F266" s="831"/>
      <c r="G266" s="831"/>
      <c r="H266" s="831"/>
      <c r="I266" s="831"/>
      <c r="J266" s="831"/>
      <c r="K266" s="816">
        <f>SUM(C266:J266)</f>
        <v>482</v>
      </c>
      <c r="L266" s="831"/>
      <c r="M266" s="831"/>
      <c r="N266" s="831"/>
      <c r="O266" s="816">
        <f>K266*12+N266</f>
        <v>5784</v>
      </c>
      <c r="P266" s="816">
        <f>B266*O266</f>
        <v>5784</v>
      </c>
      <c r="Q266" s="825">
        <v>15</v>
      </c>
      <c r="R266" s="825">
        <v>482</v>
      </c>
      <c r="S266" s="831"/>
      <c r="T266" s="831"/>
      <c r="U266" s="831"/>
      <c r="V266" s="831"/>
      <c r="W266" s="831"/>
      <c r="X266" s="831"/>
      <c r="Y266" s="831"/>
      <c r="Z266" s="816">
        <f>SUM(R266:Y266)</f>
        <v>482</v>
      </c>
      <c r="AA266" s="831"/>
      <c r="AB266" s="831"/>
      <c r="AC266" s="831"/>
      <c r="AD266" s="816">
        <f>Z266*12+AC266</f>
        <v>5784</v>
      </c>
      <c r="AE266" s="816">
        <f>Q266*AD266</f>
        <v>86760</v>
      </c>
      <c r="AF266" s="732">
        <f t="shared" si="189"/>
        <v>0</v>
      </c>
      <c r="AG266" s="732">
        <f t="shared" si="189"/>
        <v>80976</v>
      </c>
      <c r="AH266" s="838">
        <v>1</v>
      </c>
      <c r="AI266" s="816">
        <v>5784</v>
      </c>
    </row>
    <row r="267" spans="1:35" ht="22.5">
      <c r="A267" s="685" t="s">
        <v>7139</v>
      </c>
      <c r="B267" s="821">
        <f t="shared" ref="B267:AI267" si="190">SUM(B268:B270)</f>
        <v>74</v>
      </c>
      <c r="C267" s="821">
        <f t="shared" si="190"/>
        <v>1788</v>
      </c>
      <c r="D267" s="821">
        <f t="shared" si="190"/>
        <v>0</v>
      </c>
      <c r="E267" s="821">
        <f t="shared" si="190"/>
        <v>0</v>
      </c>
      <c r="F267" s="821">
        <f t="shared" si="190"/>
        <v>0</v>
      </c>
      <c r="G267" s="821">
        <f t="shared" si="190"/>
        <v>0</v>
      </c>
      <c r="H267" s="821">
        <f t="shared" si="190"/>
        <v>0</v>
      </c>
      <c r="I267" s="821">
        <f t="shared" si="190"/>
        <v>0</v>
      </c>
      <c r="J267" s="821">
        <f t="shared" si="190"/>
        <v>0</v>
      </c>
      <c r="K267" s="821">
        <f t="shared" si="190"/>
        <v>1788</v>
      </c>
      <c r="L267" s="821">
        <f t="shared" si="190"/>
        <v>0</v>
      </c>
      <c r="M267" s="821">
        <f t="shared" si="190"/>
        <v>0</v>
      </c>
      <c r="N267" s="821">
        <f t="shared" si="190"/>
        <v>0</v>
      </c>
      <c r="O267" s="821">
        <f t="shared" si="190"/>
        <v>21456</v>
      </c>
      <c r="P267" s="821">
        <f t="shared" si="190"/>
        <v>587856</v>
      </c>
      <c r="Q267" s="821">
        <f t="shared" si="190"/>
        <v>525</v>
      </c>
      <c r="R267" s="821">
        <f t="shared" si="190"/>
        <v>1788</v>
      </c>
      <c r="S267" s="821">
        <f t="shared" si="190"/>
        <v>0</v>
      </c>
      <c r="T267" s="821">
        <f t="shared" si="190"/>
        <v>0</v>
      </c>
      <c r="U267" s="821">
        <f t="shared" si="190"/>
        <v>0</v>
      </c>
      <c r="V267" s="821">
        <f t="shared" si="190"/>
        <v>0</v>
      </c>
      <c r="W267" s="821">
        <f t="shared" si="190"/>
        <v>0</v>
      </c>
      <c r="X267" s="821">
        <f t="shared" si="190"/>
        <v>0</v>
      </c>
      <c r="Y267" s="821">
        <f t="shared" si="190"/>
        <v>0</v>
      </c>
      <c r="Z267" s="821">
        <f t="shared" si="190"/>
        <v>1788</v>
      </c>
      <c r="AA267" s="821">
        <f t="shared" si="190"/>
        <v>0</v>
      </c>
      <c r="AB267" s="821">
        <f t="shared" si="190"/>
        <v>0</v>
      </c>
      <c r="AC267" s="821">
        <f t="shared" si="190"/>
        <v>0</v>
      </c>
      <c r="AD267" s="821">
        <f t="shared" si="190"/>
        <v>21456</v>
      </c>
      <c r="AE267" s="821">
        <f t="shared" si="190"/>
        <v>4150800</v>
      </c>
      <c r="AF267" s="821">
        <f t="shared" si="190"/>
        <v>0</v>
      </c>
      <c r="AG267" s="821">
        <f t="shared" si="190"/>
        <v>-3562944</v>
      </c>
      <c r="AH267" s="834">
        <f t="shared" si="190"/>
        <v>261</v>
      </c>
      <c r="AI267" s="821">
        <f t="shared" si="190"/>
        <v>2058336</v>
      </c>
    </row>
    <row r="268" spans="1:35" ht="22.5">
      <c r="A268" s="687" t="s">
        <v>7136</v>
      </c>
      <c r="B268" s="825">
        <v>74</v>
      </c>
      <c r="C268" s="825">
        <v>662</v>
      </c>
      <c r="D268" s="831"/>
      <c r="E268" s="831"/>
      <c r="F268" s="831"/>
      <c r="G268" s="831"/>
      <c r="H268" s="831"/>
      <c r="I268" s="831"/>
      <c r="J268" s="831"/>
      <c r="K268" s="816">
        <f>SUM(C268:J268)</f>
        <v>662</v>
      </c>
      <c r="L268" s="831"/>
      <c r="M268" s="831"/>
      <c r="N268" s="831"/>
      <c r="O268" s="816">
        <f>K268*12+N268</f>
        <v>7944</v>
      </c>
      <c r="P268" s="816">
        <f>B268*O268</f>
        <v>587856</v>
      </c>
      <c r="Q268" s="825">
        <v>500</v>
      </c>
      <c r="R268" s="825">
        <v>662</v>
      </c>
      <c r="S268" s="831"/>
      <c r="T268" s="831"/>
      <c r="U268" s="831"/>
      <c r="V268" s="831"/>
      <c r="W268" s="831"/>
      <c r="X268" s="831"/>
      <c r="Y268" s="831"/>
      <c r="Z268" s="816">
        <f>SUM(R268:Y268)</f>
        <v>662</v>
      </c>
      <c r="AA268" s="831"/>
      <c r="AB268" s="831"/>
      <c r="AC268" s="831"/>
      <c r="AD268" s="816">
        <f>Z268*12+AC268</f>
        <v>7944</v>
      </c>
      <c r="AE268" s="816">
        <f>Q268*AD268</f>
        <v>3972000</v>
      </c>
      <c r="AF268" s="732">
        <f t="shared" ref="AF268:AG270" si="191">+O268-AD268</f>
        <v>0</v>
      </c>
      <c r="AG268" s="732">
        <f t="shared" si="191"/>
        <v>-3384144</v>
      </c>
      <c r="AH268" s="838">
        <v>242</v>
      </c>
      <c r="AI268" s="816">
        <v>1922448</v>
      </c>
    </row>
    <row r="269" spans="1:35" ht="22.5">
      <c r="A269" s="687" t="s">
        <v>7135</v>
      </c>
      <c r="B269" s="825">
        <v>0</v>
      </c>
      <c r="C269" s="825">
        <v>596</v>
      </c>
      <c r="D269" s="831"/>
      <c r="E269" s="831"/>
      <c r="F269" s="831"/>
      <c r="G269" s="831"/>
      <c r="H269" s="831"/>
      <c r="I269" s="831"/>
      <c r="J269" s="831"/>
      <c r="K269" s="816">
        <f>SUM(C269:J269)</f>
        <v>596</v>
      </c>
      <c r="L269" s="831"/>
      <c r="M269" s="831"/>
      <c r="N269" s="831"/>
      <c r="O269" s="816">
        <f>K269*12+N269</f>
        <v>7152</v>
      </c>
      <c r="P269" s="816">
        <f>B269*O269</f>
        <v>0</v>
      </c>
      <c r="Q269" s="825">
        <v>25</v>
      </c>
      <c r="R269" s="825">
        <v>596</v>
      </c>
      <c r="S269" s="831"/>
      <c r="T269" s="831"/>
      <c r="U269" s="831"/>
      <c r="V269" s="831"/>
      <c r="W269" s="831"/>
      <c r="X269" s="831"/>
      <c r="Y269" s="831"/>
      <c r="Z269" s="816">
        <f>SUM(R269:Y269)</f>
        <v>596</v>
      </c>
      <c r="AA269" s="831"/>
      <c r="AB269" s="831"/>
      <c r="AC269" s="831"/>
      <c r="AD269" s="816">
        <f>Z269*12+AC269</f>
        <v>7152</v>
      </c>
      <c r="AE269" s="816">
        <f>Q269*AD269</f>
        <v>178800</v>
      </c>
      <c r="AF269" s="732">
        <f t="shared" si="191"/>
        <v>0</v>
      </c>
      <c r="AG269" s="732">
        <f t="shared" si="191"/>
        <v>-178800</v>
      </c>
      <c r="AH269" s="838">
        <v>19</v>
      </c>
      <c r="AI269" s="816">
        <v>135888</v>
      </c>
    </row>
    <row r="270" spans="1:35">
      <c r="A270" s="687" t="s">
        <v>7134</v>
      </c>
      <c r="B270" s="825">
        <v>0</v>
      </c>
      <c r="C270" s="825">
        <v>530</v>
      </c>
      <c r="D270" s="831"/>
      <c r="E270" s="831"/>
      <c r="F270" s="831"/>
      <c r="G270" s="831"/>
      <c r="H270" s="831"/>
      <c r="I270" s="831"/>
      <c r="J270" s="831"/>
      <c r="K270" s="816">
        <f>SUM(C270:J270)</f>
        <v>530</v>
      </c>
      <c r="L270" s="831"/>
      <c r="M270" s="831"/>
      <c r="N270" s="831"/>
      <c r="O270" s="816">
        <f>K270*12+N270</f>
        <v>6360</v>
      </c>
      <c r="P270" s="816">
        <f>B270*O270</f>
        <v>0</v>
      </c>
      <c r="Q270" s="825">
        <v>0</v>
      </c>
      <c r="R270" s="825">
        <v>530</v>
      </c>
      <c r="S270" s="831"/>
      <c r="T270" s="831"/>
      <c r="U270" s="831"/>
      <c r="V270" s="831"/>
      <c r="W270" s="831"/>
      <c r="X270" s="831"/>
      <c r="Y270" s="831"/>
      <c r="Z270" s="816">
        <f>SUM(R270:Y270)</f>
        <v>530</v>
      </c>
      <c r="AA270" s="831"/>
      <c r="AB270" s="831"/>
      <c r="AC270" s="831"/>
      <c r="AD270" s="816">
        <f>Z270*12+AC270</f>
        <v>6360</v>
      </c>
      <c r="AE270" s="816">
        <f>Q270*AD270</f>
        <v>0</v>
      </c>
      <c r="AF270" s="732">
        <f t="shared" si="191"/>
        <v>0</v>
      </c>
      <c r="AG270" s="732">
        <f t="shared" si="191"/>
        <v>0</v>
      </c>
      <c r="AH270" s="838">
        <v>0</v>
      </c>
      <c r="AI270" s="816">
        <v>0</v>
      </c>
    </row>
    <row r="271" spans="1:35" ht="22.5">
      <c r="A271" s="685" t="s">
        <v>7138</v>
      </c>
      <c r="B271" s="821">
        <f t="shared" ref="B271:AI271" si="192">SUM(B272:B274)</f>
        <v>2</v>
      </c>
      <c r="C271" s="821">
        <f t="shared" si="192"/>
        <v>1385</v>
      </c>
      <c r="D271" s="821">
        <f t="shared" si="192"/>
        <v>0</v>
      </c>
      <c r="E271" s="821">
        <f t="shared" si="192"/>
        <v>0</v>
      </c>
      <c r="F271" s="821">
        <f t="shared" si="192"/>
        <v>0</v>
      </c>
      <c r="G271" s="821">
        <f t="shared" si="192"/>
        <v>0</v>
      </c>
      <c r="H271" s="821">
        <f t="shared" si="192"/>
        <v>0</v>
      </c>
      <c r="I271" s="821">
        <f t="shared" si="192"/>
        <v>0</v>
      </c>
      <c r="J271" s="821">
        <f t="shared" si="192"/>
        <v>0</v>
      </c>
      <c r="K271" s="821">
        <f t="shared" si="192"/>
        <v>1385</v>
      </c>
      <c r="L271" s="821">
        <f t="shared" si="192"/>
        <v>0</v>
      </c>
      <c r="M271" s="821">
        <f t="shared" si="192"/>
        <v>0</v>
      </c>
      <c r="N271" s="821">
        <f t="shared" si="192"/>
        <v>0</v>
      </c>
      <c r="O271" s="821">
        <f t="shared" si="192"/>
        <v>16620</v>
      </c>
      <c r="P271" s="821">
        <f t="shared" si="192"/>
        <v>17496</v>
      </c>
      <c r="Q271" s="821">
        <f t="shared" si="192"/>
        <v>25</v>
      </c>
      <c r="R271" s="821">
        <f t="shared" si="192"/>
        <v>1968</v>
      </c>
      <c r="S271" s="821">
        <f t="shared" si="192"/>
        <v>0</v>
      </c>
      <c r="T271" s="821">
        <f t="shared" si="192"/>
        <v>0</v>
      </c>
      <c r="U271" s="821">
        <f t="shared" si="192"/>
        <v>0</v>
      </c>
      <c r="V271" s="821">
        <f t="shared" si="192"/>
        <v>0</v>
      </c>
      <c r="W271" s="821">
        <f t="shared" si="192"/>
        <v>0</v>
      </c>
      <c r="X271" s="821">
        <f t="shared" si="192"/>
        <v>0</v>
      </c>
      <c r="Y271" s="821">
        <f t="shared" si="192"/>
        <v>0</v>
      </c>
      <c r="Z271" s="821">
        <f t="shared" si="192"/>
        <v>1385</v>
      </c>
      <c r="AA271" s="821">
        <f t="shared" si="192"/>
        <v>0</v>
      </c>
      <c r="AB271" s="821">
        <f t="shared" si="192"/>
        <v>0</v>
      </c>
      <c r="AC271" s="821">
        <f t="shared" si="192"/>
        <v>0</v>
      </c>
      <c r="AD271" s="821">
        <f t="shared" si="192"/>
        <v>16620</v>
      </c>
      <c r="AE271" s="821">
        <f t="shared" si="192"/>
        <v>218700</v>
      </c>
      <c r="AF271" s="821">
        <f t="shared" si="192"/>
        <v>0</v>
      </c>
      <c r="AG271" s="821">
        <f t="shared" si="192"/>
        <v>-201204</v>
      </c>
      <c r="AH271" s="834">
        <f t="shared" si="192"/>
        <v>40</v>
      </c>
      <c r="AI271" s="821">
        <f t="shared" si="192"/>
        <v>349920</v>
      </c>
    </row>
    <row r="272" spans="1:35" ht="22.5">
      <c r="A272" s="687" t="s">
        <v>7136</v>
      </c>
      <c r="B272" s="825">
        <v>2</v>
      </c>
      <c r="C272" s="825">
        <v>729</v>
      </c>
      <c r="D272" s="831"/>
      <c r="E272" s="831"/>
      <c r="F272" s="831"/>
      <c r="G272" s="831"/>
      <c r="H272" s="831"/>
      <c r="I272" s="831"/>
      <c r="J272" s="831"/>
      <c r="K272" s="816">
        <f>SUM(C272:J272)</f>
        <v>729</v>
      </c>
      <c r="L272" s="831"/>
      <c r="M272" s="831"/>
      <c r="N272" s="831"/>
      <c r="O272" s="816">
        <f>K272*12+N272</f>
        <v>8748</v>
      </c>
      <c r="P272" s="816">
        <f>B272*O272</f>
        <v>17496</v>
      </c>
      <c r="Q272" s="825">
        <v>25</v>
      </c>
      <c r="R272" s="825">
        <v>729</v>
      </c>
      <c r="S272" s="831"/>
      <c r="T272" s="831"/>
      <c r="U272" s="831"/>
      <c r="V272" s="831"/>
      <c r="W272" s="831"/>
      <c r="X272" s="831"/>
      <c r="Y272" s="831"/>
      <c r="Z272" s="816">
        <f>SUM(R272:Y272)</f>
        <v>729</v>
      </c>
      <c r="AA272" s="831"/>
      <c r="AB272" s="831"/>
      <c r="AC272" s="831"/>
      <c r="AD272" s="816">
        <f>Z272*12+AC272</f>
        <v>8748</v>
      </c>
      <c r="AE272" s="816">
        <f>Q272*AD272</f>
        <v>218700</v>
      </c>
      <c r="AF272" s="732">
        <f t="shared" ref="AF272:AG274" si="193">+O272-AD272</f>
        <v>0</v>
      </c>
      <c r="AG272" s="732">
        <f t="shared" si="193"/>
        <v>-201204</v>
      </c>
      <c r="AH272" s="838">
        <v>40</v>
      </c>
      <c r="AI272" s="816">
        <v>349920</v>
      </c>
    </row>
    <row r="273" spans="1:35" ht="22.5">
      <c r="A273" s="687" t="s">
        <v>7135</v>
      </c>
      <c r="B273" s="825">
        <v>0</v>
      </c>
      <c r="C273" s="825">
        <v>656</v>
      </c>
      <c r="D273" s="831"/>
      <c r="E273" s="831"/>
      <c r="F273" s="831"/>
      <c r="G273" s="831"/>
      <c r="H273" s="831"/>
      <c r="I273" s="831"/>
      <c r="J273" s="831"/>
      <c r="K273" s="816">
        <f>SUM(C273:J273)</f>
        <v>656</v>
      </c>
      <c r="L273" s="831"/>
      <c r="M273" s="831"/>
      <c r="N273" s="831"/>
      <c r="O273" s="816">
        <f>K273*12+N273</f>
        <v>7872</v>
      </c>
      <c r="P273" s="816">
        <f>B273*O273</f>
        <v>0</v>
      </c>
      <c r="Q273" s="825">
        <v>0</v>
      </c>
      <c r="R273" s="825">
        <v>656</v>
      </c>
      <c r="S273" s="831"/>
      <c r="T273" s="831"/>
      <c r="U273" s="831"/>
      <c r="V273" s="831"/>
      <c r="W273" s="831"/>
      <c r="X273" s="831"/>
      <c r="Y273" s="831"/>
      <c r="Z273" s="816">
        <f>SUM(R273:Y273)</f>
        <v>656</v>
      </c>
      <c r="AA273" s="831"/>
      <c r="AB273" s="831"/>
      <c r="AC273" s="831"/>
      <c r="AD273" s="816">
        <f>Z273*12+AC273</f>
        <v>7872</v>
      </c>
      <c r="AE273" s="816">
        <f>Q273*AD273</f>
        <v>0</v>
      </c>
      <c r="AF273" s="732">
        <f t="shared" si="193"/>
        <v>0</v>
      </c>
      <c r="AG273" s="732">
        <f t="shared" si="193"/>
        <v>0</v>
      </c>
      <c r="AH273" s="838">
        <v>0</v>
      </c>
      <c r="AI273" s="816">
        <v>0</v>
      </c>
    </row>
    <row r="274" spans="1:35">
      <c r="A274" s="687" t="s">
        <v>7134</v>
      </c>
      <c r="B274" s="831">
        <v>0</v>
      </c>
      <c r="C274" s="831"/>
      <c r="D274" s="831"/>
      <c r="E274" s="831"/>
      <c r="F274" s="831"/>
      <c r="G274" s="831"/>
      <c r="H274" s="831"/>
      <c r="I274" s="831"/>
      <c r="J274" s="831"/>
      <c r="K274" s="831"/>
      <c r="L274" s="831"/>
      <c r="M274" s="831"/>
      <c r="N274" s="831"/>
      <c r="O274" s="816">
        <f>K274*12+N274</f>
        <v>0</v>
      </c>
      <c r="P274" s="816">
        <f>B274*O274</f>
        <v>0</v>
      </c>
      <c r="Q274" s="831">
        <v>0</v>
      </c>
      <c r="R274" s="825">
        <v>583</v>
      </c>
      <c r="S274" s="831"/>
      <c r="T274" s="831"/>
      <c r="U274" s="831"/>
      <c r="V274" s="831"/>
      <c r="W274" s="831"/>
      <c r="X274" s="831"/>
      <c r="Y274" s="831"/>
      <c r="Z274" s="831"/>
      <c r="AA274" s="831"/>
      <c r="AB274" s="831"/>
      <c r="AC274" s="831"/>
      <c r="AD274" s="816">
        <f>Z274*12+AC274</f>
        <v>0</v>
      </c>
      <c r="AE274" s="816">
        <f>Q274*AD274</f>
        <v>0</v>
      </c>
      <c r="AF274" s="732">
        <f t="shared" si="193"/>
        <v>0</v>
      </c>
      <c r="AG274" s="732">
        <f t="shared" si="193"/>
        <v>0</v>
      </c>
      <c r="AH274" s="836">
        <v>0</v>
      </c>
      <c r="AI274" s="816">
        <v>0</v>
      </c>
    </row>
    <row r="275" spans="1:35" ht="22.5">
      <c r="A275" s="685" t="s">
        <v>7137</v>
      </c>
      <c r="B275" s="839">
        <f t="shared" ref="B275:AI275" si="194">SUM(B276:B278)</f>
        <v>0</v>
      </c>
      <c r="C275" s="821">
        <f t="shared" si="194"/>
        <v>1523</v>
      </c>
      <c r="D275" s="839">
        <f t="shared" si="194"/>
        <v>0</v>
      </c>
      <c r="E275" s="839">
        <f t="shared" si="194"/>
        <v>0</v>
      </c>
      <c r="F275" s="839">
        <f t="shared" si="194"/>
        <v>0</v>
      </c>
      <c r="G275" s="839">
        <f t="shared" si="194"/>
        <v>0</v>
      </c>
      <c r="H275" s="839">
        <f t="shared" si="194"/>
        <v>0</v>
      </c>
      <c r="I275" s="839">
        <f t="shared" si="194"/>
        <v>0</v>
      </c>
      <c r="J275" s="839">
        <f t="shared" si="194"/>
        <v>0</v>
      </c>
      <c r="K275" s="821">
        <f t="shared" si="194"/>
        <v>1523</v>
      </c>
      <c r="L275" s="839">
        <f t="shared" si="194"/>
        <v>0</v>
      </c>
      <c r="M275" s="839">
        <f t="shared" si="194"/>
        <v>0</v>
      </c>
      <c r="N275" s="839">
        <f t="shared" si="194"/>
        <v>0</v>
      </c>
      <c r="O275" s="821">
        <f t="shared" si="194"/>
        <v>18276</v>
      </c>
      <c r="P275" s="821">
        <f t="shared" si="194"/>
        <v>0</v>
      </c>
      <c r="Q275" s="839">
        <f t="shared" si="194"/>
        <v>3</v>
      </c>
      <c r="R275" s="821">
        <f t="shared" si="194"/>
        <v>2164</v>
      </c>
      <c r="S275" s="839">
        <f t="shared" si="194"/>
        <v>0</v>
      </c>
      <c r="T275" s="839">
        <f t="shared" si="194"/>
        <v>0</v>
      </c>
      <c r="U275" s="839">
        <f t="shared" si="194"/>
        <v>0</v>
      </c>
      <c r="V275" s="839">
        <f t="shared" si="194"/>
        <v>0</v>
      </c>
      <c r="W275" s="839">
        <f t="shared" si="194"/>
        <v>0</v>
      </c>
      <c r="X275" s="839">
        <f t="shared" si="194"/>
        <v>0</v>
      </c>
      <c r="Y275" s="839">
        <f t="shared" si="194"/>
        <v>0</v>
      </c>
      <c r="Z275" s="821">
        <f t="shared" si="194"/>
        <v>1523</v>
      </c>
      <c r="AA275" s="839">
        <f t="shared" si="194"/>
        <v>0</v>
      </c>
      <c r="AB275" s="839">
        <f t="shared" si="194"/>
        <v>0</v>
      </c>
      <c r="AC275" s="839">
        <f t="shared" si="194"/>
        <v>0</v>
      </c>
      <c r="AD275" s="821">
        <f t="shared" si="194"/>
        <v>18276</v>
      </c>
      <c r="AE275" s="821">
        <f t="shared" si="194"/>
        <v>28872</v>
      </c>
      <c r="AF275" s="840">
        <f t="shared" si="194"/>
        <v>0</v>
      </c>
      <c r="AG275" s="821">
        <f t="shared" si="194"/>
        <v>-28872</v>
      </c>
      <c r="AH275" s="821">
        <f t="shared" si="194"/>
        <v>3</v>
      </c>
      <c r="AI275" s="821">
        <f t="shared" si="194"/>
        <v>28872</v>
      </c>
    </row>
    <row r="276" spans="1:35" ht="22.5">
      <c r="A276" s="687" t="s">
        <v>7136</v>
      </c>
      <c r="B276" s="831">
        <v>0</v>
      </c>
      <c r="C276" s="825">
        <v>802</v>
      </c>
      <c r="D276" s="831"/>
      <c r="E276" s="831"/>
      <c r="F276" s="831"/>
      <c r="G276" s="831"/>
      <c r="H276" s="831"/>
      <c r="I276" s="831"/>
      <c r="J276" s="831"/>
      <c r="K276" s="816">
        <f>SUM(C276:J276)</f>
        <v>802</v>
      </c>
      <c r="L276" s="831"/>
      <c r="M276" s="831"/>
      <c r="N276" s="831"/>
      <c r="O276" s="816">
        <f>K276*12+N276</f>
        <v>9624</v>
      </c>
      <c r="P276" s="831">
        <f>B276*O276</f>
        <v>0</v>
      </c>
      <c r="Q276" s="831">
        <v>3</v>
      </c>
      <c r="R276" s="825">
        <v>802</v>
      </c>
      <c r="S276" s="831"/>
      <c r="T276" s="831"/>
      <c r="U276" s="831"/>
      <c r="V276" s="831"/>
      <c r="W276" s="831"/>
      <c r="X276" s="831"/>
      <c r="Y276" s="831"/>
      <c r="Z276" s="816">
        <f>SUM(R276:Y276)</f>
        <v>802</v>
      </c>
      <c r="AA276" s="831"/>
      <c r="AB276" s="831"/>
      <c r="AC276" s="831"/>
      <c r="AD276" s="816">
        <f>Z276*12+AC276</f>
        <v>9624</v>
      </c>
      <c r="AE276" s="831">
        <f>Q276*AD276</f>
        <v>28872</v>
      </c>
      <c r="AF276" s="732">
        <f t="shared" ref="AF276:AG278" si="195">+O276-AD276</f>
        <v>0</v>
      </c>
      <c r="AG276" s="732">
        <f t="shared" si="195"/>
        <v>-28872</v>
      </c>
      <c r="AH276" s="838">
        <v>3</v>
      </c>
      <c r="AI276" s="816">
        <v>28872</v>
      </c>
    </row>
    <row r="277" spans="1:35" ht="22.5">
      <c r="A277" s="687" t="s">
        <v>7135</v>
      </c>
      <c r="B277" s="831">
        <v>0</v>
      </c>
      <c r="C277" s="825">
        <v>721</v>
      </c>
      <c r="D277" s="831"/>
      <c r="E277" s="831"/>
      <c r="F277" s="831"/>
      <c r="G277" s="831"/>
      <c r="H277" s="831"/>
      <c r="I277" s="831"/>
      <c r="J277" s="831"/>
      <c r="K277" s="816">
        <f>SUM(C277:J277)</f>
        <v>721</v>
      </c>
      <c r="L277" s="831"/>
      <c r="M277" s="831"/>
      <c r="N277" s="831"/>
      <c r="O277" s="816">
        <f>K277*12+N277</f>
        <v>8652</v>
      </c>
      <c r="P277" s="831">
        <f>B277*O277</f>
        <v>0</v>
      </c>
      <c r="Q277" s="831">
        <v>0</v>
      </c>
      <c r="R277" s="825">
        <v>721</v>
      </c>
      <c r="S277" s="831"/>
      <c r="T277" s="831"/>
      <c r="U277" s="831"/>
      <c r="V277" s="831"/>
      <c r="W277" s="831"/>
      <c r="X277" s="831"/>
      <c r="Y277" s="831"/>
      <c r="Z277" s="816">
        <f>SUM(R277:Y277)</f>
        <v>721</v>
      </c>
      <c r="AA277" s="831"/>
      <c r="AB277" s="831"/>
      <c r="AC277" s="831"/>
      <c r="AD277" s="816">
        <f>Z277*12+AC277</f>
        <v>8652</v>
      </c>
      <c r="AE277" s="831">
        <f>Q277*AD277</f>
        <v>0</v>
      </c>
      <c r="AF277" s="732">
        <f t="shared" si="195"/>
        <v>0</v>
      </c>
      <c r="AG277" s="732">
        <f t="shared" si="195"/>
        <v>0</v>
      </c>
      <c r="AH277" s="838">
        <v>0</v>
      </c>
      <c r="AI277" s="816">
        <v>0</v>
      </c>
    </row>
    <row r="278" spans="1:35">
      <c r="A278" s="686" t="s">
        <v>7134</v>
      </c>
      <c r="B278" s="841"/>
      <c r="C278" s="841"/>
      <c r="D278" s="841"/>
      <c r="E278" s="841"/>
      <c r="F278" s="841"/>
      <c r="G278" s="841"/>
      <c r="H278" s="841"/>
      <c r="I278" s="841"/>
      <c r="J278" s="841"/>
      <c r="K278" s="841"/>
      <c r="L278" s="841"/>
      <c r="M278" s="841"/>
      <c r="N278" s="841"/>
      <c r="O278" s="841">
        <f>K278*12+N278</f>
        <v>0</v>
      </c>
      <c r="P278" s="841">
        <f>B278*O278</f>
        <v>0</v>
      </c>
      <c r="Q278" s="841">
        <v>0</v>
      </c>
      <c r="R278" s="825">
        <v>641</v>
      </c>
      <c r="S278" s="841"/>
      <c r="T278" s="841"/>
      <c r="U278" s="841"/>
      <c r="V278" s="841"/>
      <c r="W278" s="841"/>
      <c r="X278" s="841"/>
      <c r="Y278" s="841"/>
      <c r="Z278" s="841"/>
      <c r="AA278" s="841"/>
      <c r="AB278" s="841"/>
      <c r="AC278" s="841"/>
      <c r="AD278" s="841">
        <f>Z278*12+AC278</f>
        <v>0</v>
      </c>
      <c r="AE278" s="841">
        <f>Q278*AD278</f>
        <v>0</v>
      </c>
      <c r="AF278" s="732">
        <f t="shared" si="195"/>
        <v>0</v>
      </c>
      <c r="AG278" s="732">
        <f t="shared" si="195"/>
        <v>0</v>
      </c>
      <c r="AH278" s="838">
        <v>0</v>
      </c>
      <c r="AI278" s="816">
        <v>0</v>
      </c>
    </row>
    <row r="279" spans="1:35">
      <c r="A279" s="685" t="s">
        <v>24</v>
      </c>
      <c r="B279" s="842">
        <f t="shared" ref="B279:AI279" si="196">+B280+B286+B290+B293+B295+B297</f>
        <v>2995</v>
      </c>
      <c r="C279" s="842">
        <f t="shared" si="196"/>
        <v>1732.16</v>
      </c>
      <c r="D279" s="842">
        <f t="shared" si="196"/>
        <v>0</v>
      </c>
      <c r="E279" s="842">
        <f t="shared" si="196"/>
        <v>0</v>
      </c>
      <c r="F279" s="842">
        <f t="shared" si="196"/>
        <v>0</v>
      </c>
      <c r="G279" s="842">
        <f t="shared" si="196"/>
        <v>0</v>
      </c>
      <c r="H279" s="842">
        <f t="shared" si="196"/>
        <v>0</v>
      </c>
      <c r="I279" s="842">
        <f t="shared" si="196"/>
        <v>0</v>
      </c>
      <c r="J279" s="842">
        <f t="shared" si="196"/>
        <v>4270.5138888888887</v>
      </c>
      <c r="K279" s="842">
        <f t="shared" si="196"/>
        <v>6398.7344949494955</v>
      </c>
      <c r="L279" s="842">
        <f t="shared" si="196"/>
        <v>0</v>
      </c>
      <c r="M279" s="842">
        <f t="shared" si="196"/>
        <v>0</v>
      </c>
      <c r="N279" s="842">
        <f t="shared" si="196"/>
        <v>0</v>
      </c>
      <c r="O279" s="842">
        <f t="shared" si="196"/>
        <v>76784.813939393935</v>
      </c>
      <c r="P279" s="842">
        <f t="shared" si="196"/>
        <v>20089862.720000003</v>
      </c>
      <c r="Q279" s="842">
        <f t="shared" si="196"/>
        <v>3068</v>
      </c>
      <c r="R279" s="842">
        <f t="shared" si="196"/>
        <v>2532.16</v>
      </c>
      <c r="S279" s="842">
        <f t="shared" si="196"/>
        <v>0</v>
      </c>
      <c r="T279" s="842">
        <f t="shared" si="196"/>
        <v>0</v>
      </c>
      <c r="U279" s="842">
        <f t="shared" si="196"/>
        <v>0</v>
      </c>
      <c r="V279" s="842">
        <f t="shared" si="196"/>
        <v>0</v>
      </c>
      <c r="W279" s="842">
        <f t="shared" si="196"/>
        <v>0</v>
      </c>
      <c r="X279" s="842">
        <f t="shared" si="196"/>
        <v>0</v>
      </c>
      <c r="Y279" s="842">
        <f t="shared" si="196"/>
        <v>4303.2605566947677</v>
      </c>
      <c r="Z279" s="842">
        <f t="shared" si="196"/>
        <v>6035.4205566947676</v>
      </c>
      <c r="AA279" s="842">
        <f t="shared" si="196"/>
        <v>0</v>
      </c>
      <c r="AB279" s="842">
        <f t="shared" si="196"/>
        <v>0</v>
      </c>
      <c r="AC279" s="842">
        <f t="shared" si="196"/>
        <v>0</v>
      </c>
      <c r="AD279" s="842">
        <f t="shared" si="196"/>
        <v>72425.046680337211</v>
      </c>
      <c r="AE279" s="842">
        <f t="shared" si="196"/>
        <v>21870165</v>
      </c>
      <c r="AF279" s="842">
        <f t="shared" si="196"/>
        <v>-392.96001367053577</v>
      </c>
      <c r="AG279" s="842">
        <f t="shared" si="196"/>
        <v>-2303102.2799999984</v>
      </c>
      <c r="AH279" s="842">
        <f t="shared" si="196"/>
        <v>3071</v>
      </c>
      <c r="AI279" s="842">
        <f t="shared" si="196"/>
        <v>18671002.48</v>
      </c>
    </row>
    <row r="280" spans="1:35">
      <c r="A280" s="682" t="s">
        <v>6922</v>
      </c>
      <c r="B280" s="843">
        <f t="shared" ref="B280:AI280" si="197">SUM(B281:B285)</f>
        <v>582</v>
      </c>
      <c r="C280" s="843">
        <f t="shared" si="197"/>
        <v>1089.96</v>
      </c>
      <c r="D280" s="843">
        <f t="shared" si="197"/>
        <v>0</v>
      </c>
      <c r="E280" s="843">
        <f t="shared" si="197"/>
        <v>0</v>
      </c>
      <c r="F280" s="843">
        <f t="shared" si="197"/>
        <v>0</v>
      </c>
      <c r="G280" s="843">
        <f t="shared" si="197"/>
        <v>0</v>
      </c>
      <c r="H280" s="843">
        <f t="shared" si="197"/>
        <v>0</v>
      </c>
      <c r="I280" s="843">
        <f t="shared" si="197"/>
        <v>0</v>
      </c>
      <c r="J280" s="843">
        <f t="shared" si="197"/>
        <v>0</v>
      </c>
      <c r="K280" s="843">
        <f t="shared" si="197"/>
        <v>1089.96</v>
      </c>
      <c r="L280" s="843">
        <f t="shared" si="197"/>
        <v>0</v>
      </c>
      <c r="M280" s="843">
        <f t="shared" si="197"/>
        <v>0</v>
      </c>
      <c r="N280" s="843">
        <f t="shared" si="197"/>
        <v>0</v>
      </c>
      <c r="O280" s="843">
        <f t="shared" si="197"/>
        <v>13079.52</v>
      </c>
      <c r="P280" s="843">
        <f t="shared" si="197"/>
        <v>1505080.3200000001</v>
      </c>
      <c r="Q280" s="843">
        <f t="shared" si="197"/>
        <v>583</v>
      </c>
      <c r="R280" s="843">
        <f t="shared" si="197"/>
        <v>1089.96</v>
      </c>
      <c r="S280" s="843">
        <f t="shared" si="197"/>
        <v>0</v>
      </c>
      <c r="T280" s="843">
        <f t="shared" si="197"/>
        <v>0</v>
      </c>
      <c r="U280" s="843">
        <f t="shared" si="197"/>
        <v>0</v>
      </c>
      <c r="V280" s="843">
        <f t="shared" si="197"/>
        <v>0</v>
      </c>
      <c r="W280" s="843">
        <f t="shared" si="197"/>
        <v>0</v>
      </c>
      <c r="X280" s="843">
        <f t="shared" si="197"/>
        <v>0</v>
      </c>
      <c r="Y280" s="843">
        <f t="shared" si="197"/>
        <v>0</v>
      </c>
      <c r="Z280" s="843">
        <f t="shared" si="197"/>
        <v>1089.96</v>
      </c>
      <c r="AA280" s="843">
        <f t="shared" si="197"/>
        <v>0</v>
      </c>
      <c r="AB280" s="843">
        <f t="shared" si="197"/>
        <v>0</v>
      </c>
      <c r="AC280" s="843">
        <f t="shared" si="197"/>
        <v>0</v>
      </c>
      <c r="AD280" s="843">
        <f t="shared" si="197"/>
        <v>13079.52</v>
      </c>
      <c r="AE280" s="843">
        <f t="shared" si="197"/>
        <v>1525180.8000000003</v>
      </c>
      <c r="AF280" s="843">
        <f t="shared" si="197"/>
        <v>0</v>
      </c>
      <c r="AG280" s="843">
        <f t="shared" si="197"/>
        <v>-20100.479999999981</v>
      </c>
      <c r="AH280" s="844">
        <f t="shared" si="197"/>
        <v>564</v>
      </c>
      <c r="AI280" s="843">
        <f t="shared" si="197"/>
        <v>1429778.8800000001</v>
      </c>
    </row>
    <row r="281" spans="1:35">
      <c r="A281" s="681" t="s">
        <v>7133</v>
      </c>
      <c r="B281" s="684">
        <v>110</v>
      </c>
      <c r="C281" s="825">
        <v>330.6</v>
      </c>
      <c r="D281" s="831"/>
      <c r="E281" s="831"/>
      <c r="F281" s="831"/>
      <c r="G281" s="831"/>
      <c r="H281" s="831"/>
      <c r="I281" s="831"/>
      <c r="J281" s="831"/>
      <c r="K281" s="816">
        <f>SUM(C281:J281)</f>
        <v>330.6</v>
      </c>
      <c r="L281" s="831"/>
      <c r="M281" s="831"/>
      <c r="N281" s="831"/>
      <c r="O281" s="816">
        <f>K281*12+N281</f>
        <v>3967.2000000000003</v>
      </c>
      <c r="P281" s="816">
        <f>B281*O281</f>
        <v>436392.00000000006</v>
      </c>
      <c r="Q281" s="684">
        <v>123</v>
      </c>
      <c r="R281" s="845">
        <v>330.6</v>
      </c>
      <c r="S281" s="831"/>
      <c r="T281" s="831"/>
      <c r="U281" s="831"/>
      <c r="V281" s="831"/>
      <c r="W281" s="831"/>
      <c r="X281" s="831"/>
      <c r="Y281" s="831"/>
      <c r="Z281" s="816">
        <f>SUM(R281:Y281)</f>
        <v>330.6</v>
      </c>
      <c r="AA281" s="831"/>
      <c r="AB281" s="831"/>
      <c r="AC281" s="831"/>
      <c r="AD281" s="816">
        <f>Z281*12+AC281</f>
        <v>3967.2000000000003</v>
      </c>
      <c r="AE281" s="816">
        <f>Q281*AD281</f>
        <v>487965.60000000003</v>
      </c>
      <c r="AF281" s="732">
        <f t="shared" ref="AF281:AG285" si="198">+O281-AD281</f>
        <v>0</v>
      </c>
      <c r="AG281" s="732">
        <f t="shared" si="198"/>
        <v>-51573.599999999977</v>
      </c>
      <c r="AH281" s="684">
        <v>104</v>
      </c>
      <c r="AI281" s="816">
        <v>412588.80000000005</v>
      </c>
    </row>
    <row r="282" spans="1:35">
      <c r="A282" s="681" t="s">
        <v>7130</v>
      </c>
      <c r="B282" s="684">
        <v>111</v>
      </c>
      <c r="C282" s="825">
        <v>220.4</v>
      </c>
      <c r="D282" s="831"/>
      <c r="E282" s="831"/>
      <c r="F282" s="831"/>
      <c r="G282" s="831"/>
      <c r="H282" s="831"/>
      <c r="I282" s="831"/>
      <c r="J282" s="831"/>
      <c r="K282" s="816">
        <f>SUM(C282:J282)</f>
        <v>220.4</v>
      </c>
      <c r="L282" s="831"/>
      <c r="M282" s="831"/>
      <c r="N282" s="831"/>
      <c r="O282" s="816">
        <f>K282*12+N282</f>
        <v>2644.8</v>
      </c>
      <c r="P282" s="816">
        <f>B282*O282</f>
        <v>293572.80000000005</v>
      </c>
      <c r="Q282" s="684">
        <v>107</v>
      </c>
      <c r="R282" s="845">
        <v>220.4</v>
      </c>
      <c r="S282" s="831"/>
      <c r="T282" s="831"/>
      <c r="U282" s="831"/>
      <c r="V282" s="831"/>
      <c r="W282" s="831"/>
      <c r="X282" s="831"/>
      <c r="Y282" s="831"/>
      <c r="Z282" s="816">
        <f>SUM(R282:Y282)</f>
        <v>220.4</v>
      </c>
      <c r="AA282" s="831"/>
      <c r="AB282" s="831"/>
      <c r="AC282" s="831"/>
      <c r="AD282" s="816">
        <f>Z282*12+AC282</f>
        <v>2644.8</v>
      </c>
      <c r="AE282" s="816">
        <f>Q282*AD282</f>
        <v>282993.60000000003</v>
      </c>
      <c r="AF282" s="732">
        <f t="shared" si="198"/>
        <v>0</v>
      </c>
      <c r="AG282" s="732">
        <f t="shared" si="198"/>
        <v>10579.200000000012</v>
      </c>
      <c r="AH282" s="684">
        <v>93</v>
      </c>
      <c r="AI282" s="816">
        <v>245966.40000000002</v>
      </c>
    </row>
    <row r="283" spans="1:35">
      <c r="A283" s="681" t="s">
        <v>7129</v>
      </c>
      <c r="B283" s="684">
        <v>111</v>
      </c>
      <c r="C283" s="825">
        <v>198.36</v>
      </c>
      <c r="D283" s="831"/>
      <c r="E283" s="831"/>
      <c r="F283" s="831"/>
      <c r="G283" s="831"/>
      <c r="H283" s="831"/>
      <c r="I283" s="831"/>
      <c r="J283" s="831"/>
      <c r="K283" s="816">
        <f>SUM(C283:J283)</f>
        <v>198.36</v>
      </c>
      <c r="L283" s="831"/>
      <c r="M283" s="831"/>
      <c r="N283" s="831"/>
      <c r="O283" s="816">
        <f>K283*12+N283</f>
        <v>2380.3200000000002</v>
      </c>
      <c r="P283" s="816">
        <f>B283*O283</f>
        <v>264215.52</v>
      </c>
      <c r="Q283" s="684">
        <v>96</v>
      </c>
      <c r="R283" s="845">
        <v>198.36</v>
      </c>
      <c r="S283" s="831"/>
      <c r="T283" s="831"/>
      <c r="U283" s="831"/>
      <c r="V283" s="831"/>
      <c r="W283" s="831"/>
      <c r="X283" s="831"/>
      <c r="Y283" s="831"/>
      <c r="Z283" s="816">
        <f>SUM(R283:Y283)</f>
        <v>198.36</v>
      </c>
      <c r="AA283" s="831"/>
      <c r="AB283" s="831"/>
      <c r="AC283" s="831"/>
      <c r="AD283" s="816">
        <f>Z283*12+AC283</f>
        <v>2380.3200000000002</v>
      </c>
      <c r="AE283" s="816">
        <f>Q283*AD283</f>
        <v>228510.72000000003</v>
      </c>
      <c r="AF283" s="732">
        <f t="shared" si="198"/>
        <v>0</v>
      </c>
      <c r="AG283" s="732">
        <f t="shared" si="198"/>
        <v>35704.799999999988</v>
      </c>
      <c r="AH283" s="684">
        <v>105</v>
      </c>
      <c r="AI283" s="816">
        <v>249933.60000000003</v>
      </c>
    </row>
    <row r="284" spans="1:35">
      <c r="A284" s="681" t="s">
        <v>7128</v>
      </c>
      <c r="B284" s="684">
        <v>125</v>
      </c>
      <c r="C284" s="825">
        <v>176.32</v>
      </c>
      <c r="D284" s="831"/>
      <c r="E284" s="831"/>
      <c r="F284" s="831"/>
      <c r="G284" s="831"/>
      <c r="H284" s="831"/>
      <c r="I284" s="831"/>
      <c r="J284" s="831"/>
      <c r="K284" s="816">
        <f>SUM(C284:J284)</f>
        <v>176.32</v>
      </c>
      <c r="L284" s="831"/>
      <c r="M284" s="831"/>
      <c r="N284" s="831"/>
      <c r="O284" s="816">
        <f>K284*12+N284</f>
        <v>2115.84</v>
      </c>
      <c r="P284" s="816">
        <f>B284*O284</f>
        <v>264480</v>
      </c>
      <c r="Q284" s="684">
        <v>132</v>
      </c>
      <c r="R284" s="845">
        <v>176.32</v>
      </c>
      <c r="S284" s="831"/>
      <c r="T284" s="831"/>
      <c r="U284" s="831"/>
      <c r="V284" s="831"/>
      <c r="W284" s="831"/>
      <c r="X284" s="831"/>
      <c r="Y284" s="831"/>
      <c r="Z284" s="816">
        <f>SUM(R284:Y284)</f>
        <v>176.32</v>
      </c>
      <c r="AA284" s="831"/>
      <c r="AB284" s="831"/>
      <c r="AC284" s="831"/>
      <c r="AD284" s="816">
        <f>Z284*12+AC284</f>
        <v>2115.84</v>
      </c>
      <c r="AE284" s="816">
        <f>Q284*AD284</f>
        <v>279290.88</v>
      </c>
      <c r="AF284" s="732">
        <f t="shared" si="198"/>
        <v>0</v>
      </c>
      <c r="AG284" s="732">
        <f t="shared" si="198"/>
        <v>-14810.880000000005</v>
      </c>
      <c r="AH284" s="684">
        <v>137</v>
      </c>
      <c r="AI284" s="816">
        <v>289870.08000000002</v>
      </c>
    </row>
    <row r="285" spans="1:35">
      <c r="A285" s="681" t="s">
        <v>7132</v>
      </c>
      <c r="B285" s="684">
        <v>125</v>
      </c>
      <c r="C285" s="825">
        <v>164.28</v>
      </c>
      <c r="D285" s="831"/>
      <c r="E285" s="831"/>
      <c r="F285" s="831"/>
      <c r="G285" s="831"/>
      <c r="H285" s="831"/>
      <c r="I285" s="831"/>
      <c r="J285" s="831"/>
      <c r="K285" s="816">
        <f>SUM(C285:J285)</f>
        <v>164.28</v>
      </c>
      <c r="L285" s="831"/>
      <c r="M285" s="831"/>
      <c r="N285" s="831"/>
      <c r="O285" s="816">
        <f>K285*12+N285</f>
        <v>1971.3600000000001</v>
      </c>
      <c r="P285" s="816">
        <f>B285*O285</f>
        <v>246420.00000000003</v>
      </c>
      <c r="Q285" s="684">
        <v>125</v>
      </c>
      <c r="R285" s="845">
        <v>164.28</v>
      </c>
      <c r="S285" s="831"/>
      <c r="T285" s="831"/>
      <c r="U285" s="831"/>
      <c r="V285" s="831"/>
      <c r="W285" s="831"/>
      <c r="X285" s="831"/>
      <c r="Y285" s="831"/>
      <c r="Z285" s="816">
        <f>SUM(R285:Y285)</f>
        <v>164.28</v>
      </c>
      <c r="AA285" s="831"/>
      <c r="AB285" s="831"/>
      <c r="AC285" s="831"/>
      <c r="AD285" s="816">
        <f>Z285*12+AC285</f>
        <v>1971.3600000000001</v>
      </c>
      <c r="AE285" s="816">
        <f>Q285*AD285</f>
        <v>246420.00000000003</v>
      </c>
      <c r="AF285" s="732">
        <f t="shared" si="198"/>
        <v>0</v>
      </c>
      <c r="AG285" s="732">
        <f t="shared" si="198"/>
        <v>0</v>
      </c>
      <c r="AH285" s="684">
        <v>125</v>
      </c>
      <c r="AI285" s="816">
        <v>231420</v>
      </c>
    </row>
    <row r="286" spans="1:35" ht="22.5">
      <c r="A286" s="682" t="s">
        <v>7131</v>
      </c>
      <c r="B286" s="843">
        <f t="shared" ref="B286:AI286" si="199">SUM(B287:B289)</f>
        <v>1947</v>
      </c>
      <c r="C286" s="843">
        <f t="shared" si="199"/>
        <v>642.20000000000005</v>
      </c>
      <c r="D286" s="843">
        <f t="shared" si="199"/>
        <v>0</v>
      </c>
      <c r="E286" s="843">
        <f t="shared" si="199"/>
        <v>0</v>
      </c>
      <c r="F286" s="843">
        <f t="shared" si="199"/>
        <v>0</v>
      </c>
      <c r="G286" s="843">
        <f t="shared" si="199"/>
        <v>0</v>
      </c>
      <c r="H286" s="843">
        <f t="shared" si="199"/>
        <v>0</v>
      </c>
      <c r="I286" s="843">
        <f t="shared" si="199"/>
        <v>0</v>
      </c>
      <c r="J286" s="843">
        <f t="shared" si="199"/>
        <v>0</v>
      </c>
      <c r="K286" s="843">
        <f t="shared" si="199"/>
        <v>642.20000000000005</v>
      </c>
      <c r="L286" s="843">
        <f t="shared" si="199"/>
        <v>0</v>
      </c>
      <c r="M286" s="843">
        <f t="shared" si="199"/>
        <v>0</v>
      </c>
      <c r="N286" s="843">
        <f t="shared" si="199"/>
        <v>0</v>
      </c>
      <c r="O286" s="843">
        <f t="shared" si="199"/>
        <v>7706.4</v>
      </c>
      <c r="P286" s="843">
        <f t="shared" si="199"/>
        <v>4994919.3999999994</v>
      </c>
      <c r="Q286" s="843">
        <f t="shared" si="199"/>
        <v>1943</v>
      </c>
      <c r="R286" s="843">
        <f t="shared" si="199"/>
        <v>642.20000000000005</v>
      </c>
      <c r="S286" s="843">
        <f t="shared" si="199"/>
        <v>0</v>
      </c>
      <c r="T286" s="843">
        <f t="shared" si="199"/>
        <v>0</v>
      </c>
      <c r="U286" s="843">
        <f t="shared" si="199"/>
        <v>0</v>
      </c>
      <c r="V286" s="843">
        <f t="shared" si="199"/>
        <v>0</v>
      </c>
      <c r="W286" s="843">
        <f t="shared" si="199"/>
        <v>0</v>
      </c>
      <c r="X286" s="843">
        <f t="shared" si="199"/>
        <v>0</v>
      </c>
      <c r="Y286" s="843">
        <f t="shared" si="199"/>
        <v>0</v>
      </c>
      <c r="Z286" s="843">
        <f t="shared" si="199"/>
        <v>642.20000000000005</v>
      </c>
      <c r="AA286" s="843">
        <f t="shared" si="199"/>
        <v>0</v>
      </c>
      <c r="AB286" s="843">
        <f t="shared" si="199"/>
        <v>0</v>
      </c>
      <c r="AC286" s="843">
        <f t="shared" si="199"/>
        <v>0</v>
      </c>
      <c r="AD286" s="843">
        <f t="shared" si="199"/>
        <v>7706.4</v>
      </c>
      <c r="AE286" s="843">
        <f t="shared" si="199"/>
        <v>4763291.2</v>
      </c>
      <c r="AF286" s="843">
        <f t="shared" si="199"/>
        <v>0</v>
      </c>
      <c r="AG286" s="843">
        <f t="shared" si="199"/>
        <v>231628.19999999949</v>
      </c>
      <c r="AH286" s="844">
        <f t="shared" si="199"/>
        <v>2004</v>
      </c>
      <c r="AI286" s="843">
        <f t="shared" si="199"/>
        <v>4900916.5999999996</v>
      </c>
    </row>
    <row r="287" spans="1:35">
      <c r="A287" s="681" t="s">
        <v>7130</v>
      </c>
      <c r="B287" s="684">
        <v>701</v>
      </c>
      <c r="C287" s="825">
        <v>296.39999999999998</v>
      </c>
      <c r="D287" s="825"/>
      <c r="E287" s="825"/>
      <c r="F287" s="825"/>
      <c r="G287" s="825"/>
      <c r="H287" s="825"/>
      <c r="I287" s="825"/>
      <c r="J287" s="825"/>
      <c r="K287" s="816">
        <f>SUM(C287:J287)</f>
        <v>296.39999999999998</v>
      </c>
      <c r="L287" s="825"/>
      <c r="M287" s="825"/>
      <c r="N287" s="825"/>
      <c r="O287" s="816">
        <f>K287*12+N287</f>
        <v>3556.7999999999997</v>
      </c>
      <c r="P287" s="816">
        <f>B287*O287</f>
        <v>2493316.7999999998</v>
      </c>
      <c r="Q287" s="684">
        <v>605</v>
      </c>
      <c r="R287" s="845">
        <v>296.39999999999998</v>
      </c>
      <c r="S287" s="825"/>
      <c r="T287" s="825"/>
      <c r="U287" s="825"/>
      <c r="V287" s="825"/>
      <c r="W287" s="825"/>
      <c r="X287" s="825"/>
      <c r="Y287" s="825"/>
      <c r="Z287" s="816">
        <f>SUM(R287:Y287)</f>
        <v>296.39999999999998</v>
      </c>
      <c r="AA287" s="825"/>
      <c r="AB287" s="825"/>
      <c r="AC287" s="825"/>
      <c r="AD287" s="816">
        <f>Z287*12+AC287</f>
        <v>3556.7999999999997</v>
      </c>
      <c r="AE287" s="816">
        <f>Q287*AD287</f>
        <v>2151864</v>
      </c>
      <c r="AF287" s="732">
        <f t="shared" ref="AF287:AG289" si="200">+O287-AD287</f>
        <v>0</v>
      </c>
      <c r="AG287" s="732">
        <f t="shared" si="200"/>
        <v>341452.79999999981</v>
      </c>
      <c r="AH287" s="684">
        <v>604</v>
      </c>
      <c r="AI287" s="825">
        <v>2148307.1999999997</v>
      </c>
    </row>
    <row r="288" spans="1:35">
      <c r="A288" s="681" t="s">
        <v>7129</v>
      </c>
      <c r="B288" s="684">
        <v>624</v>
      </c>
      <c r="C288" s="825">
        <v>197.6</v>
      </c>
      <c r="D288" s="825"/>
      <c r="E288" s="825"/>
      <c r="F288" s="825"/>
      <c r="G288" s="825"/>
      <c r="H288" s="825"/>
      <c r="I288" s="825"/>
      <c r="J288" s="825"/>
      <c r="K288" s="816">
        <f>SUM(C288:J288)</f>
        <v>197.6</v>
      </c>
      <c r="L288" s="825"/>
      <c r="M288" s="825"/>
      <c r="N288" s="825"/>
      <c r="O288" s="816">
        <f>K288*12+N288</f>
        <v>2371.1999999999998</v>
      </c>
      <c r="P288" s="816">
        <f>B288*O288</f>
        <v>1479628.7999999998</v>
      </c>
      <c r="Q288" s="684">
        <v>625</v>
      </c>
      <c r="R288" s="845">
        <v>197.6</v>
      </c>
      <c r="S288" s="825"/>
      <c r="T288" s="825"/>
      <c r="U288" s="825"/>
      <c r="V288" s="825"/>
      <c r="W288" s="825"/>
      <c r="X288" s="825"/>
      <c r="Y288" s="825"/>
      <c r="Z288" s="816">
        <f>SUM(R288:Y288)</f>
        <v>197.6</v>
      </c>
      <c r="AA288" s="825"/>
      <c r="AB288" s="825"/>
      <c r="AC288" s="825"/>
      <c r="AD288" s="816">
        <f>Z288*12+AC288</f>
        <v>2371.1999999999998</v>
      </c>
      <c r="AE288" s="816">
        <f>Q288*AD288</f>
        <v>1482000</v>
      </c>
      <c r="AF288" s="732">
        <f t="shared" si="200"/>
        <v>0</v>
      </c>
      <c r="AG288" s="732">
        <f t="shared" si="200"/>
        <v>-2371.2000000001863</v>
      </c>
      <c r="AH288" s="684">
        <v>698</v>
      </c>
      <c r="AI288" s="825">
        <v>1655097.5999999999</v>
      </c>
    </row>
    <row r="289" spans="1:35">
      <c r="A289" s="681" t="s">
        <v>7128</v>
      </c>
      <c r="B289" s="684">
        <v>622</v>
      </c>
      <c r="C289" s="825">
        <v>148.19999999999999</v>
      </c>
      <c r="D289" s="825"/>
      <c r="E289" s="825"/>
      <c r="F289" s="825"/>
      <c r="G289" s="825"/>
      <c r="H289" s="825"/>
      <c r="I289" s="825"/>
      <c r="J289" s="825"/>
      <c r="K289" s="816">
        <f>SUM(C289:J289)</f>
        <v>148.19999999999999</v>
      </c>
      <c r="L289" s="825"/>
      <c r="M289" s="825"/>
      <c r="N289" s="825"/>
      <c r="O289" s="816">
        <f>K289*12+N289</f>
        <v>1778.3999999999999</v>
      </c>
      <c r="P289" s="683">
        <f>+B289*O289-236640+152449</f>
        <v>1021973.7999999998</v>
      </c>
      <c r="Q289" s="684">
        <v>713</v>
      </c>
      <c r="R289" s="845">
        <v>148.19999999999999</v>
      </c>
      <c r="S289" s="825"/>
      <c r="T289" s="825"/>
      <c r="U289" s="825"/>
      <c r="V289" s="825"/>
      <c r="W289" s="825"/>
      <c r="X289" s="825"/>
      <c r="Y289" s="825"/>
      <c r="Z289" s="816">
        <f>SUM(R289:Y289)</f>
        <v>148.19999999999999</v>
      </c>
      <c r="AA289" s="825"/>
      <c r="AB289" s="825"/>
      <c r="AC289" s="825"/>
      <c r="AD289" s="816">
        <f>Z289*12+AC289</f>
        <v>1778.3999999999999</v>
      </c>
      <c r="AE289" s="683">
        <f>+Q289*AD289-236640+152449-54381</f>
        <v>1129427.2</v>
      </c>
      <c r="AF289" s="732">
        <f t="shared" si="200"/>
        <v>0</v>
      </c>
      <c r="AG289" s="732">
        <f t="shared" si="200"/>
        <v>-107453.40000000014</v>
      </c>
      <c r="AH289" s="684">
        <v>702</v>
      </c>
      <c r="AI289" s="825">
        <v>1097511.7999999998</v>
      </c>
    </row>
    <row r="290" spans="1:35" ht="22.5">
      <c r="A290" s="682" t="s">
        <v>6912</v>
      </c>
      <c r="B290" s="843">
        <f t="shared" ref="B290:AI290" si="201">SUM(B291:B292)</f>
        <v>110</v>
      </c>
      <c r="C290" s="843">
        <f t="shared" si="201"/>
        <v>0</v>
      </c>
      <c r="D290" s="843">
        <f t="shared" si="201"/>
        <v>0</v>
      </c>
      <c r="E290" s="843">
        <f t="shared" si="201"/>
        <v>0</v>
      </c>
      <c r="F290" s="843">
        <f t="shared" si="201"/>
        <v>0</v>
      </c>
      <c r="G290" s="843">
        <f t="shared" si="201"/>
        <v>0</v>
      </c>
      <c r="H290" s="843">
        <f t="shared" si="201"/>
        <v>0</v>
      </c>
      <c r="I290" s="843">
        <f t="shared" si="201"/>
        <v>0</v>
      </c>
      <c r="J290" s="843">
        <f t="shared" si="201"/>
        <v>0</v>
      </c>
      <c r="K290" s="843">
        <f t="shared" si="201"/>
        <v>396.06060606060606</v>
      </c>
      <c r="L290" s="843">
        <f t="shared" si="201"/>
        <v>0</v>
      </c>
      <c r="M290" s="843">
        <f t="shared" si="201"/>
        <v>0</v>
      </c>
      <c r="N290" s="843">
        <f t="shared" si="201"/>
        <v>0</v>
      </c>
      <c r="O290" s="843">
        <f t="shared" si="201"/>
        <v>4752.727272727273</v>
      </c>
      <c r="P290" s="843">
        <f t="shared" si="201"/>
        <v>522800</v>
      </c>
      <c r="Q290" s="843">
        <f t="shared" si="201"/>
        <v>110</v>
      </c>
      <c r="R290" s="843">
        <f t="shared" si="201"/>
        <v>800</v>
      </c>
      <c r="S290" s="843">
        <f t="shared" si="201"/>
        <v>0</v>
      </c>
      <c r="T290" s="843">
        <f t="shared" si="201"/>
        <v>0</v>
      </c>
      <c r="U290" s="843">
        <f t="shared" si="201"/>
        <v>0</v>
      </c>
      <c r="V290" s="843">
        <f t="shared" si="201"/>
        <v>0</v>
      </c>
      <c r="W290" s="843">
        <f t="shared" si="201"/>
        <v>0</v>
      </c>
      <c r="X290" s="843">
        <f t="shared" si="201"/>
        <v>0</v>
      </c>
      <c r="Y290" s="843">
        <f t="shared" si="201"/>
        <v>0</v>
      </c>
      <c r="Z290" s="843">
        <f t="shared" si="201"/>
        <v>0</v>
      </c>
      <c r="AA290" s="843">
        <f t="shared" si="201"/>
        <v>0</v>
      </c>
      <c r="AB290" s="843">
        <f t="shared" si="201"/>
        <v>0</v>
      </c>
      <c r="AC290" s="843">
        <f t="shared" si="201"/>
        <v>0</v>
      </c>
      <c r="AD290" s="843">
        <f t="shared" si="201"/>
        <v>0</v>
      </c>
      <c r="AE290" s="843">
        <f t="shared" si="201"/>
        <v>0</v>
      </c>
      <c r="AF290" s="843">
        <f t="shared" si="201"/>
        <v>0</v>
      </c>
      <c r="AG290" s="843">
        <f t="shared" si="201"/>
        <v>0</v>
      </c>
      <c r="AH290" s="843">
        <f t="shared" si="201"/>
        <v>110</v>
      </c>
      <c r="AI290" s="843">
        <f t="shared" si="201"/>
        <v>550000</v>
      </c>
    </row>
    <row r="291" spans="1:35" ht="33.75">
      <c r="A291" s="681" t="s">
        <v>7127</v>
      </c>
      <c r="B291" s="684">
        <v>110</v>
      </c>
      <c r="C291" s="825"/>
      <c r="D291" s="825"/>
      <c r="E291" s="825"/>
      <c r="F291" s="825"/>
      <c r="G291" s="825"/>
      <c r="H291" s="825"/>
      <c r="I291" s="825"/>
      <c r="J291" s="825"/>
      <c r="K291" s="683">
        <v>396.06060606060606</v>
      </c>
      <c r="L291" s="825"/>
      <c r="M291" s="825"/>
      <c r="N291" s="825"/>
      <c r="O291" s="683">
        <f>+(K291*12)+N291</f>
        <v>4752.727272727273</v>
      </c>
      <c r="P291" s="683">
        <f>B291*O291</f>
        <v>522800</v>
      </c>
      <c r="Q291" s="683">
        <v>110</v>
      </c>
      <c r="R291" s="683">
        <v>400</v>
      </c>
      <c r="S291" s="825"/>
      <c r="T291" s="825"/>
      <c r="U291" s="825"/>
      <c r="V291" s="825"/>
      <c r="W291" s="825"/>
      <c r="X291" s="825"/>
      <c r="Y291" s="825"/>
      <c r="Z291" s="816"/>
      <c r="AA291" s="825"/>
      <c r="AB291" s="825"/>
      <c r="AC291" s="825"/>
      <c r="AD291" s="816"/>
      <c r="AE291" s="732"/>
      <c r="AF291" s="732"/>
      <c r="AG291" s="732"/>
      <c r="AH291" s="828">
        <f>65+45</f>
        <v>110</v>
      </c>
      <c r="AI291" s="825">
        <v>550000</v>
      </c>
    </row>
    <row r="292" spans="1:35" ht="22.5">
      <c r="A292" s="681" t="s">
        <v>7126</v>
      </c>
      <c r="B292" s="684"/>
      <c r="C292" s="825"/>
      <c r="D292" s="825"/>
      <c r="E292" s="825"/>
      <c r="F292" s="825"/>
      <c r="G292" s="825"/>
      <c r="H292" s="825"/>
      <c r="I292" s="825"/>
      <c r="J292" s="825"/>
      <c r="K292" s="816"/>
      <c r="L292" s="825"/>
      <c r="M292" s="825"/>
      <c r="N292" s="825"/>
      <c r="O292" s="816"/>
      <c r="P292" s="816"/>
      <c r="Q292" s="732">
        <v>0</v>
      </c>
      <c r="R292" s="732">
        <v>400</v>
      </c>
      <c r="S292" s="825"/>
      <c r="T292" s="825"/>
      <c r="U292" s="825"/>
      <c r="V292" s="825"/>
      <c r="W292" s="825"/>
      <c r="X292" s="825"/>
      <c r="Y292" s="825"/>
      <c r="Z292" s="816"/>
      <c r="AA292" s="825"/>
      <c r="AB292" s="825"/>
      <c r="AC292" s="825"/>
      <c r="AD292" s="816"/>
      <c r="AE292" s="732"/>
      <c r="AF292" s="732"/>
      <c r="AG292" s="732"/>
      <c r="AH292" s="828"/>
      <c r="AI292" s="825"/>
    </row>
    <row r="293" spans="1:35" ht="45">
      <c r="A293" s="682" t="s">
        <v>6909</v>
      </c>
      <c r="B293" s="843">
        <f t="shared" ref="B293:AI293" si="202">+B294</f>
        <v>354</v>
      </c>
      <c r="C293" s="843">
        <f t="shared" si="202"/>
        <v>0</v>
      </c>
      <c r="D293" s="843">
        <f t="shared" si="202"/>
        <v>0</v>
      </c>
      <c r="E293" s="843">
        <f t="shared" si="202"/>
        <v>0</v>
      </c>
      <c r="F293" s="843">
        <f t="shared" si="202"/>
        <v>0</v>
      </c>
      <c r="G293" s="843">
        <f t="shared" si="202"/>
        <v>0</v>
      </c>
      <c r="H293" s="843">
        <f t="shared" si="202"/>
        <v>0</v>
      </c>
      <c r="I293" s="843">
        <f t="shared" si="202"/>
        <v>0</v>
      </c>
      <c r="J293" s="843">
        <f t="shared" si="202"/>
        <v>3069.2638888888891</v>
      </c>
      <c r="K293" s="843">
        <f t="shared" si="202"/>
        <v>3069.2638888888891</v>
      </c>
      <c r="L293" s="843">
        <f t="shared" si="202"/>
        <v>0</v>
      </c>
      <c r="M293" s="843">
        <f t="shared" si="202"/>
        <v>0</v>
      </c>
      <c r="N293" s="843">
        <f t="shared" si="202"/>
        <v>0</v>
      </c>
      <c r="O293" s="843">
        <f t="shared" si="202"/>
        <v>36831.166666666672</v>
      </c>
      <c r="P293" s="843">
        <f t="shared" si="202"/>
        <v>13038233.000000002</v>
      </c>
      <c r="Q293" s="843">
        <f t="shared" si="202"/>
        <v>399</v>
      </c>
      <c r="R293" s="843">
        <f t="shared" si="202"/>
        <v>0</v>
      </c>
      <c r="S293" s="843">
        <f t="shared" si="202"/>
        <v>0</v>
      </c>
      <c r="T293" s="843">
        <f t="shared" si="202"/>
        <v>0</v>
      </c>
      <c r="U293" s="843">
        <f t="shared" si="202"/>
        <v>0</v>
      </c>
      <c r="V293" s="843">
        <f t="shared" si="202"/>
        <v>0</v>
      </c>
      <c r="W293" s="843">
        <f t="shared" si="202"/>
        <v>0</v>
      </c>
      <c r="X293" s="843">
        <f t="shared" si="202"/>
        <v>0</v>
      </c>
      <c r="Y293" s="843">
        <f t="shared" si="202"/>
        <v>3159.7454051796158</v>
      </c>
      <c r="Z293" s="843">
        <f t="shared" si="202"/>
        <v>3159.7454051796158</v>
      </c>
      <c r="AA293" s="843">
        <f t="shared" si="202"/>
        <v>0</v>
      </c>
      <c r="AB293" s="843">
        <f t="shared" si="202"/>
        <v>0</v>
      </c>
      <c r="AC293" s="843">
        <f t="shared" si="202"/>
        <v>0</v>
      </c>
      <c r="AD293" s="843">
        <f t="shared" si="202"/>
        <v>37916.944862155389</v>
      </c>
      <c r="AE293" s="843">
        <f t="shared" si="202"/>
        <v>15128861</v>
      </c>
      <c r="AF293" s="843">
        <f t="shared" si="202"/>
        <v>-1085.7781954887178</v>
      </c>
      <c r="AG293" s="843">
        <f t="shared" si="202"/>
        <v>-2090627.9999999981</v>
      </c>
      <c r="AH293" s="844">
        <f t="shared" si="202"/>
        <v>393</v>
      </c>
      <c r="AI293" s="843">
        <f t="shared" si="202"/>
        <v>11790307</v>
      </c>
    </row>
    <row r="294" spans="1:35" ht="22.5">
      <c r="A294" s="681" t="s">
        <v>7125</v>
      </c>
      <c r="B294" s="846">
        <v>354</v>
      </c>
      <c r="C294" s="825"/>
      <c r="D294" s="825"/>
      <c r="E294" s="825"/>
      <c r="F294" s="825"/>
      <c r="G294" s="825"/>
      <c r="H294" s="825"/>
      <c r="I294" s="825"/>
      <c r="J294" s="825">
        <v>3069.2638888888891</v>
      </c>
      <c r="K294" s="816">
        <f>SUM(C294:J294)</f>
        <v>3069.2638888888891</v>
      </c>
      <c r="L294" s="825"/>
      <c r="M294" s="825"/>
      <c r="N294" s="825"/>
      <c r="O294" s="683">
        <f>+(K294*12)+N294</f>
        <v>36831.166666666672</v>
      </c>
      <c r="P294" s="816">
        <f>B294*O294</f>
        <v>13038233.000000002</v>
      </c>
      <c r="Q294" s="732">
        <f>342+57</f>
        <v>399</v>
      </c>
      <c r="R294" s="825"/>
      <c r="S294" s="825"/>
      <c r="T294" s="825"/>
      <c r="U294" s="825"/>
      <c r="V294" s="825"/>
      <c r="W294" s="825"/>
      <c r="X294" s="825"/>
      <c r="Y294" s="825">
        <v>3159.7454051796158</v>
      </c>
      <c r="Z294" s="816">
        <f>SUM(R294:Y294)</f>
        <v>3159.7454051796158</v>
      </c>
      <c r="AA294" s="825"/>
      <c r="AB294" s="825"/>
      <c r="AC294" s="825"/>
      <c r="AD294" s="683">
        <f>+(Z294*12)+AC294</f>
        <v>37916.944862155389</v>
      </c>
      <c r="AE294" s="816">
        <f>Q294*AD294</f>
        <v>15128861</v>
      </c>
      <c r="AF294" s="732">
        <f>+O294-AD294</f>
        <v>-1085.7781954887178</v>
      </c>
      <c r="AG294" s="732">
        <f>+P294-AE294</f>
        <v>-2090627.9999999981</v>
      </c>
      <c r="AH294" s="847">
        <v>393</v>
      </c>
      <c r="AI294" s="825">
        <v>11790307</v>
      </c>
    </row>
    <row r="295" spans="1:35" ht="22.5" hidden="1">
      <c r="A295" s="682" t="s">
        <v>6905</v>
      </c>
      <c r="B295" s="843">
        <f t="shared" ref="B295:AI295" si="203">+B296</f>
        <v>0</v>
      </c>
      <c r="C295" s="843">
        <f t="shared" si="203"/>
        <v>0</v>
      </c>
      <c r="D295" s="843">
        <f t="shared" si="203"/>
        <v>0</v>
      </c>
      <c r="E295" s="843">
        <f t="shared" si="203"/>
        <v>0</v>
      </c>
      <c r="F295" s="843">
        <f t="shared" si="203"/>
        <v>0</v>
      </c>
      <c r="G295" s="843">
        <f t="shared" si="203"/>
        <v>0</v>
      </c>
      <c r="H295" s="843">
        <f t="shared" si="203"/>
        <v>0</v>
      </c>
      <c r="I295" s="843">
        <f t="shared" si="203"/>
        <v>0</v>
      </c>
      <c r="J295" s="843">
        <f t="shared" si="203"/>
        <v>0</v>
      </c>
      <c r="K295" s="843">
        <f t="shared" si="203"/>
        <v>0</v>
      </c>
      <c r="L295" s="843">
        <f t="shared" si="203"/>
        <v>0</v>
      </c>
      <c r="M295" s="843">
        <f t="shared" si="203"/>
        <v>0</v>
      </c>
      <c r="N295" s="843">
        <f t="shared" si="203"/>
        <v>0</v>
      </c>
      <c r="O295" s="843">
        <f t="shared" si="203"/>
        <v>0</v>
      </c>
      <c r="P295" s="843">
        <f t="shared" si="203"/>
        <v>0</v>
      </c>
      <c r="Q295" s="843">
        <f t="shared" si="203"/>
        <v>0</v>
      </c>
      <c r="R295" s="843">
        <f t="shared" si="203"/>
        <v>0</v>
      </c>
      <c r="S295" s="843">
        <f t="shared" si="203"/>
        <v>0</v>
      </c>
      <c r="T295" s="843">
        <f t="shared" si="203"/>
        <v>0</v>
      </c>
      <c r="U295" s="843">
        <f t="shared" si="203"/>
        <v>0</v>
      </c>
      <c r="V295" s="843">
        <f t="shared" si="203"/>
        <v>0</v>
      </c>
      <c r="W295" s="843">
        <f t="shared" si="203"/>
        <v>0</v>
      </c>
      <c r="X295" s="843">
        <f t="shared" si="203"/>
        <v>0</v>
      </c>
      <c r="Y295" s="843">
        <f t="shared" si="203"/>
        <v>0</v>
      </c>
      <c r="Z295" s="843">
        <f t="shared" si="203"/>
        <v>0</v>
      </c>
      <c r="AA295" s="843">
        <f t="shared" si="203"/>
        <v>0</v>
      </c>
      <c r="AB295" s="843">
        <f t="shared" si="203"/>
        <v>0</v>
      </c>
      <c r="AC295" s="843">
        <f t="shared" si="203"/>
        <v>0</v>
      </c>
      <c r="AD295" s="843">
        <f t="shared" si="203"/>
        <v>0</v>
      </c>
      <c r="AE295" s="843">
        <f t="shared" si="203"/>
        <v>0</v>
      </c>
      <c r="AF295" s="843">
        <f t="shared" si="203"/>
        <v>0</v>
      </c>
      <c r="AG295" s="843">
        <f t="shared" si="203"/>
        <v>0</v>
      </c>
      <c r="AH295" s="844">
        <f t="shared" si="203"/>
        <v>0</v>
      </c>
      <c r="AI295" s="843">
        <f t="shared" si="203"/>
        <v>0</v>
      </c>
    </row>
    <row r="296" spans="1:35" ht="22.5" hidden="1">
      <c r="A296" s="681" t="s">
        <v>6904</v>
      </c>
      <c r="B296" s="825"/>
      <c r="C296" s="825"/>
      <c r="D296" s="825"/>
      <c r="E296" s="825"/>
      <c r="F296" s="825"/>
      <c r="G296" s="825"/>
      <c r="H296" s="825"/>
      <c r="I296" s="825"/>
      <c r="J296" s="825"/>
      <c r="K296" s="825"/>
      <c r="L296" s="825"/>
      <c r="M296" s="825"/>
      <c r="N296" s="825"/>
      <c r="O296" s="825"/>
      <c r="P296" s="825"/>
      <c r="Q296" s="825"/>
      <c r="R296" s="825"/>
      <c r="S296" s="825"/>
      <c r="T296" s="825"/>
      <c r="U296" s="825"/>
      <c r="V296" s="825"/>
      <c r="W296" s="825"/>
      <c r="X296" s="825"/>
      <c r="Y296" s="825"/>
      <c r="Z296" s="825"/>
      <c r="AA296" s="825"/>
      <c r="AB296" s="825"/>
      <c r="AC296" s="825"/>
      <c r="AD296" s="825"/>
      <c r="AE296" s="825"/>
      <c r="AF296" s="732">
        <f>+O296-AD296</f>
        <v>0</v>
      </c>
      <c r="AG296" s="732">
        <f>+P296-AE296</f>
        <v>0</v>
      </c>
      <c r="AH296" s="838">
        <v>0</v>
      </c>
      <c r="AI296" s="825">
        <v>0</v>
      </c>
    </row>
    <row r="297" spans="1:35">
      <c r="A297" s="682" t="s">
        <v>6903</v>
      </c>
      <c r="B297" s="843">
        <f t="shared" ref="B297:AI297" si="204">+B298</f>
        <v>2</v>
      </c>
      <c r="C297" s="843">
        <f t="shared" si="204"/>
        <v>0</v>
      </c>
      <c r="D297" s="843">
        <f t="shared" si="204"/>
        <v>0</v>
      </c>
      <c r="E297" s="843">
        <f t="shared" si="204"/>
        <v>0</v>
      </c>
      <c r="F297" s="843">
        <f t="shared" si="204"/>
        <v>0</v>
      </c>
      <c r="G297" s="843">
        <f t="shared" si="204"/>
        <v>0</v>
      </c>
      <c r="H297" s="843">
        <f t="shared" si="204"/>
        <v>0</v>
      </c>
      <c r="I297" s="843">
        <f t="shared" si="204"/>
        <v>0</v>
      </c>
      <c r="J297" s="843">
        <f t="shared" si="204"/>
        <v>1201.25</v>
      </c>
      <c r="K297" s="843">
        <f t="shared" si="204"/>
        <v>1201.25</v>
      </c>
      <c r="L297" s="843">
        <f t="shared" si="204"/>
        <v>0</v>
      </c>
      <c r="M297" s="843">
        <f t="shared" si="204"/>
        <v>0</v>
      </c>
      <c r="N297" s="843">
        <f t="shared" si="204"/>
        <v>0</v>
      </c>
      <c r="O297" s="843">
        <f t="shared" si="204"/>
        <v>14415</v>
      </c>
      <c r="P297" s="843">
        <f t="shared" si="204"/>
        <v>28830</v>
      </c>
      <c r="Q297" s="843">
        <f t="shared" si="204"/>
        <v>33</v>
      </c>
      <c r="R297" s="843">
        <f t="shared" si="204"/>
        <v>0</v>
      </c>
      <c r="S297" s="843">
        <f t="shared" si="204"/>
        <v>0</v>
      </c>
      <c r="T297" s="843">
        <f t="shared" si="204"/>
        <v>0</v>
      </c>
      <c r="U297" s="843">
        <f t="shared" si="204"/>
        <v>0</v>
      </c>
      <c r="V297" s="843">
        <f t="shared" si="204"/>
        <v>0</v>
      </c>
      <c r="W297" s="843">
        <f t="shared" si="204"/>
        <v>0</v>
      </c>
      <c r="X297" s="843">
        <f t="shared" si="204"/>
        <v>0</v>
      </c>
      <c r="Y297" s="843">
        <f t="shared" si="204"/>
        <v>1143.5151515151515</v>
      </c>
      <c r="Z297" s="843">
        <f t="shared" si="204"/>
        <v>1143.5151515151515</v>
      </c>
      <c r="AA297" s="843">
        <f t="shared" si="204"/>
        <v>0</v>
      </c>
      <c r="AB297" s="843">
        <f t="shared" si="204"/>
        <v>0</v>
      </c>
      <c r="AC297" s="843">
        <f t="shared" si="204"/>
        <v>0</v>
      </c>
      <c r="AD297" s="843">
        <f t="shared" si="204"/>
        <v>13722.181818181818</v>
      </c>
      <c r="AE297" s="843">
        <f t="shared" si="204"/>
        <v>452832</v>
      </c>
      <c r="AF297" s="843">
        <f t="shared" si="204"/>
        <v>692.81818181818198</v>
      </c>
      <c r="AG297" s="843">
        <f t="shared" si="204"/>
        <v>-424002</v>
      </c>
      <c r="AH297" s="844">
        <f t="shared" si="204"/>
        <v>0</v>
      </c>
      <c r="AI297" s="843">
        <f t="shared" si="204"/>
        <v>0</v>
      </c>
    </row>
    <row r="298" spans="1:35" ht="12.75" thickBot="1">
      <c r="A298" s="681" t="s">
        <v>6902</v>
      </c>
      <c r="B298" s="680">
        <v>2</v>
      </c>
      <c r="C298" s="825"/>
      <c r="D298" s="825"/>
      <c r="E298" s="825"/>
      <c r="F298" s="825"/>
      <c r="G298" s="825"/>
      <c r="H298" s="825"/>
      <c r="I298" s="825"/>
      <c r="J298" s="825">
        <v>1201.25</v>
      </c>
      <c r="K298" s="816">
        <f>SUM(C298:J298)</f>
        <v>1201.25</v>
      </c>
      <c r="L298" s="825"/>
      <c r="M298" s="825"/>
      <c r="N298" s="825"/>
      <c r="O298" s="680">
        <f>+(K298*12)+N298</f>
        <v>14415</v>
      </c>
      <c r="P298" s="816">
        <f>B298*O298</f>
        <v>28830</v>
      </c>
      <c r="Q298" s="680">
        <v>33</v>
      </c>
      <c r="R298" s="825"/>
      <c r="S298" s="825"/>
      <c r="T298" s="825"/>
      <c r="U298" s="825"/>
      <c r="V298" s="825"/>
      <c r="W298" s="825"/>
      <c r="X298" s="825"/>
      <c r="Y298" s="825">
        <v>1143.5151515151515</v>
      </c>
      <c r="Z298" s="816">
        <f>SUM(R298:Y298)</f>
        <v>1143.5151515151515</v>
      </c>
      <c r="AA298" s="825"/>
      <c r="AB298" s="825"/>
      <c r="AC298" s="825"/>
      <c r="AD298" s="680">
        <f>+(Z298*12)+AC298</f>
        <v>13722.181818181818</v>
      </c>
      <c r="AE298" s="816">
        <f>Q298*AD298</f>
        <v>452832</v>
      </c>
      <c r="AF298" s="732">
        <f>+O298-AD298</f>
        <v>692.81818181818198</v>
      </c>
      <c r="AG298" s="732">
        <f>+P298-AE298</f>
        <v>-424002</v>
      </c>
      <c r="AH298" s="679">
        <v>0</v>
      </c>
      <c r="AI298" s="825">
        <v>0</v>
      </c>
    </row>
    <row r="299" spans="1:35" ht="12.75" hidden="1" thickBot="1">
      <c r="A299" s="678"/>
      <c r="B299" s="848"/>
      <c r="C299" s="848"/>
      <c r="D299" s="848"/>
      <c r="E299" s="848"/>
      <c r="F299" s="848"/>
      <c r="G299" s="848"/>
      <c r="H299" s="848"/>
      <c r="I299" s="848"/>
      <c r="J299" s="848"/>
      <c r="K299" s="848"/>
      <c r="L299" s="848"/>
      <c r="M299" s="848"/>
      <c r="N299" s="848"/>
      <c r="O299" s="848"/>
      <c r="P299" s="848"/>
      <c r="Q299" s="848"/>
      <c r="R299" s="848"/>
      <c r="S299" s="848"/>
      <c r="T299" s="848"/>
      <c r="U299" s="848"/>
      <c r="V299" s="848"/>
      <c r="W299" s="848"/>
      <c r="X299" s="848"/>
      <c r="Y299" s="848"/>
      <c r="Z299" s="848"/>
      <c r="AA299" s="848"/>
      <c r="AB299" s="848"/>
      <c r="AC299" s="848"/>
      <c r="AD299" s="848"/>
      <c r="AE299" s="848"/>
      <c r="AF299" s="849"/>
      <c r="AG299" s="849"/>
      <c r="AH299" s="848"/>
      <c r="AI299" s="848"/>
    </row>
    <row r="300" spans="1:35" ht="12.75" thickBot="1">
      <c r="A300" s="850" t="s">
        <v>0</v>
      </c>
      <c r="B300" s="851">
        <f t="shared" ref="B300:AI300" si="205">+B220+B214+B91+B79+B46+B9+B279</f>
        <v>33648</v>
      </c>
      <c r="C300" s="851">
        <f t="shared" si="205"/>
        <v>1775585.9082028985</v>
      </c>
      <c r="D300" s="851">
        <f t="shared" si="205"/>
        <v>19200</v>
      </c>
      <c r="E300" s="851">
        <f t="shared" si="205"/>
        <v>0</v>
      </c>
      <c r="F300" s="851">
        <f t="shared" si="205"/>
        <v>0</v>
      </c>
      <c r="G300" s="851">
        <f t="shared" si="205"/>
        <v>0</v>
      </c>
      <c r="H300" s="851">
        <f t="shared" si="205"/>
        <v>1508.7583333333332</v>
      </c>
      <c r="I300" s="851">
        <f t="shared" si="205"/>
        <v>0</v>
      </c>
      <c r="J300" s="851">
        <f t="shared" si="205"/>
        <v>80693.969781464519</v>
      </c>
      <c r="K300" s="851">
        <f t="shared" si="205"/>
        <v>1882084.696923757</v>
      </c>
      <c r="L300" s="851">
        <f t="shared" si="205"/>
        <v>112400</v>
      </c>
      <c r="M300" s="851">
        <f t="shared" si="205"/>
        <v>0</v>
      </c>
      <c r="N300" s="851">
        <f t="shared" si="205"/>
        <v>112400</v>
      </c>
      <c r="O300" s="851">
        <f t="shared" si="205"/>
        <v>22697416.363085084</v>
      </c>
      <c r="P300" s="851">
        <f t="shared" si="205"/>
        <v>1176031268.7567441</v>
      </c>
      <c r="Q300" s="851">
        <f t="shared" si="205"/>
        <v>34137</v>
      </c>
      <c r="R300" s="851">
        <f t="shared" si="205"/>
        <v>1803510.2052933234</v>
      </c>
      <c r="S300" s="851">
        <f t="shared" si="205"/>
        <v>21200</v>
      </c>
      <c r="T300" s="851">
        <f t="shared" si="205"/>
        <v>0</v>
      </c>
      <c r="U300" s="851">
        <f t="shared" si="205"/>
        <v>0</v>
      </c>
      <c r="V300" s="851">
        <f t="shared" si="205"/>
        <v>0</v>
      </c>
      <c r="W300" s="851">
        <f t="shared" si="205"/>
        <v>555.85833333333323</v>
      </c>
      <c r="X300" s="851">
        <f t="shared" si="205"/>
        <v>0</v>
      </c>
      <c r="Y300" s="851">
        <f t="shared" si="205"/>
        <v>81226.716449270403</v>
      </c>
      <c r="Z300" s="851">
        <f t="shared" si="205"/>
        <v>1900100.1129759273</v>
      </c>
      <c r="AA300" s="851">
        <f t="shared" si="205"/>
        <v>112400</v>
      </c>
      <c r="AB300" s="851">
        <f t="shared" si="205"/>
        <v>0</v>
      </c>
      <c r="AC300" s="851">
        <f t="shared" si="205"/>
        <v>112400</v>
      </c>
      <c r="AD300" s="851">
        <f t="shared" si="205"/>
        <v>22913601.355711132</v>
      </c>
      <c r="AE300" s="851">
        <f t="shared" si="205"/>
        <v>1197479514.3403442</v>
      </c>
      <c r="AF300" s="851">
        <f t="shared" si="205"/>
        <v>-220937.71989877149</v>
      </c>
      <c r="AG300" s="851">
        <f t="shared" si="205"/>
        <v>-17312405.583599944</v>
      </c>
      <c r="AH300" s="851">
        <f t="shared" si="205"/>
        <v>34504</v>
      </c>
      <c r="AI300" s="851">
        <f t="shared" si="205"/>
        <v>1180389320.1695242</v>
      </c>
    </row>
    <row r="301" spans="1:35">
      <c r="A301" s="265" t="s">
        <v>64</v>
      </c>
    </row>
    <row r="302" spans="1:35">
      <c r="A302" s="265" t="s">
        <v>65</v>
      </c>
      <c r="B302" s="265" t="s">
        <v>152</v>
      </c>
    </row>
    <row r="303" spans="1:35">
      <c r="A303" s="265" t="s">
        <v>66</v>
      </c>
      <c r="B303" s="265" t="s">
        <v>67</v>
      </c>
    </row>
    <row r="304" spans="1:35">
      <c r="A304" s="265" t="s">
        <v>68</v>
      </c>
      <c r="B304" s="265" t="s">
        <v>69</v>
      </c>
    </row>
    <row r="305" spans="1:2">
      <c r="A305" s="265" t="s">
        <v>70</v>
      </c>
      <c r="B305" s="265" t="s">
        <v>71</v>
      </c>
    </row>
    <row r="306" spans="1:2">
      <c r="B306" s="265" t="s">
        <v>72</v>
      </c>
    </row>
    <row r="307" spans="1:2">
      <c r="A307" s="265" t="s">
        <v>73</v>
      </c>
      <c r="B307" s="265" t="s">
        <v>143</v>
      </c>
    </row>
    <row r="308" spans="1:2">
      <c r="B308" s="265" t="s">
        <v>74</v>
      </c>
    </row>
    <row r="309" spans="1:2">
      <c r="B309" s="265" t="s">
        <v>75</v>
      </c>
    </row>
    <row r="310" spans="1:2">
      <c r="B310" s="265" t="s">
        <v>76</v>
      </c>
    </row>
    <row r="311" spans="1:2">
      <c r="A311" s="265" t="s">
        <v>177</v>
      </c>
      <c r="B311" s="265" t="s">
        <v>178</v>
      </c>
    </row>
    <row r="312" spans="1:2">
      <c r="A312" s="265" t="s">
        <v>179</v>
      </c>
      <c r="B312" s="265" t="s">
        <v>148</v>
      </c>
    </row>
    <row r="313" spans="1:2">
      <c r="A313" s="265" t="s">
        <v>180</v>
      </c>
      <c r="B313" s="265" t="s">
        <v>144</v>
      </c>
    </row>
    <row r="314" spans="1:2">
      <c r="B314" s="265" t="s">
        <v>74</v>
      </c>
    </row>
    <row r="315" spans="1:2">
      <c r="B315" s="265" t="s">
        <v>75</v>
      </c>
    </row>
    <row r="316" spans="1:2">
      <c r="B316" s="265" t="s">
        <v>112</v>
      </c>
    </row>
    <row r="317" spans="1:2">
      <c r="A317" s="265" t="s">
        <v>189</v>
      </c>
      <c r="B317" s="265" t="s">
        <v>190</v>
      </c>
    </row>
    <row r="318" spans="1:2">
      <c r="A318" s="265" t="s">
        <v>187</v>
      </c>
      <c r="B318" s="265" t="s">
        <v>183</v>
      </c>
    </row>
    <row r="319" spans="1:2">
      <c r="A319" s="265" t="s">
        <v>188</v>
      </c>
      <c r="B319" s="265" t="s">
        <v>191</v>
      </c>
    </row>
  </sheetData>
  <mergeCells count="5">
    <mergeCell ref="A5:A7"/>
    <mergeCell ref="B5:P5"/>
    <mergeCell ref="Q5:AE5"/>
    <mergeCell ref="AF5:AG5"/>
    <mergeCell ref="AH5:AI5"/>
  </mergeCells>
  <printOptions horizontalCentered="1"/>
  <pageMargins left="0.19685039370078741" right="0.19685039370078741" top="0.78740157480314965" bottom="0.78740157480314965" header="0.19685039370078741" footer="0.19685039370078741"/>
  <pageSetup paperSize="9" scale="59" fitToHeight="15"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2060"/>
  </sheetPr>
  <dimension ref="A1:AK307"/>
  <sheetViews>
    <sheetView view="pageBreakPreview" zoomScaleNormal="100" zoomScaleSheetLayoutView="100" workbookViewId="0">
      <selection activeCell="B8" sqref="B8"/>
    </sheetView>
  </sheetViews>
  <sheetFormatPr baseColWidth="10" defaultColWidth="11.42578125" defaultRowHeight="12"/>
  <cols>
    <col min="1" max="1" width="15.7109375" style="265" customWidth="1"/>
    <col min="2" max="2" width="6.85546875" style="265" customWidth="1"/>
    <col min="3" max="3" width="6.5703125" style="265" bestFit="1" customWidth="1"/>
    <col min="4" max="4" width="5.5703125" style="265" bestFit="1" customWidth="1"/>
    <col min="5" max="5" width="3.140625" style="265" bestFit="1" customWidth="1"/>
    <col min="6" max="6" width="5.42578125" style="265" bestFit="1" customWidth="1"/>
    <col min="7" max="8" width="3.140625" style="265" bestFit="1" customWidth="1"/>
    <col min="9" max="10" width="5.5703125" style="265" bestFit="1" customWidth="1"/>
    <col min="11" max="11" width="6.5703125" style="265" bestFit="1" customWidth="1"/>
    <col min="12" max="12" width="5.5703125" style="265" bestFit="1" customWidth="1"/>
    <col min="13" max="14" width="6.5703125" style="265" bestFit="1" customWidth="1"/>
    <col min="15" max="15" width="10.28515625" style="265" bestFit="1" customWidth="1"/>
    <col min="16" max="16" width="12.28515625" style="265" bestFit="1" customWidth="1"/>
    <col min="17" max="17" width="8.28515625" style="265" bestFit="1" customWidth="1"/>
    <col min="18" max="18" width="6.5703125" style="265" bestFit="1" customWidth="1"/>
    <col min="19" max="19" width="5.5703125" style="265" bestFit="1" customWidth="1"/>
    <col min="20" max="20" width="3.140625" style="265" bestFit="1" customWidth="1"/>
    <col min="21" max="21" width="5.42578125" style="265" bestFit="1" customWidth="1"/>
    <col min="22" max="23" width="3.140625" style="265" bestFit="1" customWidth="1"/>
    <col min="24" max="25" width="5.5703125" style="265" bestFit="1" customWidth="1"/>
    <col min="26" max="26" width="6.5703125" style="265" bestFit="1" customWidth="1"/>
    <col min="27" max="27" width="5.5703125" style="265" bestFit="1" customWidth="1"/>
    <col min="28" max="29" width="6.5703125" style="265" bestFit="1" customWidth="1"/>
    <col min="30" max="30" width="9.140625" style="265" bestFit="1" customWidth="1"/>
    <col min="31" max="31" width="12.28515625" style="265" bestFit="1" customWidth="1"/>
    <col min="32" max="32" width="8.140625" style="265" bestFit="1" customWidth="1"/>
    <col min="33" max="33" width="11.28515625" style="265" bestFit="1" customWidth="1"/>
    <col min="34" max="34" width="6.5703125" style="265" bestFit="1" customWidth="1"/>
    <col min="35" max="35" width="12.28515625" style="265" bestFit="1" customWidth="1"/>
    <col min="36" max="16384" width="11.42578125" style="265"/>
  </cols>
  <sheetData>
    <row r="1" spans="1:35" s="743" customFormat="1">
      <c r="A1" s="742" t="s">
        <v>465</v>
      </c>
    </row>
    <row r="2" spans="1:35" s="743" customFormat="1">
      <c r="A2" s="69" t="s">
        <v>1655</v>
      </c>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row>
    <row r="3" spans="1:35" s="742" customFormat="1">
      <c r="A3" s="742" t="s">
        <v>1654</v>
      </c>
      <c r="T3" s="745"/>
    </row>
    <row r="4" spans="1:35" s="742" customFormat="1" ht="12.75" thickBot="1">
      <c r="A4" s="742" t="s">
        <v>4239</v>
      </c>
      <c r="T4" s="745"/>
    </row>
    <row r="5" spans="1:35" ht="12.75" thickBot="1">
      <c r="A5" s="1992" t="s">
        <v>41</v>
      </c>
      <c r="B5" s="2021" t="s">
        <v>314</v>
      </c>
      <c r="C5" s="2021"/>
      <c r="D5" s="2021"/>
      <c r="E5" s="2021"/>
      <c r="F5" s="2021"/>
      <c r="G5" s="2021"/>
      <c r="H5" s="2021"/>
      <c r="I5" s="2021"/>
      <c r="J5" s="2021"/>
      <c r="K5" s="2021"/>
      <c r="L5" s="2021"/>
      <c r="M5" s="2021"/>
      <c r="N5" s="2021"/>
      <c r="O5" s="2021"/>
      <c r="P5" s="2021"/>
      <c r="Q5" s="2022" t="s">
        <v>462</v>
      </c>
      <c r="R5" s="2021"/>
      <c r="S5" s="2021"/>
      <c r="T5" s="2021"/>
      <c r="U5" s="2021"/>
      <c r="V5" s="2021"/>
      <c r="W5" s="2021"/>
      <c r="X5" s="2021"/>
      <c r="Y5" s="2021"/>
      <c r="Z5" s="2021"/>
      <c r="AA5" s="2021"/>
      <c r="AB5" s="2021"/>
      <c r="AC5" s="2021"/>
      <c r="AD5" s="2021"/>
      <c r="AE5" s="2023"/>
      <c r="AF5" s="2024" t="s">
        <v>463</v>
      </c>
      <c r="AG5" s="2025"/>
      <c r="AH5" s="2024" t="s">
        <v>464</v>
      </c>
      <c r="AI5" s="2025"/>
    </row>
    <row r="6" spans="1:35" ht="171">
      <c r="A6" s="2019"/>
      <c r="B6" s="130" t="s">
        <v>11</v>
      </c>
      <c r="C6" s="131" t="s">
        <v>137</v>
      </c>
      <c r="D6" s="132" t="s">
        <v>240</v>
      </c>
      <c r="E6" s="132" t="s">
        <v>139</v>
      </c>
      <c r="F6" s="132" t="s">
        <v>173</v>
      </c>
      <c r="G6" s="132" t="s">
        <v>174</v>
      </c>
      <c r="H6" s="132" t="s">
        <v>175</v>
      </c>
      <c r="I6" s="132" t="s">
        <v>176</v>
      </c>
      <c r="J6" s="132" t="s">
        <v>140</v>
      </c>
      <c r="K6" s="132" t="s">
        <v>141</v>
      </c>
      <c r="L6" s="132" t="s">
        <v>142</v>
      </c>
      <c r="M6" s="132" t="s">
        <v>172</v>
      </c>
      <c r="N6" s="133" t="s">
        <v>114</v>
      </c>
      <c r="O6" s="134" t="s">
        <v>147</v>
      </c>
      <c r="P6" s="135" t="s">
        <v>146</v>
      </c>
      <c r="Q6" s="130" t="s">
        <v>11</v>
      </c>
      <c r="R6" s="131" t="s">
        <v>137</v>
      </c>
      <c r="S6" s="132" t="s">
        <v>138</v>
      </c>
      <c r="T6" s="132" t="s">
        <v>139</v>
      </c>
      <c r="U6" s="132" t="s">
        <v>173</v>
      </c>
      <c r="V6" s="132" t="s">
        <v>174</v>
      </c>
      <c r="W6" s="132" t="s">
        <v>175</v>
      </c>
      <c r="X6" s="132" t="s">
        <v>176</v>
      </c>
      <c r="Y6" s="132" t="s">
        <v>140</v>
      </c>
      <c r="Z6" s="132" t="s">
        <v>141</v>
      </c>
      <c r="AA6" s="132" t="s">
        <v>142</v>
      </c>
      <c r="AB6" s="132" t="s">
        <v>172</v>
      </c>
      <c r="AC6" s="133" t="s">
        <v>114</v>
      </c>
      <c r="AD6" s="134" t="s">
        <v>147</v>
      </c>
      <c r="AE6" s="135" t="s">
        <v>315</v>
      </c>
      <c r="AF6" s="136" t="s">
        <v>151</v>
      </c>
      <c r="AG6" s="136" t="s">
        <v>150</v>
      </c>
      <c r="AH6" s="136" t="s">
        <v>11</v>
      </c>
      <c r="AI6" s="135" t="s">
        <v>316</v>
      </c>
    </row>
    <row r="7" spans="1:35" ht="15.75" customHeight="1" thickBot="1">
      <c r="A7" s="2020"/>
      <c r="B7" s="389" t="s">
        <v>42</v>
      </c>
      <c r="C7" s="805" t="s">
        <v>43</v>
      </c>
      <c r="D7" s="806" t="s">
        <v>44</v>
      </c>
      <c r="E7" s="806" t="s">
        <v>45</v>
      </c>
      <c r="F7" s="807" t="s">
        <v>46</v>
      </c>
      <c r="G7" s="807" t="s">
        <v>47</v>
      </c>
      <c r="H7" s="807" t="s">
        <v>77</v>
      </c>
      <c r="I7" s="807" t="s">
        <v>113</v>
      </c>
      <c r="J7" s="807" t="s">
        <v>145</v>
      </c>
      <c r="K7" s="807" t="s">
        <v>149</v>
      </c>
      <c r="L7" s="807" t="s">
        <v>181</v>
      </c>
      <c r="M7" s="807" t="s">
        <v>182</v>
      </c>
      <c r="N7" s="808" t="s">
        <v>184</v>
      </c>
      <c r="O7" s="809" t="s">
        <v>185</v>
      </c>
      <c r="P7" s="810" t="s">
        <v>186</v>
      </c>
      <c r="Q7" s="389" t="s">
        <v>42</v>
      </c>
      <c r="R7" s="805" t="s">
        <v>43</v>
      </c>
      <c r="S7" s="806" t="s">
        <v>44</v>
      </c>
      <c r="T7" s="806" t="s">
        <v>45</v>
      </c>
      <c r="U7" s="807" t="s">
        <v>46</v>
      </c>
      <c r="V7" s="807" t="s">
        <v>47</v>
      </c>
      <c r="W7" s="807" t="s">
        <v>77</v>
      </c>
      <c r="X7" s="807" t="s">
        <v>113</v>
      </c>
      <c r="Y7" s="807" t="s">
        <v>145</v>
      </c>
      <c r="Z7" s="807" t="s">
        <v>149</v>
      </c>
      <c r="AA7" s="807" t="s">
        <v>181</v>
      </c>
      <c r="AB7" s="807" t="s">
        <v>182</v>
      </c>
      <c r="AC7" s="808" t="s">
        <v>184</v>
      </c>
      <c r="AD7" s="809" t="s">
        <v>185</v>
      </c>
      <c r="AE7" s="810" t="s">
        <v>186</v>
      </c>
      <c r="AF7" s="754"/>
      <c r="AG7" s="389"/>
      <c r="AH7" s="754"/>
      <c r="AI7" s="389"/>
    </row>
    <row r="8" spans="1:35" ht="12.75" hidden="1" thickBot="1">
      <c r="A8" s="811"/>
      <c r="B8" s="871"/>
      <c r="C8" s="855"/>
      <c r="D8" s="855"/>
      <c r="E8" s="855"/>
      <c r="F8" s="855"/>
      <c r="G8" s="855"/>
      <c r="H8" s="855"/>
      <c r="I8" s="855"/>
      <c r="J8" s="855"/>
      <c r="K8" s="855"/>
      <c r="L8" s="855"/>
      <c r="M8" s="855"/>
      <c r="N8" s="924"/>
      <c r="O8" s="854"/>
      <c r="P8" s="925"/>
      <c r="Q8" s="871"/>
      <c r="R8" s="855"/>
      <c r="S8" s="855"/>
      <c r="T8" s="855"/>
      <c r="U8" s="855"/>
      <c r="V8" s="855"/>
      <c r="W8" s="855"/>
      <c r="X8" s="855"/>
      <c r="Y8" s="855"/>
      <c r="Z8" s="855"/>
      <c r="AA8" s="855"/>
      <c r="AB8" s="855"/>
      <c r="AC8" s="924"/>
      <c r="AD8" s="854"/>
      <c r="AE8" s="926"/>
      <c r="AF8" s="871"/>
      <c r="AG8" s="871"/>
      <c r="AH8" s="776"/>
      <c r="AI8" s="777"/>
    </row>
    <row r="9" spans="1:35" ht="24">
      <c r="A9" s="931" t="s">
        <v>48</v>
      </c>
      <c r="B9" s="945">
        <f>B10+B19+B26+B33+B40</f>
        <v>4655</v>
      </c>
      <c r="C9" s="946"/>
      <c r="D9" s="946"/>
      <c r="E9" s="946"/>
      <c r="F9" s="946"/>
      <c r="G9" s="946"/>
      <c r="H9" s="946"/>
      <c r="I9" s="946"/>
      <c r="J9" s="946"/>
      <c r="K9" s="946"/>
      <c r="L9" s="946"/>
      <c r="M9" s="946"/>
      <c r="N9" s="946"/>
      <c r="O9" s="946">
        <f>O10+O19+O26+O33+O40</f>
        <v>727119.42620342295</v>
      </c>
      <c r="P9" s="947">
        <f>P10+P19+P26+P33+P40</f>
        <v>134087578.98</v>
      </c>
      <c r="Q9" s="945">
        <f>Q10+Q19+Q26+Q33+Q40</f>
        <v>4655</v>
      </c>
      <c r="R9" s="946"/>
      <c r="S9" s="946"/>
      <c r="T9" s="946"/>
      <c r="U9" s="946"/>
      <c r="V9" s="946"/>
      <c r="W9" s="946"/>
      <c r="X9" s="946"/>
      <c r="Y9" s="946"/>
      <c r="Z9" s="946"/>
      <c r="AA9" s="946"/>
      <c r="AB9" s="946"/>
      <c r="AC9" s="946"/>
      <c r="AD9" s="946">
        <f>AD10+AD19+AD26+AD33+AD40</f>
        <v>782840.59235861537</v>
      </c>
      <c r="AE9" s="947">
        <f>(AE10+AE19+AE26+AE33+AE40)</f>
        <v>140332447.17999998</v>
      </c>
      <c r="AF9" s="945">
        <f>(AF10+AF19+AF26+AF33+AF40)</f>
        <v>-55721.166155192463</v>
      </c>
      <c r="AG9" s="947">
        <f>(AG10+AG19+AG26+AG33+AG40)</f>
        <v>-6244868.1999999881</v>
      </c>
      <c r="AH9" s="948">
        <f>(AH10+AH19+AH26+AH33+AH40)</f>
        <v>4488</v>
      </c>
      <c r="AI9" s="949">
        <f>(AI10+AI19+AI26+AI33+AI40)</f>
        <v>134895041.51999998</v>
      </c>
    </row>
    <row r="10" spans="1:35" ht="24">
      <c r="A10" s="932" t="s">
        <v>7</v>
      </c>
      <c r="B10" s="950">
        <f>SUM(B11:B18)</f>
        <v>52</v>
      </c>
      <c r="C10" s="951"/>
      <c r="D10" s="951"/>
      <c r="E10" s="951"/>
      <c r="F10" s="951"/>
      <c r="G10" s="951"/>
      <c r="H10" s="951"/>
      <c r="I10" s="951"/>
      <c r="J10" s="951"/>
      <c r="K10" s="951"/>
      <c r="L10" s="951"/>
      <c r="M10" s="951"/>
      <c r="N10" s="951"/>
      <c r="O10" s="951">
        <f>SUM(O11:O18)</f>
        <v>186046.54627192981</v>
      </c>
      <c r="P10" s="952">
        <f>SUM(P11:P18)</f>
        <v>1922103.9200000002</v>
      </c>
      <c r="Q10" s="950">
        <f>SUM(Q11:Q18)</f>
        <v>52</v>
      </c>
      <c r="R10" s="951"/>
      <c r="S10" s="951"/>
      <c r="T10" s="951"/>
      <c r="U10" s="951"/>
      <c r="V10" s="951"/>
      <c r="W10" s="951"/>
      <c r="X10" s="951"/>
      <c r="Y10" s="951"/>
      <c r="Z10" s="951"/>
      <c r="AA10" s="951"/>
      <c r="AB10" s="951"/>
      <c r="AC10" s="951"/>
      <c r="AD10" s="951">
        <f t="shared" ref="AD10:AI10" si="0">SUM(AD11:AD18)</f>
        <v>186395.21364035088</v>
      </c>
      <c r="AE10" s="952">
        <f t="shared" si="0"/>
        <v>1925938.7599999998</v>
      </c>
      <c r="AF10" s="950">
        <f t="shared" si="0"/>
        <v>-348.66736842103273</v>
      </c>
      <c r="AG10" s="952">
        <f t="shared" si="0"/>
        <v>-3834.8399999997491</v>
      </c>
      <c r="AH10" s="953">
        <f t="shared" si="0"/>
        <v>47</v>
      </c>
      <c r="AI10" s="952">
        <f t="shared" si="0"/>
        <v>1730749.04</v>
      </c>
    </row>
    <row r="11" spans="1:35" hidden="1">
      <c r="A11" s="933" t="s">
        <v>3</v>
      </c>
      <c r="B11" s="954"/>
      <c r="C11" s="955">
        <v>0</v>
      </c>
      <c r="D11" s="955"/>
      <c r="E11" s="955"/>
      <c r="F11" s="955"/>
      <c r="G11" s="955"/>
      <c r="H11" s="955"/>
      <c r="I11" s="955"/>
      <c r="J11" s="955"/>
      <c r="K11" s="955"/>
      <c r="L11" s="955"/>
      <c r="M11" s="955"/>
      <c r="N11" s="955"/>
      <c r="O11" s="955">
        <f>K11*12+N11</f>
        <v>0</v>
      </c>
      <c r="P11" s="956">
        <f t="shared" ref="P11:P18" si="1">B11*O11</f>
        <v>0</v>
      </c>
      <c r="Q11" s="954"/>
      <c r="R11" s="955"/>
      <c r="S11" s="955"/>
      <c r="T11" s="955"/>
      <c r="U11" s="955"/>
      <c r="V11" s="955"/>
      <c r="W11" s="955"/>
      <c r="X11" s="955"/>
      <c r="Y11" s="955"/>
      <c r="Z11" s="955"/>
      <c r="AA11" s="955"/>
      <c r="AB11" s="955"/>
      <c r="AC11" s="955"/>
      <c r="AD11" s="955">
        <f>Z11*12+AC11</f>
        <v>0</v>
      </c>
      <c r="AE11" s="956">
        <f t="shared" ref="AE11:AE18" si="2">Q11*AD11</f>
        <v>0</v>
      </c>
      <c r="AF11" s="957">
        <f t="shared" ref="AF11:AG18" si="3">+O11-AD11</f>
        <v>0</v>
      </c>
      <c r="AG11" s="956">
        <f t="shared" si="3"/>
        <v>0</v>
      </c>
      <c r="AH11" s="958"/>
      <c r="AI11" s="956"/>
    </row>
    <row r="12" spans="1:35" hidden="1">
      <c r="A12" s="933" t="s">
        <v>7062</v>
      </c>
      <c r="B12" s="954"/>
      <c r="C12" s="955">
        <v>0</v>
      </c>
      <c r="D12" s="955"/>
      <c r="E12" s="955"/>
      <c r="F12" s="955"/>
      <c r="G12" s="955"/>
      <c r="H12" s="955"/>
      <c r="I12" s="955"/>
      <c r="J12" s="955"/>
      <c r="K12" s="955"/>
      <c r="L12" s="955"/>
      <c r="M12" s="955"/>
      <c r="N12" s="955"/>
      <c r="O12" s="955">
        <f>K12*12+N12</f>
        <v>0</v>
      </c>
      <c r="P12" s="956">
        <f t="shared" si="1"/>
        <v>0</v>
      </c>
      <c r="Q12" s="954"/>
      <c r="R12" s="955"/>
      <c r="S12" s="955"/>
      <c r="T12" s="955"/>
      <c r="U12" s="955"/>
      <c r="V12" s="955"/>
      <c r="W12" s="955"/>
      <c r="X12" s="955"/>
      <c r="Y12" s="955"/>
      <c r="Z12" s="955"/>
      <c r="AA12" s="955"/>
      <c r="AB12" s="955"/>
      <c r="AC12" s="955"/>
      <c r="AD12" s="955">
        <f>Z12*12+AC12</f>
        <v>0</v>
      </c>
      <c r="AE12" s="956">
        <f t="shared" si="2"/>
        <v>0</v>
      </c>
      <c r="AF12" s="957">
        <f t="shared" si="3"/>
        <v>0</v>
      </c>
      <c r="AG12" s="956">
        <f t="shared" si="3"/>
        <v>0</v>
      </c>
      <c r="AH12" s="958"/>
      <c r="AI12" s="956"/>
    </row>
    <row r="13" spans="1:35" hidden="1">
      <c r="A13" s="933" t="s">
        <v>7061</v>
      </c>
      <c r="B13" s="959"/>
      <c r="C13" s="955">
        <v>0</v>
      </c>
      <c r="D13" s="955"/>
      <c r="E13" s="955"/>
      <c r="F13" s="955"/>
      <c r="G13" s="955"/>
      <c r="H13" s="955"/>
      <c r="I13" s="955"/>
      <c r="J13" s="955"/>
      <c r="K13" s="955"/>
      <c r="L13" s="955"/>
      <c r="M13" s="955"/>
      <c r="N13" s="955"/>
      <c r="O13" s="955">
        <f>K13*12+N13</f>
        <v>0</v>
      </c>
      <c r="P13" s="956">
        <f t="shared" si="1"/>
        <v>0</v>
      </c>
      <c r="Q13" s="959"/>
      <c r="R13" s="955"/>
      <c r="S13" s="955"/>
      <c r="T13" s="955"/>
      <c r="U13" s="955"/>
      <c r="V13" s="955"/>
      <c r="W13" s="955"/>
      <c r="X13" s="955"/>
      <c r="Y13" s="955"/>
      <c r="Z13" s="955"/>
      <c r="AA13" s="955"/>
      <c r="AB13" s="955"/>
      <c r="AC13" s="955"/>
      <c r="AD13" s="955">
        <f>Z13*12+AC13</f>
        <v>0</v>
      </c>
      <c r="AE13" s="956">
        <f t="shared" si="2"/>
        <v>0</v>
      </c>
      <c r="AF13" s="957">
        <f t="shared" si="3"/>
        <v>0</v>
      </c>
      <c r="AG13" s="956">
        <f t="shared" si="3"/>
        <v>0</v>
      </c>
      <c r="AH13" s="960"/>
      <c r="AI13" s="956"/>
    </row>
    <row r="14" spans="1:35">
      <c r="A14" s="933" t="s">
        <v>7060</v>
      </c>
      <c r="B14" s="959">
        <v>2</v>
      </c>
      <c r="C14" s="955">
        <v>1966.8683333333336</v>
      </c>
      <c r="D14" s="961">
        <f>900+100+100+100</f>
        <v>1200</v>
      </c>
      <c r="E14" s="962"/>
      <c r="F14" s="962"/>
      <c r="G14" s="962"/>
      <c r="H14" s="961"/>
      <c r="I14" s="962"/>
      <c r="J14" s="962"/>
      <c r="K14" s="962">
        <f>SUM(C14:J14)</f>
        <v>3166.8683333333338</v>
      </c>
      <c r="L14" s="962">
        <f>300+300+400</f>
        <v>1000</v>
      </c>
      <c r="M14" s="962"/>
      <c r="N14" s="962">
        <f>SUM(L14:M14)</f>
        <v>1000</v>
      </c>
      <c r="O14" s="963">
        <f>(K14*12)+N14</f>
        <v>39002.420000000006</v>
      </c>
      <c r="P14" s="956">
        <f t="shared" si="1"/>
        <v>78004.840000000011</v>
      </c>
      <c r="Q14" s="959">
        <v>2</v>
      </c>
      <c r="R14" s="955">
        <v>1966.8683333333331</v>
      </c>
      <c r="S14" s="961">
        <v>1210</v>
      </c>
      <c r="T14" s="962"/>
      <c r="U14" s="962"/>
      <c r="V14" s="962"/>
      <c r="W14" s="961"/>
      <c r="X14" s="962"/>
      <c r="Y14" s="962"/>
      <c r="Z14" s="962">
        <f>SUM(R14:Y14)</f>
        <v>3176.8683333333329</v>
      </c>
      <c r="AA14" s="962">
        <f>300+300+400</f>
        <v>1000</v>
      </c>
      <c r="AB14" s="962"/>
      <c r="AC14" s="962">
        <f>SUM(AA14:AB14)</f>
        <v>1000</v>
      </c>
      <c r="AD14" s="963">
        <f>(Z14*12)+AC14</f>
        <v>39122.42</v>
      </c>
      <c r="AE14" s="956">
        <f t="shared" si="2"/>
        <v>78244.84</v>
      </c>
      <c r="AF14" s="957">
        <f t="shared" si="3"/>
        <v>-119.99999999999272</v>
      </c>
      <c r="AG14" s="956">
        <f t="shared" si="3"/>
        <v>-239.99999999998545</v>
      </c>
      <c r="AH14" s="960">
        <v>1</v>
      </c>
      <c r="AI14" s="956">
        <v>40991.199999999997</v>
      </c>
    </row>
    <row r="15" spans="1:35">
      <c r="A15" s="933" t="s">
        <v>7059</v>
      </c>
      <c r="B15" s="959">
        <v>9</v>
      </c>
      <c r="C15" s="955">
        <v>1937.4272222222223</v>
      </c>
      <c r="D15" s="961">
        <f>900+100+100+100</f>
        <v>1200</v>
      </c>
      <c r="E15" s="962"/>
      <c r="F15" s="962"/>
      <c r="G15" s="962"/>
      <c r="H15" s="961"/>
      <c r="I15" s="962"/>
      <c r="J15" s="962"/>
      <c r="K15" s="962">
        <f>SUM(C15:J15)</f>
        <v>3137.4272222222226</v>
      </c>
      <c r="L15" s="962">
        <f>300+300+400</f>
        <v>1000</v>
      </c>
      <c r="M15" s="962"/>
      <c r="N15" s="962">
        <f>SUM(L15:M15)</f>
        <v>1000</v>
      </c>
      <c r="O15" s="963">
        <f>(K15*12)+N15</f>
        <v>38649.126666666671</v>
      </c>
      <c r="P15" s="956">
        <f t="shared" si="1"/>
        <v>347842.14</v>
      </c>
      <c r="Q15" s="959">
        <v>9</v>
      </c>
      <c r="R15" s="955">
        <v>1937.4272222222219</v>
      </c>
      <c r="S15" s="961">
        <v>1210</v>
      </c>
      <c r="T15" s="962"/>
      <c r="U15" s="962"/>
      <c r="V15" s="962"/>
      <c r="W15" s="961"/>
      <c r="X15" s="962"/>
      <c r="Y15" s="962"/>
      <c r="Z15" s="962">
        <f>SUM(R15:Y15)</f>
        <v>3147.4272222222216</v>
      </c>
      <c r="AA15" s="962">
        <f>300+300+400</f>
        <v>1000</v>
      </c>
      <c r="AB15" s="962"/>
      <c r="AC15" s="962">
        <f>SUM(AA15:AB15)</f>
        <v>1000</v>
      </c>
      <c r="AD15" s="963">
        <f>(Z15*12)+AC15</f>
        <v>38769.126666666663</v>
      </c>
      <c r="AE15" s="956">
        <f t="shared" si="2"/>
        <v>348922.13999999996</v>
      </c>
      <c r="AF15" s="957">
        <f t="shared" si="3"/>
        <v>-119.99999999999272</v>
      </c>
      <c r="AG15" s="956">
        <f t="shared" si="3"/>
        <v>-1079.9999999999418</v>
      </c>
      <c r="AH15" s="960">
        <v>7</v>
      </c>
      <c r="AI15" s="956">
        <v>267426.88</v>
      </c>
    </row>
    <row r="16" spans="1:35">
      <c r="A16" s="933" t="s">
        <v>7058</v>
      </c>
      <c r="B16" s="959">
        <v>19</v>
      </c>
      <c r="C16" s="955">
        <v>1847.9651754385966</v>
      </c>
      <c r="D16" s="961">
        <f>900+100+100+100</f>
        <v>1200</v>
      </c>
      <c r="E16" s="962"/>
      <c r="F16" s="962"/>
      <c r="G16" s="962"/>
      <c r="H16" s="961"/>
      <c r="I16" s="962"/>
      <c r="J16" s="962"/>
      <c r="K16" s="962">
        <f>SUM(C16:J16)</f>
        <v>3047.9651754385968</v>
      </c>
      <c r="L16" s="962">
        <f>300+300+400</f>
        <v>1000</v>
      </c>
      <c r="M16" s="962"/>
      <c r="N16" s="962">
        <f>SUM(L16:M16)</f>
        <v>1000</v>
      </c>
      <c r="O16" s="963">
        <f>(K16*12)+N16</f>
        <v>37575.582105263165</v>
      </c>
      <c r="P16" s="956">
        <f t="shared" si="1"/>
        <v>713936.06000000017</v>
      </c>
      <c r="Q16" s="959">
        <v>19</v>
      </c>
      <c r="R16" s="955">
        <v>1842.2141228070172</v>
      </c>
      <c r="S16" s="961">
        <v>1210</v>
      </c>
      <c r="T16" s="962"/>
      <c r="U16" s="962"/>
      <c r="V16" s="962"/>
      <c r="W16" s="961"/>
      <c r="X16" s="962"/>
      <c r="Y16" s="962"/>
      <c r="Z16" s="962">
        <f>SUM(R16:Y16)</f>
        <v>3052.2141228070172</v>
      </c>
      <c r="AA16" s="962">
        <f>300+300+400</f>
        <v>1000</v>
      </c>
      <c r="AB16" s="962"/>
      <c r="AC16" s="962">
        <f>SUM(AA16:AB16)</f>
        <v>1000</v>
      </c>
      <c r="AD16" s="963">
        <f>(Z16*12)+AC16</f>
        <v>37626.569473684205</v>
      </c>
      <c r="AE16" s="956">
        <f t="shared" si="2"/>
        <v>714904.82</v>
      </c>
      <c r="AF16" s="957">
        <f t="shared" si="3"/>
        <v>-50.987368421039719</v>
      </c>
      <c r="AG16" s="956">
        <f t="shared" si="3"/>
        <v>-968.75999999977648</v>
      </c>
      <c r="AH16" s="960">
        <v>17</v>
      </c>
      <c r="AI16" s="956">
        <v>640546.39999999991</v>
      </c>
    </row>
    <row r="17" spans="1:35">
      <c r="A17" s="933" t="s">
        <v>7057</v>
      </c>
      <c r="B17" s="959">
        <v>16</v>
      </c>
      <c r="C17" s="955">
        <v>1695.0364583333333</v>
      </c>
      <c r="D17" s="961">
        <f>900+100+100+100</f>
        <v>1200</v>
      </c>
      <c r="E17" s="962"/>
      <c r="F17" s="962"/>
      <c r="G17" s="962"/>
      <c r="H17" s="961"/>
      <c r="I17" s="962"/>
      <c r="J17" s="962"/>
      <c r="K17" s="962">
        <f>SUM(C17:J17)</f>
        <v>2895.036458333333</v>
      </c>
      <c r="L17" s="962">
        <f>300+300+400</f>
        <v>1000</v>
      </c>
      <c r="M17" s="962"/>
      <c r="N17" s="962">
        <f>SUM(L17:M17)</f>
        <v>1000</v>
      </c>
      <c r="O17" s="963">
        <f>(K17*12)+N17</f>
        <v>35740.4375</v>
      </c>
      <c r="P17" s="956">
        <f t="shared" si="1"/>
        <v>571847</v>
      </c>
      <c r="Q17" s="959">
        <v>16</v>
      </c>
      <c r="R17" s="955">
        <v>1695.0364583333333</v>
      </c>
      <c r="S17" s="961">
        <v>1210</v>
      </c>
      <c r="T17" s="962"/>
      <c r="U17" s="962"/>
      <c r="V17" s="962"/>
      <c r="W17" s="961"/>
      <c r="X17" s="962"/>
      <c r="Y17" s="962"/>
      <c r="Z17" s="962">
        <f>SUM(R17:Y17)</f>
        <v>2905.036458333333</v>
      </c>
      <c r="AA17" s="962">
        <f>300+300+400</f>
        <v>1000</v>
      </c>
      <c r="AB17" s="962"/>
      <c r="AC17" s="962">
        <f>SUM(AA17:AB17)</f>
        <v>1000</v>
      </c>
      <c r="AD17" s="963">
        <f>(Z17*12)+AC17</f>
        <v>35860.4375</v>
      </c>
      <c r="AE17" s="956">
        <f t="shared" si="2"/>
        <v>573767</v>
      </c>
      <c r="AF17" s="957">
        <f t="shared" si="3"/>
        <v>-120</v>
      </c>
      <c r="AG17" s="956">
        <f t="shared" si="3"/>
        <v>-1920</v>
      </c>
      <c r="AH17" s="960">
        <v>16</v>
      </c>
      <c r="AI17" s="956">
        <v>572477.44000000006</v>
      </c>
    </row>
    <row r="18" spans="1:35">
      <c r="A18" s="933" t="s">
        <v>12</v>
      </c>
      <c r="B18" s="959">
        <v>6</v>
      </c>
      <c r="C18" s="955">
        <v>1639.9150000000002</v>
      </c>
      <c r="D18" s="961">
        <f>900+100+100+100</f>
        <v>1200</v>
      </c>
      <c r="E18" s="962"/>
      <c r="F18" s="962"/>
      <c r="G18" s="962"/>
      <c r="H18" s="961"/>
      <c r="I18" s="962"/>
      <c r="J18" s="962"/>
      <c r="K18" s="962">
        <f>SUM(C18:J18)</f>
        <v>2839.915</v>
      </c>
      <c r="L18" s="962">
        <f>300+300+400</f>
        <v>1000</v>
      </c>
      <c r="M18" s="962"/>
      <c r="N18" s="962">
        <f>SUM(L18:M18)</f>
        <v>1000</v>
      </c>
      <c r="O18" s="963">
        <f>(K18*12)+N18</f>
        <v>35078.979999999996</v>
      </c>
      <c r="P18" s="956">
        <f t="shared" si="1"/>
        <v>210473.87999999998</v>
      </c>
      <c r="Q18" s="959">
        <v>6</v>
      </c>
      <c r="R18" s="955">
        <v>1624.721666666667</v>
      </c>
      <c r="S18" s="961">
        <v>1210</v>
      </c>
      <c r="T18" s="962"/>
      <c r="U18" s="962"/>
      <c r="V18" s="962"/>
      <c r="W18" s="961"/>
      <c r="X18" s="962"/>
      <c r="Y18" s="962"/>
      <c r="Z18" s="962">
        <f>SUM(R18:Y18)</f>
        <v>2834.7216666666673</v>
      </c>
      <c r="AA18" s="962">
        <f>300+300+400</f>
        <v>1000</v>
      </c>
      <c r="AB18" s="962"/>
      <c r="AC18" s="962">
        <f>SUM(AA18:AB18)</f>
        <v>1000</v>
      </c>
      <c r="AD18" s="963">
        <f>(Z18*12)+AC18</f>
        <v>35016.660000000003</v>
      </c>
      <c r="AE18" s="956">
        <f t="shared" si="2"/>
        <v>210099.96000000002</v>
      </c>
      <c r="AF18" s="957">
        <f t="shared" si="3"/>
        <v>62.319999999992433</v>
      </c>
      <c r="AG18" s="956">
        <f t="shared" si="3"/>
        <v>373.9199999999546</v>
      </c>
      <c r="AH18" s="960">
        <v>6</v>
      </c>
      <c r="AI18" s="956">
        <v>209307.12</v>
      </c>
    </row>
    <row r="19" spans="1:35">
      <c r="A19" s="934" t="s">
        <v>4</v>
      </c>
      <c r="B19" s="950">
        <f>SUM(B20:B25)</f>
        <v>282</v>
      </c>
      <c r="C19" s="951"/>
      <c r="D19" s="951"/>
      <c r="E19" s="951"/>
      <c r="F19" s="951"/>
      <c r="G19" s="951"/>
      <c r="H19" s="951"/>
      <c r="I19" s="951"/>
      <c r="J19" s="951"/>
      <c r="K19" s="951"/>
      <c r="L19" s="951"/>
      <c r="M19" s="951"/>
      <c r="N19" s="951"/>
      <c r="O19" s="951">
        <f>SUM(O20:O25)</f>
        <v>188528.81386247854</v>
      </c>
      <c r="P19" s="952">
        <f>SUM(P20:P25)</f>
        <v>8877658.4399999995</v>
      </c>
      <c r="Q19" s="950">
        <f>SUM(Q20:Q25)</f>
        <v>282</v>
      </c>
      <c r="R19" s="951"/>
      <c r="S19" s="951"/>
      <c r="T19" s="951"/>
      <c r="U19" s="951"/>
      <c r="V19" s="951"/>
      <c r="W19" s="951"/>
      <c r="X19" s="951"/>
      <c r="Y19" s="951"/>
      <c r="Z19" s="951"/>
      <c r="AA19" s="951"/>
      <c r="AB19" s="951"/>
      <c r="AC19" s="951"/>
      <c r="AD19" s="951">
        <f t="shared" ref="AD19:AI19" si="4">SUM(AD20:AD25)</f>
        <v>189229.40895916984</v>
      </c>
      <c r="AE19" s="952">
        <f t="shared" si="4"/>
        <v>8908252.5599999987</v>
      </c>
      <c r="AF19" s="950">
        <f t="shared" si="4"/>
        <v>-700.59509669131148</v>
      </c>
      <c r="AG19" s="952">
        <f t="shared" si="4"/>
        <v>-30594.119999999064</v>
      </c>
      <c r="AH19" s="953">
        <f t="shared" si="4"/>
        <v>276</v>
      </c>
      <c r="AI19" s="952">
        <f t="shared" si="4"/>
        <v>8675829.4800000004</v>
      </c>
    </row>
    <row r="20" spans="1:35">
      <c r="A20" s="933" t="s">
        <v>13</v>
      </c>
      <c r="B20" s="959">
        <v>53</v>
      </c>
      <c r="C20" s="955">
        <v>1503.3534276729561</v>
      </c>
      <c r="D20" s="961">
        <f t="shared" ref="D20:D25" si="5">800+100+100+100</f>
        <v>1100</v>
      </c>
      <c r="E20" s="962"/>
      <c r="F20" s="962"/>
      <c r="G20" s="962"/>
      <c r="H20" s="961"/>
      <c r="I20" s="962"/>
      <c r="J20" s="962"/>
      <c r="K20" s="962">
        <f t="shared" ref="K20:K25" si="6">SUM(C20:J20)</f>
        <v>2603.3534276729561</v>
      </c>
      <c r="L20" s="962">
        <f t="shared" ref="L20:L25" si="7">300+300+400</f>
        <v>1000</v>
      </c>
      <c r="M20" s="962"/>
      <c r="N20" s="962">
        <f t="shared" ref="N20:N25" si="8">SUM(L20:M20)</f>
        <v>1000</v>
      </c>
      <c r="O20" s="963">
        <f t="shared" ref="O20:O25" si="9">(K20*12)+N20</f>
        <v>32240.241132075473</v>
      </c>
      <c r="P20" s="956">
        <f t="shared" ref="P20:P25" si="10">B20*O20</f>
        <v>1708732.78</v>
      </c>
      <c r="Q20" s="959">
        <v>52</v>
      </c>
      <c r="R20" s="955">
        <v>1504.0675641025639</v>
      </c>
      <c r="S20" s="961">
        <v>1110</v>
      </c>
      <c r="T20" s="962"/>
      <c r="U20" s="962"/>
      <c r="V20" s="962"/>
      <c r="W20" s="961"/>
      <c r="X20" s="962"/>
      <c r="Y20" s="962"/>
      <c r="Z20" s="962">
        <f t="shared" ref="Z20:Z25" si="11">SUM(R20:Y20)</f>
        <v>2614.0675641025637</v>
      </c>
      <c r="AA20" s="962">
        <f t="shared" ref="AA20:AA25" si="12">300+300+400</f>
        <v>1000</v>
      </c>
      <c r="AB20" s="962"/>
      <c r="AC20" s="962">
        <f t="shared" ref="AC20:AC25" si="13">SUM(AA20:AB20)</f>
        <v>1000</v>
      </c>
      <c r="AD20" s="963">
        <f t="shared" ref="AD20:AD25" si="14">(Z20*12)+AC20</f>
        <v>32368.810769230764</v>
      </c>
      <c r="AE20" s="956">
        <f t="shared" ref="AE20:AE25" si="15">Q20*AD20</f>
        <v>1683178.1599999997</v>
      </c>
      <c r="AF20" s="957">
        <f t="shared" ref="AF20:AG25" si="16">+O20-AD20</f>
        <v>-128.56963715529128</v>
      </c>
      <c r="AG20" s="956">
        <f t="shared" si="16"/>
        <v>25554.620000000345</v>
      </c>
      <c r="AH20" s="960">
        <v>49</v>
      </c>
      <c r="AI20" s="956">
        <v>1609699</v>
      </c>
    </row>
    <row r="21" spans="1:35">
      <c r="A21" s="933" t="s">
        <v>6978</v>
      </c>
      <c r="B21" s="959">
        <v>33</v>
      </c>
      <c r="C21" s="955">
        <v>1482.1874242424244</v>
      </c>
      <c r="D21" s="961">
        <f t="shared" si="5"/>
        <v>1100</v>
      </c>
      <c r="E21" s="962"/>
      <c r="F21" s="962"/>
      <c r="G21" s="962"/>
      <c r="H21" s="961"/>
      <c r="I21" s="962"/>
      <c r="J21" s="962"/>
      <c r="K21" s="962">
        <f t="shared" si="6"/>
        <v>2582.1874242424246</v>
      </c>
      <c r="L21" s="962">
        <f t="shared" si="7"/>
        <v>1000</v>
      </c>
      <c r="M21" s="962"/>
      <c r="N21" s="962">
        <f t="shared" si="8"/>
        <v>1000</v>
      </c>
      <c r="O21" s="963">
        <f t="shared" si="9"/>
        <v>31986.249090909096</v>
      </c>
      <c r="P21" s="956">
        <f t="shared" si="10"/>
        <v>1055546.2200000002</v>
      </c>
      <c r="Q21" s="959">
        <v>33</v>
      </c>
      <c r="R21" s="955">
        <v>1484.4646969696969</v>
      </c>
      <c r="S21" s="961">
        <v>1110</v>
      </c>
      <c r="T21" s="962"/>
      <c r="U21" s="962"/>
      <c r="V21" s="962"/>
      <c r="W21" s="961"/>
      <c r="X21" s="962"/>
      <c r="Y21" s="962"/>
      <c r="Z21" s="962">
        <f t="shared" si="11"/>
        <v>2594.4646969696969</v>
      </c>
      <c r="AA21" s="962">
        <f t="shared" si="12"/>
        <v>1000</v>
      </c>
      <c r="AB21" s="962"/>
      <c r="AC21" s="962">
        <f t="shared" si="13"/>
        <v>1000</v>
      </c>
      <c r="AD21" s="963">
        <f t="shared" si="14"/>
        <v>32133.576363636363</v>
      </c>
      <c r="AE21" s="956">
        <f t="shared" si="15"/>
        <v>1060408.02</v>
      </c>
      <c r="AF21" s="957">
        <f t="shared" si="16"/>
        <v>-147.32727272726697</v>
      </c>
      <c r="AG21" s="956">
        <f t="shared" si="16"/>
        <v>-4861.7999999998137</v>
      </c>
      <c r="AH21" s="960">
        <v>33</v>
      </c>
      <c r="AI21" s="956">
        <v>1052403</v>
      </c>
    </row>
    <row r="22" spans="1:35">
      <c r="A22" s="933" t="s">
        <v>6977</v>
      </c>
      <c r="B22" s="959">
        <v>61</v>
      </c>
      <c r="C22" s="955">
        <v>1440.1637431693989</v>
      </c>
      <c r="D22" s="961">
        <f t="shared" si="5"/>
        <v>1100</v>
      </c>
      <c r="E22" s="962"/>
      <c r="F22" s="962"/>
      <c r="G22" s="962"/>
      <c r="H22" s="961"/>
      <c r="I22" s="962"/>
      <c r="J22" s="962"/>
      <c r="K22" s="962">
        <f t="shared" si="6"/>
        <v>2540.1637431693989</v>
      </c>
      <c r="L22" s="962">
        <f t="shared" si="7"/>
        <v>1000</v>
      </c>
      <c r="M22" s="962"/>
      <c r="N22" s="962">
        <f t="shared" si="8"/>
        <v>1000</v>
      </c>
      <c r="O22" s="963">
        <f t="shared" si="9"/>
        <v>31481.964918032787</v>
      </c>
      <c r="P22" s="956">
        <f t="shared" si="10"/>
        <v>1920399.86</v>
      </c>
      <c r="Q22" s="959">
        <v>62</v>
      </c>
      <c r="R22" s="955">
        <v>1440.951075268817</v>
      </c>
      <c r="S22" s="961">
        <v>1110</v>
      </c>
      <c r="T22" s="962"/>
      <c r="U22" s="962"/>
      <c r="V22" s="962"/>
      <c r="W22" s="961"/>
      <c r="X22" s="962"/>
      <c r="Y22" s="962"/>
      <c r="Z22" s="962">
        <f t="shared" si="11"/>
        <v>2550.951075268817</v>
      </c>
      <c r="AA22" s="962">
        <f t="shared" si="12"/>
        <v>1000</v>
      </c>
      <c r="AB22" s="962"/>
      <c r="AC22" s="962">
        <f t="shared" si="13"/>
        <v>1000</v>
      </c>
      <c r="AD22" s="963">
        <f t="shared" si="14"/>
        <v>31611.412903225806</v>
      </c>
      <c r="AE22" s="956">
        <f t="shared" si="15"/>
        <v>1959907.6</v>
      </c>
      <c r="AF22" s="957">
        <f t="shared" si="16"/>
        <v>-129.44798519301912</v>
      </c>
      <c r="AG22" s="956">
        <f t="shared" si="16"/>
        <v>-39507.739999999991</v>
      </c>
      <c r="AH22" s="960">
        <v>60</v>
      </c>
      <c r="AI22" s="956">
        <v>1896071.9999999998</v>
      </c>
    </row>
    <row r="23" spans="1:35">
      <c r="A23" s="933" t="s">
        <v>6976</v>
      </c>
      <c r="B23" s="959">
        <v>73</v>
      </c>
      <c r="C23" s="955">
        <v>1429.2060045662101</v>
      </c>
      <c r="D23" s="961">
        <f t="shared" si="5"/>
        <v>1100</v>
      </c>
      <c r="E23" s="962"/>
      <c r="F23" s="962"/>
      <c r="G23" s="962"/>
      <c r="H23" s="961"/>
      <c r="I23" s="962"/>
      <c r="J23" s="962"/>
      <c r="K23" s="962">
        <f t="shared" si="6"/>
        <v>2529.2060045662101</v>
      </c>
      <c r="L23" s="962">
        <f t="shared" si="7"/>
        <v>1000</v>
      </c>
      <c r="M23" s="962"/>
      <c r="N23" s="962">
        <f t="shared" si="8"/>
        <v>1000</v>
      </c>
      <c r="O23" s="963">
        <f t="shared" si="9"/>
        <v>31350.472054794522</v>
      </c>
      <c r="P23" s="956">
        <f t="shared" si="10"/>
        <v>2288584.46</v>
      </c>
      <c r="Q23" s="959">
        <v>70</v>
      </c>
      <c r="R23" s="955">
        <v>1427.8593333333331</v>
      </c>
      <c r="S23" s="961">
        <v>1110</v>
      </c>
      <c r="T23" s="962"/>
      <c r="U23" s="962"/>
      <c r="V23" s="962"/>
      <c r="W23" s="961"/>
      <c r="X23" s="962"/>
      <c r="Y23" s="962"/>
      <c r="Z23" s="962">
        <f t="shared" si="11"/>
        <v>2537.8593333333329</v>
      </c>
      <c r="AA23" s="962">
        <f t="shared" si="12"/>
        <v>1000</v>
      </c>
      <c r="AB23" s="962"/>
      <c r="AC23" s="962">
        <f t="shared" si="13"/>
        <v>1000</v>
      </c>
      <c r="AD23" s="963">
        <f t="shared" si="14"/>
        <v>31454.311999999994</v>
      </c>
      <c r="AE23" s="956">
        <f t="shared" si="15"/>
        <v>2201801.8399999994</v>
      </c>
      <c r="AF23" s="957">
        <f t="shared" si="16"/>
        <v>-103.83994520547276</v>
      </c>
      <c r="AG23" s="956">
        <f t="shared" si="16"/>
        <v>86782.620000000577</v>
      </c>
      <c r="AH23" s="960">
        <v>69</v>
      </c>
      <c r="AI23" s="956">
        <v>2135373.36</v>
      </c>
    </row>
    <row r="24" spans="1:35">
      <c r="A24" s="933" t="s">
        <v>14</v>
      </c>
      <c r="B24" s="959">
        <v>26</v>
      </c>
      <c r="C24" s="955">
        <v>1387.6733333333334</v>
      </c>
      <c r="D24" s="961">
        <f t="shared" si="5"/>
        <v>1100</v>
      </c>
      <c r="E24" s="962"/>
      <c r="F24" s="962"/>
      <c r="G24" s="962"/>
      <c r="H24" s="961"/>
      <c r="I24" s="962"/>
      <c r="J24" s="962"/>
      <c r="K24" s="962">
        <f t="shared" si="6"/>
        <v>2487.6733333333332</v>
      </c>
      <c r="L24" s="962">
        <f t="shared" si="7"/>
        <v>1000</v>
      </c>
      <c r="M24" s="962"/>
      <c r="N24" s="962">
        <f t="shared" si="8"/>
        <v>1000</v>
      </c>
      <c r="O24" s="963">
        <f t="shared" si="9"/>
        <v>30852.079999999998</v>
      </c>
      <c r="P24" s="956">
        <f t="shared" si="10"/>
        <v>802154.08</v>
      </c>
      <c r="Q24" s="959">
        <v>26</v>
      </c>
      <c r="R24" s="955">
        <v>1382.5233333333333</v>
      </c>
      <c r="S24" s="961">
        <v>1110</v>
      </c>
      <c r="T24" s="962"/>
      <c r="U24" s="962"/>
      <c r="V24" s="962"/>
      <c r="W24" s="961"/>
      <c r="X24" s="962"/>
      <c r="Y24" s="962"/>
      <c r="Z24" s="962">
        <f t="shared" si="11"/>
        <v>2492.5233333333335</v>
      </c>
      <c r="AA24" s="962">
        <f t="shared" si="12"/>
        <v>1000</v>
      </c>
      <c r="AB24" s="962"/>
      <c r="AC24" s="962">
        <f t="shared" si="13"/>
        <v>1000</v>
      </c>
      <c r="AD24" s="963">
        <f t="shared" si="14"/>
        <v>30910.280000000002</v>
      </c>
      <c r="AE24" s="956">
        <f t="shared" si="15"/>
        <v>803667.28</v>
      </c>
      <c r="AF24" s="957">
        <f t="shared" si="16"/>
        <v>-58.200000000004366</v>
      </c>
      <c r="AG24" s="956">
        <f t="shared" si="16"/>
        <v>-1513.2000000000698</v>
      </c>
      <c r="AH24" s="960">
        <v>26</v>
      </c>
      <c r="AI24" s="956">
        <v>802499.36</v>
      </c>
    </row>
    <row r="25" spans="1:35">
      <c r="A25" s="933" t="s">
        <v>6975</v>
      </c>
      <c r="B25" s="959">
        <v>36</v>
      </c>
      <c r="C25" s="955">
        <v>1368.1505555555555</v>
      </c>
      <c r="D25" s="961">
        <f t="shared" si="5"/>
        <v>1100</v>
      </c>
      <c r="E25" s="962"/>
      <c r="F25" s="962"/>
      <c r="G25" s="962"/>
      <c r="H25" s="961"/>
      <c r="I25" s="962"/>
      <c r="J25" s="962"/>
      <c r="K25" s="962">
        <f t="shared" si="6"/>
        <v>2468.1505555555555</v>
      </c>
      <c r="L25" s="962">
        <f t="shared" si="7"/>
        <v>1000</v>
      </c>
      <c r="M25" s="962"/>
      <c r="N25" s="962">
        <f t="shared" si="8"/>
        <v>1000</v>
      </c>
      <c r="O25" s="963">
        <f t="shared" si="9"/>
        <v>30617.806666666664</v>
      </c>
      <c r="P25" s="956">
        <f t="shared" si="10"/>
        <v>1102241.0399999998</v>
      </c>
      <c r="Q25" s="959">
        <v>39</v>
      </c>
      <c r="R25" s="955">
        <v>1369.2514102564101</v>
      </c>
      <c r="S25" s="961">
        <v>1110</v>
      </c>
      <c r="T25" s="962"/>
      <c r="U25" s="962"/>
      <c r="V25" s="962"/>
      <c r="W25" s="961"/>
      <c r="X25" s="962"/>
      <c r="Y25" s="962"/>
      <c r="Z25" s="962">
        <f t="shared" si="11"/>
        <v>2479.2514102564101</v>
      </c>
      <c r="AA25" s="962">
        <f t="shared" si="12"/>
        <v>1000</v>
      </c>
      <c r="AB25" s="962"/>
      <c r="AC25" s="962">
        <f t="shared" si="13"/>
        <v>1000</v>
      </c>
      <c r="AD25" s="963">
        <f t="shared" si="14"/>
        <v>30751.016923076921</v>
      </c>
      <c r="AE25" s="956">
        <f t="shared" si="15"/>
        <v>1199289.6599999999</v>
      </c>
      <c r="AF25" s="957">
        <f t="shared" si="16"/>
        <v>-133.21025641025699</v>
      </c>
      <c r="AG25" s="956">
        <f t="shared" si="16"/>
        <v>-97048.620000000112</v>
      </c>
      <c r="AH25" s="960">
        <v>39</v>
      </c>
      <c r="AI25" s="956">
        <v>1179782.76</v>
      </c>
    </row>
    <row r="26" spans="1:35">
      <c r="A26" s="934" t="s">
        <v>5</v>
      </c>
      <c r="B26" s="950">
        <f>SUM(B27:B32)</f>
        <v>3183</v>
      </c>
      <c r="C26" s="951"/>
      <c r="D26" s="951"/>
      <c r="E26" s="951"/>
      <c r="F26" s="951"/>
      <c r="G26" s="951"/>
      <c r="H26" s="951"/>
      <c r="I26" s="951"/>
      <c r="J26" s="951"/>
      <c r="K26" s="951"/>
      <c r="L26" s="951"/>
      <c r="M26" s="951"/>
      <c r="N26" s="951"/>
      <c r="O26" s="951">
        <f>SUM(O27:O32)</f>
        <v>171157.11921604871</v>
      </c>
      <c r="P26" s="952">
        <f>SUM(P27:P32)</f>
        <v>90824126.540000007</v>
      </c>
      <c r="Q26" s="950">
        <f>SUM(Q27:Q32)</f>
        <v>3182</v>
      </c>
      <c r="R26" s="951"/>
      <c r="S26" s="951"/>
      <c r="T26" s="951"/>
      <c r="U26" s="951"/>
      <c r="V26" s="951"/>
      <c r="W26" s="951"/>
      <c r="X26" s="951"/>
      <c r="Y26" s="951"/>
      <c r="Z26" s="951"/>
      <c r="AA26" s="951"/>
      <c r="AB26" s="951"/>
      <c r="AC26" s="951"/>
      <c r="AD26" s="951">
        <f t="shared" ref="AD26:AI26" si="17">SUM(AD27:AD32)</f>
        <v>179903.51152327211</v>
      </c>
      <c r="AE26" s="952">
        <f t="shared" si="17"/>
        <v>95391377.679999992</v>
      </c>
      <c r="AF26" s="950">
        <f t="shared" si="17"/>
        <v>-8746.3923072234138</v>
      </c>
      <c r="AG26" s="952">
        <f t="shared" si="17"/>
        <v>-4567251.1399999904</v>
      </c>
      <c r="AH26" s="953">
        <f t="shared" si="17"/>
        <v>3042</v>
      </c>
      <c r="AI26" s="952">
        <f t="shared" si="17"/>
        <v>91308292.200000003</v>
      </c>
    </row>
    <row r="27" spans="1:35">
      <c r="A27" s="933" t="s">
        <v>15</v>
      </c>
      <c r="B27" s="959">
        <v>1083</v>
      </c>
      <c r="C27" s="955">
        <v>1346.3849815327794</v>
      </c>
      <c r="D27" s="961">
        <f t="shared" ref="D27:D32" si="18">650+100+100+100</f>
        <v>950</v>
      </c>
      <c r="E27" s="962"/>
      <c r="F27" s="962"/>
      <c r="G27" s="962"/>
      <c r="H27" s="961"/>
      <c r="I27" s="962"/>
      <c r="J27" s="962"/>
      <c r="K27" s="962">
        <f t="shared" ref="K27:K32" si="19">SUM(C27:J27)</f>
        <v>2296.3849815327794</v>
      </c>
      <c r="L27" s="962">
        <f t="shared" ref="L27:L32" si="20">300+300+400</f>
        <v>1000</v>
      </c>
      <c r="M27" s="962"/>
      <c r="N27" s="962">
        <f t="shared" ref="N27:N32" si="21">SUM(L27:M27)</f>
        <v>1000</v>
      </c>
      <c r="O27" s="963">
        <f t="shared" ref="O27:O32" si="22">(K27*12)+N27</f>
        <v>28556.619778393353</v>
      </c>
      <c r="P27" s="964">
        <f>B27*O27</f>
        <v>30926819.220000003</v>
      </c>
      <c r="Q27" s="959">
        <v>1074</v>
      </c>
      <c r="R27" s="955">
        <v>1346.1958193668527</v>
      </c>
      <c r="S27" s="961">
        <v>1070</v>
      </c>
      <c r="T27" s="962"/>
      <c r="U27" s="962"/>
      <c r="V27" s="962"/>
      <c r="W27" s="961"/>
      <c r="X27" s="962"/>
      <c r="Y27" s="962"/>
      <c r="Z27" s="962">
        <f t="shared" ref="Z27:Z32" si="23">SUM(R27:Y27)</f>
        <v>2416.1958193668524</v>
      </c>
      <c r="AA27" s="962">
        <f t="shared" ref="AA27:AA32" si="24">300+300+400</f>
        <v>1000</v>
      </c>
      <c r="AB27" s="962"/>
      <c r="AC27" s="962">
        <f t="shared" ref="AC27:AC32" si="25">SUM(AA27:AB27)</f>
        <v>1000</v>
      </c>
      <c r="AD27" s="963">
        <f t="shared" ref="AD27:AD32" si="26">(Z27*12)+AC27</f>
        <v>29994.349832402229</v>
      </c>
      <c r="AE27" s="964">
        <f t="shared" ref="AE27:AE32" si="27">Q27*AD27</f>
        <v>32213931.719999995</v>
      </c>
      <c r="AF27" s="957">
        <f t="shared" ref="AF27:AG32" si="28">+O27-AD27</f>
        <v>-1437.7300540088763</v>
      </c>
      <c r="AG27" s="956">
        <f t="shared" si="28"/>
        <v>-1287112.4999999925</v>
      </c>
      <c r="AH27" s="960">
        <v>984</v>
      </c>
      <c r="AI27" s="956">
        <v>30051480</v>
      </c>
    </row>
    <row r="28" spans="1:35">
      <c r="A28" s="933" t="s">
        <v>7056</v>
      </c>
      <c r="B28" s="959">
        <v>459</v>
      </c>
      <c r="C28" s="955">
        <v>1344.8620806100216</v>
      </c>
      <c r="D28" s="961">
        <f t="shared" si="18"/>
        <v>950</v>
      </c>
      <c r="E28" s="962"/>
      <c r="F28" s="962"/>
      <c r="G28" s="962"/>
      <c r="H28" s="961"/>
      <c r="I28" s="962"/>
      <c r="J28" s="962"/>
      <c r="K28" s="962">
        <f t="shared" si="19"/>
        <v>2294.8620806100216</v>
      </c>
      <c r="L28" s="962">
        <f t="shared" si="20"/>
        <v>1000</v>
      </c>
      <c r="M28" s="962"/>
      <c r="N28" s="962">
        <f t="shared" si="21"/>
        <v>1000</v>
      </c>
      <c r="O28" s="963">
        <f t="shared" si="22"/>
        <v>28538.344967320259</v>
      </c>
      <c r="P28" s="956">
        <f>B28*O28</f>
        <v>13099100.34</v>
      </c>
      <c r="Q28" s="959">
        <v>455</v>
      </c>
      <c r="R28" s="955">
        <v>1345.0248827838827</v>
      </c>
      <c r="S28" s="961">
        <v>1070</v>
      </c>
      <c r="T28" s="962"/>
      <c r="U28" s="962"/>
      <c r="V28" s="962"/>
      <c r="W28" s="961"/>
      <c r="X28" s="962"/>
      <c r="Y28" s="962"/>
      <c r="Z28" s="962">
        <f t="shared" si="23"/>
        <v>2415.0248827838827</v>
      </c>
      <c r="AA28" s="962">
        <f t="shared" si="24"/>
        <v>1000</v>
      </c>
      <c r="AB28" s="962"/>
      <c r="AC28" s="962">
        <f t="shared" si="25"/>
        <v>1000</v>
      </c>
      <c r="AD28" s="963">
        <f t="shared" si="26"/>
        <v>29980.298593406595</v>
      </c>
      <c r="AE28" s="956">
        <f t="shared" si="27"/>
        <v>13641035.860000001</v>
      </c>
      <c r="AF28" s="957">
        <f t="shared" si="28"/>
        <v>-1441.9536260863351</v>
      </c>
      <c r="AG28" s="956">
        <f t="shared" si="28"/>
        <v>-541935.52000000142</v>
      </c>
      <c r="AH28" s="960">
        <v>437</v>
      </c>
      <c r="AI28" s="956">
        <v>13218830.48</v>
      </c>
    </row>
    <row r="29" spans="1:35">
      <c r="A29" s="933" t="s">
        <v>6972</v>
      </c>
      <c r="B29" s="959">
        <v>615</v>
      </c>
      <c r="C29" s="955">
        <v>1343.2084146341463</v>
      </c>
      <c r="D29" s="961">
        <f t="shared" si="18"/>
        <v>950</v>
      </c>
      <c r="E29" s="962"/>
      <c r="F29" s="962"/>
      <c r="G29" s="962"/>
      <c r="H29" s="961"/>
      <c r="I29" s="962"/>
      <c r="J29" s="962"/>
      <c r="K29" s="962">
        <f t="shared" si="19"/>
        <v>2293.2084146341463</v>
      </c>
      <c r="L29" s="962">
        <f t="shared" si="20"/>
        <v>1000</v>
      </c>
      <c r="M29" s="962"/>
      <c r="N29" s="962">
        <f t="shared" si="21"/>
        <v>1000</v>
      </c>
      <c r="O29" s="963">
        <f t="shared" si="22"/>
        <v>28518.500975609757</v>
      </c>
      <c r="P29" s="956">
        <f>B29*O29</f>
        <v>17538878.100000001</v>
      </c>
      <c r="Q29" s="959">
        <v>572</v>
      </c>
      <c r="R29" s="955">
        <v>1346.3444871794868</v>
      </c>
      <c r="S29" s="961">
        <v>1070</v>
      </c>
      <c r="T29" s="962"/>
      <c r="U29" s="962"/>
      <c r="V29" s="962"/>
      <c r="W29" s="961"/>
      <c r="X29" s="962"/>
      <c r="Y29" s="962"/>
      <c r="Z29" s="962">
        <f t="shared" si="23"/>
        <v>2416.3444871794868</v>
      </c>
      <c r="AA29" s="962">
        <f t="shared" si="24"/>
        <v>1000</v>
      </c>
      <c r="AB29" s="962"/>
      <c r="AC29" s="962">
        <f t="shared" si="25"/>
        <v>1000</v>
      </c>
      <c r="AD29" s="963">
        <f t="shared" si="26"/>
        <v>29996.13384615384</v>
      </c>
      <c r="AE29" s="956">
        <f t="shared" si="27"/>
        <v>17157788.559999995</v>
      </c>
      <c r="AF29" s="957">
        <f t="shared" si="28"/>
        <v>-1477.6328705440828</v>
      </c>
      <c r="AG29" s="956">
        <f t="shared" si="28"/>
        <v>381089.54000000656</v>
      </c>
      <c r="AH29" s="960">
        <v>559</v>
      </c>
      <c r="AI29" s="956">
        <v>16748690.920000002</v>
      </c>
    </row>
    <row r="30" spans="1:35">
      <c r="A30" s="933" t="s">
        <v>6971</v>
      </c>
      <c r="B30" s="959">
        <v>447</v>
      </c>
      <c r="C30" s="955">
        <v>1357.6525838926173</v>
      </c>
      <c r="D30" s="961">
        <f t="shared" si="18"/>
        <v>950</v>
      </c>
      <c r="E30" s="962"/>
      <c r="F30" s="962"/>
      <c r="G30" s="962"/>
      <c r="H30" s="961"/>
      <c r="I30" s="962"/>
      <c r="J30" s="962"/>
      <c r="K30" s="962">
        <f t="shared" si="19"/>
        <v>2307.6525838926173</v>
      </c>
      <c r="L30" s="962">
        <f t="shared" si="20"/>
        <v>1000</v>
      </c>
      <c r="M30" s="962"/>
      <c r="N30" s="962">
        <f t="shared" si="21"/>
        <v>1000</v>
      </c>
      <c r="O30" s="963">
        <f t="shared" si="22"/>
        <v>28691.831006711407</v>
      </c>
      <c r="P30" s="956">
        <f>B30*O30</f>
        <v>12825248.459999999</v>
      </c>
      <c r="Q30" s="959">
        <v>442</v>
      </c>
      <c r="R30" s="955">
        <v>1358.8324962292611</v>
      </c>
      <c r="S30" s="961">
        <v>1070</v>
      </c>
      <c r="T30" s="962"/>
      <c r="U30" s="962"/>
      <c r="V30" s="962"/>
      <c r="W30" s="961"/>
      <c r="X30" s="962"/>
      <c r="Y30" s="962"/>
      <c r="Z30" s="962">
        <f t="shared" si="23"/>
        <v>2428.8324962292609</v>
      </c>
      <c r="AA30" s="962">
        <f t="shared" si="24"/>
        <v>1000</v>
      </c>
      <c r="AB30" s="962"/>
      <c r="AC30" s="962">
        <f t="shared" si="25"/>
        <v>1000</v>
      </c>
      <c r="AD30" s="963">
        <f t="shared" si="26"/>
        <v>30145.98995475113</v>
      </c>
      <c r="AE30" s="956">
        <f t="shared" si="27"/>
        <v>13324527.560000001</v>
      </c>
      <c r="AF30" s="957">
        <f t="shared" si="28"/>
        <v>-1454.1589480397233</v>
      </c>
      <c r="AG30" s="956">
        <f t="shared" si="28"/>
        <v>-499279.10000000149</v>
      </c>
      <c r="AH30" s="960">
        <v>432</v>
      </c>
      <c r="AI30" s="956">
        <v>12749961.6</v>
      </c>
    </row>
    <row r="31" spans="1:35">
      <c r="A31" s="933" t="s">
        <v>16</v>
      </c>
      <c r="B31" s="959">
        <v>98</v>
      </c>
      <c r="C31" s="955">
        <v>1341.6296598639456</v>
      </c>
      <c r="D31" s="961">
        <f t="shared" si="18"/>
        <v>950</v>
      </c>
      <c r="E31" s="962"/>
      <c r="F31" s="962"/>
      <c r="G31" s="962"/>
      <c r="H31" s="961"/>
      <c r="I31" s="962"/>
      <c r="J31" s="962"/>
      <c r="K31" s="962">
        <f t="shared" si="19"/>
        <v>2291.6296598639456</v>
      </c>
      <c r="L31" s="962">
        <f t="shared" si="20"/>
        <v>1000</v>
      </c>
      <c r="M31" s="962"/>
      <c r="N31" s="962">
        <f t="shared" si="21"/>
        <v>1000</v>
      </c>
      <c r="O31" s="963">
        <f t="shared" si="22"/>
        <v>28499.555918367347</v>
      </c>
      <c r="P31" s="956">
        <f>B31*O31</f>
        <v>2792956.48</v>
      </c>
      <c r="Q31" s="959">
        <v>92</v>
      </c>
      <c r="R31" s="955">
        <v>1346.5297463768118</v>
      </c>
      <c r="S31" s="961">
        <v>1070</v>
      </c>
      <c r="T31" s="962"/>
      <c r="U31" s="962"/>
      <c r="V31" s="962"/>
      <c r="W31" s="961"/>
      <c r="X31" s="962"/>
      <c r="Y31" s="962"/>
      <c r="Z31" s="962">
        <f t="shared" si="23"/>
        <v>2416.529746376812</v>
      </c>
      <c r="AA31" s="962">
        <f t="shared" si="24"/>
        <v>1000</v>
      </c>
      <c r="AB31" s="962"/>
      <c r="AC31" s="962">
        <f t="shared" si="25"/>
        <v>1000</v>
      </c>
      <c r="AD31" s="963">
        <f t="shared" si="26"/>
        <v>29998.356956521744</v>
      </c>
      <c r="AE31" s="956">
        <f t="shared" si="27"/>
        <v>2759848.8400000003</v>
      </c>
      <c r="AF31" s="957">
        <f t="shared" si="28"/>
        <v>-1498.8010381543972</v>
      </c>
      <c r="AG31" s="956">
        <f t="shared" si="28"/>
        <v>33107.639999999665</v>
      </c>
      <c r="AH31" s="960">
        <v>91</v>
      </c>
      <c r="AI31" s="956">
        <v>2707519.3600000003</v>
      </c>
    </row>
    <row r="32" spans="1:35">
      <c r="A32" s="933" t="s">
        <v>6970</v>
      </c>
      <c r="B32" s="959">
        <v>481</v>
      </c>
      <c r="C32" s="955">
        <v>1329.3555474705474</v>
      </c>
      <c r="D32" s="961">
        <f t="shared" si="18"/>
        <v>950</v>
      </c>
      <c r="E32" s="962"/>
      <c r="F32" s="962"/>
      <c r="G32" s="962"/>
      <c r="H32" s="961"/>
      <c r="I32" s="962"/>
      <c r="J32" s="962"/>
      <c r="K32" s="962">
        <f t="shared" si="19"/>
        <v>2279.3555474705472</v>
      </c>
      <c r="L32" s="962">
        <f t="shared" si="20"/>
        <v>1000</v>
      </c>
      <c r="M32" s="962"/>
      <c r="N32" s="962">
        <f t="shared" si="21"/>
        <v>1000</v>
      </c>
      <c r="O32" s="963">
        <f t="shared" si="22"/>
        <v>28352.266569646566</v>
      </c>
      <c r="P32" s="956">
        <f>B32*O32+3683.72</f>
        <v>13641123.939999999</v>
      </c>
      <c r="Q32" s="959">
        <v>547</v>
      </c>
      <c r="R32" s="955">
        <v>1329.0318616697136</v>
      </c>
      <c r="S32" s="961">
        <v>1070</v>
      </c>
      <c r="T32" s="962"/>
      <c r="U32" s="962"/>
      <c r="V32" s="962"/>
      <c r="W32" s="961"/>
      <c r="X32" s="962"/>
      <c r="Y32" s="962"/>
      <c r="Z32" s="962">
        <f t="shared" si="23"/>
        <v>2399.0318616697136</v>
      </c>
      <c r="AA32" s="962">
        <f t="shared" si="24"/>
        <v>1000</v>
      </c>
      <c r="AB32" s="962"/>
      <c r="AC32" s="962">
        <f t="shared" si="25"/>
        <v>1000</v>
      </c>
      <c r="AD32" s="963">
        <f t="shared" si="26"/>
        <v>29788.382340036565</v>
      </c>
      <c r="AE32" s="956">
        <f t="shared" si="27"/>
        <v>16294245.140000001</v>
      </c>
      <c r="AF32" s="957">
        <f t="shared" si="28"/>
        <v>-1436.1157703899989</v>
      </c>
      <c r="AG32" s="956">
        <f t="shared" si="28"/>
        <v>-2653121.2000000011</v>
      </c>
      <c r="AH32" s="960">
        <v>539</v>
      </c>
      <c r="AI32" s="956">
        <v>15831809.84</v>
      </c>
    </row>
    <row r="33" spans="1:35">
      <c r="A33" s="934" t="s">
        <v>6</v>
      </c>
      <c r="B33" s="950">
        <f>SUM(B34:B39)</f>
        <v>1121</v>
      </c>
      <c r="C33" s="951"/>
      <c r="D33" s="951"/>
      <c r="E33" s="951"/>
      <c r="F33" s="951"/>
      <c r="G33" s="951"/>
      <c r="H33" s="951"/>
      <c r="I33" s="951"/>
      <c r="J33" s="951"/>
      <c r="K33" s="951"/>
      <c r="L33" s="951"/>
      <c r="M33" s="951"/>
      <c r="N33" s="951"/>
      <c r="O33" s="951">
        <f>SUM(O34:O39)</f>
        <v>142649.84685296586</v>
      </c>
      <c r="P33" s="952">
        <f>SUM(P34:P39)</f>
        <v>31805159.379999999</v>
      </c>
      <c r="Q33" s="950">
        <f>SUM(Q34:Q39)</f>
        <v>1122</v>
      </c>
      <c r="R33" s="951"/>
      <c r="S33" s="951"/>
      <c r="T33" s="951"/>
      <c r="U33" s="951"/>
      <c r="V33" s="951"/>
      <c r="W33" s="951"/>
      <c r="X33" s="951"/>
      <c r="Y33" s="951"/>
      <c r="Z33" s="951"/>
      <c r="AA33" s="951"/>
      <c r="AB33" s="951"/>
      <c r="AC33" s="951"/>
      <c r="AD33" s="951">
        <f t="shared" ref="AD33:AI33" si="29">SUM(AD34:AD39)</f>
        <v>149838.25823582255</v>
      </c>
      <c r="AE33" s="952">
        <f t="shared" si="29"/>
        <v>33448347.480000004</v>
      </c>
      <c r="AF33" s="950">
        <f t="shared" si="29"/>
        <v>-7188.411382856706</v>
      </c>
      <c r="AG33" s="952">
        <f t="shared" si="29"/>
        <v>-1643188.0999999989</v>
      </c>
      <c r="AH33" s="953">
        <f t="shared" si="29"/>
        <v>1106</v>
      </c>
      <c r="AI33" s="952">
        <f t="shared" si="29"/>
        <v>32274750.799999997</v>
      </c>
    </row>
    <row r="34" spans="1:35">
      <c r="A34" s="933" t="s">
        <v>17</v>
      </c>
      <c r="B34" s="959">
        <v>91</v>
      </c>
      <c r="C34" s="955">
        <v>1370.5351465201466</v>
      </c>
      <c r="D34" s="961">
        <f>650+100+100+100</f>
        <v>950</v>
      </c>
      <c r="E34" s="962"/>
      <c r="F34" s="962"/>
      <c r="G34" s="962"/>
      <c r="H34" s="961"/>
      <c r="I34" s="962"/>
      <c r="J34" s="962"/>
      <c r="K34" s="962">
        <f>SUM(C34:J34)</f>
        <v>2320.5351465201466</v>
      </c>
      <c r="L34" s="962">
        <f>300+300+400</f>
        <v>1000</v>
      </c>
      <c r="M34" s="962"/>
      <c r="N34" s="962">
        <f>SUM(L34:M34)</f>
        <v>1000</v>
      </c>
      <c r="O34" s="963">
        <f>(K34*12)+N34</f>
        <v>28846.421758241759</v>
      </c>
      <c r="P34" s="956">
        <f>B34*O34</f>
        <v>2625024.38</v>
      </c>
      <c r="Q34" s="959">
        <v>90</v>
      </c>
      <c r="R34" s="955">
        <v>1369.0816666666669</v>
      </c>
      <c r="S34" s="961">
        <v>1070</v>
      </c>
      <c r="T34" s="962"/>
      <c r="U34" s="962"/>
      <c r="V34" s="962"/>
      <c r="W34" s="961"/>
      <c r="X34" s="962"/>
      <c r="Y34" s="962"/>
      <c r="Z34" s="962">
        <f>SUM(R34:Y34)</f>
        <v>2439.0816666666669</v>
      </c>
      <c r="AA34" s="962">
        <f>300+300+400</f>
        <v>1000</v>
      </c>
      <c r="AB34" s="962"/>
      <c r="AC34" s="962">
        <f>SUM(AA34:AB34)</f>
        <v>1000</v>
      </c>
      <c r="AD34" s="963">
        <f>(Z34*12)+AC34</f>
        <v>30268.980000000003</v>
      </c>
      <c r="AE34" s="956">
        <f>Q34*AD34</f>
        <v>2724208.2</v>
      </c>
      <c r="AF34" s="957">
        <f t="shared" ref="AF34:AG38" si="30">+O34-AD34</f>
        <v>-1422.5582417582445</v>
      </c>
      <c r="AG34" s="956">
        <f t="shared" si="30"/>
        <v>-99183.820000000298</v>
      </c>
      <c r="AH34" s="960">
        <v>88</v>
      </c>
      <c r="AI34" s="956">
        <v>2605905.2800000003</v>
      </c>
    </row>
    <row r="35" spans="1:35">
      <c r="A35" s="933" t="s">
        <v>6969</v>
      </c>
      <c r="B35" s="959">
        <v>243</v>
      </c>
      <c r="C35" s="955">
        <v>1353.8733127572018</v>
      </c>
      <c r="D35" s="961">
        <f>650+100+100+100</f>
        <v>950</v>
      </c>
      <c r="E35" s="962"/>
      <c r="F35" s="962"/>
      <c r="G35" s="962"/>
      <c r="H35" s="961"/>
      <c r="I35" s="962"/>
      <c r="J35" s="962"/>
      <c r="K35" s="962">
        <f>SUM(C35:J35)</f>
        <v>2303.8733127572018</v>
      </c>
      <c r="L35" s="962">
        <f>300+300+400</f>
        <v>1000</v>
      </c>
      <c r="M35" s="962"/>
      <c r="N35" s="962">
        <f>SUM(L35:M35)</f>
        <v>1000</v>
      </c>
      <c r="O35" s="963">
        <f>(K35*12)+N35</f>
        <v>28646.479753086423</v>
      </c>
      <c r="P35" s="956">
        <f>B35*O35</f>
        <v>6961094.580000001</v>
      </c>
      <c r="Q35" s="959">
        <v>243</v>
      </c>
      <c r="R35" s="955">
        <v>1353.8733127572018</v>
      </c>
      <c r="S35" s="961">
        <v>1070</v>
      </c>
      <c r="T35" s="962"/>
      <c r="U35" s="962"/>
      <c r="V35" s="962"/>
      <c r="W35" s="961"/>
      <c r="X35" s="962"/>
      <c r="Y35" s="962"/>
      <c r="Z35" s="962">
        <f>SUM(R35:Y35)</f>
        <v>2423.8733127572018</v>
      </c>
      <c r="AA35" s="962">
        <f>300+300+400</f>
        <v>1000</v>
      </c>
      <c r="AB35" s="962"/>
      <c r="AC35" s="962">
        <f>SUM(AA35:AB35)</f>
        <v>1000</v>
      </c>
      <c r="AD35" s="963">
        <f>(Z35*12)+AC35</f>
        <v>30086.479753086423</v>
      </c>
      <c r="AE35" s="956">
        <f>Q35*AD35</f>
        <v>7311014.580000001</v>
      </c>
      <c r="AF35" s="957">
        <f t="shared" si="30"/>
        <v>-1440</v>
      </c>
      <c r="AG35" s="956">
        <f t="shared" si="30"/>
        <v>-349920</v>
      </c>
      <c r="AH35" s="960">
        <v>241</v>
      </c>
      <c r="AI35" s="956">
        <v>7062938.7999999998</v>
      </c>
    </row>
    <row r="36" spans="1:35">
      <c r="A36" s="933" t="s">
        <v>6968</v>
      </c>
      <c r="B36" s="959">
        <v>309</v>
      </c>
      <c r="C36" s="955">
        <v>1339.1040614886733</v>
      </c>
      <c r="D36" s="961">
        <f>650+100+100+100</f>
        <v>950</v>
      </c>
      <c r="E36" s="962"/>
      <c r="F36" s="962"/>
      <c r="G36" s="962"/>
      <c r="H36" s="961"/>
      <c r="I36" s="962"/>
      <c r="J36" s="962"/>
      <c r="K36" s="962">
        <f>SUM(C36:J36)</f>
        <v>2289.1040614886733</v>
      </c>
      <c r="L36" s="962">
        <f>300+300+400</f>
        <v>1000</v>
      </c>
      <c r="M36" s="962"/>
      <c r="N36" s="962">
        <f>SUM(L36:M36)</f>
        <v>1000</v>
      </c>
      <c r="O36" s="963">
        <f>(K36*12)+N36</f>
        <v>28469.24873786408</v>
      </c>
      <c r="P36" s="956">
        <f>B36*O36</f>
        <v>8796997.8600000013</v>
      </c>
      <c r="Q36" s="959">
        <v>306</v>
      </c>
      <c r="R36" s="955">
        <v>1339.297614379085</v>
      </c>
      <c r="S36" s="961">
        <v>1070</v>
      </c>
      <c r="T36" s="962"/>
      <c r="U36" s="962"/>
      <c r="V36" s="962"/>
      <c r="W36" s="961"/>
      <c r="X36" s="962"/>
      <c r="Y36" s="962"/>
      <c r="Z36" s="962">
        <f>SUM(R36:Y36)</f>
        <v>2409.2976143790847</v>
      </c>
      <c r="AA36" s="962">
        <f>300+300+400</f>
        <v>1000</v>
      </c>
      <c r="AB36" s="962"/>
      <c r="AC36" s="962">
        <f>SUM(AA36:AB36)</f>
        <v>1000</v>
      </c>
      <c r="AD36" s="963">
        <f>(Z36*12)+AC36</f>
        <v>29911.571372549017</v>
      </c>
      <c r="AE36" s="956">
        <f>Q36*AD36</f>
        <v>9152940.8399999999</v>
      </c>
      <c r="AF36" s="957">
        <f t="shared" si="30"/>
        <v>-1442.3226346849369</v>
      </c>
      <c r="AG36" s="956">
        <f t="shared" si="30"/>
        <v>-355942.97999999858</v>
      </c>
      <c r="AH36" s="960">
        <v>298</v>
      </c>
      <c r="AI36" s="956">
        <v>8730637.1199999992</v>
      </c>
    </row>
    <row r="37" spans="1:35">
      <c r="A37" s="933" t="s">
        <v>6967</v>
      </c>
      <c r="B37" s="959">
        <v>1</v>
      </c>
      <c r="C37" s="955">
        <v>1350.7683333333334</v>
      </c>
      <c r="D37" s="961">
        <f>650+100+100+100</f>
        <v>950</v>
      </c>
      <c r="E37" s="962"/>
      <c r="F37" s="962"/>
      <c r="G37" s="962"/>
      <c r="H37" s="961"/>
      <c r="I37" s="962"/>
      <c r="J37" s="962"/>
      <c r="K37" s="962">
        <f>SUM(C37:J37)</f>
        <v>2300.7683333333334</v>
      </c>
      <c r="L37" s="962">
        <f>300+300+400</f>
        <v>1000</v>
      </c>
      <c r="M37" s="962"/>
      <c r="N37" s="962">
        <f>SUM(L37:M37)</f>
        <v>1000</v>
      </c>
      <c r="O37" s="963">
        <f>(K37*12)+N37</f>
        <v>28609.22</v>
      </c>
      <c r="P37" s="956">
        <f>B37*O37</f>
        <v>28609.22</v>
      </c>
      <c r="Q37" s="959">
        <v>2</v>
      </c>
      <c r="R37" s="955">
        <v>1350.7683333333332</v>
      </c>
      <c r="S37" s="961">
        <v>1070</v>
      </c>
      <c r="T37" s="962"/>
      <c r="U37" s="962"/>
      <c r="V37" s="962"/>
      <c r="W37" s="961"/>
      <c r="X37" s="962"/>
      <c r="Y37" s="962"/>
      <c r="Z37" s="962">
        <f>SUM(R37:Y37)</f>
        <v>2420.7683333333334</v>
      </c>
      <c r="AA37" s="962">
        <f>300+300+400</f>
        <v>1000</v>
      </c>
      <c r="AB37" s="962"/>
      <c r="AC37" s="962">
        <f>SUM(AA37:AB37)</f>
        <v>1000</v>
      </c>
      <c r="AD37" s="963">
        <f>(Z37*12)+AC37</f>
        <v>30049.22</v>
      </c>
      <c r="AE37" s="956">
        <f>Q37*AD37</f>
        <v>60098.44</v>
      </c>
      <c r="AF37" s="957">
        <f t="shared" si="30"/>
        <v>-1440</v>
      </c>
      <c r="AG37" s="956">
        <f t="shared" si="30"/>
        <v>-31489.22</v>
      </c>
      <c r="AH37" s="960">
        <v>2</v>
      </c>
      <c r="AI37" s="956">
        <v>58144.160000000003</v>
      </c>
    </row>
    <row r="38" spans="1:35">
      <c r="A38" s="933" t="s">
        <v>18</v>
      </c>
      <c r="B38" s="959">
        <v>477</v>
      </c>
      <c r="C38" s="955">
        <v>1306.539716981132</v>
      </c>
      <c r="D38" s="961">
        <f>650+100+100+100</f>
        <v>950</v>
      </c>
      <c r="E38" s="962"/>
      <c r="F38" s="962"/>
      <c r="G38" s="962"/>
      <c r="H38" s="961"/>
      <c r="I38" s="962"/>
      <c r="J38" s="962"/>
      <c r="K38" s="962">
        <f>SUM(C38:J38)</f>
        <v>2256.5397169811322</v>
      </c>
      <c r="L38" s="962">
        <f>300+300+400</f>
        <v>1000</v>
      </c>
      <c r="M38" s="962"/>
      <c r="N38" s="962">
        <f>SUM(L38:M38)</f>
        <v>1000</v>
      </c>
      <c r="O38" s="963">
        <f>(K38*12)+N38</f>
        <v>28078.476603773586</v>
      </c>
      <c r="P38" s="956">
        <f>B38*O38</f>
        <v>13393433.34</v>
      </c>
      <c r="Q38" s="959">
        <v>481</v>
      </c>
      <c r="R38" s="955">
        <v>1306.8339258489257</v>
      </c>
      <c r="S38" s="961">
        <v>1070</v>
      </c>
      <c r="T38" s="962"/>
      <c r="U38" s="962"/>
      <c r="V38" s="962"/>
      <c r="W38" s="961"/>
      <c r="X38" s="962"/>
      <c r="Y38" s="962"/>
      <c r="Z38" s="962">
        <f>SUM(R38:Y38)</f>
        <v>2376.8339258489259</v>
      </c>
      <c r="AA38" s="962">
        <f>300+300+400</f>
        <v>1000</v>
      </c>
      <c r="AB38" s="962"/>
      <c r="AC38" s="962">
        <f>SUM(AA38:AB38)</f>
        <v>1000</v>
      </c>
      <c r="AD38" s="963">
        <f>(Z38*12)+AC38</f>
        <v>29522.007110187111</v>
      </c>
      <c r="AE38" s="956">
        <f>Q38*AD38</f>
        <v>14200085.42</v>
      </c>
      <c r="AF38" s="957">
        <f t="shared" si="30"/>
        <v>-1443.5305064135246</v>
      </c>
      <c r="AG38" s="956">
        <f t="shared" si="30"/>
        <v>-806652.08000000007</v>
      </c>
      <c r="AH38" s="960">
        <v>477</v>
      </c>
      <c r="AI38" s="956">
        <v>13817125.439999999</v>
      </c>
    </row>
    <row r="39" spans="1:35" hidden="1">
      <c r="A39" s="933" t="s">
        <v>6966</v>
      </c>
      <c r="B39" s="959"/>
      <c r="C39" s="955">
        <v>0</v>
      </c>
      <c r="D39" s="961"/>
      <c r="E39" s="955"/>
      <c r="F39" s="955"/>
      <c r="G39" s="955"/>
      <c r="H39" s="961"/>
      <c r="I39" s="955"/>
      <c r="J39" s="962"/>
      <c r="K39" s="962"/>
      <c r="L39" s="962"/>
      <c r="M39" s="962"/>
      <c r="N39" s="962"/>
      <c r="O39" s="963"/>
      <c r="P39" s="956"/>
      <c r="Q39" s="959"/>
      <c r="R39" s="955"/>
      <c r="S39" s="961"/>
      <c r="T39" s="955"/>
      <c r="U39" s="955"/>
      <c r="V39" s="955"/>
      <c r="W39" s="961"/>
      <c r="X39" s="955"/>
      <c r="Y39" s="962"/>
      <c r="Z39" s="962"/>
      <c r="AA39" s="962"/>
      <c r="AB39" s="962"/>
      <c r="AC39" s="962"/>
      <c r="AD39" s="963"/>
      <c r="AE39" s="956"/>
      <c r="AF39" s="957">
        <f>+B39-Q39</f>
        <v>0</v>
      </c>
      <c r="AG39" s="956">
        <f>+P39-AE39</f>
        <v>0</v>
      </c>
      <c r="AH39" s="960"/>
      <c r="AI39" s="956"/>
    </row>
    <row r="40" spans="1:35">
      <c r="A40" s="935" t="s">
        <v>7064</v>
      </c>
      <c r="B40" s="965">
        <f>B41</f>
        <v>17</v>
      </c>
      <c r="C40" s="966"/>
      <c r="D40" s="966"/>
      <c r="E40" s="966"/>
      <c r="F40" s="966"/>
      <c r="G40" s="966"/>
      <c r="H40" s="966"/>
      <c r="I40" s="966"/>
      <c r="J40" s="966"/>
      <c r="K40" s="966"/>
      <c r="L40" s="966"/>
      <c r="M40" s="966"/>
      <c r="N40" s="966"/>
      <c r="O40" s="966">
        <f>O41</f>
        <v>38737.1</v>
      </c>
      <c r="P40" s="952">
        <f>P41</f>
        <v>658530.69999999995</v>
      </c>
      <c r="Q40" s="965">
        <f>SUM(Q41:Q42)</f>
        <v>17</v>
      </c>
      <c r="R40" s="966"/>
      <c r="S40" s="966"/>
      <c r="T40" s="966"/>
      <c r="U40" s="966"/>
      <c r="V40" s="966"/>
      <c r="W40" s="966"/>
      <c r="X40" s="966"/>
      <c r="Y40" s="966"/>
      <c r="Z40" s="966"/>
      <c r="AA40" s="966"/>
      <c r="AB40" s="966"/>
      <c r="AC40" s="966"/>
      <c r="AD40" s="966">
        <f t="shared" ref="AD40:AI40" si="31">SUM(AD41:AD42)</f>
        <v>77474.2</v>
      </c>
      <c r="AE40" s="952">
        <f t="shared" si="31"/>
        <v>658530.69999999995</v>
      </c>
      <c r="AF40" s="965">
        <f t="shared" si="31"/>
        <v>-38737.1</v>
      </c>
      <c r="AG40" s="952">
        <f t="shared" si="31"/>
        <v>0</v>
      </c>
      <c r="AH40" s="967">
        <f t="shared" si="31"/>
        <v>17</v>
      </c>
      <c r="AI40" s="952">
        <f t="shared" si="31"/>
        <v>905420</v>
      </c>
    </row>
    <row r="41" spans="1:35">
      <c r="A41" s="933" t="s">
        <v>6977</v>
      </c>
      <c r="B41" s="959">
        <v>17</v>
      </c>
      <c r="C41" s="955">
        <v>3144.7583333333332</v>
      </c>
      <c r="D41" s="955"/>
      <c r="E41" s="955"/>
      <c r="F41" s="955"/>
      <c r="G41" s="955"/>
      <c r="H41" s="961"/>
      <c r="I41" s="955"/>
      <c r="J41" s="962"/>
      <c r="K41" s="962">
        <f>SUM(C41:J41)</f>
        <v>3144.7583333333332</v>
      </c>
      <c r="L41" s="962">
        <f>300+300+400</f>
        <v>1000</v>
      </c>
      <c r="M41" s="962"/>
      <c r="N41" s="962">
        <f>SUM(L41:M41)</f>
        <v>1000</v>
      </c>
      <c r="O41" s="963">
        <f>(K41*12)+N41</f>
        <v>38737.1</v>
      </c>
      <c r="P41" s="956">
        <f>B41*O41</f>
        <v>658530.69999999995</v>
      </c>
      <c r="Q41" s="959">
        <v>8</v>
      </c>
      <c r="R41" s="955">
        <v>3144.7583333333332</v>
      </c>
      <c r="S41" s="961"/>
      <c r="T41" s="955"/>
      <c r="U41" s="955"/>
      <c r="V41" s="955"/>
      <c r="W41" s="961"/>
      <c r="X41" s="955"/>
      <c r="Y41" s="962"/>
      <c r="Z41" s="962">
        <f>SUM(R41:Y41)</f>
        <v>3144.7583333333332</v>
      </c>
      <c r="AA41" s="962">
        <f>300+300+400</f>
        <v>1000</v>
      </c>
      <c r="AB41" s="962"/>
      <c r="AC41" s="962">
        <f>SUM(AA41:AB41)</f>
        <v>1000</v>
      </c>
      <c r="AD41" s="963">
        <f>(Z41*12)+AC41</f>
        <v>38737.1</v>
      </c>
      <c r="AE41" s="956">
        <f>Q41*AD41</f>
        <v>309896.8</v>
      </c>
      <c r="AF41" s="957">
        <f>+O41-AD41</f>
        <v>0</v>
      </c>
      <c r="AG41" s="956">
        <f>+P41-AE41</f>
        <v>348633.89999999997</v>
      </c>
      <c r="AH41" s="960">
        <v>8</v>
      </c>
      <c r="AI41" s="956">
        <v>426080</v>
      </c>
    </row>
    <row r="42" spans="1:35">
      <c r="A42" s="933" t="s">
        <v>6976</v>
      </c>
      <c r="B42" s="968"/>
      <c r="C42" s="969"/>
      <c r="D42" s="969"/>
      <c r="E42" s="969"/>
      <c r="F42" s="969"/>
      <c r="G42" s="969"/>
      <c r="H42" s="969"/>
      <c r="I42" s="969"/>
      <c r="J42" s="969"/>
      <c r="K42" s="969"/>
      <c r="L42" s="969"/>
      <c r="M42" s="969"/>
      <c r="N42" s="969"/>
      <c r="O42" s="969"/>
      <c r="P42" s="956"/>
      <c r="Q42" s="968">
        <v>9</v>
      </c>
      <c r="R42" s="955">
        <v>3144.7583333333332</v>
      </c>
      <c r="S42" s="961"/>
      <c r="T42" s="969"/>
      <c r="U42" s="969"/>
      <c r="V42" s="969"/>
      <c r="W42" s="969"/>
      <c r="X42" s="969"/>
      <c r="Y42" s="969"/>
      <c r="Z42" s="962">
        <f>SUM(R42:Y42)</f>
        <v>3144.7583333333332</v>
      </c>
      <c r="AA42" s="962">
        <f>300+300+400</f>
        <v>1000</v>
      </c>
      <c r="AB42" s="969"/>
      <c r="AC42" s="962">
        <f>SUM(AA42:AB42)</f>
        <v>1000</v>
      </c>
      <c r="AD42" s="963">
        <f>(Z42*12)+AC42</f>
        <v>38737.1</v>
      </c>
      <c r="AE42" s="956">
        <f>Q42*AD42</f>
        <v>348633.89999999997</v>
      </c>
      <c r="AF42" s="957">
        <f>+O42-AD42</f>
        <v>-38737.1</v>
      </c>
      <c r="AG42" s="956">
        <f>+P42-AE42</f>
        <v>-348633.89999999997</v>
      </c>
      <c r="AH42" s="970">
        <v>9</v>
      </c>
      <c r="AI42" s="956">
        <v>479340</v>
      </c>
    </row>
    <row r="43" spans="1:35" hidden="1">
      <c r="A43" s="935" t="s">
        <v>57</v>
      </c>
      <c r="B43" s="971"/>
      <c r="C43" s="972"/>
      <c r="D43" s="972"/>
      <c r="E43" s="972"/>
      <c r="F43" s="972"/>
      <c r="G43" s="972"/>
      <c r="H43" s="972"/>
      <c r="I43" s="972"/>
      <c r="J43" s="972"/>
      <c r="K43" s="972"/>
      <c r="L43" s="972"/>
      <c r="M43" s="972"/>
      <c r="N43" s="972"/>
      <c r="O43" s="972"/>
      <c r="P43" s="973"/>
      <c r="Q43" s="971"/>
      <c r="R43" s="972"/>
      <c r="S43" s="972"/>
      <c r="T43" s="972"/>
      <c r="U43" s="972"/>
      <c r="V43" s="972"/>
      <c r="W43" s="972"/>
      <c r="X43" s="972"/>
      <c r="Y43" s="972"/>
      <c r="Z43" s="972"/>
      <c r="AA43" s="972"/>
      <c r="AB43" s="972"/>
      <c r="AC43" s="972"/>
      <c r="AD43" s="966">
        <f t="shared" ref="AD43:AI43" si="32">SUM(AD44:AD45)</f>
        <v>0</v>
      </c>
      <c r="AE43" s="952">
        <f t="shared" si="32"/>
        <v>0</v>
      </c>
      <c r="AF43" s="965">
        <f t="shared" si="32"/>
        <v>0</v>
      </c>
      <c r="AG43" s="952">
        <f t="shared" si="32"/>
        <v>0</v>
      </c>
      <c r="AH43" s="967">
        <f t="shared" si="32"/>
        <v>0</v>
      </c>
      <c r="AI43" s="952">
        <f t="shared" si="32"/>
        <v>0</v>
      </c>
    </row>
    <row r="44" spans="1:35" hidden="1">
      <c r="A44" s="933"/>
      <c r="B44" s="968"/>
      <c r="C44" s="969"/>
      <c r="D44" s="969"/>
      <c r="E44" s="969"/>
      <c r="F44" s="969"/>
      <c r="G44" s="969"/>
      <c r="H44" s="969"/>
      <c r="I44" s="969"/>
      <c r="J44" s="969"/>
      <c r="K44" s="969"/>
      <c r="L44" s="969"/>
      <c r="M44" s="969"/>
      <c r="N44" s="969"/>
      <c r="O44" s="969"/>
      <c r="P44" s="956"/>
      <c r="Q44" s="968"/>
      <c r="R44" s="969"/>
      <c r="S44" s="969"/>
      <c r="T44" s="969"/>
      <c r="U44" s="969"/>
      <c r="V44" s="969"/>
      <c r="W44" s="969"/>
      <c r="X44" s="969"/>
      <c r="Y44" s="969"/>
      <c r="Z44" s="969"/>
      <c r="AA44" s="969"/>
      <c r="AB44" s="969"/>
      <c r="AC44" s="969"/>
      <c r="AD44" s="969"/>
      <c r="AE44" s="964"/>
      <c r="AF44" s="957">
        <f>+B44-Q44</f>
        <v>0</v>
      </c>
      <c r="AG44" s="956">
        <f>+P44-AE44</f>
        <v>0</v>
      </c>
      <c r="AH44" s="974"/>
      <c r="AI44" s="956"/>
    </row>
    <row r="45" spans="1:35" hidden="1">
      <c r="A45" s="933"/>
      <c r="B45" s="968"/>
      <c r="C45" s="969"/>
      <c r="D45" s="969"/>
      <c r="E45" s="969"/>
      <c r="F45" s="969"/>
      <c r="G45" s="969"/>
      <c r="H45" s="969"/>
      <c r="I45" s="969"/>
      <c r="J45" s="969"/>
      <c r="K45" s="969"/>
      <c r="L45" s="969"/>
      <c r="M45" s="969"/>
      <c r="N45" s="969"/>
      <c r="O45" s="969"/>
      <c r="P45" s="956"/>
      <c r="Q45" s="968"/>
      <c r="R45" s="969"/>
      <c r="S45" s="969"/>
      <c r="T45" s="969"/>
      <c r="U45" s="969"/>
      <c r="V45" s="969"/>
      <c r="W45" s="969"/>
      <c r="X45" s="969"/>
      <c r="Y45" s="969"/>
      <c r="Z45" s="969"/>
      <c r="AA45" s="969"/>
      <c r="AB45" s="969"/>
      <c r="AC45" s="969"/>
      <c r="AD45" s="969"/>
      <c r="AE45" s="956"/>
      <c r="AF45" s="957">
        <f>+B45-Q45</f>
        <v>0</v>
      </c>
      <c r="AG45" s="956">
        <f>+P45-AE45</f>
        <v>0</v>
      </c>
      <c r="AH45" s="974"/>
      <c r="AI45" s="956"/>
    </row>
    <row r="46" spans="1:35" ht="24">
      <c r="A46" s="936" t="s">
        <v>51</v>
      </c>
      <c r="B46" s="945">
        <f>SUM(B47:B64)</f>
        <v>909</v>
      </c>
      <c r="C46" s="946"/>
      <c r="D46" s="946"/>
      <c r="E46" s="946"/>
      <c r="F46" s="946"/>
      <c r="G46" s="946"/>
      <c r="H46" s="946"/>
      <c r="I46" s="946"/>
      <c r="J46" s="946"/>
      <c r="K46" s="946"/>
      <c r="L46" s="946"/>
      <c r="M46" s="946"/>
      <c r="N46" s="946"/>
      <c r="O46" s="946">
        <f>SUM(O47:O64)</f>
        <v>127950.95999999999</v>
      </c>
      <c r="P46" s="947">
        <f>SUM(P47:P64)-140432.94</f>
        <v>25858849.379999999</v>
      </c>
      <c r="Q46" s="945">
        <f>SUM(Q47:Q64)</f>
        <v>909</v>
      </c>
      <c r="R46" s="946"/>
      <c r="S46" s="946"/>
      <c r="T46" s="946"/>
      <c r="U46" s="946"/>
      <c r="V46" s="946"/>
      <c r="W46" s="946"/>
      <c r="X46" s="946"/>
      <c r="Y46" s="946"/>
      <c r="Z46" s="946"/>
      <c r="AA46" s="946"/>
      <c r="AB46" s="946"/>
      <c r="AC46" s="946"/>
      <c r="AD46" s="946">
        <f t="shared" ref="AD46:AI46" si="33">SUM(AD47:AD64)</f>
        <v>155952.55999999994</v>
      </c>
      <c r="AE46" s="947">
        <f t="shared" si="33"/>
        <v>25999282.319999993</v>
      </c>
      <c r="AF46" s="945">
        <f t="shared" si="33"/>
        <v>-28001.599999999991</v>
      </c>
      <c r="AG46" s="947">
        <f t="shared" si="33"/>
        <v>0</v>
      </c>
      <c r="AH46" s="975">
        <f t="shared" si="33"/>
        <v>869</v>
      </c>
      <c r="AI46" s="947">
        <f t="shared" si="33"/>
        <v>24566662.879999995</v>
      </c>
    </row>
    <row r="47" spans="1:35" hidden="1">
      <c r="A47" s="933" t="s">
        <v>7012</v>
      </c>
      <c r="B47" s="968"/>
      <c r="C47" s="969"/>
      <c r="D47" s="969"/>
      <c r="E47" s="969"/>
      <c r="F47" s="969"/>
      <c r="G47" s="969"/>
      <c r="H47" s="969"/>
      <c r="I47" s="969"/>
      <c r="J47" s="969"/>
      <c r="K47" s="969"/>
      <c r="L47" s="969"/>
      <c r="M47" s="969"/>
      <c r="N47" s="969"/>
      <c r="O47" s="969"/>
      <c r="P47" s="956"/>
      <c r="Q47" s="968"/>
      <c r="R47" s="969"/>
      <c r="S47" s="969"/>
      <c r="T47" s="969"/>
      <c r="U47" s="969"/>
      <c r="V47" s="969"/>
      <c r="W47" s="969"/>
      <c r="X47" s="969"/>
      <c r="Y47" s="969"/>
      <c r="Z47" s="969"/>
      <c r="AA47" s="969"/>
      <c r="AB47" s="969"/>
      <c r="AC47" s="969"/>
      <c r="AD47" s="969"/>
      <c r="AE47" s="956"/>
      <c r="AF47" s="957">
        <f t="shared" ref="AF47:AF64" si="34">+O47-AD47</f>
        <v>0</v>
      </c>
      <c r="AG47" s="956">
        <f t="shared" ref="AG47:AG64" si="35">+P47-AE47</f>
        <v>0</v>
      </c>
      <c r="AH47" s="974"/>
      <c r="AI47" s="956"/>
    </row>
    <row r="48" spans="1:35" hidden="1">
      <c r="A48" s="933" t="s">
        <v>7170</v>
      </c>
      <c r="B48" s="968"/>
      <c r="C48" s="969"/>
      <c r="D48" s="969"/>
      <c r="E48" s="969"/>
      <c r="F48" s="969"/>
      <c r="G48" s="969"/>
      <c r="H48" s="969"/>
      <c r="I48" s="969"/>
      <c r="J48" s="969"/>
      <c r="K48" s="969"/>
      <c r="L48" s="969"/>
      <c r="M48" s="969"/>
      <c r="N48" s="969"/>
      <c r="O48" s="969"/>
      <c r="P48" s="956"/>
      <c r="Q48" s="968"/>
      <c r="R48" s="969"/>
      <c r="S48" s="969"/>
      <c r="T48" s="969"/>
      <c r="U48" s="969"/>
      <c r="V48" s="969"/>
      <c r="W48" s="969"/>
      <c r="X48" s="969"/>
      <c r="Y48" s="969"/>
      <c r="Z48" s="969"/>
      <c r="AA48" s="969"/>
      <c r="AB48" s="969"/>
      <c r="AC48" s="969"/>
      <c r="AD48" s="969"/>
      <c r="AE48" s="956"/>
      <c r="AF48" s="957">
        <f t="shared" si="34"/>
        <v>0</v>
      </c>
      <c r="AG48" s="956">
        <f t="shared" si="35"/>
        <v>0</v>
      </c>
      <c r="AH48" s="974"/>
      <c r="AI48" s="956"/>
    </row>
    <row r="49" spans="1:36" hidden="1">
      <c r="A49" s="933" t="s">
        <v>7170</v>
      </c>
      <c r="B49" s="968"/>
      <c r="C49" s="969"/>
      <c r="D49" s="969"/>
      <c r="E49" s="969"/>
      <c r="F49" s="969"/>
      <c r="G49" s="969"/>
      <c r="H49" s="969"/>
      <c r="I49" s="969"/>
      <c r="J49" s="969"/>
      <c r="K49" s="969"/>
      <c r="L49" s="969"/>
      <c r="M49" s="969"/>
      <c r="N49" s="969"/>
      <c r="O49" s="969"/>
      <c r="P49" s="956"/>
      <c r="Q49" s="968"/>
      <c r="R49" s="969"/>
      <c r="S49" s="969"/>
      <c r="T49" s="969"/>
      <c r="U49" s="969"/>
      <c r="V49" s="969"/>
      <c r="W49" s="969"/>
      <c r="X49" s="969"/>
      <c r="Y49" s="969"/>
      <c r="Z49" s="969"/>
      <c r="AA49" s="969"/>
      <c r="AB49" s="969"/>
      <c r="AC49" s="969"/>
      <c r="AD49" s="969"/>
      <c r="AE49" s="956"/>
      <c r="AF49" s="957">
        <f t="shared" si="34"/>
        <v>0</v>
      </c>
      <c r="AG49" s="956">
        <f t="shared" si="35"/>
        <v>0</v>
      </c>
      <c r="AH49" s="974"/>
      <c r="AI49" s="956"/>
    </row>
    <row r="50" spans="1:36" hidden="1">
      <c r="A50" s="933" t="s">
        <v>7169</v>
      </c>
      <c r="B50" s="968"/>
      <c r="C50" s="969"/>
      <c r="D50" s="969"/>
      <c r="E50" s="969"/>
      <c r="F50" s="969"/>
      <c r="G50" s="969"/>
      <c r="H50" s="969"/>
      <c r="I50" s="969"/>
      <c r="J50" s="969"/>
      <c r="K50" s="969"/>
      <c r="L50" s="969"/>
      <c r="M50" s="969"/>
      <c r="N50" s="969"/>
      <c r="O50" s="969"/>
      <c r="P50" s="956"/>
      <c r="Q50" s="968"/>
      <c r="R50" s="969"/>
      <c r="S50" s="969"/>
      <c r="T50" s="969"/>
      <c r="U50" s="969"/>
      <c r="V50" s="969"/>
      <c r="W50" s="969"/>
      <c r="X50" s="969"/>
      <c r="Y50" s="969"/>
      <c r="Z50" s="969"/>
      <c r="AA50" s="969"/>
      <c r="AB50" s="969"/>
      <c r="AC50" s="969"/>
      <c r="AD50" s="969"/>
      <c r="AE50" s="956"/>
      <c r="AF50" s="957">
        <f t="shared" si="34"/>
        <v>0</v>
      </c>
      <c r="AG50" s="956">
        <f t="shared" si="35"/>
        <v>0</v>
      </c>
      <c r="AH50" s="974"/>
      <c r="AI50" s="956"/>
    </row>
    <row r="51" spans="1:36" hidden="1">
      <c r="A51" s="933" t="s">
        <v>7168</v>
      </c>
      <c r="B51" s="968"/>
      <c r="C51" s="969"/>
      <c r="D51" s="969"/>
      <c r="E51" s="969"/>
      <c r="F51" s="969"/>
      <c r="G51" s="969"/>
      <c r="H51" s="969"/>
      <c r="I51" s="969"/>
      <c r="J51" s="969"/>
      <c r="K51" s="969"/>
      <c r="L51" s="969"/>
      <c r="M51" s="969"/>
      <c r="N51" s="969"/>
      <c r="O51" s="969"/>
      <c r="P51" s="956"/>
      <c r="Q51" s="968"/>
      <c r="R51" s="969"/>
      <c r="S51" s="969"/>
      <c r="T51" s="969"/>
      <c r="U51" s="969"/>
      <c r="V51" s="969"/>
      <c r="W51" s="969"/>
      <c r="X51" s="969"/>
      <c r="Y51" s="969"/>
      <c r="Z51" s="969"/>
      <c r="AA51" s="969"/>
      <c r="AB51" s="969"/>
      <c r="AC51" s="969"/>
      <c r="AD51" s="969"/>
      <c r="AE51" s="956"/>
      <c r="AF51" s="957">
        <f t="shared" si="34"/>
        <v>0</v>
      </c>
      <c r="AG51" s="956">
        <f t="shared" si="35"/>
        <v>0</v>
      </c>
      <c r="AH51" s="974"/>
      <c r="AI51" s="956"/>
    </row>
    <row r="52" spans="1:36" hidden="1">
      <c r="A52" s="933" t="s">
        <v>7167</v>
      </c>
      <c r="B52" s="968"/>
      <c r="C52" s="969"/>
      <c r="D52" s="969"/>
      <c r="E52" s="969"/>
      <c r="F52" s="969"/>
      <c r="G52" s="969"/>
      <c r="H52" s="969"/>
      <c r="I52" s="969"/>
      <c r="J52" s="969"/>
      <c r="K52" s="969"/>
      <c r="L52" s="969"/>
      <c r="M52" s="969"/>
      <c r="N52" s="969"/>
      <c r="O52" s="969"/>
      <c r="P52" s="956"/>
      <c r="Q52" s="968"/>
      <c r="R52" s="969"/>
      <c r="S52" s="969"/>
      <c r="T52" s="969"/>
      <c r="U52" s="969"/>
      <c r="V52" s="969"/>
      <c r="W52" s="969"/>
      <c r="X52" s="969"/>
      <c r="Y52" s="969"/>
      <c r="Z52" s="969"/>
      <c r="AA52" s="969"/>
      <c r="AB52" s="969"/>
      <c r="AC52" s="969"/>
      <c r="AD52" s="969"/>
      <c r="AE52" s="956"/>
      <c r="AF52" s="957">
        <f t="shared" si="34"/>
        <v>0</v>
      </c>
      <c r="AG52" s="956">
        <f t="shared" si="35"/>
        <v>0</v>
      </c>
      <c r="AH52" s="974"/>
      <c r="AI52" s="956"/>
    </row>
    <row r="53" spans="1:36" hidden="1">
      <c r="A53" s="933" t="s">
        <v>7166</v>
      </c>
      <c r="B53" s="968"/>
      <c r="C53" s="969"/>
      <c r="D53" s="969"/>
      <c r="E53" s="969"/>
      <c r="F53" s="969"/>
      <c r="G53" s="969"/>
      <c r="H53" s="969"/>
      <c r="I53" s="969"/>
      <c r="J53" s="969"/>
      <c r="K53" s="969"/>
      <c r="L53" s="969"/>
      <c r="M53" s="969"/>
      <c r="N53" s="969"/>
      <c r="O53" s="969"/>
      <c r="P53" s="956"/>
      <c r="Q53" s="968"/>
      <c r="R53" s="969"/>
      <c r="S53" s="969"/>
      <c r="T53" s="969"/>
      <c r="U53" s="969"/>
      <c r="V53" s="969"/>
      <c r="W53" s="969"/>
      <c r="X53" s="969"/>
      <c r="Y53" s="969"/>
      <c r="Z53" s="969"/>
      <c r="AA53" s="969"/>
      <c r="AB53" s="969"/>
      <c r="AC53" s="969"/>
      <c r="AD53" s="969"/>
      <c r="AE53" s="956"/>
      <c r="AF53" s="957">
        <f t="shared" si="34"/>
        <v>0</v>
      </c>
      <c r="AG53" s="956">
        <f t="shared" si="35"/>
        <v>0</v>
      </c>
      <c r="AH53" s="974"/>
      <c r="AI53" s="956"/>
    </row>
    <row r="54" spans="1:36" hidden="1">
      <c r="A54" s="933" t="s">
        <v>7013</v>
      </c>
      <c r="B54" s="968"/>
      <c r="C54" s="969"/>
      <c r="D54" s="969"/>
      <c r="E54" s="969"/>
      <c r="F54" s="969"/>
      <c r="G54" s="969"/>
      <c r="H54" s="969"/>
      <c r="I54" s="969"/>
      <c r="J54" s="969"/>
      <c r="K54" s="969"/>
      <c r="L54" s="969"/>
      <c r="M54" s="969"/>
      <c r="N54" s="969"/>
      <c r="O54" s="969"/>
      <c r="P54" s="956"/>
      <c r="Q54" s="968"/>
      <c r="R54" s="976"/>
      <c r="S54" s="969"/>
      <c r="T54" s="969"/>
      <c r="U54" s="969"/>
      <c r="V54" s="969"/>
      <c r="W54" s="969"/>
      <c r="X54" s="969"/>
      <c r="Y54" s="969"/>
      <c r="Z54" s="969"/>
      <c r="AA54" s="969"/>
      <c r="AB54" s="969"/>
      <c r="AC54" s="969"/>
      <c r="AD54" s="969"/>
      <c r="AE54" s="956"/>
      <c r="AF54" s="957">
        <f t="shared" si="34"/>
        <v>0</v>
      </c>
      <c r="AG54" s="956">
        <f t="shared" si="35"/>
        <v>0</v>
      </c>
      <c r="AH54" s="974"/>
      <c r="AI54" s="956"/>
    </row>
    <row r="55" spans="1:36" hidden="1">
      <c r="A55" s="933" t="s">
        <v>7012</v>
      </c>
      <c r="B55" s="959"/>
      <c r="C55" s="955"/>
      <c r="D55" s="955"/>
      <c r="E55" s="955"/>
      <c r="F55" s="955"/>
      <c r="G55" s="955"/>
      <c r="H55" s="955"/>
      <c r="I55" s="955"/>
      <c r="J55" s="955"/>
      <c r="K55" s="962"/>
      <c r="L55" s="962"/>
      <c r="M55" s="962"/>
      <c r="N55" s="962"/>
      <c r="O55" s="963"/>
      <c r="P55" s="956">
        <f>B55*O55</f>
        <v>0</v>
      </c>
      <c r="Q55" s="959"/>
      <c r="R55" s="955"/>
      <c r="S55" s="955"/>
      <c r="T55" s="955"/>
      <c r="U55" s="955"/>
      <c r="V55" s="955"/>
      <c r="W55" s="955"/>
      <c r="X55" s="955"/>
      <c r="Y55" s="955"/>
      <c r="Z55" s="962"/>
      <c r="AA55" s="962"/>
      <c r="AB55" s="962"/>
      <c r="AC55" s="962"/>
      <c r="AD55" s="963"/>
      <c r="AE55" s="956"/>
      <c r="AF55" s="957">
        <f t="shared" si="34"/>
        <v>0</v>
      </c>
      <c r="AG55" s="956">
        <f t="shared" si="35"/>
        <v>0</v>
      </c>
      <c r="AH55" s="960"/>
      <c r="AI55" s="956"/>
    </row>
    <row r="56" spans="1:36">
      <c r="A56" s="933" t="s">
        <v>7011</v>
      </c>
      <c r="B56" s="959">
        <v>2</v>
      </c>
      <c r="C56" s="955">
        <v>3200.1599999999989</v>
      </c>
      <c r="D56" s="955"/>
      <c r="E56" s="955"/>
      <c r="F56" s="955"/>
      <c r="G56" s="955"/>
      <c r="H56" s="955"/>
      <c r="I56" s="955"/>
      <c r="J56" s="955"/>
      <c r="K56" s="962">
        <f t="shared" ref="K56:K64" si="36">SUM(C56:J56)</f>
        <v>3200.1599999999989</v>
      </c>
      <c r="L56" s="962">
        <f t="shared" ref="L56:L64" si="37">300+300+400</f>
        <v>1000</v>
      </c>
      <c r="M56" s="962"/>
      <c r="N56" s="962">
        <f t="shared" ref="N56:N64" si="38">SUM(L56:M56)</f>
        <v>1000</v>
      </c>
      <c r="O56" s="963">
        <f t="shared" ref="O56:O64" si="39">(K56*12)+N56</f>
        <v>39401.919999999984</v>
      </c>
      <c r="P56" s="956">
        <f>B56*O56</f>
        <v>78803.839999999967</v>
      </c>
      <c r="Q56" s="959">
        <v>2</v>
      </c>
      <c r="R56" s="955">
        <v>3200.1599999999989</v>
      </c>
      <c r="S56" s="955"/>
      <c r="T56" s="955"/>
      <c r="U56" s="955"/>
      <c r="V56" s="955"/>
      <c r="W56" s="955"/>
      <c r="X56" s="955"/>
      <c r="Y56" s="955"/>
      <c r="Z56" s="962">
        <f t="shared" ref="Z56:Z64" si="40">SUM(R56:Y56)</f>
        <v>3200.1599999999989</v>
      </c>
      <c r="AA56" s="962">
        <f>300+300+400</f>
        <v>1000</v>
      </c>
      <c r="AB56" s="962"/>
      <c r="AC56" s="962">
        <f t="shared" ref="AC56:AC64" si="41">SUM(AA56:AB56)</f>
        <v>1000</v>
      </c>
      <c r="AD56" s="963">
        <f t="shared" ref="AD56:AD64" si="42">(Z56*12)+AC56</f>
        <v>39401.919999999984</v>
      </c>
      <c r="AE56" s="956">
        <f>Q56*AD56</f>
        <v>78803.839999999967</v>
      </c>
      <c r="AF56" s="957">
        <f t="shared" si="34"/>
        <v>0</v>
      </c>
      <c r="AG56" s="956">
        <f t="shared" si="35"/>
        <v>0</v>
      </c>
      <c r="AH56" s="960"/>
      <c r="AI56" s="956"/>
      <c r="AJ56" s="866"/>
    </row>
    <row r="57" spans="1:36">
      <c r="A57" s="933" t="s">
        <v>7042</v>
      </c>
      <c r="B57" s="959">
        <v>58</v>
      </c>
      <c r="C57" s="955">
        <v>2933.48</v>
      </c>
      <c r="D57" s="955"/>
      <c r="E57" s="955"/>
      <c r="F57" s="955"/>
      <c r="G57" s="955"/>
      <c r="H57" s="955"/>
      <c r="I57" s="955"/>
      <c r="J57" s="955"/>
      <c r="K57" s="962">
        <f t="shared" si="36"/>
        <v>2933.48</v>
      </c>
      <c r="L57" s="962">
        <f t="shared" si="37"/>
        <v>1000</v>
      </c>
      <c r="M57" s="962"/>
      <c r="N57" s="962">
        <f t="shared" si="38"/>
        <v>1000</v>
      </c>
      <c r="O57" s="963">
        <f t="shared" si="39"/>
        <v>36201.760000000002</v>
      </c>
      <c r="P57" s="956">
        <f>B57*O57</f>
        <v>2099702.08</v>
      </c>
      <c r="Q57" s="959">
        <v>58</v>
      </c>
      <c r="R57" s="955">
        <v>2933.4799999999996</v>
      </c>
      <c r="S57" s="955"/>
      <c r="T57" s="955"/>
      <c r="U57" s="955"/>
      <c r="V57" s="955"/>
      <c r="W57" s="955"/>
      <c r="X57" s="955"/>
      <c r="Y57" s="955"/>
      <c r="Z57" s="962">
        <f t="shared" si="40"/>
        <v>2933.4799999999996</v>
      </c>
      <c r="AA57" s="962">
        <f>300+300+400</f>
        <v>1000</v>
      </c>
      <c r="AB57" s="962"/>
      <c r="AC57" s="962">
        <f t="shared" si="41"/>
        <v>1000</v>
      </c>
      <c r="AD57" s="963">
        <f t="shared" si="42"/>
        <v>36201.759999999995</v>
      </c>
      <c r="AE57" s="956">
        <f>Q57*AD57</f>
        <v>2099702.0799999996</v>
      </c>
      <c r="AF57" s="957">
        <f t="shared" si="34"/>
        <v>0</v>
      </c>
      <c r="AG57" s="956">
        <f t="shared" si="35"/>
        <v>0</v>
      </c>
      <c r="AH57" s="960">
        <v>2</v>
      </c>
      <c r="AI57" s="956">
        <v>72403.51999999999</v>
      </c>
      <c r="AJ57" s="866"/>
    </row>
    <row r="58" spans="1:36">
      <c r="A58" s="933" t="s">
        <v>7041</v>
      </c>
      <c r="B58" s="959">
        <v>624</v>
      </c>
      <c r="C58" s="955">
        <v>2666.8</v>
      </c>
      <c r="D58" s="955"/>
      <c r="E58" s="955"/>
      <c r="F58" s="955"/>
      <c r="G58" s="955"/>
      <c r="H58" s="955"/>
      <c r="I58" s="955"/>
      <c r="J58" s="955"/>
      <c r="K58" s="962">
        <f t="shared" si="36"/>
        <v>2666.8</v>
      </c>
      <c r="L58" s="962">
        <f t="shared" si="37"/>
        <v>1000</v>
      </c>
      <c r="M58" s="962"/>
      <c r="N58" s="962">
        <f t="shared" si="38"/>
        <v>1000</v>
      </c>
      <c r="O58" s="963">
        <f t="shared" si="39"/>
        <v>33001.600000000006</v>
      </c>
      <c r="P58" s="956">
        <f>(B58*O58)</f>
        <v>20592998.400000002</v>
      </c>
      <c r="Q58" s="959">
        <v>624</v>
      </c>
      <c r="R58" s="955">
        <v>2666.7999999999993</v>
      </c>
      <c r="S58" s="955"/>
      <c r="T58" s="955"/>
      <c r="U58" s="955"/>
      <c r="V58" s="955"/>
      <c r="W58" s="955"/>
      <c r="X58" s="955"/>
      <c r="Y58" s="955"/>
      <c r="Z58" s="962">
        <f t="shared" si="40"/>
        <v>2666.7999999999993</v>
      </c>
      <c r="AA58" s="962">
        <f>300+300+400</f>
        <v>1000</v>
      </c>
      <c r="AB58" s="962"/>
      <c r="AC58" s="962">
        <f t="shared" si="41"/>
        <v>1000</v>
      </c>
      <c r="AD58" s="963">
        <f t="shared" si="42"/>
        <v>33001.599999999991</v>
      </c>
      <c r="AE58" s="956">
        <f>(Q58*AD58)</f>
        <v>20592998.399999995</v>
      </c>
      <c r="AF58" s="957">
        <f t="shared" si="34"/>
        <v>0</v>
      </c>
      <c r="AG58" s="956">
        <f t="shared" si="35"/>
        <v>0</v>
      </c>
      <c r="AH58" s="960">
        <v>10</v>
      </c>
      <c r="AI58" s="956">
        <v>330015.99999999988</v>
      </c>
      <c r="AJ58" s="866"/>
    </row>
    <row r="59" spans="1:36">
      <c r="A59" s="933" t="s">
        <v>7040</v>
      </c>
      <c r="B59" s="959"/>
      <c r="C59" s="955"/>
      <c r="D59" s="955"/>
      <c r="E59" s="955"/>
      <c r="F59" s="955"/>
      <c r="G59" s="955"/>
      <c r="H59" s="955"/>
      <c r="I59" s="955"/>
      <c r="J59" s="955"/>
      <c r="K59" s="962">
        <f t="shared" si="36"/>
        <v>0</v>
      </c>
      <c r="L59" s="962">
        <f t="shared" si="37"/>
        <v>1000</v>
      </c>
      <c r="M59" s="962"/>
      <c r="N59" s="962">
        <f t="shared" si="38"/>
        <v>1000</v>
      </c>
      <c r="O59" s="963">
        <f t="shared" si="39"/>
        <v>1000</v>
      </c>
      <c r="P59" s="956">
        <f t="shared" ref="P59:P64" si="43">B59*O59</f>
        <v>0</v>
      </c>
      <c r="Q59" s="959">
        <v>0</v>
      </c>
      <c r="R59" s="955">
        <v>2666.7999999999993</v>
      </c>
      <c r="S59" s="955"/>
      <c r="T59" s="955"/>
      <c r="U59" s="955"/>
      <c r="V59" s="955"/>
      <c r="W59" s="955"/>
      <c r="X59" s="955"/>
      <c r="Y59" s="955"/>
      <c r="Z59" s="962">
        <f t="shared" si="40"/>
        <v>2666.7999999999993</v>
      </c>
      <c r="AA59" s="962">
        <f>300+300+400</f>
        <v>1000</v>
      </c>
      <c r="AB59" s="962"/>
      <c r="AC59" s="962">
        <f t="shared" si="41"/>
        <v>1000</v>
      </c>
      <c r="AD59" s="963">
        <f t="shared" si="42"/>
        <v>33001.599999999991</v>
      </c>
      <c r="AE59" s="956">
        <f>(Q59*AD59)</f>
        <v>0</v>
      </c>
      <c r="AF59" s="957">
        <f t="shared" si="34"/>
        <v>-32001.599999999991</v>
      </c>
      <c r="AG59" s="956">
        <f t="shared" si="35"/>
        <v>0</v>
      </c>
      <c r="AH59" s="960">
        <v>636</v>
      </c>
      <c r="AI59" s="956">
        <v>20993848.079999994</v>
      </c>
      <c r="AJ59" s="866"/>
    </row>
    <row r="60" spans="1:36">
      <c r="A60" s="933" t="s">
        <v>7039</v>
      </c>
      <c r="B60" s="959"/>
      <c r="C60" s="955"/>
      <c r="D60" s="955"/>
      <c r="E60" s="955"/>
      <c r="F60" s="955"/>
      <c r="G60" s="955"/>
      <c r="H60" s="955"/>
      <c r="I60" s="955"/>
      <c r="J60" s="955"/>
      <c r="K60" s="962">
        <f t="shared" si="36"/>
        <v>0</v>
      </c>
      <c r="L60" s="962">
        <f t="shared" si="37"/>
        <v>1000</v>
      </c>
      <c r="M60" s="962"/>
      <c r="N60" s="962">
        <f t="shared" si="38"/>
        <v>1000</v>
      </c>
      <c r="O60" s="963">
        <f t="shared" si="39"/>
        <v>1000</v>
      </c>
      <c r="P60" s="956">
        <f t="shared" si="43"/>
        <v>0</v>
      </c>
      <c r="Q60" s="959">
        <v>0</v>
      </c>
      <c r="R60" s="955"/>
      <c r="S60" s="955"/>
      <c r="T60" s="955"/>
      <c r="U60" s="955"/>
      <c r="V60" s="955"/>
      <c r="W60" s="955"/>
      <c r="X60" s="955"/>
      <c r="Y60" s="955"/>
      <c r="Z60" s="962">
        <f t="shared" si="40"/>
        <v>0</v>
      </c>
      <c r="AA60" s="962"/>
      <c r="AB60" s="962"/>
      <c r="AC60" s="962">
        <f t="shared" si="41"/>
        <v>0</v>
      </c>
      <c r="AD60" s="963">
        <f t="shared" si="42"/>
        <v>0</v>
      </c>
      <c r="AE60" s="956">
        <f>Q60*AD60</f>
        <v>0</v>
      </c>
      <c r="AF60" s="957">
        <f t="shared" si="34"/>
        <v>1000</v>
      </c>
      <c r="AG60" s="956">
        <f t="shared" si="35"/>
        <v>0</v>
      </c>
      <c r="AH60" s="960"/>
      <c r="AI60" s="956"/>
    </row>
    <row r="61" spans="1:36">
      <c r="A61" s="933" t="s">
        <v>7038</v>
      </c>
      <c r="B61" s="959"/>
      <c r="C61" s="955"/>
      <c r="D61" s="955"/>
      <c r="E61" s="955"/>
      <c r="F61" s="955"/>
      <c r="G61" s="955"/>
      <c r="H61" s="955"/>
      <c r="I61" s="955"/>
      <c r="J61" s="955"/>
      <c r="K61" s="962">
        <f t="shared" si="36"/>
        <v>0</v>
      </c>
      <c r="L61" s="962">
        <f t="shared" si="37"/>
        <v>1000</v>
      </c>
      <c r="M61" s="962"/>
      <c r="N61" s="962">
        <f t="shared" si="38"/>
        <v>1000</v>
      </c>
      <c r="O61" s="963">
        <f t="shared" si="39"/>
        <v>1000</v>
      </c>
      <c r="P61" s="956">
        <f t="shared" si="43"/>
        <v>0</v>
      </c>
      <c r="Q61" s="959">
        <v>0</v>
      </c>
      <c r="R61" s="955"/>
      <c r="S61" s="955"/>
      <c r="T61" s="955"/>
      <c r="U61" s="955"/>
      <c r="V61" s="955"/>
      <c r="W61" s="955"/>
      <c r="X61" s="955"/>
      <c r="Y61" s="955"/>
      <c r="Z61" s="962">
        <f t="shared" si="40"/>
        <v>0</v>
      </c>
      <c r="AA61" s="962"/>
      <c r="AB61" s="962"/>
      <c r="AC61" s="962">
        <f t="shared" si="41"/>
        <v>0</v>
      </c>
      <c r="AD61" s="963">
        <f t="shared" si="42"/>
        <v>0</v>
      </c>
      <c r="AE61" s="956">
        <f>Q61*AD61</f>
        <v>0</v>
      </c>
      <c r="AF61" s="957">
        <f t="shared" si="34"/>
        <v>1000</v>
      </c>
      <c r="AG61" s="956">
        <f t="shared" si="35"/>
        <v>0</v>
      </c>
      <c r="AH61" s="960"/>
      <c r="AI61" s="956"/>
    </row>
    <row r="62" spans="1:36">
      <c r="A62" s="933" t="s">
        <v>7037</v>
      </c>
      <c r="B62" s="959"/>
      <c r="C62" s="955"/>
      <c r="D62" s="955"/>
      <c r="E62" s="955"/>
      <c r="F62" s="955"/>
      <c r="G62" s="955"/>
      <c r="H62" s="955"/>
      <c r="I62" s="955"/>
      <c r="J62" s="955"/>
      <c r="K62" s="962">
        <f t="shared" si="36"/>
        <v>0</v>
      </c>
      <c r="L62" s="962">
        <f t="shared" si="37"/>
        <v>1000</v>
      </c>
      <c r="M62" s="962"/>
      <c r="N62" s="962">
        <f t="shared" si="38"/>
        <v>1000</v>
      </c>
      <c r="O62" s="963">
        <f t="shared" si="39"/>
        <v>1000</v>
      </c>
      <c r="P62" s="956">
        <f t="shared" si="43"/>
        <v>0</v>
      </c>
      <c r="Q62" s="959">
        <v>0</v>
      </c>
      <c r="R62" s="955"/>
      <c r="S62" s="955"/>
      <c r="T62" s="955"/>
      <c r="U62" s="955"/>
      <c r="V62" s="955"/>
      <c r="W62" s="955"/>
      <c r="X62" s="955"/>
      <c r="Y62" s="955"/>
      <c r="Z62" s="962">
        <f t="shared" si="40"/>
        <v>0</v>
      </c>
      <c r="AA62" s="962"/>
      <c r="AB62" s="962"/>
      <c r="AC62" s="962">
        <f t="shared" si="41"/>
        <v>0</v>
      </c>
      <c r="AD62" s="963">
        <f t="shared" si="42"/>
        <v>0</v>
      </c>
      <c r="AE62" s="956">
        <f>Q62*AD62</f>
        <v>0</v>
      </c>
      <c r="AF62" s="957">
        <f t="shared" si="34"/>
        <v>1000</v>
      </c>
      <c r="AG62" s="956">
        <f t="shared" si="35"/>
        <v>0</v>
      </c>
      <c r="AH62" s="960"/>
      <c r="AI62" s="956"/>
    </row>
    <row r="63" spans="1:36">
      <c r="A63" s="933" t="s">
        <v>7036</v>
      </c>
      <c r="B63" s="959"/>
      <c r="C63" s="955"/>
      <c r="D63" s="955"/>
      <c r="E63" s="955"/>
      <c r="F63" s="955"/>
      <c r="G63" s="955"/>
      <c r="H63" s="955"/>
      <c r="I63" s="955"/>
      <c r="J63" s="955"/>
      <c r="K63" s="962">
        <f t="shared" si="36"/>
        <v>0</v>
      </c>
      <c r="L63" s="962">
        <f t="shared" si="37"/>
        <v>1000</v>
      </c>
      <c r="M63" s="962"/>
      <c r="N63" s="962">
        <f t="shared" si="38"/>
        <v>1000</v>
      </c>
      <c r="O63" s="963">
        <f t="shared" si="39"/>
        <v>1000</v>
      </c>
      <c r="P63" s="956">
        <f t="shared" si="43"/>
        <v>0</v>
      </c>
      <c r="Q63" s="959">
        <v>0</v>
      </c>
      <c r="R63" s="955"/>
      <c r="S63" s="955"/>
      <c r="T63" s="955"/>
      <c r="U63" s="955"/>
      <c r="V63" s="955"/>
      <c r="W63" s="955"/>
      <c r="X63" s="955"/>
      <c r="Y63" s="955"/>
      <c r="Z63" s="962">
        <f t="shared" si="40"/>
        <v>0</v>
      </c>
      <c r="AA63" s="962"/>
      <c r="AB63" s="962"/>
      <c r="AC63" s="962">
        <f t="shared" si="41"/>
        <v>0</v>
      </c>
      <c r="AD63" s="963">
        <f t="shared" si="42"/>
        <v>0</v>
      </c>
      <c r="AE63" s="956">
        <f>Q63*AD63</f>
        <v>0</v>
      </c>
      <c r="AF63" s="957">
        <f t="shared" si="34"/>
        <v>1000</v>
      </c>
      <c r="AG63" s="956">
        <f t="shared" si="35"/>
        <v>0</v>
      </c>
      <c r="AH63" s="960"/>
      <c r="AI63" s="956"/>
    </row>
    <row r="64" spans="1:36">
      <c r="A64" s="933" t="s">
        <v>7035</v>
      </c>
      <c r="B64" s="959">
        <v>225</v>
      </c>
      <c r="C64" s="955">
        <v>1112.1400000000001</v>
      </c>
      <c r="D64" s="955"/>
      <c r="E64" s="955"/>
      <c r="F64" s="955"/>
      <c r="G64" s="955"/>
      <c r="H64" s="955"/>
      <c r="I64" s="955"/>
      <c r="J64" s="955"/>
      <c r="K64" s="962">
        <f t="shared" si="36"/>
        <v>1112.1400000000001</v>
      </c>
      <c r="L64" s="962">
        <f t="shared" si="37"/>
        <v>1000</v>
      </c>
      <c r="M64" s="962"/>
      <c r="N64" s="962">
        <f t="shared" si="38"/>
        <v>1000</v>
      </c>
      <c r="O64" s="963">
        <f t="shared" si="39"/>
        <v>14345.68</v>
      </c>
      <c r="P64" s="956">
        <f t="shared" si="43"/>
        <v>3227778</v>
      </c>
      <c r="Q64" s="959">
        <v>225</v>
      </c>
      <c r="R64" s="955">
        <v>1112.1400000000001</v>
      </c>
      <c r="S64" s="955"/>
      <c r="T64" s="955"/>
      <c r="U64" s="955"/>
      <c r="V64" s="955"/>
      <c r="W64" s="955"/>
      <c r="X64" s="955"/>
      <c r="Y64" s="955"/>
      <c r="Z64" s="962">
        <f t="shared" si="40"/>
        <v>1112.1400000000001</v>
      </c>
      <c r="AA64" s="962">
        <f>300+300+400</f>
        <v>1000</v>
      </c>
      <c r="AB64" s="962"/>
      <c r="AC64" s="962">
        <f t="shared" si="41"/>
        <v>1000</v>
      </c>
      <c r="AD64" s="963">
        <f t="shared" si="42"/>
        <v>14345.68</v>
      </c>
      <c r="AE64" s="956">
        <f>Q64*AD64</f>
        <v>3227778</v>
      </c>
      <c r="AF64" s="957">
        <f t="shared" si="34"/>
        <v>0</v>
      </c>
      <c r="AG64" s="956">
        <f t="shared" si="35"/>
        <v>0</v>
      </c>
      <c r="AH64" s="960">
        <v>221</v>
      </c>
      <c r="AI64" s="956">
        <v>3170395.2800000003</v>
      </c>
    </row>
    <row r="65" spans="1:35" ht="24">
      <c r="A65" s="931" t="s">
        <v>7165</v>
      </c>
      <c r="B65" s="945">
        <f>SUM(B66:B76)</f>
        <v>153</v>
      </c>
      <c r="C65" s="946"/>
      <c r="D65" s="946"/>
      <c r="E65" s="946"/>
      <c r="F65" s="946"/>
      <c r="G65" s="946"/>
      <c r="H65" s="946"/>
      <c r="I65" s="946"/>
      <c r="J65" s="946"/>
      <c r="K65" s="946"/>
      <c r="L65" s="946"/>
      <c r="M65" s="946"/>
      <c r="N65" s="946"/>
      <c r="O65" s="946">
        <f>SUM(O66:O76)</f>
        <v>112990.48000000001</v>
      </c>
      <c r="P65" s="947">
        <f>SUM(P66:P76)</f>
        <v>2726807.28</v>
      </c>
      <c r="Q65" s="945">
        <f>SUM(Q66:Q76)</f>
        <v>153</v>
      </c>
      <c r="R65" s="946"/>
      <c r="S65" s="946"/>
      <c r="T65" s="946"/>
      <c r="U65" s="946"/>
      <c r="V65" s="946"/>
      <c r="W65" s="946"/>
      <c r="X65" s="946"/>
      <c r="Y65" s="946"/>
      <c r="Z65" s="946"/>
      <c r="AA65" s="946"/>
      <c r="AB65" s="946"/>
      <c r="AC65" s="946"/>
      <c r="AD65" s="946">
        <f t="shared" ref="AD65:AI65" si="44">SUM(AD66:AD76)</f>
        <v>112990.48000000001</v>
      </c>
      <c r="AE65" s="947">
        <f t="shared" si="44"/>
        <v>2726807.28</v>
      </c>
      <c r="AF65" s="945">
        <f t="shared" si="44"/>
        <v>0</v>
      </c>
      <c r="AG65" s="947">
        <f t="shared" si="44"/>
        <v>0</v>
      </c>
      <c r="AH65" s="975">
        <f t="shared" si="44"/>
        <v>57</v>
      </c>
      <c r="AI65" s="947">
        <f t="shared" si="44"/>
        <v>1029384.1599999999</v>
      </c>
    </row>
    <row r="66" spans="1:35" hidden="1">
      <c r="A66" s="933" t="s">
        <v>7034</v>
      </c>
      <c r="B66" s="977">
        <v>0</v>
      </c>
      <c r="C66" s="962"/>
      <c r="D66" s="955"/>
      <c r="E66" s="955"/>
      <c r="F66" s="955"/>
      <c r="G66" s="955"/>
      <c r="H66" s="961">
        <f>(1.3*(365/12))+(2.6/12)</f>
        <v>39.75833333333334</v>
      </c>
      <c r="I66" s="955"/>
      <c r="J66" s="955"/>
      <c r="K66" s="962"/>
      <c r="L66" s="962"/>
      <c r="M66" s="962"/>
      <c r="N66" s="962"/>
      <c r="O66" s="963"/>
      <c r="P66" s="956">
        <f t="shared" ref="P66:P76" si="45">B66*O66</f>
        <v>0</v>
      </c>
      <c r="Q66" s="977"/>
      <c r="R66" s="962"/>
      <c r="S66" s="955"/>
      <c r="T66" s="955"/>
      <c r="U66" s="955"/>
      <c r="V66" s="955"/>
      <c r="W66" s="961"/>
      <c r="X66" s="955"/>
      <c r="Y66" s="955"/>
      <c r="Z66" s="962">
        <f t="shared" ref="Z66:Z76" si="46">SUM(R66:Y66)</f>
        <v>0</v>
      </c>
      <c r="AA66" s="962"/>
      <c r="AB66" s="962"/>
      <c r="AC66" s="962">
        <f t="shared" ref="AC66:AC76" si="47">SUM(AA66:AB66)</f>
        <v>0</v>
      </c>
      <c r="AD66" s="963">
        <f t="shared" ref="AD66:AD76" si="48">(Z66*12)+AC66</f>
        <v>0</v>
      </c>
      <c r="AE66" s="956">
        <f t="shared" ref="AE66:AE76" si="49">Q66*AD66</f>
        <v>0</v>
      </c>
      <c r="AF66" s="957">
        <f t="shared" ref="AF66:AF76" si="50">+O66-AD66</f>
        <v>0</v>
      </c>
      <c r="AG66" s="956">
        <f t="shared" ref="AG66:AG76" si="51">+P66-AE66</f>
        <v>0</v>
      </c>
      <c r="AH66" s="978"/>
      <c r="AI66" s="956"/>
    </row>
    <row r="67" spans="1:35" hidden="1">
      <c r="A67" s="933" t="s">
        <v>7033</v>
      </c>
      <c r="B67" s="977">
        <v>0</v>
      </c>
      <c r="C67" s="962"/>
      <c r="D67" s="955"/>
      <c r="E67" s="955"/>
      <c r="F67" s="955"/>
      <c r="G67" s="955"/>
      <c r="H67" s="961"/>
      <c r="I67" s="955"/>
      <c r="J67" s="955"/>
      <c r="K67" s="962"/>
      <c r="L67" s="962"/>
      <c r="M67" s="962"/>
      <c r="N67" s="962"/>
      <c r="O67" s="963"/>
      <c r="P67" s="956">
        <f t="shared" si="45"/>
        <v>0</v>
      </c>
      <c r="Q67" s="977"/>
      <c r="R67" s="962"/>
      <c r="S67" s="955"/>
      <c r="T67" s="955"/>
      <c r="U67" s="955"/>
      <c r="V67" s="955"/>
      <c r="W67" s="961"/>
      <c r="X67" s="955"/>
      <c r="Y67" s="955"/>
      <c r="Z67" s="962">
        <f t="shared" si="46"/>
        <v>0</v>
      </c>
      <c r="AA67" s="962"/>
      <c r="AB67" s="962"/>
      <c r="AC67" s="962">
        <f t="shared" si="47"/>
        <v>0</v>
      </c>
      <c r="AD67" s="963">
        <f t="shared" si="48"/>
        <v>0</v>
      </c>
      <c r="AE67" s="956">
        <f t="shared" si="49"/>
        <v>0</v>
      </c>
      <c r="AF67" s="957">
        <f t="shared" si="50"/>
        <v>0</v>
      </c>
      <c r="AG67" s="956">
        <f t="shared" si="51"/>
        <v>0</v>
      </c>
      <c r="AH67" s="978"/>
      <c r="AI67" s="956"/>
    </row>
    <row r="68" spans="1:35" hidden="1">
      <c r="A68" s="933" t="s">
        <v>7032</v>
      </c>
      <c r="B68" s="977">
        <v>0</v>
      </c>
      <c r="C68" s="962"/>
      <c r="D68" s="955"/>
      <c r="E68" s="955"/>
      <c r="F68" s="955"/>
      <c r="G68" s="955"/>
      <c r="H68" s="961"/>
      <c r="I68" s="955"/>
      <c r="J68" s="955"/>
      <c r="K68" s="962"/>
      <c r="L68" s="962"/>
      <c r="M68" s="962"/>
      <c r="N68" s="962"/>
      <c r="O68" s="963"/>
      <c r="P68" s="956">
        <f t="shared" si="45"/>
        <v>0</v>
      </c>
      <c r="Q68" s="977"/>
      <c r="R68" s="962"/>
      <c r="S68" s="955"/>
      <c r="T68" s="955"/>
      <c r="U68" s="955"/>
      <c r="V68" s="955"/>
      <c r="W68" s="961"/>
      <c r="X68" s="955"/>
      <c r="Y68" s="955"/>
      <c r="Z68" s="962">
        <f t="shared" si="46"/>
        <v>0</v>
      </c>
      <c r="AA68" s="962"/>
      <c r="AB68" s="962"/>
      <c r="AC68" s="962">
        <f t="shared" si="47"/>
        <v>0</v>
      </c>
      <c r="AD68" s="963">
        <f t="shared" si="48"/>
        <v>0</v>
      </c>
      <c r="AE68" s="956">
        <f t="shared" si="49"/>
        <v>0</v>
      </c>
      <c r="AF68" s="957">
        <f t="shared" si="50"/>
        <v>0</v>
      </c>
      <c r="AG68" s="956">
        <f t="shared" si="51"/>
        <v>0</v>
      </c>
      <c r="AH68" s="978"/>
      <c r="AI68" s="956"/>
    </row>
    <row r="69" spans="1:35" hidden="1">
      <c r="A69" s="933" t="s">
        <v>7027</v>
      </c>
      <c r="B69" s="977">
        <v>0</v>
      </c>
      <c r="C69" s="962"/>
      <c r="D69" s="955"/>
      <c r="E69" s="955"/>
      <c r="F69" s="955"/>
      <c r="G69" s="955"/>
      <c r="H69" s="969"/>
      <c r="I69" s="955"/>
      <c r="J69" s="955"/>
      <c r="K69" s="962"/>
      <c r="L69" s="962"/>
      <c r="M69" s="962"/>
      <c r="N69" s="962"/>
      <c r="O69" s="963"/>
      <c r="P69" s="956">
        <f t="shared" si="45"/>
        <v>0</v>
      </c>
      <c r="Q69" s="977"/>
      <c r="R69" s="962"/>
      <c r="S69" s="955"/>
      <c r="T69" s="955"/>
      <c r="U69" s="955"/>
      <c r="V69" s="955"/>
      <c r="W69" s="961"/>
      <c r="X69" s="955"/>
      <c r="Y69" s="955"/>
      <c r="Z69" s="962">
        <f t="shared" si="46"/>
        <v>0</v>
      </c>
      <c r="AA69" s="962"/>
      <c r="AB69" s="962"/>
      <c r="AC69" s="962">
        <f t="shared" si="47"/>
        <v>0</v>
      </c>
      <c r="AD69" s="963">
        <f t="shared" si="48"/>
        <v>0</v>
      </c>
      <c r="AE69" s="956">
        <f t="shared" si="49"/>
        <v>0</v>
      </c>
      <c r="AF69" s="957">
        <f t="shared" si="50"/>
        <v>0</v>
      </c>
      <c r="AG69" s="956">
        <f t="shared" si="51"/>
        <v>0</v>
      </c>
      <c r="AH69" s="978"/>
      <c r="AI69" s="956"/>
    </row>
    <row r="70" spans="1:35">
      <c r="A70" s="933" t="s">
        <v>7026</v>
      </c>
      <c r="B70" s="977">
        <v>12</v>
      </c>
      <c r="C70" s="955">
        <v>1833.21</v>
      </c>
      <c r="D70" s="955"/>
      <c r="E70" s="955"/>
      <c r="F70" s="955"/>
      <c r="G70" s="955"/>
      <c r="H70" s="961">
        <v>40</v>
      </c>
      <c r="I70" s="955"/>
      <c r="J70" s="955"/>
      <c r="K70" s="962">
        <f t="shared" ref="K70:K76" si="52">SUM(C70:J70)</f>
        <v>1873.21</v>
      </c>
      <c r="L70" s="962">
        <f t="shared" ref="L70:L76" si="53">300+300+400</f>
        <v>1000</v>
      </c>
      <c r="M70" s="962"/>
      <c r="N70" s="962">
        <f t="shared" ref="N70:N76" si="54">SUM(L70:M70)</f>
        <v>1000</v>
      </c>
      <c r="O70" s="963">
        <f t="shared" ref="O70:O76" si="55">(K70*12)+N70</f>
        <v>23478.52</v>
      </c>
      <c r="P70" s="956">
        <f t="shared" si="45"/>
        <v>281742.24</v>
      </c>
      <c r="Q70" s="977">
        <v>12</v>
      </c>
      <c r="R70" s="955">
        <v>1833.21</v>
      </c>
      <c r="S70" s="955"/>
      <c r="T70" s="955"/>
      <c r="U70" s="955"/>
      <c r="V70" s="955"/>
      <c r="W70" s="961">
        <v>40</v>
      </c>
      <c r="X70" s="955"/>
      <c r="Y70" s="955"/>
      <c r="Z70" s="962">
        <f t="shared" si="46"/>
        <v>1873.21</v>
      </c>
      <c r="AA70" s="962">
        <f t="shared" ref="AA70:AA76" si="56">300+300+400</f>
        <v>1000</v>
      </c>
      <c r="AB70" s="962"/>
      <c r="AC70" s="962">
        <f t="shared" si="47"/>
        <v>1000</v>
      </c>
      <c r="AD70" s="963">
        <f t="shared" si="48"/>
        <v>23478.52</v>
      </c>
      <c r="AE70" s="956">
        <f t="shared" si="49"/>
        <v>281742.24</v>
      </c>
      <c r="AF70" s="957">
        <f t="shared" si="50"/>
        <v>0</v>
      </c>
      <c r="AG70" s="956">
        <f t="shared" si="51"/>
        <v>0</v>
      </c>
      <c r="AH70" s="960">
        <v>5</v>
      </c>
      <c r="AI70" s="956">
        <v>114992.6</v>
      </c>
    </row>
    <row r="71" spans="1:35">
      <c r="A71" s="933" t="s">
        <v>7025</v>
      </c>
      <c r="B71" s="977">
        <v>40</v>
      </c>
      <c r="C71" s="955">
        <v>1570.92</v>
      </c>
      <c r="D71" s="955"/>
      <c r="E71" s="955"/>
      <c r="F71" s="955"/>
      <c r="G71" s="955"/>
      <c r="H71" s="961">
        <v>40</v>
      </c>
      <c r="I71" s="955"/>
      <c r="J71" s="955"/>
      <c r="K71" s="962">
        <f t="shared" si="52"/>
        <v>1610.92</v>
      </c>
      <c r="L71" s="962">
        <f t="shared" si="53"/>
        <v>1000</v>
      </c>
      <c r="M71" s="962"/>
      <c r="N71" s="962">
        <f t="shared" si="54"/>
        <v>1000</v>
      </c>
      <c r="O71" s="963">
        <f t="shared" si="55"/>
        <v>20331.04</v>
      </c>
      <c r="P71" s="956">
        <f t="shared" si="45"/>
        <v>813241.60000000009</v>
      </c>
      <c r="Q71" s="977">
        <v>40</v>
      </c>
      <c r="R71" s="955">
        <v>1570.92</v>
      </c>
      <c r="S71" s="955"/>
      <c r="T71" s="955"/>
      <c r="U71" s="955"/>
      <c r="V71" s="955"/>
      <c r="W71" s="961">
        <v>40</v>
      </c>
      <c r="X71" s="955"/>
      <c r="Y71" s="955"/>
      <c r="Z71" s="962">
        <f t="shared" si="46"/>
        <v>1610.92</v>
      </c>
      <c r="AA71" s="962">
        <f t="shared" si="56"/>
        <v>1000</v>
      </c>
      <c r="AB71" s="962"/>
      <c r="AC71" s="962">
        <f t="shared" si="47"/>
        <v>1000</v>
      </c>
      <c r="AD71" s="963">
        <f t="shared" si="48"/>
        <v>20331.04</v>
      </c>
      <c r="AE71" s="956">
        <f t="shared" si="49"/>
        <v>813241.60000000009</v>
      </c>
      <c r="AF71" s="957">
        <f t="shared" si="50"/>
        <v>0</v>
      </c>
      <c r="AG71" s="956">
        <f t="shared" si="51"/>
        <v>0</v>
      </c>
      <c r="AH71" s="960">
        <v>17</v>
      </c>
      <c r="AI71" s="956">
        <v>345600.48</v>
      </c>
    </row>
    <row r="72" spans="1:35">
      <c r="A72" s="933" t="s">
        <v>7024</v>
      </c>
      <c r="B72" s="977">
        <v>58</v>
      </c>
      <c r="C72" s="955">
        <v>1415.28</v>
      </c>
      <c r="D72" s="955"/>
      <c r="E72" s="955"/>
      <c r="F72" s="955"/>
      <c r="G72" s="955"/>
      <c r="H72" s="961">
        <v>40</v>
      </c>
      <c r="I72" s="955"/>
      <c r="J72" s="955"/>
      <c r="K72" s="962">
        <f t="shared" si="52"/>
        <v>1455.28</v>
      </c>
      <c r="L72" s="962">
        <f t="shared" si="53"/>
        <v>1000</v>
      </c>
      <c r="M72" s="962"/>
      <c r="N72" s="962">
        <f t="shared" si="54"/>
        <v>1000</v>
      </c>
      <c r="O72" s="963">
        <f t="shared" si="55"/>
        <v>18463.36</v>
      </c>
      <c r="P72" s="956">
        <f t="shared" si="45"/>
        <v>1070874.8800000001</v>
      </c>
      <c r="Q72" s="977">
        <v>58</v>
      </c>
      <c r="R72" s="955">
        <v>1415.28</v>
      </c>
      <c r="S72" s="955"/>
      <c r="T72" s="955"/>
      <c r="U72" s="955"/>
      <c r="V72" s="955"/>
      <c r="W72" s="961">
        <v>40</v>
      </c>
      <c r="X72" s="955"/>
      <c r="Y72" s="955"/>
      <c r="Z72" s="962">
        <f t="shared" si="46"/>
        <v>1455.28</v>
      </c>
      <c r="AA72" s="962">
        <f t="shared" si="56"/>
        <v>1000</v>
      </c>
      <c r="AB72" s="962"/>
      <c r="AC72" s="962">
        <f t="shared" si="47"/>
        <v>1000</v>
      </c>
      <c r="AD72" s="963">
        <f t="shared" si="48"/>
        <v>18463.36</v>
      </c>
      <c r="AE72" s="956">
        <f t="shared" si="49"/>
        <v>1070874.8800000001</v>
      </c>
      <c r="AF72" s="957">
        <f t="shared" si="50"/>
        <v>0</v>
      </c>
      <c r="AG72" s="956">
        <f t="shared" si="51"/>
        <v>0</v>
      </c>
      <c r="AH72" s="960">
        <v>25</v>
      </c>
      <c r="AI72" s="956">
        <v>449584</v>
      </c>
    </row>
    <row r="73" spans="1:35">
      <c r="A73" s="933" t="s">
        <v>7023</v>
      </c>
      <c r="B73" s="977">
        <v>17</v>
      </c>
      <c r="C73" s="955">
        <v>1071.52</v>
      </c>
      <c r="D73" s="955"/>
      <c r="E73" s="955"/>
      <c r="F73" s="955"/>
      <c r="G73" s="955"/>
      <c r="H73" s="961">
        <v>40</v>
      </c>
      <c r="I73" s="955"/>
      <c r="J73" s="955"/>
      <c r="K73" s="962">
        <f t="shared" si="52"/>
        <v>1111.52</v>
      </c>
      <c r="L73" s="962">
        <f t="shared" si="53"/>
        <v>1000</v>
      </c>
      <c r="M73" s="962"/>
      <c r="N73" s="962">
        <f t="shared" si="54"/>
        <v>1000</v>
      </c>
      <c r="O73" s="963">
        <f t="shared" si="55"/>
        <v>14338.24</v>
      </c>
      <c r="P73" s="956">
        <f t="shared" si="45"/>
        <v>243750.08</v>
      </c>
      <c r="Q73" s="977">
        <v>17</v>
      </c>
      <c r="R73" s="955">
        <v>1071.52</v>
      </c>
      <c r="S73" s="955"/>
      <c r="T73" s="955"/>
      <c r="U73" s="955"/>
      <c r="V73" s="955"/>
      <c r="W73" s="961">
        <v>40</v>
      </c>
      <c r="X73" s="955"/>
      <c r="Y73" s="955"/>
      <c r="Z73" s="962">
        <f t="shared" si="46"/>
        <v>1111.52</v>
      </c>
      <c r="AA73" s="962">
        <f t="shared" si="56"/>
        <v>1000</v>
      </c>
      <c r="AB73" s="962"/>
      <c r="AC73" s="962">
        <f t="shared" si="47"/>
        <v>1000</v>
      </c>
      <c r="AD73" s="963">
        <f t="shared" si="48"/>
        <v>14338.24</v>
      </c>
      <c r="AE73" s="956">
        <f t="shared" si="49"/>
        <v>243750.08</v>
      </c>
      <c r="AF73" s="957">
        <f t="shared" si="50"/>
        <v>0</v>
      </c>
      <c r="AG73" s="956">
        <f t="shared" si="51"/>
        <v>0</v>
      </c>
      <c r="AH73" s="960">
        <v>1</v>
      </c>
      <c r="AI73" s="956">
        <v>13858.24</v>
      </c>
    </row>
    <row r="74" spans="1:35">
      <c r="A74" s="933" t="s">
        <v>7022</v>
      </c>
      <c r="B74" s="977">
        <v>22</v>
      </c>
      <c r="C74" s="955">
        <v>896.05</v>
      </c>
      <c r="D74" s="955"/>
      <c r="E74" s="955"/>
      <c r="F74" s="955"/>
      <c r="G74" s="955"/>
      <c r="H74" s="961">
        <v>40</v>
      </c>
      <c r="I74" s="955"/>
      <c r="J74" s="955"/>
      <c r="K74" s="962">
        <f t="shared" si="52"/>
        <v>936.05</v>
      </c>
      <c r="L74" s="962">
        <f t="shared" si="53"/>
        <v>1000</v>
      </c>
      <c r="M74" s="962"/>
      <c r="N74" s="962">
        <f t="shared" si="54"/>
        <v>1000</v>
      </c>
      <c r="O74" s="963">
        <f t="shared" si="55"/>
        <v>12232.599999999999</v>
      </c>
      <c r="P74" s="956">
        <f t="shared" si="45"/>
        <v>269117.19999999995</v>
      </c>
      <c r="Q74" s="977">
        <v>22</v>
      </c>
      <c r="R74" s="955">
        <v>896.05</v>
      </c>
      <c r="S74" s="955"/>
      <c r="T74" s="955"/>
      <c r="U74" s="955"/>
      <c r="V74" s="955"/>
      <c r="W74" s="961">
        <v>40</v>
      </c>
      <c r="X74" s="955"/>
      <c r="Y74" s="955"/>
      <c r="Z74" s="962">
        <f t="shared" si="46"/>
        <v>936.05</v>
      </c>
      <c r="AA74" s="962">
        <f t="shared" si="56"/>
        <v>1000</v>
      </c>
      <c r="AB74" s="962"/>
      <c r="AC74" s="962">
        <f t="shared" si="47"/>
        <v>1000</v>
      </c>
      <c r="AD74" s="963">
        <f t="shared" si="48"/>
        <v>12232.599999999999</v>
      </c>
      <c r="AE74" s="956">
        <f t="shared" si="49"/>
        <v>269117.19999999995</v>
      </c>
      <c r="AF74" s="957">
        <f t="shared" si="50"/>
        <v>0</v>
      </c>
      <c r="AG74" s="956">
        <f t="shared" si="51"/>
        <v>0</v>
      </c>
      <c r="AH74" s="960">
        <v>7</v>
      </c>
      <c r="AI74" s="956">
        <v>82268.199999999983</v>
      </c>
    </row>
    <row r="75" spans="1:35">
      <c r="A75" s="933" t="s">
        <v>7021</v>
      </c>
      <c r="B75" s="977">
        <v>0</v>
      </c>
      <c r="C75" s="955">
        <v>887.2</v>
      </c>
      <c r="D75" s="955"/>
      <c r="E75" s="955"/>
      <c r="F75" s="955"/>
      <c r="G75" s="955"/>
      <c r="H75" s="961">
        <v>40</v>
      </c>
      <c r="I75" s="955"/>
      <c r="J75" s="955"/>
      <c r="K75" s="962">
        <f t="shared" si="52"/>
        <v>927.2</v>
      </c>
      <c r="L75" s="962">
        <f t="shared" si="53"/>
        <v>1000</v>
      </c>
      <c r="M75" s="962"/>
      <c r="N75" s="962">
        <f t="shared" si="54"/>
        <v>1000</v>
      </c>
      <c r="O75" s="963">
        <f t="shared" si="55"/>
        <v>12126.400000000001</v>
      </c>
      <c r="P75" s="956">
        <f t="shared" si="45"/>
        <v>0</v>
      </c>
      <c r="Q75" s="977">
        <v>0</v>
      </c>
      <c r="R75" s="955">
        <v>887.2</v>
      </c>
      <c r="S75" s="955"/>
      <c r="T75" s="955"/>
      <c r="U75" s="955"/>
      <c r="V75" s="955"/>
      <c r="W75" s="961">
        <v>40</v>
      </c>
      <c r="X75" s="955"/>
      <c r="Y75" s="955"/>
      <c r="Z75" s="962">
        <f t="shared" si="46"/>
        <v>927.2</v>
      </c>
      <c r="AA75" s="962">
        <f t="shared" si="56"/>
        <v>1000</v>
      </c>
      <c r="AB75" s="962"/>
      <c r="AC75" s="962">
        <f t="shared" si="47"/>
        <v>1000</v>
      </c>
      <c r="AD75" s="963">
        <f t="shared" si="48"/>
        <v>12126.400000000001</v>
      </c>
      <c r="AE75" s="956">
        <f t="shared" si="49"/>
        <v>0</v>
      </c>
      <c r="AF75" s="957">
        <f t="shared" si="50"/>
        <v>0</v>
      </c>
      <c r="AG75" s="956">
        <f t="shared" si="51"/>
        <v>0</v>
      </c>
      <c r="AH75" s="960">
        <v>0</v>
      </c>
      <c r="AI75" s="956">
        <v>0</v>
      </c>
    </row>
    <row r="76" spans="1:35">
      <c r="A76" s="933" t="s">
        <v>7020</v>
      </c>
      <c r="B76" s="977">
        <v>4</v>
      </c>
      <c r="C76" s="955">
        <v>878.36</v>
      </c>
      <c r="D76" s="955"/>
      <c r="E76" s="955"/>
      <c r="F76" s="955"/>
      <c r="G76" s="955"/>
      <c r="H76" s="961">
        <v>40</v>
      </c>
      <c r="I76" s="955"/>
      <c r="J76" s="955"/>
      <c r="K76" s="962">
        <f t="shared" si="52"/>
        <v>918.36</v>
      </c>
      <c r="L76" s="962">
        <f t="shared" si="53"/>
        <v>1000</v>
      </c>
      <c r="M76" s="962"/>
      <c r="N76" s="962">
        <f t="shared" si="54"/>
        <v>1000</v>
      </c>
      <c r="O76" s="963">
        <f t="shared" si="55"/>
        <v>12020.32</v>
      </c>
      <c r="P76" s="956">
        <f t="shared" si="45"/>
        <v>48081.279999999999</v>
      </c>
      <c r="Q76" s="977">
        <v>4</v>
      </c>
      <c r="R76" s="955">
        <v>878.36</v>
      </c>
      <c r="S76" s="955"/>
      <c r="T76" s="955"/>
      <c r="U76" s="955"/>
      <c r="V76" s="955"/>
      <c r="W76" s="961">
        <v>40</v>
      </c>
      <c r="X76" s="955"/>
      <c r="Y76" s="955"/>
      <c r="Z76" s="962">
        <f t="shared" si="46"/>
        <v>918.36</v>
      </c>
      <c r="AA76" s="962">
        <f t="shared" si="56"/>
        <v>1000</v>
      </c>
      <c r="AB76" s="962"/>
      <c r="AC76" s="962">
        <f t="shared" si="47"/>
        <v>1000</v>
      </c>
      <c r="AD76" s="963">
        <f t="shared" si="48"/>
        <v>12020.32</v>
      </c>
      <c r="AE76" s="956">
        <f t="shared" si="49"/>
        <v>48081.279999999999</v>
      </c>
      <c r="AF76" s="957">
        <f t="shared" si="50"/>
        <v>0</v>
      </c>
      <c r="AG76" s="956">
        <f t="shared" si="51"/>
        <v>0</v>
      </c>
      <c r="AH76" s="960">
        <v>2</v>
      </c>
      <c r="AI76" s="956">
        <v>23080.639999999999</v>
      </c>
    </row>
    <row r="77" spans="1:35" ht="24">
      <c r="A77" s="931" t="s">
        <v>7164</v>
      </c>
      <c r="B77" s="945">
        <f>SUM(B78:B88)</f>
        <v>0</v>
      </c>
      <c r="C77" s="946"/>
      <c r="D77" s="946"/>
      <c r="E77" s="946"/>
      <c r="F77" s="946"/>
      <c r="G77" s="946"/>
      <c r="H77" s="946"/>
      <c r="I77" s="946"/>
      <c r="J77" s="946"/>
      <c r="K77" s="946"/>
      <c r="L77" s="946"/>
      <c r="M77" s="946"/>
      <c r="N77" s="946"/>
      <c r="O77" s="946">
        <f>SUM(O78:O88)</f>
        <v>0</v>
      </c>
      <c r="P77" s="947">
        <f>SUM(P78:P88)</f>
        <v>0</v>
      </c>
      <c r="Q77" s="945">
        <f>SUM(Q78:Q88)</f>
        <v>0</v>
      </c>
      <c r="R77" s="946"/>
      <c r="S77" s="946"/>
      <c r="T77" s="946"/>
      <c r="U77" s="946"/>
      <c r="V77" s="946"/>
      <c r="W77" s="946"/>
      <c r="X77" s="946"/>
      <c r="Y77" s="946"/>
      <c r="Z77" s="946"/>
      <c r="AA77" s="946"/>
      <c r="AB77" s="946"/>
      <c r="AC77" s="946"/>
      <c r="AD77" s="946">
        <f t="shared" ref="AD77:AI77" si="57">SUM(AD78:AD88)</f>
        <v>0</v>
      </c>
      <c r="AE77" s="947">
        <f t="shared" si="57"/>
        <v>0</v>
      </c>
      <c r="AF77" s="945">
        <f t="shared" si="57"/>
        <v>0</v>
      </c>
      <c r="AG77" s="947">
        <f t="shared" si="57"/>
        <v>0</v>
      </c>
      <c r="AH77" s="975">
        <f t="shared" si="57"/>
        <v>136</v>
      </c>
      <c r="AI77" s="947">
        <f t="shared" si="57"/>
        <v>2268799.6</v>
      </c>
    </row>
    <row r="78" spans="1:35" hidden="1">
      <c r="A78" s="933" t="s">
        <v>7034</v>
      </c>
      <c r="B78" s="977"/>
      <c r="C78" s="962"/>
      <c r="D78" s="955"/>
      <c r="E78" s="955"/>
      <c r="F78" s="955"/>
      <c r="G78" s="955"/>
      <c r="H78" s="961"/>
      <c r="I78" s="955"/>
      <c r="J78" s="955"/>
      <c r="K78" s="962"/>
      <c r="L78" s="962"/>
      <c r="M78" s="962"/>
      <c r="N78" s="962"/>
      <c r="O78" s="963"/>
      <c r="P78" s="956"/>
      <c r="Q78" s="977"/>
      <c r="R78" s="962"/>
      <c r="S78" s="955"/>
      <c r="T78" s="955"/>
      <c r="U78" s="955"/>
      <c r="V78" s="955"/>
      <c r="W78" s="961"/>
      <c r="X78" s="955"/>
      <c r="Y78" s="955"/>
      <c r="Z78" s="962"/>
      <c r="AA78" s="962"/>
      <c r="AB78" s="962"/>
      <c r="AC78" s="962"/>
      <c r="AD78" s="963"/>
      <c r="AE78" s="956"/>
      <c r="AF78" s="957">
        <f t="shared" ref="AF78:AF88" si="58">+O78-AD78</f>
        <v>0</v>
      </c>
      <c r="AG78" s="956">
        <f t="shared" ref="AG78:AG88" si="59">+P78-AE78</f>
        <v>0</v>
      </c>
      <c r="AH78" s="978"/>
      <c r="AI78" s="956"/>
    </row>
    <row r="79" spans="1:35" hidden="1">
      <c r="A79" s="933" t="s">
        <v>7033</v>
      </c>
      <c r="B79" s="977"/>
      <c r="C79" s="962"/>
      <c r="D79" s="955"/>
      <c r="E79" s="955"/>
      <c r="F79" s="955"/>
      <c r="G79" s="955"/>
      <c r="H79" s="961"/>
      <c r="I79" s="955"/>
      <c r="J79" s="955"/>
      <c r="K79" s="962"/>
      <c r="L79" s="962"/>
      <c r="M79" s="962"/>
      <c r="N79" s="962"/>
      <c r="O79" s="963"/>
      <c r="P79" s="956"/>
      <c r="Q79" s="977"/>
      <c r="R79" s="962"/>
      <c r="S79" s="955"/>
      <c r="T79" s="955"/>
      <c r="U79" s="955"/>
      <c r="V79" s="955"/>
      <c r="W79" s="961"/>
      <c r="X79" s="955"/>
      <c r="Y79" s="955"/>
      <c r="Z79" s="962"/>
      <c r="AA79" s="962"/>
      <c r="AB79" s="962"/>
      <c r="AC79" s="962"/>
      <c r="AD79" s="963"/>
      <c r="AE79" s="956"/>
      <c r="AF79" s="957">
        <f t="shared" si="58"/>
        <v>0</v>
      </c>
      <c r="AG79" s="956">
        <f t="shared" si="59"/>
        <v>0</v>
      </c>
      <c r="AH79" s="978"/>
      <c r="AI79" s="956"/>
    </row>
    <row r="80" spans="1:35" hidden="1">
      <c r="A80" s="933" t="s">
        <v>7032</v>
      </c>
      <c r="B80" s="977"/>
      <c r="C80" s="962"/>
      <c r="D80" s="955"/>
      <c r="E80" s="955"/>
      <c r="F80" s="955"/>
      <c r="G80" s="955"/>
      <c r="H80" s="961"/>
      <c r="I80" s="955"/>
      <c r="J80" s="955"/>
      <c r="K80" s="962"/>
      <c r="L80" s="962"/>
      <c r="M80" s="962"/>
      <c r="N80" s="962"/>
      <c r="O80" s="963"/>
      <c r="P80" s="956"/>
      <c r="Q80" s="977"/>
      <c r="R80" s="962"/>
      <c r="S80" s="955"/>
      <c r="T80" s="955"/>
      <c r="U80" s="955"/>
      <c r="V80" s="955"/>
      <c r="W80" s="961"/>
      <c r="X80" s="955"/>
      <c r="Y80" s="955"/>
      <c r="Z80" s="962"/>
      <c r="AA80" s="962"/>
      <c r="AB80" s="962"/>
      <c r="AC80" s="962"/>
      <c r="AD80" s="963"/>
      <c r="AE80" s="956"/>
      <c r="AF80" s="957">
        <f t="shared" si="58"/>
        <v>0</v>
      </c>
      <c r="AG80" s="956">
        <f t="shared" si="59"/>
        <v>0</v>
      </c>
      <c r="AH80" s="978"/>
      <c r="AI80" s="956"/>
    </row>
    <row r="81" spans="1:35" hidden="1">
      <c r="A81" s="933" t="s">
        <v>7027</v>
      </c>
      <c r="B81" s="977"/>
      <c r="C81" s="962"/>
      <c r="D81" s="955"/>
      <c r="E81" s="955"/>
      <c r="F81" s="955"/>
      <c r="G81" s="955"/>
      <c r="H81" s="961"/>
      <c r="I81" s="955"/>
      <c r="J81" s="955"/>
      <c r="K81" s="962"/>
      <c r="L81" s="962"/>
      <c r="M81" s="962"/>
      <c r="N81" s="962"/>
      <c r="O81" s="963"/>
      <c r="P81" s="956"/>
      <c r="Q81" s="977"/>
      <c r="R81" s="962"/>
      <c r="S81" s="955"/>
      <c r="T81" s="955"/>
      <c r="U81" s="955"/>
      <c r="V81" s="955"/>
      <c r="W81" s="961"/>
      <c r="X81" s="955"/>
      <c r="Y81" s="955"/>
      <c r="Z81" s="962"/>
      <c r="AA81" s="962"/>
      <c r="AB81" s="962"/>
      <c r="AC81" s="962"/>
      <c r="AD81" s="963"/>
      <c r="AE81" s="956"/>
      <c r="AF81" s="957">
        <f t="shared" si="58"/>
        <v>0</v>
      </c>
      <c r="AG81" s="956">
        <f t="shared" si="59"/>
        <v>0</v>
      </c>
      <c r="AH81" s="978"/>
      <c r="AI81" s="956"/>
    </row>
    <row r="82" spans="1:35">
      <c r="A82" s="933" t="s">
        <v>7026</v>
      </c>
      <c r="B82" s="977"/>
      <c r="C82" s="955"/>
      <c r="D82" s="955"/>
      <c r="E82" s="955"/>
      <c r="F82" s="955"/>
      <c r="G82" s="955"/>
      <c r="H82" s="961"/>
      <c r="I82" s="955"/>
      <c r="J82" s="955"/>
      <c r="K82" s="962"/>
      <c r="L82" s="962"/>
      <c r="M82" s="962"/>
      <c r="N82" s="962"/>
      <c r="O82" s="963"/>
      <c r="P82" s="956"/>
      <c r="Q82" s="977"/>
      <c r="R82" s="955"/>
      <c r="S82" s="955"/>
      <c r="T82" s="955"/>
      <c r="U82" s="955"/>
      <c r="V82" s="955"/>
      <c r="W82" s="961"/>
      <c r="X82" s="955"/>
      <c r="Y82" s="955"/>
      <c r="Z82" s="962"/>
      <c r="AA82" s="962"/>
      <c r="AB82" s="962"/>
      <c r="AC82" s="962"/>
      <c r="AD82" s="963"/>
      <c r="AE82" s="956"/>
      <c r="AF82" s="957">
        <f t="shared" si="58"/>
        <v>0</v>
      </c>
      <c r="AG82" s="956">
        <f t="shared" si="59"/>
        <v>0</v>
      </c>
      <c r="AH82" s="960">
        <v>4</v>
      </c>
      <c r="AI82" s="956">
        <v>93907.680000000008</v>
      </c>
    </row>
    <row r="83" spans="1:35">
      <c r="A83" s="933" t="s">
        <v>7025</v>
      </c>
      <c r="B83" s="977"/>
      <c r="C83" s="955"/>
      <c r="D83" s="955"/>
      <c r="E83" s="955"/>
      <c r="F83" s="955"/>
      <c r="G83" s="955"/>
      <c r="H83" s="961"/>
      <c r="I83" s="955"/>
      <c r="J83" s="955"/>
      <c r="K83" s="962"/>
      <c r="L83" s="962"/>
      <c r="M83" s="962"/>
      <c r="N83" s="962"/>
      <c r="O83" s="963"/>
      <c r="P83" s="956"/>
      <c r="Q83" s="977"/>
      <c r="R83" s="955"/>
      <c r="S83" s="955"/>
      <c r="T83" s="955"/>
      <c r="U83" s="955"/>
      <c r="V83" s="955"/>
      <c r="W83" s="961"/>
      <c r="X83" s="955"/>
      <c r="Y83" s="955"/>
      <c r="Z83" s="962"/>
      <c r="AA83" s="962"/>
      <c r="AB83" s="962"/>
      <c r="AC83" s="962"/>
      <c r="AD83" s="963"/>
      <c r="AE83" s="956"/>
      <c r="AF83" s="957">
        <f t="shared" si="58"/>
        <v>0</v>
      </c>
      <c r="AG83" s="956">
        <f t="shared" si="59"/>
        <v>0</v>
      </c>
      <c r="AH83" s="960">
        <v>17</v>
      </c>
      <c r="AI83" s="956">
        <v>345600.48</v>
      </c>
    </row>
    <row r="84" spans="1:35">
      <c r="A84" s="933" t="s">
        <v>7024</v>
      </c>
      <c r="B84" s="977"/>
      <c r="C84" s="955"/>
      <c r="D84" s="955"/>
      <c r="E84" s="955"/>
      <c r="F84" s="955"/>
      <c r="G84" s="955"/>
      <c r="H84" s="961"/>
      <c r="I84" s="955"/>
      <c r="J84" s="955"/>
      <c r="K84" s="962"/>
      <c r="L84" s="962"/>
      <c r="M84" s="962"/>
      <c r="N84" s="962"/>
      <c r="O84" s="963"/>
      <c r="P84" s="956"/>
      <c r="Q84" s="977"/>
      <c r="R84" s="955"/>
      <c r="S84" s="955"/>
      <c r="T84" s="955"/>
      <c r="U84" s="955"/>
      <c r="V84" s="955"/>
      <c r="W84" s="961"/>
      <c r="X84" s="955"/>
      <c r="Y84" s="955"/>
      <c r="Z84" s="962"/>
      <c r="AA84" s="962"/>
      <c r="AB84" s="962"/>
      <c r="AC84" s="962"/>
      <c r="AD84" s="963"/>
      <c r="AE84" s="956"/>
      <c r="AF84" s="957">
        <f t="shared" si="58"/>
        <v>0</v>
      </c>
      <c r="AG84" s="956">
        <f t="shared" si="59"/>
        <v>0</v>
      </c>
      <c r="AH84" s="960">
        <v>50</v>
      </c>
      <c r="AI84" s="956">
        <v>922889.8</v>
      </c>
    </row>
    <row r="85" spans="1:35">
      <c r="A85" s="933" t="s">
        <v>7023</v>
      </c>
      <c r="B85" s="977"/>
      <c r="C85" s="955"/>
      <c r="D85" s="955"/>
      <c r="E85" s="955"/>
      <c r="F85" s="955"/>
      <c r="G85" s="955"/>
      <c r="H85" s="961"/>
      <c r="I85" s="955"/>
      <c r="J85" s="955"/>
      <c r="K85" s="962"/>
      <c r="L85" s="962"/>
      <c r="M85" s="962"/>
      <c r="N85" s="962"/>
      <c r="O85" s="963"/>
      <c r="P85" s="956"/>
      <c r="Q85" s="977"/>
      <c r="R85" s="955"/>
      <c r="S85" s="955"/>
      <c r="T85" s="955"/>
      <c r="U85" s="955"/>
      <c r="V85" s="955"/>
      <c r="W85" s="961"/>
      <c r="X85" s="955"/>
      <c r="Y85" s="955"/>
      <c r="Z85" s="962"/>
      <c r="AA85" s="962"/>
      <c r="AB85" s="962"/>
      <c r="AC85" s="962"/>
      <c r="AD85" s="963"/>
      <c r="AE85" s="956"/>
      <c r="AF85" s="957">
        <f t="shared" si="58"/>
        <v>0</v>
      </c>
      <c r="AG85" s="956">
        <f t="shared" si="59"/>
        <v>0</v>
      </c>
      <c r="AH85" s="960">
        <v>53</v>
      </c>
      <c r="AI85" s="956">
        <v>759841.92</v>
      </c>
    </row>
    <row r="86" spans="1:35">
      <c r="A86" s="933" t="s">
        <v>7022</v>
      </c>
      <c r="B86" s="977"/>
      <c r="C86" s="955"/>
      <c r="D86" s="955"/>
      <c r="E86" s="955"/>
      <c r="F86" s="955"/>
      <c r="G86" s="955"/>
      <c r="H86" s="961"/>
      <c r="I86" s="955"/>
      <c r="J86" s="955"/>
      <c r="K86" s="962"/>
      <c r="L86" s="962"/>
      <c r="M86" s="962"/>
      <c r="N86" s="962"/>
      <c r="O86" s="963"/>
      <c r="P86" s="956"/>
      <c r="Q86" s="977"/>
      <c r="R86" s="955"/>
      <c r="S86" s="955"/>
      <c r="T86" s="955"/>
      <c r="U86" s="955"/>
      <c r="V86" s="955"/>
      <c r="W86" s="961"/>
      <c r="X86" s="955"/>
      <c r="Y86" s="955"/>
      <c r="Z86" s="962"/>
      <c r="AA86" s="962"/>
      <c r="AB86" s="962"/>
      <c r="AC86" s="962"/>
      <c r="AD86" s="963"/>
      <c r="AE86" s="956"/>
      <c r="AF86" s="957">
        <f t="shared" si="58"/>
        <v>0</v>
      </c>
      <c r="AG86" s="956">
        <f t="shared" si="59"/>
        <v>0</v>
      </c>
      <c r="AH86" s="960">
        <v>11</v>
      </c>
      <c r="AI86" s="956">
        <v>134540.99999999997</v>
      </c>
    </row>
    <row r="87" spans="1:35" hidden="1">
      <c r="A87" s="933" t="s">
        <v>7021</v>
      </c>
      <c r="B87" s="977"/>
      <c r="C87" s="955"/>
      <c r="D87" s="955"/>
      <c r="E87" s="955"/>
      <c r="F87" s="955"/>
      <c r="G87" s="955"/>
      <c r="H87" s="961"/>
      <c r="I87" s="955"/>
      <c r="J87" s="955"/>
      <c r="K87" s="962"/>
      <c r="L87" s="962"/>
      <c r="M87" s="962"/>
      <c r="N87" s="962"/>
      <c r="O87" s="963"/>
      <c r="P87" s="956"/>
      <c r="Q87" s="977"/>
      <c r="R87" s="955"/>
      <c r="S87" s="955"/>
      <c r="T87" s="955"/>
      <c r="U87" s="955"/>
      <c r="V87" s="955"/>
      <c r="W87" s="961"/>
      <c r="X87" s="955"/>
      <c r="Y87" s="955"/>
      <c r="Z87" s="962"/>
      <c r="AA87" s="962"/>
      <c r="AB87" s="962"/>
      <c r="AC87" s="962"/>
      <c r="AD87" s="963"/>
      <c r="AE87" s="956"/>
      <c r="AF87" s="957">
        <f t="shared" si="58"/>
        <v>0</v>
      </c>
      <c r="AG87" s="956">
        <f t="shared" si="59"/>
        <v>0</v>
      </c>
      <c r="AH87" s="960">
        <v>0</v>
      </c>
      <c r="AI87" s="956">
        <v>0</v>
      </c>
    </row>
    <row r="88" spans="1:35">
      <c r="A88" s="933" t="s">
        <v>7020</v>
      </c>
      <c r="B88" s="977"/>
      <c r="C88" s="955"/>
      <c r="D88" s="955"/>
      <c r="E88" s="955"/>
      <c r="F88" s="955"/>
      <c r="G88" s="955"/>
      <c r="H88" s="961"/>
      <c r="I88" s="955"/>
      <c r="J88" s="955"/>
      <c r="K88" s="962"/>
      <c r="L88" s="962"/>
      <c r="M88" s="962"/>
      <c r="N88" s="962"/>
      <c r="O88" s="963"/>
      <c r="P88" s="956"/>
      <c r="Q88" s="977"/>
      <c r="R88" s="955"/>
      <c r="S88" s="955"/>
      <c r="T88" s="955"/>
      <c r="U88" s="955"/>
      <c r="V88" s="955"/>
      <c r="W88" s="961"/>
      <c r="X88" s="955"/>
      <c r="Y88" s="955"/>
      <c r="Z88" s="962"/>
      <c r="AA88" s="962"/>
      <c r="AB88" s="962"/>
      <c r="AC88" s="962"/>
      <c r="AD88" s="963"/>
      <c r="AE88" s="956"/>
      <c r="AF88" s="957">
        <f t="shared" si="58"/>
        <v>0</v>
      </c>
      <c r="AG88" s="956">
        <f t="shared" si="59"/>
        <v>0</v>
      </c>
      <c r="AH88" s="960">
        <v>1</v>
      </c>
      <c r="AI88" s="956">
        <v>12018.72</v>
      </c>
    </row>
    <row r="89" spans="1:35" ht="24">
      <c r="A89" s="936" t="s">
        <v>7019</v>
      </c>
      <c r="B89" s="945">
        <f>B90+B98+B104+B110+B116+B122+B128+B134+B140+B146+B152+B158+B164+B170+B176+B184+B187+B191+B198+B205</f>
        <v>1719</v>
      </c>
      <c r="C89" s="946"/>
      <c r="D89" s="946"/>
      <c r="E89" s="946"/>
      <c r="F89" s="946"/>
      <c r="G89" s="946"/>
      <c r="H89" s="946"/>
      <c r="I89" s="946"/>
      <c r="J89" s="946"/>
      <c r="K89" s="946"/>
      <c r="L89" s="946"/>
      <c r="M89" s="946"/>
      <c r="N89" s="946"/>
      <c r="O89" s="946">
        <f>O90+O98+O104+O110+O116+O122+O128+O134+O140+O146+O152+O158+O164+O170+O176+O184+O187+O191+O198+O205</f>
        <v>3834843.4913004488</v>
      </c>
      <c r="P89" s="947">
        <f>P90+P98+P104+P110+P116+P122+P128+P134+P140+P146+P152+P158+P164+P170+P176+P184+P187+P191+P198+P205</f>
        <v>81350807.055246636</v>
      </c>
      <c r="Q89" s="945">
        <f>Q90+Q98+Q104+Q110+Q116+Q122+Q128+Q134+Q140+Q146+Q152+Q158+Q164+Q170+Q176+Q184+Q187+Q191+Q198+Q205</f>
        <v>1719</v>
      </c>
      <c r="R89" s="946"/>
      <c r="S89" s="946"/>
      <c r="T89" s="946"/>
      <c r="U89" s="946"/>
      <c r="V89" s="946"/>
      <c r="W89" s="946"/>
      <c r="X89" s="946"/>
      <c r="Y89" s="946"/>
      <c r="Z89" s="946"/>
      <c r="AA89" s="946"/>
      <c r="AB89" s="946"/>
      <c r="AC89" s="946"/>
      <c r="AD89" s="946">
        <f>AD90+AD98+AD104+AD110+AD116+AD122+AD128+AD134+AD140+AD146+AD152+AD158+AD164+AD170+AD176+AD184+AD187+AD191+AD198+AD205</f>
        <v>4264455.5564644625</v>
      </c>
      <c r="AE89" s="947">
        <f>(AE90+AE98+AE104+AE110+AE116+AE122+AE128+AE134+AE140+AE146+AE152+AE158+AE164+AE170+AE176+AE184+AE187+AE191+AE198+AE205)</f>
        <v>88539813.999999985</v>
      </c>
      <c r="AF89" s="945">
        <f>(AF90+AF98+AF104+AF110+AF116+AF122+AF128+AF134+AF140+AF146+AF152+AF158+AF164+AF170+AF176+AF184+AF187+AF191+AF198+AF205)</f>
        <v>-429612.06516401406</v>
      </c>
      <c r="AG89" s="947">
        <f>(AG90+AG98+AG104+AG110+AG116+AG122+AG128+AG134+AG140+AG146+AG152+AG158+AG164+AG170+AG176+AG184+AG187+AG191+AG198+AG205)</f>
        <v>-7189006.9447533563</v>
      </c>
      <c r="AH89" s="975">
        <f>(AH90+AH98+AH104+AH110+AH116+AH122+AH128+AH134+AH140+AH146+AH152+AH158+AH164+AH170+AH176+AH184+AH187+AH191+AH198+AH205)</f>
        <v>1719</v>
      </c>
      <c r="AI89" s="947">
        <f>(AI90+AI98+AI104+AI110+AI116+AI122+AI128+AI134+AI140+AI146+AI152+AI158+AI164+AI170+AI176+AI184+AI187+AI191+AI198+AI205)</f>
        <v>87831230.839999989</v>
      </c>
    </row>
    <row r="90" spans="1:35">
      <c r="A90" s="935" t="s">
        <v>7018</v>
      </c>
      <c r="B90" s="979">
        <f>SUM(B91:B96)</f>
        <v>299</v>
      </c>
      <c r="C90" s="980"/>
      <c r="D90" s="981"/>
      <c r="E90" s="981"/>
      <c r="F90" s="981"/>
      <c r="G90" s="981"/>
      <c r="H90" s="981"/>
      <c r="I90" s="981"/>
      <c r="J90" s="981"/>
      <c r="K90" s="982"/>
      <c r="L90" s="982"/>
      <c r="M90" s="982"/>
      <c r="N90" s="982"/>
      <c r="O90" s="982">
        <f>SUM(O91:O96)</f>
        <v>418857.64161434979</v>
      </c>
      <c r="P90" s="983">
        <f>SUM(P91:P96)</f>
        <v>24744915.92573991</v>
      </c>
      <c r="Q90" s="984">
        <f>SUM(Q91:Q96)</f>
        <v>299</v>
      </c>
      <c r="R90" s="980"/>
      <c r="S90" s="981"/>
      <c r="T90" s="981"/>
      <c r="U90" s="981"/>
      <c r="V90" s="981"/>
      <c r="W90" s="981"/>
      <c r="X90" s="981"/>
      <c r="Y90" s="981"/>
      <c r="Z90" s="982"/>
      <c r="AA90" s="982"/>
      <c r="AB90" s="982"/>
      <c r="AC90" s="982"/>
      <c r="AD90" s="985">
        <f t="shared" ref="AD90:AI90" si="60">SUM(AD91:AD96)</f>
        <v>461545.40722700721</v>
      </c>
      <c r="AE90" s="983">
        <f t="shared" si="60"/>
        <v>27133635.199999999</v>
      </c>
      <c r="AF90" s="986">
        <f t="shared" si="60"/>
        <v>-42687.765612657429</v>
      </c>
      <c r="AG90" s="983">
        <f t="shared" si="60"/>
        <v>-2388719.2742600883</v>
      </c>
      <c r="AH90" s="987">
        <f t="shared" si="60"/>
        <v>301</v>
      </c>
      <c r="AI90" s="983">
        <f t="shared" si="60"/>
        <v>27479173.600000001</v>
      </c>
    </row>
    <row r="91" spans="1:35" hidden="1">
      <c r="A91" s="933" t="s">
        <v>7163</v>
      </c>
      <c r="B91" s="968"/>
      <c r="C91" s="988"/>
      <c r="D91" s="969"/>
      <c r="E91" s="969"/>
      <c r="F91" s="969"/>
      <c r="G91" s="969"/>
      <c r="H91" s="969"/>
      <c r="I91" s="969"/>
      <c r="J91" s="969"/>
      <c r="K91" s="969"/>
      <c r="L91" s="969"/>
      <c r="M91" s="969"/>
      <c r="N91" s="969"/>
      <c r="O91" s="969"/>
      <c r="P91" s="956"/>
      <c r="Q91" s="968"/>
      <c r="R91" s="988"/>
      <c r="S91" s="969"/>
      <c r="T91" s="969"/>
      <c r="U91" s="969"/>
      <c r="V91" s="969"/>
      <c r="W91" s="969"/>
      <c r="X91" s="969"/>
      <c r="Y91" s="969"/>
      <c r="Z91" s="969"/>
      <c r="AA91" s="969"/>
      <c r="AB91" s="969"/>
      <c r="AC91" s="969"/>
      <c r="AD91" s="969"/>
      <c r="AE91" s="956"/>
      <c r="AF91" s="957">
        <f t="shared" ref="AF91:AG97" si="61">+O91-AD91</f>
        <v>0</v>
      </c>
      <c r="AG91" s="956">
        <f t="shared" si="61"/>
        <v>0</v>
      </c>
      <c r="AH91" s="974"/>
      <c r="AI91" s="956"/>
    </row>
    <row r="92" spans="1:35">
      <c r="A92" s="933" t="s">
        <v>7001</v>
      </c>
      <c r="B92" s="977">
        <v>37</v>
      </c>
      <c r="C92" s="989">
        <v>6583</v>
      </c>
      <c r="D92" s="955"/>
      <c r="E92" s="955"/>
      <c r="F92" s="955"/>
      <c r="G92" s="955"/>
      <c r="H92" s="955"/>
      <c r="I92" s="955"/>
      <c r="J92" s="955"/>
      <c r="K92" s="962">
        <f t="shared" ref="K92:K97" si="62">SUM(C92:J92)</f>
        <v>6583</v>
      </c>
      <c r="L92" s="962">
        <f t="shared" ref="L92:L97" si="63">300+300+400</f>
        <v>1000</v>
      </c>
      <c r="M92" s="962">
        <f>(600*12)</f>
        <v>7200</v>
      </c>
      <c r="N92" s="962">
        <f t="shared" ref="N92:N97" si="64">SUM(L92:M92)</f>
        <v>8200</v>
      </c>
      <c r="O92" s="963">
        <f t="shared" ref="O92:O97" si="65">(K92*12)+N92</f>
        <v>87196</v>
      </c>
      <c r="P92" s="956">
        <f t="shared" ref="P92:P97" si="66">B92*O92</f>
        <v>3226252</v>
      </c>
      <c r="Q92" s="977">
        <v>37</v>
      </c>
      <c r="R92" s="989">
        <v>7266</v>
      </c>
      <c r="S92" s="955"/>
      <c r="T92" s="955"/>
      <c r="U92" s="955"/>
      <c r="V92" s="955"/>
      <c r="W92" s="955"/>
      <c r="X92" s="955"/>
      <c r="Y92" s="955"/>
      <c r="Z92" s="962">
        <f t="shared" ref="Z92:Z97" si="67">SUM(R92:Y92)</f>
        <v>7266</v>
      </c>
      <c r="AA92" s="962">
        <f>300+300+400</f>
        <v>1000</v>
      </c>
      <c r="AB92" s="962">
        <f>421200/Q92</f>
        <v>11383.783783783783</v>
      </c>
      <c r="AC92" s="962">
        <f t="shared" ref="AC92:AC97" si="68">SUM(AA92:AB92)</f>
        <v>12383.783783783783</v>
      </c>
      <c r="AD92" s="963">
        <f t="shared" ref="AD92:AD97" si="69">(Z92*12)+AC92</f>
        <v>99575.783783783787</v>
      </c>
      <c r="AE92" s="956">
        <f t="shared" ref="AE92:AE97" si="70">Q92*AD92</f>
        <v>3684304</v>
      </c>
      <c r="AF92" s="957">
        <f t="shared" si="61"/>
        <v>-12379.783783783787</v>
      </c>
      <c r="AG92" s="956">
        <f t="shared" si="61"/>
        <v>-458052</v>
      </c>
      <c r="AH92" s="960">
        <v>41</v>
      </c>
      <c r="AI92" s="956">
        <v>4335869.5999999996</v>
      </c>
    </row>
    <row r="93" spans="1:35">
      <c r="A93" s="933" t="s">
        <v>7000</v>
      </c>
      <c r="B93" s="977">
        <v>39</v>
      </c>
      <c r="C93" s="989">
        <v>6212</v>
      </c>
      <c r="D93" s="955"/>
      <c r="E93" s="955"/>
      <c r="F93" s="955"/>
      <c r="G93" s="955"/>
      <c r="H93" s="955"/>
      <c r="I93" s="955"/>
      <c r="J93" s="955"/>
      <c r="K93" s="962">
        <f t="shared" si="62"/>
        <v>6212</v>
      </c>
      <c r="L93" s="962">
        <f t="shared" si="63"/>
        <v>1000</v>
      </c>
      <c r="M93" s="962">
        <f>(534.984200298954*12)+(600*12)</f>
        <v>13619.810403587448</v>
      </c>
      <c r="N93" s="962">
        <f t="shared" si="64"/>
        <v>14619.810403587448</v>
      </c>
      <c r="O93" s="963">
        <f t="shared" si="65"/>
        <v>89163.810403587442</v>
      </c>
      <c r="P93" s="956">
        <f t="shared" si="66"/>
        <v>3477388.6057399102</v>
      </c>
      <c r="Q93" s="977">
        <v>39</v>
      </c>
      <c r="R93" s="989">
        <v>6826</v>
      </c>
      <c r="S93" s="955"/>
      <c r="T93" s="955"/>
      <c r="U93" s="955"/>
      <c r="V93" s="955"/>
      <c r="W93" s="955"/>
      <c r="X93" s="955"/>
      <c r="Y93" s="955"/>
      <c r="Z93" s="962">
        <f t="shared" si="67"/>
        <v>6826</v>
      </c>
      <c r="AA93" s="962">
        <f>300+300+400</f>
        <v>1000</v>
      </c>
      <c r="AB93" s="962">
        <f>645890.4/Q93</f>
        <v>16561.292307692307</v>
      </c>
      <c r="AC93" s="962">
        <f t="shared" si="68"/>
        <v>17561.292307692307</v>
      </c>
      <c r="AD93" s="963">
        <f t="shared" si="69"/>
        <v>99473.292307692303</v>
      </c>
      <c r="AE93" s="956">
        <f t="shared" si="70"/>
        <v>3879458.4</v>
      </c>
      <c r="AF93" s="957">
        <f t="shared" si="61"/>
        <v>-10309.481904104861</v>
      </c>
      <c r="AG93" s="956">
        <f t="shared" si="61"/>
        <v>-402069.79426008975</v>
      </c>
      <c r="AH93" s="960">
        <v>39</v>
      </c>
      <c r="AI93" s="956">
        <v>3809258.4</v>
      </c>
    </row>
    <row r="94" spans="1:35">
      <c r="A94" s="933" t="s">
        <v>6999</v>
      </c>
      <c r="B94" s="977">
        <v>81</v>
      </c>
      <c r="C94" s="989">
        <v>5834.6</v>
      </c>
      <c r="D94" s="955"/>
      <c r="E94" s="955"/>
      <c r="F94" s="955"/>
      <c r="G94" s="955"/>
      <c r="H94" s="955"/>
      <c r="I94" s="955"/>
      <c r="J94" s="955"/>
      <c r="K94" s="962">
        <f t="shared" si="62"/>
        <v>5834.6</v>
      </c>
      <c r="L94" s="962">
        <f t="shared" si="63"/>
        <v>1000</v>
      </c>
      <c r="M94" s="962">
        <f>(534.984200298954*12)+(600*12)</f>
        <v>13619.810403587448</v>
      </c>
      <c r="N94" s="962">
        <f t="shared" si="64"/>
        <v>14619.810403587448</v>
      </c>
      <c r="O94" s="963">
        <f t="shared" si="65"/>
        <v>84635.010403587454</v>
      </c>
      <c r="P94" s="956">
        <f t="shared" si="66"/>
        <v>6855435.8426905833</v>
      </c>
      <c r="Q94" s="977">
        <v>81</v>
      </c>
      <c r="R94" s="989">
        <v>6336</v>
      </c>
      <c r="S94" s="955"/>
      <c r="T94" s="955"/>
      <c r="U94" s="955"/>
      <c r="V94" s="955"/>
      <c r="W94" s="955"/>
      <c r="X94" s="955"/>
      <c r="Y94" s="955"/>
      <c r="Z94" s="962">
        <f t="shared" si="67"/>
        <v>6336</v>
      </c>
      <c r="AA94" s="962">
        <f>300+300+400</f>
        <v>1000</v>
      </c>
      <c r="AB94" s="962">
        <f>1375941.6/Q94</f>
        <v>16986.933333333334</v>
      </c>
      <c r="AC94" s="962">
        <f t="shared" si="68"/>
        <v>17986.933333333334</v>
      </c>
      <c r="AD94" s="963">
        <f t="shared" si="69"/>
        <v>94018.933333333334</v>
      </c>
      <c r="AE94" s="956">
        <f t="shared" si="70"/>
        <v>7615533.5999999996</v>
      </c>
      <c r="AF94" s="957">
        <f t="shared" si="61"/>
        <v>-9383.9229297458805</v>
      </c>
      <c r="AG94" s="956">
        <f t="shared" si="61"/>
        <v>-760097.75730941631</v>
      </c>
      <c r="AH94" s="960">
        <v>82</v>
      </c>
      <c r="AI94" s="956">
        <v>7385819.2000000002</v>
      </c>
    </row>
    <row r="95" spans="1:35">
      <c r="A95" s="933" t="s">
        <v>6998</v>
      </c>
      <c r="B95" s="977">
        <v>65</v>
      </c>
      <c r="C95" s="989">
        <v>5515</v>
      </c>
      <c r="D95" s="955"/>
      <c r="E95" s="955"/>
      <c r="F95" s="955"/>
      <c r="G95" s="955"/>
      <c r="H95" s="955"/>
      <c r="I95" s="955"/>
      <c r="J95" s="955"/>
      <c r="K95" s="962">
        <f t="shared" si="62"/>
        <v>5515</v>
      </c>
      <c r="L95" s="962">
        <f t="shared" si="63"/>
        <v>1000</v>
      </c>
      <c r="M95" s="962">
        <f>(534.984200298954*12)+(600*12)</f>
        <v>13619.810403587448</v>
      </c>
      <c r="N95" s="962">
        <f t="shared" si="64"/>
        <v>14619.810403587448</v>
      </c>
      <c r="O95" s="963">
        <f t="shared" si="65"/>
        <v>80799.810403587442</v>
      </c>
      <c r="P95" s="956">
        <f t="shared" si="66"/>
        <v>5251987.6762331836</v>
      </c>
      <c r="Q95" s="977">
        <v>65</v>
      </c>
      <c r="R95" s="989">
        <v>5932</v>
      </c>
      <c r="S95" s="955"/>
      <c r="T95" s="955"/>
      <c r="U95" s="955"/>
      <c r="V95" s="955"/>
      <c r="W95" s="955"/>
      <c r="X95" s="955"/>
      <c r="Y95" s="955"/>
      <c r="Z95" s="962">
        <f t="shared" si="67"/>
        <v>5932</v>
      </c>
      <c r="AA95" s="962">
        <f>300+300+400</f>
        <v>1000</v>
      </c>
      <c r="AB95" s="962">
        <f>824484/Q95</f>
        <v>12684.369230769231</v>
      </c>
      <c r="AC95" s="962">
        <f t="shared" si="68"/>
        <v>13684.369230769231</v>
      </c>
      <c r="AD95" s="963">
        <f t="shared" si="69"/>
        <v>84868.369230769225</v>
      </c>
      <c r="AE95" s="956">
        <f t="shared" si="70"/>
        <v>5516444</v>
      </c>
      <c r="AF95" s="957">
        <f t="shared" si="61"/>
        <v>-4068.5588271817833</v>
      </c>
      <c r="AG95" s="956">
        <f t="shared" si="61"/>
        <v>-264456.32376681641</v>
      </c>
      <c r="AH95" s="960">
        <v>63</v>
      </c>
      <c r="AI95" s="956">
        <v>5580568.7999999998</v>
      </c>
    </row>
    <row r="96" spans="1:35">
      <c r="A96" s="933" t="s">
        <v>6997</v>
      </c>
      <c r="B96" s="977">
        <v>77</v>
      </c>
      <c r="C96" s="989">
        <v>5203.6000000000004</v>
      </c>
      <c r="D96" s="955"/>
      <c r="E96" s="955"/>
      <c r="F96" s="955"/>
      <c r="G96" s="955"/>
      <c r="H96" s="955"/>
      <c r="I96" s="955"/>
      <c r="J96" s="955"/>
      <c r="K96" s="962">
        <f t="shared" si="62"/>
        <v>5203.6000000000004</v>
      </c>
      <c r="L96" s="962">
        <f t="shared" si="63"/>
        <v>1000</v>
      </c>
      <c r="M96" s="962">
        <f>(534.984200298954*12)+(600*12)</f>
        <v>13619.810403587448</v>
      </c>
      <c r="N96" s="962">
        <f t="shared" si="64"/>
        <v>14619.810403587448</v>
      </c>
      <c r="O96" s="963">
        <f t="shared" si="65"/>
        <v>77063.010403587454</v>
      </c>
      <c r="P96" s="956">
        <f t="shared" si="66"/>
        <v>5933851.8010762343</v>
      </c>
      <c r="Q96" s="977">
        <v>77</v>
      </c>
      <c r="R96" s="989">
        <v>5532</v>
      </c>
      <c r="S96" s="955"/>
      <c r="T96" s="955"/>
      <c r="U96" s="955"/>
      <c r="V96" s="955"/>
      <c r="W96" s="955"/>
      <c r="X96" s="955"/>
      <c r="Y96" s="955"/>
      <c r="Z96" s="962">
        <f t="shared" si="67"/>
        <v>5532</v>
      </c>
      <c r="AA96" s="962">
        <f>300+300+400</f>
        <v>1000</v>
      </c>
      <c r="AB96" s="962">
        <f>1249327.2/Q96</f>
        <v>16225.028571428571</v>
      </c>
      <c r="AC96" s="962">
        <f t="shared" si="68"/>
        <v>17225.028571428571</v>
      </c>
      <c r="AD96" s="963">
        <f t="shared" si="69"/>
        <v>83609.028571428571</v>
      </c>
      <c r="AE96" s="956">
        <f t="shared" si="70"/>
        <v>6437895.2000000002</v>
      </c>
      <c r="AF96" s="957">
        <f t="shared" si="61"/>
        <v>-6546.0181678411172</v>
      </c>
      <c r="AG96" s="956">
        <f t="shared" si="61"/>
        <v>-504043.39892376587</v>
      </c>
      <c r="AH96" s="960">
        <v>76</v>
      </c>
      <c r="AI96" s="956">
        <v>6367657.5999999996</v>
      </c>
    </row>
    <row r="97" spans="1:35">
      <c r="A97" s="933" t="s">
        <v>7017</v>
      </c>
      <c r="B97" s="977"/>
      <c r="C97" s="963"/>
      <c r="D97" s="955"/>
      <c r="E97" s="955"/>
      <c r="F97" s="955"/>
      <c r="G97" s="955"/>
      <c r="H97" s="955"/>
      <c r="I97" s="955"/>
      <c r="J97" s="955"/>
      <c r="K97" s="962">
        <f t="shared" si="62"/>
        <v>0</v>
      </c>
      <c r="L97" s="962">
        <f t="shared" si="63"/>
        <v>1000</v>
      </c>
      <c r="M97" s="962"/>
      <c r="N97" s="962">
        <f t="shared" si="64"/>
        <v>1000</v>
      </c>
      <c r="O97" s="963">
        <f t="shared" si="65"/>
        <v>1000</v>
      </c>
      <c r="P97" s="956">
        <f t="shared" si="66"/>
        <v>0</v>
      </c>
      <c r="Q97" s="977"/>
      <c r="R97" s="963"/>
      <c r="S97" s="955"/>
      <c r="T97" s="955"/>
      <c r="U97" s="955"/>
      <c r="V97" s="955"/>
      <c r="W97" s="955"/>
      <c r="X97" s="955"/>
      <c r="Y97" s="955"/>
      <c r="Z97" s="962">
        <f t="shared" si="67"/>
        <v>0</v>
      </c>
      <c r="AA97" s="962"/>
      <c r="AB97" s="962"/>
      <c r="AC97" s="962">
        <f t="shared" si="68"/>
        <v>0</v>
      </c>
      <c r="AD97" s="963">
        <f t="shared" si="69"/>
        <v>0</v>
      </c>
      <c r="AE97" s="956">
        <f t="shared" si="70"/>
        <v>0</v>
      </c>
      <c r="AF97" s="957">
        <f t="shared" si="61"/>
        <v>1000</v>
      </c>
      <c r="AG97" s="956">
        <f t="shared" si="61"/>
        <v>0</v>
      </c>
      <c r="AH97" s="978"/>
      <c r="AI97" s="956"/>
    </row>
    <row r="98" spans="1:35" ht="36" hidden="1">
      <c r="A98" s="935" t="s">
        <v>7097</v>
      </c>
      <c r="B98" s="950">
        <f>SUM(B99:B103)</f>
        <v>0</v>
      </c>
      <c r="C98" s="951"/>
      <c r="D98" s="951"/>
      <c r="E98" s="951"/>
      <c r="F98" s="951"/>
      <c r="G98" s="951"/>
      <c r="H98" s="951"/>
      <c r="I98" s="951"/>
      <c r="J98" s="951"/>
      <c r="K98" s="951"/>
      <c r="L98" s="951"/>
      <c r="M98" s="951"/>
      <c r="N98" s="951"/>
      <c r="O98" s="951">
        <f>SUM(O99:O103)</f>
        <v>0</v>
      </c>
      <c r="P98" s="952">
        <f>SUM(P99:P103)</f>
        <v>0</v>
      </c>
      <c r="Q98" s="950">
        <f>SUM(Q99:Q103)</f>
        <v>0</v>
      </c>
      <c r="R98" s="951"/>
      <c r="S98" s="951"/>
      <c r="T98" s="951"/>
      <c r="U98" s="951"/>
      <c r="V98" s="951"/>
      <c r="W98" s="951"/>
      <c r="X98" s="951"/>
      <c r="Y98" s="951"/>
      <c r="Z98" s="951"/>
      <c r="AA98" s="951"/>
      <c r="AB98" s="951"/>
      <c r="AC98" s="951"/>
      <c r="AD98" s="951">
        <f t="shared" ref="AD98:AI98" si="71">SUM(AD99:AD103)</f>
        <v>0</v>
      </c>
      <c r="AE98" s="952">
        <f t="shared" si="71"/>
        <v>0</v>
      </c>
      <c r="AF98" s="950">
        <f t="shared" si="71"/>
        <v>0</v>
      </c>
      <c r="AG98" s="952">
        <f t="shared" si="71"/>
        <v>0</v>
      </c>
      <c r="AH98" s="953">
        <f t="shared" si="71"/>
        <v>0</v>
      </c>
      <c r="AI98" s="952">
        <f t="shared" si="71"/>
        <v>0</v>
      </c>
    </row>
    <row r="99" spans="1:35" hidden="1">
      <c r="A99" s="933" t="s">
        <v>7015</v>
      </c>
      <c r="B99" s="977"/>
      <c r="C99" s="955"/>
      <c r="D99" s="955"/>
      <c r="E99" s="955"/>
      <c r="F99" s="955"/>
      <c r="G99" s="955"/>
      <c r="H99" s="955"/>
      <c r="I99" s="955"/>
      <c r="J99" s="955"/>
      <c r="K99" s="955"/>
      <c r="L99" s="955"/>
      <c r="M99" s="955"/>
      <c r="N99" s="955"/>
      <c r="O99" s="955">
        <f>+(K99*12)+N99</f>
        <v>0</v>
      </c>
      <c r="P99" s="956">
        <f>+B99*O99</f>
        <v>0</v>
      </c>
      <c r="Q99" s="977"/>
      <c r="R99" s="955"/>
      <c r="S99" s="955"/>
      <c r="T99" s="955"/>
      <c r="U99" s="955"/>
      <c r="V99" s="955"/>
      <c r="W99" s="955"/>
      <c r="X99" s="955"/>
      <c r="Y99" s="955"/>
      <c r="Z99" s="955"/>
      <c r="AA99" s="955"/>
      <c r="AB99" s="955"/>
      <c r="AC99" s="955"/>
      <c r="AD99" s="955">
        <f>+(Z99*12)+AC99</f>
        <v>0</v>
      </c>
      <c r="AE99" s="956">
        <f>+Q99*AD99</f>
        <v>0</v>
      </c>
      <c r="AF99" s="957">
        <f t="shared" ref="AF99:AG103" si="72">+O99-AD99</f>
        <v>0</v>
      </c>
      <c r="AG99" s="956">
        <f t="shared" si="72"/>
        <v>0</v>
      </c>
      <c r="AH99" s="978"/>
      <c r="AI99" s="956"/>
    </row>
    <row r="100" spans="1:35" hidden="1">
      <c r="A100" s="933" t="s">
        <v>7014</v>
      </c>
      <c r="B100" s="977"/>
      <c r="C100" s="955"/>
      <c r="D100" s="955"/>
      <c r="E100" s="955"/>
      <c r="F100" s="955"/>
      <c r="G100" s="955"/>
      <c r="H100" s="955"/>
      <c r="I100" s="955"/>
      <c r="J100" s="955"/>
      <c r="K100" s="955"/>
      <c r="L100" s="955"/>
      <c r="M100" s="955"/>
      <c r="N100" s="955"/>
      <c r="O100" s="955">
        <f>+(K100*12)+N100</f>
        <v>0</v>
      </c>
      <c r="P100" s="956">
        <f>+B100*O100</f>
        <v>0</v>
      </c>
      <c r="Q100" s="977"/>
      <c r="R100" s="955"/>
      <c r="S100" s="955"/>
      <c r="T100" s="955"/>
      <c r="U100" s="955"/>
      <c r="V100" s="955"/>
      <c r="W100" s="955"/>
      <c r="X100" s="955"/>
      <c r="Y100" s="955"/>
      <c r="Z100" s="955"/>
      <c r="AA100" s="955"/>
      <c r="AB100" s="955"/>
      <c r="AC100" s="955"/>
      <c r="AD100" s="955">
        <f>+(Z100*12)+AC100</f>
        <v>0</v>
      </c>
      <c r="AE100" s="956">
        <f>+Q100*AD100</f>
        <v>0</v>
      </c>
      <c r="AF100" s="957">
        <f t="shared" si="72"/>
        <v>0</v>
      </c>
      <c r="AG100" s="956">
        <f t="shared" si="72"/>
        <v>0</v>
      </c>
      <c r="AH100" s="978"/>
      <c r="AI100" s="956"/>
    </row>
    <row r="101" spans="1:35" hidden="1">
      <c r="A101" s="933" t="s">
        <v>7013</v>
      </c>
      <c r="B101" s="977"/>
      <c r="C101" s="955"/>
      <c r="D101" s="955"/>
      <c r="E101" s="955"/>
      <c r="F101" s="955"/>
      <c r="G101" s="955"/>
      <c r="H101" s="955"/>
      <c r="I101" s="955"/>
      <c r="J101" s="955"/>
      <c r="K101" s="955"/>
      <c r="L101" s="955"/>
      <c r="M101" s="955"/>
      <c r="N101" s="955"/>
      <c r="O101" s="955">
        <f>+(K101*12)+N101</f>
        <v>0</v>
      </c>
      <c r="P101" s="956">
        <f>+B101*O101</f>
        <v>0</v>
      </c>
      <c r="Q101" s="977"/>
      <c r="R101" s="955"/>
      <c r="S101" s="955"/>
      <c r="T101" s="955"/>
      <c r="U101" s="955"/>
      <c r="V101" s="955"/>
      <c r="W101" s="955"/>
      <c r="X101" s="955"/>
      <c r="Y101" s="955"/>
      <c r="Z101" s="955"/>
      <c r="AA101" s="955"/>
      <c r="AB101" s="955"/>
      <c r="AC101" s="955"/>
      <c r="AD101" s="955">
        <f>+(Z101*12)+AC101</f>
        <v>0</v>
      </c>
      <c r="AE101" s="956">
        <f>+Q101*AD101</f>
        <v>0</v>
      </c>
      <c r="AF101" s="957">
        <f t="shared" si="72"/>
        <v>0</v>
      </c>
      <c r="AG101" s="956">
        <f t="shared" si="72"/>
        <v>0</v>
      </c>
      <c r="AH101" s="978"/>
      <c r="AI101" s="956"/>
    </row>
    <row r="102" spans="1:35" hidden="1">
      <c r="A102" s="933" t="s">
        <v>7012</v>
      </c>
      <c r="B102" s="977"/>
      <c r="C102" s="955"/>
      <c r="D102" s="955"/>
      <c r="E102" s="955"/>
      <c r="F102" s="955"/>
      <c r="G102" s="955"/>
      <c r="H102" s="955"/>
      <c r="I102" s="955"/>
      <c r="J102" s="955"/>
      <c r="K102" s="955"/>
      <c r="L102" s="955"/>
      <c r="M102" s="955"/>
      <c r="N102" s="955"/>
      <c r="O102" s="955">
        <f>+(K102*12)+N102</f>
        <v>0</v>
      </c>
      <c r="P102" s="956">
        <f>+B102*O102</f>
        <v>0</v>
      </c>
      <c r="Q102" s="977"/>
      <c r="R102" s="955"/>
      <c r="S102" s="955"/>
      <c r="T102" s="955"/>
      <c r="U102" s="955"/>
      <c r="V102" s="955"/>
      <c r="W102" s="955"/>
      <c r="X102" s="955"/>
      <c r="Y102" s="955"/>
      <c r="Z102" s="955"/>
      <c r="AA102" s="955"/>
      <c r="AB102" s="955"/>
      <c r="AC102" s="955"/>
      <c r="AD102" s="955">
        <f>+(Z102*12)+AC102</f>
        <v>0</v>
      </c>
      <c r="AE102" s="956">
        <f>+Q102*AD102</f>
        <v>0</v>
      </c>
      <c r="AF102" s="957">
        <f t="shared" si="72"/>
        <v>0</v>
      </c>
      <c r="AG102" s="956">
        <f t="shared" si="72"/>
        <v>0</v>
      </c>
      <c r="AH102" s="978"/>
      <c r="AI102" s="956"/>
    </row>
    <row r="103" spans="1:35" hidden="1">
      <c r="A103" s="933" t="s">
        <v>7011</v>
      </c>
      <c r="B103" s="977"/>
      <c r="C103" s="955"/>
      <c r="D103" s="955"/>
      <c r="E103" s="955"/>
      <c r="F103" s="955"/>
      <c r="G103" s="955"/>
      <c r="H103" s="955"/>
      <c r="I103" s="955"/>
      <c r="J103" s="955"/>
      <c r="K103" s="955"/>
      <c r="L103" s="955"/>
      <c r="M103" s="955"/>
      <c r="N103" s="955"/>
      <c r="O103" s="955">
        <f>+(K103*12)+N103</f>
        <v>0</v>
      </c>
      <c r="P103" s="956">
        <f>+B103*O103</f>
        <v>0</v>
      </c>
      <c r="Q103" s="977"/>
      <c r="R103" s="955"/>
      <c r="S103" s="955"/>
      <c r="T103" s="955"/>
      <c r="U103" s="955"/>
      <c r="V103" s="955"/>
      <c r="W103" s="955"/>
      <c r="X103" s="955"/>
      <c r="Y103" s="955"/>
      <c r="Z103" s="955"/>
      <c r="AA103" s="955"/>
      <c r="AB103" s="955"/>
      <c r="AC103" s="955"/>
      <c r="AD103" s="955">
        <f>+(Z103*12)+AC103</f>
        <v>0</v>
      </c>
      <c r="AE103" s="956">
        <f>+Q103*AD103</f>
        <v>0</v>
      </c>
      <c r="AF103" s="957">
        <f t="shared" si="72"/>
        <v>0</v>
      </c>
      <c r="AG103" s="956">
        <f t="shared" si="72"/>
        <v>0</v>
      </c>
      <c r="AH103" s="978"/>
      <c r="AI103" s="956"/>
    </row>
    <row r="104" spans="1:35">
      <c r="A104" s="935" t="s">
        <v>7009</v>
      </c>
      <c r="B104" s="950">
        <f>SUM(B105:B109)</f>
        <v>326</v>
      </c>
      <c r="C104" s="951"/>
      <c r="D104" s="951"/>
      <c r="E104" s="951"/>
      <c r="F104" s="951"/>
      <c r="G104" s="951"/>
      <c r="H104" s="951"/>
      <c r="I104" s="951"/>
      <c r="J104" s="951"/>
      <c r="K104" s="951"/>
      <c r="L104" s="951"/>
      <c r="M104" s="951"/>
      <c r="N104" s="951"/>
      <c r="O104" s="951">
        <f>SUM(O105:O109)</f>
        <v>262418.25201793725</v>
      </c>
      <c r="P104" s="952">
        <f>SUM(P105:P109)</f>
        <v>17225733.391569506</v>
      </c>
      <c r="Q104" s="950">
        <f>SUM(Q105:Q109)</f>
        <v>326</v>
      </c>
      <c r="R104" s="951"/>
      <c r="S104" s="951"/>
      <c r="T104" s="951"/>
      <c r="U104" s="951"/>
      <c r="V104" s="951"/>
      <c r="W104" s="951"/>
      <c r="X104" s="951"/>
      <c r="Y104" s="951"/>
      <c r="Z104" s="951"/>
      <c r="AA104" s="951"/>
      <c r="AB104" s="951"/>
      <c r="AC104" s="951"/>
      <c r="AD104" s="951">
        <f t="shared" ref="AD104:AI104" si="73">SUM(AD105:AD109)</f>
        <v>288662.76058723882</v>
      </c>
      <c r="AE104" s="952">
        <f t="shared" si="73"/>
        <v>18976409.599999998</v>
      </c>
      <c r="AF104" s="950">
        <f t="shared" si="73"/>
        <v>-26244.508569301601</v>
      </c>
      <c r="AG104" s="952">
        <f t="shared" si="73"/>
        <v>-1750676.2084304914</v>
      </c>
      <c r="AH104" s="953">
        <f t="shared" si="73"/>
        <v>325</v>
      </c>
      <c r="AI104" s="952">
        <f t="shared" si="73"/>
        <v>18701512</v>
      </c>
    </row>
    <row r="105" spans="1:35">
      <c r="A105" s="933" t="s">
        <v>7008</v>
      </c>
      <c r="B105" s="977">
        <v>70</v>
      </c>
      <c r="C105" s="989">
        <v>3875</v>
      </c>
      <c r="D105" s="955"/>
      <c r="E105" s="955"/>
      <c r="F105" s="955"/>
      <c r="G105" s="955"/>
      <c r="H105" s="955"/>
      <c r="I105" s="955"/>
      <c r="J105" s="990"/>
      <c r="K105" s="962">
        <f>SUM(C105:J105)</f>
        <v>3875</v>
      </c>
      <c r="L105" s="962">
        <f>300+300+400</f>
        <v>1000</v>
      </c>
      <c r="M105" s="962">
        <f>(534.984200298954*12)+(345*12)</f>
        <v>10559.810403587448</v>
      </c>
      <c r="N105" s="962">
        <f>SUM(L105:M105)</f>
        <v>11559.810403587448</v>
      </c>
      <c r="O105" s="963">
        <f>(K105*12)+N105</f>
        <v>58059.810403587449</v>
      </c>
      <c r="P105" s="956">
        <f>B105*O105</f>
        <v>4064186.7282511215</v>
      </c>
      <c r="Q105" s="977">
        <v>70</v>
      </c>
      <c r="R105" s="989">
        <v>4471</v>
      </c>
      <c r="S105" s="955"/>
      <c r="T105" s="955"/>
      <c r="U105" s="955"/>
      <c r="V105" s="955"/>
      <c r="W105" s="955"/>
      <c r="X105" s="955"/>
      <c r="Y105" s="990"/>
      <c r="Z105" s="962">
        <f>SUM(R105:Y105)</f>
        <v>4471</v>
      </c>
      <c r="AA105" s="962">
        <f>300+300+400</f>
        <v>1000</v>
      </c>
      <c r="AB105" s="955">
        <f>837552/Q105</f>
        <v>11965.028571428571</v>
      </c>
      <c r="AC105" s="962">
        <f>SUM(AA105:AB105)</f>
        <v>12965.028571428571</v>
      </c>
      <c r="AD105" s="963">
        <f>(Z105*12)+AC105</f>
        <v>66617.028571428571</v>
      </c>
      <c r="AE105" s="956">
        <f>Q105*AD105</f>
        <v>4663192</v>
      </c>
      <c r="AF105" s="957">
        <f t="shared" ref="AF105:AG109" si="74">+O105-AD105</f>
        <v>-8557.2181678411216</v>
      </c>
      <c r="AG105" s="956">
        <f t="shared" si="74"/>
        <v>-599005.27174887853</v>
      </c>
      <c r="AH105" s="960">
        <v>71</v>
      </c>
      <c r="AI105" s="956">
        <v>4622897.5999999996</v>
      </c>
    </row>
    <row r="106" spans="1:35">
      <c r="A106" s="933" t="s">
        <v>7007</v>
      </c>
      <c r="B106" s="977">
        <v>46</v>
      </c>
      <c r="C106" s="989">
        <v>3619.6</v>
      </c>
      <c r="D106" s="955"/>
      <c r="E106" s="955"/>
      <c r="F106" s="955"/>
      <c r="G106" s="955"/>
      <c r="H106" s="955"/>
      <c r="I106" s="955"/>
      <c r="J106" s="990"/>
      <c r="K106" s="962">
        <f>SUM(C106:J106)</f>
        <v>3619.6</v>
      </c>
      <c r="L106" s="962">
        <f>300+300+400</f>
        <v>1000</v>
      </c>
      <c r="M106" s="962">
        <f>(534.984200298954*12)+(345*12)</f>
        <v>10559.810403587448</v>
      </c>
      <c r="N106" s="962">
        <f>SUM(L106:M106)</f>
        <v>11559.810403587448</v>
      </c>
      <c r="O106" s="963">
        <f>(K106*12)+N106</f>
        <v>54995.010403587446</v>
      </c>
      <c r="P106" s="956">
        <f>B106*O106</f>
        <v>2529770.4785650223</v>
      </c>
      <c r="Q106" s="977">
        <v>46</v>
      </c>
      <c r="R106" s="989">
        <v>4158</v>
      </c>
      <c r="S106" s="955"/>
      <c r="T106" s="955"/>
      <c r="U106" s="955"/>
      <c r="V106" s="955"/>
      <c r="W106" s="955"/>
      <c r="X106" s="955"/>
      <c r="Y106" s="990"/>
      <c r="Z106" s="962">
        <f>SUM(R106:Y106)</f>
        <v>4158</v>
      </c>
      <c r="AA106" s="962">
        <f>300+300+400</f>
        <v>1000</v>
      </c>
      <c r="AB106" s="955">
        <f>584865.6/Q106</f>
        <v>12714.46956521739</v>
      </c>
      <c r="AC106" s="962">
        <f>SUM(AA106:AB106)</f>
        <v>13714.46956521739</v>
      </c>
      <c r="AD106" s="963">
        <f>(Z106*12)+AC106</f>
        <v>63610.46956521739</v>
      </c>
      <c r="AE106" s="956">
        <f>Q106*AD106</f>
        <v>2926081.6</v>
      </c>
      <c r="AF106" s="957">
        <f t="shared" si="74"/>
        <v>-8615.459161629944</v>
      </c>
      <c r="AG106" s="956">
        <f t="shared" si="74"/>
        <v>-396311.12143497774</v>
      </c>
      <c r="AH106" s="960">
        <v>47</v>
      </c>
      <c r="AI106" s="956">
        <v>2803431.2</v>
      </c>
    </row>
    <row r="107" spans="1:35">
      <c r="A107" s="933" t="s">
        <v>7006</v>
      </c>
      <c r="B107" s="977">
        <v>88</v>
      </c>
      <c r="C107" s="989">
        <v>3409</v>
      </c>
      <c r="D107" s="955"/>
      <c r="E107" s="955"/>
      <c r="F107" s="955"/>
      <c r="G107" s="955"/>
      <c r="H107" s="955"/>
      <c r="I107" s="955"/>
      <c r="J107" s="990"/>
      <c r="K107" s="962">
        <f>SUM(C107:J107)</f>
        <v>3409</v>
      </c>
      <c r="L107" s="962">
        <f>300+300+400</f>
        <v>1000</v>
      </c>
      <c r="M107" s="962">
        <f>(534.984200298954*12)+(345*12)</f>
        <v>10559.810403587448</v>
      </c>
      <c r="N107" s="962">
        <f>SUM(L107:M107)</f>
        <v>11559.810403587448</v>
      </c>
      <c r="O107" s="963">
        <f>(K107*12)+N107</f>
        <v>52467.810403587449</v>
      </c>
      <c r="P107" s="956">
        <f>B107*O107</f>
        <v>4617167.3155156951</v>
      </c>
      <c r="Q107" s="977">
        <v>88</v>
      </c>
      <c r="R107" s="989">
        <v>3900</v>
      </c>
      <c r="S107" s="955"/>
      <c r="T107" s="955"/>
      <c r="U107" s="955"/>
      <c r="V107" s="955"/>
      <c r="W107" s="955"/>
      <c r="X107" s="955"/>
      <c r="Y107" s="990"/>
      <c r="Z107" s="962">
        <f>SUM(R107:Y107)</f>
        <v>3900</v>
      </c>
      <c r="AA107" s="962">
        <f>300+300+400</f>
        <v>1000</v>
      </c>
      <c r="AB107" s="955">
        <f>720916.8/Q107</f>
        <v>8192.2363636363643</v>
      </c>
      <c r="AC107" s="962">
        <f>SUM(AA107:AB107)</f>
        <v>9192.2363636363643</v>
      </c>
      <c r="AD107" s="963">
        <f>(Z107*12)+AC107</f>
        <v>55992.236363636366</v>
      </c>
      <c r="AE107" s="956">
        <f>Q107*AD107</f>
        <v>4927316.8</v>
      </c>
      <c r="AF107" s="957">
        <f t="shared" si="74"/>
        <v>-3524.4259600489167</v>
      </c>
      <c r="AG107" s="956">
        <f t="shared" si="74"/>
        <v>-310149.48448430467</v>
      </c>
      <c r="AH107" s="960">
        <v>88</v>
      </c>
      <c r="AI107" s="956">
        <v>4990316.8</v>
      </c>
    </row>
    <row r="108" spans="1:35">
      <c r="A108" s="933" t="s">
        <v>7005</v>
      </c>
      <c r="B108" s="977">
        <v>92</v>
      </c>
      <c r="C108" s="989">
        <v>3217</v>
      </c>
      <c r="D108" s="955"/>
      <c r="E108" s="955"/>
      <c r="F108" s="955"/>
      <c r="G108" s="955"/>
      <c r="H108" s="955"/>
      <c r="I108" s="955"/>
      <c r="J108" s="990"/>
      <c r="K108" s="962">
        <f>SUM(C108:J108)</f>
        <v>3217</v>
      </c>
      <c r="L108" s="962">
        <f>300+300+400</f>
        <v>1000</v>
      </c>
      <c r="M108" s="962">
        <f>(534.984200298954*12)+(345*12)</f>
        <v>10559.810403587448</v>
      </c>
      <c r="N108" s="962">
        <f>SUM(L108:M108)</f>
        <v>11559.810403587448</v>
      </c>
      <c r="O108" s="963">
        <f>(K108*12)+N108</f>
        <v>50163.810403587449</v>
      </c>
      <c r="P108" s="956">
        <f>B108*O108-2416</f>
        <v>4612654.5571300453</v>
      </c>
      <c r="Q108" s="977">
        <v>92</v>
      </c>
      <c r="R108" s="989">
        <v>3660</v>
      </c>
      <c r="S108" s="955"/>
      <c r="T108" s="955"/>
      <c r="U108" s="955"/>
      <c r="V108" s="955"/>
      <c r="W108" s="955"/>
      <c r="X108" s="955"/>
      <c r="Y108" s="990"/>
      <c r="Z108" s="962">
        <f>SUM(R108:Y108)</f>
        <v>3660</v>
      </c>
      <c r="AA108" s="962">
        <f>300+300+400</f>
        <v>1000</v>
      </c>
      <c r="AB108" s="955">
        <f>892531.2/Q108</f>
        <v>9701.4260869565205</v>
      </c>
      <c r="AC108" s="962">
        <f>SUM(AA108:AB108)</f>
        <v>10701.426086956521</v>
      </c>
      <c r="AD108" s="963">
        <f>(Z108*12)+AC108</f>
        <v>54621.426086956519</v>
      </c>
      <c r="AE108" s="956">
        <f>Q108*AD108</f>
        <v>5025171.1999999993</v>
      </c>
      <c r="AF108" s="957">
        <f t="shared" si="74"/>
        <v>-4457.6156833690693</v>
      </c>
      <c r="AG108" s="956">
        <f t="shared" si="74"/>
        <v>-412516.642869954</v>
      </c>
      <c r="AH108" s="960">
        <v>93</v>
      </c>
      <c r="AI108" s="956">
        <v>4993744.8</v>
      </c>
    </row>
    <row r="109" spans="1:35">
      <c r="A109" s="933" t="s">
        <v>7004</v>
      </c>
      <c r="B109" s="977">
        <v>30</v>
      </c>
      <c r="C109" s="989">
        <v>2931</v>
      </c>
      <c r="D109" s="955"/>
      <c r="E109" s="955"/>
      <c r="F109" s="955"/>
      <c r="G109" s="955"/>
      <c r="H109" s="955"/>
      <c r="I109" s="955"/>
      <c r="J109" s="990"/>
      <c r="K109" s="962">
        <f>SUM(C109:J109)</f>
        <v>2931</v>
      </c>
      <c r="L109" s="962">
        <f>300+300+400</f>
        <v>1000</v>
      </c>
      <c r="M109" s="962">
        <f>(534.984200298954*12)+(345*12)</f>
        <v>10559.810403587448</v>
      </c>
      <c r="N109" s="962">
        <f>SUM(L109:M109)</f>
        <v>11559.810403587448</v>
      </c>
      <c r="O109" s="963">
        <f>(K109*12)+N109</f>
        <v>46731.810403587449</v>
      </c>
      <c r="P109" s="956">
        <f>B109*O109</f>
        <v>1401954.3121076236</v>
      </c>
      <c r="Q109" s="977">
        <v>30</v>
      </c>
      <c r="R109" s="989">
        <v>3344</v>
      </c>
      <c r="S109" s="955"/>
      <c r="T109" s="955"/>
      <c r="U109" s="955"/>
      <c r="V109" s="955"/>
      <c r="W109" s="955"/>
      <c r="X109" s="955"/>
      <c r="Y109" s="990"/>
      <c r="Z109" s="962">
        <f>SUM(R109:Y109)</f>
        <v>3344</v>
      </c>
      <c r="AA109" s="962">
        <f>300+300+400</f>
        <v>1000</v>
      </c>
      <c r="AB109" s="955">
        <f>200808/Q109</f>
        <v>6693.6</v>
      </c>
      <c r="AC109" s="962">
        <f>SUM(AA109:AB109)</f>
        <v>7693.6</v>
      </c>
      <c r="AD109" s="963">
        <f>(Z109*12)+AC109</f>
        <v>47821.599999999999</v>
      </c>
      <c r="AE109" s="956">
        <f>Q109*AD109</f>
        <v>1434648</v>
      </c>
      <c r="AF109" s="957">
        <f t="shared" si="74"/>
        <v>-1089.7895964125491</v>
      </c>
      <c r="AG109" s="956">
        <f t="shared" si="74"/>
        <v>-32693.687892376445</v>
      </c>
      <c r="AH109" s="960">
        <v>26</v>
      </c>
      <c r="AI109" s="956">
        <v>1291121.6000000001</v>
      </c>
    </row>
    <row r="110" spans="1:35">
      <c r="A110" s="935" t="s">
        <v>7150</v>
      </c>
      <c r="B110" s="950">
        <f>SUM(B111:B115)</f>
        <v>32</v>
      </c>
      <c r="C110" s="951"/>
      <c r="D110" s="951"/>
      <c r="E110" s="951"/>
      <c r="F110" s="951"/>
      <c r="G110" s="951"/>
      <c r="H110" s="951"/>
      <c r="I110" s="951"/>
      <c r="J110" s="951"/>
      <c r="K110" s="951"/>
      <c r="L110" s="951"/>
      <c r="M110" s="951"/>
      <c r="N110" s="951"/>
      <c r="O110" s="951">
        <f>SUM(O111:O115)</f>
        <v>209619.20000000001</v>
      </c>
      <c r="P110" s="952">
        <f>SUM(P111:P115)</f>
        <v>1348661.6</v>
      </c>
      <c r="Q110" s="950">
        <f>SUM(Q111:Q115)</f>
        <v>32</v>
      </c>
      <c r="R110" s="951"/>
      <c r="S110" s="951"/>
      <c r="T110" s="951"/>
      <c r="U110" s="951"/>
      <c r="V110" s="951"/>
      <c r="W110" s="951"/>
      <c r="X110" s="951"/>
      <c r="Y110" s="951"/>
      <c r="Z110" s="951"/>
      <c r="AA110" s="951"/>
      <c r="AB110" s="951"/>
      <c r="AC110" s="951"/>
      <c r="AD110" s="951">
        <f>SUM(AD111:AD115)</f>
        <v>240896</v>
      </c>
      <c r="AE110" s="952">
        <f>SUM(AE111:AE115)</f>
        <v>1556948</v>
      </c>
      <c r="AF110" s="957">
        <f t="shared" ref="AF110:AF115" si="75">+O110-AD110</f>
        <v>-31276.799999999988</v>
      </c>
      <c r="AG110" s="952">
        <f>SUM(AG111:AG115)</f>
        <v>-208286.40000000002</v>
      </c>
      <c r="AH110" s="953">
        <f>SUM(AH111:AH115)</f>
        <v>33</v>
      </c>
      <c r="AI110" s="952">
        <f>SUM(AI111:AI115)</f>
        <v>1593600</v>
      </c>
    </row>
    <row r="111" spans="1:35">
      <c r="A111" s="933" t="s">
        <v>6985</v>
      </c>
      <c r="B111" s="977">
        <v>7</v>
      </c>
      <c r="C111" s="989">
        <v>3875</v>
      </c>
      <c r="D111" s="955"/>
      <c r="E111" s="955"/>
      <c r="F111" s="955"/>
      <c r="G111" s="955"/>
      <c r="H111" s="955"/>
      <c r="I111" s="955"/>
      <c r="J111" s="990"/>
      <c r="K111" s="962">
        <f>SUM(C111:J111)</f>
        <v>3875</v>
      </c>
      <c r="L111" s="962">
        <f>300+300+400</f>
        <v>1000</v>
      </c>
      <c r="M111" s="962"/>
      <c r="N111" s="962">
        <f>SUM(L111:M111)</f>
        <v>1000</v>
      </c>
      <c r="O111" s="963">
        <f>(K111*12)+N111</f>
        <v>47500</v>
      </c>
      <c r="P111" s="956">
        <f>B111*O111</f>
        <v>332500</v>
      </c>
      <c r="Q111" s="977">
        <v>7</v>
      </c>
      <c r="R111" s="989">
        <v>4471</v>
      </c>
      <c r="S111" s="955"/>
      <c r="T111" s="955"/>
      <c r="U111" s="955"/>
      <c r="V111" s="955"/>
      <c r="W111" s="955"/>
      <c r="X111" s="955"/>
      <c r="Y111" s="990"/>
      <c r="Z111" s="962">
        <f>SUM(R111:Y111)</f>
        <v>4471</v>
      </c>
      <c r="AA111" s="962">
        <f>300+300+400</f>
        <v>1000</v>
      </c>
      <c r="AB111" s="962">
        <v>0</v>
      </c>
      <c r="AC111" s="962">
        <f>SUM(AA111:AB111)</f>
        <v>1000</v>
      </c>
      <c r="AD111" s="963">
        <f>(Z111*12)+AC111</f>
        <v>54652</v>
      </c>
      <c r="AE111" s="956">
        <f>Q111*AD111</f>
        <v>382564</v>
      </c>
      <c r="AF111" s="957">
        <f t="shared" si="75"/>
        <v>-7152</v>
      </c>
      <c r="AG111" s="956">
        <f>+P111-AE111</f>
        <v>-50064</v>
      </c>
      <c r="AH111" s="960">
        <v>8</v>
      </c>
      <c r="AI111" s="956">
        <v>437216</v>
      </c>
    </row>
    <row r="112" spans="1:35">
      <c r="A112" s="933" t="s">
        <v>6984</v>
      </c>
      <c r="B112" s="977">
        <v>3</v>
      </c>
      <c r="C112" s="989">
        <v>3619.6</v>
      </c>
      <c r="D112" s="955"/>
      <c r="E112" s="955"/>
      <c r="F112" s="955"/>
      <c r="G112" s="955"/>
      <c r="H112" s="955"/>
      <c r="I112" s="955"/>
      <c r="J112" s="990"/>
      <c r="K112" s="962">
        <f>SUM(C112:J112)</f>
        <v>3619.6</v>
      </c>
      <c r="L112" s="962">
        <f>300+300+400</f>
        <v>1000</v>
      </c>
      <c r="M112" s="962"/>
      <c r="N112" s="962">
        <f>SUM(L112:M112)</f>
        <v>1000</v>
      </c>
      <c r="O112" s="963">
        <f>(K112*12)+N112</f>
        <v>44435.199999999997</v>
      </c>
      <c r="P112" s="956">
        <f>B112*O112</f>
        <v>133305.59999999998</v>
      </c>
      <c r="Q112" s="977">
        <v>3</v>
      </c>
      <c r="R112" s="989">
        <v>4158</v>
      </c>
      <c r="S112" s="955"/>
      <c r="T112" s="955"/>
      <c r="U112" s="955"/>
      <c r="V112" s="955"/>
      <c r="W112" s="955"/>
      <c r="X112" s="955"/>
      <c r="Y112" s="990"/>
      <c r="Z112" s="962">
        <f>SUM(R112:Y112)</f>
        <v>4158</v>
      </c>
      <c r="AA112" s="962">
        <f>300+300+400</f>
        <v>1000</v>
      </c>
      <c r="AB112" s="962">
        <v>0</v>
      </c>
      <c r="AC112" s="962">
        <f>SUM(AA112:AB112)</f>
        <v>1000</v>
      </c>
      <c r="AD112" s="963">
        <f>(Z112*12)+AC112</f>
        <v>50896</v>
      </c>
      <c r="AE112" s="956">
        <f>Q112*AD112</f>
        <v>152688</v>
      </c>
      <c r="AF112" s="957">
        <f t="shared" si="75"/>
        <v>-6460.8000000000029</v>
      </c>
      <c r="AG112" s="956">
        <f>+P112-AE112</f>
        <v>-19382.400000000023</v>
      </c>
      <c r="AH112" s="960">
        <v>3</v>
      </c>
      <c r="AI112" s="956">
        <v>152688</v>
      </c>
    </row>
    <row r="113" spans="1:35">
      <c r="A113" s="933" t="s">
        <v>6983</v>
      </c>
      <c r="B113" s="977">
        <v>8</v>
      </c>
      <c r="C113" s="989">
        <v>3409</v>
      </c>
      <c r="D113" s="955"/>
      <c r="E113" s="955"/>
      <c r="F113" s="955"/>
      <c r="G113" s="955"/>
      <c r="H113" s="955"/>
      <c r="I113" s="955"/>
      <c r="J113" s="990"/>
      <c r="K113" s="962">
        <f>SUM(C113:J113)</f>
        <v>3409</v>
      </c>
      <c r="L113" s="962">
        <f>300+300+400</f>
        <v>1000</v>
      </c>
      <c r="M113" s="962"/>
      <c r="N113" s="962">
        <f>SUM(L113:M113)</f>
        <v>1000</v>
      </c>
      <c r="O113" s="963">
        <f>(K113*12)+N113</f>
        <v>41908</v>
      </c>
      <c r="P113" s="956">
        <f>B113*O113</f>
        <v>335264</v>
      </c>
      <c r="Q113" s="977">
        <v>8</v>
      </c>
      <c r="R113" s="989">
        <v>3900</v>
      </c>
      <c r="S113" s="955"/>
      <c r="T113" s="955"/>
      <c r="U113" s="955"/>
      <c r="V113" s="955"/>
      <c r="W113" s="955"/>
      <c r="X113" s="955"/>
      <c r="Y113" s="990"/>
      <c r="Z113" s="962">
        <f>SUM(R113:Y113)</f>
        <v>3900</v>
      </c>
      <c r="AA113" s="962">
        <f>300+300+400</f>
        <v>1000</v>
      </c>
      <c r="AB113" s="962">
        <v>0</v>
      </c>
      <c r="AC113" s="962">
        <f>SUM(AA113:AB113)</f>
        <v>1000</v>
      </c>
      <c r="AD113" s="963">
        <f>(Z113*12)+AC113</f>
        <v>47800</v>
      </c>
      <c r="AE113" s="956">
        <f>Q113*AD113</f>
        <v>382400</v>
      </c>
      <c r="AF113" s="957">
        <f t="shared" si="75"/>
        <v>-5892</v>
      </c>
      <c r="AG113" s="956">
        <f>+P113-AE113</f>
        <v>-47136</v>
      </c>
      <c r="AH113" s="960">
        <v>8</v>
      </c>
      <c r="AI113" s="956">
        <v>382400</v>
      </c>
    </row>
    <row r="114" spans="1:35">
      <c r="A114" s="933" t="s">
        <v>6982</v>
      </c>
      <c r="B114" s="977">
        <v>12</v>
      </c>
      <c r="C114" s="989">
        <v>3217</v>
      </c>
      <c r="D114" s="955"/>
      <c r="E114" s="955"/>
      <c r="F114" s="955"/>
      <c r="G114" s="955"/>
      <c r="H114" s="955"/>
      <c r="I114" s="955"/>
      <c r="J114" s="990"/>
      <c r="K114" s="962">
        <f>SUM(C114:J114)</f>
        <v>3217</v>
      </c>
      <c r="L114" s="962">
        <f>300+300+400</f>
        <v>1000</v>
      </c>
      <c r="M114" s="962"/>
      <c r="N114" s="962">
        <f>SUM(L114:M114)</f>
        <v>1000</v>
      </c>
      <c r="O114" s="963">
        <f>(K114*12)+N114</f>
        <v>39604</v>
      </c>
      <c r="P114" s="956">
        <f>B114*O114</f>
        <v>475248</v>
      </c>
      <c r="Q114" s="977">
        <v>12</v>
      </c>
      <c r="R114" s="989">
        <v>3660</v>
      </c>
      <c r="S114" s="955"/>
      <c r="T114" s="955"/>
      <c r="U114" s="955"/>
      <c r="V114" s="955"/>
      <c r="W114" s="955"/>
      <c r="X114" s="955"/>
      <c r="Y114" s="990"/>
      <c r="Z114" s="962">
        <f>SUM(R114:Y114)</f>
        <v>3660</v>
      </c>
      <c r="AA114" s="962">
        <f>300+300+400</f>
        <v>1000</v>
      </c>
      <c r="AB114" s="962">
        <f>18000/Q114</f>
        <v>1500</v>
      </c>
      <c r="AC114" s="962">
        <f>SUM(AA114:AB114)</f>
        <v>2500</v>
      </c>
      <c r="AD114" s="963">
        <f>(Z114*12)+AC114</f>
        <v>46420</v>
      </c>
      <c r="AE114" s="956">
        <f>Q114*AD114</f>
        <v>557040</v>
      </c>
      <c r="AF114" s="957">
        <f t="shared" si="75"/>
        <v>-6816</v>
      </c>
      <c r="AG114" s="956">
        <f>+P114-AE114</f>
        <v>-81792</v>
      </c>
      <c r="AH114" s="960">
        <v>12</v>
      </c>
      <c r="AI114" s="956">
        <v>539040</v>
      </c>
    </row>
    <row r="115" spans="1:35">
      <c r="A115" s="933" t="s">
        <v>6981</v>
      </c>
      <c r="B115" s="977">
        <v>2</v>
      </c>
      <c r="C115" s="989">
        <v>2931</v>
      </c>
      <c r="D115" s="955"/>
      <c r="E115" s="955"/>
      <c r="F115" s="955"/>
      <c r="G115" s="955"/>
      <c r="H115" s="955"/>
      <c r="I115" s="955"/>
      <c r="J115" s="990"/>
      <c r="K115" s="962">
        <f>SUM(C115:J115)</f>
        <v>2931</v>
      </c>
      <c r="L115" s="962">
        <f>300+300+400</f>
        <v>1000</v>
      </c>
      <c r="M115" s="962"/>
      <c r="N115" s="962">
        <f>SUM(L115:M115)</f>
        <v>1000</v>
      </c>
      <c r="O115" s="963">
        <f>(K115*12)+N115</f>
        <v>36172</v>
      </c>
      <c r="P115" s="956">
        <f>B115*O115</f>
        <v>72344</v>
      </c>
      <c r="Q115" s="977">
        <v>2</v>
      </c>
      <c r="R115" s="989">
        <v>3344</v>
      </c>
      <c r="S115" s="955"/>
      <c r="T115" s="955"/>
      <c r="U115" s="955"/>
      <c r="V115" s="955"/>
      <c r="W115" s="955"/>
      <c r="X115" s="955"/>
      <c r="Y115" s="990"/>
      <c r="Z115" s="962">
        <f>SUM(R115:Y115)</f>
        <v>3344</v>
      </c>
      <c r="AA115" s="962">
        <f>300+300+400</f>
        <v>1000</v>
      </c>
      <c r="AB115" s="962">
        <v>0</v>
      </c>
      <c r="AC115" s="962">
        <f>SUM(AA115:AB115)</f>
        <v>1000</v>
      </c>
      <c r="AD115" s="963">
        <f>(Z115*12)+AC115</f>
        <v>41128</v>
      </c>
      <c r="AE115" s="956">
        <f>Q115*AD115</f>
        <v>82256</v>
      </c>
      <c r="AF115" s="957">
        <f t="shared" si="75"/>
        <v>-4956</v>
      </c>
      <c r="AG115" s="956">
        <f>+P115-AE115</f>
        <v>-9912</v>
      </c>
      <c r="AH115" s="960">
        <v>2</v>
      </c>
      <c r="AI115" s="956">
        <v>82256</v>
      </c>
    </row>
    <row r="116" spans="1:35" ht="24">
      <c r="A116" s="935" t="s">
        <v>2879</v>
      </c>
      <c r="B116" s="950">
        <f>SUM(B117:B121)</f>
        <v>45</v>
      </c>
      <c r="C116" s="951"/>
      <c r="D116" s="951"/>
      <c r="E116" s="951"/>
      <c r="F116" s="951"/>
      <c r="G116" s="951"/>
      <c r="H116" s="951"/>
      <c r="I116" s="951"/>
      <c r="J116" s="951"/>
      <c r="K116" s="951"/>
      <c r="L116" s="951"/>
      <c r="M116" s="951"/>
      <c r="N116" s="951"/>
      <c r="O116" s="951">
        <f>SUM(O117:O121)</f>
        <v>209619.20000000001</v>
      </c>
      <c r="P116" s="952">
        <f>SUM(P117:P121)</f>
        <v>1806969.6</v>
      </c>
      <c r="Q116" s="950">
        <f>SUM(Q117:Q121)</f>
        <v>45</v>
      </c>
      <c r="R116" s="951"/>
      <c r="S116" s="951"/>
      <c r="T116" s="951"/>
      <c r="U116" s="951"/>
      <c r="V116" s="951"/>
      <c r="W116" s="951"/>
      <c r="X116" s="951"/>
      <c r="Y116" s="951"/>
      <c r="Z116" s="951"/>
      <c r="AA116" s="951"/>
      <c r="AB116" s="951"/>
      <c r="AC116" s="951"/>
      <c r="AD116" s="951">
        <f t="shared" ref="AD116:AI116" si="76">SUM(AD117:AD121)</f>
        <v>239396</v>
      </c>
      <c r="AE116" s="952">
        <f t="shared" si="76"/>
        <v>2057400</v>
      </c>
      <c r="AF116" s="950">
        <f t="shared" si="76"/>
        <v>-29776.800000000003</v>
      </c>
      <c r="AG116" s="952">
        <f t="shared" si="76"/>
        <v>-250430.40000000002</v>
      </c>
      <c r="AH116" s="953">
        <f t="shared" si="76"/>
        <v>45</v>
      </c>
      <c r="AI116" s="952">
        <f t="shared" si="76"/>
        <v>2057400</v>
      </c>
    </row>
    <row r="117" spans="1:35">
      <c r="A117" s="933" t="s">
        <v>6985</v>
      </c>
      <c r="B117" s="977">
        <v>2</v>
      </c>
      <c r="C117" s="989">
        <v>3875</v>
      </c>
      <c r="D117" s="955"/>
      <c r="E117" s="955"/>
      <c r="F117" s="955"/>
      <c r="G117" s="955"/>
      <c r="H117" s="955"/>
      <c r="I117" s="955"/>
      <c r="J117" s="990"/>
      <c r="K117" s="962">
        <f>SUM(C117:J117)</f>
        <v>3875</v>
      </c>
      <c r="L117" s="962">
        <f>300+300+400</f>
        <v>1000</v>
      </c>
      <c r="M117" s="962"/>
      <c r="N117" s="962">
        <f>SUM(L117:M117)</f>
        <v>1000</v>
      </c>
      <c r="O117" s="963">
        <f>(K117*12)+N117</f>
        <v>47500</v>
      </c>
      <c r="P117" s="956">
        <f>B117*O117</f>
        <v>95000</v>
      </c>
      <c r="Q117" s="977">
        <v>2</v>
      </c>
      <c r="R117" s="989">
        <v>4471</v>
      </c>
      <c r="S117" s="955"/>
      <c r="T117" s="955"/>
      <c r="U117" s="955"/>
      <c r="V117" s="955"/>
      <c r="W117" s="955"/>
      <c r="X117" s="955"/>
      <c r="Y117" s="990"/>
      <c r="Z117" s="962">
        <f>SUM(R117:Y117)</f>
        <v>4471</v>
      </c>
      <c r="AA117" s="962">
        <f>300+300+400</f>
        <v>1000</v>
      </c>
      <c r="AB117" s="962"/>
      <c r="AC117" s="962">
        <f>SUM(AA117:AB117)</f>
        <v>1000</v>
      </c>
      <c r="AD117" s="963">
        <f>(Z117*12)+AC117</f>
        <v>54652</v>
      </c>
      <c r="AE117" s="956">
        <f>Q117*AD117</f>
        <v>109304</v>
      </c>
      <c r="AF117" s="957">
        <f t="shared" ref="AF117:AG121" si="77">+O117-AD117</f>
        <v>-7152</v>
      </c>
      <c r="AG117" s="956">
        <f t="shared" si="77"/>
        <v>-14304</v>
      </c>
      <c r="AH117" s="960">
        <v>2</v>
      </c>
      <c r="AI117" s="956">
        <v>109304</v>
      </c>
    </row>
    <row r="118" spans="1:35">
      <c r="A118" s="933" t="s">
        <v>6984</v>
      </c>
      <c r="B118" s="977">
        <v>3</v>
      </c>
      <c r="C118" s="989">
        <v>3619.6</v>
      </c>
      <c r="D118" s="955"/>
      <c r="E118" s="955"/>
      <c r="F118" s="955"/>
      <c r="G118" s="955"/>
      <c r="H118" s="955"/>
      <c r="I118" s="955"/>
      <c r="J118" s="990"/>
      <c r="K118" s="962">
        <f>SUM(C118:J118)</f>
        <v>3619.6</v>
      </c>
      <c r="L118" s="962">
        <f>300+300+400</f>
        <v>1000</v>
      </c>
      <c r="M118" s="962"/>
      <c r="N118" s="962">
        <f>SUM(L118:M118)</f>
        <v>1000</v>
      </c>
      <c r="O118" s="963">
        <f>(K118*12)+N118</f>
        <v>44435.199999999997</v>
      </c>
      <c r="P118" s="956">
        <f>B118*O118</f>
        <v>133305.59999999998</v>
      </c>
      <c r="Q118" s="977">
        <v>3</v>
      </c>
      <c r="R118" s="989">
        <v>4158</v>
      </c>
      <c r="S118" s="955"/>
      <c r="T118" s="955"/>
      <c r="U118" s="955"/>
      <c r="V118" s="955"/>
      <c r="W118" s="955"/>
      <c r="X118" s="955"/>
      <c r="Y118" s="990"/>
      <c r="Z118" s="962">
        <f>SUM(R118:Y118)</f>
        <v>4158</v>
      </c>
      <c r="AA118" s="962">
        <f>300+300+400</f>
        <v>1000</v>
      </c>
      <c r="AB118" s="962"/>
      <c r="AC118" s="962">
        <f>SUM(AA118:AB118)</f>
        <v>1000</v>
      </c>
      <c r="AD118" s="963">
        <f>(Z118*12)+AC118</f>
        <v>50896</v>
      </c>
      <c r="AE118" s="956">
        <f>Q118*AD118</f>
        <v>152688</v>
      </c>
      <c r="AF118" s="957">
        <f t="shared" si="77"/>
        <v>-6460.8000000000029</v>
      </c>
      <c r="AG118" s="956">
        <f t="shared" si="77"/>
        <v>-19382.400000000023</v>
      </c>
      <c r="AH118" s="960">
        <v>3</v>
      </c>
      <c r="AI118" s="956">
        <v>152688</v>
      </c>
    </row>
    <row r="119" spans="1:35">
      <c r="A119" s="933" t="s">
        <v>6983</v>
      </c>
      <c r="B119" s="977">
        <v>14</v>
      </c>
      <c r="C119" s="989">
        <v>3409</v>
      </c>
      <c r="D119" s="955"/>
      <c r="E119" s="955"/>
      <c r="F119" s="955"/>
      <c r="G119" s="955"/>
      <c r="H119" s="955"/>
      <c r="I119" s="955"/>
      <c r="J119" s="990"/>
      <c r="K119" s="962">
        <f>SUM(C119:J119)</f>
        <v>3409</v>
      </c>
      <c r="L119" s="962">
        <f>300+300+400</f>
        <v>1000</v>
      </c>
      <c r="M119" s="962"/>
      <c r="N119" s="962">
        <f>SUM(L119:M119)</f>
        <v>1000</v>
      </c>
      <c r="O119" s="963">
        <f>(K119*12)+N119</f>
        <v>41908</v>
      </c>
      <c r="P119" s="956">
        <f>B119*O119</f>
        <v>586712</v>
      </c>
      <c r="Q119" s="977">
        <v>14</v>
      </c>
      <c r="R119" s="989">
        <v>3900</v>
      </c>
      <c r="S119" s="955"/>
      <c r="T119" s="955"/>
      <c r="U119" s="955"/>
      <c r="V119" s="955"/>
      <c r="W119" s="955"/>
      <c r="X119" s="955"/>
      <c r="Y119" s="990"/>
      <c r="Z119" s="962">
        <f>SUM(R119:Y119)</f>
        <v>3900</v>
      </c>
      <c r="AA119" s="962">
        <f>300+300+400</f>
        <v>1000</v>
      </c>
      <c r="AB119" s="962"/>
      <c r="AC119" s="962">
        <f>SUM(AA119:AB119)</f>
        <v>1000</v>
      </c>
      <c r="AD119" s="963">
        <f>(Z119*12)+AC119</f>
        <v>47800</v>
      </c>
      <c r="AE119" s="956">
        <f>Q119*AD119</f>
        <v>669200</v>
      </c>
      <c r="AF119" s="957">
        <f t="shared" si="77"/>
        <v>-5892</v>
      </c>
      <c r="AG119" s="956">
        <f t="shared" si="77"/>
        <v>-82488</v>
      </c>
      <c r="AH119" s="960">
        <v>14</v>
      </c>
      <c r="AI119" s="956">
        <v>669200</v>
      </c>
    </row>
    <row r="120" spans="1:35">
      <c r="A120" s="933" t="s">
        <v>6982</v>
      </c>
      <c r="B120" s="977">
        <v>15</v>
      </c>
      <c r="C120" s="989">
        <v>3217</v>
      </c>
      <c r="D120" s="955"/>
      <c r="E120" s="955"/>
      <c r="F120" s="955"/>
      <c r="G120" s="955"/>
      <c r="H120" s="955"/>
      <c r="I120" s="955"/>
      <c r="J120" s="990"/>
      <c r="K120" s="962">
        <f>SUM(C120:J120)</f>
        <v>3217</v>
      </c>
      <c r="L120" s="962">
        <f>300+300+400</f>
        <v>1000</v>
      </c>
      <c r="M120" s="962"/>
      <c r="N120" s="962">
        <f>SUM(L120:M120)</f>
        <v>1000</v>
      </c>
      <c r="O120" s="963">
        <f>(K120*12)+N120</f>
        <v>39604</v>
      </c>
      <c r="P120" s="956">
        <f>B120*O120</f>
        <v>594060</v>
      </c>
      <c r="Q120" s="977">
        <v>15</v>
      </c>
      <c r="R120" s="989">
        <v>3660</v>
      </c>
      <c r="S120" s="955"/>
      <c r="T120" s="955"/>
      <c r="U120" s="955"/>
      <c r="V120" s="955"/>
      <c r="W120" s="955"/>
      <c r="X120" s="955"/>
      <c r="Y120" s="990"/>
      <c r="Z120" s="962">
        <f>SUM(R120:Y120)</f>
        <v>3660</v>
      </c>
      <c r="AA120" s="962">
        <f>300+300+400</f>
        <v>1000</v>
      </c>
      <c r="AB120" s="962"/>
      <c r="AC120" s="962">
        <f>SUM(AA120:AB120)</f>
        <v>1000</v>
      </c>
      <c r="AD120" s="963">
        <f>(Z120*12)+AC120</f>
        <v>44920</v>
      </c>
      <c r="AE120" s="956">
        <f>Q120*AD120</f>
        <v>673800</v>
      </c>
      <c r="AF120" s="957">
        <f t="shared" si="77"/>
        <v>-5316</v>
      </c>
      <c r="AG120" s="956">
        <f t="shared" si="77"/>
        <v>-79740</v>
      </c>
      <c r="AH120" s="960">
        <v>15</v>
      </c>
      <c r="AI120" s="956">
        <v>673800</v>
      </c>
    </row>
    <row r="121" spans="1:35">
      <c r="A121" s="933" t="s">
        <v>6981</v>
      </c>
      <c r="B121" s="977">
        <v>11</v>
      </c>
      <c r="C121" s="989">
        <v>2931</v>
      </c>
      <c r="D121" s="955"/>
      <c r="E121" s="955"/>
      <c r="F121" s="955"/>
      <c r="G121" s="955"/>
      <c r="H121" s="955"/>
      <c r="I121" s="955"/>
      <c r="J121" s="990"/>
      <c r="K121" s="962">
        <f>SUM(C121:J121)</f>
        <v>2931</v>
      </c>
      <c r="L121" s="962">
        <f>300+300+400</f>
        <v>1000</v>
      </c>
      <c r="M121" s="962"/>
      <c r="N121" s="962">
        <f>SUM(L121:M121)</f>
        <v>1000</v>
      </c>
      <c r="O121" s="963">
        <f>(K121*12)+N121</f>
        <v>36172</v>
      </c>
      <c r="P121" s="956">
        <f>B121*O121</f>
        <v>397892</v>
      </c>
      <c r="Q121" s="977">
        <v>11</v>
      </c>
      <c r="R121" s="989">
        <v>3344</v>
      </c>
      <c r="S121" s="955"/>
      <c r="T121" s="955"/>
      <c r="U121" s="955"/>
      <c r="V121" s="955"/>
      <c r="W121" s="955"/>
      <c r="X121" s="955"/>
      <c r="Y121" s="990"/>
      <c r="Z121" s="962">
        <f>SUM(R121:Y121)</f>
        <v>3344</v>
      </c>
      <c r="AA121" s="962">
        <f>300+300+400</f>
        <v>1000</v>
      </c>
      <c r="AB121" s="962"/>
      <c r="AC121" s="962">
        <f>SUM(AA121:AB121)</f>
        <v>1000</v>
      </c>
      <c r="AD121" s="963">
        <f>(Z121*12)+AC121</f>
        <v>41128</v>
      </c>
      <c r="AE121" s="956">
        <f>Q121*AD121</f>
        <v>452408</v>
      </c>
      <c r="AF121" s="957">
        <f t="shared" si="77"/>
        <v>-4956</v>
      </c>
      <c r="AG121" s="956">
        <f t="shared" si="77"/>
        <v>-54516</v>
      </c>
      <c r="AH121" s="960">
        <v>11</v>
      </c>
      <c r="AI121" s="956">
        <v>452408</v>
      </c>
    </row>
    <row r="122" spans="1:35" ht="24">
      <c r="A122" s="935" t="s">
        <v>7002</v>
      </c>
      <c r="B122" s="950">
        <f>SUM(B123:B127)</f>
        <v>73</v>
      </c>
      <c r="C122" s="951"/>
      <c r="D122" s="951"/>
      <c r="E122" s="951"/>
      <c r="F122" s="951"/>
      <c r="G122" s="951"/>
      <c r="H122" s="951"/>
      <c r="I122" s="951"/>
      <c r="J122" s="951"/>
      <c r="K122" s="951"/>
      <c r="L122" s="951"/>
      <c r="M122" s="951"/>
      <c r="N122" s="951"/>
      <c r="O122" s="951">
        <f>SUM(O123:O127)</f>
        <v>259718.25201793722</v>
      </c>
      <c r="P122" s="952">
        <f>SUM(P123:P127)</f>
        <v>3849813.359461884</v>
      </c>
      <c r="Q122" s="950">
        <f>SUM(Q123:Q127)</f>
        <v>73</v>
      </c>
      <c r="R122" s="951"/>
      <c r="S122" s="951"/>
      <c r="T122" s="951"/>
      <c r="U122" s="951"/>
      <c r="V122" s="951"/>
      <c r="W122" s="951"/>
      <c r="X122" s="951"/>
      <c r="Y122" s="951"/>
      <c r="Z122" s="951"/>
      <c r="AA122" s="951"/>
      <c r="AB122" s="951"/>
      <c r="AC122" s="951"/>
      <c r="AD122" s="951">
        <f t="shared" ref="AD122:AI122" si="78">SUM(AD123:AD127)</f>
        <v>271664</v>
      </c>
      <c r="AE122" s="952">
        <f t="shared" si="78"/>
        <v>4036436.8</v>
      </c>
      <c r="AF122" s="950">
        <f t="shared" si="78"/>
        <v>-11945.747982062749</v>
      </c>
      <c r="AG122" s="952">
        <f t="shared" si="78"/>
        <v>-186623.44053811592</v>
      </c>
      <c r="AH122" s="953">
        <f t="shared" si="78"/>
        <v>74</v>
      </c>
      <c r="AI122" s="952">
        <f t="shared" si="78"/>
        <v>4087810.4000000004</v>
      </c>
    </row>
    <row r="123" spans="1:35">
      <c r="A123" s="933" t="s">
        <v>7001</v>
      </c>
      <c r="B123" s="977">
        <v>21</v>
      </c>
      <c r="C123" s="989">
        <v>3875</v>
      </c>
      <c r="D123" s="955"/>
      <c r="E123" s="955"/>
      <c r="F123" s="955"/>
      <c r="G123" s="955"/>
      <c r="H123" s="955"/>
      <c r="I123" s="955"/>
      <c r="J123" s="990"/>
      <c r="K123" s="962">
        <f>SUM(C123:J123)</f>
        <v>3875</v>
      </c>
      <c r="L123" s="962">
        <f>300+300+400</f>
        <v>1000</v>
      </c>
      <c r="M123" s="962">
        <f>(534.984200298954*12)+(300*12)</f>
        <v>10019.810403587448</v>
      </c>
      <c r="N123" s="962">
        <f>SUM(L123:M123)</f>
        <v>11019.810403587448</v>
      </c>
      <c r="O123" s="963">
        <f>(K123*12)+N123</f>
        <v>57519.810403587449</v>
      </c>
      <c r="P123" s="956">
        <f>B123*O123</f>
        <v>1207916.0184753365</v>
      </c>
      <c r="Q123" s="977">
        <v>21</v>
      </c>
      <c r="R123" s="989">
        <v>4471</v>
      </c>
      <c r="S123" s="955"/>
      <c r="T123" s="955"/>
      <c r="U123" s="955"/>
      <c r="V123" s="955"/>
      <c r="W123" s="955"/>
      <c r="X123" s="955"/>
      <c r="Y123" s="990"/>
      <c r="Z123" s="962">
        <f>SUM(R123:Y123)</f>
        <v>4471</v>
      </c>
      <c r="AA123" s="962">
        <f>300+300+400</f>
        <v>1000</v>
      </c>
      <c r="AB123" s="962">
        <f>135525.6/Q123</f>
        <v>6453.6</v>
      </c>
      <c r="AC123" s="962">
        <f>SUM(AA123:AB123)</f>
        <v>7453.6</v>
      </c>
      <c r="AD123" s="963">
        <f>(Z123*12)+AC123</f>
        <v>61105.599999999999</v>
      </c>
      <c r="AE123" s="956">
        <f>Q123*AD123</f>
        <v>1283217.5999999999</v>
      </c>
      <c r="AF123" s="957">
        <f t="shared" ref="AF123:AG127" si="79">+O123-AD123</f>
        <v>-3585.7895964125491</v>
      </c>
      <c r="AG123" s="956">
        <f t="shared" si="79"/>
        <v>-75301.581524663372</v>
      </c>
      <c r="AH123" s="960">
        <v>21</v>
      </c>
      <c r="AI123" s="956">
        <v>1283217.6000000001</v>
      </c>
    </row>
    <row r="124" spans="1:35">
      <c r="A124" s="933" t="s">
        <v>7000</v>
      </c>
      <c r="B124" s="977">
        <v>16</v>
      </c>
      <c r="C124" s="989">
        <v>3619.6</v>
      </c>
      <c r="D124" s="955"/>
      <c r="E124" s="955"/>
      <c r="F124" s="955"/>
      <c r="G124" s="955"/>
      <c r="H124" s="955"/>
      <c r="I124" s="955"/>
      <c r="J124" s="990"/>
      <c r="K124" s="962">
        <f>SUM(C124:J124)</f>
        <v>3619.6</v>
      </c>
      <c r="L124" s="962">
        <f>300+300+400</f>
        <v>1000</v>
      </c>
      <c r="M124" s="962">
        <f>(534.984200298954*12)+(300*12)</f>
        <v>10019.810403587448</v>
      </c>
      <c r="N124" s="962">
        <f>SUM(L124:M124)</f>
        <v>11019.810403587448</v>
      </c>
      <c r="O124" s="963">
        <f>(K124*12)+N124</f>
        <v>54455.010403587446</v>
      </c>
      <c r="P124" s="956">
        <f>B124*O124</f>
        <v>871280.16645739914</v>
      </c>
      <c r="Q124" s="977">
        <v>16</v>
      </c>
      <c r="R124" s="989">
        <v>4158</v>
      </c>
      <c r="S124" s="955"/>
      <c r="T124" s="955"/>
      <c r="U124" s="955"/>
      <c r="V124" s="955"/>
      <c r="W124" s="955"/>
      <c r="X124" s="955"/>
      <c r="Y124" s="990"/>
      <c r="Z124" s="962">
        <f>SUM(R124:Y124)</f>
        <v>4158</v>
      </c>
      <c r="AA124" s="962">
        <f>300+300+400</f>
        <v>1000</v>
      </c>
      <c r="AB124" s="962">
        <f>103257.6/Q124</f>
        <v>6453.6</v>
      </c>
      <c r="AC124" s="962">
        <f>SUM(AA124:AB124)</f>
        <v>7453.6</v>
      </c>
      <c r="AD124" s="963">
        <f>(Z124*12)+AC124</f>
        <v>57349.599999999999</v>
      </c>
      <c r="AE124" s="956">
        <f>Q124*AD124</f>
        <v>917593.59999999998</v>
      </c>
      <c r="AF124" s="957">
        <f t="shared" si="79"/>
        <v>-2894.5895964125521</v>
      </c>
      <c r="AG124" s="956">
        <f t="shared" si="79"/>
        <v>-46313.433542600833</v>
      </c>
      <c r="AH124" s="960">
        <v>16</v>
      </c>
      <c r="AI124" s="956">
        <v>917593.59999999998</v>
      </c>
    </row>
    <row r="125" spans="1:35">
      <c r="A125" s="933" t="s">
        <v>6999</v>
      </c>
      <c r="B125" s="977">
        <v>11</v>
      </c>
      <c r="C125" s="989">
        <v>3409</v>
      </c>
      <c r="D125" s="955"/>
      <c r="E125" s="955"/>
      <c r="F125" s="955"/>
      <c r="G125" s="955"/>
      <c r="H125" s="955"/>
      <c r="I125" s="955"/>
      <c r="J125" s="990"/>
      <c r="K125" s="962">
        <f>SUM(C125:J125)</f>
        <v>3409</v>
      </c>
      <c r="L125" s="962">
        <f>300+300+400</f>
        <v>1000</v>
      </c>
      <c r="M125" s="962">
        <f>(534.984200298954*12)+(300*12)</f>
        <v>10019.810403587448</v>
      </c>
      <c r="N125" s="962">
        <f>SUM(L125:M125)</f>
        <v>11019.810403587448</v>
      </c>
      <c r="O125" s="963">
        <f>(K125*12)+N125</f>
        <v>51927.810403587449</v>
      </c>
      <c r="P125" s="956">
        <f>B125*O125</f>
        <v>571205.91443946189</v>
      </c>
      <c r="Q125" s="977">
        <v>11</v>
      </c>
      <c r="R125" s="989">
        <v>3900</v>
      </c>
      <c r="S125" s="955"/>
      <c r="T125" s="955"/>
      <c r="U125" s="955"/>
      <c r="V125" s="955"/>
      <c r="W125" s="955"/>
      <c r="X125" s="955"/>
      <c r="Y125" s="990"/>
      <c r="Z125" s="962">
        <f>SUM(R125:Y125)</f>
        <v>3900</v>
      </c>
      <c r="AA125" s="962">
        <f>300+300+400</f>
        <v>1000</v>
      </c>
      <c r="AB125" s="962">
        <f>70989.6/Q125</f>
        <v>6453.6</v>
      </c>
      <c r="AC125" s="962">
        <f>SUM(AA125:AB125)</f>
        <v>7453.6</v>
      </c>
      <c r="AD125" s="963">
        <f>(Z125*12)+AC125</f>
        <v>54253.599999999999</v>
      </c>
      <c r="AE125" s="956">
        <f>Q125*AD125</f>
        <v>596789.6</v>
      </c>
      <c r="AF125" s="957">
        <f t="shared" si="79"/>
        <v>-2325.7895964125491</v>
      </c>
      <c r="AG125" s="956">
        <f t="shared" si="79"/>
        <v>-25583.685560538084</v>
      </c>
      <c r="AH125" s="960">
        <v>11</v>
      </c>
      <c r="AI125" s="956">
        <v>596789.6</v>
      </c>
    </row>
    <row r="126" spans="1:35">
      <c r="A126" s="933" t="s">
        <v>6998</v>
      </c>
      <c r="B126" s="977">
        <v>13</v>
      </c>
      <c r="C126" s="989">
        <v>3217</v>
      </c>
      <c r="D126" s="955"/>
      <c r="E126" s="955"/>
      <c r="F126" s="955"/>
      <c r="G126" s="955"/>
      <c r="H126" s="955"/>
      <c r="I126" s="955"/>
      <c r="J126" s="990"/>
      <c r="K126" s="962">
        <f>SUM(C126:J126)</f>
        <v>3217</v>
      </c>
      <c r="L126" s="962">
        <f>300+300+400</f>
        <v>1000</v>
      </c>
      <c r="M126" s="962">
        <f>(534.984200298954*12)+(300*12)</f>
        <v>10019.810403587448</v>
      </c>
      <c r="N126" s="962">
        <f>SUM(L126:M126)</f>
        <v>11019.810403587448</v>
      </c>
      <c r="O126" s="963">
        <f>(K126*12)+N126</f>
        <v>49623.810403587449</v>
      </c>
      <c r="P126" s="956">
        <f>B126*O126</f>
        <v>645109.53524663683</v>
      </c>
      <c r="Q126" s="977">
        <v>13</v>
      </c>
      <c r="R126" s="989">
        <v>3660</v>
      </c>
      <c r="S126" s="955"/>
      <c r="T126" s="955"/>
      <c r="U126" s="955"/>
      <c r="V126" s="955"/>
      <c r="W126" s="955"/>
      <c r="X126" s="955"/>
      <c r="Y126" s="990"/>
      <c r="Z126" s="962">
        <f>SUM(R126:Y126)</f>
        <v>3660</v>
      </c>
      <c r="AA126" s="962">
        <f>300+300+400</f>
        <v>1000</v>
      </c>
      <c r="AB126" s="962">
        <f>83896.8/Q126</f>
        <v>6453.6</v>
      </c>
      <c r="AC126" s="962">
        <f>SUM(AA126:AB126)</f>
        <v>7453.6</v>
      </c>
      <c r="AD126" s="963">
        <f>(Z126*12)+AC126</f>
        <v>51373.599999999999</v>
      </c>
      <c r="AE126" s="956">
        <f>Q126*AD126</f>
        <v>667856.79999999993</v>
      </c>
      <c r="AF126" s="957">
        <f t="shared" si="79"/>
        <v>-1749.7895964125491</v>
      </c>
      <c r="AG126" s="956">
        <f t="shared" si="79"/>
        <v>-22747.264753363095</v>
      </c>
      <c r="AH126" s="960">
        <v>14</v>
      </c>
      <c r="AI126" s="956">
        <v>719230.4</v>
      </c>
    </row>
    <row r="127" spans="1:35">
      <c r="A127" s="933" t="s">
        <v>6997</v>
      </c>
      <c r="B127" s="977">
        <v>12</v>
      </c>
      <c r="C127" s="989">
        <v>2931</v>
      </c>
      <c r="D127" s="955"/>
      <c r="E127" s="955"/>
      <c r="F127" s="955"/>
      <c r="G127" s="955"/>
      <c r="H127" s="955"/>
      <c r="I127" s="955"/>
      <c r="J127" s="990"/>
      <c r="K127" s="962">
        <f>SUM(C127:J127)</f>
        <v>2931</v>
      </c>
      <c r="L127" s="962">
        <f>300+300+400</f>
        <v>1000</v>
      </c>
      <c r="M127" s="962">
        <f>(534.984200298954*12)+(300*12)</f>
        <v>10019.810403587448</v>
      </c>
      <c r="N127" s="962">
        <f>SUM(L127:M127)</f>
        <v>11019.810403587448</v>
      </c>
      <c r="O127" s="963">
        <f>(K127*12)+N127</f>
        <v>46191.810403587449</v>
      </c>
      <c r="P127" s="956">
        <f>B127*O127</f>
        <v>554301.72484304942</v>
      </c>
      <c r="Q127" s="977">
        <v>12</v>
      </c>
      <c r="R127" s="989">
        <v>3344</v>
      </c>
      <c r="S127" s="955"/>
      <c r="T127" s="955"/>
      <c r="U127" s="955"/>
      <c r="V127" s="955"/>
      <c r="W127" s="955"/>
      <c r="X127" s="955"/>
      <c r="Y127" s="990"/>
      <c r="Z127" s="962">
        <f>SUM(R127:Y127)</f>
        <v>3344</v>
      </c>
      <c r="AA127" s="962">
        <f>300+300+400</f>
        <v>1000</v>
      </c>
      <c r="AB127" s="962">
        <f>77443.2/Q127</f>
        <v>6453.5999999999995</v>
      </c>
      <c r="AC127" s="962">
        <f>SUM(AA127:AB127)</f>
        <v>7453.5999999999995</v>
      </c>
      <c r="AD127" s="963">
        <f>(Z127*12)+AC127</f>
        <v>47581.599999999999</v>
      </c>
      <c r="AE127" s="956">
        <f>Q127*AD127</f>
        <v>570979.19999999995</v>
      </c>
      <c r="AF127" s="957">
        <f t="shared" si="79"/>
        <v>-1389.7895964125491</v>
      </c>
      <c r="AG127" s="956">
        <f t="shared" si="79"/>
        <v>-16677.475156950532</v>
      </c>
      <c r="AH127" s="960">
        <v>12</v>
      </c>
      <c r="AI127" s="956">
        <v>570979.19999999995</v>
      </c>
    </row>
    <row r="128" spans="1:35" ht="24">
      <c r="A128" s="935" t="s">
        <v>6996</v>
      </c>
      <c r="B128" s="950">
        <f>SUM(B129:B133)</f>
        <v>20</v>
      </c>
      <c r="C128" s="951"/>
      <c r="D128" s="951"/>
      <c r="E128" s="951"/>
      <c r="F128" s="951"/>
      <c r="G128" s="951"/>
      <c r="H128" s="951"/>
      <c r="I128" s="951"/>
      <c r="J128" s="951"/>
      <c r="K128" s="951"/>
      <c r="L128" s="951"/>
      <c r="M128" s="951"/>
      <c r="N128" s="951"/>
      <c r="O128" s="951">
        <f>SUM(O129:O133)</f>
        <v>209619.20000000001</v>
      </c>
      <c r="P128" s="952">
        <f>SUM(P129:P133)</f>
        <v>855396.8</v>
      </c>
      <c r="Q128" s="950">
        <f>SUM(Q129:Q133)</f>
        <v>20</v>
      </c>
      <c r="R128" s="951"/>
      <c r="S128" s="951"/>
      <c r="T128" s="951"/>
      <c r="U128" s="951"/>
      <c r="V128" s="951"/>
      <c r="W128" s="951"/>
      <c r="X128" s="951"/>
      <c r="Y128" s="951"/>
      <c r="Z128" s="951"/>
      <c r="AA128" s="951"/>
      <c r="AB128" s="951"/>
      <c r="AC128" s="951"/>
      <c r="AD128" s="951">
        <f t="shared" ref="AD128:AI128" si="80">SUM(AD129:AD133)</f>
        <v>239396</v>
      </c>
      <c r="AE128" s="952">
        <f t="shared" si="80"/>
        <v>977960</v>
      </c>
      <c r="AF128" s="950">
        <f t="shared" si="80"/>
        <v>-29776.800000000003</v>
      </c>
      <c r="AG128" s="952">
        <f t="shared" si="80"/>
        <v>-122563.20000000001</v>
      </c>
      <c r="AH128" s="953">
        <f t="shared" si="80"/>
        <v>20</v>
      </c>
      <c r="AI128" s="952">
        <f t="shared" si="80"/>
        <v>977960</v>
      </c>
    </row>
    <row r="129" spans="1:35">
      <c r="A129" s="933" t="s">
        <v>6989</v>
      </c>
      <c r="B129" s="977">
        <v>6</v>
      </c>
      <c r="C129" s="989">
        <v>3875</v>
      </c>
      <c r="D129" s="955"/>
      <c r="E129" s="955"/>
      <c r="F129" s="955"/>
      <c r="G129" s="955"/>
      <c r="H129" s="955"/>
      <c r="I129" s="955"/>
      <c r="J129" s="990"/>
      <c r="K129" s="962">
        <f>SUM(C129:J129)</f>
        <v>3875</v>
      </c>
      <c r="L129" s="962">
        <f>300+300+400</f>
        <v>1000</v>
      </c>
      <c r="M129" s="962"/>
      <c r="N129" s="962">
        <f>SUM(L129:M129)</f>
        <v>1000</v>
      </c>
      <c r="O129" s="963">
        <f>(K129*12)+N129</f>
        <v>47500</v>
      </c>
      <c r="P129" s="956">
        <f>B129*O129</f>
        <v>285000</v>
      </c>
      <c r="Q129" s="977">
        <v>6</v>
      </c>
      <c r="R129" s="989">
        <v>4471</v>
      </c>
      <c r="S129" s="955"/>
      <c r="T129" s="955"/>
      <c r="U129" s="955"/>
      <c r="V129" s="955"/>
      <c r="W129" s="955"/>
      <c r="X129" s="955"/>
      <c r="Y129" s="990"/>
      <c r="Z129" s="962">
        <f>SUM(R129:Y129)</f>
        <v>4471</v>
      </c>
      <c r="AA129" s="962">
        <f>300+300+400</f>
        <v>1000</v>
      </c>
      <c r="AB129" s="962"/>
      <c r="AC129" s="962">
        <f>SUM(AA129:AB129)</f>
        <v>1000</v>
      </c>
      <c r="AD129" s="963">
        <f>(Z129*12)+AC129</f>
        <v>54652</v>
      </c>
      <c r="AE129" s="956">
        <f>Q129*AD129</f>
        <v>327912</v>
      </c>
      <c r="AF129" s="957">
        <f t="shared" ref="AF129:AG133" si="81">+O129-AD129</f>
        <v>-7152</v>
      </c>
      <c r="AG129" s="956">
        <f t="shared" si="81"/>
        <v>-42912</v>
      </c>
      <c r="AH129" s="960">
        <v>6</v>
      </c>
      <c r="AI129" s="956">
        <v>327912</v>
      </c>
    </row>
    <row r="130" spans="1:35">
      <c r="A130" s="933" t="s">
        <v>6988</v>
      </c>
      <c r="B130" s="977">
        <v>4</v>
      </c>
      <c r="C130" s="989">
        <v>3619.6</v>
      </c>
      <c r="D130" s="955"/>
      <c r="E130" s="955"/>
      <c r="F130" s="955"/>
      <c r="G130" s="955"/>
      <c r="H130" s="955"/>
      <c r="I130" s="955"/>
      <c r="J130" s="990"/>
      <c r="K130" s="962">
        <f>SUM(C130:J130)</f>
        <v>3619.6</v>
      </c>
      <c r="L130" s="962">
        <f>300+300+400</f>
        <v>1000</v>
      </c>
      <c r="M130" s="962"/>
      <c r="N130" s="962">
        <f>SUM(L130:M130)</f>
        <v>1000</v>
      </c>
      <c r="O130" s="963">
        <f>(K130*12)+N130</f>
        <v>44435.199999999997</v>
      </c>
      <c r="P130" s="956">
        <f>B130*O130</f>
        <v>177740.79999999999</v>
      </c>
      <c r="Q130" s="977">
        <v>4</v>
      </c>
      <c r="R130" s="989">
        <v>4158</v>
      </c>
      <c r="S130" s="955"/>
      <c r="T130" s="955"/>
      <c r="U130" s="955"/>
      <c r="V130" s="955"/>
      <c r="W130" s="955"/>
      <c r="X130" s="955"/>
      <c r="Y130" s="990"/>
      <c r="Z130" s="962">
        <f>SUM(R130:Y130)</f>
        <v>4158</v>
      </c>
      <c r="AA130" s="962">
        <f>300+300+400</f>
        <v>1000</v>
      </c>
      <c r="AB130" s="962"/>
      <c r="AC130" s="962">
        <f>SUM(AA130:AB130)</f>
        <v>1000</v>
      </c>
      <c r="AD130" s="963">
        <f>(Z130*12)+AC130</f>
        <v>50896</v>
      </c>
      <c r="AE130" s="956">
        <f>Q130*AD130</f>
        <v>203584</v>
      </c>
      <c r="AF130" s="957">
        <f t="shared" si="81"/>
        <v>-6460.8000000000029</v>
      </c>
      <c r="AG130" s="956">
        <f t="shared" si="81"/>
        <v>-25843.200000000012</v>
      </c>
      <c r="AH130" s="960">
        <v>4</v>
      </c>
      <c r="AI130" s="956">
        <v>203584</v>
      </c>
    </row>
    <row r="131" spans="1:35">
      <c r="A131" s="933" t="s">
        <v>6986</v>
      </c>
      <c r="B131" s="977">
        <v>3</v>
      </c>
      <c r="C131" s="989">
        <v>3409</v>
      </c>
      <c r="D131" s="955"/>
      <c r="E131" s="955"/>
      <c r="F131" s="955"/>
      <c r="G131" s="955"/>
      <c r="H131" s="955"/>
      <c r="I131" s="955"/>
      <c r="J131" s="990"/>
      <c r="K131" s="962">
        <f>SUM(C131:J131)</f>
        <v>3409</v>
      </c>
      <c r="L131" s="962">
        <f>300+300+400</f>
        <v>1000</v>
      </c>
      <c r="M131" s="962"/>
      <c r="N131" s="962">
        <f>SUM(L131:M131)</f>
        <v>1000</v>
      </c>
      <c r="O131" s="963">
        <f>(K131*12)+N131</f>
        <v>41908</v>
      </c>
      <c r="P131" s="956">
        <f>B131*O131</f>
        <v>125724</v>
      </c>
      <c r="Q131" s="977">
        <v>3</v>
      </c>
      <c r="R131" s="989">
        <v>3900</v>
      </c>
      <c r="S131" s="955"/>
      <c r="T131" s="955"/>
      <c r="U131" s="955"/>
      <c r="V131" s="955"/>
      <c r="W131" s="955"/>
      <c r="X131" s="955"/>
      <c r="Y131" s="990"/>
      <c r="Z131" s="962">
        <f>SUM(R131:Y131)</f>
        <v>3900</v>
      </c>
      <c r="AA131" s="962">
        <f>300+300+400</f>
        <v>1000</v>
      </c>
      <c r="AB131" s="962"/>
      <c r="AC131" s="962">
        <f>SUM(AA131:AB131)</f>
        <v>1000</v>
      </c>
      <c r="AD131" s="963">
        <f>(Z131*12)+AC131</f>
        <v>47800</v>
      </c>
      <c r="AE131" s="956">
        <f>Q131*AD131</f>
        <v>143400</v>
      </c>
      <c r="AF131" s="957">
        <f t="shared" si="81"/>
        <v>-5892</v>
      </c>
      <c r="AG131" s="956">
        <f t="shared" si="81"/>
        <v>-17676</v>
      </c>
      <c r="AH131" s="960">
        <v>3</v>
      </c>
      <c r="AI131" s="956">
        <v>143400</v>
      </c>
    </row>
    <row r="132" spans="1:35">
      <c r="A132" s="933" t="s">
        <v>6985</v>
      </c>
      <c r="B132" s="977">
        <v>4</v>
      </c>
      <c r="C132" s="989">
        <v>3217</v>
      </c>
      <c r="D132" s="955"/>
      <c r="E132" s="955"/>
      <c r="F132" s="955"/>
      <c r="G132" s="955"/>
      <c r="H132" s="955"/>
      <c r="I132" s="955"/>
      <c r="J132" s="990"/>
      <c r="K132" s="962">
        <f>SUM(C132:J132)</f>
        <v>3217</v>
      </c>
      <c r="L132" s="962">
        <f>300+300+400</f>
        <v>1000</v>
      </c>
      <c r="M132" s="962"/>
      <c r="N132" s="962">
        <f>SUM(L132:M132)</f>
        <v>1000</v>
      </c>
      <c r="O132" s="963">
        <f>(K132*12)+N132</f>
        <v>39604</v>
      </c>
      <c r="P132" s="956">
        <f>B132*O132</f>
        <v>158416</v>
      </c>
      <c r="Q132" s="977">
        <v>4</v>
      </c>
      <c r="R132" s="989">
        <v>3660</v>
      </c>
      <c r="S132" s="955"/>
      <c r="T132" s="955"/>
      <c r="U132" s="955"/>
      <c r="V132" s="955"/>
      <c r="W132" s="955"/>
      <c r="X132" s="955"/>
      <c r="Y132" s="990"/>
      <c r="Z132" s="962">
        <f>SUM(R132:Y132)</f>
        <v>3660</v>
      </c>
      <c r="AA132" s="962">
        <f>300+300+400</f>
        <v>1000</v>
      </c>
      <c r="AB132" s="962"/>
      <c r="AC132" s="962">
        <f>SUM(AA132:AB132)</f>
        <v>1000</v>
      </c>
      <c r="AD132" s="963">
        <f>(Z132*12)+AC132</f>
        <v>44920</v>
      </c>
      <c r="AE132" s="956">
        <f>Q132*AD132</f>
        <v>179680</v>
      </c>
      <c r="AF132" s="957">
        <f t="shared" si="81"/>
        <v>-5316</v>
      </c>
      <c r="AG132" s="956">
        <f t="shared" si="81"/>
        <v>-21264</v>
      </c>
      <c r="AH132" s="960">
        <v>4</v>
      </c>
      <c r="AI132" s="956">
        <v>179680</v>
      </c>
    </row>
    <row r="133" spans="1:35">
      <c r="A133" s="933" t="s">
        <v>6984</v>
      </c>
      <c r="B133" s="977">
        <v>3</v>
      </c>
      <c r="C133" s="989">
        <v>2931</v>
      </c>
      <c r="D133" s="955"/>
      <c r="E133" s="955"/>
      <c r="F133" s="955"/>
      <c r="G133" s="955"/>
      <c r="H133" s="955"/>
      <c r="I133" s="955"/>
      <c r="J133" s="990"/>
      <c r="K133" s="962">
        <f>SUM(C133:J133)</f>
        <v>2931</v>
      </c>
      <c r="L133" s="962">
        <f>300+300+400</f>
        <v>1000</v>
      </c>
      <c r="M133" s="962"/>
      <c r="N133" s="962">
        <f>SUM(L133:M133)</f>
        <v>1000</v>
      </c>
      <c r="O133" s="963">
        <f>(K133*12)+N133</f>
        <v>36172</v>
      </c>
      <c r="P133" s="956">
        <f>B133*O133</f>
        <v>108516</v>
      </c>
      <c r="Q133" s="977">
        <v>3</v>
      </c>
      <c r="R133" s="989">
        <v>3344</v>
      </c>
      <c r="S133" s="955"/>
      <c r="T133" s="955"/>
      <c r="U133" s="955"/>
      <c r="V133" s="955"/>
      <c r="W133" s="955"/>
      <c r="X133" s="955"/>
      <c r="Y133" s="990"/>
      <c r="Z133" s="962">
        <f>SUM(R133:Y133)</f>
        <v>3344</v>
      </c>
      <c r="AA133" s="962">
        <f>300+300+400</f>
        <v>1000</v>
      </c>
      <c r="AB133" s="962"/>
      <c r="AC133" s="962">
        <f>SUM(AA133:AB133)</f>
        <v>1000</v>
      </c>
      <c r="AD133" s="963">
        <f>(Z133*12)+AC133</f>
        <v>41128</v>
      </c>
      <c r="AE133" s="956">
        <f>Q133*AD133</f>
        <v>123384</v>
      </c>
      <c r="AF133" s="957">
        <f t="shared" si="81"/>
        <v>-4956</v>
      </c>
      <c r="AG133" s="956">
        <f t="shared" si="81"/>
        <v>-14868</v>
      </c>
      <c r="AH133" s="960">
        <v>3</v>
      </c>
      <c r="AI133" s="956">
        <v>123384</v>
      </c>
    </row>
    <row r="134" spans="1:35">
      <c r="A134" s="935" t="s">
        <v>2097</v>
      </c>
      <c r="B134" s="950">
        <f>SUM(B135:B139)</f>
        <v>16</v>
      </c>
      <c r="C134" s="951"/>
      <c r="D134" s="951"/>
      <c r="E134" s="951"/>
      <c r="F134" s="951"/>
      <c r="G134" s="951"/>
      <c r="H134" s="951"/>
      <c r="I134" s="951"/>
      <c r="J134" s="951"/>
      <c r="K134" s="951"/>
      <c r="L134" s="951"/>
      <c r="M134" s="951"/>
      <c r="N134" s="951"/>
      <c r="O134" s="951">
        <f>SUM(O135:O139)</f>
        <v>213219.20000000001</v>
      </c>
      <c r="P134" s="952">
        <f>SUM(P135:P139)</f>
        <v>662293.6</v>
      </c>
      <c r="Q134" s="950">
        <f>SUM(Q135:Q139)</f>
        <v>16</v>
      </c>
      <c r="R134" s="951"/>
      <c r="S134" s="951"/>
      <c r="T134" s="951"/>
      <c r="U134" s="951"/>
      <c r="V134" s="951"/>
      <c r="W134" s="951"/>
      <c r="X134" s="951"/>
      <c r="Y134" s="951"/>
      <c r="Z134" s="951"/>
      <c r="AA134" s="951"/>
      <c r="AB134" s="951"/>
      <c r="AC134" s="951"/>
      <c r="AD134" s="951">
        <f t="shared" ref="AD134:AI134" si="82">SUM(AD135:AD139)</f>
        <v>239396</v>
      </c>
      <c r="AE134" s="952">
        <f t="shared" si="82"/>
        <v>741676</v>
      </c>
      <c r="AF134" s="950">
        <f t="shared" si="82"/>
        <v>-26176.800000000003</v>
      </c>
      <c r="AG134" s="952">
        <f t="shared" si="82"/>
        <v>-79382.400000000023</v>
      </c>
      <c r="AH134" s="953">
        <f t="shared" si="82"/>
        <v>16</v>
      </c>
      <c r="AI134" s="952">
        <f t="shared" si="82"/>
        <v>741676</v>
      </c>
    </row>
    <row r="135" spans="1:35">
      <c r="A135" s="933" t="s">
        <v>6989</v>
      </c>
      <c r="B135" s="977">
        <v>1</v>
      </c>
      <c r="C135" s="989">
        <v>3875</v>
      </c>
      <c r="D135" s="955"/>
      <c r="E135" s="955"/>
      <c r="F135" s="955"/>
      <c r="G135" s="955"/>
      <c r="H135" s="955"/>
      <c r="I135" s="955"/>
      <c r="J135" s="990"/>
      <c r="K135" s="962">
        <f>SUM(C135:J135)</f>
        <v>3875</v>
      </c>
      <c r="L135" s="962">
        <f>300+300+400</f>
        <v>1000</v>
      </c>
      <c r="M135" s="962"/>
      <c r="N135" s="962">
        <f>SUM(L135:M135)</f>
        <v>1000</v>
      </c>
      <c r="O135" s="963">
        <f>(K135*12)+N135</f>
        <v>47500</v>
      </c>
      <c r="P135" s="956">
        <f>B135*O135</f>
        <v>47500</v>
      </c>
      <c r="Q135" s="977">
        <v>1</v>
      </c>
      <c r="R135" s="989">
        <v>4471</v>
      </c>
      <c r="S135" s="955"/>
      <c r="T135" s="955"/>
      <c r="U135" s="955"/>
      <c r="V135" s="955"/>
      <c r="W135" s="955"/>
      <c r="X135" s="955"/>
      <c r="Y135" s="990"/>
      <c r="Z135" s="962">
        <f>SUM(R135:Y135)</f>
        <v>4471</v>
      </c>
      <c r="AA135" s="962">
        <f>300+300+400</f>
        <v>1000</v>
      </c>
      <c r="AB135" s="962"/>
      <c r="AC135" s="962">
        <f>SUM(AA135:AB135)</f>
        <v>1000</v>
      </c>
      <c r="AD135" s="963">
        <f>(Z135*12)+AC135</f>
        <v>54652</v>
      </c>
      <c r="AE135" s="956">
        <f>Q135*AD135</f>
        <v>54652</v>
      </c>
      <c r="AF135" s="957">
        <f t="shared" ref="AF135:AG139" si="83">+O135-AD135</f>
        <v>-7152</v>
      </c>
      <c r="AG135" s="956">
        <f t="shared" si="83"/>
        <v>-7152</v>
      </c>
      <c r="AH135" s="960">
        <v>1</v>
      </c>
      <c r="AI135" s="956">
        <v>54652</v>
      </c>
    </row>
    <row r="136" spans="1:35">
      <c r="A136" s="933" t="s">
        <v>6988</v>
      </c>
      <c r="B136" s="977">
        <v>3</v>
      </c>
      <c r="C136" s="989">
        <v>3619.6</v>
      </c>
      <c r="D136" s="955"/>
      <c r="E136" s="955"/>
      <c r="F136" s="955"/>
      <c r="G136" s="955"/>
      <c r="H136" s="955"/>
      <c r="I136" s="955"/>
      <c r="J136" s="990"/>
      <c r="K136" s="962">
        <f>SUM(C136:J136)</f>
        <v>3619.6</v>
      </c>
      <c r="L136" s="962">
        <f>300+300+400</f>
        <v>1000</v>
      </c>
      <c r="M136" s="962">
        <f>(300*12)</f>
        <v>3600</v>
      </c>
      <c r="N136" s="962">
        <f>SUM(L136:M136)</f>
        <v>4600</v>
      </c>
      <c r="O136" s="963">
        <f>(K136*12)+N136</f>
        <v>48035.199999999997</v>
      </c>
      <c r="P136" s="956">
        <f>B136*O136</f>
        <v>144105.59999999998</v>
      </c>
      <c r="Q136" s="977">
        <v>3</v>
      </c>
      <c r="R136" s="989">
        <v>4158</v>
      </c>
      <c r="S136" s="955"/>
      <c r="T136" s="955"/>
      <c r="U136" s="955"/>
      <c r="V136" s="955"/>
      <c r="W136" s="955"/>
      <c r="X136" s="955"/>
      <c r="Y136" s="990"/>
      <c r="Z136" s="962">
        <f>SUM(R136:Y136)</f>
        <v>4158</v>
      </c>
      <c r="AA136" s="962">
        <f>300+300+400</f>
        <v>1000</v>
      </c>
      <c r="AB136" s="962"/>
      <c r="AC136" s="962">
        <f>SUM(AA136:AB136)</f>
        <v>1000</v>
      </c>
      <c r="AD136" s="963">
        <f>(Z136*12)+AC136</f>
        <v>50896</v>
      </c>
      <c r="AE136" s="956">
        <f>Q136*AD136</f>
        <v>152688</v>
      </c>
      <c r="AF136" s="957">
        <f t="shared" si="83"/>
        <v>-2860.8000000000029</v>
      </c>
      <c r="AG136" s="956">
        <f t="shared" si="83"/>
        <v>-8582.4000000000233</v>
      </c>
      <c r="AH136" s="960">
        <v>3</v>
      </c>
      <c r="AI136" s="956">
        <v>152688</v>
      </c>
    </row>
    <row r="137" spans="1:35">
      <c r="A137" s="933" t="s">
        <v>6986</v>
      </c>
      <c r="B137" s="977">
        <v>1</v>
      </c>
      <c r="C137" s="989">
        <v>3409</v>
      </c>
      <c r="D137" s="955"/>
      <c r="E137" s="955"/>
      <c r="F137" s="955"/>
      <c r="G137" s="955"/>
      <c r="H137" s="955"/>
      <c r="I137" s="955"/>
      <c r="J137" s="990"/>
      <c r="K137" s="962">
        <f>SUM(C137:J137)</f>
        <v>3409</v>
      </c>
      <c r="L137" s="962">
        <f>300+300+400</f>
        <v>1000</v>
      </c>
      <c r="M137" s="962"/>
      <c r="N137" s="962">
        <f>SUM(L137:M137)</f>
        <v>1000</v>
      </c>
      <c r="O137" s="963">
        <f>(K137*12)+N137</f>
        <v>41908</v>
      </c>
      <c r="P137" s="956">
        <f>B137*O137</f>
        <v>41908</v>
      </c>
      <c r="Q137" s="977">
        <v>1</v>
      </c>
      <c r="R137" s="989">
        <v>3900</v>
      </c>
      <c r="S137" s="955"/>
      <c r="T137" s="955"/>
      <c r="U137" s="955"/>
      <c r="V137" s="955"/>
      <c r="W137" s="955"/>
      <c r="X137" s="955"/>
      <c r="Y137" s="990"/>
      <c r="Z137" s="962">
        <f>SUM(R137:Y137)</f>
        <v>3900</v>
      </c>
      <c r="AA137" s="962">
        <f>300+300+400</f>
        <v>1000</v>
      </c>
      <c r="AB137" s="962"/>
      <c r="AC137" s="962">
        <f>SUM(AA137:AB137)</f>
        <v>1000</v>
      </c>
      <c r="AD137" s="963">
        <f>(Z137*12)+AC137</f>
        <v>47800</v>
      </c>
      <c r="AE137" s="956">
        <f>Q137*AD137</f>
        <v>47800</v>
      </c>
      <c r="AF137" s="957">
        <f t="shared" si="83"/>
        <v>-5892</v>
      </c>
      <c r="AG137" s="956">
        <f t="shared" si="83"/>
        <v>-5892</v>
      </c>
      <c r="AH137" s="960">
        <v>1</v>
      </c>
      <c r="AI137" s="956">
        <v>47800</v>
      </c>
    </row>
    <row r="138" spans="1:35">
      <c r="A138" s="933" t="s">
        <v>6985</v>
      </c>
      <c r="B138" s="977">
        <v>9</v>
      </c>
      <c r="C138" s="989">
        <v>3217</v>
      </c>
      <c r="D138" s="955"/>
      <c r="E138" s="955"/>
      <c r="F138" s="955"/>
      <c r="G138" s="955"/>
      <c r="H138" s="955"/>
      <c r="I138" s="955"/>
      <c r="J138" s="990"/>
      <c r="K138" s="962">
        <f>SUM(C138:J138)</f>
        <v>3217</v>
      </c>
      <c r="L138" s="962">
        <f>300+300+400</f>
        <v>1000</v>
      </c>
      <c r="M138" s="962"/>
      <c r="N138" s="962">
        <f>SUM(L138:M138)</f>
        <v>1000</v>
      </c>
      <c r="O138" s="963">
        <f>(K138*12)+N138</f>
        <v>39604</v>
      </c>
      <c r="P138" s="956">
        <f>B138*O138</f>
        <v>356436</v>
      </c>
      <c r="Q138" s="977">
        <v>9</v>
      </c>
      <c r="R138" s="989">
        <v>3660</v>
      </c>
      <c r="S138" s="955"/>
      <c r="T138" s="955"/>
      <c r="U138" s="955"/>
      <c r="V138" s="955"/>
      <c r="W138" s="955"/>
      <c r="X138" s="955"/>
      <c r="Y138" s="990"/>
      <c r="Z138" s="962">
        <f>SUM(R138:Y138)</f>
        <v>3660</v>
      </c>
      <c r="AA138" s="962">
        <f>300+300+400</f>
        <v>1000</v>
      </c>
      <c r="AB138" s="962"/>
      <c r="AC138" s="962">
        <f>SUM(AA138:AB138)</f>
        <v>1000</v>
      </c>
      <c r="AD138" s="963">
        <f>(Z138*12)+AC138</f>
        <v>44920</v>
      </c>
      <c r="AE138" s="956">
        <f>Q138*AD138</f>
        <v>404280</v>
      </c>
      <c r="AF138" s="957">
        <f t="shared" si="83"/>
        <v>-5316</v>
      </c>
      <c r="AG138" s="956">
        <f t="shared" si="83"/>
        <v>-47844</v>
      </c>
      <c r="AH138" s="960">
        <v>9</v>
      </c>
      <c r="AI138" s="956">
        <v>404280</v>
      </c>
    </row>
    <row r="139" spans="1:35">
      <c r="A139" s="933" t="s">
        <v>6984</v>
      </c>
      <c r="B139" s="977">
        <v>2</v>
      </c>
      <c r="C139" s="989">
        <v>2931</v>
      </c>
      <c r="D139" s="955"/>
      <c r="E139" s="955"/>
      <c r="F139" s="955"/>
      <c r="G139" s="955"/>
      <c r="H139" s="955"/>
      <c r="I139" s="955"/>
      <c r="J139" s="990"/>
      <c r="K139" s="962">
        <f>SUM(C139:J139)</f>
        <v>2931</v>
      </c>
      <c r="L139" s="962">
        <f>300+300+400</f>
        <v>1000</v>
      </c>
      <c r="M139" s="962"/>
      <c r="N139" s="962">
        <f>SUM(L139:M139)</f>
        <v>1000</v>
      </c>
      <c r="O139" s="963">
        <f>(K139*12)+N139</f>
        <v>36172</v>
      </c>
      <c r="P139" s="956">
        <f>B139*O139</f>
        <v>72344</v>
      </c>
      <c r="Q139" s="977">
        <v>2</v>
      </c>
      <c r="R139" s="989">
        <v>3344</v>
      </c>
      <c r="S139" s="955"/>
      <c r="T139" s="955"/>
      <c r="U139" s="955"/>
      <c r="V139" s="955"/>
      <c r="W139" s="955"/>
      <c r="X139" s="955"/>
      <c r="Y139" s="990"/>
      <c r="Z139" s="962">
        <f>SUM(R139:Y139)</f>
        <v>3344</v>
      </c>
      <c r="AA139" s="962">
        <f>300+300+400</f>
        <v>1000</v>
      </c>
      <c r="AB139" s="962"/>
      <c r="AC139" s="962">
        <f>SUM(AA139:AB139)</f>
        <v>1000</v>
      </c>
      <c r="AD139" s="963">
        <f>(Z139*12)+AC139</f>
        <v>41128</v>
      </c>
      <c r="AE139" s="956">
        <f>Q139*AD139</f>
        <v>82256</v>
      </c>
      <c r="AF139" s="957">
        <f t="shared" si="83"/>
        <v>-4956</v>
      </c>
      <c r="AG139" s="956">
        <f t="shared" si="83"/>
        <v>-9912</v>
      </c>
      <c r="AH139" s="960">
        <v>2</v>
      </c>
      <c r="AI139" s="956">
        <v>82256</v>
      </c>
    </row>
    <row r="140" spans="1:35">
      <c r="A140" s="935" t="s">
        <v>6995</v>
      </c>
      <c r="B140" s="950">
        <f>SUM(B141:B145)</f>
        <v>1</v>
      </c>
      <c r="C140" s="951"/>
      <c r="D140" s="951"/>
      <c r="E140" s="951"/>
      <c r="F140" s="951"/>
      <c r="G140" s="951"/>
      <c r="H140" s="951"/>
      <c r="I140" s="951"/>
      <c r="J140" s="951"/>
      <c r="K140" s="951"/>
      <c r="L140" s="951"/>
      <c r="M140" s="951"/>
      <c r="N140" s="951"/>
      <c r="O140" s="951">
        <f>SUM(O141:O145)</f>
        <v>209619.20000000001</v>
      </c>
      <c r="P140" s="952">
        <f>SUM(P141:P145)</f>
        <v>47500</v>
      </c>
      <c r="Q140" s="950">
        <f>SUM(Q141:Q145)</f>
        <v>1</v>
      </c>
      <c r="R140" s="951"/>
      <c r="S140" s="951"/>
      <c r="T140" s="951"/>
      <c r="U140" s="951"/>
      <c r="V140" s="951"/>
      <c r="W140" s="951"/>
      <c r="X140" s="951"/>
      <c r="Y140" s="951"/>
      <c r="Z140" s="951"/>
      <c r="AA140" s="951"/>
      <c r="AB140" s="951"/>
      <c r="AC140" s="951"/>
      <c r="AD140" s="951">
        <f t="shared" ref="AD140:AI140" si="84">SUM(AD141:AD145)</f>
        <v>239396</v>
      </c>
      <c r="AE140" s="952">
        <f t="shared" si="84"/>
        <v>54652</v>
      </c>
      <c r="AF140" s="950">
        <f t="shared" si="84"/>
        <v>-29776.800000000003</v>
      </c>
      <c r="AG140" s="952">
        <f t="shared" si="84"/>
        <v>-7152</v>
      </c>
      <c r="AH140" s="953">
        <f t="shared" si="84"/>
        <v>1</v>
      </c>
      <c r="AI140" s="952">
        <f t="shared" si="84"/>
        <v>54652</v>
      </c>
    </row>
    <row r="141" spans="1:35">
      <c r="A141" s="933" t="s">
        <v>6989</v>
      </c>
      <c r="B141" s="977">
        <v>1</v>
      </c>
      <c r="C141" s="989">
        <v>3875</v>
      </c>
      <c r="D141" s="955"/>
      <c r="E141" s="955"/>
      <c r="F141" s="955"/>
      <c r="G141" s="955"/>
      <c r="H141" s="955"/>
      <c r="I141" s="955"/>
      <c r="J141" s="990"/>
      <c r="K141" s="962">
        <f>SUM(C141:J141)</f>
        <v>3875</v>
      </c>
      <c r="L141" s="962">
        <f>300+300+400</f>
        <v>1000</v>
      </c>
      <c r="M141" s="962"/>
      <c r="N141" s="962">
        <f>SUM(L141:M141)</f>
        <v>1000</v>
      </c>
      <c r="O141" s="963">
        <f>(K141*12)+N141</f>
        <v>47500</v>
      </c>
      <c r="P141" s="956">
        <f>B141*O141</f>
        <v>47500</v>
      </c>
      <c r="Q141" s="977">
        <v>1</v>
      </c>
      <c r="R141" s="989">
        <v>4471</v>
      </c>
      <c r="S141" s="955"/>
      <c r="T141" s="955"/>
      <c r="U141" s="955"/>
      <c r="V141" s="955"/>
      <c r="W141" s="955"/>
      <c r="X141" s="955"/>
      <c r="Y141" s="990"/>
      <c r="Z141" s="962">
        <f>SUM(R141:Y141)</f>
        <v>4471</v>
      </c>
      <c r="AA141" s="962">
        <f>300+300+400</f>
        <v>1000</v>
      </c>
      <c r="AB141" s="962"/>
      <c r="AC141" s="962">
        <f>SUM(AA141:AB141)</f>
        <v>1000</v>
      </c>
      <c r="AD141" s="963">
        <f>(Z141*12)+AC141</f>
        <v>54652</v>
      </c>
      <c r="AE141" s="956">
        <f>Q141*AD141</f>
        <v>54652</v>
      </c>
      <c r="AF141" s="957">
        <f t="shared" ref="AF141:AG145" si="85">+O141-AD141</f>
        <v>-7152</v>
      </c>
      <c r="AG141" s="956">
        <f t="shared" si="85"/>
        <v>-7152</v>
      </c>
      <c r="AH141" s="960">
        <v>1</v>
      </c>
      <c r="AI141" s="956">
        <v>54652</v>
      </c>
    </row>
    <row r="142" spans="1:35">
      <c r="A142" s="933" t="s">
        <v>6988</v>
      </c>
      <c r="B142" s="977">
        <v>0</v>
      </c>
      <c r="C142" s="989">
        <v>3619.6</v>
      </c>
      <c r="D142" s="955"/>
      <c r="E142" s="955"/>
      <c r="F142" s="955"/>
      <c r="G142" s="955"/>
      <c r="H142" s="955"/>
      <c r="I142" s="955"/>
      <c r="J142" s="990"/>
      <c r="K142" s="962">
        <f>SUM(C142:J142)</f>
        <v>3619.6</v>
      </c>
      <c r="L142" s="962">
        <f>300+300+400</f>
        <v>1000</v>
      </c>
      <c r="M142" s="962"/>
      <c r="N142" s="962">
        <f>SUM(L142:M142)</f>
        <v>1000</v>
      </c>
      <c r="O142" s="963">
        <f>(K142*12)+N142</f>
        <v>44435.199999999997</v>
      </c>
      <c r="P142" s="956">
        <f>B142*O142</f>
        <v>0</v>
      </c>
      <c r="Q142" s="977">
        <v>0</v>
      </c>
      <c r="R142" s="989">
        <v>4158</v>
      </c>
      <c r="S142" s="955"/>
      <c r="T142" s="955"/>
      <c r="U142" s="955"/>
      <c r="V142" s="955"/>
      <c r="W142" s="955"/>
      <c r="X142" s="955"/>
      <c r="Y142" s="990"/>
      <c r="Z142" s="962">
        <f>SUM(R142:Y142)</f>
        <v>4158</v>
      </c>
      <c r="AA142" s="962">
        <f>300+300+400</f>
        <v>1000</v>
      </c>
      <c r="AB142" s="962"/>
      <c r="AC142" s="962">
        <f>SUM(AA142:AB142)</f>
        <v>1000</v>
      </c>
      <c r="AD142" s="963">
        <f>(Z142*12)+AC142</f>
        <v>50896</v>
      </c>
      <c r="AE142" s="956">
        <f>Q142*AD142</f>
        <v>0</v>
      </c>
      <c r="AF142" s="957">
        <f t="shared" si="85"/>
        <v>-6460.8000000000029</v>
      </c>
      <c r="AG142" s="956">
        <f t="shared" si="85"/>
        <v>0</v>
      </c>
      <c r="AH142" s="960">
        <v>0</v>
      </c>
      <c r="AI142" s="956">
        <v>0</v>
      </c>
    </row>
    <row r="143" spans="1:35">
      <c r="A143" s="933" t="s">
        <v>6986</v>
      </c>
      <c r="B143" s="977">
        <v>0</v>
      </c>
      <c r="C143" s="989">
        <v>3409</v>
      </c>
      <c r="D143" s="955"/>
      <c r="E143" s="955"/>
      <c r="F143" s="955"/>
      <c r="G143" s="955"/>
      <c r="H143" s="955"/>
      <c r="I143" s="955"/>
      <c r="J143" s="990"/>
      <c r="K143" s="962">
        <f>SUM(C143:J143)</f>
        <v>3409</v>
      </c>
      <c r="L143" s="962">
        <f>300+300+400</f>
        <v>1000</v>
      </c>
      <c r="M143" s="962"/>
      <c r="N143" s="962">
        <f>SUM(L143:M143)</f>
        <v>1000</v>
      </c>
      <c r="O143" s="963">
        <f>(K143*12)+N143</f>
        <v>41908</v>
      </c>
      <c r="P143" s="956">
        <f>B143*O143</f>
        <v>0</v>
      </c>
      <c r="Q143" s="977">
        <v>0</v>
      </c>
      <c r="R143" s="989">
        <v>3900</v>
      </c>
      <c r="S143" s="955"/>
      <c r="T143" s="955"/>
      <c r="U143" s="955"/>
      <c r="V143" s="955"/>
      <c r="W143" s="955"/>
      <c r="X143" s="955"/>
      <c r="Y143" s="990"/>
      <c r="Z143" s="962">
        <f>SUM(R143:Y143)</f>
        <v>3900</v>
      </c>
      <c r="AA143" s="962">
        <f>300+300+400</f>
        <v>1000</v>
      </c>
      <c r="AB143" s="962"/>
      <c r="AC143" s="962">
        <f>SUM(AA143:AB143)</f>
        <v>1000</v>
      </c>
      <c r="AD143" s="963">
        <f>(Z143*12)+AC143</f>
        <v>47800</v>
      </c>
      <c r="AE143" s="956">
        <f>Q143*AD143</f>
        <v>0</v>
      </c>
      <c r="AF143" s="957">
        <f t="shared" si="85"/>
        <v>-5892</v>
      </c>
      <c r="AG143" s="956">
        <f t="shared" si="85"/>
        <v>0</v>
      </c>
      <c r="AH143" s="960">
        <v>0</v>
      </c>
      <c r="AI143" s="956">
        <v>0</v>
      </c>
    </row>
    <row r="144" spans="1:35">
      <c r="A144" s="933" t="s">
        <v>6985</v>
      </c>
      <c r="B144" s="977">
        <v>0</v>
      </c>
      <c r="C144" s="989">
        <v>3217</v>
      </c>
      <c r="D144" s="955"/>
      <c r="E144" s="955"/>
      <c r="F144" s="955"/>
      <c r="G144" s="955"/>
      <c r="H144" s="955"/>
      <c r="I144" s="955"/>
      <c r="J144" s="990"/>
      <c r="K144" s="962">
        <f>SUM(C144:J144)</f>
        <v>3217</v>
      </c>
      <c r="L144" s="962">
        <f>300+300+400</f>
        <v>1000</v>
      </c>
      <c r="M144" s="962"/>
      <c r="N144" s="962">
        <f>SUM(L144:M144)</f>
        <v>1000</v>
      </c>
      <c r="O144" s="963">
        <f>(K144*12)+N144</f>
        <v>39604</v>
      </c>
      <c r="P144" s="956">
        <f>B144*O144</f>
        <v>0</v>
      </c>
      <c r="Q144" s="977">
        <v>0</v>
      </c>
      <c r="R144" s="989">
        <v>3660</v>
      </c>
      <c r="S144" s="955"/>
      <c r="T144" s="955"/>
      <c r="U144" s="955"/>
      <c r="V144" s="955"/>
      <c r="W144" s="955"/>
      <c r="X144" s="955"/>
      <c r="Y144" s="990"/>
      <c r="Z144" s="962">
        <f>SUM(R144:Y144)</f>
        <v>3660</v>
      </c>
      <c r="AA144" s="962">
        <f>300+300+400</f>
        <v>1000</v>
      </c>
      <c r="AB144" s="962"/>
      <c r="AC144" s="962">
        <f>SUM(AA144:AB144)</f>
        <v>1000</v>
      </c>
      <c r="AD144" s="963">
        <f>(Z144*12)+AC144</f>
        <v>44920</v>
      </c>
      <c r="AE144" s="956">
        <f>Q144*AD144</f>
        <v>0</v>
      </c>
      <c r="AF144" s="957">
        <f t="shared" si="85"/>
        <v>-5316</v>
      </c>
      <c r="AG144" s="956">
        <f t="shared" si="85"/>
        <v>0</v>
      </c>
      <c r="AH144" s="960">
        <v>0</v>
      </c>
      <c r="AI144" s="956">
        <v>0</v>
      </c>
    </row>
    <row r="145" spans="1:35">
      <c r="A145" s="933" t="s">
        <v>6984</v>
      </c>
      <c r="B145" s="977">
        <v>0</v>
      </c>
      <c r="C145" s="989">
        <v>2931</v>
      </c>
      <c r="D145" s="955"/>
      <c r="E145" s="955"/>
      <c r="F145" s="955"/>
      <c r="G145" s="955"/>
      <c r="H145" s="955"/>
      <c r="I145" s="955"/>
      <c r="J145" s="955"/>
      <c r="K145" s="962">
        <f>SUM(C145:J145)</f>
        <v>2931</v>
      </c>
      <c r="L145" s="962">
        <f>300+300+400</f>
        <v>1000</v>
      </c>
      <c r="M145" s="962"/>
      <c r="N145" s="962">
        <f>SUM(L145:M145)</f>
        <v>1000</v>
      </c>
      <c r="O145" s="963">
        <f>(K145*12)+N145</f>
        <v>36172</v>
      </c>
      <c r="P145" s="956">
        <f>B145*O145</f>
        <v>0</v>
      </c>
      <c r="Q145" s="977">
        <v>0</v>
      </c>
      <c r="R145" s="989">
        <v>3344</v>
      </c>
      <c r="S145" s="955"/>
      <c r="T145" s="955"/>
      <c r="U145" s="955"/>
      <c r="V145" s="955"/>
      <c r="W145" s="955"/>
      <c r="X145" s="955"/>
      <c r="Y145" s="955"/>
      <c r="Z145" s="962">
        <f>SUM(R145:Y145)</f>
        <v>3344</v>
      </c>
      <c r="AA145" s="962">
        <f>300+300+400</f>
        <v>1000</v>
      </c>
      <c r="AB145" s="962"/>
      <c r="AC145" s="962">
        <f>SUM(AA145:AB145)</f>
        <v>1000</v>
      </c>
      <c r="AD145" s="963">
        <f>(Z145*12)+AC145</f>
        <v>41128</v>
      </c>
      <c r="AE145" s="956">
        <f>Q145*AD145</f>
        <v>0</v>
      </c>
      <c r="AF145" s="957">
        <f t="shared" si="85"/>
        <v>-4956</v>
      </c>
      <c r="AG145" s="956">
        <f t="shared" si="85"/>
        <v>0</v>
      </c>
      <c r="AH145" s="960">
        <v>0</v>
      </c>
      <c r="AI145" s="956">
        <v>0</v>
      </c>
    </row>
    <row r="146" spans="1:35">
      <c r="A146" s="935" t="s">
        <v>6994</v>
      </c>
      <c r="B146" s="950">
        <f>SUM(B147:B151)</f>
        <v>11</v>
      </c>
      <c r="C146" s="951"/>
      <c r="D146" s="951"/>
      <c r="E146" s="951"/>
      <c r="F146" s="951"/>
      <c r="G146" s="951"/>
      <c r="H146" s="951"/>
      <c r="I146" s="951"/>
      <c r="J146" s="951"/>
      <c r="K146" s="951"/>
      <c r="L146" s="951"/>
      <c r="M146" s="951"/>
      <c r="N146" s="951"/>
      <c r="O146" s="951">
        <f>SUM(O147:O151)</f>
        <v>209619.20000000001</v>
      </c>
      <c r="P146" s="952">
        <f>SUM(P147:P151)</f>
        <v>444226.4</v>
      </c>
      <c r="Q146" s="950">
        <f>SUM(Q147:Q151)</f>
        <v>11</v>
      </c>
      <c r="R146" s="951"/>
      <c r="S146" s="951"/>
      <c r="T146" s="951"/>
      <c r="U146" s="951"/>
      <c r="V146" s="951"/>
      <c r="W146" s="951"/>
      <c r="X146" s="951"/>
      <c r="Y146" s="951"/>
      <c r="Z146" s="951"/>
      <c r="AA146" s="951"/>
      <c r="AB146" s="951"/>
      <c r="AC146" s="951"/>
      <c r="AD146" s="951">
        <f t="shared" ref="AD146:AI146" si="86">SUM(AD147:AD151)</f>
        <v>245396</v>
      </c>
      <c r="AE146" s="952">
        <f t="shared" si="86"/>
        <v>524216</v>
      </c>
      <c r="AF146" s="950">
        <f t="shared" si="86"/>
        <v>-35776.800000000003</v>
      </c>
      <c r="AG146" s="952">
        <f t="shared" si="86"/>
        <v>-79989.600000000006</v>
      </c>
      <c r="AH146" s="953">
        <f t="shared" si="86"/>
        <v>11</v>
      </c>
      <c r="AI146" s="952">
        <f t="shared" si="86"/>
        <v>506216</v>
      </c>
    </row>
    <row r="147" spans="1:35">
      <c r="A147" s="933" t="s">
        <v>6989</v>
      </c>
      <c r="B147" s="977">
        <v>0</v>
      </c>
      <c r="C147" s="989">
        <v>3875</v>
      </c>
      <c r="D147" s="955"/>
      <c r="E147" s="955"/>
      <c r="F147" s="955"/>
      <c r="G147" s="955"/>
      <c r="H147" s="955"/>
      <c r="I147" s="955"/>
      <c r="J147" s="990"/>
      <c r="K147" s="962">
        <f>SUM(C147:J147)</f>
        <v>3875</v>
      </c>
      <c r="L147" s="962">
        <f>300+300+400</f>
        <v>1000</v>
      </c>
      <c r="M147" s="962"/>
      <c r="N147" s="962">
        <f>SUM(L147:M147)</f>
        <v>1000</v>
      </c>
      <c r="O147" s="963">
        <f>(K147*12)+N147</f>
        <v>47500</v>
      </c>
      <c r="P147" s="956">
        <f>B147*O147</f>
        <v>0</v>
      </c>
      <c r="Q147" s="977">
        <v>0</v>
      </c>
      <c r="R147" s="989">
        <v>4471</v>
      </c>
      <c r="S147" s="955"/>
      <c r="T147" s="955"/>
      <c r="U147" s="955"/>
      <c r="V147" s="955"/>
      <c r="W147" s="955"/>
      <c r="X147" s="955"/>
      <c r="Y147" s="990"/>
      <c r="Z147" s="962">
        <f>SUM(R147:Y147)</f>
        <v>4471</v>
      </c>
      <c r="AA147" s="962">
        <f>300+300+400</f>
        <v>1000</v>
      </c>
      <c r="AB147" s="962">
        <v>0</v>
      </c>
      <c r="AC147" s="962">
        <f>SUM(AA147:AB147)</f>
        <v>1000</v>
      </c>
      <c r="AD147" s="963">
        <f>(Z147*12)+AC147</f>
        <v>54652</v>
      </c>
      <c r="AE147" s="956">
        <f>Q147*AD147</f>
        <v>0</v>
      </c>
      <c r="AF147" s="957">
        <f t="shared" ref="AF147:AG151" si="87">+O147-AD147</f>
        <v>-7152</v>
      </c>
      <c r="AG147" s="956">
        <f t="shared" si="87"/>
        <v>0</v>
      </c>
      <c r="AH147" s="960">
        <v>0</v>
      </c>
      <c r="AI147" s="956">
        <v>0</v>
      </c>
    </row>
    <row r="148" spans="1:35">
      <c r="A148" s="933" t="s">
        <v>6988</v>
      </c>
      <c r="B148" s="977">
        <v>2</v>
      </c>
      <c r="C148" s="989">
        <v>3619.6</v>
      </c>
      <c r="D148" s="955"/>
      <c r="E148" s="955"/>
      <c r="F148" s="955"/>
      <c r="G148" s="955"/>
      <c r="H148" s="955"/>
      <c r="I148" s="955"/>
      <c r="J148" s="990"/>
      <c r="K148" s="962">
        <f>SUM(C148:J148)</f>
        <v>3619.6</v>
      </c>
      <c r="L148" s="962">
        <f>300+300+400</f>
        <v>1000</v>
      </c>
      <c r="M148" s="962"/>
      <c r="N148" s="962">
        <f>SUM(L148:M148)</f>
        <v>1000</v>
      </c>
      <c r="O148" s="963">
        <f>(K148*12)+N148</f>
        <v>44435.199999999997</v>
      </c>
      <c r="P148" s="956">
        <f>B148*O148</f>
        <v>88870.399999999994</v>
      </c>
      <c r="Q148" s="977">
        <v>2</v>
      </c>
      <c r="R148" s="989">
        <v>4158</v>
      </c>
      <c r="S148" s="955"/>
      <c r="T148" s="955"/>
      <c r="U148" s="955"/>
      <c r="V148" s="955"/>
      <c r="W148" s="955"/>
      <c r="X148" s="955"/>
      <c r="Y148" s="990"/>
      <c r="Z148" s="962">
        <f>SUM(R148:Y148)</f>
        <v>4158</v>
      </c>
      <c r="AA148" s="962">
        <f>300+300+400</f>
        <v>1000</v>
      </c>
      <c r="AB148" s="962">
        <v>0</v>
      </c>
      <c r="AC148" s="962">
        <f>SUM(AA148:AB148)</f>
        <v>1000</v>
      </c>
      <c r="AD148" s="963">
        <f>(Z148*12)+AC148</f>
        <v>50896</v>
      </c>
      <c r="AE148" s="956">
        <f>Q148*AD148</f>
        <v>101792</v>
      </c>
      <c r="AF148" s="957">
        <f t="shared" si="87"/>
        <v>-6460.8000000000029</v>
      </c>
      <c r="AG148" s="956">
        <f t="shared" si="87"/>
        <v>-12921.600000000006</v>
      </c>
      <c r="AH148" s="960">
        <v>2</v>
      </c>
      <c r="AI148" s="956">
        <v>101792</v>
      </c>
    </row>
    <row r="149" spans="1:35">
      <c r="A149" s="933" t="s">
        <v>6986</v>
      </c>
      <c r="B149" s="977">
        <v>4</v>
      </c>
      <c r="C149" s="989">
        <v>3409</v>
      </c>
      <c r="D149" s="955"/>
      <c r="E149" s="955"/>
      <c r="F149" s="955"/>
      <c r="G149" s="955"/>
      <c r="H149" s="955"/>
      <c r="I149" s="955"/>
      <c r="J149" s="990"/>
      <c r="K149" s="962">
        <f>SUM(C149:J149)</f>
        <v>3409</v>
      </c>
      <c r="L149" s="962">
        <f>300+300+400</f>
        <v>1000</v>
      </c>
      <c r="M149" s="962"/>
      <c r="N149" s="962">
        <f>SUM(L149:M149)</f>
        <v>1000</v>
      </c>
      <c r="O149" s="963">
        <f>(K149*12)+N149</f>
        <v>41908</v>
      </c>
      <c r="P149" s="956">
        <f>B149*O149</f>
        <v>167632</v>
      </c>
      <c r="Q149" s="977">
        <v>4</v>
      </c>
      <c r="R149" s="989">
        <v>3900</v>
      </c>
      <c r="S149" s="955"/>
      <c r="T149" s="955"/>
      <c r="U149" s="955"/>
      <c r="V149" s="955"/>
      <c r="W149" s="955"/>
      <c r="X149" s="955"/>
      <c r="Y149" s="990"/>
      <c r="Z149" s="962">
        <f>SUM(R149:Y149)</f>
        <v>3900</v>
      </c>
      <c r="AA149" s="962">
        <f>300+300+400</f>
        <v>1000</v>
      </c>
      <c r="AB149" s="962">
        <v>0</v>
      </c>
      <c r="AC149" s="962">
        <f>SUM(AA149:AB149)</f>
        <v>1000</v>
      </c>
      <c r="AD149" s="963">
        <f>(Z149*12)+AC149</f>
        <v>47800</v>
      </c>
      <c r="AE149" s="956">
        <f>Q149*AD149</f>
        <v>191200</v>
      </c>
      <c r="AF149" s="957">
        <f t="shared" si="87"/>
        <v>-5892</v>
      </c>
      <c r="AG149" s="956">
        <f t="shared" si="87"/>
        <v>-23568</v>
      </c>
      <c r="AH149" s="960">
        <v>4</v>
      </c>
      <c r="AI149" s="956">
        <v>191200</v>
      </c>
    </row>
    <row r="150" spans="1:35">
      <c r="A150" s="933" t="s">
        <v>6985</v>
      </c>
      <c r="B150" s="977">
        <v>2</v>
      </c>
      <c r="C150" s="989">
        <v>3217</v>
      </c>
      <c r="D150" s="955"/>
      <c r="E150" s="955"/>
      <c r="F150" s="955"/>
      <c r="G150" s="955"/>
      <c r="H150" s="955"/>
      <c r="I150" s="955"/>
      <c r="J150" s="990"/>
      <c r="K150" s="962">
        <f>SUM(C150:J150)</f>
        <v>3217</v>
      </c>
      <c r="L150" s="962">
        <f>300+300+400</f>
        <v>1000</v>
      </c>
      <c r="M150" s="962"/>
      <c r="N150" s="962">
        <f>SUM(L150:M150)</f>
        <v>1000</v>
      </c>
      <c r="O150" s="963">
        <f>(K150*12)+N150</f>
        <v>39604</v>
      </c>
      <c r="P150" s="956">
        <f>B150*O150</f>
        <v>79208</v>
      </c>
      <c r="Q150" s="977">
        <v>2</v>
      </c>
      <c r="R150" s="989">
        <v>3660</v>
      </c>
      <c r="S150" s="955"/>
      <c r="T150" s="955"/>
      <c r="U150" s="955"/>
      <c r="V150" s="955"/>
      <c r="W150" s="955"/>
      <c r="X150" s="955"/>
      <c r="Y150" s="990"/>
      <c r="Z150" s="962">
        <f>SUM(R150:Y150)</f>
        <v>3660</v>
      </c>
      <c r="AA150" s="962">
        <f>300+300+400</f>
        <v>1000</v>
      </c>
      <c r="AB150" s="962">
        <v>0</v>
      </c>
      <c r="AC150" s="962">
        <f>SUM(AA150:AB150)</f>
        <v>1000</v>
      </c>
      <c r="AD150" s="963">
        <f>(Z150*12)+AC150</f>
        <v>44920</v>
      </c>
      <c r="AE150" s="956">
        <f>Q150*AD150</f>
        <v>89840</v>
      </c>
      <c r="AF150" s="957">
        <f t="shared" si="87"/>
        <v>-5316</v>
      </c>
      <c r="AG150" s="956">
        <f t="shared" si="87"/>
        <v>-10632</v>
      </c>
      <c r="AH150" s="960">
        <v>2</v>
      </c>
      <c r="AI150" s="956">
        <v>89840</v>
      </c>
    </row>
    <row r="151" spans="1:35">
      <c r="A151" s="933" t="s">
        <v>6984</v>
      </c>
      <c r="B151" s="977">
        <v>3</v>
      </c>
      <c r="C151" s="989">
        <v>2931</v>
      </c>
      <c r="D151" s="955"/>
      <c r="E151" s="955"/>
      <c r="F151" s="955"/>
      <c r="G151" s="955"/>
      <c r="H151" s="955"/>
      <c r="I151" s="955"/>
      <c r="J151" s="990"/>
      <c r="K151" s="962">
        <f>SUM(C151:J151)</f>
        <v>2931</v>
      </c>
      <c r="L151" s="962">
        <f>300+300+400</f>
        <v>1000</v>
      </c>
      <c r="M151" s="962"/>
      <c r="N151" s="962">
        <f>SUM(L151:M151)</f>
        <v>1000</v>
      </c>
      <c r="O151" s="963">
        <f>(K151*12)+N151</f>
        <v>36172</v>
      </c>
      <c r="P151" s="956">
        <f>B151*O151</f>
        <v>108516</v>
      </c>
      <c r="Q151" s="977">
        <v>3</v>
      </c>
      <c r="R151" s="989">
        <v>3344</v>
      </c>
      <c r="S151" s="955"/>
      <c r="T151" s="955"/>
      <c r="U151" s="955"/>
      <c r="V151" s="955"/>
      <c r="W151" s="955"/>
      <c r="X151" s="955"/>
      <c r="Y151" s="990"/>
      <c r="Z151" s="962">
        <f>SUM(R151:Y151)</f>
        <v>3344</v>
      </c>
      <c r="AA151" s="962">
        <f>300+300+400</f>
        <v>1000</v>
      </c>
      <c r="AB151" s="962">
        <f>18000/Q151</f>
        <v>6000</v>
      </c>
      <c r="AC151" s="962">
        <f>SUM(AA151:AB151)</f>
        <v>7000</v>
      </c>
      <c r="AD151" s="963">
        <f>(Z151*12)+AC151</f>
        <v>47128</v>
      </c>
      <c r="AE151" s="956">
        <f>Q151*AD151</f>
        <v>141384</v>
      </c>
      <c r="AF151" s="957">
        <f t="shared" si="87"/>
        <v>-10956</v>
      </c>
      <c r="AG151" s="956">
        <f t="shared" si="87"/>
        <v>-32868</v>
      </c>
      <c r="AH151" s="960">
        <v>3</v>
      </c>
      <c r="AI151" s="956">
        <v>123384</v>
      </c>
    </row>
    <row r="152" spans="1:35">
      <c r="A152" s="935" t="s">
        <v>6993</v>
      </c>
      <c r="B152" s="950">
        <f>SUM(B153:B157)</f>
        <v>83</v>
      </c>
      <c r="C152" s="951"/>
      <c r="D152" s="951"/>
      <c r="E152" s="951"/>
      <c r="F152" s="951"/>
      <c r="G152" s="951"/>
      <c r="H152" s="951"/>
      <c r="I152" s="951"/>
      <c r="J152" s="951"/>
      <c r="K152" s="951"/>
      <c r="L152" s="951"/>
      <c r="M152" s="951"/>
      <c r="N152" s="951"/>
      <c r="O152" s="951">
        <f>SUM(O153:O157)</f>
        <v>209619.20000000001</v>
      </c>
      <c r="P152" s="952">
        <f>SUM(P153:P157)</f>
        <v>3360701.6</v>
      </c>
      <c r="Q152" s="950">
        <f>SUM(Q153:Q157)</f>
        <v>83</v>
      </c>
      <c r="R152" s="951"/>
      <c r="S152" s="951"/>
      <c r="T152" s="951"/>
      <c r="U152" s="951"/>
      <c r="V152" s="951"/>
      <c r="W152" s="951"/>
      <c r="X152" s="951"/>
      <c r="Y152" s="951"/>
      <c r="Z152" s="951"/>
      <c r="AA152" s="951"/>
      <c r="AB152" s="951"/>
      <c r="AC152" s="951"/>
      <c r="AD152" s="951">
        <f t="shared" ref="AD152:AI152" si="88">SUM(AD153:AD157)</f>
        <v>243896</v>
      </c>
      <c r="AE152" s="952">
        <f t="shared" si="88"/>
        <v>3866168</v>
      </c>
      <c r="AF152" s="950">
        <f t="shared" si="88"/>
        <v>-34276.800000000003</v>
      </c>
      <c r="AG152" s="952">
        <f t="shared" si="88"/>
        <v>-505466.4</v>
      </c>
      <c r="AH152" s="953">
        <f t="shared" si="88"/>
        <v>84</v>
      </c>
      <c r="AI152" s="952">
        <f t="shared" si="88"/>
        <v>3871296</v>
      </c>
    </row>
    <row r="153" spans="1:35">
      <c r="A153" s="933" t="s">
        <v>6989</v>
      </c>
      <c r="B153" s="977">
        <v>8</v>
      </c>
      <c r="C153" s="989">
        <v>3875</v>
      </c>
      <c r="D153" s="955"/>
      <c r="E153" s="955"/>
      <c r="F153" s="955"/>
      <c r="G153" s="955"/>
      <c r="H153" s="955"/>
      <c r="I153" s="955"/>
      <c r="J153" s="990"/>
      <c r="K153" s="962">
        <f>SUM(C153:J153)</f>
        <v>3875</v>
      </c>
      <c r="L153" s="962">
        <f>300+300+400</f>
        <v>1000</v>
      </c>
      <c r="M153" s="962"/>
      <c r="N153" s="962">
        <f>SUM(L153:M153)</f>
        <v>1000</v>
      </c>
      <c r="O153" s="963">
        <f>(K153*12)+N153</f>
        <v>47500</v>
      </c>
      <c r="P153" s="956">
        <f>B153*O153</f>
        <v>380000</v>
      </c>
      <c r="Q153" s="977">
        <v>8</v>
      </c>
      <c r="R153" s="989">
        <v>4471</v>
      </c>
      <c r="S153" s="955"/>
      <c r="T153" s="955"/>
      <c r="U153" s="955"/>
      <c r="V153" s="955"/>
      <c r="W153" s="955"/>
      <c r="X153" s="955"/>
      <c r="Y153" s="990"/>
      <c r="Z153" s="962">
        <f>SUM(R153:Y153)</f>
        <v>4471</v>
      </c>
      <c r="AA153" s="962">
        <f>300+300+400</f>
        <v>1000</v>
      </c>
      <c r="AB153" s="962">
        <f>18000/Q153</f>
        <v>2250</v>
      </c>
      <c r="AC153" s="962">
        <f>SUM(AA153:AB153)</f>
        <v>3250</v>
      </c>
      <c r="AD153" s="963">
        <f>(Z153*12)+AC153</f>
        <v>56902</v>
      </c>
      <c r="AE153" s="956">
        <f>Q153*AD153</f>
        <v>455216</v>
      </c>
      <c r="AF153" s="957">
        <f t="shared" ref="AF153:AG157" si="89">+O153-AD153</f>
        <v>-9402</v>
      </c>
      <c r="AG153" s="956">
        <f t="shared" si="89"/>
        <v>-75216</v>
      </c>
      <c r="AH153" s="960">
        <v>8</v>
      </c>
      <c r="AI153" s="956">
        <v>437216</v>
      </c>
    </row>
    <row r="154" spans="1:35">
      <c r="A154" s="933" t="s">
        <v>6988</v>
      </c>
      <c r="B154" s="977">
        <v>8</v>
      </c>
      <c r="C154" s="989">
        <v>3619.6</v>
      </c>
      <c r="D154" s="955"/>
      <c r="E154" s="955"/>
      <c r="F154" s="955"/>
      <c r="G154" s="955"/>
      <c r="H154" s="955"/>
      <c r="I154" s="955"/>
      <c r="J154" s="990"/>
      <c r="K154" s="962">
        <f>SUM(C154:J154)</f>
        <v>3619.6</v>
      </c>
      <c r="L154" s="962">
        <f>300+300+400</f>
        <v>1000</v>
      </c>
      <c r="M154" s="962"/>
      <c r="N154" s="962">
        <f>SUM(L154:M154)</f>
        <v>1000</v>
      </c>
      <c r="O154" s="963">
        <f>(K154*12)+N154</f>
        <v>44435.199999999997</v>
      </c>
      <c r="P154" s="956">
        <f>B154*O154</f>
        <v>355481.59999999998</v>
      </c>
      <c r="Q154" s="977">
        <v>8</v>
      </c>
      <c r="R154" s="989">
        <v>4158</v>
      </c>
      <c r="S154" s="955"/>
      <c r="T154" s="955"/>
      <c r="U154" s="955"/>
      <c r="V154" s="955"/>
      <c r="W154" s="955"/>
      <c r="X154" s="955"/>
      <c r="Y154" s="990"/>
      <c r="Z154" s="962">
        <f>SUM(R154:Y154)</f>
        <v>4158</v>
      </c>
      <c r="AA154" s="962">
        <f>300+300+400</f>
        <v>1000</v>
      </c>
      <c r="AB154" s="962">
        <f>18000/Q154</f>
        <v>2250</v>
      </c>
      <c r="AC154" s="962">
        <f>SUM(AA154:AB154)</f>
        <v>3250</v>
      </c>
      <c r="AD154" s="963">
        <f>(Z154*12)+AC154</f>
        <v>53146</v>
      </c>
      <c r="AE154" s="956">
        <f>Q154*AD154</f>
        <v>425168</v>
      </c>
      <c r="AF154" s="957">
        <f t="shared" si="89"/>
        <v>-8710.8000000000029</v>
      </c>
      <c r="AG154" s="956">
        <f t="shared" si="89"/>
        <v>-69686.400000000023</v>
      </c>
      <c r="AH154" s="960">
        <v>8</v>
      </c>
      <c r="AI154" s="956">
        <v>407168</v>
      </c>
    </row>
    <row r="155" spans="1:35">
      <c r="A155" s="933" t="s">
        <v>6986</v>
      </c>
      <c r="B155" s="977">
        <v>22</v>
      </c>
      <c r="C155" s="989">
        <v>3409</v>
      </c>
      <c r="D155" s="955"/>
      <c r="E155" s="955"/>
      <c r="F155" s="955"/>
      <c r="G155" s="955"/>
      <c r="H155" s="955"/>
      <c r="I155" s="955"/>
      <c r="J155" s="990"/>
      <c r="K155" s="962">
        <f>SUM(C155:J155)</f>
        <v>3409</v>
      </c>
      <c r="L155" s="962">
        <f>300+300+400</f>
        <v>1000</v>
      </c>
      <c r="M155" s="962"/>
      <c r="N155" s="962">
        <f>SUM(L155:M155)</f>
        <v>1000</v>
      </c>
      <c r="O155" s="963">
        <f>(K155*12)+N155</f>
        <v>41908</v>
      </c>
      <c r="P155" s="956">
        <f>B155*O155</f>
        <v>921976</v>
      </c>
      <c r="Q155" s="977">
        <v>22</v>
      </c>
      <c r="R155" s="989">
        <v>3900</v>
      </c>
      <c r="S155" s="955"/>
      <c r="T155" s="955"/>
      <c r="U155" s="955"/>
      <c r="V155" s="955"/>
      <c r="W155" s="955"/>
      <c r="X155" s="955"/>
      <c r="Y155" s="990"/>
      <c r="Z155" s="962">
        <f>SUM(R155:Y155)</f>
        <v>3900</v>
      </c>
      <c r="AA155" s="962">
        <f>300+300+400</f>
        <v>1000</v>
      </c>
      <c r="AB155" s="962">
        <v>0</v>
      </c>
      <c r="AC155" s="962">
        <f>SUM(AA155:AB155)</f>
        <v>1000</v>
      </c>
      <c r="AD155" s="963">
        <f>(Z155*12)+AC155</f>
        <v>47800</v>
      </c>
      <c r="AE155" s="956">
        <f>Q155*AD155</f>
        <v>1051600</v>
      </c>
      <c r="AF155" s="957">
        <f t="shared" si="89"/>
        <v>-5892</v>
      </c>
      <c r="AG155" s="956">
        <f t="shared" si="89"/>
        <v>-129624</v>
      </c>
      <c r="AH155" s="960">
        <v>22</v>
      </c>
      <c r="AI155" s="956">
        <v>1051600</v>
      </c>
    </row>
    <row r="156" spans="1:35">
      <c r="A156" s="933" t="s">
        <v>6985</v>
      </c>
      <c r="B156" s="977">
        <v>22</v>
      </c>
      <c r="C156" s="989">
        <v>3217</v>
      </c>
      <c r="D156" s="955"/>
      <c r="E156" s="955"/>
      <c r="F156" s="955"/>
      <c r="G156" s="955"/>
      <c r="H156" s="955"/>
      <c r="I156" s="955"/>
      <c r="J156" s="990"/>
      <c r="K156" s="962">
        <f>SUM(C156:J156)</f>
        <v>3217</v>
      </c>
      <c r="L156" s="962">
        <f>300+300+400</f>
        <v>1000</v>
      </c>
      <c r="M156" s="962"/>
      <c r="N156" s="962">
        <f>SUM(L156:M156)</f>
        <v>1000</v>
      </c>
      <c r="O156" s="963">
        <f>(K156*12)+N156</f>
        <v>39604</v>
      </c>
      <c r="P156" s="956">
        <f>B156*O156</f>
        <v>871288</v>
      </c>
      <c r="Q156" s="977">
        <v>22</v>
      </c>
      <c r="R156" s="989">
        <v>3660</v>
      </c>
      <c r="S156" s="955"/>
      <c r="T156" s="955"/>
      <c r="U156" s="955"/>
      <c r="V156" s="955"/>
      <c r="W156" s="955"/>
      <c r="X156" s="955"/>
      <c r="Y156" s="990"/>
      <c r="Z156" s="962">
        <f>SUM(R156:Y156)</f>
        <v>3660</v>
      </c>
      <c r="AA156" s="962">
        <f>300+300+400</f>
        <v>1000</v>
      </c>
      <c r="AB156" s="962">
        <v>0</v>
      </c>
      <c r="AC156" s="962">
        <f>SUM(AA156:AB156)</f>
        <v>1000</v>
      </c>
      <c r="AD156" s="963">
        <f>(Z156*12)+AC156</f>
        <v>44920</v>
      </c>
      <c r="AE156" s="956">
        <f>Q156*AD156</f>
        <v>988240</v>
      </c>
      <c r="AF156" s="957">
        <f t="shared" si="89"/>
        <v>-5316</v>
      </c>
      <c r="AG156" s="956">
        <f t="shared" si="89"/>
        <v>-116952</v>
      </c>
      <c r="AH156" s="960">
        <v>22</v>
      </c>
      <c r="AI156" s="956">
        <v>988240</v>
      </c>
    </row>
    <row r="157" spans="1:35">
      <c r="A157" s="933" t="s">
        <v>6984</v>
      </c>
      <c r="B157" s="977">
        <v>23</v>
      </c>
      <c r="C157" s="989">
        <v>2931</v>
      </c>
      <c r="D157" s="955"/>
      <c r="E157" s="955"/>
      <c r="F157" s="955"/>
      <c r="G157" s="955"/>
      <c r="H157" s="955"/>
      <c r="I157" s="955"/>
      <c r="J157" s="990"/>
      <c r="K157" s="962">
        <f>SUM(C157:J157)</f>
        <v>2931</v>
      </c>
      <c r="L157" s="962">
        <f>300+300+400</f>
        <v>1000</v>
      </c>
      <c r="M157" s="962"/>
      <c r="N157" s="962">
        <f>SUM(L157:M157)</f>
        <v>1000</v>
      </c>
      <c r="O157" s="963">
        <f>(K157*12)+N157</f>
        <v>36172</v>
      </c>
      <c r="P157" s="956">
        <f>B157*O157</f>
        <v>831956</v>
      </c>
      <c r="Q157" s="977">
        <v>23</v>
      </c>
      <c r="R157" s="989">
        <v>3344</v>
      </c>
      <c r="S157" s="955"/>
      <c r="T157" s="955"/>
      <c r="U157" s="955"/>
      <c r="V157" s="955"/>
      <c r="W157" s="955"/>
      <c r="X157" s="955"/>
      <c r="Y157" s="990"/>
      <c r="Z157" s="962">
        <f>SUM(R157:Y157)</f>
        <v>3344</v>
      </c>
      <c r="AA157" s="962">
        <f>300+300+400</f>
        <v>1000</v>
      </c>
      <c r="AB157" s="962">
        <v>0</v>
      </c>
      <c r="AC157" s="962">
        <f>SUM(AA157:AB157)</f>
        <v>1000</v>
      </c>
      <c r="AD157" s="963">
        <f>(Z157*12)+AC157</f>
        <v>41128</v>
      </c>
      <c r="AE157" s="956">
        <f>Q157*AD157</f>
        <v>945944</v>
      </c>
      <c r="AF157" s="957">
        <f t="shared" si="89"/>
        <v>-4956</v>
      </c>
      <c r="AG157" s="956">
        <f t="shared" si="89"/>
        <v>-113988</v>
      </c>
      <c r="AH157" s="960">
        <v>24</v>
      </c>
      <c r="AI157" s="956">
        <v>987072</v>
      </c>
    </row>
    <row r="158" spans="1:35" ht="24">
      <c r="A158" s="935" t="s">
        <v>6992</v>
      </c>
      <c r="B158" s="950">
        <f>SUM(B159:B163)</f>
        <v>38</v>
      </c>
      <c r="C158" s="951"/>
      <c r="D158" s="951"/>
      <c r="E158" s="951"/>
      <c r="F158" s="951"/>
      <c r="G158" s="951"/>
      <c r="H158" s="951"/>
      <c r="I158" s="951"/>
      <c r="J158" s="951"/>
      <c r="K158" s="951"/>
      <c r="L158" s="951"/>
      <c r="M158" s="951"/>
      <c r="N158" s="951"/>
      <c r="O158" s="951">
        <f>SUM(O159:O163)</f>
        <v>209619.20000000001</v>
      </c>
      <c r="P158" s="952">
        <f>SUM(P159:P163)</f>
        <v>1612964</v>
      </c>
      <c r="Q158" s="950">
        <f>SUM(Q159:Q163)</f>
        <v>38</v>
      </c>
      <c r="R158" s="951"/>
      <c r="S158" s="951"/>
      <c r="T158" s="951"/>
      <c r="U158" s="951"/>
      <c r="V158" s="951"/>
      <c r="W158" s="951"/>
      <c r="X158" s="951"/>
      <c r="Y158" s="951"/>
      <c r="Z158" s="951"/>
      <c r="AA158" s="951"/>
      <c r="AB158" s="951"/>
      <c r="AC158" s="951"/>
      <c r="AD158" s="951">
        <f t="shared" ref="AD158:AI158" si="90">SUM(AD159:AD163)</f>
        <v>239396</v>
      </c>
      <c r="AE158" s="952">
        <f t="shared" si="90"/>
        <v>1842908</v>
      </c>
      <c r="AF158" s="950">
        <f t="shared" si="90"/>
        <v>-29776.800000000003</v>
      </c>
      <c r="AG158" s="952">
        <f t="shared" si="90"/>
        <v>-229944</v>
      </c>
      <c r="AH158" s="953">
        <f t="shared" si="90"/>
        <v>39</v>
      </c>
      <c r="AI158" s="952">
        <f t="shared" si="90"/>
        <v>1897560</v>
      </c>
    </row>
    <row r="159" spans="1:35">
      <c r="A159" s="933" t="s">
        <v>6989</v>
      </c>
      <c r="B159" s="977">
        <v>9</v>
      </c>
      <c r="C159" s="989">
        <v>3875</v>
      </c>
      <c r="D159" s="955"/>
      <c r="E159" s="955"/>
      <c r="F159" s="955"/>
      <c r="G159" s="955"/>
      <c r="H159" s="955"/>
      <c r="I159" s="955"/>
      <c r="J159" s="990"/>
      <c r="K159" s="962">
        <f>SUM(C159:J159)</f>
        <v>3875</v>
      </c>
      <c r="L159" s="962">
        <f>300+300+400</f>
        <v>1000</v>
      </c>
      <c r="M159" s="962"/>
      <c r="N159" s="962">
        <f>SUM(L159:M159)</f>
        <v>1000</v>
      </c>
      <c r="O159" s="963">
        <f>(K159*12)+N159</f>
        <v>47500</v>
      </c>
      <c r="P159" s="956">
        <f>B159*O159</f>
        <v>427500</v>
      </c>
      <c r="Q159" s="977">
        <v>9</v>
      </c>
      <c r="R159" s="989">
        <v>4471</v>
      </c>
      <c r="S159" s="955"/>
      <c r="T159" s="955"/>
      <c r="U159" s="955"/>
      <c r="V159" s="955"/>
      <c r="W159" s="955"/>
      <c r="X159" s="955"/>
      <c r="Y159" s="990"/>
      <c r="Z159" s="962">
        <f>SUM(R159:Y159)</f>
        <v>4471</v>
      </c>
      <c r="AA159" s="962">
        <f>300+300+400</f>
        <v>1000</v>
      </c>
      <c r="AB159" s="962"/>
      <c r="AC159" s="962">
        <f>SUM(AA159:AB159)</f>
        <v>1000</v>
      </c>
      <c r="AD159" s="963">
        <f>(Z159*12)+AC159</f>
        <v>54652</v>
      </c>
      <c r="AE159" s="956">
        <f>Q159*AD159</f>
        <v>491868</v>
      </c>
      <c r="AF159" s="957">
        <f t="shared" ref="AF159:AG163" si="91">+O159-AD159</f>
        <v>-7152</v>
      </c>
      <c r="AG159" s="956">
        <f t="shared" si="91"/>
        <v>-64368</v>
      </c>
      <c r="AH159" s="960">
        <v>10</v>
      </c>
      <c r="AI159" s="956">
        <v>546520</v>
      </c>
    </row>
    <row r="160" spans="1:35">
      <c r="A160" s="933" t="s">
        <v>6988</v>
      </c>
      <c r="B160" s="977">
        <v>5</v>
      </c>
      <c r="C160" s="989">
        <v>3619.6</v>
      </c>
      <c r="D160" s="955"/>
      <c r="E160" s="955"/>
      <c r="F160" s="955"/>
      <c r="G160" s="955"/>
      <c r="H160" s="955"/>
      <c r="I160" s="955"/>
      <c r="J160" s="990"/>
      <c r="K160" s="962">
        <f>SUM(C160:J160)</f>
        <v>3619.6</v>
      </c>
      <c r="L160" s="962">
        <f>300+300+400</f>
        <v>1000</v>
      </c>
      <c r="M160" s="962"/>
      <c r="N160" s="962">
        <f>SUM(L160:M160)</f>
        <v>1000</v>
      </c>
      <c r="O160" s="963">
        <f>(K160*12)+N160</f>
        <v>44435.199999999997</v>
      </c>
      <c r="P160" s="956">
        <f>B160*O160</f>
        <v>222176</v>
      </c>
      <c r="Q160" s="977">
        <v>5</v>
      </c>
      <c r="R160" s="989">
        <v>4158</v>
      </c>
      <c r="S160" s="955"/>
      <c r="T160" s="955"/>
      <c r="U160" s="955"/>
      <c r="V160" s="955"/>
      <c r="W160" s="955"/>
      <c r="X160" s="955"/>
      <c r="Y160" s="990"/>
      <c r="Z160" s="962">
        <f>SUM(R160:Y160)</f>
        <v>4158</v>
      </c>
      <c r="AA160" s="962">
        <f>300+300+400</f>
        <v>1000</v>
      </c>
      <c r="AB160" s="962"/>
      <c r="AC160" s="962">
        <f>SUM(AA160:AB160)</f>
        <v>1000</v>
      </c>
      <c r="AD160" s="963">
        <f>(Z160*12)+AC160</f>
        <v>50896</v>
      </c>
      <c r="AE160" s="956">
        <f>Q160*AD160</f>
        <v>254480</v>
      </c>
      <c r="AF160" s="957">
        <f t="shared" si="91"/>
        <v>-6460.8000000000029</v>
      </c>
      <c r="AG160" s="956">
        <f t="shared" si="91"/>
        <v>-32304</v>
      </c>
      <c r="AH160" s="960">
        <v>5</v>
      </c>
      <c r="AI160" s="956">
        <v>254480</v>
      </c>
    </row>
    <row r="161" spans="1:35">
      <c r="A161" s="933" t="s">
        <v>6986</v>
      </c>
      <c r="B161" s="977">
        <v>13</v>
      </c>
      <c r="C161" s="989">
        <v>3409</v>
      </c>
      <c r="D161" s="955"/>
      <c r="E161" s="955"/>
      <c r="F161" s="955"/>
      <c r="G161" s="955"/>
      <c r="H161" s="955"/>
      <c r="I161" s="955"/>
      <c r="J161" s="990"/>
      <c r="K161" s="962">
        <f>SUM(C161:J161)</f>
        <v>3409</v>
      </c>
      <c r="L161" s="962">
        <f>300+300+400</f>
        <v>1000</v>
      </c>
      <c r="M161" s="962"/>
      <c r="N161" s="962">
        <f>SUM(L161:M161)</f>
        <v>1000</v>
      </c>
      <c r="O161" s="963">
        <f>(K161*12)+N161</f>
        <v>41908</v>
      </c>
      <c r="P161" s="956">
        <f>B161*O161</f>
        <v>544804</v>
      </c>
      <c r="Q161" s="977">
        <v>13</v>
      </c>
      <c r="R161" s="989">
        <v>3900</v>
      </c>
      <c r="S161" s="955"/>
      <c r="T161" s="955"/>
      <c r="U161" s="955"/>
      <c r="V161" s="955"/>
      <c r="W161" s="955"/>
      <c r="X161" s="955"/>
      <c r="Y161" s="990"/>
      <c r="Z161" s="962">
        <f>SUM(R161:Y161)</f>
        <v>3900</v>
      </c>
      <c r="AA161" s="962">
        <f>300+300+400</f>
        <v>1000</v>
      </c>
      <c r="AB161" s="962"/>
      <c r="AC161" s="962">
        <f>SUM(AA161:AB161)</f>
        <v>1000</v>
      </c>
      <c r="AD161" s="963">
        <f>(Z161*12)+AC161</f>
        <v>47800</v>
      </c>
      <c r="AE161" s="956">
        <f>Q161*AD161</f>
        <v>621400</v>
      </c>
      <c r="AF161" s="957">
        <f t="shared" si="91"/>
        <v>-5892</v>
      </c>
      <c r="AG161" s="956">
        <f t="shared" si="91"/>
        <v>-76596</v>
      </c>
      <c r="AH161" s="960">
        <v>13</v>
      </c>
      <c r="AI161" s="956">
        <v>621400</v>
      </c>
    </row>
    <row r="162" spans="1:35">
      <c r="A162" s="933" t="s">
        <v>6985</v>
      </c>
      <c r="B162" s="977">
        <v>6</v>
      </c>
      <c r="C162" s="989">
        <v>3217</v>
      </c>
      <c r="D162" s="955"/>
      <c r="E162" s="955"/>
      <c r="F162" s="955"/>
      <c r="G162" s="955"/>
      <c r="H162" s="955"/>
      <c r="I162" s="955"/>
      <c r="J162" s="990"/>
      <c r="K162" s="962">
        <f>SUM(C162:J162)</f>
        <v>3217</v>
      </c>
      <c r="L162" s="962">
        <f>300+300+400</f>
        <v>1000</v>
      </c>
      <c r="M162" s="962"/>
      <c r="N162" s="962">
        <f>SUM(L162:M162)</f>
        <v>1000</v>
      </c>
      <c r="O162" s="963">
        <f>(K162*12)+N162</f>
        <v>39604</v>
      </c>
      <c r="P162" s="956">
        <f>B162*O162</f>
        <v>237624</v>
      </c>
      <c r="Q162" s="977">
        <v>6</v>
      </c>
      <c r="R162" s="989">
        <v>3660</v>
      </c>
      <c r="S162" s="955"/>
      <c r="T162" s="955"/>
      <c r="U162" s="955"/>
      <c r="V162" s="955"/>
      <c r="W162" s="955"/>
      <c r="X162" s="955"/>
      <c r="Y162" s="990"/>
      <c r="Z162" s="962">
        <f>SUM(R162:Y162)</f>
        <v>3660</v>
      </c>
      <c r="AA162" s="962">
        <f>300+300+400</f>
        <v>1000</v>
      </c>
      <c r="AB162" s="962"/>
      <c r="AC162" s="962">
        <f>SUM(AA162:AB162)</f>
        <v>1000</v>
      </c>
      <c r="AD162" s="963">
        <f>(Z162*12)+AC162</f>
        <v>44920</v>
      </c>
      <c r="AE162" s="956">
        <f>Q162*AD162</f>
        <v>269520</v>
      </c>
      <c r="AF162" s="957">
        <f t="shared" si="91"/>
        <v>-5316</v>
      </c>
      <c r="AG162" s="956">
        <f t="shared" si="91"/>
        <v>-31896</v>
      </c>
      <c r="AH162" s="960">
        <v>6</v>
      </c>
      <c r="AI162" s="956">
        <v>269520</v>
      </c>
    </row>
    <row r="163" spans="1:35">
      <c r="A163" s="933" t="s">
        <v>6984</v>
      </c>
      <c r="B163" s="977">
        <v>5</v>
      </c>
      <c r="C163" s="989">
        <v>2931</v>
      </c>
      <c r="D163" s="955"/>
      <c r="E163" s="955"/>
      <c r="F163" s="955"/>
      <c r="G163" s="955"/>
      <c r="H163" s="955"/>
      <c r="I163" s="955"/>
      <c r="J163" s="990"/>
      <c r="K163" s="962">
        <f>SUM(C163:J163)</f>
        <v>2931</v>
      </c>
      <c r="L163" s="962">
        <f>300+300+400</f>
        <v>1000</v>
      </c>
      <c r="M163" s="962"/>
      <c r="N163" s="962">
        <f>SUM(L163:M163)</f>
        <v>1000</v>
      </c>
      <c r="O163" s="963">
        <f>(K163*12)+N163</f>
        <v>36172</v>
      </c>
      <c r="P163" s="956">
        <f>B163*O163</f>
        <v>180860</v>
      </c>
      <c r="Q163" s="977">
        <v>5</v>
      </c>
      <c r="R163" s="989">
        <v>3344</v>
      </c>
      <c r="S163" s="955"/>
      <c r="T163" s="955"/>
      <c r="U163" s="955"/>
      <c r="V163" s="955"/>
      <c r="W163" s="955"/>
      <c r="X163" s="955"/>
      <c r="Y163" s="990"/>
      <c r="Z163" s="962">
        <f>SUM(R163:Y163)</f>
        <v>3344</v>
      </c>
      <c r="AA163" s="962">
        <f>300+300+400</f>
        <v>1000</v>
      </c>
      <c r="AB163" s="962"/>
      <c r="AC163" s="962">
        <f>SUM(AA163:AB163)</f>
        <v>1000</v>
      </c>
      <c r="AD163" s="963">
        <f>(Z163*12)+AC163</f>
        <v>41128</v>
      </c>
      <c r="AE163" s="956">
        <f>Q163*AD163</f>
        <v>205640</v>
      </c>
      <c r="AF163" s="957">
        <f t="shared" si="91"/>
        <v>-4956</v>
      </c>
      <c r="AG163" s="956">
        <f t="shared" si="91"/>
        <v>-24780</v>
      </c>
      <c r="AH163" s="960">
        <v>5</v>
      </c>
      <c r="AI163" s="956">
        <v>205640</v>
      </c>
    </row>
    <row r="164" spans="1:35" ht="24">
      <c r="A164" s="935" t="s">
        <v>6991</v>
      </c>
      <c r="B164" s="950">
        <f>SUM(B165:B169)</f>
        <v>1</v>
      </c>
      <c r="C164" s="951"/>
      <c r="D164" s="951"/>
      <c r="E164" s="951"/>
      <c r="F164" s="951"/>
      <c r="G164" s="951"/>
      <c r="H164" s="951"/>
      <c r="I164" s="951"/>
      <c r="J164" s="951"/>
      <c r="K164" s="951"/>
      <c r="L164" s="951"/>
      <c r="M164" s="951"/>
      <c r="N164" s="951"/>
      <c r="O164" s="951">
        <f>SUM(O165:O169)</f>
        <v>209619.20000000001</v>
      </c>
      <c r="P164" s="952">
        <f>SUM(P165:P169)</f>
        <v>36172</v>
      </c>
      <c r="Q164" s="950">
        <f>SUM(Q165:Q169)</f>
        <v>1</v>
      </c>
      <c r="R164" s="951"/>
      <c r="S164" s="951"/>
      <c r="T164" s="951"/>
      <c r="U164" s="951"/>
      <c r="V164" s="951"/>
      <c r="W164" s="951"/>
      <c r="X164" s="951"/>
      <c r="Y164" s="951"/>
      <c r="Z164" s="951"/>
      <c r="AA164" s="951"/>
      <c r="AB164" s="951"/>
      <c r="AC164" s="951"/>
      <c r="AD164" s="951">
        <f t="shared" ref="AD164:AI164" si="92">SUM(AD165:AD169)</f>
        <v>239396</v>
      </c>
      <c r="AE164" s="952">
        <f t="shared" si="92"/>
        <v>41128</v>
      </c>
      <c r="AF164" s="950">
        <f t="shared" si="92"/>
        <v>-29776.800000000003</v>
      </c>
      <c r="AG164" s="952">
        <f t="shared" si="92"/>
        <v>-4956</v>
      </c>
      <c r="AH164" s="953">
        <f t="shared" si="92"/>
        <v>1</v>
      </c>
      <c r="AI164" s="952">
        <f t="shared" si="92"/>
        <v>41128</v>
      </c>
    </row>
    <row r="165" spans="1:35">
      <c r="A165" s="933" t="s">
        <v>6989</v>
      </c>
      <c r="B165" s="977">
        <v>0</v>
      </c>
      <c r="C165" s="989">
        <v>3875</v>
      </c>
      <c r="D165" s="955"/>
      <c r="E165" s="955"/>
      <c r="F165" s="955"/>
      <c r="G165" s="955"/>
      <c r="H165" s="955"/>
      <c r="I165" s="955"/>
      <c r="J165" s="990"/>
      <c r="K165" s="962">
        <f>SUM(C165:J165)</f>
        <v>3875</v>
      </c>
      <c r="L165" s="962">
        <f>300+300+400</f>
        <v>1000</v>
      </c>
      <c r="M165" s="962"/>
      <c r="N165" s="962">
        <f>SUM(L165:M165)</f>
        <v>1000</v>
      </c>
      <c r="O165" s="963">
        <f>(K165*12)+N165</f>
        <v>47500</v>
      </c>
      <c r="P165" s="956">
        <f>B165*O165</f>
        <v>0</v>
      </c>
      <c r="Q165" s="977">
        <v>0</v>
      </c>
      <c r="R165" s="989">
        <v>4471</v>
      </c>
      <c r="S165" s="955"/>
      <c r="T165" s="955"/>
      <c r="U165" s="955"/>
      <c r="V165" s="955"/>
      <c r="W165" s="955"/>
      <c r="X165" s="955"/>
      <c r="Y165" s="990"/>
      <c r="Z165" s="962">
        <f>SUM(R165:Y165)</f>
        <v>4471</v>
      </c>
      <c r="AA165" s="962">
        <f>300+300+400</f>
        <v>1000</v>
      </c>
      <c r="AB165" s="962"/>
      <c r="AC165" s="962">
        <f>SUM(AA165:AB165)</f>
        <v>1000</v>
      </c>
      <c r="AD165" s="963">
        <f>(Z165*12)+AC165</f>
        <v>54652</v>
      </c>
      <c r="AE165" s="956">
        <f>Q165*AD165</f>
        <v>0</v>
      </c>
      <c r="AF165" s="957">
        <f t="shared" ref="AF165:AG169" si="93">+O165-AD165</f>
        <v>-7152</v>
      </c>
      <c r="AG165" s="956">
        <f t="shared" si="93"/>
        <v>0</v>
      </c>
      <c r="AH165" s="960">
        <v>0</v>
      </c>
      <c r="AI165" s="956">
        <v>0</v>
      </c>
    </row>
    <row r="166" spans="1:35">
      <c r="A166" s="933" t="s">
        <v>6988</v>
      </c>
      <c r="B166" s="977">
        <v>0</v>
      </c>
      <c r="C166" s="989">
        <v>3619.6</v>
      </c>
      <c r="D166" s="955"/>
      <c r="E166" s="955"/>
      <c r="F166" s="955"/>
      <c r="G166" s="955"/>
      <c r="H166" s="955"/>
      <c r="I166" s="955"/>
      <c r="J166" s="990"/>
      <c r="K166" s="962">
        <f>SUM(C166:J166)</f>
        <v>3619.6</v>
      </c>
      <c r="L166" s="962">
        <f>300+300+400</f>
        <v>1000</v>
      </c>
      <c r="M166" s="962"/>
      <c r="N166" s="962">
        <f>SUM(L166:M166)</f>
        <v>1000</v>
      </c>
      <c r="O166" s="963">
        <f>(K166*12)+N166</f>
        <v>44435.199999999997</v>
      </c>
      <c r="P166" s="956">
        <f>B166*O166</f>
        <v>0</v>
      </c>
      <c r="Q166" s="977">
        <v>0</v>
      </c>
      <c r="R166" s="989">
        <v>4158</v>
      </c>
      <c r="S166" s="955"/>
      <c r="T166" s="955"/>
      <c r="U166" s="955"/>
      <c r="V166" s="955"/>
      <c r="W166" s="955"/>
      <c r="X166" s="955"/>
      <c r="Y166" s="990"/>
      <c r="Z166" s="962">
        <f>SUM(R166:Y166)</f>
        <v>4158</v>
      </c>
      <c r="AA166" s="962">
        <f>300+300+400</f>
        <v>1000</v>
      </c>
      <c r="AB166" s="962"/>
      <c r="AC166" s="962">
        <f>SUM(AA166:AB166)</f>
        <v>1000</v>
      </c>
      <c r="AD166" s="963">
        <f>(Z166*12)+AC166</f>
        <v>50896</v>
      </c>
      <c r="AE166" s="956">
        <f>Q166*AD166</f>
        <v>0</v>
      </c>
      <c r="AF166" s="957">
        <f t="shared" si="93"/>
        <v>-6460.8000000000029</v>
      </c>
      <c r="AG166" s="956">
        <f t="shared" si="93"/>
        <v>0</v>
      </c>
      <c r="AH166" s="960">
        <v>0</v>
      </c>
      <c r="AI166" s="956">
        <v>0</v>
      </c>
    </row>
    <row r="167" spans="1:35">
      <c r="A167" s="933" t="s">
        <v>6986</v>
      </c>
      <c r="B167" s="977">
        <v>0</v>
      </c>
      <c r="C167" s="989">
        <v>3409</v>
      </c>
      <c r="D167" s="955"/>
      <c r="E167" s="955"/>
      <c r="F167" s="955"/>
      <c r="G167" s="955"/>
      <c r="H167" s="955"/>
      <c r="I167" s="955"/>
      <c r="J167" s="990"/>
      <c r="K167" s="962">
        <f>SUM(C167:J167)</f>
        <v>3409</v>
      </c>
      <c r="L167" s="962">
        <f>300+300+400</f>
        <v>1000</v>
      </c>
      <c r="M167" s="962"/>
      <c r="N167" s="962">
        <f>SUM(L167:M167)</f>
        <v>1000</v>
      </c>
      <c r="O167" s="963">
        <f>(K167*12)+N167</f>
        <v>41908</v>
      </c>
      <c r="P167" s="956">
        <f>B167*O167</f>
        <v>0</v>
      </c>
      <c r="Q167" s="977">
        <v>0</v>
      </c>
      <c r="R167" s="989">
        <v>3900</v>
      </c>
      <c r="S167" s="955"/>
      <c r="T167" s="955"/>
      <c r="U167" s="955"/>
      <c r="V167" s="955"/>
      <c r="W167" s="955"/>
      <c r="X167" s="955"/>
      <c r="Y167" s="990"/>
      <c r="Z167" s="962">
        <f>SUM(R167:Y167)</f>
        <v>3900</v>
      </c>
      <c r="AA167" s="962">
        <f>300+300+400</f>
        <v>1000</v>
      </c>
      <c r="AB167" s="962"/>
      <c r="AC167" s="962">
        <f>SUM(AA167:AB167)</f>
        <v>1000</v>
      </c>
      <c r="AD167" s="963">
        <f>(Z167*12)+AC167</f>
        <v>47800</v>
      </c>
      <c r="AE167" s="956">
        <f>Q167*AD167</f>
        <v>0</v>
      </c>
      <c r="AF167" s="957">
        <f t="shared" si="93"/>
        <v>-5892</v>
      </c>
      <c r="AG167" s="956">
        <f t="shared" si="93"/>
        <v>0</v>
      </c>
      <c r="AH167" s="960">
        <v>0</v>
      </c>
      <c r="AI167" s="956">
        <v>0</v>
      </c>
    </row>
    <row r="168" spans="1:35">
      <c r="A168" s="933" t="s">
        <v>6985</v>
      </c>
      <c r="B168" s="977">
        <v>0</v>
      </c>
      <c r="C168" s="989">
        <v>3217</v>
      </c>
      <c r="D168" s="955"/>
      <c r="E168" s="955"/>
      <c r="F168" s="955"/>
      <c r="G168" s="955"/>
      <c r="H168" s="955"/>
      <c r="I168" s="955"/>
      <c r="J168" s="990"/>
      <c r="K168" s="962">
        <f>SUM(C168:J168)</f>
        <v>3217</v>
      </c>
      <c r="L168" s="962">
        <f>300+300+400</f>
        <v>1000</v>
      </c>
      <c r="M168" s="962"/>
      <c r="N168" s="962">
        <f>SUM(L168:M168)</f>
        <v>1000</v>
      </c>
      <c r="O168" s="963">
        <f>(K168*12)+N168</f>
        <v>39604</v>
      </c>
      <c r="P168" s="956">
        <f>B168*O168</f>
        <v>0</v>
      </c>
      <c r="Q168" s="977">
        <v>0</v>
      </c>
      <c r="R168" s="989">
        <v>3660</v>
      </c>
      <c r="S168" s="955"/>
      <c r="T168" s="955"/>
      <c r="U168" s="955"/>
      <c r="V168" s="955"/>
      <c r="W168" s="955"/>
      <c r="X168" s="955"/>
      <c r="Y168" s="990"/>
      <c r="Z168" s="962">
        <f>SUM(R168:Y168)</f>
        <v>3660</v>
      </c>
      <c r="AA168" s="962">
        <f>300+300+400</f>
        <v>1000</v>
      </c>
      <c r="AB168" s="962"/>
      <c r="AC168" s="962">
        <f>SUM(AA168:AB168)</f>
        <v>1000</v>
      </c>
      <c r="AD168" s="963">
        <f>(Z168*12)+AC168</f>
        <v>44920</v>
      </c>
      <c r="AE168" s="956">
        <f>Q168*AD168</f>
        <v>0</v>
      </c>
      <c r="AF168" s="957">
        <f t="shared" si="93"/>
        <v>-5316</v>
      </c>
      <c r="AG168" s="956">
        <f t="shared" si="93"/>
        <v>0</v>
      </c>
      <c r="AH168" s="960">
        <v>0</v>
      </c>
      <c r="AI168" s="956">
        <v>0</v>
      </c>
    </row>
    <row r="169" spans="1:35">
      <c r="A169" s="933" t="s">
        <v>6984</v>
      </c>
      <c r="B169" s="977">
        <v>1</v>
      </c>
      <c r="C169" s="989">
        <v>2931</v>
      </c>
      <c r="D169" s="955"/>
      <c r="E169" s="955"/>
      <c r="F169" s="955"/>
      <c r="G169" s="955"/>
      <c r="H169" s="955"/>
      <c r="I169" s="955"/>
      <c r="J169" s="990"/>
      <c r="K169" s="962">
        <f>SUM(C169:J169)</f>
        <v>2931</v>
      </c>
      <c r="L169" s="962">
        <f>300+300+400</f>
        <v>1000</v>
      </c>
      <c r="M169" s="962"/>
      <c r="N169" s="962">
        <f>SUM(L169:M169)</f>
        <v>1000</v>
      </c>
      <c r="O169" s="963">
        <f>(K169*12)+N169</f>
        <v>36172</v>
      </c>
      <c r="P169" s="956">
        <f>B169*O169</f>
        <v>36172</v>
      </c>
      <c r="Q169" s="977">
        <v>1</v>
      </c>
      <c r="R169" s="989">
        <v>3344</v>
      </c>
      <c r="S169" s="955"/>
      <c r="T169" s="955"/>
      <c r="U169" s="955"/>
      <c r="V169" s="955"/>
      <c r="W169" s="955"/>
      <c r="X169" s="955"/>
      <c r="Y169" s="990"/>
      <c r="Z169" s="962">
        <f>SUM(R169:Y169)</f>
        <v>3344</v>
      </c>
      <c r="AA169" s="962">
        <f>300+300+400</f>
        <v>1000</v>
      </c>
      <c r="AB169" s="962"/>
      <c r="AC169" s="962">
        <f>SUM(AA169:AB169)</f>
        <v>1000</v>
      </c>
      <c r="AD169" s="963">
        <f>(Z169*12)+AC169</f>
        <v>41128</v>
      </c>
      <c r="AE169" s="956">
        <f>Q169*AD169</f>
        <v>41128</v>
      </c>
      <c r="AF169" s="957">
        <f t="shared" si="93"/>
        <v>-4956</v>
      </c>
      <c r="AG169" s="956">
        <f t="shared" si="93"/>
        <v>-4956</v>
      </c>
      <c r="AH169" s="960">
        <v>1</v>
      </c>
      <c r="AI169" s="956">
        <v>41128</v>
      </c>
    </row>
    <row r="170" spans="1:35" ht="48">
      <c r="A170" s="935" t="s">
        <v>7149</v>
      </c>
      <c r="B170" s="950">
        <f>SUM(B171:B175)</f>
        <v>1</v>
      </c>
      <c r="C170" s="951"/>
      <c r="D170" s="951"/>
      <c r="E170" s="951"/>
      <c r="F170" s="951"/>
      <c r="G170" s="951"/>
      <c r="H170" s="951"/>
      <c r="I170" s="951"/>
      <c r="J170" s="951"/>
      <c r="K170" s="951"/>
      <c r="L170" s="951"/>
      <c r="M170" s="951"/>
      <c r="N170" s="951"/>
      <c r="O170" s="951">
        <f>SUM(O171:O175)</f>
        <v>209619.20000000001</v>
      </c>
      <c r="P170" s="952">
        <f>SUM(P171:P175)</f>
        <v>39604</v>
      </c>
      <c r="Q170" s="950">
        <f>SUM(Q171:Q175)</f>
        <v>1</v>
      </c>
      <c r="R170" s="951"/>
      <c r="S170" s="951"/>
      <c r="T170" s="951"/>
      <c r="U170" s="951"/>
      <c r="V170" s="951"/>
      <c r="W170" s="951"/>
      <c r="X170" s="951"/>
      <c r="Y170" s="951"/>
      <c r="Z170" s="951"/>
      <c r="AA170" s="951"/>
      <c r="AB170" s="951"/>
      <c r="AC170" s="951"/>
      <c r="AD170" s="951">
        <f t="shared" ref="AD170:AI170" si="94">SUM(AD171:AD175)</f>
        <v>239396</v>
      </c>
      <c r="AE170" s="952">
        <f t="shared" si="94"/>
        <v>44920</v>
      </c>
      <c r="AF170" s="950">
        <f t="shared" si="94"/>
        <v>-29776.800000000003</v>
      </c>
      <c r="AG170" s="952">
        <f t="shared" si="94"/>
        <v>-5316</v>
      </c>
      <c r="AH170" s="953">
        <f t="shared" si="94"/>
        <v>1</v>
      </c>
      <c r="AI170" s="952">
        <f t="shared" si="94"/>
        <v>44920</v>
      </c>
    </row>
    <row r="171" spans="1:35">
      <c r="A171" s="933" t="s">
        <v>6989</v>
      </c>
      <c r="B171" s="977">
        <v>0</v>
      </c>
      <c r="C171" s="989">
        <v>3875</v>
      </c>
      <c r="D171" s="955"/>
      <c r="E171" s="955"/>
      <c r="F171" s="955"/>
      <c r="G171" s="955"/>
      <c r="H171" s="955"/>
      <c r="I171" s="955"/>
      <c r="J171" s="990"/>
      <c r="K171" s="962">
        <f>SUM(C171:J171)</f>
        <v>3875</v>
      </c>
      <c r="L171" s="962">
        <f>300+300+400</f>
        <v>1000</v>
      </c>
      <c r="M171" s="962"/>
      <c r="N171" s="962">
        <f>SUM(L171:M171)</f>
        <v>1000</v>
      </c>
      <c r="O171" s="963">
        <f>(K171*12)+N171</f>
        <v>47500</v>
      </c>
      <c r="P171" s="956">
        <f>B171*O171</f>
        <v>0</v>
      </c>
      <c r="Q171" s="977">
        <v>0</v>
      </c>
      <c r="R171" s="989">
        <v>4471</v>
      </c>
      <c r="S171" s="955"/>
      <c r="T171" s="955"/>
      <c r="U171" s="955"/>
      <c r="V171" s="955"/>
      <c r="W171" s="955"/>
      <c r="X171" s="955"/>
      <c r="Y171" s="990"/>
      <c r="Z171" s="962">
        <f>SUM(R171:Y171)</f>
        <v>4471</v>
      </c>
      <c r="AA171" s="962">
        <f>300+300+400</f>
        <v>1000</v>
      </c>
      <c r="AB171" s="962"/>
      <c r="AC171" s="962">
        <f>SUM(AA171:AB171)</f>
        <v>1000</v>
      </c>
      <c r="AD171" s="963">
        <f>(Z171*12)+AC171</f>
        <v>54652</v>
      </c>
      <c r="AE171" s="956">
        <f>Q171*AD171</f>
        <v>0</v>
      </c>
      <c r="AF171" s="957">
        <f t="shared" ref="AF171:AG175" si="95">+O171-AD171</f>
        <v>-7152</v>
      </c>
      <c r="AG171" s="956">
        <f t="shared" si="95"/>
        <v>0</v>
      </c>
      <c r="AH171" s="960">
        <v>0</v>
      </c>
      <c r="AI171" s="956">
        <v>0</v>
      </c>
    </row>
    <row r="172" spans="1:35">
      <c r="A172" s="933" t="s">
        <v>6988</v>
      </c>
      <c r="B172" s="977">
        <v>0</v>
      </c>
      <c r="C172" s="989">
        <v>3619.6</v>
      </c>
      <c r="D172" s="955"/>
      <c r="E172" s="955"/>
      <c r="F172" s="955"/>
      <c r="G172" s="955"/>
      <c r="H172" s="955"/>
      <c r="I172" s="955"/>
      <c r="J172" s="990"/>
      <c r="K172" s="962">
        <f>SUM(C172:J172)</f>
        <v>3619.6</v>
      </c>
      <c r="L172" s="962">
        <f>300+300+400</f>
        <v>1000</v>
      </c>
      <c r="M172" s="962"/>
      <c r="N172" s="962">
        <f>SUM(L172:M172)</f>
        <v>1000</v>
      </c>
      <c r="O172" s="963">
        <f>(K172*12)+N172</f>
        <v>44435.199999999997</v>
      </c>
      <c r="P172" s="956">
        <f>B172*O172</f>
        <v>0</v>
      </c>
      <c r="Q172" s="977">
        <v>0</v>
      </c>
      <c r="R172" s="989">
        <v>4158</v>
      </c>
      <c r="S172" s="955"/>
      <c r="T172" s="955"/>
      <c r="U172" s="955"/>
      <c r="V172" s="955"/>
      <c r="W172" s="955"/>
      <c r="X172" s="955"/>
      <c r="Y172" s="990"/>
      <c r="Z172" s="962">
        <f>SUM(R172:Y172)</f>
        <v>4158</v>
      </c>
      <c r="AA172" s="962">
        <f>300+300+400</f>
        <v>1000</v>
      </c>
      <c r="AB172" s="962"/>
      <c r="AC172" s="962">
        <f>SUM(AA172:AB172)</f>
        <v>1000</v>
      </c>
      <c r="AD172" s="963">
        <f>(Z172*12)+AC172</f>
        <v>50896</v>
      </c>
      <c r="AE172" s="956">
        <f>Q172*AD172</f>
        <v>0</v>
      </c>
      <c r="AF172" s="957">
        <f t="shared" si="95"/>
        <v>-6460.8000000000029</v>
      </c>
      <c r="AG172" s="956">
        <f t="shared" si="95"/>
        <v>0</v>
      </c>
      <c r="AH172" s="960">
        <v>0</v>
      </c>
      <c r="AI172" s="956">
        <v>0</v>
      </c>
    </row>
    <row r="173" spans="1:35">
      <c r="A173" s="933" t="s">
        <v>6986</v>
      </c>
      <c r="B173" s="977">
        <v>0</v>
      </c>
      <c r="C173" s="989">
        <v>3409</v>
      </c>
      <c r="D173" s="955"/>
      <c r="E173" s="955"/>
      <c r="F173" s="955"/>
      <c r="G173" s="955"/>
      <c r="H173" s="955"/>
      <c r="I173" s="955"/>
      <c r="J173" s="990"/>
      <c r="K173" s="962">
        <f>SUM(C173:J173)</f>
        <v>3409</v>
      </c>
      <c r="L173" s="962">
        <f>300+300+400</f>
        <v>1000</v>
      </c>
      <c r="M173" s="962"/>
      <c r="N173" s="962">
        <f>SUM(L173:M173)</f>
        <v>1000</v>
      </c>
      <c r="O173" s="963">
        <f>(K173*12)+N173</f>
        <v>41908</v>
      </c>
      <c r="P173" s="956">
        <f>B173*O173</f>
        <v>0</v>
      </c>
      <c r="Q173" s="977">
        <v>0</v>
      </c>
      <c r="R173" s="989">
        <v>3900</v>
      </c>
      <c r="S173" s="955"/>
      <c r="T173" s="955"/>
      <c r="U173" s="955"/>
      <c r="V173" s="955"/>
      <c r="W173" s="955"/>
      <c r="X173" s="955"/>
      <c r="Y173" s="990"/>
      <c r="Z173" s="962">
        <f>SUM(R173:Y173)</f>
        <v>3900</v>
      </c>
      <c r="AA173" s="962">
        <f>300+300+400</f>
        <v>1000</v>
      </c>
      <c r="AB173" s="962"/>
      <c r="AC173" s="962">
        <f>SUM(AA173:AB173)</f>
        <v>1000</v>
      </c>
      <c r="AD173" s="963">
        <f>(Z173*12)+AC173</f>
        <v>47800</v>
      </c>
      <c r="AE173" s="956">
        <f>Q173*AD173</f>
        <v>0</v>
      </c>
      <c r="AF173" s="957">
        <f t="shared" si="95"/>
        <v>-5892</v>
      </c>
      <c r="AG173" s="956">
        <f t="shared" si="95"/>
        <v>0</v>
      </c>
      <c r="AH173" s="960">
        <v>0</v>
      </c>
      <c r="AI173" s="956">
        <v>0</v>
      </c>
    </row>
    <row r="174" spans="1:35">
      <c r="A174" s="933" t="s">
        <v>6985</v>
      </c>
      <c r="B174" s="977">
        <v>1</v>
      </c>
      <c r="C174" s="989">
        <v>3217</v>
      </c>
      <c r="D174" s="955"/>
      <c r="E174" s="955"/>
      <c r="F174" s="955"/>
      <c r="G174" s="955"/>
      <c r="H174" s="955"/>
      <c r="I174" s="955"/>
      <c r="J174" s="990"/>
      <c r="K174" s="962">
        <f>SUM(C174:J174)</f>
        <v>3217</v>
      </c>
      <c r="L174" s="962">
        <f>300+300+400</f>
        <v>1000</v>
      </c>
      <c r="M174" s="962"/>
      <c r="N174" s="962">
        <f>SUM(L174:M174)</f>
        <v>1000</v>
      </c>
      <c r="O174" s="963">
        <f>(K174*12)+N174</f>
        <v>39604</v>
      </c>
      <c r="P174" s="956">
        <f>B174*O174</f>
        <v>39604</v>
      </c>
      <c r="Q174" s="977">
        <v>1</v>
      </c>
      <c r="R174" s="989">
        <v>3660</v>
      </c>
      <c r="S174" s="955"/>
      <c r="T174" s="955"/>
      <c r="U174" s="955"/>
      <c r="V174" s="955"/>
      <c r="W174" s="955"/>
      <c r="X174" s="955"/>
      <c r="Y174" s="990"/>
      <c r="Z174" s="962">
        <f>SUM(R174:Y174)</f>
        <v>3660</v>
      </c>
      <c r="AA174" s="962">
        <f>300+300+400</f>
        <v>1000</v>
      </c>
      <c r="AB174" s="962"/>
      <c r="AC174" s="962">
        <f>SUM(AA174:AB174)</f>
        <v>1000</v>
      </c>
      <c r="AD174" s="963">
        <f>(Z174*12)+AC174</f>
        <v>44920</v>
      </c>
      <c r="AE174" s="956">
        <f>Q174*AD174</f>
        <v>44920</v>
      </c>
      <c r="AF174" s="957">
        <f t="shared" si="95"/>
        <v>-5316</v>
      </c>
      <c r="AG174" s="956">
        <f t="shared" si="95"/>
        <v>-5316</v>
      </c>
      <c r="AH174" s="960">
        <v>1</v>
      </c>
      <c r="AI174" s="956">
        <v>44920</v>
      </c>
    </row>
    <row r="175" spans="1:35">
      <c r="A175" s="933" t="s">
        <v>6984</v>
      </c>
      <c r="B175" s="977">
        <v>0</v>
      </c>
      <c r="C175" s="989">
        <v>2931</v>
      </c>
      <c r="D175" s="955"/>
      <c r="E175" s="955"/>
      <c r="F175" s="955"/>
      <c r="G175" s="955"/>
      <c r="H175" s="955"/>
      <c r="I175" s="955"/>
      <c r="J175" s="990"/>
      <c r="K175" s="962">
        <f>SUM(C175:J175)</f>
        <v>2931</v>
      </c>
      <c r="L175" s="962">
        <f>300+300+400</f>
        <v>1000</v>
      </c>
      <c r="M175" s="962"/>
      <c r="N175" s="962">
        <f>SUM(L175:M175)</f>
        <v>1000</v>
      </c>
      <c r="O175" s="963">
        <f>(K175*12)+N175</f>
        <v>36172</v>
      </c>
      <c r="P175" s="956">
        <f>B175*O175</f>
        <v>0</v>
      </c>
      <c r="Q175" s="977">
        <v>0</v>
      </c>
      <c r="R175" s="989">
        <v>3344</v>
      </c>
      <c r="S175" s="955"/>
      <c r="T175" s="955"/>
      <c r="U175" s="955"/>
      <c r="V175" s="955"/>
      <c r="W175" s="955"/>
      <c r="X175" s="955"/>
      <c r="Y175" s="990"/>
      <c r="Z175" s="962">
        <f>SUM(R175:Y175)</f>
        <v>3344</v>
      </c>
      <c r="AA175" s="962">
        <f>300+300+400</f>
        <v>1000</v>
      </c>
      <c r="AB175" s="962"/>
      <c r="AC175" s="962">
        <f>SUM(AA175:AB175)</f>
        <v>1000</v>
      </c>
      <c r="AD175" s="963">
        <f>(Z175*12)+AC175</f>
        <v>41128</v>
      </c>
      <c r="AE175" s="956">
        <f>Q175*AD175</f>
        <v>0</v>
      </c>
      <c r="AF175" s="957">
        <f t="shared" si="95"/>
        <v>-4956</v>
      </c>
      <c r="AG175" s="956">
        <f t="shared" si="95"/>
        <v>0</v>
      </c>
      <c r="AH175" s="960">
        <v>0</v>
      </c>
      <c r="AI175" s="956">
        <v>0</v>
      </c>
    </row>
    <row r="176" spans="1:35" ht="60">
      <c r="A176" s="935" t="s">
        <v>7148</v>
      </c>
      <c r="B176" s="950">
        <f>SUM(B178:B183)</f>
        <v>8</v>
      </c>
      <c r="C176" s="951"/>
      <c r="D176" s="951"/>
      <c r="E176" s="951"/>
      <c r="F176" s="951"/>
      <c r="G176" s="951"/>
      <c r="H176" s="951"/>
      <c r="I176" s="951"/>
      <c r="J176" s="951"/>
      <c r="K176" s="951"/>
      <c r="L176" s="951"/>
      <c r="M176" s="951"/>
      <c r="N176" s="951"/>
      <c r="O176" s="951">
        <f>SUM(O178:O183)</f>
        <v>135604.80000000002</v>
      </c>
      <c r="P176" s="952">
        <f>SUM(P178:P183)</f>
        <v>215328.8</v>
      </c>
      <c r="Q176" s="950">
        <f>SUM(Q177:Q183)</f>
        <v>8</v>
      </c>
      <c r="R176" s="951"/>
      <c r="S176" s="951"/>
      <c r="T176" s="951"/>
      <c r="U176" s="951"/>
      <c r="V176" s="951"/>
      <c r="W176" s="951"/>
      <c r="X176" s="951"/>
      <c r="Y176" s="951"/>
      <c r="Z176" s="951"/>
      <c r="AA176" s="951"/>
      <c r="AB176" s="951"/>
      <c r="AC176" s="951"/>
      <c r="AD176" s="951">
        <f t="shared" ref="AD176:AI176" si="96">SUM(AD178:AD183)</f>
        <v>144308</v>
      </c>
      <c r="AE176" s="952">
        <f t="shared" si="96"/>
        <v>230144</v>
      </c>
      <c r="AF176" s="950">
        <f t="shared" si="96"/>
        <v>-8703.1999999999898</v>
      </c>
      <c r="AG176" s="952">
        <f t="shared" si="96"/>
        <v>-14815.19999999999</v>
      </c>
      <c r="AH176" s="953">
        <f t="shared" si="96"/>
        <v>8</v>
      </c>
      <c r="AI176" s="952">
        <f t="shared" si="96"/>
        <v>232997.6</v>
      </c>
    </row>
    <row r="177" spans="1:35">
      <c r="A177" s="933" t="s">
        <v>6988</v>
      </c>
      <c r="B177" s="968"/>
      <c r="C177" s="955"/>
      <c r="D177" s="955"/>
      <c r="E177" s="955"/>
      <c r="F177" s="955"/>
      <c r="G177" s="955"/>
      <c r="H177" s="955"/>
      <c r="I177" s="955"/>
      <c r="J177" s="955"/>
      <c r="K177" s="962">
        <f t="shared" ref="K177:K183" si="97">SUM(C177:J177)</f>
        <v>0</v>
      </c>
      <c r="L177" s="962">
        <f t="shared" ref="L177:L183" si="98">300+300+400</f>
        <v>1000</v>
      </c>
      <c r="M177" s="962"/>
      <c r="N177" s="962">
        <f t="shared" ref="N177:N183" si="99">SUM(L177:M177)</f>
        <v>1000</v>
      </c>
      <c r="O177" s="963">
        <f t="shared" ref="O177:O183" si="100">(K177*12)+N177</f>
        <v>1000</v>
      </c>
      <c r="P177" s="956">
        <f t="shared" ref="P177:P183" si="101">B177*O177</f>
        <v>0</v>
      </c>
      <c r="Q177" s="968"/>
      <c r="R177" s="955"/>
      <c r="S177" s="955"/>
      <c r="T177" s="955"/>
      <c r="U177" s="955"/>
      <c r="V177" s="955"/>
      <c r="W177" s="955"/>
      <c r="X177" s="955"/>
      <c r="Y177" s="955"/>
      <c r="Z177" s="962">
        <f t="shared" ref="Z177:Z183" si="102">SUM(R177:Y177)</f>
        <v>0</v>
      </c>
      <c r="AA177" s="962"/>
      <c r="AB177" s="962"/>
      <c r="AC177" s="962">
        <f t="shared" ref="AC177:AC183" si="103">SUM(AA177:AB177)</f>
        <v>0</v>
      </c>
      <c r="AD177" s="963">
        <f t="shared" ref="AD177:AD183" si="104">(Z177*12)+AC177</f>
        <v>0</v>
      </c>
      <c r="AE177" s="956">
        <f t="shared" ref="AE177:AE183" si="105">Q177*AD177</f>
        <v>0</v>
      </c>
      <c r="AF177" s="957">
        <f t="shared" ref="AF177:AG183" si="106">+O177-AD177</f>
        <v>1000</v>
      </c>
      <c r="AG177" s="956">
        <f t="shared" si="106"/>
        <v>0</v>
      </c>
      <c r="AH177" s="974"/>
      <c r="AI177" s="956"/>
    </row>
    <row r="178" spans="1:35">
      <c r="A178" s="933" t="s">
        <v>6986</v>
      </c>
      <c r="B178" s="977"/>
      <c r="C178" s="962"/>
      <c r="D178" s="955"/>
      <c r="E178" s="955"/>
      <c r="F178" s="955"/>
      <c r="G178" s="955"/>
      <c r="H178" s="955"/>
      <c r="I178" s="955"/>
      <c r="J178" s="955"/>
      <c r="K178" s="962">
        <f t="shared" si="97"/>
        <v>0</v>
      </c>
      <c r="L178" s="962">
        <f t="shared" si="98"/>
        <v>1000</v>
      </c>
      <c r="M178" s="962"/>
      <c r="N178" s="962">
        <f t="shared" si="99"/>
        <v>1000</v>
      </c>
      <c r="O178" s="963">
        <f t="shared" si="100"/>
        <v>1000</v>
      </c>
      <c r="P178" s="956">
        <f t="shared" si="101"/>
        <v>0</v>
      </c>
      <c r="Q178" s="977"/>
      <c r="R178" s="962"/>
      <c r="S178" s="955"/>
      <c r="T178" s="955"/>
      <c r="U178" s="955"/>
      <c r="V178" s="955"/>
      <c r="W178" s="955"/>
      <c r="X178" s="955"/>
      <c r="Y178" s="955"/>
      <c r="Z178" s="962">
        <f t="shared" si="102"/>
        <v>0</v>
      </c>
      <c r="AA178" s="962"/>
      <c r="AB178" s="962">
        <v>0</v>
      </c>
      <c r="AC178" s="962">
        <f t="shared" si="103"/>
        <v>0</v>
      </c>
      <c r="AD178" s="963">
        <f t="shared" si="104"/>
        <v>0</v>
      </c>
      <c r="AE178" s="956">
        <f t="shared" si="105"/>
        <v>0</v>
      </c>
      <c r="AF178" s="957">
        <f t="shared" si="106"/>
        <v>1000</v>
      </c>
      <c r="AG178" s="956">
        <f t="shared" si="106"/>
        <v>0</v>
      </c>
      <c r="AH178" s="978">
        <v>0</v>
      </c>
      <c r="AI178" s="956">
        <v>0</v>
      </c>
    </row>
    <row r="179" spans="1:35">
      <c r="A179" s="933" t="s">
        <v>6985</v>
      </c>
      <c r="B179" s="977">
        <v>1</v>
      </c>
      <c r="C179" s="989">
        <v>2177.4</v>
      </c>
      <c r="D179" s="955"/>
      <c r="E179" s="955"/>
      <c r="F179" s="955"/>
      <c r="G179" s="955"/>
      <c r="H179" s="955"/>
      <c r="I179" s="955"/>
      <c r="J179" s="955"/>
      <c r="K179" s="962">
        <f t="shared" si="97"/>
        <v>2177.4</v>
      </c>
      <c r="L179" s="962">
        <f t="shared" si="98"/>
        <v>1000</v>
      </c>
      <c r="M179" s="962"/>
      <c r="N179" s="962">
        <f t="shared" si="99"/>
        <v>1000</v>
      </c>
      <c r="O179" s="963">
        <f t="shared" si="100"/>
        <v>27128.800000000003</v>
      </c>
      <c r="P179" s="956">
        <f t="shared" si="101"/>
        <v>27128.800000000003</v>
      </c>
      <c r="Q179" s="977">
        <v>1</v>
      </c>
      <c r="R179" s="989">
        <v>2294</v>
      </c>
      <c r="S179" s="955"/>
      <c r="T179" s="955"/>
      <c r="U179" s="955"/>
      <c r="V179" s="955"/>
      <c r="W179" s="955"/>
      <c r="X179" s="955"/>
      <c r="Y179" s="955"/>
      <c r="Z179" s="962">
        <f t="shared" si="102"/>
        <v>2294</v>
      </c>
      <c r="AA179" s="962">
        <f>300+300+400</f>
        <v>1000</v>
      </c>
      <c r="AB179" s="962">
        <f>1800/Q179</f>
        <v>1800</v>
      </c>
      <c r="AC179" s="962">
        <f t="shared" si="103"/>
        <v>2800</v>
      </c>
      <c r="AD179" s="963">
        <f t="shared" si="104"/>
        <v>30328</v>
      </c>
      <c r="AE179" s="956">
        <f t="shared" si="105"/>
        <v>30328</v>
      </c>
      <c r="AF179" s="957">
        <f t="shared" si="106"/>
        <v>-3199.1999999999971</v>
      </c>
      <c r="AG179" s="956">
        <f t="shared" si="106"/>
        <v>-3199.1999999999971</v>
      </c>
      <c r="AH179" s="960">
        <v>1</v>
      </c>
      <c r="AI179" s="956">
        <v>34981.599999999999</v>
      </c>
    </row>
    <row r="180" spans="1:35">
      <c r="A180" s="933" t="s">
        <v>6984</v>
      </c>
      <c r="B180" s="977">
        <v>2</v>
      </c>
      <c r="C180" s="989">
        <v>2167.8000000000002</v>
      </c>
      <c r="D180" s="955"/>
      <c r="E180" s="955"/>
      <c r="F180" s="955"/>
      <c r="G180" s="955"/>
      <c r="H180" s="955"/>
      <c r="I180" s="955"/>
      <c r="J180" s="955"/>
      <c r="K180" s="962">
        <f t="shared" si="97"/>
        <v>2167.8000000000002</v>
      </c>
      <c r="L180" s="962">
        <f t="shared" si="98"/>
        <v>1000</v>
      </c>
      <c r="M180" s="962"/>
      <c r="N180" s="962">
        <f t="shared" si="99"/>
        <v>1000</v>
      </c>
      <c r="O180" s="963">
        <f t="shared" si="100"/>
        <v>27013.600000000002</v>
      </c>
      <c r="P180" s="956">
        <f t="shared" si="101"/>
        <v>54027.200000000004</v>
      </c>
      <c r="Q180" s="977">
        <v>2</v>
      </c>
      <c r="R180" s="989">
        <v>2285</v>
      </c>
      <c r="S180" s="955"/>
      <c r="T180" s="955"/>
      <c r="U180" s="955"/>
      <c r="V180" s="955"/>
      <c r="W180" s="955"/>
      <c r="X180" s="955"/>
      <c r="Y180" s="955"/>
      <c r="Z180" s="962">
        <f t="shared" si="102"/>
        <v>2285</v>
      </c>
      <c r="AA180" s="962">
        <f>300+300+400</f>
        <v>1000</v>
      </c>
      <c r="AB180" s="962">
        <v>0</v>
      </c>
      <c r="AC180" s="962">
        <f t="shared" si="103"/>
        <v>1000</v>
      </c>
      <c r="AD180" s="963">
        <f t="shared" si="104"/>
        <v>28420</v>
      </c>
      <c r="AE180" s="956">
        <f t="shared" si="105"/>
        <v>56840</v>
      </c>
      <c r="AF180" s="957">
        <f t="shared" si="106"/>
        <v>-1406.3999999999978</v>
      </c>
      <c r="AG180" s="956">
        <f t="shared" si="106"/>
        <v>-2812.7999999999956</v>
      </c>
      <c r="AH180" s="960">
        <v>2</v>
      </c>
      <c r="AI180" s="956">
        <v>56840</v>
      </c>
    </row>
    <row r="181" spans="1:35">
      <c r="A181" s="933" t="s">
        <v>6983</v>
      </c>
      <c r="B181" s="977">
        <v>3</v>
      </c>
      <c r="C181" s="989">
        <v>2160.8000000000002</v>
      </c>
      <c r="D181" s="955"/>
      <c r="E181" s="955"/>
      <c r="F181" s="955"/>
      <c r="G181" s="955"/>
      <c r="H181" s="955"/>
      <c r="I181" s="955"/>
      <c r="J181" s="955"/>
      <c r="K181" s="962">
        <f t="shared" si="97"/>
        <v>2160.8000000000002</v>
      </c>
      <c r="L181" s="962">
        <f t="shared" si="98"/>
        <v>1000</v>
      </c>
      <c r="M181" s="962"/>
      <c r="N181" s="962">
        <f t="shared" si="99"/>
        <v>1000</v>
      </c>
      <c r="O181" s="963">
        <f t="shared" si="100"/>
        <v>26929.600000000002</v>
      </c>
      <c r="P181" s="956">
        <f t="shared" si="101"/>
        <v>80788.800000000003</v>
      </c>
      <c r="Q181" s="977">
        <v>3</v>
      </c>
      <c r="R181" s="989">
        <v>2278</v>
      </c>
      <c r="S181" s="955"/>
      <c r="T181" s="955"/>
      <c r="U181" s="955"/>
      <c r="V181" s="955"/>
      <c r="W181" s="955"/>
      <c r="X181" s="955"/>
      <c r="Y181" s="955"/>
      <c r="Z181" s="962">
        <f t="shared" si="102"/>
        <v>2278</v>
      </c>
      <c r="AA181" s="962">
        <f>300+300+400</f>
        <v>1000</v>
      </c>
      <c r="AB181" s="962">
        <v>0</v>
      </c>
      <c r="AC181" s="962">
        <f t="shared" si="103"/>
        <v>1000</v>
      </c>
      <c r="AD181" s="963">
        <f t="shared" si="104"/>
        <v>28336</v>
      </c>
      <c r="AE181" s="956">
        <f t="shared" si="105"/>
        <v>85008</v>
      </c>
      <c r="AF181" s="957">
        <f t="shared" si="106"/>
        <v>-1406.3999999999978</v>
      </c>
      <c r="AG181" s="956">
        <f t="shared" si="106"/>
        <v>-4219.1999999999971</v>
      </c>
      <c r="AH181" s="960">
        <v>3</v>
      </c>
      <c r="AI181" s="956">
        <v>85008</v>
      </c>
    </row>
    <row r="182" spans="1:35">
      <c r="A182" s="933" t="s">
        <v>6982</v>
      </c>
      <c r="B182" s="977">
        <v>0</v>
      </c>
      <c r="C182" s="989">
        <v>2153.4</v>
      </c>
      <c r="D182" s="955"/>
      <c r="E182" s="955"/>
      <c r="F182" s="955"/>
      <c r="G182" s="955"/>
      <c r="H182" s="955"/>
      <c r="I182" s="955"/>
      <c r="J182" s="955"/>
      <c r="K182" s="962">
        <f t="shared" si="97"/>
        <v>2153.4</v>
      </c>
      <c r="L182" s="962">
        <f t="shared" si="98"/>
        <v>1000</v>
      </c>
      <c r="M182" s="962"/>
      <c r="N182" s="962">
        <f t="shared" si="99"/>
        <v>1000</v>
      </c>
      <c r="O182" s="963">
        <f t="shared" si="100"/>
        <v>26840.800000000003</v>
      </c>
      <c r="P182" s="956">
        <f t="shared" si="101"/>
        <v>0</v>
      </c>
      <c r="Q182" s="977">
        <v>0</v>
      </c>
      <c r="R182" s="989">
        <v>2270</v>
      </c>
      <c r="S182" s="955"/>
      <c r="T182" s="955"/>
      <c r="U182" s="955"/>
      <c r="V182" s="955"/>
      <c r="W182" s="955"/>
      <c r="X182" s="955"/>
      <c r="Y182" s="955"/>
      <c r="Z182" s="962">
        <f t="shared" si="102"/>
        <v>2270</v>
      </c>
      <c r="AA182" s="962">
        <f>300+300+400</f>
        <v>1000</v>
      </c>
      <c r="AB182" s="962">
        <v>0</v>
      </c>
      <c r="AC182" s="962">
        <f t="shared" si="103"/>
        <v>1000</v>
      </c>
      <c r="AD182" s="963">
        <f t="shared" si="104"/>
        <v>28240</v>
      </c>
      <c r="AE182" s="956">
        <f t="shared" si="105"/>
        <v>0</v>
      </c>
      <c r="AF182" s="957">
        <f t="shared" si="106"/>
        <v>-1399.1999999999971</v>
      </c>
      <c r="AG182" s="956">
        <f t="shared" si="106"/>
        <v>0</v>
      </c>
      <c r="AH182" s="960">
        <v>0</v>
      </c>
      <c r="AI182" s="956">
        <v>0</v>
      </c>
    </row>
    <row r="183" spans="1:35">
      <c r="A183" s="933" t="s">
        <v>6981</v>
      </c>
      <c r="B183" s="977">
        <v>2</v>
      </c>
      <c r="C183" s="989">
        <v>2141</v>
      </c>
      <c r="D183" s="955"/>
      <c r="E183" s="955"/>
      <c r="F183" s="955"/>
      <c r="G183" s="955"/>
      <c r="H183" s="955"/>
      <c r="I183" s="955"/>
      <c r="J183" s="955"/>
      <c r="K183" s="962">
        <f t="shared" si="97"/>
        <v>2141</v>
      </c>
      <c r="L183" s="962">
        <f t="shared" si="98"/>
        <v>1000</v>
      </c>
      <c r="M183" s="962"/>
      <c r="N183" s="962">
        <f t="shared" si="99"/>
        <v>1000</v>
      </c>
      <c r="O183" s="963">
        <f t="shared" si="100"/>
        <v>26692</v>
      </c>
      <c r="P183" s="956">
        <f t="shared" si="101"/>
        <v>53384</v>
      </c>
      <c r="Q183" s="977">
        <v>2</v>
      </c>
      <c r="R183" s="989">
        <v>2257</v>
      </c>
      <c r="S183" s="955"/>
      <c r="T183" s="955"/>
      <c r="U183" s="955"/>
      <c r="V183" s="955"/>
      <c r="W183" s="955"/>
      <c r="X183" s="955"/>
      <c r="Y183" s="955"/>
      <c r="Z183" s="962">
        <f t="shared" si="102"/>
        <v>2257</v>
      </c>
      <c r="AA183" s="962">
        <f>300+300+400</f>
        <v>1000</v>
      </c>
      <c r="AB183" s="962">
        <f>1800/Q183</f>
        <v>900</v>
      </c>
      <c r="AC183" s="962">
        <f t="shared" si="103"/>
        <v>1900</v>
      </c>
      <c r="AD183" s="963">
        <f t="shared" si="104"/>
        <v>28984</v>
      </c>
      <c r="AE183" s="956">
        <f t="shared" si="105"/>
        <v>57968</v>
      </c>
      <c r="AF183" s="957">
        <f t="shared" si="106"/>
        <v>-2292</v>
      </c>
      <c r="AG183" s="956">
        <f t="shared" si="106"/>
        <v>-4584</v>
      </c>
      <c r="AH183" s="960">
        <v>2</v>
      </c>
      <c r="AI183" s="956">
        <v>56168</v>
      </c>
    </row>
    <row r="184" spans="1:35">
      <c r="A184" s="935" t="s">
        <v>58</v>
      </c>
      <c r="B184" s="950">
        <f>SUM(B185:B186)</f>
        <v>39</v>
      </c>
      <c r="C184" s="951"/>
      <c r="D184" s="951"/>
      <c r="E184" s="951"/>
      <c r="F184" s="951"/>
      <c r="G184" s="951"/>
      <c r="H184" s="951"/>
      <c r="I184" s="951"/>
      <c r="J184" s="951"/>
      <c r="K184" s="951"/>
      <c r="L184" s="951"/>
      <c r="M184" s="951"/>
      <c r="N184" s="951"/>
      <c r="O184" s="951">
        <f>SUM(O185:O186)</f>
        <v>99651.200000000012</v>
      </c>
      <c r="P184" s="952">
        <f>SUM(P185:P186)</f>
        <v>2120695.2000000002</v>
      </c>
      <c r="Q184" s="950">
        <f>SUM(Q185:Q186)</f>
        <v>39</v>
      </c>
      <c r="R184" s="951"/>
      <c r="S184" s="951"/>
      <c r="T184" s="951"/>
      <c r="U184" s="951"/>
      <c r="V184" s="951"/>
      <c r="W184" s="951"/>
      <c r="X184" s="951"/>
      <c r="Y184" s="951"/>
      <c r="Z184" s="951"/>
      <c r="AA184" s="951"/>
      <c r="AB184" s="951"/>
      <c r="AC184" s="951"/>
      <c r="AD184" s="951">
        <f t="shared" ref="AD184:AI184" si="107">SUM(AD185:AD186)</f>
        <v>108512</v>
      </c>
      <c r="AE184" s="952">
        <f t="shared" si="107"/>
        <v>2286648</v>
      </c>
      <c r="AF184" s="950">
        <f t="shared" si="107"/>
        <v>-8860.7999999999956</v>
      </c>
      <c r="AG184" s="952">
        <f t="shared" si="107"/>
        <v>-165952.79999999981</v>
      </c>
      <c r="AH184" s="953">
        <f t="shared" si="107"/>
        <v>39</v>
      </c>
      <c r="AI184" s="952">
        <f t="shared" si="107"/>
        <v>2286648</v>
      </c>
    </row>
    <row r="185" spans="1:35" ht="24">
      <c r="A185" s="933" t="s">
        <v>6980</v>
      </c>
      <c r="B185" s="977">
        <v>26</v>
      </c>
      <c r="C185" s="989">
        <v>5206.6000000000004</v>
      </c>
      <c r="D185" s="955"/>
      <c r="E185" s="955"/>
      <c r="F185" s="955"/>
      <c r="G185" s="955"/>
      <c r="H185" s="955"/>
      <c r="I185" s="955"/>
      <c r="J185" s="955"/>
      <c r="K185" s="962">
        <f>SUM(C185:J185)</f>
        <v>5206.6000000000004</v>
      </c>
      <c r="L185" s="962">
        <f>300+300+400</f>
        <v>1000</v>
      </c>
      <c r="M185" s="962"/>
      <c r="N185" s="962">
        <f>SUM(L185:M185)</f>
        <v>1000</v>
      </c>
      <c r="O185" s="963">
        <f>(K185*12)+N185</f>
        <v>63479.200000000004</v>
      </c>
      <c r="P185" s="956">
        <f>B185*O185</f>
        <v>1650459.2000000002</v>
      </c>
      <c r="Q185" s="977">
        <v>26</v>
      </c>
      <c r="R185" s="989">
        <v>5532</v>
      </c>
      <c r="S185" s="955"/>
      <c r="T185" s="955"/>
      <c r="U185" s="955"/>
      <c r="V185" s="955"/>
      <c r="W185" s="955"/>
      <c r="X185" s="955"/>
      <c r="Y185" s="955"/>
      <c r="Z185" s="962">
        <f>SUM(R185:Y185)</f>
        <v>5532</v>
      </c>
      <c r="AA185" s="962">
        <f>300+300+400</f>
        <v>1000</v>
      </c>
      <c r="AB185" s="962"/>
      <c r="AC185" s="962">
        <f>SUM(AA185:AB185)</f>
        <v>1000</v>
      </c>
      <c r="AD185" s="963">
        <f>(Z185*12)+AC185</f>
        <v>67384</v>
      </c>
      <c r="AE185" s="956">
        <f>Q185*AD185</f>
        <v>1751984</v>
      </c>
      <c r="AF185" s="957">
        <f>+O185-AD185</f>
        <v>-3904.7999999999956</v>
      </c>
      <c r="AG185" s="956">
        <f>+P185-AE185</f>
        <v>-101524.79999999981</v>
      </c>
      <c r="AH185" s="960">
        <v>26</v>
      </c>
      <c r="AI185" s="956">
        <v>1751984</v>
      </c>
    </row>
    <row r="186" spans="1:35" ht="24">
      <c r="A186" s="933" t="s">
        <v>6979</v>
      </c>
      <c r="B186" s="977">
        <v>13</v>
      </c>
      <c r="C186" s="989">
        <v>2931</v>
      </c>
      <c r="D186" s="955"/>
      <c r="E186" s="955"/>
      <c r="F186" s="955"/>
      <c r="G186" s="955"/>
      <c r="H186" s="955"/>
      <c r="I186" s="955"/>
      <c r="J186" s="955"/>
      <c r="K186" s="962">
        <f>SUM(C186:J186)</f>
        <v>2931</v>
      </c>
      <c r="L186" s="962">
        <f>300+300+400</f>
        <v>1000</v>
      </c>
      <c r="M186" s="962"/>
      <c r="N186" s="962">
        <f>SUM(L186:M186)</f>
        <v>1000</v>
      </c>
      <c r="O186" s="963">
        <f>(K186*12)+N186</f>
        <v>36172</v>
      </c>
      <c r="P186" s="956">
        <f>B186*O186</f>
        <v>470236</v>
      </c>
      <c r="Q186" s="977">
        <v>13</v>
      </c>
      <c r="R186" s="989">
        <v>3344</v>
      </c>
      <c r="S186" s="955"/>
      <c r="T186" s="955"/>
      <c r="U186" s="955"/>
      <c r="V186" s="955"/>
      <c r="W186" s="955"/>
      <c r="X186" s="955"/>
      <c r="Y186" s="955"/>
      <c r="Z186" s="962">
        <f>SUM(R186:Y186)</f>
        <v>3344</v>
      </c>
      <c r="AA186" s="962">
        <f>300+300+400</f>
        <v>1000</v>
      </c>
      <c r="AB186" s="962"/>
      <c r="AC186" s="962">
        <f>SUM(AA186:AB186)</f>
        <v>1000</v>
      </c>
      <c r="AD186" s="963">
        <f>(Z186*12)+AC186</f>
        <v>41128</v>
      </c>
      <c r="AE186" s="956">
        <f>Q186*AD186</f>
        <v>534664</v>
      </c>
      <c r="AF186" s="957">
        <f>+O186-AD186</f>
        <v>-4956</v>
      </c>
      <c r="AG186" s="956">
        <f>+P186-AE186</f>
        <v>-64428</v>
      </c>
      <c r="AH186" s="960">
        <v>13</v>
      </c>
      <c r="AI186" s="956">
        <v>534664</v>
      </c>
    </row>
    <row r="187" spans="1:35" ht="24">
      <c r="A187" s="935" t="s">
        <v>6912</v>
      </c>
      <c r="B187" s="950">
        <f>SUM(B188:B189)</f>
        <v>36</v>
      </c>
      <c r="C187" s="951"/>
      <c r="D187" s="951"/>
      <c r="E187" s="951"/>
      <c r="F187" s="951"/>
      <c r="G187" s="951"/>
      <c r="H187" s="951"/>
      <c r="I187" s="951"/>
      <c r="J187" s="951"/>
      <c r="K187" s="951"/>
      <c r="L187" s="951"/>
      <c r="M187" s="951"/>
      <c r="N187" s="951"/>
      <c r="O187" s="951">
        <f>SUM(O188:O189)</f>
        <v>10800</v>
      </c>
      <c r="P187" s="952">
        <f>SUM(P188:P189)</f>
        <v>367200</v>
      </c>
      <c r="Q187" s="950">
        <f>SUM(Q188:Q189)</f>
        <v>36</v>
      </c>
      <c r="R187" s="951"/>
      <c r="S187" s="951"/>
      <c r="T187" s="951"/>
      <c r="U187" s="951"/>
      <c r="V187" s="951"/>
      <c r="W187" s="951"/>
      <c r="X187" s="951"/>
      <c r="Y187" s="951"/>
      <c r="Z187" s="951"/>
      <c r="AA187" s="951"/>
      <c r="AB187" s="951"/>
      <c r="AC187" s="951"/>
      <c r="AD187" s="951">
        <f t="shared" ref="AD187:AI187" si="108">SUM(AD188:AD189)</f>
        <v>20400</v>
      </c>
      <c r="AE187" s="952">
        <f t="shared" si="108"/>
        <v>367200</v>
      </c>
      <c r="AF187" s="950">
        <f t="shared" si="108"/>
        <v>-9600</v>
      </c>
      <c r="AG187" s="952">
        <f t="shared" si="108"/>
        <v>0</v>
      </c>
      <c r="AH187" s="953">
        <f t="shared" si="108"/>
        <v>36</v>
      </c>
      <c r="AI187" s="952">
        <f t="shared" si="108"/>
        <v>367200</v>
      </c>
    </row>
    <row r="188" spans="1:35" ht="36">
      <c r="A188" s="937" t="s">
        <v>6911</v>
      </c>
      <c r="B188" s="977">
        <v>24</v>
      </c>
      <c r="C188" s="955">
        <v>400</v>
      </c>
      <c r="D188" s="955"/>
      <c r="E188" s="955"/>
      <c r="F188" s="955"/>
      <c r="G188" s="955"/>
      <c r="H188" s="955"/>
      <c r="I188" s="955"/>
      <c r="J188" s="955"/>
      <c r="K188" s="962">
        <f>SUM(C188:J188)</f>
        <v>400</v>
      </c>
      <c r="L188" s="962">
        <f>100+100+400</f>
        <v>600</v>
      </c>
      <c r="M188" s="962"/>
      <c r="N188" s="962">
        <f>SUM(L188:M188)</f>
        <v>600</v>
      </c>
      <c r="O188" s="963">
        <f>(K188*12)+N188</f>
        <v>5400</v>
      </c>
      <c r="P188" s="956">
        <f>230400+14400</f>
        <v>244800</v>
      </c>
      <c r="Q188" s="977">
        <v>24</v>
      </c>
      <c r="R188" s="955">
        <v>400</v>
      </c>
      <c r="S188" s="955"/>
      <c r="T188" s="955"/>
      <c r="U188" s="955"/>
      <c r="V188" s="955"/>
      <c r="W188" s="955"/>
      <c r="X188" s="955"/>
      <c r="Y188" s="955">
        <v>400</v>
      </c>
      <c r="Z188" s="962">
        <f>SUM(R188:Y188)</f>
        <v>800</v>
      </c>
      <c r="AA188" s="962">
        <f>400+100+100</f>
        <v>600</v>
      </c>
      <c r="AB188" s="962"/>
      <c r="AC188" s="962">
        <f>SUM(AA188:AB188)</f>
        <v>600</v>
      </c>
      <c r="AD188" s="963">
        <f>(Z188*12)+AC188</f>
        <v>10200</v>
      </c>
      <c r="AE188" s="956">
        <f>Q188*AD188</f>
        <v>244800</v>
      </c>
      <c r="AF188" s="957">
        <f>+O188-AD188</f>
        <v>-4800</v>
      </c>
      <c r="AG188" s="956">
        <f>+P188-AE188</f>
        <v>0</v>
      </c>
      <c r="AH188" s="960">
        <v>24</v>
      </c>
      <c r="AI188" s="956">
        <v>244800</v>
      </c>
    </row>
    <row r="189" spans="1:35" ht="24">
      <c r="A189" s="933" t="s">
        <v>6910</v>
      </c>
      <c r="B189" s="977">
        <v>12</v>
      </c>
      <c r="C189" s="955">
        <v>400</v>
      </c>
      <c r="D189" s="955"/>
      <c r="E189" s="955"/>
      <c r="F189" s="955"/>
      <c r="G189" s="955"/>
      <c r="H189" s="955"/>
      <c r="I189" s="955"/>
      <c r="J189" s="955"/>
      <c r="K189" s="962">
        <f>SUM(C189:J189)</f>
        <v>400</v>
      </c>
      <c r="L189" s="962">
        <f>100+100+400</f>
        <v>600</v>
      </c>
      <c r="M189" s="962"/>
      <c r="N189" s="962">
        <f>SUM(L189:M189)</f>
        <v>600</v>
      </c>
      <c r="O189" s="963">
        <f>(K189*12)+N189</f>
        <v>5400</v>
      </c>
      <c r="P189" s="956">
        <f>115200+7200</f>
        <v>122400</v>
      </c>
      <c r="Q189" s="977">
        <v>12</v>
      </c>
      <c r="R189" s="955">
        <v>400</v>
      </c>
      <c r="S189" s="955"/>
      <c r="T189" s="955"/>
      <c r="U189" s="955"/>
      <c r="V189" s="955"/>
      <c r="W189" s="955"/>
      <c r="X189" s="955"/>
      <c r="Y189" s="955">
        <v>400</v>
      </c>
      <c r="Z189" s="962">
        <f>SUM(R189:Y189)</f>
        <v>800</v>
      </c>
      <c r="AA189" s="962">
        <f>400+100+100</f>
        <v>600</v>
      </c>
      <c r="AB189" s="962"/>
      <c r="AC189" s="962">
        <f>SUM(AA189:AB189)</f>
        <v>600</v>
      </c>
      <c r="AD189" s="963">
        <f>(Z189*12)+AC189</f>
        <v>10200</v>
      </c>
      <c r="AE189" s="956">
        <f>Q189*AD189</f>
        <v>122400</v>
      </c>
      <c r="AF189" s="957">
        <f>+O189-AD189</f>
        <v>-4800</v>
      </c>
      <c r="AG189" s="956">
        <f>+P189-AE189</f>
        <v>0</v>
      </c>
      <c r="AH189" s="960">
        <v>12</v>
      </c>
      <c r="AI189" s="956">
        <v>122400</v>
      </c>
    </row>
    <row r="190" spans="1:35" ht="48">
      <c r="A190" s="938" t="s">
        <v>50</v>
      </c>
      <c r="B190" s="950">
        <f>B191+B198+B205</f>
        <v>690</v>
      </c>
      <c r="C190" s="951"/>
      <c r="D190" s="951"/>
      <c r="E190" s="951"/>
      <c r="F190" s="951"/>
      <c r="G190" s="951"/>
      <c r="H190" s="951"/>
      <c r="I190" s="951"/>
      <c r="J190" s="951"/>
      <c r="K190" s="951"/>
      <c r="L190" s="951"/>
      <c r="M190" s="951"/>
      <c r="N190" s="951"/>
      <c r="O190" s="951">
        <f>O191+O198+O205</f>
        <v>548001.34565022425</v>
      </c>
      <c r="P190" s="952">
        <f>P191+P198+P205</f>
        <v>22612630.77847534</v>
      </c>
      <c r="Q190" s="950">
        <f>Q191+Q198+Q205</f>
        <v>690</v>
      </c>
      <c r="R190" s="951"/>
      <c r="S190" s="951"/>
      <c r="T190" s="951"/>
      <c r="U190" s="951"/>
      <c r="V190" s="951"/>
      <c r="W190" s="951"/>
      <c r="X190" s="951"/>
      <c r="Y190" s="951"/>
      <c r="Z190" s="951"/>
      <c r="AA190" s="951"/>
      <c r="AB190" s="951"/>
      <c r="AC190" s="951"/>
      <c r="AD190" s="951">
        <f t="shared" ref="AD190:AI190" si="109">AD191+AD198+AD205</f>
        <v>563403.38865021663</v>
      </c>
      <c r="AE190" s="952">
        <f t="shared" si="109"/>
        <v>23801364.399999999</v>
      </c>
      <c r="AF190" s="950">
        <f t="shared" si="109"/>
        <v>-15402.042999992369</v>
      </c>
      <c r="AG190" s="952">
        <f t="shared" si="109"/>
        <v>-1188733.6215246611</v>
      </c>
      <c r="AH190" s="953">
        <f t="shared" si="109"/>
        <v>685</v>
      </c>
      <c r="AI190" s="952">
        <f t="shared" si="109"/>
        <v>22889481.239999995</v>
      </c>
    </row>
    <row r="191" spans="1:35">
      <c r="A191" s="935" t="s">
        <v>4</v>
      </c>
      <c r="B191" s="950">
        <f>SUM(B192:B197)</f>
        <v>8</v>
      </c>
      <c r="C191" s="951"/>
      <c r="D191" s="951"/>
      <c r="E191" s="951"/>
      <c r="F191" s="951"/>
      <c r="G191" s="951"/>
      <c r="H191" s="951"/>
      <c r="I191" s="951"/>
      <c r="J191" s="951"/>
      <c r="K191" s="951"/>
      <c r="L191" s="951"/>
      <c r="M191" s="951"/>
      <c r="N191" s="951"/>
      <c r="O191" s="951">
        <f>SUM(O192:O197)</f>
        <v>188296.23121076234</v>
      </c>
      <c r="P191" s="952">
        <f>SUM(P192:P197)</f>
        <v>271528.08322869963</v>
      </c>
      <c r="Q191" s="950">
        <f>SUM(Q192:Q197)</f>
        <v>8</v>
      </c>
      <c r="R191" s="951"/>
      <c r="S191" s="951"/>
      <c r="T191" s="951"/>
      <c r="U191" s="951"/>
      <c r="V191" s="951"/>
      <c r="W191" s="951"/>
      <c r="X191" s="951"/>
      <c r="Y191" s="951"/>
      <c r="Z191" s="951"/>
      <c r="AA191" s="951"/>
      <c r="AB191" s="951"/>
      <c r="AC191" s="951"/>
      <c r="AD191" s="951">
        <f t="shared" ref="AD191:AI191" si="110">SUM(AD192:AD197)</f>
        <v>199888.80000000002</v>
      </c>
      <c r="AE191" s="952">
        <f t="shared" si="110"/>
        <v>286908.79999999999</v>
      </c>
      <c r="AF191" s="950">
        <f t="shared" si="110"/>
        <v>-11592.568789237652</v>
      </c>
      <c r="AG191" s="952">
        <f t="shared" si="110"/>
        <v>-15380.716771300387</v>
      </c>
      <c r="AH191" s="953">
        <f t="shared" si="110"/>
        <v>9</v>
      </c>
      <c r="AI191" s="952">
        <f t="shared" si="110"/>
        <v>331862.39999999997</v>
      </c>
    </row>
    <row r="192" spans="1:35">
      <c r="A192" s="933" t="s">
        <v>13</v>
      </c>
      <c r="B192" s="968">
        <v>0</v>
      </c>
      <c r="C192" s="989">
        <v>2350.1999999999998</v>
      </c>
      <c r="D192" s="955"/>
      <c r="E192" s="955"/>
      <c r="F192" s="955"/>
      <c r="G192" s="955"/>
      <c r="H192" s="955"/>
      <c r="I192" s="955"/>
      <c r="J192" s="955"/>
      <c r="K192" s="962">
        <f t="shared" ref="K192:K197" si="111">SUM(C192:J192)</f>
        <v>2350.1999999999998</v>
      </c>
      <c r="L192" s="962">
        <f t="shared" ref="L192:L197" si="112">300+300+400</f>
        <v>1000</v>
      </c>
      <c r="M192" s="962"/>
      <c r="N192" s="962">
        <f t="shared" ref="N192:N197" si="113">SUM(L192:M192)</f>
        <v>1000</v>
      </c>
      <c r="O192" s="963">
        <f t="shared" ref="O192:O197" si="114">(K192*12)+N192</f>
        <v>29202.399999999998</v>
      </c>
      <c r="P192" s="956">
        <f t="shared" ref="P192:P197" si="115">B192*O192</f>
        <v>0</v>
      </c>
      <c r="Q192" s="968">
        <v>0</v>
      </c>
      <c r="R192" s="989">
        <v>2513</v>
      </c>
      <c r="S192" s="955"/>
      <c r="T192" s="955"/>
      <c r="U192" s="955"/>
      <c r="V192" s="955"/>
      <c r="W192" s="955"/>
      <c r="X192" s="955"/>
      <c r="Y192" s="955"/>
      <c r="Z192" s="962">
        <f t="shared" ref="Z192:Z197" si="116">SUM(R192:Y192)</f>
        <v>2513</v>
      </c>
      <c r="AA192" s="962">
        <f t="shared" ref="AA192:AA197" si="117">300+300+400</f>
        <v>1000</v>
      </c>
      <c r="AB192" s="962">
        <v>0</v>
      </c>
      <c r="AC192" s="962">
        <f t="shared" ref="AC192:AC197" si="118">SUM(AA192:AB192)</f>
        <v>1000</v>
      </c>
      <c r="AD192" s="963">
        <f t="shared" ref="AD192:AD197" si="119">(Z192*12)+AC192</f>
        <v>31156</v>
      </c>
      <c r="AE192" s="956">
        <f t="shared" ref="AE192:AE197" si="120">Q192*AD192</f>
        <v>0</v>
      </c>
      <c r="AF192" s="957">
        <f t="shared" ref="AF192:AG197" si="121">+O192-AD192</f>
        <v>-1953.6000000000022</v>
      </c>
      <c r="AG192" s="956">
        <f t="shared" si="121"/>
        <v>0</v>
      </c>
      <c r="AH192" s="960">
        <v>2</v>
      </c>
      <c r="AI192" s="956">
        <v>75219.199999999997</v>
      </c>
    </row>
    <row r="193" spans="1:35">
      <c r="A193" s="933" t="s">
        <v>6978</v>
      </c>
      <c r="B193" s="968">
        <v>0</v>
      </c>
      <c r="C193" s="989">
        <v>2339.1999999999998</v>
      </c>
      <c r="D193" s="955"/>
      <c r="E193" s="955"/>
      <c r="F193" s="955"/>
      <c r="G193" s="955"/>
      <c r="H193" s="955"/>
      <c r="I193" s="955"/>
      <c r="J193" s="955"/>
      <c r="K193" s="962">
        <f t="shared" si="111"/>
        <v>2339.1999999999998</v>
      </c>
      <c r="L193" s="962">
        <f t="shared" si="112"/>
        <v>1000</v>
      </c>
      <c r="M193" s="962"/>
      <c r="N193" s="962">
        <f t="shared" si="113"/>
        <v>1000</v>
      </c>
      <c r="O193" s="963">
        <f t="shared" si="114"/>
        <v>29070.399999999998</v>
      </c>
      <c r="P193" s="956">
        <f t="shared" si="115"/>
        <v>0</v>
      </c>
      <c r="Q193" s="968">
        <v>0</v>
      </c>
      <c r="R193" s="989">
        <v>2502</v>
      </c>
      <c r="S193" s="955"/>
      <c r="T193" s="955"/>
      <c r="U193" s="955"/>
      <c r="V193" s="955"/>
      <c r="W193" s="955"/>
      <c r="X193" s="955"/>
      <c r="Y193" s="955"/>
      <c r="Z193" s="962">
        <f t="shared" si="116"/>
        <v>2502</v>
      </c>
      <c r="AA193" s="962">
        <f t="shared" si="117"/>
        <v>1000</v>
      </c>
      <c r="AB193" s="962">
        <v>0</v>
      </c>
      <c r="AC193" s="962">
        <f t="shared" si="118"/>
        <v>1000</v>
      </c>
      <c r="AD193" s="963">
        <f t="shared" si="119"/>
        <v>31024</v>
      </c>
      <c r="AE193" s="956">
        <f t="shared" si="120"/>
        <v>0</v>
      </c>
      <c r="AF193" s="957">
        <f t="shared" si="121"/>
        <v>-1953.6000000000022</v>
      </c>
      <c r="AG193" s="956">
        <f t="shared" si="121"/>
        <v>0</v>
      </c>
      <c r="AH193" s="960">
        <v>4</v>
      </c>
      <c r="AI193" s="956">
        <v>149910.39999999999</v>
      </c>
    </row>
    <row r="194" spans="1:35">
      <c r="A194" s="933" t="s">
        <v>6977</v>
      </c>
      <c r="B194" s="968">
        <v>0</v>
      </c>
      <c r="C194" s="989">
        <v>2281.6</v>
      </c>
      <c r="D194" s="955"/>
      <c r="E194" s="955"/>
      <c r="F194" s="955"/>
      <c r="G194" s="955"/>
      <c r="H194" s="955"/>
      <c r="I194" s="955"/>
      <c r="J194" s="955"/>
      <c r="K194" s="962">
        <f t="shared" si="111"/>
        <v>2281.6</v>
      </c>
      <c r="L194" s="962">
        <f t="shared" si="112"/>
        <v>1000</v>
      </c>
      <c r="M194" s="962"/>
      <c r="N194" s="962">
        <f t="shared" si="113"/>
        <v>1000</v>
      </c>
      <c r="O194" s="963">
        <f t="shared" si="114"/>
        <v>28379.199999999997</v>
      </c>
      <c r="P194" s="956">
        <f t="shared" si="115"/>
        <v>0</v>
      </c>
      <c r="Q194" s="968">
        <v>0</v>
      </c>
      <c r="R194" s="989">
        <v>2442</v>
      </c>
      <c r="S194" s="955"/>
      <c r="T194" s="955"/>
      <c r="U194" s="955"/>
      <c r="V194" s="955"/>
      <c r="W194" s="955"/>
      <c r="X194" s="955"/>
      <c r="Y194" s="955"/>
      <c r="Z194" s="962">
        <f t="shared" si="116"/>
        <v>2442</v>
      </c>
      <c r="AA194" s="962">
        <f t="shared" si="117"/>
        <v>1000</v>
      </c>
      <c r="AB194" s="962">
        <v>0</v>
      </c>
      <c r="AC194" s="962">
        <f t="shared" si="118"/>
        <v>1000</v>
      </c>
      <c r="AD194" s="963">
        <f t="shared" si="119"/>
        <v>30304</v>
      </c>
      <c r="AE194" s="956">
        <f t="shared" si="120"/>
        <v>0</v>
      </c>
      <c r="AF194" s="957">
        <f t="shared" si="121"/>
        <v>-1924.8000000000029</v>
      </c>
      <c r="AG194" s="956">
        <f t="shared" si="121"/>
        <v>0</v>
      </c>
      <c r="AH194" s="960">
        <v>0</v>
      </c>
      <c r="AI194" s="956">
        <v>0</v>
      </c>
    </row>
    <row r="195" spans="1:35">
      <c r="A195" s="933" t="s">
        <v>6976</v>
      </c>
      <c r="B195" s="968">
        <v>4</v>
      </c>
      <c r="C195" s="989">
        <v>2225</v>
      </c>
      <c r="D195" s="955"/>
      <c r="E195" s="955"/>
      <c r="F195" s="955"/>
      <c r="G195" s="955"/>
      <c r="H195" s="955"/>
      <c r="I195" s="955"/>
      <c r="J195" s="955"/>
      <c r="K195" s="962">
        <f t="shared" si="111"/>
        <v>2225</v>
      </c>
      <c r="L195" s="962">
        <f t="shared" si="112"/>
        <v>1000</v>
      </c>
      <c r="M195" s="962">
        <f>(534.984200298954*12)</f>
        <v>6419.8104035874476</v>
      </c>
      <c r="N195" s="962">
        <f t="shared" si="113"/>
        <v>7419.8104035874476</v>
      </c>
      <c r="O195" s="963">
        <f t="shared" si="114"/>
        <v>34119.810403587449</v>
      </c>
      <c r="P195" s="956">
        <f t="shared" si="115"/>
        <v>136479.2416143498</v>
      </c>
      <c r="Q195" s="968">
        <v>4</v>
      </c>
      <c r="R195" s="989">
        <v>2383</v>
      </c>
      <c r="S195" s="955"/>
      <c r="T195" s="955"/>
      <c r="U195" s="955"/>
      <c r="V195" s="955"/>
      <c r="W195" s="955"/>
      <c r="X195" s="955"/>
      <c r="Y195" s="955"/>
      <c r="Z195" s="962">
        <f t="shared" si="116"/>
        <v>2383</v>
      </c>
      <c r="AA195" s="962">
        <f t="shared" si="117"/>
        <v>1000</v>
      </c>
      <c r="AB195" s="962">
        <f>25814.4/Q195</f>
        <v>6453.6</v>
      </c>
      <c r="AC195" s="962">
        <f t="shared" si="118"/>
        <v>7453.6</v>
      </c>
      <c r="AD195" s="963">
        <f t="shared" si="119"/>
        <v>36049.599999999999</v>
      </c>
      <c r="AE195" s="956">
        <f t="shared" si="120"/>
        <v>144198.39999999999</v>
      </c>
      <c r="AF195" s="957">
        <f t="shared" si="121"/>
        <v>-1929.7895964125491</v>
      </c>
      <c r="AG195" s="956">
        <f t="shared" si="121"/>
        <v>-7719.1583856501966</v>
      </c>
      <c r="AH195" s="960">
        <v>1</v>
      </c>
      <c r="AI195" s="956">
        <v>36049.599999999999</v>
      </c>
    </row>
    <row r="196" spans="1:35">
      <c r="A196" s="933" t="s">
        <v>14</v>
      </c>
      <c r="B196" s="968">
        <v>2</v>
      </c>
      <c r="C196" s="989">
        <v>2222</v>
      </c>
      <c r="D196" s="955"/>
      <c r="E196" s="955"/>
      <c r="F196" s="955"/>
      <c r="G196" s="955"/>
      <c r="H196" s="955"/>
      <c r="I196" s="955"/>
      <c r="J196" s="955"/>
      <c r="K196" s="962">
        <f t="shared" si="111"/>
        <v>2222</v>
      </c>
      <c r="L196" s="962">
        <f t="shared" si="112"/>
        <v>1000</v>
      </c>
      <c r="M196" s="962">
        <f>(534.984200298954*12)</f>
        <v>6419.8104035874476</v>
      </c>
      <c r="N196" s="962">
        <f t="shared" si="113"/>
        <v>7419.8104035874476</v>
      </c>
      <c r="O196" s="963">
        <f t="shared" si="114"/>
        <v>34083.810403587449</v>
      </c>
      <c r="P196" s="956">
        <f t="shared" si="115"/>
        <v>68167.620807174899</v>
      </c>
      <c r="Q196" s="968">
        <v>2</v>
      </c>
      <c r="R196" s="989">
        <v>2380</v>
      </c>
      <c r="S196" s="955"/>
      <c r="T196" s="955"/>
      <c r="U196" s="955"/>
      <c r="V196" s="955"/>
      <c r="W196" s="955"/>
      <c r="X196" s="955"/>
      <c r="Y196" s="955"/>
      <c r="Z196" s="962">
        <f t="shared" si="116"/>
        <v>2380</v>
      </c>
      <c r="AA196" s="962">
        <f t="shared" si="117"/>
        <v>1000</v>
      </c>
      <c r="AB196" s="962">
        <f>12907.2/Q196</f>
        <v>6453.6</v>
      </c>
      <c r="AC196" s="962">
        <f t="shared" si="118"/>
        <v>7453.6</v>
      </c>
      <c r="AD196" s="963">
        <f t="shared" si="119"/>
        <v>36013.599999999999</v>
      </c>
      <c r="AE196" s="956">
        <f t="shared" si="120"/>
        <v>72027.199999999997</v>
      </c>
      <c r="AF196" s="957">
        <f t="shared" si="121"/>
        <v>-1929.7895964125491</v>
      </c>
      <c r="AG196" s="956">
        <f t="shared" si="121"/>
        <v>-3859.5791928250983</v>
      </c>
      <c r="AH196" s="960">
        <v>0</v>
      </c>
      <c r="AI196" s="956">
        <v>0</v>
      </c>
    </row>
    <row r="197" spans="1:35">
      <c r="A197" s="933" t="s">
        <v>6975</v>
      </c>
      <c r="B197" s="968">
        <v>2</v>
      </c>
      <c r="C197" s="989">
        <v>2168.4</v>
      </c>
      <c r="D197" s="955"/>
      <c r="E197" s="955"/>
      <c r="F197" s="955"/>
      <c r="G197" s="955"/>
      <c r="H197" s="955"/>
      <c r="I197" s="955"/>
      <c r="J197" s="955"/>
      <c r="K197" s="962">
        <f t="shared" si="111"/>
        <v>2168.4</v>
      </c>
      <c r="L197" s="962">
        <f t="shared" si="112"/>
        <v>1000</v>
      </c>
      <c r="M197" s="962">
        <f>(534.984200298954*12)</f>
        <v>6419.8104035874476</v>
      </c>
      <c r="N197" s="962">
        <f t="shared" si="113"/>
        <v>7419.8104035874476</v>
      </c>
      <c r="O197" s="963">
        <f t="shared" si="114"/>
        <v>33440.610403587452</v>
      </c>
      <c r="P197" s="956">
        <f t="shared" si="115"/>
        <v>66881.220807174905</v>
      </c>
      <c r="Q197" s="968">
        <v>2</v>
      </c>
      <c r="R197" s="989">
        <v>2324</v>
      </c>
      <c r="S197" s="955"/>
      <c r="T197" s="955"/>
      <c r="U197" s="955"/>
      <c r="V197" s="955"/>
      <c r="W197" s="955"/>
      <c r="X197" s="955"/>
      <c r="Y197" s="955"/>
      <c r="Z197" s="962">
        <f t="shared" si="116"/>
        <v>2324</v>
      </c>
      <c r="AA197" s="962">
        <f t="shared" si="117"/>
        <v>1000</v>
      </c>
      <c r="AB197" s="962">
        <f>12907.2/Q197</f>
        <v>6453.6</v>
      </c>
      <c r="AC197" s="962">
        <f t="shared" si="118"/>
        <v>7453.6</v>
      </c>
      <c r="AD197" s="963">
        <f t="shared" si="119"/>
        <v>35341.599999999999</v>
      </c>
      <c r="AE197" s="956">
        <f t="shared" si="120"/>
        <v>70683.199999999997</v>
      </c>
      <c r="AF197" s="957">
        <f t="shared" si="121"/>
        <v>-1900.9895964125462</v>
      </c>
      <c r="AG197" s="956">
        <f t="shared" si="121"/>
        <v>-3801.9791928250925</v>
      </c>
      <c r="AH197" s="960">
        <v>2</v>
      </c>
      <c r="AI197" s="956">
        <v>70683.199999999997</v>
      </c>
    </row>
    <row r="198" spans="1:35">
      <c r="A198" s="935" t="s">
        <v>5</v>
      </c>
      <c r="B198" s="950">
        <f>SUM(B199:B204)</f>
        <v>517</v>
      </c>
      <c r="C198" s="951"/>
      <c r="D198" s="951"/>
      <c r="E198" s="951"/>
      <c r="F198" s="951"/>
      <c r="G198" s="951"/>
      <c r="H198" s="951"/>
      <c r="I198" s="951"/>
      <c r="J198" s="951"/>
      <c r="K198" s="951"/>
      <c r="L198" s="951"/>
      <c r="M198" s="951"/>
      <c r="N198" s="951"/>
      <c r="O198" s="951">
        <f>SUM(O199:O204)</f>
        <v>196755.6624215247</v>
      </c>
      <c r="P198" s="952">
        <f>SUM(P199:P204)</f>
        <v>16993120.378654711</v>
      </c>
      <c r="Q198" s="950">
        <f>SUM(Q199:Q204)</f>
        <v>517</v>
      </c>
      <c r="R198" s="951"/>
      <c r="S198" s="951"/>
      <c r="T198" s="951"/>
      <c r="U198" s="951"/>
      <c r="V198" s="951"/>
      <c r="W198" s="951"/>
      <c r="X198" s="951"/>
      <c r="Y198" s="951"/>
      <c r="Z198" s="951"/>
      <c r="AA198" s="951"/>
      <c r="AB198" s="951"/>
      <c r="AC198" s="951"/>
      <c r="AD198" s="951">
        <f t="shared" ref="AD198:AI198" si="122">SUM(AD199:AD204)</f>
        <v>206385.8983061545</v>
      </c>
      <c r="AE198" s="952">
        <f t="shared" si="122"/>
        <v>17877462.399999999</v>
      </c>
      <c r="AF198" s="950">
        <f t="shared" si="122"/>
        <v>-9630.2358846298048</v>
      </c>
      <c r="AG198" s="952">
        <f t="shared" si="122"/>
        <v>-884342.02134528896</v>
      </c>
      <c r="AH198" s="953">
        <f t="shared" si="122"/>
        <v>510</v>
      </c>
      <c r="AI198" s="952">
        <f t="shared" si="122"/>
        <v>17496069.599999998</v>
      </c>
    </row>
    <row r="199" spans="1:35">
      <c r="A199" s="933" t="s">
        <v>6974</v>
      </c>
      <c r="B199" s="977">
        <v>102</v>
      </c>
      <c r="C199" s="989">
        <v>1996.6</v>
      </c>
      <c r="D199" s="955"/>
      <c r="E199" s="955"/>
      <c r="F199" s="955"/>
      <c r="G199" s="955"/>
      <c r="H199" s="955"/>
      <c r="I199" s="955"/>
      <c r="J199" s="955"/>
      <c r="K199" s="962">
        <f t="shared" ref="K199:K204" si="123">SUM(C199:J199)</f>
        <v>1996.6</v>
      </c>
      <c r="L199" s="962">
        <f t="shared" ref="L199:L204" si="124">300+300+400</f>
        <v>1000</v>
      </c>
      <c r="M199" s="962">
        <f t="shared" ref="M199:M204" si="125">(534.984200298954*12)+(158*12)</f>
        <v>8315.8104035874476</v>
      </c>
      <c r="N199" s="962">
        <f t="shared" ref="N199:N204" si="126">SUM(L199:M199)</f>
        <v>9315.8104035874476</v>
      </c>
      <c r="O199" s="963">
        <f t="shared" ref="O199:O204" si="127">(K199*12)+N199</f>
        <v>33275.010403587446</v>
      </c>
      <c r="P199" s="956">
        <f t="shared" ref="P199:P204" si="128">B199*O199</f>
        <v>3394051.0611659195</v>
      </c>
      <c r="Q199" s="977">
        <v>102</v>
      </c>
      <c r="R199" s="989">
        <v>2145</v>
      </c>
      <c r="S199" s="955"/>
      <c r="T199" s="955"/>
      <c r="U199" s="955"/>
      <c r="V199" s="955"/>
      <c r="W199" s="955"/>
      <c r="X199" s="955"/>
      <c r="Y199" s="955"/>
      <c r="Z199" s="962">
        <f t="shared" ref="Z199:Z204" si="129">SUM(R199:Y199)</f>
        <v>2145</v>
      </c>
      <c r="AA199" s="962">
        <f t="shared" ref="AA199:AA204" si="130">300+300+400</f>
        <v>1000</v>
      </c>
      <c r="AB199" s="962">
        <f>855259.2/Q199</f>
        <v>8384.894117647058</v>
      </c>
      <c r="AC199" s="962">
        <f t="shared" ref="AC199:AC204" si="131">SUM(AA199:AB199)</f>
        <v>9384.894117647058</v>
      </c>
      <c r="AD199" s="963">
        <f t="shared" ref="AD199:AD204" si="132">(Z199*12)+AC199</f>
        <v>35124.894117647054</v>
      </c>
      <c r="AE199" s="956">
        <f t="shared" ref="AE199:AE204" si="133">Q199*AD199</f>
        <v>3582739.1999999997</v>
      </c>
      <c r="AF199" s="957">
        <f t="shared" ref="AF199:AG204" si="134">+O199-AD199</f>
        <v>-1849.8837140596079</v>
      </c>
      <c r="AG199" s="956">
        <f t="shared" si="134"/>
        <v>-188688.13883408019</v>
      </c>
      <c r="AH199" s="960">
        <v>106</v>
      </c>
      <c r="AI199" s="956">
        <v>3780697.6</v>
      </c>
    </row>
    <row r="200" spans="1:35">
      <c r="A200" s="933" t="s">
        <v>6973</v>
      </c>
      <c r="B200" s="977">
        <v>81</v>
      </c>
      <c r="C200" s="989">
        <v>1979.2</v>
      </c>
      <c r="D200" s="955"/>
      <c r="E200" s="955"/>
      <c r="F200" s="955"/>
      <c r="G200" s="955"/>
      <c r="H200" s="955"/>
      <c r="I200" s="955"/>
      <c r="J200" s="955"/>
      <c r="K200" s="962">
        <f t="shared" si="123"/>
        <v>1979.2</v>
      </c>
      <c r="L200" s="962">
        <f t="shared" si="124"/>
        <v>1000</v>
      </c>
      <c r="M200" s="962">
        <f t="shared" si="125"/>
        <v>8315.8104035874476</v>
      </c>
      <c r="N200" s="962">
        <f t="shared" si="126"/>
        <v>9315.8104035874476</v>
      </c>
      <c r="O200" s="963">
        <f t="shared" si="127"/>
        <v>33066.210403587451</v>
      </c>
      <c r="P200" s="956">
        <f t="shared" si="128"/>
        <v>2678363.0426905835</v>
      </c>
      <c r="Q200" s="977">
        <v>81</v>
      </c>
      <c r="R200" s="989">
        <v>2127</v>
      </c>
      <c r="S200" s="955"/>
      <c r="T200" s="955"/>
      <c r="U200" s="955"/>
      <c r="V200" s="955"/>
      <c r="W200" s="955"/>
      <c r="X200" s="955"/>
      <c r="Y200" s="955"/>
      <c r="Z200" s="962">
        <f t="shared" si="129"/>
        <v>2127</v>
      </c>
      <c r="AA200" s="962">
        <f t="shared" si="130"/>
        <v>1000</v>
      </c>
      <c r="AB200" s="962">
        <f>692613.6/Q200</f>
        <v>8550.7851851851847</v>
      </c>
      <c r="AC200" s="962">
        <f t="shared" si="131"/>
        <v>9550.7851851851847</v>
      </c>
      <c r="AD200" s="963">
        <f t="shared" si="132"/>
        <v>35074.785185185188</v>
      </c>
      <c r="AE200" s="956">
        <f t="shared" si="133"/>
        <v>2841057.6</v>
      </c>
      <c r="AF200" s="957">
        <f t="shared" si="134"/>
        <v>-2008.5747815977375</v>
      </c>
      <c r="AG200" s="956">
        <f t="shared" si="134"/>
        <v>-162694.55730941659</v>
      </c>
      <c r="AH200" s="960">
        <v>82</v>
      </c>
      <c r="AI200" s="956">
        <v>2859635.2</v>
      </c>
    </row>
    <row r="201" spans="1:35">
      <c r="A201" s="933" t="s">
        <v>6972</v>
      </c>
      <c r="B201" s="977">
        <v>172</v>
      </c>
      <c r="C201" s="989">
        <v>1962.4</v>
      </c>
      <c r="D201" s="955"/>
      <c r="E201" s="955"/>
      <c r="F201" s="955"/>
      <c r="G201" s="955"/>
      <c r="H201" s="955"/>
      <c r="I201" s="955"/>
      <c r="J201" s="955"/>
      <c r="K201" s="962">
        <f t="shared" si="123"/>
        <v>1962.4</v>
      </c>
      <c r="L201" s="962">
        <f t="shared" si="124"/>
        <v>1000</v>
      </c>
      <c r="M201" s="962">
        <f t="shared" si="125"/>
        <v>8315.8104035874476</v>
      </c>
      <c r="N201" s="962">
        <f t="shared" si="126"/>
        <v>9315.8104035874476</v>
      </c>
      <c r="O201" s="963">
        <f t="shared" si="127"/>
        <v>32864.610403587452</v>
      </c>
      <c r="P201" s="956">
        <f t="shared" si="128"/>
        <v>5652712.9894170417</v>
      </c>
      <c r="Q201" s="977">
        <v>172</v>
      </c>
      <c r="R201" s="989">
        <v>2109</v>
      </c>
      <c r="S201" s="955"/>
      <c r="T201" s="955"/>
      <c r="U201" s="955"/>
      <c r="V201" s="955"/>
      <c r="W201" s="955"/>
      <c r="X201" s="955"/>
      <c r="Y201" s="955"/>
      <c r="Z201" s="962">
        <f t="shared" si="129"/>
        <v>2109</v>
      </c>
      <c r="AA201" s="962">
        <f t="shared" si="130"/>
        <v>1000</v>
      </c>
      <c r="AB201" s="962">
        <f>1464931.2/Q201</f>
        <v>8517.0418604651168</v>
      </c>
      <c r="AC201" s="962">
        <f t="shared" si="131"/>
        <v>9517.0418604651168</v>
      </c>
      <c r="AD201" s="963">
        <f t="shared" si="132"/>
        <v>34825.04186046512</v>
      </c>
      <c r="AE201" s="956">
        <f t="shared" si="133"/>
        <v>5989907.2000000011</v>
      </c>
      <c r="AF201" s="957">
        <f t="shared" si="134"/>
        <v>-1960.4314568776681</v>
      </c>
      <c r="AG201" s="956">
        <f t="shared" si="134"/>
        <v>-337194.21058295947</v>
      </c>
      <c r="AH201" s="960">
        <v>172</v>
      </c>
      <c r="AI201" s="956">
        <v>5961107.2000000002</v>
      </c>
    </row>
    <row r="202" spans="1:35">
      <c r="A202" s="933" t="s">
        <v>6971</v>
      </c>
      <c r="B202" s="977">
        <v>60</v>
      </c>
      <c r="C202" s="989">
        <v>1945</v>
      </c>
      <c r="D202" s="955"/>
      <c r="E202" s="955"/>
      <c r="F202" s="955"/>
      <c r="G202" s="955"/>
      <c r="H202" s="955"/>
      <c r="I202" s="955"/>
      <c r="J202" s="955"/>
      <c r="K202" s="962">
        <f t="shared" si="123"/>
        <v>1945</v>
      </c>
      <c r="L202" s="962">
        <f t="shared" si="124"/>
        <v>1000</v>
      </c>
      <c r="M202" s="962">
        <f t="shared" si="125"/>
        <v>8315.8104035874476</v>
      </c>
      <c r="N202" s="962">
        <f t="shared" si="126"/>
        <v>9315.8104035874476</v>
      </c>
      <c r="O202" s="963">
        <f t="shared" si="127"/>
        <v>32655.810403587449</v>
      </c>
      <c r="P202" s="956">
        <f t="shared" si="128"/>
        <v>1959348.6242152469</v>
      </c>
      <c r="Q202" s="977">
        <v>60</v>
      </c>
      <c r="R202" s="989">
        <v>2091</v>
      </c>
      <c r="S202" s="955"/>
      <c r="T202" s="955"/>
      <c r="U202" s="955"/>
      <c r="V202" s="955"/>
      <c r="W202" s="955"/>
      <c r="X202" s="955"/>
      <c r="Y202" s="955"/>
      <c r="Z202" s="962">
        <f t="shared" si="129"/>
        <v>2091</v>
      </c>
      <c r="AA202" s="962">
        <f t="shared" si="130"/>
        <v>1000</v>
      </c>
      <c r="AB202" s="962">
        <f>522672/Q202</f>
        <v>8711.2000000000007</v>
      </c>
      <c r="AC202" s="962">
        <f t="shared" si="131"/>
        <v>9711.2000000000007</v>
      </c>
      <c r="AD202" s="963">
        <f t="shared" si="132"/>
        <v>34803.199999999997</v>
      </c>
      <c r="AE202" s="956">
        <f t="shared" si="133"/>
        <v>2088191.9999999998</v>
      </c>
      <c r="AF202" s="957">
        <f t="shared" si="134"/>
        <v>-2147.3895964125477</v>
      </c>
      <c r="AG202" s="956">
        <f t="shared" si="134"/>
        <v>-128843.37578475289</v>
      </c>
      <c r="AH202" s="960">
        <v>60</v>
      </c>
      <c r="AI202" s="956">
        <v>2066496</v>
      </c>
    </row>
    <row r="203" spans="1:35">
      <c r="A203" s="933" t="s">
        <v>16</v>
      </c>
      <c r="B203" s="977">
        <v>42</v>
      </c>
      <c r="C203" s="989">
        <v>1932</v>
      </c>
      <c r="D203" s="955"/>
      <c r="E203" s="955"/>
      <c r="F203" s="955"/>
      <c r="G203" s="955"/>
      <c r="H203" s="955"/>
      <c r="I203" s="955"/>
      <c r="J203" s="955"/>
      <c r="K203" s="962">
        <f t="shared" si="123"/>
        <v>1932</v>
      </c>
      <c r="L203" s="962">
        <f t="shared" si="124"/>
        <v>1000</v>
      </c>
      <c r="M203" s="962">
        <f t="shared" si="125"/>
        <v>8315.8104035874476</v>
      </c>
      <c r="N203" s="962">
        <f t="shared" si="126"/>
        <v>9315.8104035874476</v>
      </c>
      <c r="O203" s="963">
        <f t="shared" si="127"/>
        <v>32499.810403587449</v>
      </c>
      <c r="P203" s="956">
        <f t="shared" si="128"/>
        <v>1364992.036950673</v>
      </c>
      <c r="Q203" s="977">
        <v>42</v>
      </c>
      <c r="R203" s="989">
        <v>2078</v>
      </c>
      <c r="S203" s="955"/>
      <c r="T203" s="955"/>
      <c r="U203" s="955"/>
      <c r="V203" s="955"/>
      <c r="W203" s="955"/>
      <c r="X203" s="955"/>
      <c r="Y203" s="955"/>
      <c r="Z203" s="962">
        <f t="shared" si="129"/>
        <v>2078</v>
      </c>
      <c r="AA203" s="962">
        <f t="shared" si="130"/>
        <v>1000</v>
      </c>
      <c r="AB203" s="962">
        <f>352483.2/Q203</f>
        <v>8392.4571428571435</v>
      </c>
      <c r="AC203" s="962">
        <f t="shared" si="131"/>
        <v>9392.4571428571435</v>
      </c>
      <c r="AD203" s="963">
        <f t="shared" si="132"/>
        <v>34328.457142857143</v>
      </c>
      <c r="AE203" s="956">
        <f t="shared" si="133"/>
        <v>1441795.2</v>
      </c>
      <c r="AF203" s="957">
        <f t="shared" si="134"/>
        <v>-1828.6467392696941</v>
      </c>
      <c r="AG203" s="956">
        <f t="shared" si="134"/>
        <v>-76803.163049326977</v>
      </c>
      <c r="AH203" s="960">
        <v>41</v>
      </c>
      <c r="AI203" s="956">
        <v>1154019.2</v>
      </c>
    </row>
    <row r="204" spans="1:35">
      <c r="A204" s="933" t="s">
        <v>6970</v>
      </c>
      <c r="B204" s="977">
        <v>60</v>
      </c>
      <c r="C204" s="989">
        <v>1923.2</v>
      </c>
      <c r="D204" s="955"/>
      <c r="E204" s="955"/>
      <c r="F204" s="955"/>
      <c r="G204" s="955"/>
      <c r="H204" s="955"/>
      <c r="I204" s="955"/>
      <c r="J204" s="955"/>
      <c r="K204" s="962">
        <f t="shared" si="123"/>
        <v>1923.2</v>
      </c>
      <c r="L204" s="962">
        <f t="shared" si="124"/>
        <v>1000</v>
      </c>
      <c r="M204" s="962">
        <f t="shared" si="125"/>
        <v>8315.8104035874476</v>
      </c>
      <c r="N204" s="962">
        <f t="shared" si="126"/>
        <v>9315.8104035874476</v>
      </c>
      <c r="O204" s="963">
        <f t="shared" si="127"/>
        <v>32394.210403587451</v>
      </c>
      <c r="P204" s="956">
        <f t="shared" si="128"/>
        <v>1943652.6242152471</v>
      </c>
      <c r="Q204" s="977">
        <v>60</v>
      </c>
      <c r="R204" s="989">
        <v>2068</v>
      </c>
      <c r="S204" s="955"/>
      <c r="T204" s="955"/>
      <c r="U204" s="955"/>
      <c r="V204" s="955"/>
      <c r="W204" s="955"/>
      <c r="X204" s="955"/>
      <c r="Y204" s="955"/>
      <c r="Z204" s="962">
        <f t="shared" si="129"/>
        <v>2068</v>
      </c>
      <c r="AA204" s="962">
        <f t="shared" si="130"/>
        <v>1000</v>
      </c>
      <c r="AB204" s="962">
        <f>384811.2/Q204</f>
        <v>6413.52</v>
      </c>
      <c r="AC204" s="962">
        <f t="shared" si="131"/>
        <v>7413.52</v>
      </c>
      <c r="AD204" s="963">
        <f t="shared" si="132"/>
        <v>32229.52</v>
      </c>
      <c r="AE204" s="956">
        <f t="shared" si="133"/>
        <v>1933771.2</v>
      </c>
      <c r="AF204" s="957">
        <f t="shared" si="134"/>
        <v>164.69040358745042</v>
      </c>
      <c r="AG204" s="956">
        <f t="shared" si="134"/>
        <v>9881.4242152471561</v>
      </c>
      <c r="AH204" s="960">
        <v>49</v>
      </c>
      <c r="AI204" s="956">
        <v>1674114.4</v>
      </c>
    </row>
    <row r="205" spans="1:35">
      <c r="A205" s="935" t="s">
        <v>6</v>
      </c>
      <c r="B205" s="950">
        <f>SUM(B206:B211)</f>
        <v>165</v>
      </c>
      <c r="C205" s="951"/>
      <c r="D205" s="951"/>
      <c r="E205" s="951"/>
      <c r="F205" s="951"/>
      <c r="G205" s="951"/>
      <c r="H205" s="951"/>
      <c r="I205" s="951"/>
      <c r="J205" s="951"/>
      <c r="K205" s="951"/>
      <c r="L205" s="951"/>
      <c r="M205" s="951"/>
      <c r="N205" s="951"/>
      <c r="O205" s="951">
        <f>SUM(O206:O211)</f>
        <v>162949.45201793726</v>
      </c>
      <c r="P205" s="952">
        <f>SUM(P206:P211)</f>
        <v>5347982.3165919287</v>
      </c>
      <c r="Q205" s="950">
        <f>SUM(Q206:Q211)</f>
        <v>165</v>
      </c>
      <c r="R205" s="951"/>
      <c r="S205" s="951"/>
      <c r="T205" s="951"/>
      <c r="U205" s="951"/>
      <c r="V205" s="951"/>
      <c r="W205" s="951"/>
      <c r="X205" s="951"/>
      <c r="Y205" s="951"/>
      <c r="Z205" s="951"/>
      <c r="AA205" s="951"/>
      <c r="AB205" s="951"/>
      <c r="AC205" s="951"/>
      <c r="AD205" s="951">
        <f t="shared" ref="AD205:AI205" si="135">SUM(AD206:AD211)</f>
        <v>157128.69034406214</v>
      </c>
      <c r="AE205" s="952">
        <f t="shared" si="135"/>
        <v>5636993.2000000002</v>
      </c>
      <c r="AF205" s="950">
        <f t="shared" si="135"/>
        <v>5820.7616738750876</v>
      </c>
      <c r="AG205" s="952">
        <f t="shared" si="135"/>
        <v>-289010.88340807176</v>
      </c>
      <c r="AH205" s="953">
        <f t="shared" si="135"/>
        <v>166</v>
      </c>
      <c r="AI205" s="952">
        <f t="shared" si="135"/>
        <v>5061549.24</v>
      </c>
    </row>
    <row r="206" spans="1:35">
      <c r="A206" s="933" t="s">
        <v>17</v>
      </c>
      <c r="B206" s="977">
        <v>26</v>
      </c>
      <c r="C206" s="991">
        <v>1940</v>
      </c>
      <c r="D206" s="955"/>
      <c r="E206" s="955"/>
      <c r="F206" s="955"/>
      <c r="G206" s="955"/>
      <c r="H206" s="955"/>
      <c r="I206" s="955"/>
      <c r="J206" s="955"/>
      <c r="K206" s="962">
        <f t="shared" ref="K206:K211" si="136">SUM(C206:J206)</f>
        <v>1940</v>
      </c>
      <c r="L206" s="962">
        <f t="shared" ref="L206:L211" si="137">300+300+400</f>
        <v>1000</v>
      </c>
      <c r="M206" s="962">
        <f>(534.984200298954*12)+(158*12)</f>
        <v>8315.8104035874476</v>
      </c>
      <c r="N206" s="962">
        <f t="shared" ref="N206:N211" si="138">SUM(L206:M206)</f>
        <v>9315.8104035874476</v>
      </c>
      <c r="O206" s="963">
        <f t="shared" ref="O206:O211" si="139">(K206*12)+N206</f>
        <v>32595.810403587449</v>
      </c>
      <c r="P206" s="956">
        <f t="shared" ref="P206:P211" si="140">B206*O206</f>
        <v>847491.07049327367</v>
      </c>
      <c r="Q206" s="977">
        <v>25</v>
      </c>
      <c r="R206" s="991">
        <v>2086</v>
      </c>
      <c r="S206" s="955"/>
      <c r="T206" s="955"/>
      <c r="U206" s="955"/>
      <c r="V206" s="955"/>
      <c r="W206" s="955"/>
      <c r="X206" s="955"/>
      <c r="Y206" s="955"/>
      <c r="Z206" s="962">
        <f t="shared" ref="Z206:Z211" si="141">SUM(R206:Y206)</f>
        <v>2086</v>
      </c>
      <c r="AA206" s="962">
        <f>300+300+400</f>
        <v>1000</v>
      </c>
      <c r="AB206" s="962">
        <f>208740/Q206</f>
        <v>8349.6</v>
      </c>
      <c r="AC206" s="962">
        <f t="shared" ref="AC206:AC211" si="142">SUM(AA206:AB206)</f>
        <v>9349.6</v>
      </c>
      <c r="AD206" s="963">
        <f t="shared" ref="AD206:AD211" si="143">(Z206*12)+AC206</f>
        <v>34381.599999999999</v>
      </c>
      <c r="AE206" s="956">
        <f t="shared" ref="AE206:AE211" si="144">Q206*AD206</f>
        <v>859540</v>
      </c>
      <c r="AF206" s="957">
        <f t="shared" ref="AF206:AG211" si="145">+O206-AD206</f>
        <v>-1785.7895964125491</v>
      </c>
      <c r="AG206" s="956">
        <f t="shared" si="145"/>
        <v>-12048.92950672633</v>
      </c>
      <c r="AH206" s="960">
        <v>25</v>
      </c>
      <c r="AI206" s="956">
        <v>859540</v>
      </c>
    </row>
    <row r="207" spans="1:35">
      <c r="A207" s="933" t="s">
        <v>6969</v>
      </c>
      <c r="B207" s="977">
        <v>85</v>
      </c>
      <c r="C207" s="991">
        <v>1931.6</v>
      </c>
      <c r="D207" s="955"/>
      <c r="E207" s="955"/>
      <c r="F207" s="955"/>
      <c r="G207" s="955"/>
      <c r="H207" s="955"/>
      <c r="I207" s="955"/>
      <c r="J207" s="955"/>
      <c r="K207" s="962">
        <f t="shared" si="136"/>
        <v>1931.6</v>
      </c>
      <c r="L207" s="962">
        <f t="shared" si="137"/>
        <v>1000</v>
      </c>
      <c r="M207" s="962">
        <f>(534.984200298954*12)+(158*12)</f>
        <v>8315.8104035874476</v>
      </c>
      <c r="N207" s="962">
        <f t="shared" si="138"/>
        <v>9315.8104035874476</v>
      </c>
      <c r="O207" s="963">
        <f t="shared" si="139"/>
        <v>32495.010403587446</v>
      </c>
      <c r="P207" s="956">
        <f t="shared" si="140"/>
        <v>2762075.8843049328</v>
      </c>
      <c r="Q207" s="977">
        <v>85</v>
      </c>
      <c r="R207" s="991">
        <v>2077</v>
      </c>
      <c r="S207" s="955"/>
      <c r="T207" s="955"/>
      <c r="U207" s="955"/>
      <c r="V207" s="955"/>
      <c r="W207" s="955"/>
      <c r="X207" s="955"/>
      <c r="Y207" s="955"/>
      <c r="Z207" s="962">
        <f t="shared" si="141"/>
        <v>2077</v>
      </c>
      <c r="AA207" s="962">
        <f>300+300+400</f>
        <v>1000</v>
      </c>
      <c r="AB207" s="962">
        <f>707820/Q207</f>
        <v>8327.2941176470595</v>
      </c>
      <c r="AC207" s="962">
        <f t="shared" si="142"/>
        <v>9327.2941176470595</v>
      </c>
      <c r="AD207" s="963">
        <f t="shared" si="143"/>
        <v>34251.294117647063</v>
      </c>
      <c r="AE207" s="956">
        <f t="shared" si="144"/>
        <v>2911360.0000000005</v>
      </c>
      <c r="AF207" s="957">
        <f t="shared" si="145"/>
        <v>-1756.2837140596166</v>
      </c>
      <c r="AG207" s="956">
        <f t="shared" si="145"/>
        <v>-149284.11569506768</v>
      </c>
      <c r="AH207" s="960">
        <v>85</v>
      </c>
      <c r="AI207" s="956">
        <v>2371153.6</v>
      </c>
    </row>
    <row r="208" spans="1:35">
      <c r="A208" s="933" t="s">
        <v>6968</v>
      </c>
      <c r="B208" s="977">
        <v>2</v>
      </c>
      <c r="C208" s="991">
        <v>1922.6</v>
      </c>
      <c r="D208" s="955"/>
      <c r="E208" s="955"/>
      <c r="F208" s="955"/>
      <c r="G208" s="955"/>
      <c r="H208" s="955"/>
      <c r="I208" s="955"/>
      <c r="J208" s="955"/>
      <c r="K208" s="962">
        <f t="shared" si="136"/>
        <v>1922.6</v>
      </c>
      <c r="L208" s="962">
        <f t="shared" si="137"/>
        <v>1000</v>
      </c>
      <c r="M208" s="962">
        <f>(534.984200298954*12)+(158*12)</f>
        <v>8315.8104035874476</v>
      </c>
      <c r="N208" s="962">
        <f t="shared" si="138"/>
        <v>9315.8104035874476</v>
      </c>
      <c r="O208" s="963">
        <f t="shared" si="139"/>
        <v>32387.010403587446</v>
      </c>
      <c r="P208" s="956">
        <f t="shared" si="140"/>
        <v>64774.020807174893</v>
      </c>
      <c r="Q208" s="977">
        <v>2</v>
      </c>
      <c r="R208" s="991">
        <v>2068</v>
      </c>
      <c r="S208" s="955"/>
      <c r="T208" s="955"/>
      <c r="U208" s="955"/>
      <c r="V208" s="955"/>
      <c r="W208" s="955"/>
      <c r="X208" s="955"/>
      <c r="Y208" s="955"/>
      <c r="Z208" s="962">
        <f t="shared" si="141"/>
        <v>2068</v>
      </c>
      <c r="AA208" s="962">
        <f>300+300+400</f>
        <v>1000</v>
      </c>
      <c r="AB208" s="962">
        <f>5688/Q208</f>
        <v>2844</v>
      </c>
      <c r="AC208" s="962">
        <f t="shared" si="142"/>
        <v>3844</v>
      </c>
      <c r="AD208" s="963">
        <f t="shared" si="143"/>
        <v>28660</v>
      </c>
      <c r="AE208" s="956">
        <f t="shared" si="144"/>
        <v>57320</v>
      </c>
      <c r="AF208" s="957">
        <f t="shared" si="145"/>
        <v>3727.0104035874465</v>
      </c>
      <c r="AG208" s="956">
        <f t="shared" si="145"/>
        <v>7454.020807174893</v>
      </c>
      <c r="AH208" s="960">
        <v>2</v>
      </c>
      <c r="AI208" s="956">
        <v>64539.199999999997</v>
      </c>
    </row>
    <row r="209" spans="1:37">
      <c r="A209" s="933" t="s">
        <v>6967</v>
      </c>
      <c r="B209" s="977">
        <v>0</v>
      </c>
      <c r="C209" s="991">
        <v>1914.2</v>
      </c>
      <c r="D209" s="955"/>
      <c r="E209" s="955"/>
      <c r="F209" s="955"/>
      <c r="G209" s="955"/>
      <c r="H209" s="955"/>
      <c r="I209" s="955"/>
      <c r="J209" s="955"/>
      <c r="K209" s="962">
        <f t="shared" si="136"/>
        <v>1914.2</v>
      </c>
      <c r="L209" s="962">
        <f t="shared" si="137"/>
        <v>1000</v>
      </c>
      <c r="M209" s="962">
        <f>(534.984200298954*12)+(158*12)</f>
        <v>8315.8104035874476</v>
      </c>
      <c r="N209" s="962">
        <f t="shared" si="138"/>
        <v>9315.8104035874476</v>
      </c>
      <c r="O209" s="963">
        <f t="shared" si="139"/>
        <v>32286.210403587451</v>
      </c>
      <c r="P209" s="956">
        <f t="shared" si="140"/>
        <v>0</v>
      </c>
      <c r="Q209" s="977">
        <v>0</v>
      </c>
      <c r="R209" s="991">
        <v>2059</v>
      </c>
      <c r="S209" s="955"/>
      <c r="T209" s="955"/>
      <c r="U209" s="955"/>
      <c r="V209" s="955"/>
      <c r="W209" s="955"/>
      <c r="X209" s="955"/>
      <c r="Y209" s="955"/>
      <c r="Z209" s="962">
        <f t="shared" si="141"/>
        <v>2059</v>
      </c>
      <c r="AA209" s="962">
        <f>300+300+400</f>
        <v>1000</v>
      </c>
      <c r="AB209" s="962">
        <v>0</v>
      </c>
      <c r="AC209" s="962">
        <f t="shared" si="142"/>
        <v>1000</v>
      </c>
      <c r="AD209" s="963">
        <f t="shared" si="143"/>
        <v>25708</v>
      </c>
      <c r="AE209" s="956">
        <f t="shared" si="144"/>
        <v>0</v>
      </c>
      <c r="AF209" s="957">
        <f t="shared" si="145"/>
        <v>6578.2104035874509</v>
      </c>
      <c r="AG209" s="956">
        <f t="shared" si="145"/>
        <v>0</v>
      </c>
      <c r="AH209" s="960">
        <v>0</v>
      </c>
      <c r="AI209" s="956">
        <v>0</v>
      </c>
    </row>
    <row r="210" spans="1:37">
      <c r="A210" s="933" t="s">
        <v>18</v>
      </c>
      <c r="B210" s="977">
        <v>52</v>
      </c>
      <c r="C210" s="991">
        <v>1905.8</v>
      </c>
      <c r="D210" s="955"/>
      <c r="E210" s="955"/>
      <c r="F210" s="955"/>
      <c r="G210" s="955"/>
      <c r="H210" s="955"/>
      <c r="I210" s="955"/>
      <c r="J210" s="955"/>
      <c r="K210" s="962">
        <f t="shared" si="136"/>
        <v>1905.8</v>
      </c>
      <c r="L210" s="962">
        <f t="shared" si="137"/>
        <v>1000</v>
      </c>
      <c r="M210" s="962">
        <f>(534.984200298954*12)+(158*12)</f>
        <v>8315.8104035874476</v>
      </c>
      <c r="N210" s="962">
        <f t="shared" si="138"/>
        <v>9315.8104035874476</v>
      </c>
      <c r="O210" s="963">
        <f t="shared" si="139"/>
        <v>32185.410403587448</v>
      </c>
      <c r="P210" s="956">
        <f t="shared" si="140"/>
        <v>1673641.3409865473</v>
      </c>
      <c r="Q210" s="977">
        <v>53</v>
      </c>
      <c r="R210" s="991">
        <v>2050</v>
      </c>
      <c r="S210" s="955"/>
      <c r="T210" s="955"/>
      <c r="U210" s="955"/>
      <c r="V210" s="955"/>
      <c r="W210" s="955"/>
      <c r="X210" s="955"/>
      <c r="Y210" s="955"/>
      <c r="Z210" s="962">
        <f t="shared" si="141"/>
        <v>2050</v>
      </c>
      <c r="AA210" s="962">
        <f>300+300+400</f>
        <v>1000</v>
      </c>
      <c r="AB210" s="962">
        <f>451973.2/Q210</f>
        <v>8527.7962264150938</v>
      </c>
      <c r="AC210" s="962">
        <f t="shared" si="142"/>
        <v>9527.7962264150938</v>
      </c>
      <c r="AD210" s="963">
        <f t="shared" si="143"/>
        <v>34127.796226415092</v>
      </c>
      <c r="AE210" s="956">
        <f t="shared" si="144"/>
        <v>1808773.2</v>
      </c>
      <c r="AF210" s="957">
        <f t="shared" si="145"/>
        <v>-1942.385822827644</v>
      </c>
      <c r="AG210" s="956">
        <f t="shared" si="145"/>
        <v>-135131.85901345266</v>
      </c>
      <c r="AH210" s="960">
        <v>54</v>
      </c>
      <c r="AI210" s="956">
        <v>1766316.44</v>
      </c>
    </row>
    <row r="211" spans="1:37">
      <c r="A211" s="933" t="s">
        <v>7147</v>
      </c>
      <c r="B211" s="954"/>
      <c r="C211" s="955"/>
      <c r="D211" s="955"/>
      <c r="E211" s="955"/>
      <c r="F211" s="955"/>
      <c r="G211" s="955"/>
      <c r="H211" s="955"/>
      <c r="I211" s="955"/>
      <c r="J211" s="955"/>
      <c r="K211" s="962">
        <f t="shared" si="136"/>
        <v>0</v>
      </c>
      <c r="L211" s="962">
        <f t="shared" si="137"/>
        <v>1000</v>
      </c>
      <c r="M211" s="962"/>
      <c r="N211" s="962">
        <f t="shared" si="138"/>
        <v>1000</v>
      </c>
      <c r="O211" s="963">
        <f t="shared" si="139"/>
        <v>1000</v>
      </c>
      <c r="P211" s="956">
        <f t="shared" si="140"/>
        <v>0</v>
      </c>
      <c r="Q211" s="954"/>
      <c r="R211" s="955"/>
      <c r="S211" s="955"/>
      <c r="T211" s="955"/>
      <c r="U211" s="955"/>
      <c r="V211" s="955"/>
      <c r="W211" s="955"/>
      <c r="X211" s="955"/>
      <c r="Y211" s="955"/>
      <c r="Z211" s="962">
        <f t="shared" si="141"/>
        <v>0</v>
      </c>
      <c r="AA211" s="962"/>
      <c r="AB211" s="962"/>
      <c r="AC211" s="962">
        <f t="shared" si="142"/>
        <v>0</v>
      </c>
      <c r="AD211" s="963">
        <f t="shared" si="143"/>
        <v>0</v>
      </c>
      <c r="AE211" s="956">
        <f t="shared" si="144"/>
        <v>0</v>
      </c>
      <c r="AF211" s="957">
        <f t="shared" si="145"/>
        <v>1000</v>
      </c>
      <c r="AG211" s="956">
        <f t="shared" si="145"/>
        <v>0</v>
      </c>
      <c r="AH211" s="958"/>
      <c r="AI211" s="956"/>
    </row>
    <row r="212" spans="1:37" ht="24">
      <c r="A212" s="935" t="s">
        <v>6965</v>
      </c>
      <c r="B212" s="950">
        <f>B213+B214</f>
        <v>146</v>
      </c>
      <c r="C212" s="951"/>
      <c r="D212" s="951"/>
      <c r="E212" s="951"/>
      <c r="F212" s="951"/>
      <c r="G212" s="951"/>
      <c r="H212" s="951"/>
      <c r="I212" s="951"/>
      <c r="J212" s="951"/>
      <c r="K212" s="951"/>
      <c r="L212" s="951"/>
      <c r="M212" s="951"/>
      <c r="N212" s="951"/>
      <c r="O212" s="951">
        <f>O213+O214</f>
        <v>486105.29212454217</v>
      </c>
      <c r="P212" s="952">
        <f>P213+P214</f>
        <v>27817745</v>
      </c>
      <c r="Q212" s="950">
        <f>Q213+Q214</f>
        <v>145</v>
      </c>
      <c r="R212" s="951"/>
      <c r="S212" s="951"/>
      <c r="T212" s="951"/>
      <c r="U212" s="951"/>
      <c r="V212" s="951"/>
      <c r="W212" s="951"/>
      <c r="X212" s="951"/>
      <c r="Y212" s="951"/>
      <c r="Z212" s="951"/>
      <c r="AA212" s="951"/>
      <c r="AB212" s="951"/>
      <c r="AC212" s="951">
        <f t="shared" ref="AC212:AI212" si="146">AC213+AC214</f>
        <v>0</v>
      </c>
      <c r="AD212" s="951">
        <f t="shared" si="146"/>
        <v>449374.05534709193</v>
      </c>
      <c r="AE212" s="952">
        <f t="shared" si="146"/>
        <v>23910558</v>
      </c>
      <c r="AF212" s="950">
        <f t="shared" si="146"/>
        <v>36731.236777450235</v>
      </c>
      <c r="AG212" s="952">
        <f t="shared" si="146"/>
        <v>3907187.0000000019</v>
      </c>
      <c r="AH212" s="953">
        <f t="shared" si="146"/>
        <v>58</v>
      </c>
      <c r="AI212" s="952">
        <f t="shared" si="146"/>
        <v>16289816.15</v>
      </c>
    </row>
    <row r="213" spans="1:37" ht="24">
      <c r="A213" s="933" t="s">
        <v>6964</v>
      </c>
      <c r="B213" s="977">
        <v>42</v>
      </c>
      <c r="C213" s="955">
        <v>30560.759920634922</v>
      </c>
      <c r="D213" s="955"/>
      <c r="E213" s="955"/>
      <c r="F213" s="955"/>
      <c r="G213" s="955"/>
      <c r="H213" s="955"/>
      <c r="I213" s="955"/>
      <c r="J213" s="955"/>
      <c r="K213" s="962">
        <f>SUM(C213:J213)</f>
        <v>30560.759920634922</v>
      </c>
      <c r="L213" s="962"/>
      <c r="M213" s="962"/>
      <c r="N213" s="962">
        <f>SUM(L213:M213)</f>
        <v>0</v>
      </c>
      <c r="O213" s="963">
        <f>(K213*12)+N213</f>
        <v>366729.11904761905</v>
      </c>
      <c r="P213" s="956">
        <f>B213*O213</f>
        <v>15402623</v>
      </c>
      <c r="Q213" s="977">
        <f>33+8</f>
        <v>41</v>
      </c>
      <c r="R213" s="955">
        <v>30190.930894308942</v>
      </c>
      <c r="S213" s="955"/>
      <c r="T213" s="955"/>
      <c r="U213" s="955"/>
      <c r="V213" s="955"/>
      <c r="W213" s="955"/>
      <c r="X213" s="955"/>
      <c r="Y213" s="955"/>
      <c r="Z213" s="962">
        <f>SUM(R213:Y213)</f>
        <v>30190.930894308942</v>
      </c>
      <c r="AA213" s="962"/>
      <c r="AB213" s="962"/>
      <c r="AC213" s="962">
        <f>SUM(AA213:AB213)</f>
        <v>0</v>
      </c>
      <c r="AD213" s="963">
        <f>(Z213*12)+AC213</f>
        <v>362291.1707317073</v>
      </c>
      <c r="AE213" s="956">
        <f>Q213*AD213</f>
        <v>14853938</v>
      </c>
      <c r="AF213" s="957">
        <f t="shared" ref="AF213:AG217" si="147">+O213-AD213</f>
        <v>4437.9483159117517</v>
      </c>
      <c r="AG213" s="956">
        <f t="shared" si="147"/>
        <v>548685</v>
      </c>
      <c r="AH213" s="978">
        <f>33+7</f>
        <v>40</v>
      </c>
      <c r="AI213" s="956">
        <v>15093516.98</v>
      </c>
    </row>
    <row r="214" spans="1:37" ht="24">
      <c r="A214" s="933" t="s">
        <v>6963</v>
      </c>
      <c r="B214" s="977">
        <v>104</v>
      </c>
      <c r="C214" s="955">
        <v>9948.0144230769238</v>
      </c>
      <c r="D214" s="955"/>
      <c r="E214" s="955"/>
      <c r="F214" s="955"/>
      <c r="G214" s="955"/>
      <c r="H214" s="955"/>
      <c r="I214" s="955"/>
      <c r="J214" s="955"/>
      <c r="K214" s="962">
        <f>SUM(C214:J214)</f>
        <v>9948.0144230769238</v>
      </c>
      <c r="L214" s="962"/>
      <c r="M214" s="962"/>
      <c r="N214" s="962">
        <f>SUM(L214:M214)</f>
        <v>0</v>
      </c>
      <c r="O214" s="963">
        <f>(K214*12)+N214</f>
        <v>119376.17307692309</v>
      </c>
      <c r="P214" s="956">
        <f>B214*O214</f>
        <v>12415122.000000002</v>
      </c>
      <c r="Q214" s="977">
        <v>104</v>
      </c>
      <c r="R214" s="955">
        <v>7256.9070512820508</v>
      </c>
      <c r="S214" s="955"/>
      <c r="T214" s="955"/>
      <c r="U214" s="955"/>
      <c r="V214" s="955"/>
      <c r="W214" s="955"/>
      <c r="X214" s="955"/>
      <c r="Y214" s="955"/>
      <c r="Z214" s="962">
        <f>SUM(R214:Y214)</f>
        <v>7256.9070512820508</v>
      </c>
      <c r="AA214" s="962"/>
      <c r="AB214" s="962"/>
      <c r="AC214" s="962">
        <f>SUM(AA214:AB214)</f>
        <v>0</v>
      </c>
      <c r="AD214" s="963">
        <f>(Z214*12)+AC214</f>
        <v>87082.88461538461</v>
      </c>
      <c r="AE214" s="956">
        <f>Q214*AD214</f>
        <v>9056620</v>
      </c>
      <c r="AF214" s="957">
        <f t="shared" si="147"/>
        <v>32293.288461538483</v>
      </c>
      <c r="AG214" s="956">
        <f t="shared" si="147"/>
        <v>3358502.0000000019</v>
      </c>
      <c r="AH214" s="978">
        <v>18</v>
      </c>
      <c r="AI214" s="956">
        <v>1196299.17</v>
      </c>
    </row>
    <row r="215" spans="1:37" hidden="1">
      <c r="A215" s="933" t="s">
        <v>6962</v>
      </c>
      <c r="B215" s="968"/>
      <c r="C215" s="969"/>
      <c r="D215" s="969"/>
      <c r="E215" s="969"/>
      <c r="F215" s="969"/>
      <c r="G215" s="969"/>
      <c r="H215" s="969"/>
      <c r="I215" s="969"/>
      <c r="J215" s="969"/>
      <c r="K215" s="962">
        <f>SUM(C215:J215)</f>
        <v>0</v>
      </c>
      <c r="L215" s="962"/>
      <c r="M215" s="962"/>
      <c r="N215" s="962">
        <f>SUM(L215:M215)</f>
        <v>0</v>
      </c>
      <c r="O215" s="963">
        <f>(K215*12)+N215</f>
        <v>0</v>
      </c>
      <c r="P215" s="956">
        <f>B215*O215</f>
        <v>0</v>
      </c>
      <c r="Q215" s="968"/>
      <c r="R215" s="969"/>
      <c r="S215" s="969"/>
      <c r="T215" s="969"/>
      <c r="U215" s="969"/>
      <c r="V215" s="969"/>
      <c r="W215" s="969"/>
      <c r="X215" s="969"/>
      <c r="Y215" s="969"/>
      <c r="Z215" s="962">
        <f>SUM(R215:Y215)</f>
        <v>0</v>
      </c>
      <c r="AA215" s="962"/>
      <c r="AB215" s="962"/>
      <c r="AC215" s="962">
        <f>SUM(AA215:AB215)</f>
        <v>0</v>
      </c>
      <c r="AD215" s="963"/>
      <c r="AE215" s="956">
        <f>Q215*AD215</f>
        <v>0</v>
      </c>
      <c r="AF215" s="957">
        <f t="shared" si="147"/>
        <v>0</v>
      </c>
      <c r="AG215" s="956">
        <f t="shared" si="147"/>
        <v>0</v>
      </c>
      <c r="AH215" s="974"/>
      <c r="AI215" s="956"/>
    </row>
    <row r="216" spans="1:37" ht="24" hidden="1">
      <c r="A216" s="933" t="s">
        <v>6961</v>
      </c>
      <c r="B216" s="968"/>
      <c r="C216" s="969"/>
      <c r="D216" s="969"/>
      <c r="E216" s="969"/>
      <c r="F216" s="969"/>
      <c r="G216" s="969"/>
      <c r="H216" s="969"/>
      <c r="I216" s="969"/>
      <c r="J216" s="969"/>
      <c r="K216" s="962">
        <f>SUM(C216:J216)</f>
        <v>0</v>
      </c>
      <c r="L216" s="962"/>
      <c r="M216" s="962"/>
      <c r="N216" s="962">
        <f>SUM(L216:M216)</f>
        <v>0</v>
      </c>
      <c r="O216" s="963">
        <f>(K216*12)+N216</f>
        <v>0</v>
      </c>
      <c r="P216" s="956">
        <f>B216*O216</f>
        <v>0</v>
      </c>
      <c r="Q216" s="968"/>
      <c r="R216" s="969"/>
      <c r="S216" s="969"/>
      <c r="T216" s="969"/>
      <c r="U216" s="969"/>
      <c r="V216" s="969"/>
      <c r="W216" s="969"/>
      <c r="X216" s="969"/>
      <c r="Y216" s="969"/>
      <c r="Z216" s="962">
        <f>SUM(R216:Y216)</f>
        <v>0</v>
      </c>
      <c r="AA216" s="962"/>
      <c r="AB216" s="962"/>
      <c r="AC216" s="962">
        <f>SUM(AA216:AB216)</f>
        <v>0</v>
      </c>
      <c r="AD216" s="963">
        <f>(Z216*12)+AC216</f>
        <v>0</v>
      </c>
      <c r="AE216" s="956"/>
      <c r="AF216" s="957">
        <f t="shared" si="147"/>
        <v>0</v>
      </c>
      <c r="AG216" s="956">
        <f t="shared" si="147"/>
        <v>0</v>
      </c>
      <c r="AH216" s="974"/>
      <c r="AI216" s="956"/>
    </row>
    <row r="217" spans="1:37" ht="24" hidden="1">
      <c r="A217" s="933" t="s">
        <v>6960</v>
      </c>
      <c r="B217" s="968"/>
      <c r="C217" s="969"/>
      <c r="D217" s="969"/>
      <c r="E217" s="969"/>
      <c r="F217" s="969"/>
      <c r="G217" s="969"/>
      <c r="H217" s="969"/>
      <c r="I217" s="969"/>
      <c r="J217" s="969"/>
      <c r="K217" s="962">
        <f>SUM(C217:J217)</f>
        <v>0</v>
      </c>
      <c r="L217" s="962"/>
      <c r="M217" s="962"/>
      <c r="N217" s="962">
        <f>SUM(L217:M217)</f>
        <v>0</v>
      </c>
      <c r="O217" s="963">
        <f>(K217*12)+N217</f>
        <v>0</v>
      </c>
      <c r="P217" s="956">
        <f>B217*O217</f>
        <v>0</v>
      </c>
      <c r="Q217" s="968"/>
      <c r="R217" s="969"/>
      <c r="S217" s="969"/>
      <c r="T217" s="969"/>
      <c r="U217" s="969"/>
      <c r="V217" s="969"/>
      <c r="W217" s="969"/>
      <c r="X217" s="969"/>
      <c r="Y217" s="969"/>
      <c r="Z217" s="962">
        <f>SUM(R217:Y217)</f>
        <v>0</v>
      </c>
      <c r="AA217" s="962"/>
      <c r="AB217" s="962"/>
      <c r="AC217" s="962">
        <f>SUM(AA217:AB217)</f>
        <v>0</v>
      </c>
      <c r="AD217" s="963">
        <f>(Z217*12)+AC217</f>
        <v>0</v>
      </c>
      <c r="AE217" s="956">
        <f>Q217*AD217</f>
        <v>0</v>
      </c>
      <c r="AF217" s="957">
        <f t="shared" si="147"/>
        <v>0</v>
      </c>
      <c r="AG217" s="956">
        <f t="shared" si="147"/>
        <v>0</v>
      </c>
      <c r="AH217" s="974"/>
      <c r="AI217" s="956"/>
    </row>
    <row r="218" spans="1:37" ht="36">
      <c r="A218" s="931" t="s">
        <v>56</v>
      </c>
      <c r="B218" s="945">
        <f>B219+B228+B237+B250</f>
        <v>11286</v>
      </c>
      <c r="C218" s="946"/>
      <c r="D218" s="946"/>
      <c r="E218" s="946"/>
      <c r="F218" s="946"/>
      <c r="G218" s="946"/>
      <c r="H218" s="946"/>
      <c r="I218" s="946"/>
      <c r="J218" s="946"/>
      <c r="K218" s="946"/>
      <c r="L218" s="946"/>
      <c r="M218" s="946"/>
      <c r="N218" s="946"/>
      <c r="O218" s="946">
        <f>O219+O228+O237+O250</f>
        <v>1452036</v>
      </c>
      <c r="P218" s="947">
        <f>P219+P228+P237+P250</f>
        <v>425185193</v>
      </c>
      <c r="Q218" s="945">
        <f>Q219+Q228+Q237+Q250</f>
        <v>10631</v>
      </c>
      <c r="R218" s="946"/>
      <c r="S218" s="946"/>
      <c r="T218" s="946"/>
      <c r="U218" s="946"/>
      <c r="V218" s="946"/>
      <c r="W218" s="946"/>
      <c r="X218" s="946"/>
      <c r="Y218" s="946"/>
      <c r="Z218" s="946"/>
      <c r="AA218" s="946"/>
      <c r="AB218" s="946"/>
      <c r="AC218" s="946"/>
      <c r="AD218" s="946">
        <f t="shared" ref="AD218:AI218" si="148">AD219+AD228+AD237+AD250</f>
        <v>1536756</v>
      </c>
      <c r="AE218" s="947">
        <f t="shared" si="148"/>
        <v>422442792</v>
      </c>
      <c r="AF218" s="945">
        <f t="shared" si="148"/>
        <v>-84720</v>
      </c>
      <c r="AG218" s="947">
        <f t="shared" si="148"/>
        <v>2742401</v>
      </c>
      <c r="AH218" s="975">
        <f t="shared" si="148"/>
        <v>10441</v>
      </c>
      <c r="AI218" s="992">
        <f t="shared" si="148"/>
        <v>410752848</v>
      </c>
      <c r="AJ218" s="866"/>
      <c r="AK218" s="866"/>
    </row>
    <row r="219" spans="1:37" ht="24">
      <c r="A219" s="935" t="s">
        <v>6959</v>
      </c>
      <c r="B219" s="965">
        <f>SUM(B220:B227)</f>
        <v>1822</v>
      </c>
      <c r="C219" s="966"/>
      <c r="D219" s="966"/>
      <c r="E219" s="966"/>
      <c r="F219" s="966"/>
      <c r="G219" s="966"/>
      <c r="H219" s="966"/>
      <c r="I219" s="966"/>
      <c r="J219" s="966"/>
      <c r="K219" s="966"/>
      <c r="L219" s="966"/>
      <c r="M219" s="966"/>
      <c r="N219" s="966"/>
      <c r="O219" s="966">
        <f>SUM(O220:O227)</f>
        <v>781940</v>
      </c>
      <c r="P219" s="952">
        <f>SUM(P220:P227)</f>
        <v>132855256</v>
      </c>
      <c r="Q219" s="965">
        <f>SUM(Q220:Q227)</f>
        <v>1892</v>
      </c>
      <c r="R219" s="966"/>
      <c r="S219" s="966"/>
      <c r="T219" s="966"/>
      <c r="U219" s="966"/>
      <c r="V219" s="966"/>
      <c r="W219" s="966"/>
      <c r="X219" s="966"/>
      <c r="Y219" s="966"/>
      <c r="Z219" s="966"/>
      <c r="AA219" s="966"/>
      <c r="AB219" s="966"/>
      <c r="AC219" s="966"/>
      <c r="AD219" s="966">
        <f t="shared" ref="AD219:AI219" si="149">SUM(AD220:AD227)</f>
        <v>781940</v>
      </c>
      <c r="AE219" s="952">
        <f t="shared" si="149"/>
        <v>136053332</v>
      </c>
      <c r="AF219" s="965">
        <f t="shared" si="149"/>
        <v>0</v>
      </c>
      <c r="AG219" s="952">
        <f t="shared" si="149"/>
        <v>-3198076</v>
      </c>
      <c r="AH219" s="967">
        <f t="shared" si="149"/>
        <v>1795</v>
      </c>
      <c r="AI219" s="952">
        <f t="shared" si="149"/>
        <v>129722296.84999999</v>
      </c>
      <c r="AJ219" s="866"/>
    </row>
    <row r="220" spans="1:37">
      <c r="A220" s="933" t="s">
        <v>6958</v>
      </c>
      <c r="B220" s="977">
        <v>9</v>
      </c>
      <c r="C220" s="963">
        <v>8573</v>
      </c>
      <c r="D220" s="993"/>
      <c r="E220" s="993"/>
      <c r="F220" s="993"/>
      <c r="G220" s="993"/>
      <c r="H220" s="993"/>
      <c r="I220" s="962">
        <v>2550</v>
      </c>
      <c r="J220" s="962">
        <v>4900</v>
      </c>
      <c r="K220" s="962">
        <f t="shared" ref="K220:K227" si="150">SUM(C220:J220)</f>
        <v>16023</v>
      </c>
      <c r="L220" s="962">
        <f t="shared" ref="L220:L227" si="151">300+300+400</f>
        <v>1000</v>
      </c>
      <c r="M220" s="962"/>
      <c r="N220" s="962">
        <f t="shared" ref="N220:N227" si="152">SUM(L220:M220)</f>
        <v>1000</v>
      </c>
      <c r="O220" s="963">
        <f t="shared" ref="O220:O227" si="153">(K220*12)+N220</f>
        <v>193276</v>
      </c>
      <c r="P220" s="956">
        <f t="shared" ref="P220:P227" si="154">B220*O220</f>
        <v>1739484</v>
      </c>
      <c r="Q220" s="977">
        <v>10</v>
      </c>
      <c r="R220" s="963">
        <v>8573</v>
      </c>
      <c r="S220" s="993"/>
      <c r="T220" s="993"/>
      <c r="U220" s="993"/>
      <c r="V220" s="993"/>
      <c r="W220" s="993"/>
      <c r="X220" s="962">
        <v>2550</v>
      </c>
      <c r="Y220" s="962">
        <v>4900</v>
      </c>
      <c r="Z220" s="962">
        <f t="shared" ref="Z220:Z227" si="155">SUM(R220:Y220)</f>
        <v>16023</v>
      </c>
      <c r="AA220" s="962">
        <f t="shared" ref="AA220:AA227" si="156">300+300+400</f>
        <v>1000</v>
      </c>
      <c r="AB220" s="962"/>
      <c r="AC220" s="962">
        <f t="shared" ref="AC220:AC227" si="157">SUM(AA220:AB220)</f>
        <v>1000</v>
      </c>
      <c r="AD220" s="963">
        <f t="shared" ref="AD220:AD227" si="158">(Z220*12)+AC220</f>
        <v>193276</v>
      </c>
      <c r="AE220" s="956">
        <f t="shared" ref="AE220:AE227" si="159">Q220*AD220</f>
        <v>1932760</v>
      </c>
      <c r="AF220" s="957">
        <f t="shared" ref="AF220:AG227" si="160">+O220-AD220</f>
        <v>0</v>
      </c>
      <c r="AG220" s="956">
        <f t="shared" si="160"/>
        <v>-193276</v>
      </c>
      <c r="AH220" s="978">
        <v>10</v>
      </c>
      <c r="AI220" s="956">
        <v>1810360</v>
      </c>
    </row>
    <row r="221" spans="1:37">
      <c r="A221" s="933" t="s">
        <v>6957</v>
      </c>
      <c r="B221" s="977">
        <v>44</v>
      </c>
      <c r="C221" s="963">
        <v>8362</v>
      </c>
      <c r="D221" s="993"/>
      <c r="E221" s="993"/>
      <c r="F221" s="993"/>
      <c r="G221" s="993"/>
      <c r="H221" s="993"/>
      <c r="I221" s="962">
        <v>2550</v>
      </c>
      <c r="J221" s="962">
        <v>3700</v>
      </c>
      <c r="K221" s="962">
        <f t="shared" si="150"/>
        <v>14612</v>
      </c>
      <c r="L221" s="962">
        <f t="shared" si="151"/>
        <v>1000</v>
      </c>
      <c r="M221" s="962"/>
      <c r="N221" s="962">
        <f t="shared" si="152"/>
        <v>1000</v>
      </c>
      <c r="O221" s="963">
        <f t="shared" si="153"/>
        <v>176344</v>
      </c>
      <c r="P221" s="956">
        <f t="shared" si="154"/>
        <v>7759136</v>
      </c>
      <c r="Q221" s="977">
        <v>46</v>
      </c>
      <c r="R221" s="963">
        <v>8362</v>
      </c>
      <c r="S221" s="993"/>
      <c r="T221" s="993"/>
      <c r="U221" s="993"/>
      <c r="V221" s="993"/>
      <c r="W221" s="993"/>
      <c r="X221" s="962">
        <v>2550</v>
      </c>
      <c r="Y221" s="962">
        <v>3700</v>
      </c>
      <c r="Z221" s="962">
        <f t="shared" si="155"/>
        <v>14612</v>
      </c>
      <c r="AA221" s="962">
        <f t="shared" si="156"/>
        <v>1000</v>
      </c>
      <c r="AB221" s="962"/>
      <c r="AC221" s="962">
        <f t="shared" si="157"/>
        <v>1000</v>
      </c>
      <c r="AD221" s="963">
        <f t="shared" si="158"/>
        <v>176344</v>
      </c>
      <c r="AE221" s="956">
        <f t="shared" si="159"/>
        <v>8111824</v>
      </c>
      <c r="AF221" s="957">
        <f t="shared" si="160"/>
        <v>0</v>
      </c>
      <c r="AG221" s="956">
        <f t="shared" si="160"/>
        <v>-352688</v>
      </c>
      <c r="AH221" s="978">
        <v>47</v>
      </c>
      <c r="AI221" s="956">
        <v>7217168</v>
      </c>
    </row>
    <row r="222" spans="1:37" ht="24">
      <c r="A222" s="933" t="s">
        <v>6953</v>
      </c>
      <c r="B222" s="977">
        <v>302</v>
      </c>
      <c r="C222" s="963">
        <v>6910</v>
      </c>
      <c r="D222" s="993"/>
      <c r="E222" s="993"/>
      <c r="F222" s="993"/>
      <c r="G222" s="993"/>
      <c r="H222" s="993"/>
      <c r="I222" s="993"/>
      <c r="J222" s="962">
        <v>3000</v>
      </c>
      <c r="K222" s="962">
        <f t="shared" si="150"/>
        <v>9910</v>
      </c>
      <c r="L222" s="962">
        <f t="shared" si="151"/>
        <v>1000</v>
      </c>
      <c r="M222" s="962"/>
      <c r="N222" s="962">
        <f t="shared" si="152"/>
        <v>1000</v>
      </c>
      <c r="O222" s="963">
        <f t="shared" si="153"/>
        <v>119920</v>
      </c>
      <c r="P222" s="956">
        <f t="shared" si="154"/>
        <v>36215840</v>
      </c>
      <c r="Q222" s="977">
        <v>302</v>
      </c>
      <c r="R222" s="963">
        <v>6910</v>
      </c>
      <c r="S222" s="993"/>
      <c r="T222" s="993"/>
      <c r="U222" s="993"/>
      <c r="V222" s="993"/>
      <c r="W222" s="993"/>
      <c r="X222" s="993"/>
      <c r="Y222" s="962">
        <v>3000</v>
      </c>
      <c r="Z222" s="962">
        <f t="shared" si="155"/>
        <v>9910</v>
      </c>
      <c r="AA222" s="962">
        <f t="shared" si="156"/>
        <v>1000</v>
      </c>
      <c r="AB222" s="962"/>
      <c r="AC222" s="962">
        <f t="shared" si="157"/>
        <v>1000</v>
      </c>
      <c r="AD222" s="963">
        <f t="shared" si="158"/>
        <v>119920</v>
      </c>
      <c r="AE222" s="956">
        <f t="shared" si="159"/>
        <v>36215840</v>
      </c>
      <c r="AF222" s="957">
        <f t="shared" si="160"/>
        <v>0</v>
      </c>
      <c r="AG222" s="956">
        <f t="shared" si="160"/>
        <v>0</v>
      </c>
      <c r="AH222" s="978">
        <v>290</v>
      </c>
      <c r="AI222" s="956">
        <v>35502010.049999997</v>
      </c>
    </row>
    <row r="223" spans="1:37">
      <c r="A223" s="933" t="s">
        <v>6952</v>
      </c>
      <c r="B223" s="977">
        <v>312</v>
      </c>
      <c r="C223" s="963">
        <v>4279</v>
      </c>
      <c r="D223" s="993"/>
      <c r="E223" s="993"/>
      <c r="F223" s="993"/>
      <c r="G223" s="993"/>
      <c r="H223" s="993"/>
      <c r="I223" s="993"/>
      <c r="J223" s="962">
        <v>2700</v>
      </c>
      <c r="K223" s="962">
        <f t="shared" si="150"/>
        <v>6979</v>
      </c>
      <c r="L223" s="962">
        <f t="shared" si="151"/>
        <v>1000</v>
      </c>
      <c r="M223" s="962"/>
      <c r="N223" s="962">
        <f t="shared" si="152"/>
        <v>1000</v>
      </c>
      <c r="O223" s="963">
        <f t="shared" si="153"/>
        <v>84748</v>
      </c>
      <c r="P223" s="956">
        <f t="shared" si="154"/>
        <v>26441376</v>
      </c>
      <c r="Q223" s="977">
        <v>294</v>
      </c>
      <c r="R223" s="963">
        <v>4279</v>
      </c>
      <c r="S223" s="993"/>
      <c r="T223" s="993"/>
      <c r="U223" s="993"/>
      <c r="V223" s="993"/>
      <c r="W223" s="993"/>
      <c r="X223" s="993"/>
      <c r="Y223" s="962">
        <v>2700</v>
      </c>
      <c r="Z223" s="962">
        <f t="shared" si="155"/>
        <v>6979</v>
      </c>
      <c r="AA223" s="962">
        <f t="shared" si="156"/>
        <v>1000</v>
      </c>
      <c r="AB223" s="962"/>
      <c r="AC223" s="962">
        <f t="shared" si="157"/>
        <v>1000</v>
      </c>
      <c r="AD223" s="963">
        <f t="shared" si="158"/>
        <v>84748</v>
      </c>
      <c r="AE223" s="956">
        <f t="shared" si="159"/>
        <v>24915912</v>
      </c>
      <c r="AF223" s="957">
        <f t="shared" si="160"/>
        <v>0</v>
      </c>
      <c r="AG223" s="956">
        <f t="shared" si="160"/>
        <v>1525464</v>
      </c>
      <c r="AH223" s="978">
        <v>287</v>
      </c>
      <c r="AI223" s="956">
        <v>22970759.600000001</v>
      </c>
    </row>
    <row r="224" spans="1:37" ht="24">
      <c r="A224" s="933" t="s">
        <v>6951</v>
      </c>
      <c r="B224" s="977">
        <v>344</v>
      </c>
      <c r="C224" s="963">
        <v>3254</v>
      </c>
      <c r="D224" s="993"/>
      <c r="E224" s="993"/>
      <c r="F224" s="993"/>
      <c r="G224" s="993"/>
      <c r="H224" s="993"/>
      <c r="I224" s="993"/>
      <c r="J224" s="962">
        <v>1800</v>
      </c>
      <c r="K224" s="962">
        <f t="shared" si="150"/>
        <v>5054</v>
      </c>
      <c r="L224" s="962">
        <f t="shared" si="151"/>
        <v>1000</v>
      </c>
      <c r="M224" s="962"/>
      <c r="N224" s="962">
        <f t="shared" si="152"/>
        <v>1000</v>
      </c>
      <c r="O224" s="963">
        <f t="shared" si="153"/>
        <v>61648</v>
      </c>
      <c r="P224" s="956">
        <f t="shared" si="154"/>
        <v>21206912</v>
      </c>
      <c r="Q224" s="977">
        <f>351-Q240</f>
        <v>349</v>
      </c>
      <c r="R224" s="963">
        <v>3254</v>
      </c>
      <c r="S224" s="993"/>
      <c r="T224" s="993"/>
      <c r="U224" s="993"/>
      <c r="V224" s="993"/>
      <c r="W224" s="993"/>
      <c r="X224" s="993"/>
      <c r="Y224" s="962">
        <v>1800</v>
      </c>
      <c r="Z224" s="962">
        <f t="shared" si="155"/>
        <v>5054</v>
      </c>
      <c r="AA224" s="962">
        <f t="shared" si="156"/>
        <v>1000</v>
      </c>
      <c r="AB224" s="962"/>
      <c r="AC224" s="962">
        <f t="shared" si="157"/>
        <v>1000</v>
      </c>
      <c r="AD224" s="963">
        <f t="shared" si="158"/>
        <v>61648</v>
      </c>
      <c r="AE224" s="956">
        <f t="shared" si="159"/>
        <v>21515152</v>
      </c>
      <c r="AF224" s="957">
        <f t="shared" si="160"/>
        <v>0</v>
      </c>
      <c r="AG224" s="956">
        <f t="shared" si="160"/>
        <v>-308240</v>
      </c>
      <c r="AH224" s="978">
        <v>349</v>
      </c>
      <c r="AI224" s="956">
        <v>21984235.600000001</v>
      </c>
      <c r="AJ224" s="866"/>
    </row>
    <row r="225" spans="1:37">
      <c r="A225" s="933" t="s">
        <v>6950</v>
      </c>
      <c r="B225" s="977">
        <v>267</v>
      </c>
      <c r="C225" s="963">
        <v>2705</v>
      </c>
      <c r="D225" s="993"/>
      <c r="E225" s="993"/>
      <c r="F225" s="993"/>
      <c r="G225" s="993"/>
      <c r="H225" s="993"/>
      <c r="I225" s="993"/>
      <c r="J225" s="962">
        <v>1650</v>
      </c>
      <c r="K225" s="962">
        <f t="shared" si="150"/>
        <v>4355</v>
      </c>
      <c r="L225" s="962">
        <f t="shared" si="151"/>
        <v>1000</v>
      </c>
      <c r="M225" s="962"/>
      <c r="N225" s="962">
        <f t="shared" si="152"/>
        <v>1000</v>
      </c>
      <c r="O225" s="963">
        <f t="shared" si="153"/>
        <v>53260</v>
      </c>
      <c r="P225" s="956">
        <f t="shared" si="154"/>
        <v>14220420</v>
      </c>
      <c r="Q225" s="977">
        <v>303</v>
      </c>
      <c r="R225" s="963">
        <v>2705</v>
      </c>
      <c r="S225" s="993"/>
      <c r="T225" s="993"/>
      <c r="U225" s="993"/>
      <c r="V225" s="993"/>
      <c r="W225" s="993"/>
      <c r="X225" s="993"/>
      <c r="Y225" s="962">
        <v>1650</v>
      </c>
      <c r="Z225" s="962">
        <f t="shared" si="155"/>
        <v>4355</v>
      </c>
      <c r="AA225" s="962">
        <f t="shared" si="156"/>
        <v>1000</v>
      </c>
      <c r="AB225" s="962"/>
      <c r="AC225" s="962">
        <f t="shared" si="157"/>
        <v>1000</v>
      </c>
      <c r="AD225" s="963">
        <f t="shared" si="158"/>
        <v>53260</v>
      </c>
      <c r="AE225" s="956">
        <f t="shared" si="159"/>
        <v>16137780</v>
      </c>
      <c r="AF225" s="957">
        <f t="shared" si="160"/>
        <v>0</v>
      </c>
      <c r="AG225" s="956">
        <f t="shared" si="160"/>
        <v>-1917360</v>
      </c>
      <c r="AH225" s="978">
        <v>312</v>
      </c>
      <c r="AI225" s="956">
        <v>16836003.600000001</v>
      </c>
    </row>
    <row r="226" spans="1:37">
      <c r="A226" s="933" t="s">
        <v>6949</v>
      </c>
      <c r="B226" s="977">
        <v>287</v>
      </c>
      <c r="C226" s="963">
        <v>2258</v>
      </c>
      <c r="D226" s="993"/>
      <c r="E226" s="993"/>
      <c r="F226" s="993"/>
      <c r="G226" s="993"/>
      <c r="H226" s="993"/>
      <c r="I226" s="993"/>
      <c r="J226" s="962">
        <v>1650</v>
      </c>
      <c r="K226" s="962">
        <f t="shared" si="150"/>
        <v>3908</v>
      </c>
      <c r="L226" s="962">
        <f t="shared" si="151"/>
        <v>1000</v>
      </c>
      <c r="M226" s="962"/>
      <c r="N226" s="962">
        <f t="shared" si="152"/>
        <v>1000</v>
      </c>
      <c r="O226" s="963">
        <f t="shared" si="153"/>
        <v>47896</v>
      </c>
      <c r="P226" s="956">
        <f t="shared" si="154"/>
        <v>13746152</v>
      </c>
      <c r="Q226" s="977">
        <v>280</v>
      </c>
      <c r="R226" s="963">
        <v>2258</v>
      </c>
      <c r="S226" s="993"/>
      <c r="T226" s="993"/>
      <c r="U226" s="993"/>
      <c r="V226" s="993"/>
      <c r="W226" s="993"/>
      <c r="X226" s="993"/>
      <c r="Y226" s="962">
        <v>1650</v>
      </c>
      <c r="Z226" s="962">
        <f t="shared" si="155"/>
        <v>3908</v>
      </c>
      <c r="AA226" s="962">
        <f t="shared" si="156"/>
        <v>1000</v>
      </c>
      <c r="AB226" s="962"/>
      <c r="AC226" s="962">
        <f t="shared" si="157"/>
        <v>1000</v>
      </c>
      <c r="AD226" s="963">
        <f t="shared" si="158"/>
        <v>47896</v>
      </c>
      <c r="AE226" s="956">
        <f t="shared" si="159"/>
        <v>13410880</v>
      </c>
      <c r="AF226" s="957">
        <f t="shared" si="160"/>
        <v>0</v>
      </c>
      <c r="AG226" s="956">
        <f t="shared" si="160"/>
        <v>335272</v>
      </c>
      <c r="AH226" s="978">
        <v>270</v>
      </c>
      <c r="AI226" s="956">
        <v>13061520</v>
      </c>
    </row>
    <row r="227" spans="1:37">
      <c r="A227" s="933" t="s">
        <v>6948</v>
      </c>
      <c r="B227" s="977">
        <v>257</v>
      </c>
      <c r="C227" s="963">
        <v>2204</v>
      </c>
      <c r="D227" s="993"/>
      <c r="E227" s="993"/>
      <c r="F227" s="993"/>
      <c r="G227" s="993"/>
      <c r="H227" s="993"/>
      <c r="I227" s="993"/>
      <c r="J227" s="962">
        <v>1450</v>
      </c>
      <c r="K227" s="962">
        <f t="shared" si="150"/>
        <v>3654</v>
      </c>
      <c r="L227" s="962">
        <f t="shared" si="151"/>
        <v>1000</v>
      </c>
      <c r="M227" s="962"/>
      <c r="N227" s="962">
        <f t="shared" si="152"/>
        <v>1000</v>
      </c>
      <c r="O227" s="963">
        <f t="shared" si="153"/>
        <v>44848</v>
      </c>
      <c r="P227" s="956">
        <f t="shared" si="154"/>
        <v>11525936</v>
      </c>
      <c r="Q227" s="977">
        <v>308</v>
      </c>
      <c r="R227" s="963">
        <v>2204</v>
      </c>
      <c r="S227" s="993"/>
      <c r="T227" s="993"/>
      <c r="U227" s="993"/>
      <c r="V227" s="993"/>
      <c r="W227" s="993"/>
      <c r="X227" s="993"/>
      <c r="Y227" s="962">
        <v>1450</v>
      </c>
      <c r="Z227" s="962">
        <f t="shared" si="155"/>
        <v>3654</v>
      </c>
      <c r="AA227" s="962">
        <f t="shared" si="156"/>
        <v>1000</v>
      </c>
      <c r="AB227" s="962"/>
      <c r="AC227" s="962">
        <f t="shared" si="157"/>
        <v>1000</v>
      </c>
      <c r="AD227" s="963">
        <f t="shared" si="158"/>
        <v>44848</v>
      </c>
      <c r="AE227" s="956">
        <f t="shared" si="159"/>
        <v>13813184</v>
      </c>
      <c r="AF227" s="957">
        <f t="shared" si="160"/>
        <v>0</v>
      </c>
      <c r="AG227" s="956">
        <f t="shared" si="160"/>
        <v>-2287248</v>
      </c>
      <c r="AH227" s="978">
        <v>230</v>
      </c>
      <c r="AI227" s="956">
        <v>10340240</v>
      </c>
    </row>
    <row r="228" spans="1:37" ht="24">
      <c r="A228" s="935" t="s">
        <v>6956</v>
      </c>
      <c r="B228" s="994">
        <f>SUM(B229:B236)</f>
        <v>6445</v>
      </c>
      <c r="C228" s="995"/>
      <c r="D228" s="995"/>
      <c r="E228" s="995"/>
      <c r="F228" s="995"/>
      <c r="G228" s="995"/>
      <c r="H228" s="995"/>
      <c r="I228" s="995"/>
      <c r="J228" s="966"/>
      <c r="K228" s="995"/>
      <c r="L228" s="995"/>
      <c r="M228" s="995"/>
      <c r="N228" s="995"/>
      <c r="O228" s="996">
        <f>SUM(O229:O236)</f>
        <v>358004</v>
      </c>
      <c r="P228" s="997">
        <f>SUM(P229:P236)</f>
        <v>280029172</v>
      </c>
      <c r="Q228" s="998">
        <f>SUM(Q229:Q236)</f>
        <v>6357</v>
      </c>
      <c r="R228" s="995"/>
      <c r="S228" s="995"/>
      <c r="T228" s="995"/>
      <c r="U228" s="995"/>
      <c r="V228" s="995"/>
      <c r="W228" s="995"/>
      <c r="X228" s="995"/>
      <c r="Y228" s="966"/>
      <c r="Z228" s="995"/>
      <c r="AA228" s="995"/>
      <c r="AB228" s="995"/>
      <c r="AC228" s="996"/>
      <c r="AD228" s="996">
        <f t="shared" ref="AD228:AI228" si="161">SUM(AD229:AD236)</f>
        <v>358004</v>
      </c>
      <c r="AE228" s="997">
        <f t="shared" si="161"/>
        <v>276056352</v>
      </c>
      <c r="AF228" s="994">
        <f t="shared" si="161"/>
        <v>0</v>
      </c>
      <c r="AG228" s="997">
        <f t="shared" si="161"/>
        <v>3972820</v>
      </c>
      <c r="AH228" s="999">
        <f t="shared" si="161"/>
        <v>6133</v>
      </c>
      <c r="AI228" s="997">
        <f t="shared" si="161"/>
        <v>270417675.14999998</v>
      </c>
    </row>
    <row r="229" spans="1:37">
      <c r="A229" s="933" t="s">
        <v>6955</v>
      </c>
      <c r="B229" s="977">
        <v>226</v>
      </c>
      <c r="C229" s="963">
        <v>2668</v>
      </c>
      <c r="D229" s="993"/>
      <c r="E229" s="993"/>
      <c r="F229" s="993"/>
      <c r="G229" s="993"/>
      <c r="H229" s="993"/>
      <c r="I229" s="993"/>
      <c r="J229" s="962">
        <v>1650</v>
      </c>
      <c r="K229" s="962">
        <f t="shared" ref="K229:K236" si="162">SUM(C229:J229)</f>
        <v>4318</v>
      </c>
      <c r="L229" s="962">
        <f t="shared" ref="L229:L236" si="163">300+300+400</f>
        <v>1000</v>
      </c>
      <c r="M229" s="962"/>
      <c r="N229" s="962">
        <f t="shared" ref="N229:N236" si="164">SUM(L229:M229)</f>
        <v>1000</v>
      </c>
      <c r="O229" s="963">
        <f t="shared" ref="O229:O236" si="165">(K229*12)+N229</f>
        <v>52816</v>
      </c>
      <c r="P229" s="956">
        <f>B229*O229</f>
        <v>11936416</v>
      </c>
      <c r="Q229" s="977">
        <v>222</v>
      </c>
      <c r="R229" s="963">
        <v>2668</v>
      </c>
      <c r="S229" s="993"/>
      <c r="T229" s="993"/>
      <c r="U229" s="993"/>
      <c r="V229" s="993"/>
      <c r="W229" s="993"/>
      <c r="X229" s="993"/>
      <c r="Y229" s="962">
        <v>1650</v>
      </c>
      <c r="Z229" s="962">
        <f t="shared" ref="Z229:Z236" si="166">SUM(R229:Y229)</f>
        <v>4318</v>
      </c>
      <c r="AA229" s="962">
        <f t="shared" ref="AA229:AA236" si="167">300+300+400</f>
        <v>1000</v>
      </c>
      <c r="AB229" s="962"/>
      <c r="AC229" s="962">
        <f t="shared" ref="AC229:AC236" si="168">SUM(AA229:AB229)</f>
        <v>1000</v>
      </c>
      <c r="AD229" s="963">
        <f t="shared" ref="AD229:AD236" si="169">(Z229*12)+AC229</f>
        <v>52816</v>
      </c>
      <c r="AE229" s="956">
        <f t="shared" ref="AE229:AE236" si="170">Q229*AD229</f>
        <v>11725152</v>
      </c>
      <c r="AF229" s="957">
        <f t="shared" ref="AF229:AG236" si="171">+O229-AD229</f>
        <v>0</v>
      </c>
      <c r="AG229" s="956">
        <f t="shared" si="171"/>
        <v>211264</v>
      </c>
      <c r="AH229" s="978">
        <v>218</v>
      </c>
      <c r="AI229" s="956">
        <v>11677688</v>
      </c>
    </row>
    <row r="230" spans="1:37">
      <c r="A230" s="933" t="s">
        <v>6947</v>
      </c>
      <c r="B230" s="977">
        <v>563</v>
      </c>
      <c r="C230" s="963">
        <v>2561</v>
      </c>
      <c r="D230" s="993"/>
      <c r="E230" s="993"/>
      <c r="F230" s="993"/>
      <c r="G230" s="993"/>
      <c r="H230" s="993"/>
      <c r="I230" s="993"/>
      <c r="J230" s="962">
        <v>1650</v>
      </c>
      <c r="K230" s="962">
        <f t="shared" si="162"/>
        <v>4211</v>
      </c>
      <c r="L230" s="962">
        <f t="shared" si="163"/>
        <v>1000</v>
      </c>
      <c r="M230" s="962"/>
      <c r="N230" s="962">
        <f t="shared" si="164"/>
        <v>1000</v>
      </c>
      <c r="O230" s="963">
        <f t="shared" si="165"/>
        <v>51532</v>
      </c>
      <c r="P230" s="956">
        <f>B230*O230</f>
        <v>29012516</v>
      </c>
      <c r="Q230" s="977">
        <v>558</v>
      </c>
      <c r="R230" s="963">
        <v>2561</v>
      </c>
      <c r="S230" s="993"/>
      <c r="T230" s="993"/>
      <c r="U230" s="993"/>
      <c r="V230" s="993"/>
      <c r="W230" s="993"/>
      <c r="X230" s="993"/>
      <c r="Y230" s="962">
        <v>1650</v>
      </c>
      <c r="Z230" s="962">
        <f t="shared" si="166"/>
        <v>4211</v>
      </c>
      <c r="AA230" s="962">
        <f t="shared" si="167"/>
        <v>1000</v>
      </c>
      <c r="AB230" s="962"/>
      <c r="AC230" s="962">
        <f t="shared" si="168"/>
        <v>1000</v>
      </c>
      <c r="AD230" s="963">
        <f t="shared" si="169"/>
        <v>51532</v>
      </c>
      <c r="AE230" s="956">
        <f t="shared" si="170"/>
        <v>28754856</v>
      </c>
      <c r="AF230" s="957">
        <f t="shared" si="171"/>
        <v>0</v>
      </c>
      <c r="AG230" s="956">
        <f t="shared" si="171"/>
        <v>257660</v>
      </c>
      <c r="AH230" s="978">
        <v>549</v>
      </c>
      <c r="AI230" s="956">
        <v>28567668</v>
      </c>
    </row>
    <row r="231" spans="1:37">
      <c r="A231" s="933" t="s">
        <v>6946</v>
      </c>
      <c r="B231" s="977">
        <v>940</v>
      </c>
      <c r="C231" s="963">
        <v>2382</v>
      </c>
      <c r="D231" s="993"/>
      <c r="E231" s="993"/>
      <c r="F231" s="993"/>
      <c r="G231" s="993"/>
      <c r="H231" s="993"/>
      <c r="I231" s="993"/>
      <c r="J231" s="962">
        <v>1450</v>
      </c>
      <c r="K231" s="962">
        <f t="shared" si="162"/>
        <v>3832</v>
      </c>
      <c r="L231" s="962">
        <f t="shared" si="163"/>
        <v>1000</v>
      </c>
      <c r="M231" s="962"/>
      <c r="N231" s="962">
        <f t="shared" si="164"/>
        <v>1000</v>
      </c>
      <c r="O231" s="963">
        <f t="shared" si="165"/>
        <v>46984</v>
      </c>
      <c r="P231" s="956">
        <f>B231*O231</f>
        <v>44164960</v>
      </c>
      <c r="Q231" s="977">
        <f>982-Q244</f>
        <v>982</v>
      </c>
      <c r="R231" s="963">
        <v>2382</v>
      </c>
      <c r="S231" s="993"/>
      <c r="T231" s="993"/>
      <c r="U231" s="993"/>
      <c r="V231" s="993"/>
      <c r="W231" s="993"/>
      <c r="X231" s="993"/>
      <c r="Y231" s="962">
        <v>1450</v>
      </c>
      <c r="Z231" s="962">
        <f t="shared" si="166"/>
        <v>3832</v>
      </c>
      <c r="AA231" s="962">
        <f t="shared" si="167"/>
        <v>1000</v>
      </c>
      <c r="AB231" s="962"/>
      <c r="AC231" s="962">
        <f t="shared" si="168"/>
        <v>1000</v>
      </c>
      <c r="AD231" s="963">
        <f t="shared" si="169"/>
        <v>46984</v>
      </c>
      <c r="AE231" s="956">
        <f t="shared" si="170"/>
        <v>46138288</v>
      </c>
      <c r="AF231" s="957">
        <f t="shared" si="171"/>
        <v>0</v>
      </c>
      <c r="AG231" s="956">
        <f t="shared" si="171"/>
        <v>-1973328</v>
      </c>
      <c r="AH231" s="978">
        <v>983</v>
      </c>
      <c r="AI231" s="956">
        <v>46935872</v>
      </c>
    </row>
    <row r="232" spans="1:37">
      <c r="A232" s="933" t="s">
        <v>6945</v>
      </c>
      <c r="B232" s="977">
        <v>1218</v>
      </c>
      <c r="C232" s="963">
        <v>2228</v>
      </c>
      <c r="D232" s="993"/>
      <c r="E232" s="993"/>
      <c r="F232" s="993"/>
      <c r="G232" s="993"/>
      <c r="H232" s="993"/>
      <c r="I232" s="993"/>
      <c r="J232" s="962">
        <v>1300</v>
      </c>
      <c r="K232" s="962">
        <f t="shared" si="162"/>
        <v>3528</v>
      </c>
      <c r="L232" s="962">
        <f t="shared" si="163"/>
        <v>1000</v>
      </c>
      <c r="M232" s="962"/>
      <c r="N232" s="962">
        <f t="shared" si="164"/>
        <v>1000</v>
      </c>
      <c r="O232" s="963">
        <f t="shared" si="165"/>
        <v>43336</v>
      </c>
      <c r="P232" s="956">
        <f>B232*O232-108</f>
        <v>52783140</v>
      </c>
      <c r="Q232" s="977">
        <f>958-Q245</f>
        <v>957</v>
      </c>
      <c r="R232" s="963">
        <v>2228</v>
      </c>
      <c r="S232" s="993"/>
      <c r="T232" s="993"/>
      <c r="U232" s="993"/>
      <c r="V232" s="993"/>
      <c r="W232" s="993"/>
      <c r="X232" s="993"/>
      <c r="Y232" s="962">
        <v>1300</v>
      </c>
      <c r="Z232" s="962">
        <f t="shared" si="166"/>
        <v>3528</v>
      </c>
      <c r="AA232" s="962">
        <f t="shared" si="167"/>
        <v>1000</v>
      </c>
      <c r="AB232" s="962"/>
      <c r="AC232" s="962">
        <f t="shared" si="168"/>
        <v>1000</v>
      </c>
      <c r="AD232" s="963">
        <f t="shared" si="169"/>
        <v>43336</v>
      </c>
      <c r="AE232" s="956">
        <f t="shared" si="170"/>
        <v>41472552</v>
      </c>
      <c r="AF232" s="957">
        <f t="shared" si="171"/>
        <v>0</v>
      </c>
      <c r="AG232" s="956">
        <f t="shared" si="171"/>
        <v>11310588</v>
      </c>
      <c r="AH232" s="978">
        <v>848</v>
      </c>
      <c r="AI232" s="956">
        <v>37354328</v>
      </c>
    </row>
    <row r="233" spans="1:37">
      <c r="A233" s="933" t="s">
        <v>6944</v>
      </c>
      <c r="B233" s="977">
        <v>555</v>
      </c>
      <c r="C233" s="963">
        <v>2104</v>
      </c>
      <c r="D233" s="993"/>
      <c r="E233" s="993"/>
      <c r="F233" s="993"/>
      <c r="G233" s="993"/>
      <c r="H233" s="993"/>
      <c r="I233" s="993"/>
      <c r="J233" s="962">
        <v>1300</v>
      </c>
      <c r="K233" s="962">
        <f t="shared" si="162"/>
        <v>3404</v>
      </c>
      <c r="L233" s="962">
        <f t="shared" si="163"/>
        <v>1000</v>
      </c>
      <c r="M233" s="962"/>
      <c r="N233" s="962">
        <f t="shared" si="164"/>
        <v>1000</v>
      </c>
      <c r="O233" s="963">
        <f t="shared" si="165"/>
        <v>41848</v>
      </c>
      <c r="P233" s="956">
        <f>B233*O233</f>
        <v>23225640</v>
      </c>
      <c r="Q233" s="977">
        <f>540-Q246</f>
        <v>539</v>
      </c>
      <c r="R233" s="963">
        <v>2104</v>
      </c>
      <c r="S233" s="993"/>
      <c r="T233" s="993"/>
      <c r="U233" s="993"/>
      <c r="V233" s="993"/>
      <c r="W233" s="993"/>
      <c r="X233" s="993"/>
      <c r="Y233" s="962">
        <v>1300</v>
      </c>
      <c r="Z233" s="962">
        <f t="shared" si="166"/>
        <v>3404</v>
      </c>
      <c r="AA233" s="962">
        <f t="shared" si="167"/>
        <v>1000</v>
      </c>
      <c r="AB233" s="962"/>
      <c r="AC233" s="962">
        <f t="shared" si="168"/>
        <v>1000</v>
      </c>
      <c r="AD233" s="963">
        <f t="shared" si="169"/>
        <v>41848</v>
      </c>
      <c r="AE233" s="956">
        <f t="shared" si="170"/>
        <v>22556072</v>
      </c>
      <c r="AF233" s="957">
        <f t="shared" si="171"/>
        <v>0</v>
      </c>
      <c r="AG233" s="956">
        <f t="shared" si="171"/>
        <v>669568</v>
      </c>
      <c r="AH233" s="978">
        <v>641</v>
      </c>
      <c r="AI233" s="956">
        <v>27038768</v>
      </c>
    </row>
    <row r="234" spans="1:37">
      <c r="A234" s="933" t="s">
        <v>6943</v>
      </c>
      <c r="B234" s="977">
        <v>729</v>
      </c>
      <c r="C234" s="963">
        <v>2043</v>
      </c>
      <c r="D234" s="993"/>
      <c r="E234" s="993"/>
      <c r="F234" s="993"/>
      <c r="G234" s="993"/>
      <c r="H234" s="993"/>
      <c r="I234" s="993"/>
      <c r="J234" s="962">
        <v>1300</v>
      </c>
      <c r="K234" s="962">
        <f t="shared" si="162"/>
        <v>3343</v>
      </c>
      <c r="L234" s="962">
        <f t="shared" si="163"/>
        <v>1000</v>
      </c>
      <c r="M234" s="962"/>
      <c r="N234" s="962">
        <f t="shared" si="164"/>
        <v>1000</v>
      </c>
      <c r="O234" s="963">
        <f t="shared" si="165"/>
        <v>41116</v>
      </c>
      <c r="P234" s="956">
        <f>B234*O234</f>
        <v>29973564</v>
      </c>
      <c r="Q234" s="977">
        <f>955-Q247</f>
        <v>953</v>
      </c>
      <c r="R234" s="963">
        <v>2043</v>
      </c>
      <c r="S234" s="993"/>
      <c r="T234" s="993"/>
      <c r="U234" s="993"/>
      <c r="V234" s="993"/>
      <c r="W234" s="993"/>
      <c r="X234" s="993"/>
      <c r="Y234" s="962">
        <v>1300</v>
      </c>
      <c r="Z234" s="962">
        <f t="shared" si="166"/>
        <v>3343</v>
      </c>
      <c r="AA234" s="962">
        <f t="shared" si="167"/>
        <v>1000</v>
      </c>
      <c r="AB234" s="962"/>
      <c r="AC234" s="962">
        <f t="shared" si="168"/>
        <v>1000</v>
      </c>
      <c r="AD234" s="963">
        <f t="shared" si="169"/>
        <v>41116</v>
      </c>
      <c r="AE234" s="956">
        <f t="shared" si="170"/>
        <v>39183548</v>
      </c>
      <c r="AF234" s="957">
        <f t="shared" si="171"/>
        <v>0</v>
      </c>
      <c r="AG234" s="956">
        <f t="shared" si="171"/>
        <v>-9209984</v>
      </c>
      <c r="AH234" s="978">
        <v>990</v>
      </c>
      <c r="AI234" s="956">
        <v>41123247.950000003</v>
      </c>
    </row>
    <row r="235" spans="1:37">
      <c r="A235" s="933" t="s">
        <v>6942</v>
      </c>
      <c r="B235" s="977">
        <v>1066</v>
      </c>
      <c r="C235" s="963">
        <v>2005</v>
      </c>
      <c r="D235" s="993"/>
      <c r="E235" s="993"/>
      <c r="F235" s="993"/>
      <c r="G235" s="993"/>
      <c r="H235" s="993"/>
      <c r="I235" s="993"/>
      <c r="J235" s="962">
        <v>1300</v>
      </c>
      <c r="K235" s="962">
        <f t="shared" si="162"/>
        <v>3305</v>
      </c>
      <c r="L235" s="962">
        <f t="shared" si="163"/>
        <v>1000</v>
      </c>
      <c r="M235" s="962"/>
      <c r="N235" s="962">
        <f t="shared" si="164"/>
        <v>1000</v>
      </c>
      <c r="O235" s="963">
        <f t="shared" si="165"/>
        <v>40660</v>
      </c>
      <c r="P235" s="956">
        <f>B235*O235</f>
        <v>43343560</v>
      </c>
      <c r="Q235" s="977">
        <f>1063-Q248</f>
        <v>1059</v>
      </c>
      <c r="R235" s="963">
        <v>2005</v>
      </c>
      <c r="S235" s="993"/>
      <c r="T235" s="993"/>
      <c r="U235" s="993"/>
      <c r="V235" s="993"/>
      <c r="W235" s="993"/>
      <c r="X235" s="993"/>
      <c r="Y235" s="962">
        <v>1300</v>
      </c>
      <c r="Z235" s="962">
        <f t="shared" si="166"/>
        <v>3305</v>
      </c>
      <c r="AA235" s="962">
        <f t="shared" si="167"/>
        <v>1000</v>
      </c>
      <c r="AB235" s="962"/>
      <c r="AC235" s="962">
        <f t="shared" si="168"/>
        <v>1000</v>
      </c>
      <c r="AD235" s="963">
        <f t="shared" si="169"/>
        <v>40660</v>
      </c>
      <c r="AE235" s="956">
        <f t="shared" si="170"/>
        <v>43058940</v>
      </c>
      <c r="AF235" s="957">
        <f t="shared" si="171"/>
        <v>0</v>
      </c>
      <c r="AG235" s="956">
        <f t="shared" si="171"/>
        <v>284620</v>
      </c>
      <c r="AH235" s="978">
        <v>1106</v>
      </c>
      <c r="AI235" s="956">
        <v>45355043.600000001</v>
      </c>
    </row>
    <row r="236" spans="1:37">
      <c r="A236" s="933" t="s">
        <v>6941</v>
      </c>
      <c r="B236" s="977">
        <v>1148</v>
      </c>
      <c r="C236" s="963">
        <v>1976</v>
      </c>
      <c r="D236" s="993"/>
      <c r="E236" s="993"/>
      <c r="F236" s="993"/>
      <c r="G236" s="993"/>
      <c r="H236" s="993"/>
      <c r="I236" s="993"/>
      <c r="J236" s="962">
        <v>1250</v>
      </c>
      <c r="K236" s="962">
        <f t="shared" si="162"/>
        <v>3226</v>
      </c>
      <c r="L236" s="962">
        <f t="shared" si="163"/>
        <v>1000</v>
      </c>
      <c r="M236" s="962"/>
      <c r="N236" s="962">
        <f t="shared" si="164"/>
        <v>1000</v>
      </c>
      <c r="O236" s="963">
        <f t="shared" si="165"/>
        <v>39712</v>
      </c>
      <c r="P236" s="956">
        <f>B236*O236</f>
        <v>45589376</v>
      </c>
      <c r="Q236" s="977">
        <v>1087</v>
      </c>
      <c r="R236" s="963">
        <v>1976</v>
      </c>
      <c r="S236" s="993"/>
      <c r="T236" s="993"/>
      <c r="U236" s="993"/>
      <c r="V236" s="993"/>
      <c r="W236" s="993"/>
      <c r="X236" s="993"/>
      <c r="Y236" s="962">
        <v>1250</v>
      </c>
      <c r="Z236" s="962">
        <f t="shared" si="166"/>
        <v>3226</v>
      </c>
      <c r="AA236" s="962">
        <f t="shared" si="167"/>
        <v>1000</v>
      </c>
      <c r="AB236" s="962"/>
      <c r="AC236" s="962">
        <f t="shared" si="168"/>
        <v>1000</v>
      </c>
      <c r="AD236" s="963">
        <f t="shared" si="169"/>
        <v>39712</v>
      </c>
      <c r="AE236" s="956">
        <f t="shared" si="170"/>
        <v>43166944</v>
      </c>
      <c r="AF236" s="957">
        <f t="shared" si="171"/>
        <v>0</v>
      </c>
      <c r="AG236" s="956">
        <f t="shared" si="171"/>
        <v>2422432</v>
      </c>
      <c r="AH236" s="978">
        <v>798</v>
      </c>
      <c r="AI236" s="956">
        <v>32365059.600000001</v>
      </c>
    </row>
    <row r="237" spans="1:37" ht="48">
      <c r="A237" s="939" t="s">
        <v>7146</v>
      </c>
      <c r="B237" s="994">
        <f>SUM(B238:B249)</f>
        <v>4</v>
      </c>
      <c r="C237" s="995"/>
      <c r="D237" s="995"/>
      <c r="E237" s="995"/>
      <c r="F237" s="995"/>
      <c r="G237" s="995"/>
      <c r="H237" s="995"/>
      <c r="I237" s="995"/>
      <c r="J237" s="966"/>
      <c r="K237" s="995"/>
      <c r="L237" s="995"/>
      <c r="M237" s="995"/>
      <c r="N237" s="995"/>
      <c r="O237" s="996">
        <f>SUM(O238:O249)</f>
        <v>188888</v>
      </c>
      <c r="P237" s="997">
        <f>SUM(P238:P249)</f>
        <v>236000</v>
      </c>
      <c r="Q237" s="998">
        <f>SUM(Q238:Q249)</f>
        <v>10</v>
      </c>
      <c r="R237" s="995"/>
      <c r="S237" s="995"/>
      <c r="T237" s="995"/>
      <c r="U237" s="995"/>
      <c r="V237" s="995"/>
      <c r="W237" s="995"/>
      <c r="X237" s="995"/>
      <c r="Y237" s="966"/>
      <c r="Z237" s="995"/>
      <c r="AA237" s="995"/>
      <c r="AB237" s="995"/>
      <c r="AC237" s="996"/>
      <c r="AD237" s="996">
        <f t="shared" ref="AD237:AI237" si="172">SUM(AD238:AD249)</f>
        <v>273608</v>
      </c>
      <c r="AE237" s="997">
        <f t="shared" si="172"/>
        <v>543352</v>
      </c>
      <c r="AF237" s="994">
        <f t="shared" si="172"/>
        <v>-84720</v>
      </c>
      <c r="AG237" s="997">
        <f t="shared" si="172"/>
        <v>-307352</v>
      </c>
      <c r="AH237" s="999">
        <f t="shared" si="172"/>
        <v>13</v>
      </c>
      <c r="AI237" s="997">
        <f t="shared" si="172"/>
        <v>730636</v>
      </c>
    </row>
    <row r="238" spans="1:37" ht="24">
      <c r="A238" s="933" t="s">
        <v>6953</v>
      </c>
      <c r="B238" s="977"/>
      <c r="C238" s="963"/>
      <c r="D238" s="993"/>
      <c r="E238" s="993"/>
      <c r="F238" s="993"/>
      <c r="G238" s="993"/>
      <c r="H238" s="993"/>
      <c r="I238" s="993"/>
      <c r="J238" s="962"/>
      <c r="K238" s="962"/>
      <c r="L238" s="962">
        <f t="shared" ref="L238:L248" si="173">300+300+400</f>
        <v>1000</v>
      </c>
      <c r="M238" s="962"/>
      <c r="N238" s="962">
        <f t="shared" ref="N238:N249" si="174">SUM(L238:M238)</f>
        <v>1000</v>
      </c>
      <c r="O238" s="963">
        <f t="shared" ref="O238:O249" si="175">(K238*12)+N238</f>
        <v>1000</v>
      </c>
      <c r="P238" s="956">
        <f t="shared" ref="P238:P249" si="176">B238*O238</f>
        <v>0</v>
      </c>
      <c r="Q238" s="977"/>
      <c r="R238" s="963"/>
      <c r="S238" s="993"/>
      <c r="T238" s="993"/>
      <c r="U238" s="993"/>
      <c r="V238" s="993"/>
      <c r="W238" s="993"/>
      <c r="X238" s="993"/>
      <c r="Y238" s="962"/>
      <c r="Z238" s="962"/>
      <c r="AA238" s="962"/>
      <c r="AB238" s="962"/>
      <c r="AC238" s="962">
        <f>SUM(AA238:AB238)</f>
        <v>0</v>
      </c>
      <c r="AD238" s="963">
        <f>(Z238*12)+AC238</f>
        <v>0</v>
      </c>
      <c r="AE238" s="956">
        <f t="shared" ref="AE238:AE249" si="177">Q238*AD238</f>
        <v>0</v>
      </c>
      <c r="AF238" s="957">
        <f t="shared" ref="AF238:AF249" si="178">+O238-AD238</f>
        <v>1000</v>
      </c>
      <c r="AG238" s="956">
        <f t="shared" ref="AG238:AG249" si="179">+P238-AE238</f>
        <v>0</v>
      </c>
      <c r="AH238" s="978"/>
      <c r="AI238" s="956"/>
    </row>
    <row r="239" spans="1:37">
      <c r="A239" s="933" t="s">
        <v>6952</v>
      </c>
      <c r="B239" s="977"/>
      <c r="C239" s="963"/>
      <c r="D239" s="993"/>
      <c r="E239" s="993"/>
      <c r="F239" s="993"/>
      <c r="G239" s="993"/>
      <c r="H239" s="993"/>
      <c r="I239" s="993"/>
      <c r="J239" s="962"/>
      <c r="K239" s="962"/>
      <c r="L239" s="962">
        <f t="shared" si="173"/>
        <v>1000</v>
      </c>
      <c r="M239" s="962"/>
      <c r="N239" s="962">
        <f t="shared" si="174"/>
        <v>1000</v>
      </c>
      <c r="O239" s="963">
        <f t="shared" si="175"/>
        <v>1000</v>
      </c>
      <c r="P239" s="956">
        <f t="shared" si="176"/>
        <v>0</v>
      </c>
      <c r="Q239" s="977"/>
      <c r="R239" s="963"/>
      <c r="S239" s="993"/>
      <c r="T239" s="993"/>
      <c r="U239" s="993"/>
      <c r="V239" s="993"/>
      <c r="W239" s="993"/>
      <c r="X239" s="993"/>
      <c r="Y239" s="962"/>
      <c r="Z239" s="962"/>
      <c r="AA239" s="962"/>
      <c r="AB239" s="962"/>
      <c r="AC239" s="962">
        <f>SUM(AA239:AB239)</f>
        <v>0</v>
      </c>
      <c r="AD239" s="963">
        <f>(Z239*12)+AC239</f>
        <v>0</v>
      </c>
      <c r="AE239" s="956">
        <f t="shared" si="177"/>
        <v>0</v>
      </c>
      <c r="AF239" s="957">
        <f t="shared" si="178"/>
        <v>1000</v>
      </c>
      <c r="AG239" s="956">
        <f t="shared" si="179"/>
        <v>0</v>
      </c>
      <c r="AH239" s="978"/>
      <c r="AI239" s="956"/>
    </row>
    <row r="240" spans="1:37" ht="24">
      <c r="A240" s="933" t="s">
        <v>6951</v>
      </c>
      <c r="B240" s="977"/>
      <c r="C240" s="963"/>
      <c r="D240" s="993"/>
      <c r="E240" s="993"/>
      <c r="F240" s="993"/>
      <c r="G240" s="993"/>
      <c r="H240" s="993"/>
      <c r="I240" s="993"/>
      <c r="J240" s="962"/>
      <c r="K240" s="962"/>
      <c r="L240" s="962">
        <f t="shared" si="173"/>
        <v>1000</v>
      </c>
      <c r="M240" s="962"/>
      <c r="N240" s="962">
        <f t="shared" si="174"/>
        <v>1000</v>
      </c>
      <c r="O240" s="963">
        <f t="shared" si="175"/>
        <v>1000</v>
      </c>
      <c r="P240" s="956">
        <f t="shared" si="176"/>
        <v>0</v>
      </c>
      <c r="Q240" s="977">
        <v>2</v>
      </c>
      <c r="R240" s="963">
        <v>3254</v>
      </c>
      <c r="S240" s="993"/>
      <c r="T240" s="993"/>
      <c r="U240" s="993"/>
      <c r="V240" s="993"/>
      <c r="W240" s="993"/>
      <c r="X240" s="993"/>
      <c r="Y240" s="962">
        <v>2150</v>
      </c>
      <c r="Z240" s="962">
        <f>SUM(R240:Y240)</f>
        <v>5404</v>
      </c>
      <c r="AA240" s="962">
        <f>300+300+400</f>
        <v>1000</v>
      </c>
      <c r="AB240" s="962"/>
      <c r="AC240" s="962">
        <f>SUM(AA240:AB240)</f>
        <v>1000</v>
      </c>
      <c r="AD240" s="963">
        <f>(Z240*12)+AC240</f>
        <v>65848</v>
      </c>
      <c r="AE240" s="956">
        <f t="shared" si="177"/>
        <v>131696</v>
      </c>
      <c r="AF240" s="957">
        <f t="shared" si="178"/>
        <v>-64848</v>
      </c>
      <c r="AG240" s="956">
        <f t="shared" si="179"/>
        <v>-131696</v>
      </c>
      <c r="AH240" s="978">
        <v>2</v>
      </c>
      <c r="AI240" s="956">
        <v>156896</v>
      </c>
      <c r="AK240" s="866"/>
    </row>
    <row r="241" spans="1:37">
      <c r="A241" s="933" t="s">
        <v>6950</v>
      </c>
      <c r="B241" s="977">
        <v>1</v>
      </c>
      <c r="C241" s="963">
        <v>2705</v>
      </c>
      <c r="D241" s="993"/>
      <c r="E241" s="993"/>
      <c r="F241" s="993"/>
      <c r="G241" s="993"/>
      <c r="H241" s="993"/>
      <c r="I241" s="993"/>
      <c r="J241" s="962">
        <v>2150</v>
      </c>
      <c r="K241" s="962">
        <v>5405</v>
      </c>
      <c r="L241" s="962">
        <f t="shared" si="173"/>
        <v>1000</v>
      </c>
      <c r="M241" s="962"/>
      <c r="N241" s="962">
        <f t="shared" si="174"/>
        <v>1000</v>
      </c>
      <c r="O241" s="963">
        <f t="shared" si="175"/>
        <v>65860</v>
      </c>
      <c r="P241" s="956">
        <f t="shared" si="176"/>
        <v>65860</v>
      </c>
      <c r="Q241" s="977"/>
      <c r="R241" s="963"/>
      <c r="S241" s="993"/>
      <c r="T241" s="993"/>
      <c r="U241" s="993"/>
      <c r="V241" s="993"/>
      <c r="W241" s="993"/>
      <c r="X241" s="993"/>
      <c r="Y241" s="962"/>
      <c r="Z241" s="962"/>
      <c r="AA241" s="962"/>
      <c r="AB241" s="962"/>
      <c r="AC241" s="962"/>
      <c r="AD241" s="963"/>
      <c r="AE241" s="956">
        <f t="shared" si="177"/>
        <v>0</v>
      </c>
      <c r="AF241" s="957">
        <f t="shared" si="178"/>
        <v>65860</v>
      </c>
      <c r="AG241" s="956">
        <f t="shared" si="179"/>
        <v>65860</v>
      </c>
      <c r="AH241" s="978"/>
      <c r="AI241" s="956"/>
      <c r="AK241" s="866"/>
    </row>
    <row r="242" spans="1:37">
      <c r="A242" s="933" t="s">
        <v>6949</v>
      </c>
      <c r="B242" s="977"/>
      <c r="C242" s="963"/>
      <c r="D242" s="993"/>
      <c r="E242" s="993"/>
      <c r="F242" s="993"/>
      <c r="G242" s="993"/>
      <c r="H242" s="993"/>
      <c r="I242" s="993"/>
      <c r="J242" s="962"/>
      <c r="K242" s="962"/>
      <c r="L242" s="962">
        <f t="shared" si="173"/>
        <v>1000</v>
      </c>
      <c r="M242" s="962"/>
      <c r="N242" s="962">
        <f t="shared" si="174"/>
        <v>1000</v>
      </c>
      <c r="O242" s="963">
        <f t="shared" si="175"/>
        <v>1000</v>
      </c>
      <c r="P242" s="956">
        <f t="shared" si="176"/>
        <v>0</v>
      </c>
      <c r="Q242" s="977"/>
      <c r="R242" s="963"/>
      <c r="S242" s="993"/>
      <c r="T242" s="993"/>
      <c r="U242" s="993"/>
      <c r="V242" s="993"/>
      <c r="W242" s="993"/>
      <c r="X242" s="993"/>
      <c r="Y242" s="962"/>
      <c r="Z242" s="962"/>
      <c r="AA242" s="962"/>
      <c r="AB242" s="962"/>
      <c r="AC242" s="962"/>
      <c r="AD242" s="963"/>
      <c r="AE242" s="956">
        <f t="shared" si="177"/>
        <v>0</v>
      </c>
      <c r="AF242" s="957">
        <f t="shared" si="178"/>
        <v>1000</v>
      </c>
      <c r="AG242" s="956">
        <f t="shared" si="179"/>
        <v>0</v>
      </c>
      <c r="AH242" s="978"/>
      <c r="AI242" s="956"/>
      <c r="AK242" s="866"/>
    </row>
    <row r="243" spans="1:37">
      <c r="A243" s="933" t="s">
        <v>6948</v>
      </c>
      <c r="B243" s="977"/>
      <c r="C243" s="963"/>
      <c r="D243" s="993"/>
      <c r="E243" s="993"/>
      <c r="F243" s="993"/>
      <c r="G243" s="993"/>
      <c r="H243" s="993"/>
      <c r="I243" s="993"/>
      <c r="J243" s="962"/>
      <c r="K243" s="962"/>
      <c r="L243" s="962">
        <f t="shared" si="173"/>
        <v>1000</v>
      </c>
      <c r="M243" s="962"/>
      <c r="N243" s="962">
        <f t="shared" si="174"/>
        <v>1000</v>
      </c>
      <c r="O243" s="963">
        <f t="shared" si="175"/>
        <v>1000</v>
      </c>
      <c r="P243" s="956">
        <f t="shared" si="176"/>
        <v>0</v>
      </c>
      <c r="Q243" s="977"/>
      <c r="R243" s="963"/>
      <c r="S243" s="993"/>
      <c r="T243" s="993"/>
      <c r="U243" s="993"/>
      <c r="V243" s="993"/>
      <c r="W243" s="993"/>
      <c r="X243" s="993"/>
      <c r="Y243" s="962"/>
      <c r="Z243" s="962"/>
      <c r="AA243" s="962"/>
      <c r="AB243" s="962"/>
      <c r="AC243" s="962"/>
      <c r="AD243" s="963"/>
      <c r="AE243" s="956">
        <f t="shared" si="177"/>
        <v>0</v>
      </c>
      <c r="AF243" s="957">
        <f t="shared" si="178"/>
        <v>1000</v>
      </c>
      <c r="AG243" s="956">
        <f t="shared" si="179"/>
        <v>0</v>
      </c>
      <c r="AH243" s="978"/>
      <c r="AI243" s="956"/>
      <c r="AK243" s="866"/>
    </row>
    <row r="244" spans="1:37">
      <c r="A244" s="933" t="s">
        <v>6946</v>
      </c>
      <c r="B244" s="977"/>
      <c r="C244" s="963"/>
      <c r="D244" s="993"/>
      <c r="E244" s="993"/>
      <c r="F244" s="993"/>
      <c r="G244" s="993"/>
      <c r="H244" s="993"/>
      <c r="I244" s="993"/>
      <c r="J244" s="962"/>
      <c r="K244" s="962"/>
      <c r="L244" s="962">
        <f t="shared" si="173"/>
        <v>1000</v>
      </c>
      <c r="M244" s="962"/>
      <c r="N244" s="962">
        <f t="shared" si="174"/>
        <v>1000</v>
      </c>
      <c r="O244" s="963">
        <f t="shared" si="175"/>
        <v>1000</v>
      </c>
      <c r="P244" s="956">
        <f t="shared" si="176"/>
        <v>0</v>
      </c>
      <c r="Q244" s="1000"/>
      <c r="R244" s="963"/>
      <c r="S244" s="993"/>
      <c r="T244" s="993"/>
      <c r="U244" s="993"/>
      <c r="V244" s="993"/>
      <c r="W244" s="993"/>
      <c r="X244" s="993"/>
      <c r="Y244" s="962"/>
      <c r="Z244" s="962"/>
      <c r="AA244" s="962"/>
      <c r="AB244" s="962"/>
      <c r="AC244" s="962"/>
      <c r="AD244" s="963"/>
      <c r="AE244" s="956">
        <f t="shared" si="177"/>
        <v>0</v>
      </c>
      <c r="AF244" s="957">
        <f t="shared" si="178"/>
        <v>1000</v>
      </c>
      <c r="AG244" s="956">
        <f t="shared" si="179"/>
        <v>0</v>
      </c>
      <c r="AH244" s="978">
        <v>2</v>
      </c>
      <c r="AI244" s="956">
        <v>110768</v>
      </c>
      <c r="AK244" s="866"/>
    </row>
    <row r="245" spans="1:37">
      <c r="A245" s="933" t="s">
        <v>6945</v>
      </c>
      <c r="B245" s="977"/>
      <c r="C245" s="963"/>
      <c r="D245" s="993"/>
      <c r="E245" s="993"/>
      <c r="F245" s="993"/>
      <c r="G245" s="993"/>
      <c r="H245" s="993"/>
      <c r="I245" s="993"/>
      <c r="J245" s="962"/>
      <c r="K245" s="962"/>
      <c r="L245" s="962">
        <f t="shared" si="173"/>
        <v>1000</v>
      </c>
      <c r="M245" s="962"/>
      <c r="N245" s="962">
        <f t="shared" si="174"/>
        <v>1000</v>
      </c>
      <c r="O245" s="963">
        <f t="shared" si="175"/>
        <v>1000</v>
      </c>
      <c r="P245" s="956">
        <f t="shared" si="176"/>
        <v>0</v>
      </c>
      <c r="Q245" s="977">
        <v>1</v>
      </c>
      <c r="R245" s="963">
        <v>2228</v>
      </c>
      <c r="S245" s="993"/>
      <c r="T245" s="993"/>
      <c r="U245" s="993"/>
      <c r="V245" s="993"/>
      <c r="W245" s="993"/>
      <c r="X245" s="993"/>
      <c r="Y245" s="962">
        <v>2150</v>
      </c>
      <c r="Z245" s="962">
        <f>SUM(R245:Y245)</f>
        <v>4378</v>
      </c>
      <c r="AA245" s="962">
        <f>300+300+400</f>
        <v>1000</v>
      </c>
      <c r="AB245" s="962"/>
      <c r="AC245" s="962">
        <f>SUM(AA245:AB245)</f>
        <v>1000</v>
      </c>
      <c r="AD245" s="963">
        <f>(Z245*12)+AC245</f>
        <v>53536</v>
      </c>
      <c r="AE245" s="956">
        <f t="shared" si="177"/>
        <v>53536</v>
      </c>
      <c r="AF245" s="957">
        <f t="shared" si="178"/>
        <v>-52536</v>
      </c>
      <c r="AG245" s="956">
        <f t="shared" si="179"/>
        <v>-53536</v>
      </c>
      <c r="AH245" s="978">
        <v>1</v>
      </c>
      <c r="AI245" s="956">
        <v>53536</v>
      </c>
      <c r="AK245" s="866"/>
    </row>
    <row r="246" spans="1:37">
      <c r="A246" s="933" t="s">
        <v>6944</v>
      </c>
      <c r="B246" s="977"/>
      <c r="C246" s="963"/>
      <c r="D246" s="993"/>
      <c r="E246" s="993"/>
      <c r="F246" s="993"/>
      <c r="G246" s="993"/>
      <c r="H246" s="993"/>
      <c r="I246" s="993"/>
      <c r="J246" s="962"/>
      <c r="K246" s="962"/>
      <c r="L246" s="962">
        <f t="shared" si="173"/>
        <v>1000</v>
      </c>
      <c r="M246" s="962"/>
      <c r="N246" s="962">
        <f t="shared" si="174"/>
        <v>1000</v>
      </c>
      <c r="O246" s="963">
        <f t="shared" si="175"/>
        <v>1000</v>
      </c>
      <c r="P246" s="956">
        <f t="shared" si="176"/>
        <v>0</v>
      </c>
      <c r="Q246" s="977">
        <v>1</v>
      </c>
      <c r="R246" s="963">
        <v>2104</v>
      </c>
      <c r="S246" s="993"/>
      <c r="T246" s="993"/>
      <c r="U246" s="993"/>
      <c r="V246" s="993"/>
      <c r="W246" s="993"/>
      <c r="X246" s="993"/>
      <c r="Y246" s="962">
        <v>2150</v>
      </c>
      <c r="Z246" s="962">
        <f>SUM(R246:Y246)</f>
        <v>4254</v>
      </c>
      <c r="AA246" s="962">
        <f>300+300+400</f>
        <v>1000</v>
      </c>
      <c r="AB246" s="962"/>
      <c r="AC246" s="962">
        <f>SUM(AA246:AB246)</f>
        <v>1000</v>
      </c>
      <c r="AD246" s="963">
        <f>(Z246*12)+AC246</f>
        <v>52048</v>
      </c>
      <c r="AE246" s="956">
        <f t="shared" si="177"/>
        <v>52048</v>
      </c>
      <c r="AF246" s="957">
        <f t="shared" si="178"/>
        <v>-51048</v>
      </c>
      <c r="AG246" s="956">
        <f t="shared" si="179"/>
        <v>-52048</v>
      </c>
      <c r="AH246" s="978">
        <v>1</v>
      </c>
      <c r="AI246" s="956">
        <v>52048</v>
      </c>
      <c r="AK246" s="866"/>
    </row>
    <row r="247" spans="1:37">
      <c r="A247" s="933" t="s">
        <v>6943</v>
      </c>
      <c r="B247" s="977">
        <v>1</v>
      </c>
      <c r="C247" s="963">
        <v>2043</v>
      </c>
      <c r="D247" s="993"/>
      <c r="E247" s="993"/>
      <c r="F247" s="993"/>
      <c r="G247" s="993"/>
      <c r="H247" s="993"/>
      <c r="I247" s="993"/>
      <c r="J247" s="962">
        <v>2150</v>
      </c>
      <c r="K247" s="962">
        <v>4743</v>
      </c>
      <c r="L247" s="962">
        <f t="shared" si="173"/>
        <v>1000</v>
      </c>
      <c r="M247" s="962"/>
      <c r="N247" s="962">
        <f t="shared" si="174"/>
        <v>1000</v>
      </c>
      <c r="O247" s="963">
        <f t="shared" si="175"/>
        <v>57916</v>
      </c>
      <c r="P247" s="956">
        <f t="shared" si="176"/>
        <v>57916</v>
      </c>
      <c r="Q247" s="1000">
        <v>2</v>
      </c>
      <c r="R247" s="963">
        <v>2043</v>
      </c>
      <c r="S247" s="993"/>
      <c r="T247" s="993"/>
      <c r="U247" s="993"/>
      <c r="V247" s="993"/>
      <c r="W247" s="993"/>
      <c r="X247" s="993"/>
      <c r="Y247" s="962">
        <v>2150</v>
      </c>
      <c r="Z247" s="962">
        <f>SUM(R247:Y247)</f>
        <v>4193</v>
      </c>
      <c r="AA247" s="962">
        <f>300+300+400</f>
        <v>1000</v>
      </c>
      <c r="AB247" s="962"/>
      <c r="AC247" s="962">
        <f>SUM(AA247:AB247)</f>
        <v>1000</v>
      </c>
      <c r="AD247" s="963">
        <f>(Z247*12)+AC247</f>
        <v>51316</v>
      </c>
      <c r="AE247" s="956">
        <f t="shared" si="177"/>
        <v>102632</v>
      </c>
      <c r="AF247" s="957">
        <f t="shared" si="178"/>
        <v>6600</v>
      </c>
      <c r="AG247" s="956">
        <f t="shared" si="179"/>
        <v>-44716</v>
      </c>
      <c r="AH247" s="978">
        <v>3</v>
      </c>
      <c r="AI247" s="956">
        <v>153948</v>
      </c>
      <c r="AK247" s="866"/>
    </row>
    <row r="248" spans="1:37">
      <c r="A248" s="933" t="s">
        <v>6942</v>
      </c>
      <c r="B248" s="977"/>
      <c r="C248" s="963">
        <v>2005</v>
      </c>
      <c r="D248" s="993"/>
      <c r="E248" s="993"/>
      <c r="F248" s="993"/>
      <c r="G248" s="993"/>
      <c r="H248" s="993"/>
      <c r="I248" s="993"/>
      <c r="J248" s="962"/>
      <c r="K248" s="962"/>
      <c r="L248" s="962">
        <f t="shared" si="173"/>
        <v>1000</v>
      </c>
      <c r="M248" s="962"/>
      <c r="N248" s="962">
        <f t="shared" si="174"/>
        <v>1000</v>
      </c>
      <c r="O248" s="963">
        <f t="shared" si="175"/>
        <v>1000</v>
      </c>
      <c r="P248" s="956">
        <f t="shared" si="176"/>
        <v>0</v>
      </c>
      <c r="Q248" s="977">
        <v>4</v>
      </c>
      <c r="R248" s="963">
        <v>2005</v>
      </c>
      <c r="S248" s="993"/>
      <c r="T248" s="993"/>
      <c r="U248" s="993"/>
      <c r="V248" s="993"/>
      <c r="W248" s="993"/>
      <c r="X248" s="993"/>
      <c r="Y248" s="962">
        <v>2150</v>
      </c>
      <c r="Z248" s="962">
        <f>SUM(R248:Y248)</f>
        <v>4155</v>
      </c>
      <c r="AA248" s="962">
        <f>300+300+400</f>
        <v>1000</v>
      </c>
      <c r="AB248" s="962"/>
      <c r="AC248" s="962">
        <f>SUM(AA248:AB248)</f>
        <v>1000</v>
      </c>
      <c r="AD248" s="963">
        <f>(Z248*12)+AC248</f>
        <v>50860</v>
      </c>
      <c r="AE248" s="956">
        <f t="shared" si="177"/>
        <v>203440</v>
      </c>
      <c r="AF248" s="957">
        <f t="shared" si="178"/>
        <v>-49860</v>
      </c>
      <c r="AG248" s="956">
        <f t="shared" si="179"/>
        <v>-203440</v>
      </c>
      <c r="AH248" s="978">
        <v>4</v>
      </c>
      <c r="AI248" s="956">
        <v>203440</v>
      </c>
      <c r="AK248" s="866"/>
    </row>
    <row r="249" spans="1:37">
      <c r="A249" s="933" t="s">
        <v>6941</v>
      </c>
      <c r="B249" s="977">
        <v>2</v>
      </c>
      <c r="C249" s="963">
        <v>1976</v>
      </c>
      <c r="D249" s="993"/>
      <c r="E249" s="993"/>
      <c r="F249" s="993"/>
      <c r="G249" s="993"/>
      <c r="H249" s="993"/>
      <c r="I249" s="993"/>
      <c r="J249" s="962">
        <v>2150</v>
      </c>
      <c r="K249" s="962">
        <v>4676</v>
      </c>
      <c r="L249" s="962"/>
      <c r="M249" s="962"/>
      <c r="N249" s="962">
        <f t="shared" si="174"/>
        <v>0</v>
      </c>
      <c r="O249" s="963">
        <f t="shared" si="175"/>
        <v>56112</v>
      </c>
      <c r="P249" s="956">
        <f t="shared" si="176"/>
        <v>112224</v>
      </c>
      <c r="Q249" s="977"/>
      <c r="R249" s="963"/>
      <c r="S249" s="993"/>
      <c r="T249" s="993"/>
      <c r="U249" s="993"/>
      <c r="V249" s="993"/>
      <c r="W249" s="993"/>
      <c r="X249" s="993"/>
      <c r="Y249" s="962"/>
      <c r="Z249" s="962"/>
      <c r="AA249" s="962"/>
      <c r="AB249" s="962"/>
      <c r="AC249" s="962">
        <f>SUM(AA249:AB249)</f>
        <v>0</v>
      </c>
      <c r="AD249" s="963">
        <f>(Z249*12)+AC249</f>
        <v>0</v>
      </c>
      <c r="AE249" s="956">
        <f t="shared" si="177"/>
        <v>0</v>
      </c>
      <c r="AF249" s="957">
        <f t="shared" si="178"/>
        <v>56112</v>
      </c>
      <c r="AG249" s="956">
        <f t="shared" si="179"/>
        <v>112224</v>
      </c>
      <c r="AH249" s="978"/>
      <c r="AI249" s="956"/>
    </row>
    <row r="250" spans="1:37">
      <c r="A250" s="935" t="s">
        <v>6940</v>
      </c>
      <c r="B250" s="965">
        <f>B252+B257+B261+B265+B269+B273</f>
        <v>3015</v>
      </c>
      <c r="C250" s="966"/>
      <c r="D250" s="966"/>
      <c r="E250" s="966"/>
      <c r="F250" s="966"/>
      <c r="G250" s="966"/>
      <c r="H250" s="966"/>
      <c r="I250" s="966"/>
      <c r="J250" s="966"/>
      <c r="K250" s="966"/>
      <c r="L250" s="966"/>
      <c r="M250" s="966"/>
      <c r="N250" s="966"/>
      <c r="O250" s="966">
        <f>O252+O257+O261+O265+O269+O273</f>
        <v>123204</v>
      </c>
      <c r="P250" s="952">
        <f>P252+P257+P261+P265+P269+P273</f>
        <v>12064765</v>
      </c>
      <c r="Q250" s="965">
        <f>Q252+Q257+Q261+Q265+Q269+Q273</f>
        <v>2372</v>
      </c>
      <c r="R250" s="966"/>
      <c r="S250" s="966"/>
      <c r="T250" s="966"/>
      <c r="U250" s="966"/>
      <c r="V250" s="966"/>
      <c r="W250" s="966"/>
      <c r="X250" s="966"/>
      <c r="Y250" s="966"/>
      <c r="Z250" s="966"/>
      <c r="AA250" s="966"/>
      <c r="AB250" s="966"/>
      <c r="AC250" s="966">
        <f t="shared" ref="AC250:AI250" si="180">AC252+AC257+AC261+AC265+AC269+AC273</f>
        <v>0</v>
      </c>
      <c r="AD250" s="966">
        <f t="shared" si="180"/>
        <v>123204</v>
      </c>
      <c r="AE250" s="952">
        <f t="shared" si="180"/>
        <v>9789756</v>
      </c>
      <c r="AF250" s="965">
        <f t="shared" si="180"/>
        <v>0</v>
      </c>
      <c r="AG250" s="952">
        <f t="shared" si="180"/>
        <v>2275009</v>
      </c>
      <c r="AH250" s="967">
        <f t="shared" si="180"/>
        <v>2500</v>
      </c>
      <c r="AI250" s="952">
        <f t="shared" si="180"/>
        <v>9882240</v>
      </c>
    </row>
    <row r="251" spans="1:37" hidden="1">
      <c r="A251" s="940"/>
      <c r="B251" s="968"/>
      <c r="C251" s="969"/>
      <c r="D251" s="969"/>
      <c r="E251" s="969"/>
      <c r="F251" s="969"/>
      <c r="G251" s="969"/>
      <c r="H251" s="969"/>
      <c r="I251" s="969"/>
      <c r="J251" s="969"/>
      <c r="K251" s="969"/>
      <c r="L251" s="969"/>
      <c r="M251" s="969"/>
      <c r="N251" s="969"/>
      <c r="O251" s="969"/>
      <c r="P251" s="956"/>
      <c r="Q251" s="968"/>
      <c r="R251" s="969"/>
      <c r="S251" s="969"/>
      <c r="T251" s="969"/>
      <c r="U251" s="969"/>
      <c r="V251" s="969"/>
      <c r="W251" s="969"/>
      <c r="X251" s="969"/>
      <c r="Y251" s="969"/>
      <c r="Z251" s="969"/>
      <c r="AA251" s="969"/>
      <c r="AB251" s="969"/>
      <c r="AC251" s="969"/>
      <c r="AD251" s="969"/>
      <c r="AE251" s="956"/>
      <c r="AF251" s="957">
        <f>+B251-Q251</f>
        <v>0</v>
      </c>
      <c r="AG251" s="956">
        <f>+P251-AE251</f>
        <v>0</v>
      </c>
      <c r="AH251" s="974"/>
      <c r="AI251" s="956"/>
    </row>
    <row r="252" spans="1:37" ht="36">
      <c r="A252" s="939" t="s">
        <v>7145</v>
      </c>
      <c r="B252" s="994">
        <f>SUM(B253:B256)</f>
        <v>2383</v>
      </c>
      <c r="C252" s="996"/>
      <c r="D252" s="996"/>
      <c r="E252" s="996"/>
      <c r="F252" s="996"/>
      <c r="G252" s="996"/>
      <c r="H252" s="996"/>
      <c r="I252" s="996"/>
      <c r="J252" s="996"/>
      <c r="K252" s="996"/>
      <c r="L252" s="996"/>
      <c r="M252" s="996"/>
      <c r="N252" s="996"/>
      <c r="O252" s="996">
        <f>SUM(O253:O256)</f>
        <v>14904</v>
      </c>
      <c r="P252" s="997">
        <f>SUM(P253:P256)</f>
        <v>7960225</v>
      </c>
      <c r="Q252" s="994">
        <f>SUM(Q253:Q256)</f>
        <v>1830</v>
      </c>
      <c r="R252" s="996"/>
      <c r="S252" s="996"/>
      <c r="T252" s="996"/>
      <c r="U252" s="996"/>
      <c r="V252" s="996"/>
      <c r="W252" s="996"/>
      <c r="X252" s="996"/>
      <c r="Y252" s="996"/>
      <c r="Z252" s="996"/>
      <c r="AA252" s="996"/>
      <c r="AB252" s="996"/>
      <c r="AC252" s="996">
        <f t="shared" ref="AC252:AI252" si="181">SUM(AC253:AC256)</f>
        <v>0</v>
      </c>
      <c r="AD252" s="996">
        <f t="shared" si="181"/>
        <v>14904</v>
      </c>
      <c r="AE252" s="997">
        <f t="shared" si="181"/>
        <v>6245736</v>
      </c>
      <c r="AF252" s="994">
        <f t="shared" si="181"/>
        <v>0</v>
      </c>
      <c r="AG252" s="997">
        <f t="shared" si="181"/>
        <v>1714489</v>
      </c>
      <c r="AH252" s="999">
        <f t="shared" si="181"/>
        <v>2010</v>
      </c>
      <c r="AI252" s="997">
        <f t="shared" si="181"/>
        <v>6688200</v>
      </c>
    </row>
    <row r="253" spans="1:37" ht="24">
      <c r="A253" s="933" t="s">
        <v>7144</v>
      </c>
      <c r="B253" s="1001">
        <v>30</v>
      </c>
      <c r="C253" s="962">
        <v>365</v>
      </c>
      <c r="D253" s="993"/>
      <c r="E253" s="993"/>
      <c r="F253" s="993"/>
      <c r="G253" s="993"/>
      <c r="H253" s="993"/>
      <c r="I253" s="993"/>
      <c r="J253" s="993"/>
      <c r="K253" s="962">
        <f>SUM(C253:J253)</f>
        <v>365</v>
      </c>
      <c r="L253" s="962"/>
      <c r="M253" s="962"/>
      <c r="N253" s="962">
        <f>SUM(L253:M253)</f>
        <v>0</v>
      </c>
      <c r="O253" s="963">
        <f>(K253*12)+N253</f>
        <v>4380</v>
      </c>
      <c r="P253" s="956">
        <f>B253*O253</f>
        <v>131400</v>
      </c>
      <c r="Q253" s="1001">
        <v>51</v>
      </c>
      <c r="R253" s="962">
        <v>365</v>
      </c>
      <c r="S253" s="993"/>
      <c r="T253" s="993"/>
      <c r="U253" s="993"/>
      <c r="V253" s="993"/>
      <c r="W253" s="993"/>
      <c r="X253" s="993"/>
      <c r="Y253" s="993"/>
      <c r="Z253" s="962">
        <f>SUM(R253:Y253)</f>
        <v>365</v>
      </c>
      <c r="AA253" s="962"/>
      <c r="AB253" s="962"/>
      <c r="AC253" s="962">
        <f>SUM(AA253:AB253)</f>
        <v>0</v>
      </c>
      <c r="AD253" s="963">
        <f>(Z253*12)+AC253</f>
        <v>4380</v>
      </c>
      <c r="AE253" s="956">
        <f>Q253*AD253</f>
        <v>223380</v>
      </c>
      <c r="AF253" s="957">
        <f t="shared" ref="AF253:AG256" si="182">+O253-AD253</f>
        <v>0</v>
      </c>
      <c r="AG253" s="956">
        <f t="shared" si="182"/>
        <v>-91980</v>
      </c>
      <c r="AH253" s="1002">
        <v>10</v>
      </c>
      <c r="AI253" s="956">
        <v>43800</v>
      </c>
    </row>
    <row r="254" spans="1:37" ht="24">
      <c r="A254" s="933" t="s">
        <v>7143</v>
      </c>
      <c r="B254" s="1001">
        <v>280</v>
      </c>
      <c r="C254" s="962">
        <v>329</v>
      </c>
      <c r="D254" s="993"/>
      <c r="E254" s="993"/>
      <c r="F254" s="993"/>
      <c r="G254" s="993"/>
      <c r="H254" s="993"/>
      <c r="I254" s="993"/>
      <c r="J254" s="993"/>
      <c r="K254" s="962">
        <f>SUM(C254:J254)</f>
        <v>329</v>
      </c>
      <c r="L254" s="962"/>
      <c r="M254" s="962"/>
      <c r="N254" s="962">
        <f>SUM(L254:M254)</f>
        <v>0</v>
      </c>
      <c r="O254" s="963">
        <f>(K254*12)+N254</f>
        <v>3948</v>
      </c>
      <c r="P254" s="956">
        <f>B254*O254</f>
        <v>1105440</v>
      </c>
      <c r="Q254" s="1001">
        <v>323</v>
      </c>
      <c r="R254" s="962">
        <v>329</v>
      </c>
      <c r="S254" s="993"/>
      <c r="T254" s="993"/>
      <c r="U254" s="993"/>
      <c r="V254" s="993"/>
      <c r="W254" s="993"/>
      <c r="X254" s="993"/>
      <c r="Y254" s="993"/>
      <c r="Z254" s="962">
        <f>SUM(R254:Y254)</f>
        <v>329</v>
      </c>
      <c r="AA254" s="962"/>
      <c r="AB254" s="962"/>
      <c r="AC254" s="962">
        <f>SUM(AA254:AB254)</f>
        <v>0</v>
      </c>
      <c r="AD254" s="963">
        <f>(Z254*12)+AC254</f>
        <v>3948</v>
      </c>
      <c r="AE254" s="956">
        <f>Q254*AD254</f>
        <v>1275204</v>
      </c>
      <c r="AF254" s="957">
        <f t="shared" si="182"/>
        <v>0</v>
      </c>
      <c r="AG254" s="956">
        <f t="shared" si="182"/>
        <v>-169764</v>
      </c>
      <c r="AH254" s="1002">
        <v>300</v>
      </c>
      <c r="AI254" s="956">
        <v>1184400</v>
      </c>
    </row>
    <row r="255" spans="1:37" ht="24">
      <c r="A255" s="933" t="s">
        <v>7134</v>
      </c>
      <c r="B255" s="1001">
        <v>823</v>
      </c>
      <c r="C255" s="962">
        <v>292</v>
      </c>
      <c r="D255" s="993"/>
      <c r="E255" s="993"/>
      <c r="F255" s="993"/>
      <c r="G255" s="993"/>
      <c r="H255" s="993"/>
      <c r="I255" s="993"/>
      <c r="J255" s="993"/>
      <c r="K255" s="962">
        <f>SUM(C255:J255)</f>
        <v>292</v>
      </c>
      <c r="L255" s="962"/>
      <c r="M255" s="962"/>
      <c r="N255" s="962">
        <f>SUM(L255:M255)</f>
        <v>0</v>
      </c>
      <c r="O255" s="963">
        <f>(K255*12)+N255</f>
        <v>3504</v>
      </c>
      <c r="P255" s="956">
        <f>B255*O255</f>
        <v>2883792</v>
      </c>
      <c r="Q255" s="1001">
        <v>635</v>
      </c>
      <c r="R255" s="962">
        <v>292</v>
      </c>
      <c r="S255" s="993"/>
      <c r="T255" s="993"/>
      <c r="U255" s="993"/>
      <c r="V255" s="993"/>
      <c r="W255" s="993"/>
      <c r="X255" s="993"/>
      <c r="Y255" s="993"/>
      <c r="Z255" s="962">
        <f>SUM(R255:Y255)</f>
        <v>292</v>
      </c>
      <c r="AA255" s="962"/>
      <c r="AB255" s="962"/>
      <c r="AC255" s="962">
        <f>SUM(AA255:AB255)</f>
        <v>0</v>
      </c>
      <c r="AD255" s="963">
        <f>(Z255*12)+AC255</f>
        <v>3504</v>
      </c>
      <c r="AE255" s="956">
        <f>Q255*AD255</f>
        <v>2225040</v>
      </c>
      <c r="AF255" s="957">
        <f t="shared" si="182"/>
        <v>0</v>
      </c>
      <c r="AG255" s="956">
        <f t="shared" si="182"/>
        <v>658752</v>
      </c>
      <c r="AH255" s="1002">
        <v>550</v>
      </c>
      <c r="AI255" s="956">
        <v>1927200</v>
      </c>
    </row>
    <row r="256" spans="1:37" ht="36">
      <c r="A256" s="937" t="s">
        <v>7142</v>
      </c>
      <c r="B256" s="1001">
        <v>1250</v>
      </c>
      <c r="C256" s="962">
        <v>256</v>
      </c>
      <c r="D256" s="993"/>
      <c r="E256" s="993"/>
      <c r="F256" s="993"/>
      <c r="G256" s="993"/>
      <c r="H256" s="993"/>
      <c r="I256" s="993"/>
      <c r="J256" s="993"/>
      <c r="K256" s="962">
        <f>SUM(C256:J256)</f>
        <v>256</v>
      </c>
      <c r="L256" s="962"/>
      <c r="M256" s="962"/>
      <c r="N256" s="962">
        <f>SUM(L256:M256)</f>
        <v>0</v>
      </c>
      <c r="O256" s="963">
        <f>(K256*12)+N256</f>
        <v>3072</v>
      </c>
      <c r="P256" s="956">
        <f>B256*O256-407</f>
        <v>3839593</v>
      </c>
      <c r="Q256" s="1001">
        <v>821</v>
      </c>
      <c r="R256" s="962">
        <v>256</v>
      </c>
      <c r="S256" s="993"/>
      <c r="T256" s="993"/>
      <c r="U256" s="993"/>
      <c r="V256" s="993"/>
      <c r="W256" s="993"/>
      <c r="X256" s="993"/>
      <c r="Y256" s="993"/>
      <c r="Z256" s="962">
        <f>SUM(R256:Y256)</f>
        <v>256</v>
      </c>
      <c r="AA256" s="962"/>
      <c r="AB256" s="962"/>
      <c r="AC256" s="962">
        <f>SUM(AA256:AB256)</f>
        <v>0</v>
      </c>
      <c r="AD256" s="963">
        <f>(Z256*12)+AC256</f>
        <v>3072</v>
      </c>
      <c r="AE256" s="956">
        <f>Q256*AD256</f>
        <v>2522112</v>
      </c>
      <c r="AF256" s="957">
        <f t="shared" si="182"/>
        <v>0</v>
      </c>
      <c r="AG256" s="956">
        <f t="shared" si="182"/>
        <v>1317481</v>
      </c>
      <c r="AH256" s="1002">
        <v>1150</v>
      </c>
      <c r="AI256" s="956">
        <v>3532800</v>
      </c>
    </row>
    <row r="257" spans="1:35" ht="36">
      <c r="A257" s="931" t="s">
        <v>7141</v>
      </c>
      <c r="B257" s="965">
        <f>SUM(B258:B260)</f>
        <v>449</v>
      </c>
      <c r="C257" s="966"/>
      <c r="D257" s="966"/>
      <c r="E257" s="966"/>
      <c r="F257" s="966"/>
      <c r="G257" s="966"/>
      <c r="H257" s="966"/>
      <c r="I257" s="966"/>
      <c r="J257" s="966"/>
      <c r="K257" s="966"/>
      <c r="L257" s="966"/>
      <c r="M257" s="966"/>
      <c r="N257" s="966"/>
      <c r="O257" s="966">
        <f>SUM(O258:O260)</f>
        <v>17748</v>
      </c>
      <c r="P257" s="952">
        <f>SUM(P258:P260)</f>
        <v>2745384</v>
      </c>
      <c r="Q257" s="965">
        <f>SUM(Q258:Q260)</f>
        <v>390</v>
      </c>
      <c r="R257" s="966"/>
      <c r="S257" s="966"/>
      <c r="T257" s="966"/>
      <c r="U257" s="966"/>
      <c r="V257" s="966"/>
      <c r="W257" s="966"/>
      <c r="X257" s="966"/>
      <c r="Y257" s="966"/>
      <c r="Z257" s="966"/>
      <c r="AA257" s="966"/>
      <c r="AB257" s="966"/>
      <c r="AC257" s="966">
        <f t="shared" ref="AC257:AI257" si="183">SUM(AC258:AC260)</f>
        <v>0</v>
      </c>
      <c r="AD257" s="966">
        <f t="shared" si="183"/>
        <v>17748</v>
      </c>
      <c r="AE257" s="952">
        <f t="shared" si="183"/>
        <v>2420760</v>
      </c>
      <c r="AF257" s="965">
        <f t="shared" si="183"/>
        <v>0</v>
      </c>
      <c r="AG257" s="952">
        <f t="shared" si="183"/>
        <v>324624</v>
      </c>
      <c r="AH257" s="967">
        <f t="shared" si="183"/>
        <v>370</v>
      </c>
      <c r="AI257" s="952">
        <f t="shared" si="183"/>
        <v>2274720</v>
      </c>
    </row>
    <row r="258" spans="1:35" ht="24">
      <c r="A258" s="933" t="s">
        <v>7136</v>
      </c>
      <c r="B258" s="1001">
        <v>185</v>
      </c>
      <c r="C258" s="962">
        <v>548</v>
      </c>
      <c r="D258" s="993"/>
      <c r="E258" s="993"/>
      <c r="F258" s="993"/>
      <c r="G258" s="993"/>
      <c r="H258" s="993"/>
      <c r="I258" s="993"/>
      <c r="J258" s="993"/>
      <c r="K258" s="962">
        <f>SUM(C258:J258)</f>
        <v>548</v>
      </c>
      <c r="L258" s="962"/>
      <c r="M258" s="962"/>
      <c r="N258" s="962">
        <f>SUM(L258:M258)</f>
        <v>0</v>
      </c>
      <c r="O258" s="963">
        <f>(K258*12)+N258</f>
        <v>6576</v>
      </c>
      <c r="P258" s="956">
        <f>B258*O258</f>
        <v>1216560</v>
      </c>
      <c r="Q258" s="1001">
        <v>211</v>
      </c>
      <c r="R258" s="962">
        <v>548</v>
      </c>
      <c r="S258" s="993"/>
      <c r="T258" s="993"/>
      <c r="U258" s="993"/>
      <c r="V258" s="993"/>
      <c r="W258" s="993"/>
      <c r="X258" s="993"/>
      <c r="Y258" s="993"/>
      <c r="Z258" s="962">
        <f>SUM(R258:Y258)</f>
        <v>548</v>
      </c>
      <c r="AA258" s="962"/>
      <c r="AB258" s="962"/>
      <c r="AC258" s="962">
        <f>SUM(AA258:AB258)</f>
        <v>0</v>
      </c>
      <c r="AD258" s="963">
        <f>(Z258*12)+AC258</f>
        <v>6576</v>
      </c>
      <c r="AE258" s="956">
        <f>Q258*AD258</f>
        <v>1387536</v>
      </c>
      <c r="AF258" s="957">
        <f t="shared" ref="AF258:AG260" si="184">+O258-AD258</f>
        <v>0</v>
      </c>
      <c r="AG258" s="956">
        <f t="shared" si="184"/>
        <v>-170976</v>
      </c>
      <c r="AH258" s="1002">
        <v>180</v>
      </c>
      <c r="AI258" s="956">
        <v>1183680</v>
      </c>
    </row>
    <row r="259" spans="1:35" ht="24">
      <c r="A259" s="933" t="s">
        <v>7135</v>
      </c>
      <c r="B259" s="1001">
        <v>214</v>
      </c>
      <c r="C259" s="962">
        <v>493</v>
      </c>
      <c r="D259" s="993"/>
      <c r="E259" s="993"/>
      <c r="F259" s="993"/>
      <c r="G259" s="993"/>
      <c r="H259" s="993"/>
      <c r="I259" s="993"/>
      <c r="J259" s="993"/>
      <c r="K259" s="962">
        <f>SUM(C259:J259)</f>
        <v>493</v>
      </c>
      <c r="L259" s="962"/>
      <c r="M259" s="962"/>
      <c r="N259" s="962">
        <f>SUM(L259:M259)</f>
        <v>0</v>
      </c>
      <c r="O259" s="963">
        <f>(K259*12)+N259</f>
        <v>5916</v>
      </c>
      <c r="P259" s="956">
        <f>B259*O259</f>
        <v>1266024</v>
      </c>
      <c r="Q259" s="1001">
        <v>140</v>
      </c>
      <c r="R259" s="962">
        <v>493</v>
      </c>
      <c r="S259" s="993"/>
      <c r="T259" s="993"/>
      <c r="U259" s="993"/>
      <c r="V259" s="993"/>
      <c r="W259" s="993"/>
      <c r="X259" s="993"/>
      <c r="Y259" s="993"/>
      <c r="Z259" s="962">
        <f>SUM(R259:Y259)</f>
        <v>493</v>
      </c>
      <c r="AA259" s="962"/>
      <c r="AB259" s="962"/>
      <c r="AC259" s="962">
        <f>SUM(AA259:AB259)</f>
        <v>0</v>
      </c>
      <c r="AD259" s="963">
        <f>(Z259*12)+AC259</f>
        <v>5916</v>
      </c>
      <c r="AE259" s="956">
        <f>Q259*AD259</f>
        <v>828240</v>
      </c>
      <c r="AF259" s="957">
        <f t="shared" si="184"/>
        <v>0</v>
      </c>
      <c r="AG259" s="956">
        <f t="shared" si="184"/>
        <v>437784</v>
      </c>
      <c r="AH259" s="1002">
        <v>140</v>
      </c>
      <c r="AI259" s="956">
        <v>828240</v>
      </c>
    </row>
    <row r="260" spans="1:35" ht="24">
      <c r="A260" s="933" t="s">
        <v>7134</v>
      </c>
      <c r="B260" s="1001">
        <v>50</v>
      </c>
      <c r="C260" s="962">
        <v>438</v>
      </c>
      <c r="D260" s="993"/>
      <c r="E260" s="993"/>
      <c r="F260" s="993"/>
      <c r="G260" s="993"/>
      <c r="H260" s="993"/>
      <c r="I260" s="993"/>
      <c r="J260" s="993"/>
      <c r="K260" s="962">
        <f>SUM(C260:J260)</f>
        <v>438</v>
      </c>
      <c r="L260" s="962"/>
      <c r="M260" s="962"/>
      <c r="N260" s="962">
        <f>SUM(L260:M260)</f>
        <v>0</v>
      </c>
      <c r="O260" s="963">
        <f>(K260*12)+N260</f>
        <v>5256</v>
      </c>
      <c r="P260" s="956">
        <f>B260*O260</f>
        <v>262800</v>
      </c>
      <c r="Q260" s="1001">
        <v>39</v>
      </c>
      <c r="R260" s="962">
        <v>438</v>
      </c>
      <c r="S260" s="993"/>
      <c r="T260" s="993"/>
      <c r="U260" s="993"/>
      <c r="V260" s="993"/>
      <c r="W260" s="993"/>
      <c r="X260" s="993"/>
      <c r="Y260" s="993"/>
      <c r="Z260" s="962">
        <f>SUM(R260:Y260)</f>
        <v>438</v>
      </c>
      <c r="AA260" s="962"/>
      <c r="AB260" s="962"/>
      <c r="AC260" s="962">
        <f>SUM(AA260:AB260)</f>
        <v>0</v>
      </c>
      <c r="AD260" s="963">
        <f>(Z260*12)+AC260</f>
        <v>5256</v>
      </c>
      <c r="AE260" s="956">
        <f>Q260*AD260</f>
        <v>204984</v>
      </c>
      <c r="AF260" s="957">
        <f t="shared" si="184"/>
        <v>0</v>
      </c>
      <c r="AG260" s="956">
        <f t="shared" si="184"/>
        <v>57816</v>
      </c>
      <c r="AH260" s="1002">
        <v>50</v>
      </c>
      <c r="AI260" s="956">
        <v>262800</v>
      </c>
    </row>
    <row r="261" spans="1:35" ht="36">
      <c r="A261" s="931" t="s">
        <v>7140</v>
      </c>
      <c r="B261" s="965">
        <f>SUM(B262:B264)</f>
        <v>116</v>
      </c>
      <c r="C261" s="966"/>
      <c r="D261" s="966"/>
      <c r="E261" s="966"/>
      <c r="F261" s="966"/>
      <c r="G261" s="966"/>
      <c r="H261" s="966"/>
      <c r="I261" s="966"/>
      <c r="J261" s="966"/>
      <c r="K261" s="966"/>
      <c r="L261" s="966"/>
      <c r="M261" s="966"/>
      <c r="N261" s="966"/>
      <c r="O261" s="966">
        <f>SUM(O262:O264)</f>
        <v>19512</v>
      </c>
      <c r="P261" s="952">
        <f>SUM(P262:P264)</f>
        <v>816384</v>
      </c>
      <c r="Q261" s="965">
        <f>SUM(Q262:Q264)</f>
        <v>119</v>
      </c>
      <c r="R261" s="966"/>
      <c r="S261" s="966"/>
      <c r="T261" s="966"/>
      <c r="U261" s="966"/>
      <c r="V261" s="966"/>
      <c r="W261" s="966"/>
      <c r="X261" s="966"/>
      <c r="Y261" s="966"/>
      <c r="Z261" s="966"/>
      <c r="AA261" s="966"/>
      <c r="AB261" s="966"/>
      <c r="AC261" s="966">
        <f t="shared" ref="AC261:AI261" si="185">SUM(AC262:AC264)</f>
        <v>0</v>
      </c>
      <c r="AD261" s="966">
        <f t="shared" si="185"/>
        <v>19512</v>
      </c>
      <c r="AE261" s="952">
        <f t="shared" si="185"/>
        <v>855336</v>
      </c>
      <c r="AF261" s="965">
        <f t="shared" si="185"/>
        <v>0</v>
      </c>
      <c r="AG261" s="952">
        <f t="shared" si="185"/>
        <v>-38952</v>
      </c>
      <c r="AH261" s="967">
        <f t="shared" si="185"/>
        <v>70</v>
      </c>
      <c r="AI261" s="952">
        <f t="shared" si="185"/>
        <v>505680</v>
      </c>
    </row>
    <row r="262" spans="1:35" ht="24">
      <c r="A262" s="933" t="s">
        <v>7136</v>
      </c>
      <c r="B262" s="1001">
        <v>86</v>
      </c>
      <c r="C262" s="962">
        <v>602</v>
      </c>
      <c r="D262" s="993"/>
      <c r="E262" s="993"/>
      <c r="F262" s="993"/>
      <c r="G262" s="993"/>
      <c r="H262" s="993"/>
      <c r="I262" s="993"/>
      <c r="J262" s="993"/>
      <c r="K262" s="962">
        <f>SUM(C262:J262)</f>
        <v>602</v>
      </c>
      <c r="L262" s="962"/>
      <c r="M262" s="962"/>
      <c r="N262" s="962">
        <f>SUM(L262:M262)</f>
        <v>0</v>
      </c>
      <c r="O262" s="963">
        <f>(K262*12)+N262</f>
        <v>7224</v>
      </c>
      <c r="P262" s="956">
        <f>B262*O262</f>
        <v>621264</v>
      </c>
      <c r="Q262" s="1001">
        <v>113</v>
      </c>
      <c r="R262" s="962">
        <v>602</v>
      </c>
      <c r="S262" s="993"/>
      <c r="T262" s="993"/>
      <c r="U262" s="993"/>
      <c r="V262" s="993"/>
      <c r="W262" s="993"/>
      <c r="X262" s="993"/>
      <c r="Y262" s="993"/>
      <c r="Z262" s="962">
        <f>SUM(R262:Y262)</f>
        <v>602</v>
      </c>
      <c r="AA262" s="962"/>
      <c r="AB262" s="962"/>
      <c r="AC262" s="962">
        <f>SUM(AA262:AB262)</f>
        <v>0</v>
      </c>
      <c r="AD262" s="963">
        <f>(Z262*12)+AC262</f>
        <v>7224</v>
      </c>
      <c r="AE262" s="956">
        <f>Q262*AD262</f>
        <v>816312</v>
      </c>
      <c r="AF262" s="957">
        <f t="shared" ref="AF262:AG264" si="186">+O262-AD262</f>
        <v>0</v>
      </c>
      <c r="AG262" s="956">
        <f t="shared" si="186"/>
        <v>-195048</v>
      </c>
      <c r="AH262" s="1002">
        <v>70</v>
      </c>
      <c r="AI262" s="956">
        <v>505680</v>
      </c>
    </row>
    <row r="263" spans="1:35" ht="24">
      <c r="A263" s="933" t="s">
        <v>7135</v>
      </c>
      <c r="B263" s="1001">
        <v>30</v>
      </c>
      <c r="C263" s="962">
        <v>542</v>
      </c>
      <c r="D263" s="993"/>
      <c r="E263" s="993"/>
      <c r="F263" s="993"/>
      <c r="G263" s="993"/>
      <c r="H263" s="993"/>
      <c r="I263" s="993"/>
      <c r="J263" s="993"/>
      <c r="K263" s="962">
        <f>SUM(C263:J263)</f>
        <v>542</v>
      </c>
      <c r="L263" s="962"/>
      <c r="M263" s="962"/>
      <c r="N263" s="962">
        <f>SUM(L263:M263)</f>
        <v>0</v>
      </c>
      <c r="O263" s="963">
        <f>(K263*12)+N263</f>
        <v>6504</v>
      </c>
      <c r="P263" s="956">
        <f>B263*O263</f>
        <v>195120</v>
      </c>
      <c r="Q263" s="1001">
        <v>6</v>
      </c>
      <c r="R263" s="962">
        <v>542</v>
      </c>
      <c r="S263" s="993"/>
      <c r="T263" s="993"/>
      <c r="U263" s="993"/>
      <c r="V263" s="993"/>
      <c r="W263" s="993"/>
      <c r="X263" s="993"/>
      <c r="Y263" s="993"/>
      <c r="Z263" s="962">
        <f>SUM(R263:Y263)</f>
        <v>542</v>
      </c>
      <c r="AA263" s="962"/>
      <c r="AB263" s="962"/>
      <c r="AC263" s="962">
        <f>SUM(AA263:AB263)</f>
        <v>0</v>
      </c>
      <c r="AD263" s="963">
        <f>(Z263*12)+AC263</f>
        <v>6504</v>
      </c>
      <c r="AE263" s="956">
        <f>Q263*AD263</f>
        <v>39024</v>
      </c>
      <c r="AF263" s="957">
        <f t="shared" si="186"/>
        <v>0</v>
      </c>
      <c r="AG263" s="956">
        <f t="shared" si="186"/>
        <v>156096</v>
      </c>
      <c r="AH263" s="1002">
        <v>0</v>
      </c>
      <c r="AI263" s="956">
        <v>0</v>
      </c>
    </row>
    <row r="264" spans="1:35" ht="24">
      <c r="A264" s="933" t="s">
        <v>7134</v>
      </c>
      <c r="B264" s="1001">
        <v>0</v>
      </c>
      <c r="C264" s="962">
        <v>482</v>
      </c>
      <c r="D264" s="993"/>
      <c r="E264" s="993"/>
      <c r="F264" s="993"/>
      <c r="G264" s="993"/>
      <c r="H264" s="993"/>
      <c r="I264" s="993"/>
      <c r="J264" s="993"/>
      <c r="K264" s="962">
        <f>SUM(C264:J264)</f>
        <v>482</v>
      </c>
      <c r="L264" s="962"/>
      <c r="M264" s="962"/>
      <c r="N264" s="962">
        <f>SUM(L264:M264)</f>
        <v>0</v>
      </c>
      <c r="O264" s="963">
        <f>(K264*12)+N264</f>
        <v>5784</v>
      </c>
      <c r="P264" s="956">
        <f>B264*O264</f>
        <v>0</v>
      </c>
      <c r="Q264" s="1001">
        <v>0</v>
      </c>
      <c r="R264" s="962">
        <v>482</v>
      </c>
      <c r="S264" s="993"/>
      <c r="T264" s="993"/>
      <c r="U264" s="993"/>
      <c r="V264" s="993"/>
      <c r="W264" s="993"/>
      <c r="X264" s="993"/>
      <c r="Y264" s="993"/>
      <c r="Z264" s="962">
        <f>SUM(R264:Y264)</f>
        <v>482</v>
      </c>
      <c r="AA264" s="962"/>
      <c r="AB264" s="962"/>
      <c r="AC264" s="962">
        <f>SUM(AA264:AB264)</f>
        <v>0</v>
      </c>
      <c r="AD264" s="963">
        <f>(Z264*12)+AC264</f>
        <v>5784</v>
      </c>
      <c r="AE264" s="956">
        <f>Q264*AD264</f>
        <v>0</v>
      </c>
      <c r="AF264" s="957">
        <f t="shared" si="186"/>
        <v>0</v>
      </c>
      <c r="AG264" s="956">
        <f t="shared" si="186"/>
        <v>0</v>
      </c>
      <c r="AH264" s="1002">
        <v>0</v>
      </c>
      <c r="AI264" s="956">
        <v>0</v>
      </c>
    </row>
    <row r="265" spans="1:35" ht="36">
      <c r="A265" s="931" t="s">
        <v>7139</v>
      </c>
      <c r="B265" s="965">
        <f>SUM(B266:B268)</f>
        <v>55</v>
      </c>
      <c r="C265" s="966"/>
      <c r="D265" s="966"/>
      <c r="E265" s="966"/>
      <c r="F265" s="966"/>
      <c r="G265" s="966"/>
      <c r="H265" s="966"/>
      <c r="I265" s="966"/>
      <c r="J265" s="966"/>
      <c r="K265" s="966"/>
      <c r="L265" s="966"/>
      <c r="M265" s="966"/>
      <c r="N265" s="966"/>
      <c r="O265" s="966">
        <f>SUM(O266:O268)</f>
        <v>21456</v>
      </c>
      <c r="P265" s="952">
        <f>SUM(P266:P268)</f>
        <v>436920</v>
      </c>
      <c r="Q265" s="965">
        <f>SUM(Q266:Q268)</f>
        <v>28</v>
      </c>
      <c r="R265" s="966"/>
      <c r="S265" s="966"/>
      <c r="T265" s="966"/>
      <c r="U265" s="966"/>
      <c r="V265" s="966"/>
      <c r="W265" s="966"/>
      <c r="X265" s="966"/>
      <c r="Y265" s="966"/>
      <c r="Z265" s="966"/>
      <c r="AA265" s="966"/>
      <c r="AB265" s="966"/>
      <c r="AC265" s="966">
        <f t="shared" ref="AC265:AI265" si="187">SUM(AC266:AC268)</f>
        <v>0</v>
      </c>
      <c r="AD265" s="966">
        <f t="shared" si="187"/>
        <v>21456</v>
      </c>
      <c r="AE265" s="952">
        <f t="shared" si="187"/>
        <v>222432</v>
      </c>
      <c r="AF265" s="965">
        <f t="shared" si="187"/>
        <v>0</v>
      </c>
      <c r="AG265" s="952">
        <f t="shared" si="187"/>
        <v>214488</v>
      </c>
      <c r="AH265" s="967">
        <f t="shared" si="187"/>
        <v>35</v>
      </c>
      <c r="AI265" s="952">
        <f t="shared" si="187"/>
        <v>278040</v>
      </c>
    </row>
    <row r="266" spans="1:35" ht="24">
      <c r="A266" s="933" t="s">
        <v>7136</v>
      </c>
      <c r="B266" s="1001">
        <v>55</v>
      </c>
      <c r="C266" s="962">
        <v>662</v>
      </c>
      <c r="D266" s="993"/>
      <c r="E266" s="993"/>
      <c r="F266" s="993"/>
      <c r="G266" s="993"/>
      <c r="H266" s="993"/>
      <c r="I266" s="993"/>
      <c r="J266" s="993"/>
      <c r="K266" s="962">
        <f>SUM(C266:J266)</f>
        <v>662</v>
      </c>
      <c r="L266" s="962"/>
      <c r="M266" s="962"/>
      <c r="N266" s="962">
        <f>SUM(L266:M266)</f>
        <v>0</v>
      </c>
      <c r="O266" s="963">
        <f>(K266*12)+N266</f>
        <v>7944</v>
      </c>
      <c r="P266" s="956">
        <f>B266*O266</f>
        <v>436920</v>
      </c>
      <c r="Q266" s="1001">
        <v>28</v>
      </c>
      <c r="R266" s="962">
        <v>662</v>
      </c>
      <c r="S266" s="993"/>
      <c r="T266" s="993"/>
      <c r="U266" s="993"/>
      <c r="V266" s="993"/>
      <c r="W266" s="993"/>
      <c r="X266" s="993"/>
      <c r="Y266" s="993"/>
      <c r="Z266" s="962">
        <f>SUM(R266:Y266)</f>
        <v>662</v>
      </c>
      <c r="AA266" s="962"/>
      <c r="AB266" s="962"/>
      <c r="AC266" s="962">
        <f>SUM(AA266:AB266)</f>
        <v>0</v>
      </c>
      <c r="AD266" s="963">
        <f>(Z266*12)+AC266</f>
        <v>7944</v>
      </c>
      <c r="AE266" s="956">
        <f>Q266*AD266</f>
        <v>222432</v>
      </c>
      <c r="AF266" s="957">
        <f t="shared" ref="AF266:AG268" si="188">+O266-AD266</f>
        <v>0</v>
      </c>
      <c r="AG266" s="956">
        <f t="shared" si="188"/>
        <v>214488</v>
      </c>
      <c r="AH266" s="1002">
        <v>35</v>
      </c>
      <c r="AI266" s="956">
        <v>278040</v>
      </c>
    </row>
    <row r="267" spans="1:35" ht="24">
      <c r="A267" s="933" t="s">
        <v>7135</v>
      </c>
      <c r="B267" s="1001">
        <v>0</v>
      </c>
      <c r="C267" s="962">
        <v>596</v>
      </c>
      <c r="D267" s="993"/>
      <c r="E267" s="993"/>
      <c r="F267" s="993"/>
      <c r="G267" s="993"/>
      <c r="H267" s="993"/>
      <c r="I267" s="993"/>
      <c r="J267" s="993"/>
      <c r="K267" s="962">
        <f>SUM(C267:J267)</f>
        <v>596</v>
      </c>
      <c r="L267" s="962"/>
      <c r="M267" s="962"/>
      <c r="N267" s="962">
        <f>SUM(L267:M267)</f>
        <v>0</v>
      </c>
      <c r="O267" s="963">
        <f>(K267*12)+N267</f>
        <v>7152</v>
      </c>
      <c r="P267" s="956">
        <f>B267*O267</f>
        <v>0</v>
      </c>
      <c r="Q267" s="1001">
        <v>0</v>
      </c>
      <c r="R267" s="962">
        <v>596</v>
      </c>
      <c r="S267" s="993"/>
      <c r="T267" s="993"/>
      <c r="U267" s="993"/>
      <c r="V267" s="993"/>
      <c r="W267" s="993"/>
      <c r="X267" s="993"/>
      <c r="Y267" s="993"/>
      <c r="Z267" s="962">
        <f>SUM(R267:Y267)</f>
        <v>596</v>
      </c>
      <c r="AA267" s="962"/>
      <c r="AB267" s="962"/>
      <c r="AC267" s="962">
        <f>SUM(AA267:AB267)</f>
        <v>0</v>
      </c>
      <c r="AD267" s="963">
        <f>(Z267*12)+AC267</f>
        <v>7152</v>
      </c>
      <c r="AE267" s="956">
        <f>Q267*AD267</f>
        <v>0</v>
      </c>
      <c r="AF267" s="957">
        <f t="shared" si="188"/>
        <v>0</v>
      </c>
      <c r="AG267" s="956">
        <f t="shared" si="188"/>
        <v>0</v>
      </c>
      <c r="AH267" s="1002">
        <v>0</v>
      </c>
      <c r="AI267" s="956">
        <v>0</v>
      </c>
    </row>
    <row r="268" spans="1:35" ht="24">
      <c r="A268" s="933" t="s">
        <v>7134</v>
      </c>
      <c r="B268" s="1001">
        <v>0</v>
      </c>
      <c r="C268" s="962">
        <v>530</v>
      </c>
      <c r="D268" s="993"/>
      <c r="E268" s="993"/>
      <c r="F268" s="993"/>
      <c r="G268" s="993"/>
      <c r="H268" s="993"/>
      <c r="I268" s="993"/>
      <c r="J268" s="993"/>
      <c r="K268" s="962">
        <f>SUM(C268:J268)</f>
        <v>530</v>
      </c>
      <c r="L268" s="962"/>
      <c r="M268" s="962"/>
      <c r="N268" s="962">
        <f>SUM(L268:M268)</f>
        <v>0</v>
      </c>
      <c r="O268" s="963">
        <f>(K268*12)+N268</f>
        <v>6360</v>
      </c>
      <c r="P268" s="956">
        <f>B268*O268</f>
        <v>0</v>
      </c>
      <c r="Q268" s="1001">
        <v>0</v>
      </c>
      <c r="R268" s="962">
        <v>530</v>
      </c>
      <c r="S268" s="993"/>
      <c r="T268" s="993"/>
      <c r="U268" s="993"/>
      <c r="V268" s="993"/>
      <c r="W268" s="993"/>
      <c r="X268" s="993"/>
      <c r="Y268" s="993"/>
      <c r="Z268" s="962">
        <f>SUM(R268:Y268)</f>
        <v>530</v>
      </c>
      <c r="AA268" s="962"/>
      <c r="AB268" s="962"/>
      <c r="AC268" s="962">
        <f>SUM(AA268:AB268)</f>
        <v>0</v>
      </c>
      <c r="AD268" s="963">
        <f>(Z268*12)+AC268</f>
        <v>6360</v>
      </c>
      <c r="AE268" s="956">
        <f>Q268*AD268</f>
        <v>0</v>
      </c>
      <c r="AF268" s="957">
        <f t="shared" si="188"/>
        <v>0</v>
      </c>
      <c r="AG268" s="956">
        <f t="shared" si="188"/>
        <v>0</v>
      </c>
      <c r="AH268" s="1002">
        <v>0</v>
      </c>
      <c r="AI268" s="956">
        <v>0</v>
      </c>
    </row>
    <row r="269" spans="1:35" ht="36">
      <c r="A269" s="931" t="s">
        <v>7138</v>
      </c>
      <c r="B269" s="979">
        <f>SUM(B270:B272)</f>
        <v>11</v>
      </c>
      <c r="C269" s="1003"/>
      <c r="D269" s="1003"/>
      <c r="E269" s="1003"/>
      <c r="F269" s="1003"/>
      <c r="G269" s="1003"/>
      <c r="H269" s="1003"/>
      <c r="I269" s="1003"/>
      <c r="J269" s="1003"/>
      <c r="K269" s="1003"/>
      <c r="L269" s="1003"/>
      <c r="M269" s="1003"/>
      <c r="N269" s="1003"/>
      <c r="O269" s="1003">
        <f>SUM(O270:O272)</f>
        <v>23616</v>
      </c>
      <c r="P269" s="952">
        <f>SUM(P270:P272)</f>
        <v>96228</v>
      </c>
      <c r="Q269" s="979">
        <f>SUM(Q270:Q272)</f>
        <v>3</v>
      </c>
      <c r="R269" s="1003"/>
      <c r="S269" s="1003"/>
      <c r="T269" s="1003"/>
      <c r="U269" s="1003"/>
      <c r="V269" s="1003"/>
      <c r="W269" s="1003"/>
      <c r="X269" s="1003"/>
      <c r="Y269" s="1003"/>
      <c r="Z269" s="1003"/>
      <c r="AA269" s="1003"/>
      <c r="AB269" s="1003"/>
      <c r="AC269" s="1003">
        <f t="shared" ref="AC269:AI269" si="189">SUM(AC270:AC272)</f>
        <v>0</v>
      </c>
      <c r="AD269" s="1003">
        <f t="shared" si="189"/>
        <v>23616</v>
      </c>
      <c r="AE269" s="952">
        <f t="shared" si="189"/>
        <v>26244</v>
      </c>
      <c r="AF269" s="979">
        <f t="shared" si="189"/>
        <v>0</v>
      </c>
      <c r="AG269" s="952">
        <f t="shared" si="189"/>
        <v>69984</v>
      </c>
      <c r="AH269" s="1004">
        <f t="shared" si="189"/>
        <v>10</v>
      </c>
      <c r="AI269" s="952">
        <f t="shared" si="189"/>
        <v>87480</v>
      </c>
    </row>
    <row r="270" spans="1:35" ht="24">
      <c r="A270" s="933" t="s">
        <v>7136</v>
      </c>
      <c r="B270" s="1001">
        <v>11</v>
      </c>
      <c r="C270" s="962">
        <v>729</v>
      </c>
      <c r="D270" s="993"/>
      <c r="E270" s="993"/>
      <c r="F270" s="993"/>
      <c r="G270" s="993"/>
      <c r="H270" s="993"/>
      <c r="I270" s="993"/>
      <c r="J270" s="993"/>
      <c r="K270" s="962">
        <f>SUM(C270:J270)</f>
        <v>729</v>
      </c>
      <c r="L270" s="962"/>
      <c r="M270" s="962"/>
      <c r="N270" s="962">
        <f>SUM(L270:M270)</f>
        <v>0</v>
      </c>
      <c r="O270" s="963">
        <f>(K270*12)+N270</f>
        <v>8748</v>
      </c>
      <c r="P270" s="956">
        <f>B270*O270</f>
        <v>96228</v>
      </c>
      <c r="Q270" s="1001">
        <v>3</v>
      </c>
      <c r="R270" s="962">
        <v>729</v>
      </c>
      <c r="S270" s="993"/>
      <c r="T270" s="993"/>
      <c r="U270" s="993"/>
      <c r="V270" s="993"/>
      <c r="W270" s="993"/>
      <c r="X270" s="993"/>
      <c r="Y270" s="993"/>
      <c r="Z270" s="962">
        <f>SUM(R270:Y270)</f>
        <v>729</v>
      </c>
      <c r="AA270" s="962"/>
      <c r="AB270" s="962"/>
      <c r="AC270" s="962">
        <f>SUM(AA270:AB270)</f>
        <v>0</v>
      </c>
      <c r="AD270" s="963">
        <f>(Z270*12)+AC270</f>
        <v>8748</v>
      </c>
      <c r="AE270" s="956">
        <f>Q270*AD270</f>
        <v>26244</v>
      </c>
      <c r="AF270" s="957">
        <f t="shared" ref="AF270:AG272" si="190">+O270-AD270</f>
        <v>0</v>
      </c>
      <c r="AG270" s="956">
        <f t="shared" si="190"/>
        <v>69984</v>
      </c>
      <c r="AH270" s="1002">
        <v>10</v>
      </c>
      <c r="AI270" s="956">
        <v>87480</v>
      </c>
    </row>
    <row r="271" spans="1:35" ht="24">
      <c r="A271" s="933" t="s">
        <v>7135</v>
      </c>
      <c r="B271" s="1001">
        <v>0</v>
      </c>
      <c r="C271" s="962">
        <v>656</v>
      </c>
      <c r="D271" s="993"/>
      <c r="E271" s="993"/>
      <c r="F271" s="993"/>
      <c r="G271" s="993"/>
      <c r="H271" s="993"/>
      <c r="I271" s="993"/>
      <c r="J271" s="993"/>
      <c r="K271" s="962">
        <f>SUM(C271:J271)</f>
        <v>656</v>
      </c>
      <c r="L271" s="962"/>
      <c r="M271" s="962"/>
      <c r="N271" s="962">
        <f>SUM(L271:M271)</f>
        <v>0</v>
      </c>
      <c r="O271" s="963">
        <f>(K271*12)+N271</f>
        <v>7872</v>
      </c>
      <c r="P271" s="956">
        <f>B271*O271</f>
        <v>0</v>
      </c>
      <c r="Q271" s="1001">
        <v>0</v>
      </c>
      <c r="R271" s="962">
        <v>656</v>
      </c>
      <c r="S271" s="993"/>
      <c r="T271" s="993"/>
      <c r="U271" s="993"/>
      <c r="V271" s="993"/>
      <c r="W271" s="993"/>
      <c r="X271" s="993"/>
      <c r="Y271" s="993"/>
      <c r="Z271" s="962">
        <f>SUM(R271:Y271)</f>
        <v>656</v>
      </c>
      <c r="AA271" s="962"/>
      <c r="AB271" s="962"/>
      <c r="AC271" s="962">
        <f>SUM(AA271:AB271)</f>
        <v>0</v>
      </c>
      <c r="AD271" s="963">
        <f>(Z271*12)+AC271</f>
        <v>7872</v>
      </c>
      <c r="AE271" s="956">
        <f>Q271*AD271</f>
        <v>0</v>
      </c>
      <c r="AF271" s="957">
        <f t="shared" si="190"/>
        <v>0</v>
      </c>
      <c r="AG271" s="956">
        <f t="shared" si="190"/>
        <v>0</v>
      </c>
      <c r="AH271" s="1002">
        <v>0</v>
      </c>
      <c r="AI271" s="956">
        <v>0</v>
      </c>
    </row>
    <row r="272" spans="1:35" ht="24">
      <c r="A272" s="933" t="s">
        <v>7134</v>
      </c>
      <c r="B272" s="1001">
        <v>0</v>
      </c>
      <c r="C272" s="962">
        <v>583</v>
      </c>
      <c r="D272" s="993"/>
      <c r="E272" s="993"/>
      <c r="F272" s="993"/>
      <c r="G272" s="993"/>
      <c r="H272" s="993"/>
      <c r="I272" s="993"/>
      <c r="J272" s="993"/>
      <c r="K272" s="962">
        <f>SUM(C272:J272)</f>
        <v>583</v>
      </c>
      <c r="L272" s="962"/>
      <c r="M272" s="962"/>
      <c r="N272" s="962">
        <f>SUM(L272:M272)</f>
        <v>0</v>
      </c>
      <c r="O272" s="963">
        <f>(K272*12)+N272</f>
        <v>6996</v>
      </c>
      <c r="P272" s="956">
        <f>B272*O272</f>
        <v>0</v>
      </c>
      <c r="Q272" s="1001">
        <v>0</v>
      </c>
      <c r="R272" s="962">
        <v>583</v>
      </c>
      <c r="S272" s="993"/>
      <c r="T272" s="993"/>
      <c r="U272" s="993"/>
      <c r="V272" s="993"/>
      <c r="W272" s="993"/>
      <c r="X272" s="993"/>
      <c r="Y272" s="993"/>
      <c r="Z272" s="962">
        <f>SUM(R272:Y272)</f>
        <v>583</v>
      </c>
      <c r="AA272" s="962"/>
      <c r="AB272" s="962"/>
      <c r="AC272" s="962">
        <f>SUM(AA272:AB272)</f>
        <v>0</v>
      </c>
      <c r="AD272" s="963">
        <f>(Z272*12)+AC272</f>
        <v>6996</v>
      </c>
      <c r="AE272" s="956">
        <f>Q272*AD272</f>
        <v>0</v>
      </c>
      <c r="AF272" s="957">
        <f t="shared" si="190"/>
        <v>0</v>
      </c>
      <c r="AG272" s="956">
        <f t="shared" si="190"/>
        <v>0</v>
      </c>
      <c r="AH272" s="1002">
        <v>0</v>
      </c>
      <c r="AI272" s="956">
        <v>0</v>
      </c>
    </row>
    <row r="273" spans="1:35" ht="36">
      <c r="A273" s="931" t="s">
        <v>7137</v>
      </c>
      <c r="B273" s="965">
        <f>SUM(B274:B276)</f>
        <v>1</v>
      </c>
      <c r="C273" s="966"/>
      <c r="D273" s="966"/>
      <c r="E273" s="966"/>
      <c r="F273" s="966"/>
      <c r="G273" s="966"/>
      <c r="H273" s="966"/>
      <c r="I273" s="966"/>
      <c r="J273" s="966"/>
      <c r="K273" s="966"/>
      <c r="L273" s="966"/>
      <c r="M273" s="966"/>
      <c r="N273" s="966"/>
      <c r="O273" s="966">
        <f>SUM(O274:O276)</f>
        <v>25968</v>
      </c>
      <c r="P273" s="952">
        <f>SUM(P274:P276)</f>
        <v>9624</v>
      </c>
      <c r="Q273" s="965">
        <f>SUM(Q274:Q276)</f>
        <v>2</v>
      </c>
      <c r="R273" s="966"/>
      <c r="S273" s="966"/>
      <c r="T273" s="966"/>
      <c r="U273" s="966"/>
      <c r="V273" s="966"/>
      <c r="W273" s="966"/>
      <c r="X273" s="966"/>
      <c r="Y273" s="966"/>
      <c r="Z273" s="966"/>
      <c r="AA273" s="966"/>
      <c r="AB273" s="966"/>
      <c r="AC273" s="966">
        <f t="shared" ref="AC273:AI273" si="191">SUM(AC274:AC276)</f>
        <v>0</v>
      </c>
      <c r="AD273" s="966">
        <f t="shared" si="191"/>
        <v>25968</v>
      </c>
      <c r="AE273" s="952">
        <f t="shared" si="191"/>
        <v>19248</v>
      </c>
      <c r="AF273" s="965">
        <f t="shared" si="191"/>
        <v>0</v>
      </c>
      <c r="AG273" s="952">
        <f t="shared" si="191"/>
        <v>-9624</v>
      </c>
      <c r="AH273" s="967">
        <f t="shared" si="191"/>
        <v>5</v>
      </c>
      <c r="AI273" s="952">
        <f t="shared" si="191"/>
        <v>48120</v>
      </c>
    </row>
    <row r="274" spans="1:35" ht="24">
      <c r="A274" s="933" t="s">
        <v>7136</v>
      </c>
      <c r="B274" s="1001">
        <v>1</v>
      </c>
      <c r="C274" s="962">
        <v>802</v>
      </c>
      <c r="D274" s="993"/>
      <c r="E274" s="993"/>
      <c r="F274" s="993"/>
      <c r="G274" s="993"/>
      <c r="H274" s="993"/>
      <c r="I274" s="993"/>
      <c r="J274" s="993"/>
      <c r="K274" s="962">
        <f>SUM(C274:J274)</f>
        <v>802</v>
      </c>
      <c r="L274" s="962"/>
      <c r="M274" s="962"/>
      <c r="N274" s="962">
        <f>SUM(L274:M274)</f>
        <v>0</v>
      </c>
      <c r="O274" s="963">
        <f>(K274*12)+N274</f>
        <v>9624</v>
      </c>
      <c r="P274" s="956">
        <f>B274*O274</f>
        <v>9624</v>
      </c>
      <c r="Q274" s="1001">
        <v>2</v>
      </c>
      <c r="R274" s="962">
        <v>802</v>
      </c>
      <c r="S274" s="993"/>
      <c r="T274" s="993"/>
      <c r="U274" s="993"/>
      <c r="V274" s="993"/>
      <c r="W274" s="993"/>
      <c r="X274" s="993"/>
      <c r="Y274" s="993"/>
      <c r="Z274" s="962">
        <f>SUM(R274:Y274)</f>
        <v>802</v>
      </c>
      <c r="AA274" s="962"/>
      <c r="AB274" s="962"/>
      <c r="AC274" s="962">
        <f>SUM(AA274:AB274)</f>
        <v>0</v>
      </c>
      <c r="AD274" s="963">
        <f>(Z274*12)+AC274</f>
        <v>9624</v>
      </c>
      <c r="AE274" s="956">
        <f>Q274*AD274</f>
        <v>19248</v>
      </c>
      <c r="AF274" s="957">
        <f t="shared" ref="AF274:AG276" si="192">+O274-AD274</f>
        <v>0</v>
      </c>
      <c r="AG274" s="956">
        <f t="shared" si="192"/>
        <v>-9624</v>
      </c>
      <c r="AH274" s="1002">
        <v>5</v>
      </c>
      <c r="AI274" s="956">
        <v>48120</v>
      </c>
    </row>
    <row r="275" spans="1:35" ht="24">
      <c r="A275" s="933" t="s">
        <v>7135</v>
      </c>
      <c r="B275" s="1001">
        <v>0</v>
      </c>
      <c r="C275" s="962">
        <v>721</v>
      </c>
      <c r="D275" s="993"/>
      <c r="E275" s="993"/>
      <c r="F275" s="993"/>
      <c r="G275" s="993"/>
      <c r="H275" s="993"/>
      <c r="I275" s="993"/>
      <c r="J275" s="993"/>
      <c r="K275" s="962">
        <f>SUM(C275:J275)</f>
        <v>721</v>
      </c>
      <c r="L275" s="962"/>
      <c r="M275" s="962"/>
      <c r="N275" s="962">
        <f>SUM(L275:M275)</f>
        <v>0</v>
      </c>
      <c r="O275" s="963">
        <f>(K275*12)+N275</f>
        <v>8652</v>
      </c>
      <c r="P275" s="956">
        <f>B275*O275</f>
        <v>0</v>
      </c>
      <c r="Q275" s="1001">
        <v>0</v>
      </c>
      <c r="R275" s="962">
        <v>721</v>
      </c>
      <c r="S275" s="993"/>
      <c r="T275" s="993"/>
      <c r="U275" s="993"/>
      <c r="V275" s="993"/>
      <c r="W275" s="993"/>
      <c r="X275" s="993"/>
      <c r="Y275" s="993"/>
      <c r="Z275" s="962">
        <f>SUM(R275:Y275)</f>
        <v>721</v>
      </c>
      <c r="AA275" s="962"/>
      <c r="AB275" s="962"/>
      <c r="AC275" s="962">
        <f>SUM(AA275:AB275)</f>
        <v>0</v>
      </c>
      <c r="AD275" s="963">
        <f>(Z275*12)+AC275</f>
        <v>8652</v>
      </c>
      <c r="AE275" s="956">
        <f>Q275*AD275</f>
        <v>0</v>
      </c>
      <c r="AF275" s="957">
        <f t="shared" si="192"/>
        <v>0</v>
      </c>
      <c r="AG275" s="956">
        <f t="shared" si="192"/>
        <v>0</v>
      </c>
      <c r="AH275" s="1002">
        <v>0</v>
      </c>
      <c r="AI275" s="956">
        <v>0</v>
      </c>
    </row>
    <row r="276" spans="1:35" ht="24">
      <c r="A276" s="933" t="s">
        <v>7134</v>
      </c>
      <c r="B276" s="1001">
        <v>0</v>
      </c>
      <c r="C276" s="962">
        <v>641</v>
      </c>
      <c r="D276" s="993"/>
      <c r="E276" s="993"/>
      <c r="F276" s="993"/>
      <c r="G276" s="993"/>
      <c r="H276" s="993"/>
      <c r="I276" s="993"/>
      <c r="J276" s="993"/>
      <c r="K276" s="962">
        <f>SUM(C276:J276)</f>
        <v>641</v>
      </c>
      <c r="L276" s="962"/>
      <c r="M276" s="962"/>
      <c r="N276" s="962">
        <f>SUM(L276:M276)</f>
        <v>0</v>
      </c>
      <c r="O276" s="963">
        <f>(K276*12)+N276</f>
        <v>7692</v>
      </c>
      <c r="P276" s="956">
        <f>B276*O276</f>
        <v>0</v>
      </c>
      <c r="Q276" s="1001">
        <v>0</v>
      </c>
      <c r="R276" s="962">
        <v>641</v>
      </c>
      <c r="S276" s="993"/>
      <c r="T276" s="993"/>
      <c r="U276" s="993"/>
      <c r="V276" s="993"/>
      <c r="W276" s="993"/>
      <c r="X276" s="993"/>
      <c r="Y276" s="993"/>
      <c r="Z276" s="962">
        <f>SUM(R276:Y276)</f>
        <v>641</v>
      </c>
      <c r="AA276" s="962"/>
      <c r="AB276" s="962"/>
      <c r="AC276" s="962">
        <f>SUM(AA276:AB276)</f>
        <v>0</v>
      </c>
      <c r="AD276" s="963">
        <f>(Z276*12)+AC276</f>
        <v>7692</v>
      </c>
      <c r="AE276" s="956">
        <f>Q276*AD276</f>
        <v>0</v>
      </c>
      <c r="AF276" s="957">
        <f t="shared" si="192"/>
        <v>0</v>
      </c>
      <c r="AG276" s="956">
        <f t="shared" si="192"/>
        <v>0</v>
      </c>
      <c r="AH276" s="1002">
        <v>0</v>
      </c>
      <c r="AI276" s="956">
        <v>0</v>
      </c>
    </row>
    <row r="277" spans="1:35" ht="36">
      <c r="A277" s="936" t="s">
        <v>7162</v>
      </c>
      <c r="B277" s="945">
        <f>B278+B284</f>
        <v>1249</v>
      </c>
      <c r="C277" s="946"/>
      <c r="D277" s="946"/>
      <c r="E277" s="946"/>
      <c r="F277" s="946"/>
      <c r="G277" s="946"/>
      <c r="H277" s="946"/>
      <c r="I277" s="946"/>
      <c r="J277" s="946"/>
      <c r="K277" s="946"/>
      <c r="L277" s="946"/>
      <c r="M277" s="946"/>
      <c r="N277" s="946"/>
      <c r="O277" s="946">
        <f>O278+O284</f>
        <v>20665.919999999998</v>
      </c>
      <c r="P277" s="947">
        <f>P278+P284</f>
        <v>2686112</v>
      </c>
      <c r="Q277" s="945"/>
      <c r="R277" s="946"/>
      <c r="S277" s="946"/>
      <c r="T277" s="946"/>
      <c r="U277" s="946"/>
      <c r="V277" s="946"/>
      <c r="W277" s="946"/>
      <c r="X277" s="946"/>
      <c r="Y277" s="946"/>
      <c r="Z277" s="946"/>
      <c r="AA277" s="946"/>
      <c r="AB277" s="946"/>
      <c r="AC277" s="946"/>
      <c r="AD277" s="946">
        <f t="shared" ref="AD277:AI277" si="193">AD278+AD284</f>
        <v>20665.919999999998</v>
      </c>
      <c r="AE277" s="947">
        <f t="shared" si="193"/>
        <v>2724672.96</v>
      </c>
      <c r="AF277" s="945">
        <f t="shared" si="193"/>
        <v>0</v>
      </c>
      <c r="AG277" s="947">
        <f t="shared" si="193"/>
        <v>161439.03999999983</v>
      </c>
      <c r="AH277" s="975">
        <f t="shared" si="193"/>
        <v>936</v>
      </c>
      <c r="AI277" s="947">
        <f t="shared" si="193"/>
        <v>2175066</v>
      </c>
    </row>
    <row r="278" spans="1:35">
      <c r="A278" s="935" t="s">
        <v>6922</v>
      </c>
      <c r="B278" s="965">
        <f>SUM(B279:B283)</f>
        <v>518</v>
      </c>
      <c r="C278" s="966"/>
      <c r="D278" s="966"/>
      <c r="E278" s="966"/>
      <c r="F278" s="966"/>
      <c r="G278" s="966"/>
      <c r="H278" s="966"/>
      <c r="I278" s="966"/>
      <c r="J278" s="966"/>
      <c r="K278" s="966"/>
      <c r="L278" s="966"/>
      <c r="M278" s="966"/>
      <c r="N278" s="966"/>
      <c r="O278" s="966">
        <f>SUM(O279:O283)</f>
        <v>12959.52</v>
      </c>
      <c r="P278" s="952">
        <f>SUM(P279:P283)</f>
        <v>1356731.2</v>
      </c>
      <c r="Q278" s="965"/>
      <c r="R278" s="966"/>
      <c r="S278" s="966"/>
      <c r="T278" s="966"/>
      <c r="U278" s="966"/>
      <c r="V278" s="966"/>
      <c r="W278" s="966"/>
      <c r="X278" s="966"/>
      <c r="Y278" s="966"/>
      <c r="Z278" s="966"/>
      <c r="AA278" s="966"/>
      <c r="AB278" s="966"/>
      <c r="AC278" s="966"/>
      <c r="AD278" s="966">
        <f t="shared" ref="AD278:AI278" si="194">SUM(AD279:AD283)</f>
        <v>12959.52</v>
      </c>
      <c r="AE278" s="952">
        <f t="shared" si="194"/>
        <v>1108700.1600000001</v>
      </c>
      <c r="AF278" s="965">
        <f t="shared" si="194"/>
        <v>0</v>
      </c>
      <c r="AG278" s="952">
        <f t="shared" si="194"/>
        <v>248031.03999999989</v>
      </c>
      <c r="AH278" s="967">
        <f t="shared" si="194"/>
        <v>359</v>
      </c>
      <c r="AI278" s="952">
        <f t="shared" si="194"/>
        <v>776792</v>
      </c>
    </row>
    <row r="279" spans="1:35">
      <c r="A279" s="941" t="s">
        <v>7161</v>
      </c>
      <c r="B279" s="1005">
        <v>84</v>
      </c>
      <c r="C279" s="1006">
        <v>330.59999999999997</v>
      </c>
      <c r="D279" s="1006"/>
      <c r="E279" s="1006"/>
      <c r="F279" s="1006"/>
      <c r="G279" s="1006"/>
      <c r="H279" s="1006"/>
      <c r="I279" s="1006"/>
      <c r="J279" s="1006"/>
      <c r="K279" s="962">
        <f>SUM(C279:J279)</f>
        <v>330.59999999999997</v>
      </c>
      <c r="L279" s="962"/>
      <c r="M279" s="962"/>
      <c r="N279" s="962">
        <f>SUM(L279:M279)</f>
        <v>0</v>
      </c>
      <c r="O279" s="963">
        <f>(K279*12)+N279</f>
        <v>3967.2</v>
      </c>
      <c r="P279" s="956">
        <v>34966.400000000001</v>
      </c>
      <c r="Q279" s="1000">
        <v>65</v>
      </c>
      <c r="R279" s="1006">
        <v>330.59999999999997</v>
      </c>
      <c r="S279" s="1006"/>
      <c r="T279" s="1006"/>
      <c r="U279" s="1006"/>
      <c r="V279" s="1006"/>
      <c r="W279" s="1006"/>
      <c r="X279" s="1006"/>
      <c r="Y279" s="1006"/>
      <c r="Z279" s="962">
        <f>SUM(R279:Y279)</f>
        <v>330.59999999999997</v>
      </c>
      <c r="AA279" s="962"/>
      <c r="AB279" s="962"/>
      <c r="AC279" s="962">
        <f>SUM(AA279:AB279)</f>
        <v>0</v>
      </c>
      <c r="AD279" s="963">
        <f>(Z279*12)+AC279</f>
        <v>3967.2</v>
      </c>
      <c r="AE279" s="956">
        <f>Q279*AD279</f>
        <v>257868</v>
      </c>
      <c r="AF279" s="957">
        <f t="shared" ref="AF279:AG283" si="195">+O279-AD279</f>
        <v>0</v>
      </c>
      <c r="AG279" s="956">
        <f t="shared" si="195"/>
        <v>-222901.6</v>
      </c>
      <c r="AH279" s="1007">
        <v>0</v>
      </c>
      <c r="AI279" s="964">
        <v>0</v>
      </c>
    </row>
    <row r="280" spans="1:35">
      <c r="A280" s="941" t="s">
        <v>7159</v>
      </c>
      <c r="B280" s="1005">
        <v>65</v>
      </c>
      <c r="C280" s="1006">
        <v>220.4</v>
      </c>
      <c r="D280" s="1006"/>
      <c r="E280" s="1006"/>
      <c r="F280" s="1006"/>
      <c r="G280" s="1006"/>
      <c r="H280" s="1006"/>
      <c r="I280" s="1006"/>
      <c r="J280" s="1006"/>
      <c r="K280" s="962">
        <f>SUM(C280:J280)</f>
        <v>220.4</v>
      </c>
      <c r="L280" s="962"/>
      <c r="M280" s="962"/>
      <c r="N280" s="962">
        <f>SUM(L280:M280)</f>
        <v>0</v>
      </c>
      <c r="O280" s="963">
        <f>(K280*12)+N280</f>
        <v>2644.8</v>
      </c>
      <c r="P280" s="956">
        <v>257867.99999999994</v>
      </c>
      <c r="Q280" s="1000">
        <v>49</v>
      </c>
      <c r="R280" s="1006">
        <v>220.4</v>
      </c>
      <c r="S280" s="1006"/>
      <c r="T280" s="1006"/>
      <c r="U280" s="1006"/>
      <c r="V280" s="1006"/>
      <c r="W280" s="1006"/>
      <c r="X280" s="1006"/>
      <c r="Y280" s="1006"/>
      <c r="Z280" s="962">
        <f>SUM(R280:Y280)</f>
        <v>220.4</v>
      </c>
      <c r="AA280" s="962"/>
      <c r="AB280" s="962"/>
      <c r="AC280" s="962">
        <f>SUM(AA280:AB280)</f>
        <v>0</v>
      </c>
      <c r="AD280" s="963">
        <f>(Z280*12)+AC280</f>
        <v>2644.8</v>
      </c>
      <c r="AE280" s="956">
        <f>Q280*AD280</f>
        <v>129595.20000000001</v>
      </c>
      <c r="AF280" s="957">
        <f t="shared" si="195"/>
        <v>0</v>
      </c>
      <c r="AG280" s="956">
        <f t="shared" si="195"/>
        <v>128272.79999999993</v>
      </c>
      <c r="AH280" s="1007">
        <v>61</v>
      </c>
      <c r="AI280" s="964">
        <v>161534.72</v>
      </c>
    </row>
    <row r="281" spans="1:35">
      <c r="A281" s="941" t="s">
        <v>7158</v>
      </c>
      <c r="B281" s="1005">
        <v>49</v>
      </c>
      <c r="C281" s="1006">
        <v>198.35999999999999</v>
      </c>
      <c r="D281" s="1006"/>
      <c r="E281" s="1006"/>
      <c r="F281" s="1006"/>
      <c r="G281" s="1006"/>
      <c r="H281" s="1006"/>
      <c r="I281" s="1006"/>
      <c r="J281" s="1006"/>
      <c r="K281" s="962">
        <f>SUM(C281:J281)</f>
        <v>198.35999999999999</v>
      </c>
      <c r="L281" s="962"/>
      <c r="M281" s="962"/>
      <c r="N281" s="962">
        <f>SUM(L281:M281)</f>
        <v>0</v>
      </c>
      <c r="O281" s="963">
        <f>(K281*12)+N281</f>
        <v>2380.3199999999997</v>
      </c>
      <c r="P281" s="956">
        <v>194392.8</v>
      </c>
      <c r="Q281" s="1000">
        <v>63</v>
      </c>
      <c r="R281" s="1006">
        <v>198.35999999999999</v>
      </c>
      <c r="S281" s="1006"/>
      <c r="T281" s="1006"/>
      <c r="U281" s="1006"/>
      <c r="V281" s="1006"/>
      <c r="W281" s="1006"/>
      <c r="X281" s="1006"/>
      <c r="Y281" s="1006"/>
      <c r="Z281" s="962">
        <f>SUM(R281:Y281)</f>
        <v>198.35999999999999</v>
      </c>
      <c r="AA281" s="962"/>
      <c r="AB281" s="962"/>
      <c r="AC281" s="962">
        <f>SUM(AA281:AB281)</f>
        <v>0</v>
      </c>
      <c r="AD281" s="963">
        <f>(Z281*12)+AC281</f>
        <v>2380.3199999999997</v>
      </c>
      <c r="AE281" s="956">
        <f>Q281*AD281</f>
        <v>149960.15999999997</v>
      </c>
      <c r="AF281" s="957">
        <f t="shared" si="195"/>
        <v>0</v>
      </c>
      <c r="AG281" s="956">
        <f t="shared" si="195"/>
        <v>44432.640000000014</v>
      </c>
      <c r="AH281" s="1007">
        <v>59</v>
      </c>
      <c r="AI281" s="964">
        <v>140640.80000000002</v>
      </c>
    </row>
    <row r="282" spans="1:35">
      <c r="A282" s="942" t="s">
        <v>7157</v>
      </c>
      <c r="B282" s="1005">
        <v>160</v>
      </c>
      <c r="C282" s="1006">
        <v>176.32</v>
      </c>
      <c r="D282" s="1006"/>
      <c r="E282" s="1006"/>
      <c r="F282" s="1006"/>
      <c r="G282" s="1006"/>
      <c r="H282" s="1006"/>
      <c r="I282" s="1006"/>
      <c r="J282" s="1006"/>
      <c r="K282" s="962">
        <f>SUM(C282:J282)</f>
        <v>176.32</v>
      </c>
      <c r="L282" s="962"/>
      <c r="M282" s="962"/>
      <c r="N282" s="962">
        <f>SUM(L282:M282)</f>
        <v>0</v>
      </c>
      <c r="O282" s="963">
        <f>(K282*12)+N282</f>
        <v>2115.84</v>
      </c>
      <c r="P282" s="956">
        <v>434752</v>
      </c>
      <c r="Q282" s="1000">
        <v>130</v>
      </c>
      <c r="R282" s="1006">
        <v>176.32</v>
      </c>
      <c r="S282" s="1006"/>
      <c r="T282" s="1006"/>
      <c r="U282" s="1006"/>
      <c r="V282" s="1006"/>
      <c r="W282" s="1006"/>
      <c r="X282" s="1006"/>
      <c r="Y282" s="1006"/>
      <c r="Z282" s="962">
        <f>SUM(R282:Y282)</f>
        <v>176.32</v>
      </c>
      <c r="AA282" s="962"/>
      <c r="AB282" s="962"/>
      <c r="AC282" s="962">
        <f>SUM(AA282:AB282)</f>
        <v>0</v>
      </c>
      <c r="AD282" s="963">
        <f>(Z282*12)+AC282</f>
        <v>2115.84</v>
      </c>
      <c r="AE282" s="956">
        <f>Q282*AD282</f>
        <v>275059.20000000001</v>
      </c>
      <c r="AF282" s="957">
        <f t="shared" si="195"/>
        <v>0</v>
      </c>
      <c r="AG282" s="956">
        <f t="shared" si="195"/>
        <v>159692.79999999999</v>
      </c>
      <c r="AH282" s="1007">
        <v>120</v>
      </c>
      <c r="AI282" s="964">
        <v>254102.72</v>
      </c>
    </row>
    <row r="283" spans="1:35">
      <c r="A283" s="942" t="s">
        <v>7132</v>
      </c>
      <c r="B283" s="1005">
        <v>160</v>
      </c>
      <c r="C283" s="1006">
        <v>154.28</v>
      </c>
      <c r="D283" s="1006"/>
      <c r="E283" s="1006"/>
      <c r="F283" s="1006"/>
      <c r="G283" s="1006"/>
      <c r="H283" s="1006"/>
      <c r="I283" s="1006"/>
      <c r="J283" s="1006"/>
      <c r="K283" s="962">
        <f>SUM(C283:J283)</f>
        <v>154.28</v>
      </c>
      <c r="L283" s="962"/>
      <c r="M283" s="962"/>
      <c r="N283" s="962">
        <f>SUM(L283:M283)</f>
        <v>0</v>
      </c>
      <c r="O283" s="963">
        <f>(K283*12)+N283</f>
        <v>1851.3600000000001</v>
      </c>
      <c r="P283" s="956">
        <v>434752</v>
      </c>
      <c r="Q283" s="1000">
        <v>160</v>
      </c>
      <c r="R283" s="1006">
        <v>154.28</v>
      </c>
      <c r="S283" s="1006"/>
      <c r="T283" s="1006"/>
      <c r="U283" s="1006"/>
      <c r="V283" s="1006"/>
      <c r="W283" s="1006"/>
      <c r="X283" s="1006"/>
      <c r="Y283" s="1006"/>
      <c r="Z283" s="962">
        <f>SUM(R283:Y283)</f>
        <v>154.28</v>
      </c>
      <c r="AA283" s="962"/>
      <c r="AB283" s="962"/>
      <c r="AC283" s="962">
        <f>SUM(AA283:AB283)</f>
        <v>0</v>
      </c>
      <c r="AD283" s="963">
        <f>(Z283*12)+AC283</f>
        <v>1851.3600000000001</v>
      </c>
      <c r="AE283" s="956">
        <f>Q283*AD283</f>
        <v>296217.60000000003</v>
      </c>
      <c r="AF283" s="957">
        <f t="shared" si="195"/>
        <v>0</v>
      </c>
      <c r="AG283" s="956">
        <f t="shared" si="195"/>
        <v>138534.39999999997</v>
      </c>
      <c r="AH283" s="1007">
        <v>119</v>
      </c>
      <c r="AI283" s="964">
        <v>220513.76</v>
      </c>
    </row>
    <row r="284" spans="1:35">
      <c r="A284" s="935" t="s">
        <v>7160</v>
      </c>
      <c r="B284" s="965">
        <f>SUM(B285:B287)</f>
        <v>731</v>
      </c>
      <c r="C284" s="966"/>
      <c r="D284" s="966"/>
      <c r="E284" s="966"/>
      <c r="F284" s="966"/>
      <c r="G284" s="966"/>
      <c r="H284" s="966"/>
      <c r="I284" s="966"/>
      <c r="J284" s="966"/>
      <c r="K284" s="966"/>
      <c r="L284" s="966"/>
      <c r="M284" s="966"/>
      <c r="N284" s="966"/>
      <c r="O284" s="966">
        <f>SUM(O285:O287)</f>
        <v>7706.4</v>
      </c>
      <c r="P284" s="952">
        <f>SUM(P285:P287)</f>
        <v>1329380.7999999998</v>
      </c>
      <c r="Q284" s="965"/>
      <c r="R284" s="966"/>
      <c r="S284" s="966"/>
      <c r="T284" s="966"/>
      <c r="U284" s="966"/>
      <c r="V284" s="966"/>
      <c r="W284" s="966"/>
      <c r="X284" s="966"/>
      <c r="Y284" s="966"/>
      <c r="Z284" s="966"/>
      <c r="AA284" s="966"/>
      <c r="AB284" s="966"/>
      <c r="AC284" s="966"/>
      <c r="AD284" s="966">
        <f t="shared" ref="AD284:AI284" si="196">SUM(AD285:AD287)</f>
        <v>7706.4</v>
      </c>
      <c r="AE284" s="952">
        <f t="shared" si="196"/>
        <v>1615972.8</v>
      </c>
      <c r="AF284" s="965">
        <f t="shared" si="196"/>
        <v>0</v>
      </c>
      <c r="AG284" s="952">
        <f t="shared" si="196"/>
        <v>-86592.000000000058</v>
      </c>
      <c r="AH284" s="967">
        <f t="shared" si="196"/>
        <v>577</v>
      </c>
      <c r="AI284" s="952">
        <f t="shared" si="196"/>
        <v>1398274</v>
      </c>
    </row>
    <row r="285" spans="1:35">
      <c r="A285" s="941" t="s">
        <v>7159</v>
      </c>
      <c r="B285" s="1008">
        <v>211</v>
      </c>
      <c r="C285" s="1006">
        <v>296.39999999999998</v>
      </c>
      <c r="D285" s="1006"/>
      <c r="E285" s="1006"/>
      <c r="F285" s="1006"/>
      <c r="G285" s="1006"/>
      <c r="H285" s="1006"/>
      <c r="I285" s="1006"/>
      <c r="J285" s="1006"/>
      <c r="K285" s="962">
        <f>SUM(C285:J285)</f>
        <v>296.39999999999998</v>
      </c>
      <c r="L285" s="962"/>
      <c r="M285" s="962"/>
      <c r="N285" s="962">
        <f>SUM(L285:M285)</f>
        <v>0</v>
      </c>
      <c r="O285" s="963">
        <f>(K285*12)+N285</f>
        <v>3556.7999999999997</v>
      </c>
      <c r="P285" s="956">
        <v>750484.79999999993</v>
      </c>
      <c r="Q285" s="1000">
        <v>191</v>
      </c>
      <c r="R285" s="1006">
        <v>296.39999999999998</v>
      </c>
      <c r="S285" s="1006"/>
      <c r="T285" s="1006"/>
      <c r="U285" s="1006"/>
      <c r="V285" s="1006"/>
      <c r="W285" s="1006"/>
      <c r="X285" s="1006"/>
      <c r="Y285" s="1006"/>
      <c r="Z285" s="962">
        <f>SUM(R285:Y285)</f>
        <v>296.39999999999998</v>
      </c>
      <c r="AA285" s="962"/>
      <c r="AB285" s="962"/>
      <c r="AC285" s="962">
        <f>SUM(AA285:AB285)</f>
        <v>0</v>
      </c>
      <c r="AD285" s="963">
        <f>(Z285*12)+AC285</f>
        <v>3556.7999999999997</v>
      </c>
      <c r="AE285" s="956">
        <f>Q285*AD285</f>
        <v>679348.79999999993</v>
      </c>
      <c r="AF285" s="957">
        <f>+O285-AD285</f>
        <v>0</v>
      </c>
      <c r="AG285" s="956">
        <f>+P285-AE285</f>
        <v>71136</v>
      </c>
      <c r="AH285" s="1007">
        <v>135</v>
      </c>
      <c r="AI285" s="964">
        <v>480120.94</v>
      </c>
    </row>
    <row r="286" spans="1:35">
      <c r="A286" s="941" t="s">
        <v>7158</v>
      </c>
      <c r="B286" s="1008">
        <v>260</v>
      </c>
      <c r="C286" s="1006">
        <v>197.60000000000002</v>
      </c>
      <c r="D286" s="1006"/>
      <c r="E286" s="1006"/>
      <c r="F286" s="1006"/>
      <c r="G286" s="1006"/>
      <c r="H286" s="1006"/>
      <c r="I286" s="1006"/>
      <c r="J286" s="1006"/>
      <c r="K286" s="962">
        <f>SUM(C286:J286)</f>
        <v>197.60000000000002</v>
      </c>
      <c r="L286" s="962"/>
      <c r="M286" s="962"/>
      <c r="N286" s="962">
        <f>SUM(L286:M286)</f>
        <v>0</v>
      </c>
      <c r="O286" s="963">
        <f>(K286*12)+N286</f>
        <v>2371.2000000000003</v>
      </c>
      <c r="P286" s="956">
        <v>316512</v>
      </c>
      <c r="Q286" s="1000">
        <v>200</v>
      </c>
      <c r="R286" s="1006">
        <v>197.60000000000002</v>
      </c>
      <c r="S286" s="1006"/>
      <c r="T286" s="1006"/>
      <c r="U286" s="1006"/>
      <c r="V286" s="1006"/>
      <c r="W286" s="1006"/>
      <c r="X286" s="1006"/>
      <c r="Y286" s="1006"/>
      <c r="Z286" s="962">
        <f>SUM(R286:Y286)</f>
        <v>197.60000000000002</v>
      </c>
      <c r="AA286" s="962"/>
      <c r="AB286" s="962"/>
      <c r="AC286" s="962">
        <f>SUM(AA286:AB286)</f>
        <v>0</v>
      </c>
      <c r="AD286" s="963">
        <f>(Z286*12)+AC286</f>
        <v>2371.2000000000003</v>
      </c>
      <c r="AE286" s="956">
        <f>Q286*AD286</f>
        <v>474240.00000000006</v>
      </c>
      <c r="AF286" s="957">
        <f>+O286-AD286</f>
        <v>0</v>
      </c>
      <c r="AG286" s="956">
        <f>+P286-AE286</f>
        <v>-157728.00000000006</v>
      </c>
      <c r="AH286" s="1007">
        <v>223</v>
      </c>
      <c r="AI286" s="964">
        <v>528730.54</v>
      </c>
    </row>
    <row r="287" spans="1:35" ht="12.75" thickBot="1">
      <c r="A287" s="943" t="s">
        <v>7157</v>
      </c>
      <c r="B287" s="1009">
        <v>260</v>
      </c>
      <c r="C287" s="1010">
        <v>148.19999999999999</v>
      </c>
      <c r="D287" s="1010"/>
      <c r="E287" s="1010"/>
      <c r="F287" s="1010"/>
      <c r="G287" s="1010"/>
      <c r="H287" s="1010"/>
      <c r="I287" s="1010"/>
      <c r="J287" s="1010"/>
      <c r="K287" s="1011">
        <f>SUM(C287:J287)</f>
        <v>148.19999999999999</v>
      </c>
      <c r="L287" s="1011"/>
      <c r="M287" s="1011"/>
      <c r="N287" s="1011">
        <f>SUM(L287:M287)</f>
        <v>0</v>
      </c>
      <c r="O287" s="1012">
        <f>(K287*12)+N287</f>
        <v>1778.3999999999999</v>
      </c>
      <c r="P287" s="1013">
        <v>262384</v>
      </c>
      <c r="Q287" s="1014">
        <v>260</v>
      </c>
      <c r="R287" s="1010">
        <v>148.19999999999999</v>
      </c>
      <c r="S287" s="1010"/>
      <c r="T287" s="1010"/>
      <c r="U287" s="1010"/>
      <c r="V287" s="1010"/>
      <c r="W287" s="1010"/>
      <c r="X287" s="1010"/>
      <c r="Y287" s="1010"/>
      <c r="Z287" s="1011">
        <f>SUM(R287:Y287)</f>
        <v>148.19999999999999</v>
      </c>
      <c r="AA287" s="1011"/>
      <c r="AB287" s="1011"/>
      <c r="AC287" s="1011">
        <f>SUM(AA287:AB287)</f>
        <v>0</v>
      </c>
      <c r="AD287" s="1012">
        <f>(Z287*12)+AC287</f>
        <v>1778.3999999999999</v>
      </c>
      <c r="AE287" s="1013">
        <f>Q287*AD287</f>
        <v>462383.99999999994</v>
      </c>
      <c r="AF287" s="957">
        <f>+O287-AD287</f>
        <v>0</v>
      </c>
      <c r="AG287" s="1013"/>
      <c r="AH287" s="1015">
        <v>219</v>
      </c>
      <c r="AI287" s="1016">
        <v>389422.51999999996</v>
      </c>
    </row>
    <row r="288" spans="1:35" ht="13.5" thickBot="1">
      <c r="A288" s="944" t="s">
        <v>0</v>
      </c>
      <c r="B288" s="927">
        <f>+B9+B46+B65+B77+B89+B218+B277</f>
        <v>19971</v>
      </c>
      <c r="C288" s="928"/>
      <c r="D288" s="928"/>
      <c r="E288" s="928"/>
      <c r="F288" s="928"/>
      <c r="G288" s="928"/>
      <c r="H288" s="928"/>
      <c r="I288" s="928"/>
      <c r="J288" s="928"/>
      <c r="K288" s="928"/>
      <c r="L288" s="928"/>
      <c r="M288" s="928"/>
      <c r="N288" s="928"/>
      <c r="O288" s="928"/>
      <c r="P288" s="929">
        <f>+P9+P46+P65+P77+P89+P212+P218+P277</f>
        <v>699713092.6952467</v>
      </c>
      <c r="Q288" s="928"/>
      <c r="R288" s="928"/>
      <c r="S288" s="928"/>
      <c r="T288" s="928"/>
      <c r="U288" s="928"/>
      <c r="V288" s="928"/>
      <c r="W288" s="928"/>
      <c r="X288" s="928"/>
      <c r="Y288" s="928"/>
      <c r="Z288" s="928"/>
      <c r="AA288" s="928"/>
      <c r="AB288" s="928"/>
      <c r="AC288" s="928"/>
      <c r="AD288" s="928"/>
      <c r="AE288" s="929">
        <f>+AE9+AE46+AE65+AE77+AE89+AE212+AE218+AE277</f>
        <v>706676373.74000001</v>
      </c>
      <c r="AF288" s="927">
        <f>+AF9+AF46+AF65+AF77+AF89+AF218+AF277</f>
        <v>-598054.83131920651</v>
      </c>
      <c r="AG288" s="929">
        <f>+AG9+AG46+AG65+AG77+AG89+AG212+AG218+AG277</f>
        <v>-6622848.1047533425</v>
      </c>
      <c r="AH288" s="930">
        <f>+AH9+AH46+AH65+AH77+AH89+AH218+AH277</f>
        <v>18646</v>
      </c>
      <c r="AI288" s="929">
        <f>+AI9+AI46+AI65+AI77+AI89+AI212+AI218+AI277</f>
        <v>679808849.14999998</v>
      </c>
    </row>
    <row r="289" spans="1:2">
      <c r="A289" s="265" t="s">
        <v>64</v>
      </c>
    </row>
    <row r="290" spans="1:2">
      <c r="A290" s="265" t="s">
        <v>65</v>
      </c>
      <c r="B290" s="265" t="s">
        <v>152</v>
      </c>
    </row>
    <row r="291" spans="1:2">
      <c r="A291" s="265" t="s">
        <v>66</v>
      </c>
      <c r="B291" s="265" t="s">
        <v>67</v>
      </c>
    </row>
    <row r="292" spans="1:2">
      <c r="A292" s="265" t="s">
        <v>68</v>
      </c>
      <c r="B292" s="265" t="s">
        <v>69</v>
      </c>
    </row>
    <row r="293" spans="1:2">
      <c r="A293" s="265" t="s">
        <v>70</v>
      </c>
      <c r="B293" s="265" t="s">
        <v>71</v>
      </c>
    </row>
    <row r="294" spans="1:2">
      <c r="B294" s="265" t="s">
        <v>72</v>
      </c>
    </row>
    <row r="295" spans="1:2">
      <c r="A295" s="265" t="s">
        <v>73</v>
      </c>
      <c r="B295" s="265" t="s">
        <v>143</v>
      </c>
    </row>
    <row r="296" spans="1:2">
      <c r="B296" s="265" t="s">
        <v>74</v>
      </c>
    </row>
    <row r="297" spans="1:2">
      <c r="B297" s="265" t="s">
        <v>75</v>
      </c>
    </row>
    <row r="298" spans="1:2">
      <c r="B298" s="265" t="s">
        <v>76</v>
      </c>
    </row>
    <row r="299" spans="1:2">
      <c r="A299" s="265" t="s">
        <v>177</v>
      </c>
      <c r="B299" s="265" t="s">
        <v>178</v>
      </c>
    </row>
    <row r="300" spans="1:2">
      <c r="A300" s="265" t="s">
        <v>179</v>
      </c>
      <c r="B300" s="265" t="s">
        <v>148</v>
      </c>
    </row>
    <row r="301" spans="1:2">
      <c r="A301" s="265" t="s">
        <v>180</v>
      </c>
      <c r="B301" s="265" t="s">
        <v>144</v>
      </c>
    </row>
    <row r="302" spans="1:2">
      <c r="B302" s="265" t="s">
        <v>74</v>
      </c>
    </row>
    <row r="303" spans="1:2">
      <c r="B303" s="265" t="s">
        <v>75</v>
      </c>
    </row>
    <row r="304" spans="1:2">
      <c r="B304" s="265" t="s">
        <v>112</v>
      </c>
    </row>
    <row r="305" spans="1:2">
      <c r="A305" s="265" t="s">
        <v>189</v>
      </c>
      <c r="B305" s="265" t="s">
        <v>190</v>
      </c>
    </row>
    <row r="306" spans="1:2">
      <c r="A306" s="265" t="s">
        <v>187</v>
      </c>
      <c r="B306" s="265" t="s">
        <v>183</v>
      </c>
    </row>
    <row r="307" spans="1:2">
      <c r="A307" s="265" t="s">
        <v>188</v>
      </c>
      <c r="B307" s="265" t="s">
        <v>191</v>
      </c>
    </row>
  </sheetData>
  <mergeCells count="5">
    <mergeCell ref="A5:A7"/>
    <mergeCell ref="B5:P5"/>
    <mergeCell ref="Q5:AE5"/>
    <mergeCell ref="AF5:AG5"/>
    <mergeCell ref="AH5:AI5"/>
  </mergeCells>
  <printOptions horizontalCentered="1"/>
  <pageMargins left="0.19685039370078741" right="0.19685039370078741" top="0.78740157480314965" bottom="0.78740157480314965" header="0.19685039370078741" footer="0.19685039370078741"/>
  <pageSetup paperSize="9" scale="61" fitToHeight="15"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2060"/>
  </sheetPr>
  <dimension ref="A1:AI50"/>
  <sheetViews>
    <sheetView view="pageBreakPreview" zoomScaleNormal="100" zoomScaleSheetLayoutView="100" workbookViewId="0">
      <selection activeCell="B8" sqref="B8"/>
    </sheetView>
  </sheetViews>
  <sheetFormatPr baseColWidth="10" defaultColWidth="11.42578125" defaultRowHeight="12"/>
  <cols>
    <col min="1" max="1" width="15.7109375" style="265" customWidth="1"/>
    <col min="2" max="2" width="6.42578125" style="265" customWidth="1"/>
    <col min="3" max="3" width="6.28515625" style="265" bestFit="1" customWidth="1"/>
    <col min="4" max="4" width="5.42578125" style="265" bestFit="1" customWidth="1"/>
    <col min="5" max="5" width="3.140625" style="265" bestFit="1" customWidth="1"/>
    <col min="6" max="6" width="5.42578125" style="265" bestFit="1" customWidth="1"/>
    <col min="7" max="9" width="3.140625" style="265" bestFit="1" customWidth="1"/>
    <col min="10" max="10" width="5.42578125" style="265" bestFit="1" customWidth="1"/>
    <col min="11" max="11" width="6.42578125" style="265" bestFit="1" customWidth="1"/>
    <col min="12" max="14" width="5.42578125" style="265" bestFit="1" customWidth="1"/>
    <col min="15" max="15" width="7.42578125" style="265" bestFit="1" customWidth="1"/>
    <col min="16" max="16" width="8.28515625" style="265" bestFit="1" customWidth="1"/>
    <col min="17" max="17" width="3.140625" style="265" bestFit="1" customWidth="1"/>
    <col min="18" max="18" width="6.28515625" style="265" bestFit="1" customWidth="1"/>
    <col min="19" max="19" width="5.42578125" style="265" bestFit="1" customWidth="1"/>
    <col min="20" max="20" width="3.140625" style="265" bestFit="1" customWidth="1"/>
    <col min="21" max="21" width="5.42578125" style="265" bestFit="1" customWidth="1"/>
    <col min="22" max="24" width="3.140625" style="265" bestFit="1" customWidth="1"/>
    <col min="25" max="29" width="5.42578125" style="265" bestFit="1" customWidth="1"/>
    <col min="30" max="30" width="7.28515625" style="265" bestFit="1" customWidth="1"/>
    <col min="31" max="31" width="8.28515625" style="265" bestFit="1" customWidth="1"/>
    <col min="32" max="33" width="7.28515625" style="265" bestFit="1" customWidth="1"/>
    <col min="34" max="34" width="3.140625" style="265" bestFit="1" customWidth="1"/>
    <col min="35" max="35" width="8.28515625" style="265" bestFit="1" customWidth="1"/>
    <col min="36" max="16384" width="11.42578125" style="265"/>
  </cols>
  <sheetData>
    <row r="1" spans="1:35" s="743" customFormat="1">
      <c r="A1" s="742" t="s">
        <v>465</v>
      </c>
    </row>
    <row r="2" spans="1:35" s="743" customFormat="1">
      <c r="A2" s="69" t="s">
        <v>1655</v>
      </c>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row>
    <row r="3" spans="1:35" s="742" customFormat="1">
      <c r="A3" s="742" t="s">
        <v>1654</v>
      </c>
      <c r="T3" s="745"/>
    </row>
    <row r="4" spans="1:35" s="742" customFormat="1" ht="12.75" thickBot="1">
      <c r="A4" s="742" t="s">
        <v>4387</v>
      </c>
      <c r="T4" s="745"/>
    </row>
    <row r="5" spans="1:35" ht="12.75" thickBot="1">
      <c r="A5" s="1992" t="s">
        <v>41</v>
      </c>
      <c r="B5" s="2021" t="s">
        <v>314</v>
      </c>
      <c r="C5" s="2021"/>
      <c r="D5" s="2021"/>
      <c r="E5" s="2021"/>
      <c r="F5" s="2021"/>
      <c r="G5" s="2021"/>
      <c r="H5" s="2021"/>
      <c r="I5" s="2021"/>
      <c r="J5" s="2021"/>
      <c r="K5" s="2021"/>
      <c r="L5" s="2021"/>
      <c r="M5" s="2021"/>
      <c r="N5" s="2021"/>
      <c r="O5" s="2021"/>
      <c r="P5" s="2021"/>
      <c r="Q5" s="2022" t="s">
        <v>462</v>
      </c>
      <c r="R5" s="2021"/>
      <c r="S5" s="2021"/>
      <c r="T5" s="2021"/>
      <c r="U5" s="2021"/>
      <c r="V5" s="2021"/>
      <c r="W5" s="2021"/>
      <c r="X5" s="2021"/>
      <c r="Y5" s="2021"/>
      <c r="Z5" s="2021"/>
      <c r="AA5" s="2021"/>
      <c r="AB5" s="2021"/>
      <c r="AC5" s="2021"/>
      <c r="AD5" s="2021"/>
      <c r="AE5" s="2023"/>
      <c r="AF5" s="2024" t="s">
        <v>463</v>
      </c>
      <c r="AG5" s="2025"/>
      <c r="AH5" s="2024" t="s">
        <v>464</v>
      </c>
      <c r="AI5" s="2025"/>
    </row>
    <row r="6" spans="1:35" ht="171">
      <c r="A6" s="2019"/>
      <c r="B6" s="130" t="s">
        <v>11</v>
      </c>
      <c r="C6" s="131" t="s">
        <v>137</v>
      </c>
      <c r="D6" s="132" t="s">
        <v>240</v>
      </c>
      <c r="E6" s="132" t="s">
        <v>139</v>
      </c>
      <c r="F6" s="132" t="s">
        <v>173</v>
      </c>
      <c r="G6" s="132" t="s">
        <v>174</v>
      </c>
      <c r="H6" s="132" t="s">
        <v>175</v>
      </c>
      <c r="I6" s="132" t="s">
        <v>176</v>
      </c>
      <c r="J6" s="132" t="s">
        <v>140</v>
      </c>
      <c r="K6" s="132" t="s">
        <v>141</v>
      </c>
      <c r="L6" s="132" t="s">
        <v>142</v>
      </c>
      <c r="M6" s="132" t="s">
        <v>172</v>
      </c>
      <c r="N6" s="133" t="s">
        <v>114</v>
      </c>
      <c r="O6" s="134" t="s">
        <v>147</v>
      </c>
      <c r="P6" s="135" t="s">
        <v>146</v>
      </c>
      <c r="Q6" s="130" t="s">
        <v>11</v>
      </c>
      <c r="R6" s="131" t="s">
        <v>137</v>
      </c>
      <c r="S6" s="132" t="s">
        <v>138</v>
      </c>
      <c r="T6" s="132" t="s">
        <v>139</v>
      </c>
      <c r="U6" s="132" t="s">
        <v>173</v>
      </c>
      <c r="V6" s="132" t="s">
        <v>174</v>
      </c>
      <c r="W6" s="132" t="s">
        <v>175</v>
      </c>
      <c r="X6" s="132" t="s">
        <v>176</v>
      </c>
      <c r="Y6" s="132" t="s">
        <v>140</v>
      </c>
      <c r="Z6" s="132" t="s">
        <v>141</v>
      </c>
      <c r="AA6" s="132" t="s">
        <v>142</v>
      </c>
      <c r="AB6" s="132" t="s">
        <v>172</v>
      </c>
      <c r="AC6" s="133" t="s">
        <v>114</v>
      </c>
      <c r="AD6" s="134" t="s">
        <v>147</v>
      </c>
      <c r="AE6" s="135" t="s">
        <v>315</v>
      </c>
      <c r="AF6" s="136" t="s">
        <v>151</v>
      </c>
      <c r="AG6" s="136" t="s">
        <v>150</v>
      </c>
      <c r="AH6" s="136" t="s">
        <v>11</v>
      </c>
      <c r="AI6" s="135" t="s">
        <v>316</v>
      </c>
    </row>
    <row r="7" spans="1:35" ht="15.75" customHeight="1" thickBot="1">
      <c r="A7" s="2020"/>
      <c r="B7" s="389" t="s">
        <v>42</v>
      </c>
      <c r="C7" s="805" t="s">
        <v>43</v>
      </c>
      <c r="D7" s="806" t="s">
        <v>44</v>
      </c>
      <c r="E7" s="806" t="s">
        <v>45</v>
      </c>
      <c r="F7" s="807" t="s">
        <v>46</v>
      </c>
      <c r="G7" s="807" t="s">
        <v>47</v>
      </c>
      <c r="H7" s="807" t="s">
        <v>77</v>
      </c>
      <c r="I7" s="807" t="s">
        <v>113</v>
      </c>
      <c r="J7" s="807" t="s">
        <v>145</v>
      </c>
      <c r="K7" s="807" t="s">
        <v>149</v>
      </c>
      <c r="L7" s="807" t="s">
        <v>181</v>
      </c>
      <c r="M7" s="807" t="s">
        <v>182</v>
      </c>
      <c r="N7" s="808" t="s">
        <v>184</v>
      </c>
      <c r="O7" s="809" t="s">
        <v>185</v>
      </c>
      <c r="P7" s="810" t="s">
        <v>186</v>
      </c>
      <c r="Q7" s="389" t="s">
        <v>42</v>
      </c>
      <c r="R7" s="805" t="s">
        <v>43</v>
      </c>
      <c r="S7" s="806" t="s">
        <v>44</v>
      </c>
      <c r="T7" s="806" t="s">
        <v>45</v>
      </c>
      <c r="U7" s="807" t="s">
        <v>46</v>
      </c>
      <c r="V7" s="807" t="s">
        <v>47</v>
      </c>
      <c r="W7" s="807" t="s">
        <v>77</v>
      </c>
      <c r="X7" s="807" t="s">
        <v>113</v>
      </c>
      <c r="Y7" s="807" t="s">
        <v>145</v>
      </c>
      <c r="Z7" s="807" t="s">
        <v>149</v>
      </c>
      <c r="AA7" s="807" t="s">
        <v>181</v>
      </c>
      <c r="AB7" s="807" t="s">
        <v>182</v>
      </c>
      <c r="AC7" s="808" t="s">
        <v>184</v>
      </c>
      <c r="AD7" s="809" t="s">
        <v>185</v>
      </c>
      <c r="AE7" s="810" t="s">
        <v>186</v>
      </c>
      <c r="AF7" s="754"/>
      <c r="AG7" s="389"/>
      <c r="AH7" s="754"/>
      <c r="AI7" s="389"/>
    </row>
    <row r="8" spans="1:35" hidden="1">
      <c r="A8" s="811"/>
      <c r="B8" s="777"/>
      <c r="C8" s="458"/>
      <c r="D8" s="458"/>
      <c r="E8" s="458"/>
      <c r="F8" s="458"/>
      <c r="G8" s="458"/>
      <c r="H8" s="458"/>
      <c r="I8" s="458"/>
      <c r="J8" s="458"/>
      <c r="K8" s="458"/>
      <c r="L8" s="458"/>
      <c r="M8" s="458"/>
      <c r="N8" s="412"/>
      <c r="O8" s="812"/>
      <c r="P8" s="776"/>
      <c r="Q8" s="777"/>
      <c r="R8" s="458"/>
      <c r="S8" s="458"/>
      <c r="T8" s="458"/>
      <c r="U8" s="458"/>
      <c r="V8" s="458"/>
      <c r="W8" s="458"/>
      <c r="X8" s="458"/>
      <c r="Y8" s="458"/>
      <c r="Z8" s="458"/>
      <c r="AA8" s="458"/>
      <c r="AB8" s="458"/>
      <c r="AC8" s="412"/>
      <c r="AD8" s="812"/>
      <c r="AE8" s="776"/>
      <c r="AF8" s="776"/>
      <c r="AG8" s="777"/>
      <c r="AH8" s="776"/>
      <c r="AI8" s="777"/>
    </row>
    <row r="9" spans="1:35" ht="24">
      <c r="A9" s="1037" t="s">
        <v>48</v>
      </c>
      <c r="B9" s="1038"/>
      <c r="C9" s="1039"/>
      <c r="D9" s="1039"/>
      <c r="E9" s="1039"/>
      <c r="F9" s="1039"/>
      <c r="G9" s="1040"/>
      <c r="H9" s="1039"/>
      <c r="I9" s="1039"/>
      <c r="J9" s="1039"/>
      <c r="K9" s="1039"/>
      <c r="L9" s="1039"/>
      <c r="M9" s="1039"/>
      <c r="N9" s="1041"/>
      <c r="O9" s="1042"/>
      <c r="P9" s="546"/>
      <c r="Q9" s="1038"/>
      <c r="R9" s="1043"/>
      <c r="S9" s="1039"/>
      <c r="T9" s="1039"/>
      <c r="U9" s="1039"/>
      <c r="V9" s="1040"/>
      <c r="W9" s="1039"/>
      <c r="X9" s="1039"/>
      <c r="Y9" s="1039"/>
      <c r="Z9" s="1039"/>
      <c r="AA9" s="1039"/>
      <c r="AB9" s="1039"/>
      <c r="AC9" s="1044"/>
      <c r="AD9" s="1045"/>
      <c r="AE9" s="1046"/>
      <c r="AF9" s="1047"/>
      <c r="AG9" s="1048"/>
      <c r="AH9" s="1049"/>
      <c r="AI9" s="1048"/>
    </row>
    <row r="10" spans="1:35">
      <c r="A10" s="730" t="s">
        <v>7057</v>
      </c>
      <c r="B10" s="589">
        <v>2</v>
      </c>
      <c r="C10" s="1050">
        <f>1029.5+400</f>
        <v>1429.5</v>
      </c>
      <c r="D10" s="458">
        <v>1100</v>
      </c>
      <c r="E10" s="458"/>
      <c r="F10" s="458"/>
      <c r="G10" s="458"/>
      <c r="H10" s="458"/>
      <c r="I10" s="458"/>
      <c r="J10" s="458"/>
      <c r="K10" s="1051">
        <f>SUM(C10:J10)</f>
        <v>2529.5</v>
      </c>
      <c r="L10" s="458">
        <v>1000</v>
      </c>
      <c r="M10" s="458"/>
      <c r="N10" s="412"/>
      <c r="O10" s="1052">
        <f>(K10*12)+L10</f>
        <v>31354</v>
      </c>
      <c r="P10" s="472">
        <f>B10*O10</f>
        <v>62708</v>
      </c>
      <c r="Q10" s="589">
        <v>2</v>
      </c>
      <c r="R10" s="1050">
        <f>1030+400</f>
        <v>1430</v>
      </c>
      <c r="S10" s="458">
        <v>1210</v>
      </c>
      <c r="T10" s="458"/>
      <c r="U10" s="458"/>
      <c r="V10" s="458"/>
      <c r="W10" s="458"/>
      <c r="X10" s="458"/>
      <c r="Y10" s="458"/>
      <c r="Z10" s="1051">
        <f>SUM(R10:Y10)</f>
        <v>2640</v>
      </c>
      <c r="AA10" s="458">
        <v>1000</v>
      </c>
      <c r="AB10" s="458"/>
      <c r="AC10" s="412"/>
      <c r="AD10" s="1052">
        <f>(Z10*12)+AA10</f>
        <v>32680</v>
      </c>
      <c r="AE10" s="472">
        <f>Q10*AD10</f>
        <v>65360</v>
      </c>
      <c r="AF10" s="472">
        <f>+O10-AD10</f>
        <v>-1326</v>
      </c>
      <c r="AG10" s="1053">
        <f>P10-AE10</f>
        <v>-2652</v>
      </c>
      <c r="AH10" s="1054">
        <v>2</v>
      </c>
      <c r="AI10" s="1055">
        <f>AD10*AH10</f>
        <v>65360</v>
      </c>
    </row>
    <row r="11" spans="1:35">
      <c r="A11" s="730" t="s">
        <v>12</v>
      </c>
      <c r="B11" s="589">
        <v>2</v>
      </c>
      <c r="C11" s="1050">
        <f>925+400</f>
        <v>1325</v>
      </c>
      <c r="D11" s="458">
        <v>1100</v>
      </c>
      <c r="E11" s="458"/>
      <c r="F11" s="458"/>
      <c r="G11" s="458"/>
      <c r="H11" s="458"/>
      <c r="I11" s="458"/>
      <c r="J11" s="458"/>
      <c r="K11" s="1051">
        <f>SUM(C11:J11)</f>
        <v>2425</v>
      </c>
      <c r="L11" s="458">
        <v>1000</v>
      </c>
      <c r="M11" s="458"/>
      <c r="N11" s="412"/>
      <c r="O11" s="1052">
        <f>(K11*12)+L11</f>
        <v>30100</v>
      </c>
      <c r="P11" s="472">
        <f>B11*O11</f>
        <v>60200</v>
      </c>
      <c r="Q11" s="589">
        <v>2</v>
      </c>
      <c r="R11" s="1050">
        <f>925+400</f>
        <v>1325</v>
      </c>
      <c r="S11" s="458">
        <v>1210</v>
      </c>
      <c r="T11" s="458"/>
      <c r="U11" s="458"/>
      <c r="V11" s="458"/>
      <c r="W11" s="458"/>
      <c r="X11" s="458"/>
      <c r="Y11" s="458"/>
      <c r="Z11" s="1051">
        <f>SUM(R11:Y11)</f>
        <v>2535</v>
      </c>
      <c r="AA11" s="458">
        <v>1000</v>
      </c>
      <c r="AB11" s="458"/>
      <c r="AC11" s="412"/>
      <c r="AD11" s="1052">
        <f>(Z11*12)+AA11</f>
        <v>31420</v>
      </c>
      <c r="AE11" s="472">
        <f>Q11*AD11</f>
        <v>62840</v>
      </c>
      <c r="AF11" s="472">
        <f>+O11-AD11</f>
        <v>-1320</v>
      </c>
      <c r="AG11" s="1053">
        <f>P11-AE11</f>
        <v>-2640</v>
      </c>
      <c r="AH11" s="1054">
        <v>2</v>
      </c>
      <c r="AI11" s="1055">
        <f>AD11*AH11</f>
        <v>62840</v>
      </c>
    </row>
    <row r="12" spans="1:35">
      <c r="A12" s="730" t="s">
        <v>14</v>
      </c>
      <c r="B12" s="589">
        <v>1</v>
      </c>
      <c r="C12" s="1050">
        <f>2153+400</f>
        <v>2553</v>
      </c>
      <c r="D12" s="458">
        <v>1000</v>
      </c>
      <c r="E12" s="458"/>
      <c r="F12" s="458"/>
      <c r="G12" s="458"/>
      <c r="H12" s="458"/>
      <c r="I12" s="458"/>
      <c r="J12" s="458"/>
      <c r="K12" s="1051">
        <f>SUM(C12:J12)</f>
        <v>3553</v>
      </c>
      <c r="L12" s="458">
        <v>1000</v>
      </c>
      <c r="M12" s="458"/>
      <c r="N12" s="412"/>
      <c r="O12" s="1052">
        <f>(K12*12)+L12</f>
        <v>43636</v>
      </c>
      <c r="P12" s="472">
        <f>B12*O12</f>
        <v>43636</v>
      </c>
      <c r="Q12" s="589"/>
      <c r="R12" s="1050"/>
      <c r="S12" s="458"/>
      <c r="T12" s="458"/>
      <c r="U12" s="458"/>
      <c r="V12" s="458"/>
      <c r="W12" s="458"/>
      <c r="X12" s="458"/>
      <c r="Y12" s="458"/>
      <c r="Z12" s="1051">
        <f>SUM(R12:Y12)</f>
        <v>0</v>
      </c>
      <c r="AA12" s="458"/>
      <c r="AB12" s="458"/>
      <c r="AC12" s="412"/>
      <c r="AD12" s="1052">
        <f>(Z12*12)+AA12</f>
        <v>0</v>
      </c>
      <c r="AE12" s="472">
        <f>Q12*AD12</f>
        <v>0</v>
      </c>
      <c r="AF12" s="472">
        <f>+O12-AD12</f>
        <v>43636</v>
      </c>
      <c r="AG12" s="1053">
        <f>P12-AE12</f>
        <v>43636</v>
      </c>
      <c r="AH12" s="1054">
        <v>0</v>
      </c>
      <c r="AI12" s="1055">
        <f>AD12*AH12</f>
        <v>0</v>
      </c>
    </row>
    <row r="13" spans="1:35" ht="12.75" thickBot="1">
      <c r="A13" s="730" t="s">
        <v>15</v>
      </c>
      <c r="B13" s="589">
        <v>14</v>
      </c>
      <c r="C13" s="1050">
        <f>923.32+400</f>
        <v>1323.3200000000002</v>
      </c>
      <c r="D13" s="458">
        <v>950</v>
      </c>
      <c r="E13" s="458"/>
      <c r="F13" s="458"/>
      <c r="G13" s="458"/>
      <c r="H13" s="458"/>
      <c r="I13" s="458"/>
      <c r="J13" s="458"/>
      <c r="K13" s="1051">
        <f>SUM(C13:J13)</f>
        <v>2273.3200000000002</v>
      </c>
      <c r="L13" s="458">
        <v>1000</v>
      </c>
      <c r="M13" s="458"/>
      <c r="N13" s="412"/>
      <c r="O13" s="1052">
        <f>(K13*12)+L13</f>
        <v>28279.840000000004</v>
      </c>
      <c r="P13" s="472">
        <f>B13*O13</f>
        <v>395917.76000000007</v>
      </c>
      <c r="Q13" s="589">
        <v>12</v>
      </c>
      <c r="R13" s="1050">
        <f>914.75+400</f>
        <v>1314.75</v>
      </c>
      <c r="S13" s="458">
        <v>1070</v>
      </c>
      <c r="T13" s="458"/>
      <c r="U13" s="458"/>
      <c r="V13" s="458"/>
      <c r="W13" s="458"/>
      <c r="X13" s="458"/>
      <c r="Y13" s="458"/>
      <c r="Z13" s="1051">
        <f>SUM(R13:Y13)</f>
        <v>2384.75</v>
      </c>
      <c r="AA13" s="458">
        <v>1000</v>
      </c>
      <c r="AB13" s="458"/>
      <c r="AC13" s="412"/>
      <c r="AD13" s="1052">
        <f>(Z13*12)+AA13</f>
        <v>29617</v>
      </c>
      <c r="AE13" s="472">
        <f>Q13*AD13</f>
        <v>355404</v>
      </c>
      <c r="AF13" s="472">
        <f>+O13-AD13</f>
        <v>-1337.1599999999962</v>
      </c>
      <c r="AG13" s="1053">
        <f>P13-AE13</f>
        <v>40513.760000000068</v>
      </c>
      <c r="AH13" s="1054">
        <v>12</v>
      </c>
      <c r="AI13" s="1055">
        <f>AD13*AH13+6720</f>
        <v>362124</v>
      </c>
    </row>
    <row r="14" spans="1:35" ht="12.75" hidden="1" thickBot="1">
      <c r="A14" s="909"/>
      <c r="B14" s="777"/>
      <c r="C14" s="458"/>
      <c r="D14" s="458"/>
      <c r="E14" s="458"/>
      <c r="F14" s="458"/>
      <c r="G14" s="458"/>
      <c r="H14" s="458"/>
      <c r="I14" s="458"/>
      <c r="J14" s="458"/>
      <c r="K14" s="458"/>
      <c r="L14" s="458"/>
      <c r="M14" s="458"/>
      <c r="N14" s="412"/>
      <c r="O14" s="812"/>
      <c r="P14" s="776"/>
      <c r="Q14" s="777"/>
      <c r="R14" s="458"/>
      <c r="S14" s="458"/>
      <c r="T14" s="458"/>
      <c r="U14" s="458"/>
      <c r="V14" s="458"/>
      <c r="W14" s="458"/>
      <c r="X14" s="458"/>
      <c r="Y14" s="458"/>
      <c r="Z14" s="458"/>
      <c r="AA14" s="458"/>
      <c r="AB14" s="458"/>
      <c r="AC14" s="412"/>
      <c r="AD14" s="812"/>
      <c r="AE14" s="776"/>
      <c r="AF14" s="776"/>
      <c r="AG14" s="777"/>
      <c r="AH14" s="1054"/>
      <c r="AI14" s="777"/>
    </row>
    <row r="15" spans="1:35" ht="12.75" thickBot="1">
      <c r="A15" s="944" t="s">
        <v>0</v>
      </c>
      <c r="B15" s="1056">
        <f t="shared" ref="B15:AI15" si="0">SUM(B10:B14)</f>
        <v>19</v>
      </c>
      <c r="C15" s="1057">
        <f t="shared" si="0"/>
        <v>6630.82</v>
      </c>
      <c r="D15" s="1057">
        <f t="shared" si="0"/>
        <v>4150</v>
      </c>
      <c r="E15" s="1057">
        <f t="shared" si="0"/>
        <v>0</v>
      </c>
      <c r="F15" s="1057">
        <f t="shared" si="0"/>
        <v>0</v>
      </c>
      <c r="G15" s="1057">
        <f t="shared" si="0"/>
        <v>0</v>
      </c>
      <c r="H15" s="1057">
        <f t="shared" si="0"/>
        <v>0</v>
      </c>
      <c r="I15" s="1057">
        <f t="shared" si="0"/>
        <v>0</v>
      </c>
      <c r="J15" s="1057">
        <f t="shared" si="0"/>
        <v>0</v>
      </c>
      <c r="K15" s="1057">
        <f t="shared" si="0"/>
        <v>10780.82</v>
      </c>
      <c r="L15" s="1057">
        <f t="shared" si="0"/>
        <v>4000</v>
      </c>
      <c r="M15" s="1057">
        <f t="shared" si="0"/>
        <v>0</v>
      </c>
      <c r="N15" s="1057">
        <f t="shared" si="0"/>
        <v>0</v>
      </c>
      <c r="O15" s="1057">
        <f t="shared" si="0"/>
        <v>133369.84</v>
      </c>
      <c r="P15" s="1058">
        <f t="shared" si="0"/>
        <v>562461.76</v>
      </c>
      <c r="Q15" s="1059">
        <f t="shared" si="0"/>
        <v>16</v>
      </c>
      <c r="R15" s="1060">
        <f t="shared" si="0"/>
        <v>4069.75</v>
      </c>
      <c r="S15" s="1057">
        <f t="shared" si="0"/>
        <v>3490</v>
      </c>
      <c r="T15" s="1057">
        <f t="shared" si="0"/>
        <v>0</v>
      </c>
      <c r="U15" s="1057">
        <f t="shared" si="0"/>
        <v>0</v>
      </c>
      <c r="V15" s="1057">
        <f t="shared" si="0"/>
        <v>0</v>
      </c>
      <c r="W15" s="1057">
        <f t="shared" si="0"/>
        <v>0</v>
      </c>
      <c r="X15" s="1057">
        <f t="shared" si="0"/>
        <v>0</v>
      </c>
      <c r="Y15" s="1057">
        <f t="shared" si="0"/>
        <v>0</v>
      </c>
      <c r="Z15" s="1057">
        <f t="shared" si="0"/>
        <v>7559.75</v>
      </c>
      <c r="AA15" s="1057">
        <f t="shared" si="0"/>
        <v>3000</v>
      </c>
      <c r="AB15" s="1057">
        <f t="shared" si="0"/>
        <v>0</v>
      </c>
      <c r="AC15" s="1057">
        <f t="shared" si="0"/>
        <v>0</v>
      </c>
      <c r="AD15" s="1057">
        <f t="shared" si="0"/>
        <v>93717</v>
      </c>
      <c r="AE15" s="1057">
        <f t="shared" si="0"/>
        <v>483604</v>
      </c>
      <c r="AF15" s="1057">
        <f t="shared" si="0"/>
        <v>39652.840000000004</v>
      </c>
      <c r="AG15" s="1057">
        <f t="shared" si="0"/>
        <v>78857.760000000068</v>
      </c>
      <c r="AH15" s="1056">
        <f t="shared" si="0"/>
        <v>16</v>
      </c>
      <c r="AI15" s="1061">
        <f t="shared" si="0"/>
        <v>490324</v>
      </c>
    </row>
    <row r="16" spans="1:35">
      <c r="A16" s="445" t="s">
        <v>64</v>
      </c>
    </row>
    <row r="17" spans="1:35">
      <c r="A17" s="445" t="s">
        <v>65</v>
      </c>
      <c r="B17" s="265" t="s">
        <v>152</v>
      </c>
    </row>
    <row r="18" spans="1:35" ht="24">
      <c r="A18" s="445" t="s">
        <v>66</v>
      </c>
      <c r="B18" s="265" t="s">
        <v>67</v>
      </c>
      <c r="AI18" s="1062"/>
    </row>
    <row r="19" spans="1:35">
      <c r="A19" s="445" t="s">
        <v>68</v>
      </c>
      <c r="B19" s="265" t="s">
        <v>69</v>
      </c>
    </row>
    <row r="20" spans="1:35">
      <c r="A20" s="445" t="s">
        <v>70</v>
      </c>
      <c r="B20" s="265" t="s">
        <v>71</v>
      </c>
    </row>
    <row r="21" spans="1:35">
      <c r="A21" s="445"/>
      <c r="B21" s="265" t="s">
        <v>72</v>
      </c>
    </row>
    <row r="22" spans="1:35" ht="48">
      <c r="A22" s="445" t="s">
        <v>73</v>
      </c>
      <c r="B22" s="265" t="s">
        <v>143</v>
      </c>
    </row>
    <row r="23" spans="1:35">
      <c r="A23" s="445"/>
      <c r="B23" s="265" t="s">
        <v>74</v>
      </c>
    </row>
    <row r="24" spans="1:35">
      <c r="A24" s="445"/>
      <c r="B24" s="265" t="s">
        <v>75</v>
      </c>
    </row>
    <row r="25" spans="1:35">
      <c r="A25" s="445"/>
      <c r="B25" s="265" t="s">
        <v>76</v>
      </c>
    </row>
    <row r="26" spans="1:35">
      <c r="A26" s="445" t="s">
        <v>177</v>
      </c>
      <c r="B26" s="265" t="s">
        <v>178</v>
      </c>
    </row>
    <row r="27" spans="1:35" ht="48">
      <c r="A27" s="445" t="s">
        <v>179</v>
      </c>
      <c r="B27" s="265" t="s">
        <v>148</v>
      </c>
    </row>
    <row r="28" spans="1:35" ht="48">
      <c r="A28" s="445" t="s">
        <v>180</v>
      </c>
      <c r="B28" s="265" t="s">
        <v>144</v>
      </c>
    </row>
    <row r="29" spans="1:35">
      <c r="A29" s="445"/>
      <c r="B29" s="265" t="s">
        <v>74</v>
      </c>
    </row>
    <row r="30" spans="1:35">
      <c r="A30" s="445"/>
      <c r="B30" s="265" t="s">
        <v>75</v>
      </c>
    </row>
    <row r="31" spans="1:35">
      <c r="A31" s="445"/>
      <c r="B31" s="265" t="s">
        <v>112</v>
      </c>
    </row>
    <row r="32" spans="1:35" ht="36">
      <c r="A32" s="445" t="s">
        <v>189</v>
      </c>
      <c r="B32" s="265" t="s">
        <v>190</v>
      </c>
    </row>
    <row r="33" spans="1:2" ht="48">
      <c r="A33" s="445" t="s">
        <v>187</v>
      </c>
      <c r="B33" s="265" t="s">
        <v>183</v>
      </c>
    </row>
    <row r="34" spans="1:2" ht="24">
      <c r="A34" s="445" t="s">
        <v>188</v>
      </c>
      <c r="B34" s="265" t="s">
        <v>191</v>
      </c>
    </row>
    <row r="35" spans="1:2">
      <c r="A35" s="445"/>
    </row>
    <row r="36" spans="1:2">
      <c r="A36" s="445"/>
    </row>
    <row r="37" spans="1:2">
      <c r="A37" s="445"/>
    </row>
    <row r="38" spans="1:2">
      <c r="A38" s="445"/>
    </row>
    <row r="39" spans="1:2">
      <c r="A39" s="445"/>
    </row>
    <row r="40" spans="1:2">
      <c r="A40" s="445"/>
    </row>
    <row r="41" spans="1:2">
      <c r="A41" s="445"/>
    </row>
    <row r="42" spans="1:2">
      <c r="A42" s="445"/>
    </row>
    <row r="43" spans="1:2">
      <c r="A43" s="445"/>
    </row>
    <row r="44" spans="1:2">
      <c r="A44" s="445"/>
    </row>
    <row r="45" spans="1:2">
      <c r="A45" s="445"/>
    </row>
    <row r="46" spans="1:2">
      <c r="A46" s="445"/>
    </row>
    <row r="47" spans="1:2">
      <c r="A47" s="445"/>
    </row>
    <row r="48" spans="1:2">
      <c r="A48" s="445"/>
    </row>
    <row r="49" spans="1:1">
      <c r="A49" s="445"/>
    </row>
    <row r="50" spans="1:1">
      <c r="A50" s="445"/>
    </row>
  </sheetData>
  <mergeCells count="5">
    <mergeCell ref="A5:A7"/>
    <mergeCell ref="B5:P5"/>
    <mergeCell ref="Q5:AE5"/>
    <mergeCell ref="AF5:AG5"/>
    <mergeCell ref="AH5:AI5"/>
  </mergeCells>
  <printOptions horizontalCentered="1"/>
  <pageMargins left="0.19685039370078741" right="0.19685039370078741" top="0.78740157480314965" bottom="0.78740157480314965" header="0.19685039370078741" footer="0.19685039370078741"/>
  <pageSetup paperSize="9" scale="74"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2060"/>
  </sheetPr>
  <dimension ref="A1:AI54"/>
  <sheetViews>
    <sheetView view="pageBreakPreview" topLeftCell="A22" zoomScaleNormal="100" zoomScaleSheetLayoutView="100" workbookViewId="0">
      <selection activeCell="B8" sqref="B8"/>
    </sheetView>
  </sheetViews>
  <sheetFormatPr baseColWidth="10" defaultColWidth="11.42578125" defaultRowHeight="12"/>
  <cols>
    <col min="1" max="1" width="15.7109375" style="265" customWidth="1"/>
    <col min="2" max="2" width="8.7109375" style="265" customWidth="1"/>
    <col min="3" max="4" width="6.42578125" style="265" bestFit="1" customWidth="1"/>
    <col min="5" max="5" width="3.140625" style="265" bestFit="1" customWidth="1"/>
    <col min="6" max="6" width="5.42578125" style="265" bestFit="1" customWidth="1"/>
    <col min="7" max="9" width="3.140625" style="265" bestFit="1" customWidth="1"/>
    <col min="10" max="10" width="5.42578125" style="265" bestFit="1" customWidth="1"/>
    <col min="11" max="12" width="6.42578125" style="265" bestFit="1" customWidth="1"/>
    <col min="13" max="13" width="5.42578125" style="265" bestFit="1" customWidth="1"/>
    <col min="14" max="14" width="6.42578125" style="265" bestFit="1" customWidth="1"/>
    <col min="15" max="15" width="7.42578125" style="265" bestFit="1" customWidth="1"/>
    <col min="16" max="16" width="8.85546875" style="265" bestFit="1" customWidth="1"/>
    <col min="17" max="17" width="3.140625" style="265" bestFit="1" customWidth="1"/>
    <col min="18" max="19" width="6.42578125" style="265" bestFit="1" customWidth="1"/>
    <col min="20" max="20" width="3.140625" style="265" bestFit="1" customWidth="1"/>
    <col min="21" max="21" width="5.42578125" style="265" bestFit="1" customWidth="1"/>
    <col min="22" max="24" width="3.140625" style="265" bestFit="1" customWidth="1"/>
    <col min="25" max="25" width="5.42578125" style="265" bestFit="1" customWidth="1"/>
    <col min="26" max="27" width="6.42578125" style="265" bestFit="1" customWidth="1"/>
    <col min="28" max="28" width="5.42578125" style="265" bestFit="1" customWidth="1"/>
    <col min="29" max="29" width="6.42578125" style="265" bestFit="1" customWidth="1"/>
    <col min="30" max="30" width="7.42578125" style="265" bestFit="1" customWidth="1"/>
    <col min="31" max="31" width="8.85546875" style="265" bestFit="1" customWidth="1"/>
    <col min="32" max="32" width="5.42578125" style="265" bestFit="1" customWidth="1"/>
    <col min="33" max="34" width="3.140625" style="265" bestFit="1" customWidth="1"/>
    <col min="35" max="35" width="8.85546875" style="265" bestFit="1" customWidth="1"/>
    <col min="36" max="16384" width="11.42578125" style="265"/>
  </cols>
  <sheetData>
    <row r="1" spans="1:35" s="743" customFormat="1">
      <c r="A1" s="742" t="s">
        <v>465</v>
      </c>
    </row>
    <row r="2" spans="1:35" s="743" customFormat="1">
      <c r="A2" s="69" t="s">
        <v>1655</v>
      </c>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row>
    <row r="3" spans="1:35" s="742" customFormat="1">
      <c r="A3" s="742" t="s">
        <v>1654</v>
      </c>
      <c r="T3" s="745"/>
    </row>
    <row r="4" spans="1:35" s="742" customFormat="1" ht="12.75" thickBot="1">
      <c r="A4" s="742" t="s">
        <v>4548</v>
      </c>
      <c r="T4" s="745"/>
    </row>
    <row r="5" spans="1:35" ht="12.75" thickBot="1">
      <c r="A5" s="1992" t="s">
        <v>41</v>
      </c>
      <c r="B5" s="2021" t="s">
        <v>314</v>
      </c>
      <c r="C5" s="2021"/>
      <c r="D5" s="2021"/>
      <c r="E5" s="2021"/>
      <c r="F5" s="2021"/>
      <c r="G5" s="2021"/>
      <c r="H5" s="2021"/>
      <c r="I5" s="2021"/>
      <c r="J5" s="2021"/>
      <c r="K5" s="2021"/>
      <c r="L5" s="2021"/>
      <c r="M5" s="2021"/>
      <c r="N5" s="2021"/>
      <c r="O5" s="2021"/>
      <c r="P5" s="2021"/>
      <c r="Q5" s="2022" t="s">
        <v>462</v>
      </c>
      <c r="R5" s="2021"/>
      <c r="S5" s="2021"/>
      <c r="T5" s="2021"/>
      <c r="U5" s="2021"/>
      <c r="V5" s="2021"/>
      <c r="W5" s="2021"/>
      <c r="X5" s="2021"/>
      <c r="Y5" s="2021"/>
      <c r="Z5" s="2021"/>
      <c r="AA5" s="2021"/>
      <c r="AB5" s="2021"/>
      <c r="AC5" s="2021"/>
      <c r="AD5" s="2021"/>
      <c r="AE5" s="2023"/>
      <c r="AF5" s="2024" t="s">
        <v>463</v>
      </c>
      <c r="AG5" s="2025"/>
      <c r="AH5" s="2024" t="s">
        <v>464</v>
      </c>
      <c r="AI5" s="2025"/>
    </row>
    <row r="6" spans="1:35" ht="171">
      <c r="A6" s="2019"/>
      <c r="B6" s="130" t="s">
        <v>11</v>
      </c>
      <c r="C6" s="131" t="s">
        <v>137</v>
      </c>
      <c r="D6" s="132" t="s">
        <v>240</v>
      </c>
      <c r="E6" s="132" t="s">
        <v>139</v>
      </c>
      <c r="F6" s="132" t="s">
        <v>173</v>
      </c>
      <c r="G6" s="132" t="s">
        <v>174</v>
      </c>
      <c r="H6" s="132" t="s">
        <v>175</v>
      </c>
      <c r="I6" s="132" t="s">
        <v>176</v>
      </c>
      <c r="J6" s="132" t="s">
        <v>140</v>
      </c>
      <c r="K6" s="132" t="s">
        <v>141</v>
      </c>
      <c r="L6" s="132" t="s">
        <v>142</v>
      </c>
      <c r="M6" s="132" t="s">
        <v>172</v>
      </c>
      <c r="N6" s="133" t="s">
        <v>114</v>
      </c>
      <c r="O6" s="134" t="s">
        <v>147</v>
      </c>
      <c r="P6" s="135" t="s">
        <v>146</v>
      </c>
      <c r="Q6" s="130" t="s">
        <v>11</v>
      </c>
      <c r="R6" s="131" t="s">
        <v>137</v>
      </c>
      <c r="S6" s="132" t="s">
        <v>138</v>
      </c>
      <c r="T6" s="132" t="s">
        <v>139</v>
      </c>
      <c r="U6" s="132" t="s">
        <v>173</v>
      </c>
      <c r="V6" s="132" t="s">
        <v>174</v>
      </c>
      <c r="W6" s="132" t="s">
        <v>175</v>
      </c>
      <c r="X6" s="132" t="s">
        <v>176</v>
      </c>
      <c r="Y6" s="132" t="s">
        <v>140</v>
      </c>
      <c r="Z6" s="132" t="s">
        <v>141</v>
      </c>
      <c r="AA6" s="132" t="s">
        <v>142</v>
      </c>
      <c r="AB6" s="132" t="s">
        <v>172</v>
      </c>
      <c r="AC6" s="133" t="s">
        <v>114</v>
      </c>
      <c r="AD6" s="134" t="s">
        <v>147</v>
      </c>
      <c r="AE6" s="135" t="s">
        <v>315</v>
      </c>
      <c r="AF6" s="136" t="s">
        <v>151</v>
      </c>
      <c r="AG6" s="136" t="s">
        <v>150</v>
      </c>
      <c r="AH6" s="136" t="s">
        <v>11</v>
      </c>
      <c r="AI6" s="135" t="s">
        <v>316</v>
      </c>
    </row>
    <row r="7" spans="1:35" ht="15.75" customHeight="1" thickBot="1">
      <c r="A7" s="2020"/>
      <c r="B7" s="389" t="s">
        <v>42</v>
      </c>
      <c r="C7" s="805" t="s">
        <v>43</v>
      </c>
      <c r="D7" s="806" t="s">
        <v>44</v>
      </c>
      <c r="E7" s="806" t="s">
        <v>45</v>
      </c>
      <c r="F7" s="807" t="s">
        <v>46</v>
      </c>
      <c r="G7" s="807" t="s">
        <v>47</v>
      </c>
      <c r="H7" s="807" t="s">
        <v>77</v>
      </c>
      <c r="I7" s="807" t="s">
        <v>113</v>
      </c>
      <c r="J7" s="807" t="s">
        <v>145</v>
      </c>
      <c r="K7" s="807" t="s">
        <v>149</v>
      </c>
      <c r="L7" s="807" t="s">
        <v>181</v>
      </c>
      <c r="M7" s="807" t="s">
        <v>182</v>
      </c>
      <c r="N7" s="808" t="s">
        <v>184</v>
      </c>
      <c r="O7" s="809" t="s">
        <v>185</v>
      </c>
      <c r="P7" s="810" t="s">
        <v>186</v>
      </c>
      <c r="Q7" s="389" t="s">
        <v>42</v>
      </c>
      <c r="R7" s="805" t="s">
        <v>43</v>
      </c>
      <c r="S7" s="806" t="s">
        <v>44</v>
      </c>
      <c r="T7" s="806" t="s">
        <v>45</v>
      </c>
      <c r="U7" s="807" t="s">
        <v>46</v>
      </c>
      <c r="V7" s="807" t="s">
        <v>47</v>
      </c>
      <c r="W7" s="807" t="s">
        <v>77</v>
      </c>
      <c r="X7" s="807" t="s">
        <v>113</v>
      </c>
      <c r="Y7" s="807" t="s">
        <v>145</v>
      </c>
      <c r="Z7" s="807" t="s">
        <v>149</v>
      </c>
      <c r="AA7" s="807" t="s">
        <v>181</v>
      </c>
      <c r="AB7" s="807" t="s">
        <v>182</v>
      </c>
      <c r="AC7" s="808" t="s">
        <v>184</v>
      </c>
      <c r="AD7" s="809" t="s">
        <v>185</v>
      </c>
      <c r="AE7" s="810" t="s">
        <v>186</v>
      </c>
      <c r="AF7" s="754"/>
      <c r="AG7" s="389"/>
      <c r="AH7" s="754"/>
      <c r="AI7" s="389"/>
    </row>
    <row r="8" spans="1:35" hidden="1">
      <c r="A8" s="811"/>
      <c r="B8" s="777"/>
      <c r="C8" s="458"/>
      <c r="D8" s="458"/>
      <c r="E8" s="458"/>
      <c r="F8" s="458"/>
      <c r="G8" s="458"/>
      <c r="H8" s="458"/>
      <c r="I8" s="458"/>
      <c r="J8" s="458"/>
      <c r="K8" s="458"/>
      <c r="L8" s="458"/>
      <c r="M8" s="458"/>
      <c r="N8" s="412"/>
      <c r="O8" s="812"/>
      <c r="P8" s="776"/>
      <c r="Q8" s="777"/>
      <c r="R8" s="458"/>
      <c r="S8" s="458"/>
      <c r="T8" s="458"/>
      <c r="U8" s="458"/>
      <c r="V8" s="458"/>
      <c r="W8" s="458"/>
      <c r="X8" s="458"/>
      <c r="Y8" s="458"/>
      <c r="Z8" s="458"/>
      <c r="AA8" s="458"/>
      <c r="AB8" s="458"/>
      <c r="AC8" s="412"/>
      <c r="AD8" s="812"/>
      <c r="AE8" s="776"/>
      <c r="AF8" s="776"/>
      <c r="AG8" s="777"/>
      <c r="AH8" s="776"/>
      <c r="AI8" s="777"/>
    </row>
    <row r="9" spans="1:35" ht="24">
      <c r="A9" s="719" t="s">
        <v>48</v>
      </c>
      <c r="B9" s="1017"/>
      <c r="C9" s="1018"/>
      <c r="D9" s="1018"/>
      <c r="E9" s="1018"/>
      <c r="F9" s="1018"/>
      <c r="G9" s="1018"/>
      <c r="H9" s="1018"/>
      <c r="I9" s="1018"/>
      <c r="J9" s="1018"/>
      <c r="K9" s="1018"/>
      <c r="L9" s="1018"/>
      <c r="M9" s="1018"/>
      <c r="N9" s="1019"/>
      <c r="O9" s="1020"/>
      <c r="P9" s="1021"/>
      <c r="Q9" s="1017"/>
      <c r="R9" s="1018"/>
      <c r="S9" s="1018"/>
      <c r="T9" s="1018"/>
      <c r="U9" s="1018"/>
      <c r="V9" s="1018"/>
      <c r="W9" s="1018"/>
      <c r="X9" s="1018"/>
      <c r="Y9" s="1018"/>
      <c r="Z9" s="1018"/>
      <c r="AA9" s="1018"/>
      <c r="AB9" s="1018"/>
      <c r="AC9" s="1019"/>
      <c r="AD9" s="1020"/>
      <c r="AE9" s="1021"/>
      <c r="AF9" s="1021"/>
      <c r="AG9" s="1017"/>
      <c r="AH9" s="1021"/>
      <c r="AI9" s="1017"/>
    </row>
    <row r="10" spans="1:35" ht="24">
      <c r="A10" s="715" t="s">
        <v>7</v>
      </c>
      <c r="B10" s="1017"/>
      <c r="C10" s="1018"/>
      <c r="D10" s="1018"/>
      <c r="E10" s="1018"/>
      <c r="F10" s="1018"/>
      <c r="G10" s="1018"/>
      <c r="H10" s="1018"/>
      <c r="I10" s="1018"/>
      <c r="J10" s="1018"/>
      <c r="K10" s="1018"/>
      <c r="L10" s="1018"/>
      <c r="M10" s="1018"/>
      <c r="N10" s="1019"/>
      <c r="O10" s="1020"/>
      <c r="P10" s="1021"/>
      <c r="Q10" s="1017"/>
      <c r="R10" s="1018"/>
      <c r="S10" s="1018"/>
      <c r="T10" s="1018"/>
      <c r="U10" s="1018"/>
      <c r="V10" s="1018"/>
      <c r="W10" s="1018"/>
      <c r="X10" s="1018"/>
      <c r="Y10" s="1018"/>
      <c r="Z10" s="1018"/>
      <c r="AA10" s="1018"/>
      <c r="AB10" s="1018"/>
      <c r="AC10" s="1019"/>
      <c r="AD10" s="1020"/>
      <c r="AE10" s="1021"/>
      <c r="AF10" s="1021"/>
      <c r="AG10" s="1017"/>
      <c r="AH10" s="1021"/>
      <c r="AI10" s="1017"/>
    </row>
    <row r="11" spans="1:35">
      <c r="A11" s="703" t="s">
        <v>7059</v>
      </c>
      <c r="B11" s="1022">
        <v>1</v>
      </c>
      <c r="C11" s="1018">
        <v>6666.66</v>
      </c>
      <c r="D11" s="1018"/>
      <c r="E11" s="1018"/>
      <c r="F11" s="1018"/>
      <c r="G11" s="1018"/>
      <c r="H11" s="1018"/>
      <c r="I11" s="1018"/>
      <c r="J11" s="1018"/>
      <c r="K11" s="1018">
        <f>SUM(C11:J11)</f>
        <v>6666.66</v>
      </c>
      <c r="L11" s="1018">
        <v>14933.3</v>
      </c>
      <c r="M11" s="1018"/>
      <c r="N11" s="1019">
        <f>SUM(L11:M11)</f>
        <v>14933.3</v>
      </c>
      <c r="O11" s="1020">
        <f>+K11*12+N11</f>
        <v>94933.22</v>
      </c>
      <c r="P11" s="1021">
        <f>+B11*O11</f>
        <v>94933.22</v>
      </c>
      <c r="Q11" s="1022">
        <v>1</v>
      </c>
      <c r="R11" s="1018">
        <v>6666.66</v>
      </c>
      <c r="S11" s="1018"/>
      <c r="T11" s="1018"/>
      <c r="U11" s="1018"/>
      <c r="V11" s="1018"/>
      <c r="W11" s="1018"/>
      <c r="X11" s="1018"/>
      <c r="Y11" s="1018"/>
      <c r="Z11" s="1018">
        <f>SUM(R11:Y11)</f>
        <v>6666.66</v>
      </c>
      <c r="AA11" s="1018">
        <v>14933.3</v>
      </c>
      <c r="AB11" s="1018"/>
      <c r="AC11" s="1019">
        <f>SUM(AA11:AB11)</f>
        <v>14933.3</v>
      </c>
      <c r="AD11" s="1020">
        <f>+Z11*12+AC11</f>
        <v>94933.22</v>
      </c>
      <c r="AE11" s="1021">
        <f>+Q11*AD11</f>
        <v>94933.22</v>
      </c>
      <c r="AF11" s="1021">
        <f>+O11-AD11</f>
        <v>0</v>
      </c>
      <c r="AG11" s="1017">
        <f>+B11-Q11</f>
        <v>0</v>
      </c>
      <c r="AH11" s="1021">
        <v>1</v>
      </c>
      <c r="AI11" s="1017">
        <v>94933.22</v>
      </c>
    </row>
    <row r="12" spans="1:35">
      <c r="A12" s="703" t="s">
        <v>7058</v>
      </c>
      <c r="B12" s="1022">
        <v>1</v>
      </c>
      <c r="C12" s="1018">
        <v>1501.7483333333332</v>
      </c>
      <c r="D12" s="1018">
        <v>2000</v>
      </c>
      <c r="E12" s="1018"/>
      <c r="F12" s="1018"/>
      <c r="G12" s="1018"/>
      <c r="H12" s="1018"/>
      <c r="I12" s="1018"/>
      <c r="J12" s="1018"/>
      <c r="K12" s="1018">
        <f>SUM(C12:J12)</f>
        <v>3501.748333333333</v>
      </c>
      <c r="L12" s="1018">
        <v>1000</v>
      </c>
      <c r="M12" s="1018"/>
      <c r="N12" s="1019">
        <f>SUM(L12:M12)</f>
        <v>1000</v>
      </c>
      <c r="O12" s="1020">
        <f>+K12*12+N12</f>
        <v>43020.979999999996</v>
      </c>
      <c r="P12" s="1021">
        <f>+B12*O12</f>
        <v>43020.979999999996</v>
      </c>
      <c r="Q12" s="1022">
        <v>1</v>
      </c>
      <c r="R12" s="1018">
        <v>1501.7483333333332</v>
      </c>
      <c r="S12" s="1018">
        <v>2000</v>
      </c>
      <c r="T12" s="1018"/>
      <c r="U12" s="1018"/>
      <c r="V12" s="1018"/>
      <c r="W12" s="1018"/>
      <c r="X12" s="1018"/>
      <c r="Y12" s="1018"/>
      <c r="Z12" s="1018">
        <f>SUM(R12:Y12)</f>
        <v>3501.748333333333</v>
      </c>
      <c r="AA12" s="1018">
        <v>1000</v>
      </c>
      <c r="AB12" s="1018"/>
      <c r="AC12" s="1019">
        <f>SUM(AA12:AB12)</f>
        <v>1000</v>
      </c>
      <c r="AD12" s="1020">
        <f>+Z12*12+AC12</f>
        <v>43020.979999999996</v>
      </c>
      <c r="AE12" s="1021">
        <f>+Q12*AD12</f>
        <v>43020.979999999996</v>
      </c>
      <c r="AF12" s="1021">
        <f>+O12-AD12</f>
        <v>0</v>
      </c>
      <c r="AG12" s="1017">
        <f>+B12-Q12</f>
        <v>0</v>
      </c>
      <c r="AH12" s="1021">
        <v>1</v>
      </c>
      <c r="AI12" s="1017">
        <v>43020.979999999996</v>
      </c>
    </row>
    <row r="13" spans="1:35">
      <c r="A13" s="703" t="s">
        <v>7057</v>
      </c>
      <c r="B13" s="1022">
        <v>3</v>
      </c>
      <c r="C13" s="1018">
        <v>1053.498888888889</v>
      </c>
      <c r="D13" s="1018">
        <v>1900</v>
      </c>
      <c r="E13" s="1018"/>
      <c r="F13" s="1018"/>
      <c r="G13" s="1018"/>
      <c r="H13" s="1018"/>
      <c r="I13" s="1018"/>
      <c r="J13" s="1018"/>
      <c r="K13" s="1018">
        <f>SUM(C13:J13)</f>
        <v>2953.4988888888893</v>
      </c>
      <c r="L13" s="1018">
        <v>1000</v>
      </c>
      <c r="M13" s="1018"/>
      <c r="N13" s="1019">
        <f>SUM(L13:M13)</f>
        <v>1000</v>
      </c>
      <c r="O13" s="1020">
        <f>+K13*12+N13</f>
        <v>36441.986666666671</v>
      </c>
      <c r="P13" s="1021">
        <f>+B13*O13</f>
        <v>109325.96000000002</v>
      </c>
      <c r="Q13" s="1022">
        <v>3</v>
      </c>
      <c r="R13" s="1018">
        <v>1053.498888888889</v>
      </c>
      <c r="S13" s="1018">
        <v>1900</v>
      </c>
      <c r="T13" s="1018"/>
      <c r="U13" s="1018"/>
      <c r="V13" s="1018"/>
      <c r="W13" s="1018"/>
      <c r="X13" s="1018"/>
      <c r="Y13" s="1018"/>
      <c r="Z13" s="1018">
        <f>SUM(R13:Y13)</f>
        <v>2953.4988888888893</v>
      </c>
      <c r="AA13" s="1018">
        <v>1000</v>
      </c>
      <c r="AB13" s="1018"/>
      <c r="AC13" s="1019">
        <f>SUM(AA13:AB13)</f>
        <v>1000</v>
      </c>
      <c r="AD13" s="1020">
        <f>+Z13*12+AC13</f>
        <v>36441.986666666671</v>
      </c>
      <c r="AE13" s="1021">
        <f>+Q13*AD13</f>
        <v>109325.96000000002</v>
      </c>
      <c r="AF13" s="1021">
        <f>+O13-AD13</f>
        <v>0</v>
      </c>
      <c r="AG13" s="1017">
        <f>+B13-Q13</f>
        <v>0</v>
      </c>
      <c r="AH13" s="1021">
        <v>3</v>
      </c>
      <c r="AI13" s="1017">
        <v>109325.96000000002</v>
      </c>
    </row>
    <row r="14" spans="1:35">
      <c r="A14" s="703" t="s">
        <v>12</v>
      </c>
      <c r="B14" s="1022">
        <v>1</v>
      </c>
      <c r="C14" s="1018">
        <v>1389.68</v>
      </c>
      <c r="D14" s="1018">
        <v>1900</v>
      </c>
      <c r="E14" s="1018"/>
      <c r="F14" s="1018"/>
      <c r="G14" s="1018"/>
      <c r="H14" s="1018"/>
      <c r="I14" s="1018"/>
      <c r="J14" s="1018"/>
      <c r="K14" s="1018">
        <f>SUM(C14:J14)</f>
        <v>3289.6800000000003</v>
      </c>
      <c r="L14" s="1018">
        <v>1000</v>
      </c>
      <c r="M14" s="1018"/>
      <c r="N14" s="1019">
        <f>SUM(L14:M14)</f>
        <v>1000</v>
      </c>
      <c r="O14" s="1020">
        <f>+K14*12+N14</f>
        <v>40476.160000000003</v>
      </c>
      <c r="P14" s="1021">
        <f>+B14*O14</f>
        <v>40476.160000000003</v>
      </c>
      <c r="Q14" s="1022">
        <v>1</v>
      </c>
      <c r="R14" s="1018">
        <v>1389.68</v>
      </c>
      <c r="S14" s="1018">
        <v>1900</v>
      </c>
      <c r="T14" s="1018"/>
      <c r="U14" s="1018"/>
      <c r="V14" s="1018"/>
      <c r="W14" s="1018"/>
      <c r="X14" s="1018"/>
      <c r="Y14" s="1018"/>
      <c r="Z14" s="1018">
        <f>SUM(R14:Y14)</f>
        <v>3289.6800000000003</v>
      </c>
      <c r="AA14" s="1018">
        <v>1000</v>
      </c>
      <c r="AB14" s="1018"/>
      <c r="AC14" s="1019">
        <f>SUM(AA14:AB14)</f>
        <v>1000</v>
      </c>
      <c r="AD14" s="1020">
        <f>+Z14*12+AC14</f>
        <v>40476.160000000003</v>
      </c>
      <c r="AE14" s="1021">
        <f>+Q14*AD14</f>
        <v>40476.160000000003</v>
      </c>
      <c r="AF14" s="1021">
        <f>+O14-AD14</f>
        <v>0</v>
      </c>
      <c r="AG14" s="1017">
        <f>+B14-Q14</f>
        <v>0</v>
      </c>
      <c r="AH14" s="1021">
        <v>1</v>
      </c>
      <c r="AI14" s="1017">
        <v>40476.160000000003</v>
      </c>
    </row>
    <row r="15" spans="1:35" hidden="1">
      <c r="A15" s="720"/>
      <c r="B15" s="1022"/>
      <c r="C15" s="1018"/>
      <c r="D15" s="1018"/>
      <c r="E15" s="1018"/>
      <c r="F15" s="1018"/>
      <c r="G15" s="1018"/>
      <c r="H15" s="1018"/>
      <c r="I15" s="1018"/>
      <c r="J15" s="1018"/>
      <c r="K15" s="1018"/>
      <c r="L15" s="1018"/>
      <c r="M15" s="1018"/>
      <c r="N15" s="1019"/>
      <c r="O15" s="1020"/>
      <c r="P15" s="1021"/>
      <c r="Q15" s="1022"/>
      <c r="R15" s="1018"/>
      <c r="S15" s="1018"/>
      <c r="T15" s="1018"/>
      <c r="U15" s="1018"/>
      <c r="V15" s="1018"/>
      <c r="W15" s="1018"/>
      <c r="X15" s="1018"/>
      <c r="Y15" s="1018"/>
      <c r="Z15" s="1018"/>
      <c r="AA15" s="1018"/>
      <c r="AB15" s="1018"/>
      <c r="AC15" s="1019"/>
      <c r="AD15" s="1020"/>
      <c r="AE15" s="1021"/>
      <c r="AF15" s="1021"/>
      <c r="AG15" s="1017"/>
      <c r="AH15" s="1021"/>
      <c r="AI15" s="1017"/>
    </row>
    <row r="16" spans="1:35">
      <c r="A16" s="715" t="s">
        <v>4</v>
      </c>
      <c r="B16" s="1022"/>
      <c r="C16" s="1018"/>
      <c r="D16" s="1018"/>
      <c r="E16" s="1018"/>
      <c r="F16" s="1018"/>
      <c r="G16" s="1018"/>
      <c r="H16" s="1018"/>
      <c r="I16" s="1018"/>
      <c r="J16" s="1018"/>
      <c r="K16" s="1018"/>
      <c r="L16" s="1018"/>
      <c r="M16" s="1018"/>
      <c r="N16" s="1019"/>
      <c r="O16" s="1020"/>
      <c r="P16" s="1021"/>
      <c r="Q16" s="1022"/>
      <c r="R16" s="1018"/>
      <c r="S16" s="1018"/>
      <c r="T16" s="1018"/>
      <c r="U16" s="1018"/>
      <c r="V16" s="1018"/>
      <c r="W16" s="1018"/>
      <c r="X16" s="1018"/>
      <c r="Y16" s="1018"/>
      <c r="Z16" s="1018"/>
      <c r="AA16" s="1018"/>
      <c r="AB16" s="1018"/>
      <c r="AC16" s="1019"/>
      <c r="AD16" s="1020"/>
      <c r="AE16" s="1021"/>
      <c r="AF16" s="1021"/>
      <c r="AG16" s="1017"/>
      <c r="AH16" s="1021"/>
      <c r="AI16" s="1017"/>
    </row>
    <row r="17" spans="1:35">
      <c r="A17" s="703" t="s">
        <v>6978</v>
      </c>
      <c r="B17" s="1022">
        <v>1</v>
      </c>
      <c r="C17" s="1018">
        <v>1315.6091666666666</v>
      </c>
      <c r="D17" s="1018">
        <v>1700</v>
      </c>
      <c r="E17" s="1018"/>
      <c r="F17" s="1018"/>
      <c r="G17" s="1018"/>
      <c r="H17" s="1018"/>
      <c r="I17" s="1018"/>
      <c r="J17" s="1018"/>
      <c r="K17" s="1018">
        <f>SUM(C17:J17)</f>
        <v>3015.6091666666666</v>
      </c>
      <c r="L17" s="1018">
        <v>1000</v>
      </c>
      <c r="M17" s="1018"/>
      <c r="N17" s="1019">
        <f>SUM(L17:M17)</f>
        <v>1000</v>
      </c>
      <c r="O17" s="1020">
        <f>+K17*12+N17</f>
        <v>37187.31</v>
      </c>
      <c r="P17" s="1021">
        <f>+B17*O17</f>
        <v>37187.31</v>
      </c>
      <c r="Q17" s="1022">
        <v>1</v>
      </c>
      <c r="R17" s="1018">
        <v>1315.6091666666666</v>
      </c>
      <c r="S17" s="1018">
        <v>1700</v>
      </c>
      <c r="T17" s="1018"/>
      <c r="U17" s="1018"/>
      <c r="V17" s="1018"/>
      <c r="W17" s="1018"/>
      <c r="X17" s="1018"/>
      <c r="Y17" s="1018"/>
      <c r="Z17" s="1018">
        <f>SUM(R17:Y17)</f>
        <v>3015.6091666666666</v>
      </c>
      <c r="AA17" s="1018">
        <v>1000</v>
      </c>
      <c r="AB17" s="1018"/>
      <c r="AC17" s="1019">
        <f>SUM(AA17:AB17)</f>
        <v>1000</v>
      </c>
      <c r="AD17" s="1020">
        <f>+Z17*12+AC17</f>
        <v>37187.31</v>
      </c>
      <c r="AE17" s="1021">
        <f>+Q17*AD17</f>
        <v>37187.31</v>
      </c>
      <c r="AF17" s="1021">
        <f>+O17-AD17</f>
        <v>0</v>
      </c>
      <c r="AG17" s="1017">
        <f>+B17-Q17</f>
        <v>0</v>
      </c>
      <c r="AH17" s="1021">
        <v>1</v>
      </c>
      <c r="AI17" s="1017">
        <v>37187.31</v>
      </c>
    </row>
    <row r="18" spans="1:35">
      <c r="A18" s="703" t="s">
        <v>6977</v>
      </c>
      <c r="B18" s="1022">
        <v>3</v>
      </c>
      <c r="C18" s="1018">
        <v>1243</v>
      </c>
      <c r="D18" s="1018">
        <v>1600</v>
      </c>
      <c r="E18" s="1018"/>
      <c r="F18" s="1018"/>
      <c r="G18" s="1018"/>
      <c r="H18" s="1018"/>
      <c r="I18" s="1018"/>
      <c r="J18" s="1018"/>
      <c r="K18" s="1018">
        <f>SUM(C18:J18)</f>
        <v>2843</v>
      </c>
      <c r="L18" s="1018">
        <v>1000</v>
      </c>
      <c r="M18" s="1018"/>
      <c r="N18" s="1019">
        <f>SUM(L18:M18)</f>
        <v>1000</v>
      </c>
      <c r="O18" s="1020">
        <f>+K18*12+N18</f>
        <v>35116</v>
      </c>
      <c r="P18" s="1021">
        <f>+B18*O18</f>
        <v>105348</v>
      </c>
      <c r="Q18" s="1022">
        <v>3</v>
      </c>
      <c r="R18" s="1018">
        <v>1243</v>
      </c>
      <c r="S18" s="1018">
        <v>1600</v>
      </c>
      <c r="T18" s="1018"/>
      <c r="U18" s="1018"/>
      <c r="V18" s="1018"/>
      <c r="W18" s="1018"/>
      <c r="X18" s="1018"/>
      <c r="Y18" s="1018"/>
      <c r="Z18" s="1018">
        <f>SUM(R18:Y18)</f>
        <v>2843</v>
      </c>
      <c r="AA18" s="1018">
        <v>1000</v>
      </c>
      <c r="AB18" s="1018"/>
      <c r="AC18" s="1019">
        <f>SUM(AA18:AB18)</f>
        <v>1000</v>
      </c>
      <c r="AD18" s="1020">
        <f>+Z18*12+AC18</f>
        <v>35116</v>
      </c>
      <c r="AE18" s="1021">
        <f>+Q18*AD18</f>
        <v>105348</v>
      </c>
      <c r="AF18" s="1021">
        <f>+O18-AD18</f>
        <v>0</v>
      </c>
      <c r="AG18" s="1017">
        <f>+B18-Q18</f>
        <v>0</v>
      </c>
      <c r="AH18" s="1021">
        <v>3</v>
      </c>
      <c r="AI18" s="1017">
        <v>105348</v>
      </c>
    </row>
    <row r="19" spans="1:35">
      <c r="A19" s="703" t="s">
        <v>6976</v>
      </c>
      <c r="B19" s="1022">
        <v>1</v>
      </c>
      <c r="C19" s="1018">
        <v>1252.1300000000001</v>
      </c>
      <c r="D19" s="1018">
        <v>1300</v>
      </c>
      <c r="E19" s="1018"/>
      <c r="F19" s="1018"/>
      <c r="G19" s="1018"/>
      <c r="H19" s="1018"/>
      <c r="I19" s="1018"/>
      <c r="J19" s="1018"/>
      <c r="K19" s="1018">
        <f>SUM(C19:J19)</f>
        <v>2552.13</v>
      </c>
      <c r="L19" s="1018">
        <v>1000</v>
      </c>
      <c r="M19" s="1018"/>
      <c r="N19" s="1019">
        <f>SUM(L19:M19)</f>
        <v>1000</v>
      </c>
      <c r="O19" s="1020">
        <f>+K19*12+N19</f>
        <v>31625.56</v>
      </c>
      <c r="P19" s="1021">
        <f>+B19*O19</f>
        <v>31625.56</v>
      </c>
      <c r="Q19" s="1022">
        <v>1</v>
      </c>
      <c r="R19" s="1018">
        <v>1252.1300000000001</v>
      </c>
      <c r="S19" s="1018">
        <v>1300</v>
      </c>
      <c r="T19" s="1018"/>
      <c r="U19" s="1018"/>
      <c r="V19" s="1018"/>
      <c r="W19" s="1018"/>
      <c r="X19" s="1018"/>
      <c r="Y19" s="1018"/>
      <c r="Z19" s="1018">
        <f>SUM(R19:Y19)</f>
        <v>2552.13</v>
      </c>
      <c r="AA19" s="1018">
        <v>1000</v>
      </c>
      <c r="AB19" s="1018"/>
      <c r="AC19" s="1019">
        <f>SUM(AA19:AB19)</f>
        <v>1000</v>
      </c>
      <c r="AD19" s="1020">
        <f>+Z19*12+AC19</f>
        <v>31625.56</v>
      </c>
      <c r="AE19" s="1021">
        <f>+Q19*AD19</f>
        <v>31625.56</v>
      </c>
      <c r="AF19" s="1021">
        <f>+O19-AD19</f>
        <v>0</v>
      </c>
      <c r="AG19" s="1017">
        <f>+B19-Q19</f>
        <v>0</v>
      </c>
      <c r="AH19" s="1021">
        <v>1</v>
      </c>
      <c r="AI19" s="1017">
        <v>31625.56</v>
      </c>
    </row>
    <row r="20" spans="1:35" hidden="1">
      <c r="A20" s="703"/>
      <c r="B20" s="1022"/>
      <c r="C20" s="1018"/>
      <c r="D20" s="1018"/>
      <c r="E20" s="1018"/>
      <c r="F20" s="1018"/>
      <c r="G20" s="1018"/>
      <c r="H20" s="1018"/>
      <c r="I20" s="1018"/>
      <c r="J20" s="1018"/>
      <c r="K20" s="1018"/>
      <c r="L20" s="1018"/>
      <c r="M20" s="1018"/>
      <c r="N20" s="1019"/>
      <c r="O20" s="1020"/>
      <c r="P20" s="1021"/>
      <c r="Q20" s="1022"/>
      <c r="R20" s="1018"/>
      <c r="S20" s="1018"/>
      <c r="T20" s="1018"/>
      <c r="U20" s="1018"/>
      <c r="V20" s="1018"/>
      <c r="W20" s="1018"/>
      <c r="X20" s="1018"/>
      <c r="Y20" s="1018"/>
      <c r="Z20" s="1018"/>
      <c r="AA20" s="1018"/>
      <c r="AB20" s="1018"/>
      <c r="AC20" s="1019"/>
      <c r="AD20" s="1020"/>
      <c r="AE20" s="1021"/>
      <c r="AF20" s="1021"/>
      <c r="AG20" s="1017"/>
      <c r="AH20" s="1021"/>
      <c r="AI20" s="1017"/>
    </row>
    <row r="21" spans="1:35">
      <c r="A21" s="715" t="s">
        <v>5</v>
      </c>
      <c r="B21" s="1022"/>
      <c r="C21" s="1018"/>
      <c r="D21" s="1018"/>
      <c r="E21" s="1018"/>
      <c r="F21" s="1018"/>
      <c r="G21" s="1018"/>
      <c r="H21" s="1018"/>
      <c r="I21" s="1018"/>
      <c r="J21" s="1018"/>
      <c r="K21" s="1018"/>
      <c r="L21" s="1018"/>
      <c r="M21" s="1018"/>
      <c r="N21" s="1019"/>
      <c r="O21" s="1020"/>
      <c r="P21" s="1021"/>
      <c r="Q21" s="1022"/>
      <c r="R21" s="1018"/>
      <c r="S21" s="1018"/>
      <c r="T21" s="1018"/>
      <c r="U21" s="1018"/>
      <c r="V21" s="1018"/>
      <c r="W21" s="1018"/>
      <c r="X21" s="1018"/>
      <c r="Y21" s="1018"/>
      <c r="Z21" s="1018"/>
      <c r="AA21" s="1018"/>
      <c r="AB21" s="1018"/>
      <c r="AC21" s="1019"/>
      <c r="AD21" s="1020"/>
      <c r="AE21" s="1021"/>
      <c r="AF21" s="1021"/>
      <c r="AG21" s="1017"/>
      <c r="AH21" s="1021"/>
      <c r="AI21" s="1017"/>
    </row>
    <row r="22" spans="1:35">
      <c r="A22" s="703" t="s">
        <v>15</v>
      </c>
      <c r="B22" s="1022">
        <v>7</v>
      </c>
      <c r="C22" s="1018">
        <v>1080.8499999999999</v>
      </c>
      <c r="D22" s="1018">
        <v>1300</v>
      </c>
      <c r="E22" s="1018"/>
      <c r="F22" s="1018"/>
      <c r="G22" s="1018"/>
      <c r="H22" s="1018"/>
      <c r="I22" s="1018"/>
      <c r="J22" s="1018"/>
      <c r="K22" s="1018">
        <f>SUM(C22:J22)</f>
        <v>2380.85</v>
      </c>
      <c r="L22" s="1018">
        <v>1000</v>
      </c>
      <c r="M22" s="1018"/>
      <c r="N22" s="1019">
        <f>SUM(L22:M22)</f>
        <v>1000</v>
      </c>
      <c r="O22" s="1020">
        <f>+K22*12+N22</f>
        <v>29570.199999999997</v>
      </c>
      <c r="P22" s="1021">
        <f>+B22*O22</f>
        <v>206991.39999999997</v>
      </c>
      <c r="Q22" s="1022">
        <v>6</v>
      </c>
      <c r="R22" s="1018">
        <v>1080.8499999999999</v>
      </c>
      <c r="S22" s="1018">
        <v>1300</v>
      </c>
      <c r="T22" s="1018"/>
      <c r="U22" s="1018"/>
      <c r="V22" s="1018"/>
      <c r="W22" s="1018"/>
      <c r="X22" s="1018"/>
      <c r="Y22" s="1018"/>
      <c r="Z22" s="1018">
        <f>SUM(R22:Y22)</f>
        <v>2380.85</v>
      </c>
      <c r="AA22" s="1018">
        <v>1000</v>
      </c>
      <c r="AB22" s="1018"/>
      <c r="AC22" s="1019">
        <f>SUM(AA22:AB22)</f>
        <v>1000</v>
      </c>
      <c r="AD22" s="1020">
        <f>+Z22*12+AC22</f>
        <v>29570.199999999997</v>
      </c>
      <c r="AE22" s="1021">
        <f>+Q22*AD22</f>
        <v>177421.19999999998</v>
      </c>
      <c r="AF22" s="1021">
        <f>+O22-AD22</f>
        <v>0</v>
      </c>
      <c r="AG22" s="1017">
        <f>+B22-Q22</f>
        <v>1</v>
      </c>
      <c r="AH22" s="1021">
        <v>6</v>
      </c>
      <c r="AI22" s="1017">
        <v>177421.19999999998</v>
      </c>
    </row>
    <row r="23" spans="1:35">
      <c r="A23" s="703" t="s">
        <v>7056</v>
      </c>
      <c r="B23" s="1022">
        <v>12</v>
      </c>
      <c r="C23" s="1018">
        <v>1003.87</v>
      </c>
      <c r="D23" s="1018">
        <v>1300</v>
      </c>
      <c r="E23" s="1018"/>
      <c r="F23" s="1018"/>
      <c r="G23" s="1018"/>
      <c r="H23" s="1018"/>
      <c r="I23" s="1018"/>
      <c r="J23" s="1018"/>
      <c r="K23" s="1018">
        <f>SUM(C23:J23)</f>
        <v>2303.87</v>
      </c>
      <c r="L23" s="1018">
        <v>1000</v>
      </c>
      <c r="M23" s="1018"/>
      <c r="N23" s="1019">
        <f>SUM(L23:M23)</f>
        <v>1000</v>
      </c>
      <c r="O23" s="1020">
        <f>+K23*12+N23</f>
        <v>28646.44</v>
      </c>
      <c r="P23" s="1021">
        <f>+B23*O23</f>
        <v>343757.27999999997</v>
      </c>
      <c r="Q23" s="1022">
        <v>10</v>
      </c>
      <c r="R23" s="1018">
        <v>1003.87</v>
      </c>
      <c r="S23" s="1018">
        <v>1300</v>
      </c>
      <c r="T23" s="1018"/>
      <c r="U23" s="1018"/>
      <c r="V23" s="1018"/>
      <c r="W23" s="1018"/>
      <c r="X23" s="1018"/>
      <c r="Y23" s="1018"/>
      <c r="Z23" s="1018">
        <f>SUM(R23:Y23)</f>
        <v>2303.87</v>
      </c>
      <c r="AA23" s="1018">
        <v>1000</v>
      </c>
      <c r="AB23" s="1018"/>
      <c r="AC23" s="1019">
        <f>SUM(AA23:AB23)</f>
        <v>1000</v>
      </c>
      <c r="AD23" s="1020">
        <f>+Z23*12+AC23</f>
        <v>28646.44</v>
      </c>
      <c r="AE23" s="1021">
        <f>+Q23*AD23</f>
        <v>286464.39999999997</v>
      </c>
      <c r="AF23" s="1021">
        <f>+O23-AD23</f>
        <v>0</v>
      </c>
      <c r="AG23" s="1017">
        <f>+B23-Q23</f>
        <v>2</v>
      </c>
      <c r="AH23" s="1021">
        <v>10</v>
      </c>
      <c r="AI23" s="1017">
        <v>286464.39999999997</v>
      </c>
    </row>
    <row r="24" spans="1:35">
      <c r="A24" s="703" t="s">
        <v>6972</v>
      </c>
      <c r="B24" s="1022">
        <v>3</v>
      </c>
      <c r="C24" s="1018">
        <v>1163.26</v>
      </c>
      <c r="D24" s="1018">
        <v>1300</v>
      </c>
      <c r="E24" s="1018"/>
      <c r="F24" s="1018"/>
      <c r="G24" s="1018"/>
      <c r="H24" s="1018"/>
      <c r="I24" s="1018"/>
      <c r="J24" s="1018"/>
      <c r="K24" s="1018">
        <f>SUM(C24:J24)</f>
        <v>2463.2600000000002</v>
      </c>
      <c r="L24" s="1018">
        <v>1000</v>
      </c>
      <c r="M24" s="1018"/>
      <c r="N24" s="1019">
        <f>SUM(L24:M24)</f>
        <v>1000</v>
      </c>
      <c r="O24" s="1020">
        <f>+K24*12+N24</f>
        <v>30559.120000000003</v>
      </c>
      <c r="P24" s="1021">
        <f>+B24*O24</f>
        <v>91677.360000000015</v>
      </c>
      <c r="Q24" s="1022">
        <v>2</v>
      </c>
      <c r="R24" s="1018">
        <v>1163.26</v>
      </c>
      <c r="S24" s="1018">
        <v>1300</v>
      </c>
      <c r="T24" s="1018"/>
      <c r="U24" s="1018"/>
      <c r="V24" s="1018"/>
      <c r="W24" s="1018"/>
      <c r="X24" s="1018"/>
      <c r="Y24" s="1018"/>
      <c r="Z24" s="1018">
        <f>SUM(R24:Y24)</f>
        <v>2463.2600000000002</v>
      </c>
      <c r="AA24" s="1018">
        <v>1000</v>
      </c>
      <c r="AB24" s="1018"/>
      <c r="AC24" s="1019">
        <f>SUM(AA24:AB24)</f>
        <v>1000</v>
      </c>
      <c r="AD24" s="1020">
        <f>+Z24*12+AC24</f>
        <v>30559.120000000003</v>
      </c>
      <c r="AE24" s="1021">
        <f>+Q24*AD24</f>
        <v>61118.240000000005</v>
      </c>
      <c r="AF24" s="1021">
        <f>+O24-AD24</f>
        <v>0</v>
      </c>
      <c r="AG24" s="1017">
        <f>+B24-Q24</f>
        <v>1</v>
      </c>
      <c r="AH24" s="1021">
        <v>2</v>
      </c>
      <c r="AI24" s="1017">
        <v>61118.240000000005</v>
      </c>
    </row>
    <row r="25" spans="1:35" hidden="1">
      <c r="A25" s="703"/>
      <c r="B25" s="1022"/>
      <c r="C25" s="1018"/>
      <c r="D25" s="1018"/>
      <c r="E25" s="1018"/>
      <c r="F25" s="1018"/>
      <c r="G25" s="1018"/>
      <c r="H25" s="1018"/>
      <c r="I25" s="1018"/>
      <c r="J25" s="1018"/>
      <c r="K25" s="1018"/>
      <c r="L25" s="1018"/>
      <c r="M25" s="1018"/>
      <c r="N25" s="1019"/>
      <c r="O25" s="1020"/>
      <c r="P25" s="1021"/>
      <c r="Q25" s="1022"/>
      <c r="R25" s="1018"/>
      <c r="S25" s="1018"/>
      <c r="T25" s="1018"/>
      <c r="U25" s="1018"/>
      <c r="V25" s="1018"/>
      <c r="W25" s="1018"/>
      <c r="X25" s="1018"/>
      <c r="Y25" s="1018"/>
      <c r="Z25" s="1018"/>
      <c r="AA25" s="1018"/>
      <c r="AB25" s="1018"/>
      <c r="AC25" s="1019"/>
      <c r="AD25" s="1020"/>
      <c r="AE25" s="1021"/>
      <c r="AF25" s="1021"/>
      <c r="AG25" s="1017"/>
      <c r="AH25" s="1021"/>
      <c r="AI25" s="1017"/>
    </row>
    <row r="26" spans="1:35">
      <c r="A26" s="715" t="s">
        <v>6</v>
      </c>
      <c r="B26" s="1022"/>
      <c r="C26" s="1018"/>
      <c r="D26" s="1018"/>
      <c r="E26" s="1018"/>
      <c r="F26" s="1018"/>
      <c r="G26" s="1018"/>
      <c r="H26" s="1018"/>
      <c r="I26" s="1018"/>
      <c r="J26" s="1018"/>
      <c r="K26" s="1018"/>
      <c r="L26" s="1018"/>
      <c r="M26" s="1018"/>
      <c r="N26" s="1019"/>
      <c r="O26" s="1020"/>
      <c r="P26" s="1021"/>
      <c r="Q26" s="1022"/>
      <c r="R26" s="1018"/>
      <c r="S26" s="1018"/>
      <c r="T26" s="1018"/>
      <c r="U26" s="1018"/>
      <c r="V26" s="1018"/>
      <c r="W26" s="1018"/>
      <c r="X26" s="1018"/>
      <c r="Y26" s="1018"/>
      <c r="Z26" s="1018"/>
      <c r="AA26" s="1018"/>
      <c r="AB26" s="1018"/>
      <c r="AC26" s="1019"/>
      <c r="AD26" s="1020"/>
      <c r="AE26" s="1021"/>
      <c r="AF26" s="1021"/>
      <c r="AG26" s="1017"/>
      <c r="AH26" s="1021"/>
      <c r="AI26" s="1017"/>
    </row>
    <row r="27" spans="1:35">
      <c r="A27" s="721" t="s">
        <v>17</v>
      </c>
      <c r="B27" s="1022">
        <v>8</v>
      </c>
      <c r="C27" s="1018">
        <v>1057.2168750000003</v>
      </c>
      <c r="D27" s="1018">
        <v>1001</v>
      </c>
      <c r="E27" s="1018"/>
      <c r="F27" s="1018"/>
      <c r="G27" s="1018"/>
      <c r="H27" s="1018"/>
      <c r="I27" s="1018"/>
      <c r="J27" s="1018"/>
      <c r="K27" s="1018">
        <f>SUM(C27:J27)</f>
        <v>2058.2168750000001</v>
      </c>
      <c r="L27" s="1018">
        <v>1000</v>
      </c>
      <c r="M27" s="1018"/>
      <c r="N27" s="1019">
        <f>SUM(L27:M27)</f>
        <v>1000</v>
      </c>
      <c r="O27" s="1020">
        <f>+K27*12+N27</f>
        <v>25698.602500000001</v>
      </c>
      <c r="P27" s="1021">
        <f>+B27*O27</f>
        <v>205588.82</v>
      </c>
      <c r="Q27" s="1022">
        <v>8</v>
      </c>
      <c r="R27" s="1018">
        <v>1057.2168750000003</v>
      </c>
      <c r="S27" s="1018">
        <v>1001</v>
      </c>
      <c r="T27" s="1018"/>
      <c r="U27" s="1018"/>
      <c r="V27" s="1018"/>
      <c r="W27" s="1018"/>
      <c r="X27" s="1018"/>
      <c r="Y27" s="1018"/>
      <c r="Z27" s="1018">
        <f>SUM(R27:Y27)</f>
        <v>2058.2168750000001</v>
      </c>
      <c r="AA27" s="1018">
        <v>1000</v>
      </c>
      <c r="AB27" s="1018"/>
      <c r="AC27" s="1019">
        <f>SUM(AA27:AB27)</f>
        <v>1000</v>
      </c>
      <c r="AD27" s="1020">
        <f>+Z27*12+AC27</f>
        <v>25698.602500000001</v>
      </c>
      <c r="AE27" s="1021">
        <f>+Q27*AD27</f>
        <v>205588.82</v>
      </c>
      <c r="AF27" s="1021">
        <f>+O27-AD27</f>
        <v>0</v>
      </c>
      <c r="AG27" s="1017">
        <f>+B27-Q27</f>
        <v>0</v>
      </c>
      <c r="AH27" s="1021">
        <v>8</v>
      </c>
      <c r="AI27" s="1017">
        <v>205588.82</v>
      </c>
    </row>
    <row r="28" spans="1:35">
      <c r="A28" s="721" t="s">
        <v>6968</v>
      </c>
      <c r="B28" s="1022">
        <v>6</v>
      </c>
      <c r="C28" s="1018">
        <v>906.28708796296269</v>
      </c>
      <c r="D28" s="1018">
        <v>1001</v>
      </c>
      <c r="E28" s="1018"/>
      <c r="F28" s="1018"/>
      <c r="G28" s="1018"/>
      <c r="H28" s="1018"/>
      <c r="I28" s="1018"/>
      <c r="J28" s="1018"/>
      <c r="K28" s="1018">
        <f>SUM(C28:J28)</f>
        <v>1907.2870879629627</v>
      </c>
      <c r="L28" s="1018">
        <v>1000</v>
      </c>
      <c r="M28" s="1018"/>
      <c r="N28" s="1019">
        <f>SUM(L28:M28)</f>
        <v>1000</v>
      </c>
      <c r="O28" s="1020">
        <f>+K28*12+N28</f>
        <v>23887.445055555552</v>
      </c>
      <c r="P28" s="1021">
        <f>+B28*O28</f>
        <v>143324.67033333331</v>
      </c>
      <c r="Q28" s="1022">
        <v>6</v>
      </c>
      <c r="R28" s="1018">
        <v>906.28708796296269</v>
      </c>
      <c r="S28" s="1018">
        <v>1001</v>
      </c>
      <c r="T28" s="1018"/>
      <c r="U28" s="1018"/>
      <c r="V28" s="1018"/>
      <c r="W28" s="1018"/>
      <c r="X28" s="1018"/>
      <c r="Y28" s="1018"/>
      <c r="Z28" s="1018">
        <f>SUM(R28:Y28)</f>
        <v>1907.2870879629627</v>
      </c>
      <c r="AA28" s="1018">
        <v>1000</v>
      </c>
      <c r="AB28" s="1018"/>
      <c r="AC28" s="1019">
        <f>SUM(AA28:AB28)</f>
        <v>1000</v>
      </c>
      <c r="AD28" s="1020">
        <f>+Z28*12+AC28</f>
        <v>23887.445055555552</v>
      </c>
      <c r="AE28" s="1021">
        <f>+Q28*AD28</f>
        <v>143324.67033333331</v>
      </c>
      <c r="AF28" s="1021">
        <f>+O28-AD28</f>
        <v>0</v>
      </c>
      <c r="AG28" s="1017">
        <f>+B28-Q28</f>
        <v>0</v>
      </c>
      <c r="AH28" s="1021">
        <v>6</v>
      </c>
      <c r="AI28" s="1017">
        <v>143324.67033333331</v>
      </c>
    </row>
    <row r="29" spans="1:35">
      <c r="A29" s="721" t="s">
        <v>6967</v>
      </c>
      <c r="B29" s="1022">
        <v>12</v>
      </c>
      <c r="C29" s="1018">
        <v>1011.4326666666677</v>
      </c>
      <c r="D29" s="1018">
        <v>994</v>
      </c>
      <c r="E29" s="1018"/>
      <c r="F29" s="1018"/>
      <c r="G29" s="1018"/>
      <c r="H29" s="1018"/>
      <c r="I29" s="1018"/>
      <c r="J29" s="1018"/>
      <c r="K29" s="1018">
        <f>SUM(C29:J29)</f>
        <v>2005.4326666666677</v>
      </c>
      <c r="L29" s="1018">
        <v>1000</v>
      </c>
      <c r="M29" s="1018"/>
      <c r="N29" s="1019">
        <f>SUM(L29:M29)</f>
        <v>1000</v>
      </c>
      <c r="O29" s="1020">
        <f>+K29*12+N29</f>
        <v>25065.192000000014</v>
      </c>
      <c r="P29" s="1021">
        <f>+B29*O29</f>
        <v>300782.30400000018</v>
      </c>
      <c r="Q29" s="1022">
        <v>10</v>
      </c>
      <c r="R29" s="1018">
        <v>1011.4326666666677</v>
      </c>
      <c r="S29" s="1018">
        <v>994</v>
      </c>
      <c r="T29" s="1018"/>
      <c r="U29" s="1018"/>
      <c r="V29" s="1018"/>
      <c r="W29" s="1018"/>
      <c r="X29" s="1018"/>
      <c r="Y29" s="1018"/>
      <c r="Z29" s="1018">
        <f>SUM(R29:Y29)</f>
        <v>2005.4326666666677</v>
      </c>
      <c r="AA29" s="1018">
        <v>1000</v>
      </c>
      <c r="AB29" s="1018"/>
      <c r="AC29" s="1019">
        <f>SUM(AA29:AB29)</f>
        <v>1000</v>
      </c>
      <c r="AD29" s="1020">
        <f>+Z29*12+AC29</f>
        <v>25065.192000000014</v>
      </c>
      <c r="AE29" s="1021">
        <f>+Q29*AD29</f>
        <v>250651.92000000013</v>
      </c>
      <c r="AF29" s="1021">
        <f>+O29-AD29</f>
        <v>0</v>
      </c>
      <c r="AG29" s="1017">
        <f>+B29-Q29</f>
        <v>2</v>
      </c>
      <c r="AH29" s="1021">
        <v>10</v>
      </c>
      <c r="AI29" s="1017">
        <v>250651.92000000013</v>
      </c>
    </row>
    <row r="30" spans="1:35" hidden="1">
      <c r="A30" s="721"/>
      <c r="B30" s="1022"/>
      <c r="C30" s="1018"/>
      <c r="D30" s="1018"/>
      <c r="E30" s="1018"/>
      <c r="F30" s="1018"/>
      <c r="G30" s="1018"/>
      <c r="H30" s="1018"/>
      <c r="I30" s="1018"/>
      <c r="J30" s="1018"/>
      <c r="K30" s="1018"/>
      <c r="L30" s="1018"/>
      <c r="M30" s="1018"/>
      <c r="N30" s="1019"/>
      <c r="O30" s="1020"/>
      <c r="P30" s="1021"/>
      <c r="Q30" s="1022"/>
      <c r="R30" s="1018"/>
      <c r="S30" s="1018"/>
      <c r="T30" s="1018"/>
      <c r="U30" s="1018"/>
      <c r="V30" s="1018"/>
      <c r="W30" s="1018"/>
      <c r="X30" s="1018"/>
      <c r="Y30" s="1018"/>
      <c r="Z30" s="1018"/>
      <c r="AA30" s="1018"/>
      <c r="AB30" s="1018"/>
      <c r="AC30" s="1019"/>
      <c r="AD30" s="1020"/>
      <c r="AE30" s="1021"/>
      <c r="AF30" s="1021"/>
      <c r="AG30" s="1017"/>
      <c r="AH30" s="1021"/>
      <c r="AI30" s="1017"/>
    </row>
    <row r="31" spans="1:35" ht="48">
      <c r="A31" s="719" t="s">
        <v>52</v>
      </c>
      <c r="B31" s="1022"/>
      <c r="C31" s="1018"/>
      <c r="D31" s="1018"/>
      <c r="E31" s="1018"/>
      <c r="F31" s="1018"/>
      <c r="G31" s="1018"/>
      <c r="H31" s="1018"/>
      <c r="I31" s="1018"/>
      <c r="J31" s="1018"/>
      <c r="K31" s="1018"/>
      <c r="L31" s="1018"/>
      <c r="M31" s="1018"/>
      <c r="N31" s="1019"/>
      <c r="O31" s="1020"/>
      <c r="P31" s="1021"/>
      <c r="Q31" s="1022"/>
      <c r="R31" s="1018"/>
      <c r="S31" s="1018"/>
      <c r="T31" s="1018"/>
      <c r="U31" s="1018"/>
      <c r="V31" s="1018"/>
      <c r="W31" s="1018"/>
      <c r="X31" s="1018"/>
      <c r="Y31" s="1018"/>
      <c r="Z31" s="1018"/>
      <c r="AA31" s="1018"/>
      <c r="AB31" s="1018"/>
      <c r="AC31" s="1019"/>
      <c r="AD31" s="1020"/>
      <c r="AE31" s="1021"/>
      <c r="AF31" s="1021"/>
      <c r="AG31" s="1017"/>
      <c r="AH31" s="1021"/>
      <c r="AI31" s="1017"/>
    </row>
    <row r="32" spans="1:35">
      <c r="A32" s="715" t="s">
        <v>7171</v>
      </c>
      <c r="B32" s="1022"/>
      <c r="C32" s="1018"/>
      <c r="D32" s="1018"/>
      <c r="E32" s="1018"/>
      <c r="F32" s="1018"/>
      <c r="G32" s="1018"/>
      <c r="H32" s="1018"/>
      <c r="I32" s="1018"/>
      <c r="J32" s="1018"/>
      <c r="K32" s="1018"/>
      <c r="L32" s="1018"/>
      <c r="M32" s="1018"/>
      <c r="N32" s="1019"/>
      <c r="O32" s="1020"/>
      <c r="P32" s="1021"/>
      <c r="Q32" s="1022"/>
      <c r="R32" s="1018"/>
      <c r="S32" s="1018"/>
      <c r="T32" s="1018"/>
      <c r="U32" s="1018"/>
      <c r="V32" s="1018"/>
      <c r="W32" s="1018"/>
      <c r="X32" s="1018"/>
      <c r="Y32" s="1018"/>
      <c r="Z32" s="1018"/>
      <c r="AA32" s="1018"/>
      <c r="AB32" s="1018"/>
      <c r="AC32" s="1019"/>
      <c r="AD32" s="1020"/>
      <c r="AE32" s="1021"/>
      <c r="AF32" s="1021"/>
      <c r="AG32" s="1017"/>
      <c r="AH32" s="1021"/>
      <c r="AI32" s="1017"/>
    </row>
    <row r="33" spans="1:35">
      <c r="A33" s="703" t="s">
        <v>6997</v>
      </c>
      <c r="B33" s="1022">
        <v>1</v>
      </c>
      <c r="C33" s="1018"/>
      <c r="D33" s="1018">
        <v>6802</v>
      </c>
      <c r="E33" s="1018"/>
      <c r="F33" s="1018"/>
      <c r="G33" s="1018"/>
      <c r="H33" s="1018"/>
      <c r="I33" s="1018"/>
      <c r="J33" s="1018"/>
      <c r="K33" s="1018">
        <f>SUM(C33:J33)</f>
        <v>6802</v>
      </c>
      <c r="L33" s="1018">
        <v>1000</v>
      </c>
      <c r="M33" s="1018"/>
      <c r="N33" s="1019">
        <f>SUM(L33:M33)</f>
        <v>1000</v>
      </c>
      <c r="O33" s="1020">
        <f>+K33*12+N33</f>
        <v>82624</v>
      </c>
      <c r="P33" s="1021">
        <f>+B33*O33</f>
        <v>82624</v>
      </c>
      <c r="Q33" s="1022">
        <v>1</v>
      </c>
      <c r="R33" s="1018"/>
      <c r="S33" s="1018">
        <v>6802</v>
      </c>
      <c r="T33" s="1018"/>
      <c r="U33" s="1018"/>
      <c r="V33" s="1018"/>
      <c r="W33" s="1018"/>
      <c r="X33" s="1018"/>
      <c r="Y33" s="1018"/>
      <c r="Z33" s="1018">
        <f>SUM(R33:Y33)</f>
        <v>6802</v>
      </c>
      <c r="AA33" s="1018">
        <v>1000</v>
      </c>
      <c r="AB33" s="1018"/>
      <c r="AC33" s="1019">
        <f>SUM(AA33:AB33)</f>
        <v>1000</v>
      </c>
      <c r="AD33" s="1020">
        <f>+Z33*12+AC33</f>
        <v>82624</v>
      </c>
      <c r="AE33" s="1021">
        <f>+Q33*AD33</f>
        <v>82624</v>
      </c>
      <c r="AF33" s="1021">
        <f>+O33-AD33</f>
        <v>0</v>
      </c>
      <c r="AG33" s="1017">
        <f>+B33-Q33</f>
        <v>0</v>
      </c>
      <c r="AH33" s="1021"/>
      <c r="AI33" s="1017">
        <v>82624</v>
      </c>
    </row>
    <row r="34" spans="1:35" ht="12.75" hidden="1" thickBot="1">
      <c r="A34" s="910"/>
      <c r="B34" s="1023"/>
      <c r="C34" s="1024"/>
      <c r="D34" s="1024"/>
      <c r="E34" s="1024"/>
      <c r="F34" s="1024"/>
      <c r="G34" s="1024"/>
      <c r="H34" s="1024"/>
      <c r="I34" s="1024"/>
      <c r="J34" s="1024"/>
      <c r="K34" s="1024"/>
      <c r="L34" s="1024"/>
      <c r="M34" s="1024"/>
      <c r="N34" s="1025"/>
      <c r="O34" s="1026"/>
      <c r="P34" s="1027"/>
      <c r="Q34" s="1023"/>
      <c r="R34" s="1024"/>
      <c r="S34" s="1024"/>
      <c r="T34" s="1024"/>
      <c r="U34" s="1024"/>
      <c r="V34" s="1024"/>
      <c r="W34" s="1024"/>
      <c r="X34" s="1024"/>
      <c r="Y34" s="1024"/>
      <c r="Z34" s="1024"/>
      <c r="AA34" s="1024"/>
      <c r="AB34" s="1024"/>
      <c r="AC34" s="1025"/>
      <c r="AD34" s="1026"/>
      <c r="AE34" s="1027"/>
      <c r="AF34" s="1027"/>
      <c r="AG34" s="1023"/>
      <c r="AH34" s="1027"/>
      <c r="AI34" s="1023"/>
    </row>
    <row r="35" spans="1:35" s="1036" customFormat="1" ht="12.75" thickBot="1">
      <c r="A35" s="1028" t="s">
        <v>0</v>
      </c>
      <c r="B35" s="1029">
        <f>SUM(B8:B34)</f>
        <v>60</v>
      </c>
      <c r="C35" s="1030">
        <f>SUM(C8:C34)</f>
        <v>20645.243018518522</v>
      </c>
      <c r="D35" s="1031">
        <f>SUM(D8:D34)</f>
        <v>24098</v>
      </c>
      <c r="E35" s="1031"/>
      <c r="F35" s="1031"/>
      <c r="G35" s="1031"/>
      <c r="H35" s="1031"/>
      <c r="I35" s="1031"/>
      <c r="J35" s="1031"/>
      <c r="K35" s="1031">
        <f>SUM(K8:K34)</f>
        <v>44743.243018518515</v>
      </c>
      <c r="L35" s="1031">
        <f>SUM(L8:L34)</f>
        <v>27933.3</v>
      </c>
      <c r="M35" s="1031"/>
      <c r="N35" s="1032">
        <f t="shared" ref="N35:S35" si="0">SUM(N8:N34)</f>
        <v>27933.3</v>
      </c>
      <c r="O35" s="1033">
        <f t="shared" si="0"/>
        <v>564852.2162222222</v>
      </c>
      <c r="P35" s="1034">
        <f t="shared" si="0"/>
        <v>1836663.0243333338</v>
      </c>
      <c r="Q35" s="1031">
        <f t="shared" si="0"/>
        <v>54</v>
      </c>
      <c r="R35" s="1031">
        <f t="shared" si="0"/>
        <v>20645.243018518522</v>
      </c>
      <c r="S35" s="1031">
        <f t="shared" si="0"/>
        <v>24098</v>
      </c>
      <c r="T35" s="1031"/>
      <c r="U35" s="1031"/>
      <c r="V35" s="1031"/>
      <c r="W35" s="1031"/>
      <c r="X35" s="1031"/>
      <c r="Y35" s="1031"/>
      <c r="Z35" s="1031">
        <f>SUM(Z8:Z34)</f>
        <v>44743.243018518515</v>
      </c>
      <c r="AA35" s="1031">
        <f>SUM(AA8:AA34)</f>
        <v>27933.3</v>
      </c>
      <c r="AB35" s="1031"/>
      <c r="AC35" s="1031">
        <f t="shared" ref="AC35:AI35" si="1">SUM(AC8:AC34)</f>
        <v>27933.3</v>
      </c>
      <c r="AD35" s="1031">
        <f t="shared" si="1"/>
        <v>564852.2162222222</v>
      </c>
      <c r="AE35" s="1031">
        <f t="shared" si="1"/>
        <v>1669110.4403333336</v>
      </c>
      <c r="AF35" s="1034">
        <f t="shared" si="1"/>
        <v>0</v>
      </c>
      <c r="AG35" s="1035">
        <f t="shared" si="1"/>
        <v>6</v>
      </c>
      <c r="AH35" s="1034">
        <f t="shared" si="1"/>
        <v>53</v>
      </c>
      <c r="AI35" s="1035">
        <f t="shared" si="1"/>
        <v>1669110.4403333336</v>
      </c>
    </row>
    <row r="36" spans="1:35" ht="135">
      <c r="A36" s="1093" t="s">
        <v>7180</v>
      </c>
    </row>
    <row r="37" spans="1:35">
      <c r="A37" s="1093" t="s">
        <v>65</v>
      </c>
      <c r="B37" s="265" t="s">
        <v>152</v>
      </c>
    </row>
    <row r="38" spans="1:35">
      <c r="A38" s="1093" t="s">
        <v>66</v>
      </c>
      <c r="B38" s="265" t="s">
        <v>67</v>
      </c>
    </row>
    <row r="39" spans="1:35">
      <c r="A39" s="1093" t="s">
        <v>68</v>
      </c>
      <c r="B39" s="265" t="s">
        <v>69</v>
      </c>
    </row>
    <row r="40" spans="1:35">
      <c r="A40" s="1093" t="s">
        <v>70</v>
      </c>
      <c r="B40" s="265" t="s">
        <v>71</v>
      </c>
    </row>
    <row r="41" spans="1:35">
      <c r="A41" s="1093"/>
      <c r="B41" s="265" t="s">
        <v>72</v>
      </c>
    </row>
    <row r="42" spans="1:35" ht="45">
      <c r="A42" s="1093" t="s">
        <v>73</v>
      </c>
      <c r="B42" s="2028" t="s">
        <v>143</v>
      </c>
      <c r="C42" s="2028"/>
      <c r="D42" s="2028"/>
      <c r="E42" s="2028"/>
      <c r="F42" s="2028"/>
      <c r="G42" s="2028"/>
      <c r="H42" s="2028"/>
      <c r="I42" s="2028"/>
      <c r="J42" s="2028"/>
      <c r="K42" s="2028"/>
      <c r="L42" s="2028"/>
      <c r="M42" s="2028"/>
      <c r="N42" s="2028"/>
      <c r="O42" s="2028"/>
      <c r="P42" s="2028"/>
      <c r="Q42" s="2028"/>
      <c r="R42" s="2028"/>
      <c r="S42" s="2028"/>
      <c r="T42" s="2028"/>
      <c r="U42" s="2028"/>
      <c r="V42" s="2028"/>
      <c r="W42" s="2028"/>
      <c r="X42" s="2028"/>
      <c r="Y42" s="2028"/>
      <c r="Z42" s="2028"/>
      <c r="AA42" s="2028"/>
      <c r="AB42" s="2028"/>
      <c r="AC42" s="2028"/>
      <c r="AD42" s="2028"/>
      <c r="AE42" s="2028"/>
      <c r="AF42" s="2028"/>
      <c r="AG42" s="2028"/>
      <c r="AH42" s="2028"/>
      <c r="AI42" s="2028"/>
    </row>
    <row r="43" spans="1:35">
      <c r="A43" s="1093"/>
      <c r="B43" s="265" t="s">
        <v>74</v>
      </c>
    </row>
    <row r="44" spans="1:35">
      <c r="A44" s="1093"/>
      <c r="B44" s="265" t="s">
        <v>75</v>
      </c>
    </row>
    <row r="45" spans="1:35">
      <c r="A45" s="1093"/>
      <c r="B45" s="265" t="s">
        <v>76</v>
      </c>
    </row>
    <row r="46" spans="1:35">
      <c r="A46" s="1093" t="s">
        <v>177</v>
      </c>
      <c r="B46" s="265" t="s">
        <v>178</v>
      </c>
    </row>
    <row r="47" spans="1:35" ht="33.75">
      <c r="A47" s="1093" t="s">
        <v>179</v>
      </c>
      <c r="B47" s="265" t="s">
        <v>148</v>
      </c>
    </row>
    <row r="48" spans="1:35" ht="33.75">
      <c r="A48" s="1093" t="s">
        <v>180</v>
      </c>
      <c r="B48" s="2028" t="s">
        <v>144</v>
      </c>
      <c r="C48" s="2028"/>
      <c r="D48" s="2028"/>
      <c r="E48" s="2028"/>
      <c r="F48" s="2028"/>
      <c r="G48" s="2028"/>
      <c r="H48" s="2028"/>
      <c r="I48" s="2028"/>
      <c r="J48" s="2028"/>
      <c r="K48" s="2028"/>
      <c r="L48" s="2028"/>
      <c r="M48" s="2028"/>
      <c r="N48" s="2028"/>
      <c r="O48" s="2028"/>
      <c r="P48" s="2028"/>
      <c r="Q48" s="2028"/>
      <c r="R48" s="2028"/>
      <c r="S48" s="2028"/>
      <c r="T48" s="2028"/>
      <c r="U48" s="2028"/>
      <c r="V48" s="2028"/>
      <c r="W48" s="2028"/>
      <c r="X48" s="2028"/>
      <c r="Y48" s="2028"/>
      <c r="Z48" s="2028"/>
      <c r="AA48" s="2028"/>
      <c r="AB48" s="2028"/>
      <c r="AC48" s="2028"/>
      <c r="AD48" s="2028"/>
      <c r="AE48" s="2028"/>
      <c r="AF48" s="2028"/>
      <c r="AG48" s="2028"/>
      <c r="AH48" s="2028"/>
      <c r="AI48" s="2028"/>
    </row>
    <row r="49" spans="1:2">
      <c r="A49" s="1093"/>
      <c r="B49" s="265" t="s">
        <v>74</v>
      </c>
    </row>
    <row r="50" spans="1:2">
      <c r="A50" s="1093"/>
      <c r="B50" s="265" t="s">
        <v>75</v>
      </c>
    </row>
    <row r="51" spans="1:2">
      <c r="A51" s="1093"/>
      <c r="B51" s="265" t="s">
        <v>112</v>
      </c>
    </row>
    <row r="52" spans="1:2" ht="22.5">
      <c r="A52" s="1093" t="s">
        <v>189</v>
      </c>
      <c r="B52" s="265" t="s">
        <v>190</v>
      </c>
    </row>
    <row r="53" spans="1:2" ht="33.75">
      <c r="A53" s="1093" t="s">
        <v>187</v>
      </c>
      <c r="B53" s="265" t="s">
        <v>183</v>
      </c>
    </row>
    <row r="54" spans="1:2" ht="22.5">
      <c r="A54" s="1093" t="s">
        <v>188</v>
      </c>
      <c r="B54" s="265" t="s">
        <v>191</v>
      </c>
    </row>
  </sheetData>
  <mergeCells count="7">
    <mergeCell ref="B48:AI48"/>
    <mergeCell ref="A5:A7"/>
    <mergeCell ref="B5:P5"/>
    <mergeCell ref="Q5:AE5"/>
    <mergeCell ref="AF5:AG5"/>
    <mergeCell ref="AH5:AI5"/>
    <mergeCell ref="B42:AI42"/>
  </mergeCells>
  <printOptions horizontalCentered="1"/>
  <pageMargins left="0.19685039370078741" right="0.19685039370078741" top="0.78740157480314965" bottom="0.78740157480314965" header="0.19685039370078741" footer="0.19685039370078741"/>
  <pageSetup paperSize="9" scale="72" fitToHeight="15"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2060"/>
  </sheetPr>
  <dimension ref="A1:AI71"/>
  <sheetViews>
    <sheetView view="pageBreakPreview" topLeftCell="A18" zoomScaleNormal="100" zoomScaleSheetLayoutView="100" zoomScalePageLayoutView="60" workbookViewId="0">
      <selection activeCell="B8" sqref="B8"/>
    </sheetView>
  </sheetViews>
  <sheetFormatPr baseColWidth="10" defaultColWidth="11.42578125" defaultRowHeight="12"/>
  <cols>
    <col min="1" max="1" width="23.7109375" style="265" customWidth="1"/>
    <col min="2" max="2" width="8.7109375" style="265" customWidth="1"/>
    <col min="3" max="3" width="5.42578125" style="265" bestFit="1" customWidth="1"/>
    <col min="4" max="5" width="3.140625" style="265" bestFit="1" customWidth="1"/>
    <col min="6" max="6" width="5.42578125" style="265" bestFit="1" customWidth="1"/>
    <col min="7" max="9" width="3.140625" style="265" bestFit="1" customWidth="1"/>
    <col min="10" max="15" width="5.42578125" style="265" bestFit="1" customWidth="1"/>
    <col min="16" max="16" width="4.140625" style="265" bestFit="1" customWidth="1"/>
    <col min="17" max="17" width="3.140625" style="265" bestFit="1" customWidth="1"/>
    <col min="18" max="18" width="5.42578125" style="265" bestFit="1" customWidth="1"/>
    <col min="19" max="20" width="3.140625" style="265" bestFit="1" customWidth="1"/>
    <col min="21" max="21" width="5.42578125" style="265" bestFit="1" customWidth="1"/>
    <col min="22" max="24" width="3.140625" style="265" bestFit="1" customWidth="1"/>
    <col min="25" max="30" width="5.42578125" style="265" bestFit="1" customWidth="1"/>
    <col min="31" max="31" width="7.7109375" style="265" bestFit="1" customWidth="1"/>
    <col min="32" max="32" width="5.42578125" style="265" bestFit="1" customWidth="1"/>
    <col min="33" max="34" width="3.140625" style="265" bestFit="1" customWidth="1"/>
    <col min="35" max="35" width="7.7109375" style="265" bestFit="1" customWidth="1"/>
    <col min="36" max="16384" width="11.42578125" style="265"/>
  </cols>
  <sheetData>
    <row r="1" spans="1:35" s="743" customFormat="1">
      <c r="A1" s="742" t="s">
        <v>465</v>
      </c>
    </row>
    <row r="2" spans="1:35" s="743" customFormat="1">
      <c r="A2" s="69" t="s">
        <v>1655</v>
      </c>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row>
    <row r="3" spans="1:35" s="742" customFormat="1">
      <c r="A3" s="742" t="s">
        <v>1654</v>
      </c>
      <c r="T3" s="745"/>
    </row>
    <row r="4" spans="1:35" s="742" customFormat="1" ht="12.75" thickBot="1">
      <c r="A4" s="742" t="s">
        <v>4664</v>
      </c>
      <c r="T4" s="745"/>
    </row>
    <row r="5" spans="1:35" ht="12.75" thickBot="1">
      <c r="A5" s="1992" t="s">
        <v>41</v>
      </c>
      <c r="B5" s="2021" t="s">
        <v>314</v>
      </c>
      <c r="C5" s="2021"/>
      <c r="D5" s="2021"/>
      <c r="E5" s="2021"/>
      <c r="F5" s="2021"/>
      <c r="G5" s="2021"/>
      <c r="H5" s="2021"/>
      <c r="I5" s="2021"/>
      <c r="J5" s="2021"/>
      <c r="K5" s="2021"/>
      <c r="L5" s="2021"/>
      <c r="M5" s="2021"/>
      <c r="N5" s="2021"/>
      <c r="O5" s="2021"/>
      <c r="P5" s="2021"/>
      <c r="Q5" s="2022" t="s">
        <v>462</v>
      </c>
      <c r="R5" s="2021"/>
      <c r="S5" s="2021"/>
      <c r="T5" s="2021"/>
      <c r="U5" s="2021"/>
      <c r="V5" s="2021"/>
      <c r="W5" s="2021"/>
      <c r="X5" s="2021"/>
      <c r="Y5" s="2021"/>
      <c r="Z5" s="2021"/>
      <c r="AA5" s="2021"/>
      <c r="AB5" s="2021"/>
      <c r="AC5" s="2021"/>
      <c r="AD5" s="2021"/>
      <c r="AE5" s="2023"/>
      <c r="AF5" s="2024" t="s">
        <v>463</v>
      </c>
      <c r="AG5" s="2025"/>
      <c r="AH5" s="2024" t="s">
        <v>464</v>
      </c>
      <c r="AI5" s="2025"/>
    </row>
    <row r="6" spans="1:35" ht="171">
      <c r="A6" s="2019"/>
      <c r="B6" s="130" t="s">
        <v>11</v>
      </c>
      <c r="C6" s="131" t="s">
        <v>137</v>
      </c>
      <c r="D6" s="132" t="s">
        <v>240</v>
      </c>
      <c r="E6" s="132" t="s">
        <v>139</v>
      </c>
      <c r="F6" s="132" t="s">
        <v>173</v>
      </c>
      <c r="G6" s="132" t="s">
        <v>174</v>
      </c>
      <c r="H6" s="132" t="s">
        <v>175</v>
      </c>
      <c r="I6" s="132" t="s">
        <v>176</v>
      </c>
      <c r="J6" s="132" t="s">
        <v>140</v>
      </c>
      <c r="K6" s="132" t="s">
        <v>141</v>
      </c>
      <c r="L6" s="132" t="s">
        <v>142</v>
      </c>
      <c r="M6" s="132" t="s">
        <v>172</v>
      </c>
      <c r="N6" s="133" t="s">
        <v>114</v>
      </c>
      <c r="O6" s="134" t="s">
        <v>147</v>
      </c>
      <c r="P6" s="135" t="s">
        <v>146</v>
      </c>
      <c r="Q6" s="130" t="s">
        <v>11</v>
      </c>
      <c r="R6" s="131" t="s">
        <v>137</v>
      </c>
      <c r="S6" s="132" t="s">
        <v>138</v>
      </c>
      <c r="T6" s="132" t="s">
        <v>139</v>
      </c>
      <c r="U6" s="132" t="s">
        <v>173</v>
      </c>
      <c r="V6" s="132" t="s">
        <v>174</v>
      </c>
      <c r="W6" s="132" t="s">
        <v>175</v>
      </c>
      <c r="X6" s="132" t="s">
        <v>176</v>
      </c>
      <c r="Y6" s="132" t="s">
        <v>140</v>
      </c>
      <c r="Z6" s="132" t="s">
        <v>141</v>
      </c>
      <c r="AA6" s="132" t="s">
        <v>142</v>
      </c>
      <c r="AB6" s="132" t="s">
        <v>172</v>
      </c>
      <c r="AC6" s="133" t="s">
        <v>114</v>
      </c>
      <c r="AD6" s="134" t="s">
        <v>147</v>
      </c>
      <c r="AE6" s="135" t="s">
        <v>315</v>
      </c>
      <c r="AF6" s="136" t="s">
        <v>151</v>
      </c>
      <c r="AG6" s="136" t="s">
        <v>150</v>
      </c>
      <c r="AH6" s="136" t="s">
        <v>11</v>
      </c>
      <c r="AI6" s="135" t="s">
        <v>316</v>
      </c>
    </row>
    <row r="7" spans="1:35" ht="15.75" customHeight="1" thickBot="1">
      <c r="A7" s="2020"/>
      <c r="B7" s="389" t="s">
        <v>42</v>
      </c>
      <c r="C7" s="805" t="s">
        <v>43</v>
      </c>
      <c r="D7" s="806" t="s">
        <v>44</v>
      </c>
      <c r="E7" s="806" t="s">
        <v>45</v>
      </c>
      <c r="F7" s="807" t="s">
        <v>46</v>
      </c>
      <c r="G7" s="807" t="s">
        <v>47</v>
      </c>
      <c r="H7" s="807" t="s">
        <v>77</v>
      </c>
      <c r="I7" s="807" t="s">
        <v>113</v>
      </c>
      <c r="J7" s="807" t="s">
        <v>145</v>
      </c>
      <c r="K7" s="807" t="s">
        <v>149</v>
      </c>
      <c r="L7" s="807" t="s">
        <v>181</v>
      </c>
      <c r="M7" s="807" t="s">
        <v>182</v>
      </c>
      <c r="N7" s="808" t="s">
        <v>184</v>
      </c>
      <c r="O7" s="809" t="s">
        <v>185</v>
      </c>
      <c r="P7" s="810" t="s">
        <v>186</v>
      </c>
      <c r="Q7" s="389" t="s">
        <v>42</v>
      </c>
      <c r="R7" s="805" t="s">
        <v>43</v>
      </c>
      <c r="S7" s="806" t="s">
        <v>44</v>
      </c>
      <c r="T7" s="806" t="s">
        <v>45</v>
      </c>
      <c r="U7" s="807" t="s">
        <v>46</v>
      </c>
      <c r="V7" s="807" t="s">
        <v>47</v>
      </c>
      <c r="W7" s="807" t="s">
        <v>77</v>
      </c>
      <c r="X7" s="807" t="s">
        <v>113</v>
      </c>
      <c r="Y7" s="807" t="s">
        <v>145</v>
      </c>
      <c r="Z7" s="807" t="s">
        <v>149</v>
      </c>
      <c r="AA7" s="807" t="s">
        <v>181</v>
      </c>
      <c r="AB7" s="807" t="s">
        <v>182</v>
      </c>
      <c r="AC7" s="808" t="s">
        <v>184</v>
      </c>
      <c r="AD7" s="809" t="s">
        <v>185</v>
      </c>
      <c r="AE7" s="810" t="s">
        <v>186</v>
      </c>
      <c r="AF7" s="754"/>
      <c r="AG7" s="389"/>
      <c r="AH7" s="754"/>
      <c r="AI7" s="389"/>
    </row>
    <row r="8" spans="1:35" hidden="1">
      <c r="A8" s="811"/>
      <c r="B8" s="777"/>
      <c r="C8" s="458"/>
      <c r="D8" s="458"/>
      <c r="E8" s="458"/>
      <c r="F8" s="458"/>
      <c r="G8" s="458"/>
      <c r="H8" s="458"/>
      <c r="I8" s="458"/>
      <c r="J8" s="458"/>
      <c r="K8" s="458"/>
      <c r="L8" s="458"/>
      <c r="M8" s="458"/>
      <c r="N8" s="412"/>
      <c r="O8" s="812"/>
      <c r="P8" s="776"/>
      <c r="Q8" s="777"/>
      <c r="R8" s="458"/>
      <c r="S8" s="458"/>
      <c r="T8" s="458"/>
      <c r="U8" s="458"/>
      <c r="V8" s="458"/>
      <c r="W8" s="458"/>
      <c r="X8" s="458"/>
      <c r="Y8" s="458"/>
      <c r="Z8" s="458"/>
      <c r="AA8" s="458"/>
      <c r="AB8" s="458"/>
      <c r="AC8" s="412"/>
      <c r="AD8" s="812"/>
      <c r="AE8" s="776"/>
      <c r="AF8" s="776"/>
      <c r="AG8" s="777"/>
      <c r="AH8" s="776"/>
      <c r="AI8" s="777"/>
    </row>
    <row r="9" spans="1:35">
      <c r="A9" s="1063" t="s">
        <v>48</v>
      </c>
      <c r="B9" s="777"/>
      <c r="C9" s="458"/>
      <c r="D9" s="458"/>
      <c r="E9" s="458"/>
      <c r="F9" s="458"/>
      <c r="G9" s="458"/>
      <c r="H9" s="458"/>
      <c r="I9" s="458"/>
      <c r="J9" s="458"/>
      <c r="K9" s="458"/>
      <c r="L9" s="458"/>
      <c r="M9" s="458"/>
      <c r="N9" s="412"/>
      <c r="O9" s="812"/>
      <c r="P9" s="776"/>
      <c r="Q9" s="777"/>
      <c r="R9" s="458"/>
      <c r="S9" s="458"/>
      <c r="T9" s="458"/>
      <c r="U9" s="458"/>
      <c r="V9" s="458"/>
      <c r="W9" s="458"/>
      <c r="X9" s="458"/>
      <c r="Y9" s="458"/>
      <c r="Z9" s="458"/>
      <c r="AA9" s="458"/>
      <c r="AB9" s="458"/>
      <c r="AC9" s="412"/>
      <c r="AD9" s="812"/>
      <c r="AE9" s="776"/>
      <c r="AF9" s="776"/>
      <c r="AG9" s="777"/>
      <c r="AH9" s="776"/>
      <c r="AI9" s="777"/>
    </row>
    <row r="10" spans="1:35" hidden="1">
      <c r="A10" s="1063" t="s">
        <v>49</v>
      </c>
      <c r="B10" s="777"/>
      <c r="C10" s="458"/>
      <c r="D10" s="458"/>
      <c r="E10" s="458"/>
      <c r="F10" s="458"/>
      <c r="G10" s="458"/>
      <c r="H10" s="458"/>
      <c r="I10" s="458"/>
      <c r="J10" s="458"/>
      <c r="K10" s="458"/>
      <c r="L10" s="458"/>
      <c r="M10" s="458"/>
      <c r="N10" s="412"/>
      <c r="O10" s="812"/>
      <c r="P10" s="776"/>
      <c r="Q10" s="777"/>
      <c r="R10" s="458"/>
      <c r="S10" s="458"/>
      <c r="T10" s="458"/>
      <c r="U10" s="458"/>
      <c r="V10" s="458"/>
      <c r="W10" s="458"/>
      <c r="X10" s="458"/>
      <c r="Y10" s="458"/>
      <c r="Z10" s="458"/>
      <c r="AA10" s="458"/>
      <c r="AB10" s="458"/>
      <c r="AC10" s="412"/>
      <c r="AD10" s="812"/>
      <c r="AE10" s="776"/>
      <c r="AF10" s="776"/>
      <c r="AG10" s="777"/>
      <c r="AH10" s="776"/>
      <c r="AI10" s="777"/>
    </row>
    <row r="11" spans="1:35" hidden="1">
      <c r="A11" s="1063" t="s">
        <v>49</v>
      </c>
      <c r="B11" s="777"/>
      <c r="C11" s="458"/>
      <c r="D11" s="458"/>
      <c r="E11" s="458"/>
      <c r="F11" s="458"/>
      <c r="G11" s="458"/>
      <c r="H11" s="458"/>
      <c r="I11" s="458"/>
      <c r="J11" s="458"/>
      <c r="K11" s="458"/>
      <c r="L11" s="458"/>
      <c r="M11" s="458"/>
      <c r="N11" s="412"/>
      <c r="O11" s="812"/>
      <c r="P11" s="776"/>
      <c r="Q11" s="777"/>
      <c r="R11" s="458"/>
      <c r="S11" s="458"/>
      <c r="T11" s="458"/>
      <c r="U11" s="458"/>
      <c r="V11" s="458"/>
      <c r="W11" s="458"/>
      <c r="X11" s="458"/>
      <c r="Y11" s="458"/>
      <c r="Z11" s="458"/>
      <c r="AA11" s="458"/>
      <c r="AB11" s="458"/>
      <c r="AC11" s="412"/>
      <c r="AD11" s="812"/>
      <c r="AE11" s="776"/>
      <c r="AF11" s="776"/>
      <c r="AG11" s="777"/>
      <c r="AH11" s="776"/>
      <c r="AI11" s="777"/>
    </row>
    <row r="12" spans="1:35" ht="22.5">
      <c r="A12" s="1063" t="s">
        <v>50</v>
      </c>
      <c r="B12" s="777"/>
      <c r="C12" s="458"/>
      <c r="D12" s="458"/>
      <c r="E12" s="458"/>
      <c r="F12" s="458"/>
      <c r="G12" s="458"/>
      <c r="H12" s="458"/>
      <c r="I12" s="458"/>
      <c r="J12" s="458"/>
      <c r="K12" s="458"/>
      <c r="L12" s="458"/>
      <c r="M12" s="458"/>
      <c r="N12" s="412"/>
      <c r="O12" s="812"/>
      <c r="P12" s="776"/>
      <c r="Q12" s="777"/>
      <c r="R12" s="458"/>
      <c r="S12" s="458"/>
      <c r="T12" s="458"/>
      <c r="U12" s="458"/>
      <c r="V12" s="458"/>
      <c r="W12" s="458"/>
      <c r="X12" s="458"/>
      <c r="Y12" s="458"/>
      <c r="Z12" s="458"/>
      <c r="AA12" s="458"/>
      <c r="AB12" s="458"/>
      <c r="AC12" s="412"/>
      <c r="AD12" s="812"/>
      <c r="AE12" s="776"/>
      <c r="AF12" s="776"/>
      <c r="AG12" s="777"/>
      <c r="AH12" s="776"/>
      <c r="AI12" s="777"/>
    </row>
    <row r="13" spans="1:35" hidden="1">
      <c r="A13" s="1063" t="s">
        <v>49</v>
      </c>
      <c r="B13" s="777"/>
      <c r="C13" s="458"/>
      <c r="D13" s="458"/>
      <c r="E13" s="458"/>
      <c r="F13" s="458"/>
      <c r="G13" s="458"/>
      <c r="H13" s="458"/>
      <c r="I13" s="458"/>
      <c r="J13" s="458"/>
      <c r="K13" s="458"/>
      <c r="L13" s="458"/>
      <c r="M13" s="458"/>
      <c r="N13" s="412"/>
      <c r="O13" s="812"/>
      <c r="P13" s="776"/>
      <c r="Q13" s="777"/>
      <c r="R13" s="458"/>
      <c r="S13" s="458"/>
      <c r="T13" s="458"/>
      <c r="U13" s="458"/>
      <c r="V13" s="458"/>
      <c r="W13" s="458"/>
      <c r="X13" s="458"/>
      <c r="Y13" s="458"/>
      <c r="Z13" s="458"/>
      <c r="AA13" s="458"/>
      <c r="AB13" s="458"/>
      <c r="AC13" s="412"/>
      <c r="AD13" s="812"/>
      <c r="AE13" s="776"/>
      <c r="AF13" s="776"/>
      <c r="AG13" s="777"/>
      <c r="AH13" s="776"/>
      <c r="AI13" s="777"/>
    </row>
    <row r="14" spans="1:35" hidden="1">
      <c r="A14" s="1063" t="s">
        <v>49</v>
      </c>
      <c r="B14" s="777"/>
      <c r="C14" s="458"/>
      <c r="D14" s="458"/>
      <c r="E14" s="458"/>
      <c r="F14" s="458"/>
      <c r="G14" s="458"/>
      <c r="H14" s="458"/>
      <c r="I14" s="458"/>
      <c r="J14" s="458"/>
      <c r="K14" s="458"/>
      <c r="L14" s="458"/>
      <c r="M14" s="458"/>
      <c r="N14" s="412"/>
      <c r="O14" s="812"/>
      <c r="P14" s="776"/>
      <c r="Q14" s="777"/>
      <c r="R14" s="458"/>
      <c r="S14" s="458"/>
      <c r="T14" s="458"/>
      <c r="U14" s="458"/>
      <c r="V14" s="458"/>
      <c r="W14" s="458"/>
      <c r="X14" s="458"/>
      <c r="Y14" s="458"/>
      <c r="Z14" s="458"/>
      <c r="AA14" s="458"/>
      <c r="AB14" s="458"/>
      <c r="AC14" s="412"/>
      <c r="AD14" s="812"/>
      <c r="AE14" s="776"/>
      <c r="AF14" s="776"/>
      <c r="AG14" s="777"/>
      <c r="AH14" s="776"/>
      <c r="AI14" s="777"/>
    </row>
    <row r="15" spans="1:35">
      <c r="A15" s="1063" t="s">
        <v>51</v>
      </c>
      <c r="B15" s="777"/>
      <c r="C15" s="458"/>
      <c r="D15" s="458"/>
      <c r="E15" s="458"/>
      <c r="F15" s="458"/>
      <c r="G15" s="458"/>
      <c r="H15" s="458"/>
      <c r="I15" s="458"/>
      <c r="J15" s="458"/>
      <c r="K15" s="458"/>
      <c r="L15" s="458"/>
      <c r="M15" s="458"/>
      <c r="N15" s="412"/>
      <c r="O15" s="812"/>
      <c r="P15" s="776"/>
      <c r="Q15" s="777"/>
      <c r="R15" s="458"/>
      <c r="S15" s="458"/>
      <c r="T15" s="458"/>
      <c r="U15" s="458"/>
      <c r="V15" s="458"/>
      <c r="W15" s="458"/>
      <c r="X15" s="458"/>
      <c r="Y15" s="458"/>
      <c r="Z15" s="458"/>
      <c r="AA15" s="458"/>
      <c r="AB15" s="458"/>
      <c r="AC15" s="412"/>
      <c r="AD15" s="812"/>
      <c r="AE15" s="776"/>
      <c r="AF15" s="776"/>
      <c r="AG15" s="777"/>
      <c r="AH15" s="776"/>
      <c r="AI15" s="777"/>
    </row>
    <row r="16" spans="1:35" hidden="1">
      <c r="A16" s="1063" t="s">
        <v>49</v>
      </c>
      <c r="B16" s="777"/>
      <c r="C16" s="458"/>
      <c r="D16" s="458"/>
      <c r="E16" s="458"/>
      <c r="F16" s="458"/>
      <c r="G16" s="458"/>
      <c r="H16" s="458"/>
      <c r="I16" s="458"/>
      <c r="J16" s="458"/>
      <c r="K16" s="458"/>
      <c r="L16" s="458"/>
      <c r="M16" s="458"/>
      <c r="N16" s="412"/>
      <c r="O16" s="812"/>
      <c r="P16" s="776"/>
      <c r="Q16" s="777"/>
      <c r="R16" s="458"/>
      <c r="S16" s="458"/>
      <c r="T16" s="458"/>
      <c r="U16" s="458"/>
      <c r="V16" s="458"/>
      <c r="W16" s="458"/>
      <c r="X16" s="458"/>
      <c r="Y16" s="458"/>
      <c r="Z16" s="458"/>
      <c r="AA16" s="458"/>
      <c r="AB16" s="458"/>
      <c r="AC16" s="412"/>
      <c r="AD16" s="812"/>
      <c r="AE16" s="776"/>
      <c r="AF16" s="776"/>
      <c r="AG16" s="777"/>
      <c r="AH16" s="776"/>
      <c r="AI16" s="777"/>
    </row>
    <row r="17" spans="1:35" hidden="1">
      <c r="A17" s="1063" t="s">
        <v>49</v>
      </c>
      <c r="B17" s="777"/>
      <c r="C17" s="458"/>
      <c r="D17" s="458"/>
      <c r="E17" s="458"/>
      <c r="F17" s="458"/>
      <c r="G17" s="458"/>
      <c r="H17" s="458"/>
      <c r="I17" s="458"/>
      <c r="J17" s="458"/>
      <c r="K17" s="458"/>
      <c r="L17" s="458"/>
      <c r="M17" s="458"/>
      <c r="N17" s="412"/>
      <c r="O17" s="812"/>
      <c r="P17" s="776"/>
      <c r="Q17" s="777"/>
      <c r="R17" s="458"/>
      <c r="S17" s="458"/>
      <c r="T17" s="458"/>
      <c r="U17" s="458"/>
      <c r="V17" s="458"/>
      <c r="W17" s="458"/>
      <c r="X17" s="458"/>
      <c r="Y17" s="458"/>
      <c r="Z17" s="458"/>
      <c r="AA17" s="458"/>
      <c r="AB17" s="458"/>
      <c r="AC17" s="412"/>
      <c r="AD17" s="812"/>
      <c r="AE17" s="776"/>
      <c r="AF17" s="776"/>
      <c r="AG17" s="777"/>
      <c r="AH17" s="776"/>
      <c r="AI17" s="777"/>
    </row>
    <row r="18" spans="1:35" ht="33.75">
      <c r="A18" s="1063" t="s">
        <v>52</v>
      </c>
      <c r="B18" s="777"/>
      <c r="C18" s="458"/>
      <c r="D18" s="458"/>
      <c r="E18" s="458"/>
      <c r="F18" s="458"/>
      <c r="G18" s="458"/>
      <c r="H18" s="458"/>
      <c r="I18" s="458"/>
      <c r="J18" s="458"/>
      <c r="K18" s="458"/>
      <c r="L18" s="458"/>
      <c r="M18" s="458"/>
      <c r="N18" s="412"/>
      <c r="O18" s="812"/>
      <c r="P18" s="776"/>
      <c r="Q18" s="777"/>
      <c r="R18" s="458"/>
      <c r="S18" s="458"/>
      <c r="T18" s="458"/>
      <c r="U18" s="458"/>
      <c r="V18" s="458"/>
      <c r="W18" s="458"/>
      <c r="X18" s="458"/>
      <c r="Y18" s="458"/>
      <c r="Z18" s="458"/>
      <c r="AA18" s="458"/>
      <c r="AB18" s="458"/>
      <c r="AC18" s="412"/>
      <c r="AD18" s="812"/>
      <c r="AE18" s="776"/>
      <c r="AF18" s="776"/>
      <c r="AG18" s="777"/>
      <c r="AH18" s="776"/>
      <c r="AI18" s="777"/>
    </row>
    <row r="19" spans="1:35" hidden="1">
      <c r="A19" s="1063" t="s">
        <v>49</v>
      </c>
      <c r="B19" s="777"/>
      <c r="C19" s="458"/>
      <c r="D19" s="458"/>
      <c r="E19" s="458"/>
      <c r="F19" s="458"/>
      <c r="G19" s="458"/>
      <c r="H19" s="458"/>
      <c r="I19" s="458"/>
      <c r="J19" s="458"/>
      <c r="K19" s="458"/>
      <c r="L19" s="458"/>
      <c r="M19" s="458"/>
      <c r="N19" s="412"/>
      <c r="O19" s="812"/>
      <c r="P19" s="776"/>
      <c r="Q19" s="777"/>
      <c r="R19" s="458"/>
      <c r="S19" s="458"/>
      <c r="T19" s="458"/>
      <c r="U19" s="458"/>
      <c r="V19" s="458"/>
      <c r="W19" s="458"/>
      <c r="X19" s="458"/>
      <c r="Y19" s="458"/>
      <c r="Z19" s="458"/>
      <c r="AA19" s="458"/>
      <c r="AB19" s="458"/>
      <c r="AC19" s="412"/>
      <c r="AD19" s="812"/>
      <c r="AE19" s="776"/>
      <c r="AF19" s="776"/>
      <c r="AG19" s="777"/>
      <c r="AH19" s="776"/>
      <c r="AI19" s="777"/>
    </row>
    <row r="20" spans="1:35" hidden="1">
      <c r="A20" s="1063" t="s">
        <v>49</v>
      </c>
      <c r="B20" s="777"/>
      <c r="C20" s="458"/>
      <c r="D20" s="458"/>
      <c r="E20" s="458"/>
      <c r="F20" s="458"/>
      <c r="G20" s="458"/>
      <c r="H20" s="458"/>
      <c r="I20" s="458"/>
      <c r="J20" s="458"/>
      <c r="K20" s="458"/>
      <c r="L20" s="458"/>
      <c r="M20" s="458"/>
      <c r="N20" s="412"/>
      <c r="O20" s="812"/>
      <c r="P20" s="776"/>
      <c r="Q20" s="777"/>
      <c r="R20" s="458"/>
      <c r="S20" s="458"/>
      <c r="T20" s="458"/>
      <c r="U20" s="458"/>
      <c r="V20" s="458"/>
      <c r="W20" s="458"/>
      <c r="X20" s="458"/>
      <c r="Y20" s="458"/>
      <c r="Z20" s="458"/>
      <c r="AA20" s="458"/>
      <c r="AB20" s="458"/>
      <c r="AC20" s="412"/>
      <c r="AD20" s="812"/>
      <c r="AE20" s="776"/>
      <c r="AF20" s="776"/>
      <c r="AG20" s="777"/>
      <c r="AH20" s="776"/>
      <c r="AI20" s="777"/>
    </row>
    <row r="21" spans="1:35">
      <c r="A21" s="1063" t="s">
        <v>53</v>
      </c>
      <c r="B21" s="777"/>
      <c r="C21" s="458"/>
      <c r="D21" s="458"/>
      <c r="E21" s="458"/>
      <c r="F21" s="458"/>
      <c r="G21" s="458"/>
      <c r="H21" s="458"/>
      <c r="I21" s="458"/>
      <c r="J21" s="458"/>
      <c r="K21" s="458"/>
      <c r="L21" s="458"/>
      <c r="M21" s="458"/>
      <c r="N21" s="412"/>
      <c r="O21" s="812"/>
      <c r="P21" s="776"/>
      <c r="Q21" s="777"/>
      <c r="R21" s="458"/>
      <c r="S21" s="458"/>
      <c r="T21" s="458"/>
      <c r="U21" s="458"/>
      <c r="V21" s="458"/>
      <c r="W21" s="458"/>
      <c r="X21" s="458"/>
      <c r="Y21" s="458"/>
      <c r="Z21" s="458"/>
      <c r="AA21" s="458"/>
      <c r="AB21" s="458"/>
      <c r="AC21" s="412"/>
      <c r="AD21" s="812"/>
      <c r="AE21" s="776"/>
      <c r="AF21" s="776"/>
      <c r="AG21" s="777"/>
      <c r="AH21" s="776"/>
      <c r="AI21" s="777"/>
    </row>
    <row r="22" spans="1:35" hidden="1">
      <c r="A22" s="1063" t="s">
        <v>49</v>
      </c>
      <c r="B22" s="777"/>
      <c r="C22" s="458"/>
      <c r="D22" s="458"/>
      <c r="E22" s="458"/>
      <c r="F22" s="458"/>
      <c r="G22" s="458"/>
      <c r="H22" s="458"/>
      <c r="I22" s="458"/>
      <c r="J22" s="458"/>
      <c r="K22" s="458"/>
      <c r="L22" s="458"/>
      <c r="M22" s="458"/>
      <c r="N22" s="412"/>
      <c r="O22" s="812"/>
      <c r="P22" s="776"/>
      <c r="Q22" s="777"/>
      <c r="R22" s="458"/>
      <c r="S22" s="458"/>
      <c r="T22" s="458"/>
      <c r="U22" s="458"/>
      <c r="V22" s="458"/>
      <c r="W22" s="458"/>
      <c r="X22" s="458"/>
      <c r="Y22" s="458"/>
      <c r="Z22" s="458"/>
      <c r="AA22" s="458"/>
      <c r="AB22" s="458"/>
      <c r="AC22" s="412"/>
      <c r="AD22" s="812"/>
      <c r="AE22" s="776"/>
      <c r="AF22" s="776"/>
      <c r="AG22" s="777"/>
      <c r="AH22" s="776"/>
      <c r="AI22" s="777"/>
    </row>
    <row r="23" spans="1:35" hidden="1">
      <c r="A23" s="1063" t="s">
        <v>49</v>
      </c>
      <c r="B23" s="777"/>
      <c r="C23" s="458"/>
      <c r="D23" s="458"/>
      <c r="E23" s="458"/>
      <c r="F23" s="458"/>
      <c r="G23" s="458"/>
      <c r="H23" s="458"/>
      <c r="I23" s="458"/>
      <c r="J23" s="458"/>
      <c r="K23" s="458"/>
      <c r="L23" s="458"/>
      <c r="M23" s="458"/>
      <c r="N23" s="412"/>
      <c r="O23" s="812"/>
      <c r="P23" s="776"/>
      <c r="Q23" s="777"/>
      <c r="R23" s="458"/>
      <c r="S23" s="458"/>
      <c r="T23" s="458"/>
      <c r="U23" s="458"/>
      <c r="V23" s="458"/>
      <c r="W23" s="458"/>
      <c r="X23" s="458"/>
      <c r="Y23" s="458"/>
      <c r="Z23" s="458"/>
      <c r="AA23" s="458"/>
      <c r="AB23" s="458"/>
      <c r="AC23" s="412"/>
      <c r="AD23" s="812"/>
      <c r="AE23" s="776"/>
      <c r="AF23" s="776"/>
      <c r="AG23" s="777"/>
      <c r="AH23" s="776"/>
      <c r="AI23" s="777"/>
    </row>
    <row r="24" spans="1:35">
      <c r="A24" s="1063" t="s">
        <v>54</v>
      </c>
      <c r="B24" s="777"/>
      <c r="C24" s="458"/>
      <c r="D24" s="458"/>
      <c r="E24" s="458"/>
      <c r="F24" s="458"/>
      <c r="G24" s="458"/>
      <c r="H24" s="458"/>
      <c r="I24" s="458"/>
      <c r="J24" s="458"/>
      <c r="K24" s="458"/>
      <c r="L24" s="458"/>
      <c r="M24" s="458"/>
      <c r="N24" s="412"/>
      <c r="O24" s="812"/>
      <c r="P24" s="776"/>
      <c r="Q24" s="777"/>
      <c r="R24" s="458"/>
      <c r="S24" s="458"/>
      <c r="T24" s="458"/>
      <c r="U24" s="458"/>
      <c r="V24" s="458"/>
      <c r="W24" s="458"/>
      <c r="X24" s="458"/>
      <c r="Y24" s="458"/>
      <c r="Z24" s="458"/>
      <c r="AA24" s="458"/>
      <c r="AB24" s="458"/>
      <c r="AC24" s="412"/>
      <c r="AD24" s="812"/>
      <c r="AE24" s="776"/>
      <c r="AF24" s="776"/>
      <c r="AG24" s="777"/>
      <c r="AH24" s="776"/>
      <c r="AI24" s="777"/>
    </row>
    <row r="25" spans="1:35" hidden="1">
      <c r="A25" s="1063" t="s">
        <v>49</v>
      </c>
      <c r="B25" s="777"/>
      <c r="C25" s="458"/>
      <c r="D25" s="458"/>
      <c r="E25" s="458"/>
      <c r="F25" s="458"/>
      <c r="G25" s="458"/>
      <c r="H25" s="458"/>
      <c r="I25" s="458"/>
      <c r="J25" s="458"/>
      <c r="K25" s="458"/>
      <c r="L25" s="458"/>
      <c r="M25" s="458"/>
      <c r="N25" s="412"/>
      <c r="O25" s="812"/>
      <c r="P25" s="776"/>
      <c r="Q25" s="777"/>
      <c r="R25" s="458"/>
      <c r="S25" s="458"/>
      <c r="T25" s="458"/>
      <c r="U25" s="458"/>
      <c r="V25" s="458"/>
      <c r="W25" s="458"/>
      <c r="X25" s="458"/>
      <c r="Y25" s="458"/>
      <c r="Z25" s="458"/>
      <c r="AA25" s="458"/>
      <c r="AB25" s="458"/>
      <c r="AC25" s="412"/>
      <c r="AD25" s="812"/>
      <c r="AE25" s="776"/>
      <c r="AF25" s="776"/>
      <c r="AG25" s="777"/>
      <c r="AH25" s="776"/>
      <c r="AI25" s="777"/>
    </row>
    <row r="26" spans="1:35" hidden="1">
      <c r="A26" s="1063" t="s">
        <v>49</v>
      </c>
      <c r="B26" s="777"/>
      <c r="C26" s="458"/>
      <c r="D26" s="458"/>
      <c r="E26" s="458"/>
      <c r="F26" s="458"/>
      <c r="G26" s="458"/>
      <c r="H26" s="458"/>
      <c r="I26" s="458"/>
      <c r="J26" s="458"/>
      <c r="K26" s="458"/>
      <c r="L26" s="458"/>
      <c r="M26" s="458"/>
      <c r="N26" s="412"/>
      <c r="O26" s="812"/>
      <c r="P26" s="776"/>
      <c r="Q26" s="777"/>
      <c r="R26" s="458"/>
      <c r="S26" s="458"/>
      <c r="T26" s="458"/>
      <c r="U26" s="458"/>
      <c r="V26" s="458"/>
      <c r="W26" s="458"/>
      <c r="X26" s="458"/>
      <c r="Y26" s="458"/>
      <c r="Z26" s="458"/>
      <c r="AA26" s="458"/>
      <c r="AB26" s="458"/>
      <c r="AC26" s="412"/>
      <c r="AD26" s="812"/>
      <c r="AE26" s="776"/>
      <c r="AF26" s="776"/>
      <c r="AG26" s="777"/>
      <c r="AH26" s="776"/>
      <c r="AI26" s="777"/>
    </row>
    <row r="27" spans="1:35" ht="22.5">
      <c r="A27" s="1063" t="s">
        <v>55</v>
      </c>
      <c r="B27" s="777"/>
      <c r="C27" s="458"/>
      <c r="D27" s="458"/>
      <c r="E27" s="458"/>
      <c r="F27" s="458"/>
      <c r="G27" s="458"/>
      <c r="H27" s="458"/>
      <c r="I27" s="458"/>
      <c r="J27" s="458"/>
      <c r="K27" s="458"/>
      <c r="L27" s="458"/>
      <c r="M27" s="458"/>
      <c r="N27" s="412"/>
      <c r="O27" s="812"/>
      <c r="P27" s="776"/>
      <c r="Q27" s="777"/>
      <c r="R27" s="458"/>
      <c r="S27" s="458"/>
      <c r="T27" s="458"/>
      <c r="U27" s="458"/>
      <c r="V27" s="458"/>
      <c r="W27" s="458"/>
      <c r="X27" s="458"/>
      <c r="Y27" s="458"/>
      <c r="Z27" s="458"/>
      <c r="AA27" s="458"/>
      <c r="AB27" s="458"/>
      <c r="AC27" s="412"/>
      <c r="AD27" s="812"/>
      <c r="AE27" s="776"/>
      <c r="AF27" s="776"/>
      <c r="AG27" s="777"/>
      <c r="AH27" s="776"/>
      <c r="AI27" s="777"/>
    </row>
    <row r="28" spans="1:35" hidden="1">
      <c r="A28" s="1063" t="s">
        <v>49</v>
      </c>
      <c r="B28" s="777"/>
      <c r="C28" s="458"/>
      <c r="D28" s="458"/>
      <c r="E28" s="458"/>
      <c r="F28" s="458"/>
      <c r="G28" s="458"/>
      <c r="H28" s="458"/>
      <c r="I28" s="458"/>
      <c r="J28" s="458"/>
      <c r="K28" s="458"/>
      <c r="L28" s="458"/>
      <c r="M28" s="458"/>
      <c r="N28" s="412"/>
      <c r="O28" s="812"/>
      <c r="P28" s="776"/>
      <c r="Q28" s="777"/>
      <c r="R28" s="458"/>
      <c r="S28" s="458"/>
      <c r="T28" s="458"/>
      <c r="U28" s="458"/>
      <c r="V28" s="458"/>
      <c r="W28" s="458"/>
      <c r="X28" s="458"/>
      <c r="Y28" s="458"/>
      <c r="Z28" s="458"/>
      <c r="AA28" s="458"/>
      <c r="AB28" s="458"/>
      <c r="AC28" s="412"/>
      <c r="AD28" s="812"/>
      <c r="AE28" s="776"/>
      <c r="AF28" s="776"/>
      <c r="AG28" s="777"/>
      <c r="AH28" s="776"/>
      <c r="AI28" s="777"/>
    </row>
    <row r="29" spans="1:35" hidden="1">
      <c r="A29" s="1063" t="s">
        <v>49</v>
      </c>
      <c r="B29" s="777"/>
      <c r="C29" s="458"/>
      <c r="D29" s="458"/>
      <c r="E29" s="458"/>
      <c r="F29" s="458"/>
      <c r="G29" s="458"/>
      <c r="H29" s="458"/>
      <c r="I29" s="458"/>
      <c r="J29" s="458"/>
      <c r="K29" s="458"/>
      <c r="L29" s="458"/>
      <c r="M29" s="458"/>
      <c r="N29" s="412"/>
      <c r="O29" s="812"/>
      <c r="P29" s="776"/>
      <c r="Q29" s="777"/>
      <c r="R29" s="458"/>
      <c r="S29" s="458"/>
      <c r="T29" s="458"/>
      <c r="U29" s="458"/>
      <c r="V29" s="458"/>
      <c r="W29" s="458"/>
      <c r="X29" s="458"/>
      <c r="Y29" s="458"/>
      <c r="Z29" s="458"/>
      <c r="AA29" s="458"/>
      <c r="AB29" s="458"/>
      <c r="AC29" s="412"/>
      <c r="AD29" s="812"/>
      <c r="AE29" s="776"/>
      <c r="AF29" s="776"/>
      <c r="AG29" s="777"/>
      <c r="AH29" s="776"/>
      <c r="AI29" s="777"/>
    </row>
    <row r="30" spans="1:35">
      <c r="A30" s="1063" t="s">
        <v>56</v>
      </c>
      <c r="B30" s="777"/>
      <c r="C30" s="458"/>
      <c r="D30" s="458"/>
      <c r="E30" s="458"/>
      <c r="F30" s="458"/>
      <c r="G30" s="458"/>
      <c r="H30" s="458"/>
      <c r="I30" s="458"/>
      <c r="J30" s="458"/>
      <c r="K30" s="458"/>
      <c r="L30" s="458"/>
      <c r="M30" s="458"/>
      <c r="N30" s="412"/>
      <c r="O30" s="812"/>
      <c r="P30" s="776"/>
      <c r="Q30" s="777"/>
      <c r="R30" s="458"/>
      <c r="S30" s="458"/>
      <c r="T30" s="458"/>
      <c r="U30" s="458"/>
      <c r="V30" s="458"/>
      <c r="W30" s="458"/>
      <c r="X30" s="458"/>
      <c r="Y30" s="458"/>
      <c r="Z30" s="458"/>
      <c r="AA30" s="458"/>
      <c r="AB30" s="458"/>
      <c r="AC30" s="412"/>
      <c r="AD30" s="812"/>
      <c r="AE30" s="776"/>
      <c r="AF30" s="776"/>
      <c r="AG30" s="777"/>
      <c r="AH30" s="776"/>
      <c r="AI30" s="777"/>
    </row>
    <row r="31" spans="1:35" hidden="1">
      <c r="A31" s="1063" t="s">
        <v>49</v>
      </c>
      <c r="B31" s="777"/>
      <c r="C31" s="458"/>
      <c r="D31" s="458"/>
      <c r="E31" s="458"/>
      <c r="F31" s="458"/>
      <c r="G31" s="458"/>
      <c r="H31" s="458"/>
      <c r="I31" s="458"/>
      <c r="J31" s="458"/>
      <c r="K31" s="458"/>
      <c r="L31" s="458"/>
      <c r="M31" s="458"/>
      <c r="N31" s="412"/>
      <c r="O31" s="812"/>
      <c r="P31" s="776"/>
      <c r="Q31" s="777"/>
      <c r="R31" s="458"/>
      <c r="S31" s="458"/>
      <c r="T31" s="458"/>
      <c r="U31" s="458"/>
      <c r="V31" s="458"/>
      <c r="W31" s="458"/>
      <c r="X31" s="458"/>
      <c r="Y31" s="458"/>
      <c r="Z31" s="458"/>
      <c r="AA31" s="458"/>
      <c r="AB31" s="458"/>
      <c r="AC31" s="412"/>
      <c r="AD31" s="812"/>
      <c r="AE31" s="776"/>
      <c r="AF31" s="776"/>
      <c r="AG31" s="777"/>
      <c r="AH31" s="776"/>
      <c r="AI31" s="777"/>
    </row>
    <row r="32" spans="1:35" hidden="1">
      <c r="A32" s="1063" t="s">
        <v>49</v>
      </c>
      <c r="B32" s="777"/>
      <c r="C32" s="458"/>
      <c r="D32" s="458"/>
      <c r="E32" s="458"/>
      <c r="F32" s="458"/>
      <c r="G32" s="458"/>
      <c r="H32" s="458"/>
      <c r="I32" s="458"/>
      <c r="J32" s="458"/>
      <c r="K32" s="458"/>
      <c r="L32" s="458"/>
      <c r="M32" s="458"/>
      <c r="N32" s="412"/>
      <c r="O32" s="812"/>
      <c r="P32" s="776"/>
      <c r="Q32" s="777"/>
      <c r="R32" s="458"/>
      <c r="S32" s="458"/>
      <c r="T32" s="458"/>
      <c r="U32" s="458"/>
      <c r="V32" s="458"/>
      <c r="W32" s="458"/>
      <c r="X32" s="458"/>
      <c r="Y32" s="458"/>
      <c r="Z32" s="458"/>
      <c r="AA32" s="458"/>
      <c r="AB32" s="458"/>
      <c r="AC32" s="412"/>
      <c r="AD32" s="812"/>
      <c r="AE32" s="776"/>
      <c r="AF32" s="776"/>
      <c r="AG32" s="777"/>
      <c r="AH32" s="776"/>
      <c r="AI32" s="777"/>
    </row>
    <row r="33" spans="1:35">
      <c r="A33" s="1063" t="s">
        <v>57</v>
      </c>
      <c r="B33" s="777"/>
      <c r="C33" s="458"/>
      <c r="D33" s="458"/>
      <c r="E33" s="458"/>
      <c r="F33" s="458"/>
      <c r="G33" s="458"/>
      <c r="H33" s="458"/>
      <c r="I33" s="458"/>
      <c r="J33" s="458"/>
      <c r="K33" s="458"/>
      <c r="L33" s="458"/>
      <c r="M33" s="458"/>
      <c r="N33" s="412"/>
      <c r="O33" s="812"/>
      <c r="P33" s="776"/>
      <c r="Q33" s="777"/>
      <c r="R33" s="458"/>
      <c r="S33" s="458"/>
      <c r="T33" s="458"/>
      <c r="U33" s="458"/>
      <c r="V33" s="458"/>
      <c r="W33" s="458"/>
      <c r="X33" s="458"/>
      <c r="Y33" s="458"/>
      <c r="Z33" s="458"/>
      <c r="AA33" s="458"/>
      <c r="AB33" s="458"/>
      <c r="AC33" s="412"/>
      <c r="AD33" s="812"/>
      <c r="AE33" s="776"/>
      <c r="AF33" s="776"/>
      <c r="AG33" s="777"/>
      <c r="AH33" s="776"/>
      <c r="AI33" s="777"/>
    </row>
    <row r="34" spans="1:35" hidden="1">
      <c r="A34" s="1063" t="s">
        <v>49</v>
      </c>
      <c r="B34" s="777"/>
      <c r="C34" s="458"/>
      <c r="D34" s="458"/>
      <c r="E34" s="458"/>
      <c r="F34" s="458"/>
      <c r="G34" s="458"/>
      <c r="H34" s="458"/>
      <c r="I34" s="458"/>
      <c r="J34" s="458"/>
      <c r="K34" s="458"/>
      <c r="L34" s="458"/>
      <c r="M34" s="458"/>
      <c r="N34" s="412"/>
      <c r="O34" s="812"/>
      <c r="P34" s="776"/>
      <c r="Q34" s="777"/>
      <c r="R34" s="458"/>
      <c r="S34" s="458"/>
      <c r="T34" s="458"/>
      <c r="U34" s="458"/>
      <c r="V34" s="458"/>
      <c r="W34" s="458"/>
      <c r="X34" s="458"/>
      <c r="Y34" s="458"/>
      <c r="Z34" s="458"/>
      <c r="AA34" s="458"/>
      <c r="AB34" s="458"/>
      <c r="AC34" s="412"/>
      <c r="AD34" s="812"/>
      <c r="AE34" s="776"/>
      <c r="AF34" s="776"/>
      <c r="AG34" s="777"/>
      <c r="AH34" s="776"/>
      <c r="AI34" s="777"/>
    </row>
    <row r="35" spans="1:35" hidden="1">
      <c r="A35" s="1063" t="s">
        <v>49</v>
      </c>
      <c r="B35" s="777"/>
      <c r="C35" s="458"/>
      <c r="D35" s="458"/>
      <c r="E35" s="458"/>
      <c r="F35" s="458"/>
      <c r="G35" s="458"/>
      <c r="H35" s="458"/>
      <c r="I35" s="458"/>
      <c r="J35" s="458"/>
      <c r="K35" s="458"/>
      <c r="L35" s="458"/>
      <c r="M35" s="458"/>
      <c r="N35" s="412"/>
      <c r="O35" s="812"/>
      <c r="P35" s="776"/>
      <c r="Q35" s="777"/>
      <c r="R35" s="458"/>
      <c r="S35" s="458"/>
      <c r="T35" s="458"/>
      <c r="U35" s="458"/>
      <c r="V35" s="458"/>
      <c r="W35" s="458"/>
      <c r="X35" s="458"/>
      <c r="Y35" s="458"/>
      <c r="Z35" s="458"/>
      <c r="AA35" s="458"/>
      <c r="AB35" s="458"/>
      <c r="AC35" s="412"/>
      <c r="AD35" s="812"/>
      <c r="AE35" s="776"/>
      <c r="AF35" s="776"/>
      <c r="AG35" s="777"/>
      <c r="AH35" s="776"/>
      <c r="AI35" s="777"/>
    </row>
    <row r="36" spans="1:35">
      <c r="A36" s="1063" t="s">
        <v>58</v>
      </c>
      <c r="B36" s="777"/>
      <c r="C36" s="458"/>
      <c r="D36" s="458"/>
      <c r="E36" s="458"/>
      <c r="F36" s="458"/>
      <c r="G36" s="458"/>
      <c r="H36" s="458"/>
      <c r="I36" s="458"/>
      <c r="J36" s="458"/>
      <c r="K36" s="458"/>
      <c r="L36" s="458"/>
      <c r="M36" s="458"/>
      <c r="N36" s="412"/>
      <c r="O36" s="812"/>
      <c r="P36" s="776"/>
      <c r="Q36" s="777"/>
      <c r="R36" s="458"/>
      <c r="S36" s="458"/>
      <c r="T36" s="458"/>
      <c r="U36" s="458"/>
      <c r="V36" s="458"/>
      <c r="W36" s="458"/>
      <c r="X36" s="458"/>
      <c r="Y36" s="458"/>
      <c r="Z36" s="458"/>
      <c r="AA36" s="458"/>
      <c r="AB36" s="458"/>
      <c r="AC36" s="412"/>
      <c r="AD36" s="812"/>
      <c r="AE36" s="776"/>
      <c r="AF36" s="776"/>
      <c r="AG36" s="777"/>
      <c r="AH36" s="776"/>
      <c r="AI36" s="777"/>
    </row>
    <row r="37" spans="1:35" hidden="1">
      <c r="A37" s="1063" t="s">
        <v>49</v>
      </c>
      <c r="B37" s="777"/>
      <c r="C37" s="458"/>
      <c r="D37" s="458"/>
      <c r="E37" s="458"/>
      <c r="F37" s="458"/>
      <c r="G37" s="458"/>
      <c r="H37" s="458"/>
      <c r="I37" s="458"/>
      <c r="J37" s="458"/>
      <c r="K37" s="458"/>
      <c r="L37" s="458"/>
      <c r="M37" s="458"/>
      <c r="N37" s="412"/>
      <c r="O37" s="812"/>
      <c r="P37" s="776"/>
      <c r="Q37" s="777"/>
      <c r="R37" s="458"/>
      <c r="S37" s="458"/>
      <c r="T37" s="458"/>
      <c r="U37" s="458"/>
      <c r="V37" s="458"/>
      <c r="W37" s="458"/>
      <c r="X37" s="458"/>
      <c r="Y37" s="458"/>
      <c r="Z37" s="458"/>
      <c r="AA37" s="458"/>
      <c r="AB37" s="458"/>
      <c r="AC37" s="412"/>
      <c r="AD37" s="812"/>
      <c r="AE37" s="776"/>
      <c r="AF37" s="776"/>
      <c r="AG37" s="777"/>
      <c r="AH37" s="776"/>
      <c r="AI37" s="777"/>
    </row>
    <row r="38" spans="1:35" hidden="1">
      <c r="A38" s="1063" t="s">
        <v>49</v>
      </c>
      <c r="B38" s="777"/>
      <c r="C38" s="458"/>
      <c r="D38" s="458"/>
      <c r="E38" s="458"/>
      <c r="F38" s="458"/>
      <c r="G38" s="458"/>
      <c r="H38" s="458"/>
      <c r="I38" s="458"/>
      <c r="J38" s="458"/>
      <c r="K38" s="458"/>
      <c r="L38" s="458"/>
      <c r="M38" s="458"/>
      <c r="N38" s="412"/>
      <c r="O38" s="812"/>
      <c r="P38" s="776"/>
      <c r="Q38" s="777"/>
      <c r="R38" s="458"/>
      <c r="S38" s="458"/>
      <c r="T38" s="458"/>
      <c r="U38" s="458"/>
      <c r="V38" s="458"/>
      <c r="W38" s="458"/>
      <c r="X38" s="458"/>
      <c r="Y38" s="458"/>
      <c r="Z38" s="458"/>
      <c r="AA38" s="458"/>
      <c r="AB38" s="458"/>
      <c r="AC38" s="412"/>
      <c r="AD38" s="812"/>
      <c r="AE38" s="776"/>
      <c r="AF38" s="776"/>
      <c r="AG38" s="777"/>
      <c r="AH38" s="776"/>
      <c r="AI38" s="777"/>
    </row>
    <row r="39" spans="1:35">
      <c r="A39" s="1063" t="s">
        <v>24</v>
      </c>
      <c r="B39" s="777"/>
      <c r="C39" s="458"/>
      <c r="D39" s="458"/>
      <c r="E39" s="458"/>
      <c r="F39" s="458"/>
      <c r="G39" s="458"/>
      <c r="H39" s="458"/>
      <c r="I39" s="458"/>
      <c r="J39" s="458"/>
      <c r="K39" s="458"/>
      <c r="L39" s="458"/>
      <c r="M39" s="458"/>
      <c r="N39" s="412"/>
      <c r="O39" s="812"/>
      <c r="P39" s="776"/>
      <c r="Q39" s="777"/>
      <c r="R39" s="458"/>
      <c r="S39" s="458"/>
      <c r="T39" s="458"/>
      <c r="U39" s="458"/>
      <c r="V39" s="458"/>
      <c r="W39" s="458"/>
      <c r="X39" s="458"/>
      <c r="Y39" s="458"/>
      <c r="Z39" s="458"/>
      <c r="AA39" s="458"/>
      <c r="AB39" s="458"/>
      <c r="AC39" s="412"/>
      <c r="AD39" s="812"/>
      <c r="AE39" s="776"/>
      <c r="AF39" s="776"/>
      <c r="AG39" s="777"/>
      <c r="AH39" s="776"/>
      <c r="AI39" s="777"/>
    </row>
    <row r="40" spans="1:35">
      <c r="A40" s="1063" t="s">
        <v>59</v>
      </c>
      <c r="B40" s="777"/>
      <c r="C40" s="458"/>
      <c r="D40" s="458"/>
      <c r="E40" s="458"/>
      <c r="F40" s="458"/>
      <c r="G40" s="458"/>
      <c r="H40" s="458"/>
      <c r="I40" s="458"/>
      <c r="J40" s="458"/>
      <c r="K40" s="458"/>
      <c r="L40" s="458"/>
      <c r="M40" s="458"/>
      <c r="N40" s="412"/>
      <c r="O40" s="812"/>
      <c r="P40" s="776"/>
      <c r="Q40" s="777"/>
      <c r="R40" s="458"/>
      <c r="S40" s="458"/>
      <c r="T40" s="458"/>
      <c r="U40" s="458"/>
      <c r="V40" s="458"/>
      <c r="W40" s="458"/>
      <c r="X40" s="458"/>
      <c r="Y40" s="458"/>
      <c r="Z40" s="458"/>
      <c r="AA40" s="458"/>
      <c r="AB40" s="458"/>
      <c r="AC40" s="412"/>
      <c r="AD40" s="812"/>
      <c r="AE40" s="776"/>
      <c r="AF40" s="776"/>
      <c r="AG40" s="777"/>
      <c r="AH40" s="776"/>
      <c r="AI40" s="777"/>
    </row>
    <row r="41" spans="1:35" hidden="1">
      <c r="A41" s="1063" t="s">
        <v>60</v>
      </c>
      <c r="B41" s="777"/>
      <c r="C41" s="458"/>
      <c r="D41" s="458"/>
      <c r="E41" s="458"/>
      <c r="F41" s="458"/>
      <c r="G41" s="458"/>
      <c r="H41" s="458"/>
      <c r="I41" s="458"/>
      <c r="J41" s="458"/>
      <c r="K41" s="458"/>
      <c r="L41" s="458"/>
      <c r="M41" s="458"/>
      <c r="N41" s="412"/>
      <c r="O41" s="812"/>
      <c r="P41" s="776"/>
      <c r="Q41" s="777"/>
      <c r="R41" s="458"/>
      <c r="S41" s="458"/>
      <c r="T41" s="458"/>
      <c r="U41" s="458"/>
      <c r="V41" s="458"/>
      <c r="W41" s="458"/>
      <c r="X41" s="458"/>
      <c r="Y41" s="458"/>
      <c r="Z41" s="458"/>
      <c r="AA41" s="458"/>
      <c r="AB41" s="458"/>
      <c r="AC41" s="412"/>
      <c r="AD41" s="812"/>
      <c r="AE41" s="776"/>
      <c r="AF41" s="776"/>
      <c r="AG41" s="777"/>
      <c r="AH41" s="776"/>
      <c r="AI41" s="777"/>
    </row>
    <row r="42" spans="1:35" hidden="1">
      <c r="A42" s="1063" t="s">
        <v>60</v>
      </c>
      <c r="B42" s="777"/>
      <c r="C42" s="458"/>
      <c r="D42" s="458"/>
      <c r="E42" s="458"/>
      <c r="F42" s="458"/>
      <c r="G42" s="458"/>
      <c r="H42" s="458"/>
      <c r="I42" s="458"/>
      <c r="J42" s="458"/>
      <c r="K42" s="458"/>
      <c r="L42" s="458"/>
      <c r="M42" s="458"/>
      <c r="N42" s="412"/>
      <c r="O42" s="812"/>
      <c r="P42" s="776"/>
      <c r="Q42" s="777"/>
      <c r="R42" s="458"/>
      <c r="S42" s="458"/>
      <c r="T42" s="458"/>
      <c r="U42" s="458"/>
      <c r="V42" s="458"/>
      <c r="W42" s="458"/>
      <c r="X42" s="458"/>
      <c r="Y42" s="458"/>
      <c r="Z42" s="458"/>
      <c r="AA42" s="458"/>
      <c r="AB42" s="458"/>
      <c r="AC42" s="412"/>
      <c r="AD42" s="812"/>
      <c r="AE42" s="776"/>
      <c r="AF42" s="776"/>
      <c r="AG42" s="777"/>
      <c r="AH42" s="776"/>
      <c r="AI42" s="777"/>
    </row>
    <row r="43" spans="1:35" ht="22.5">
      <c r="A43" s="1063" t="s">
        <v>61</v>
      </c>
      <c r="B43" s="777"/>
      <c r="C43" s="458"/>
      <c r="D43" s="458"/>
      <c r="E43" s="458"/>
      <c r="F43" s="458"/>
      <c r="G43" s="458"/>
      <c r="H43" s="458"/>
      <c r="I43" s="458"/>
      <c r="J43" s="458"/>
      <c r="K43" s="458"/>
      <c r="L43" s="458"/>
      <c r="M43" s="458"/>
      <c r="N43" s="412"/>
      <c r="O43" s="812"/>
      <c r="P43" s="776"/>
      <c r="Q43" s="777"/>
      <c r="R43" s="458"/>
      <c r="S43" s="458"/>
      <c r="T43" s="458"/>
      <c r="U43" s="458"/>
      <c r="V43" s="458"/>
      <c r="W43" s="458"/>
      <c r="X43" s="458"/>
      <c r="Y43" s="458"/>
      <c r="Z43" s="458"/>
      <c r="AA43" s="458"/>
      <c r="AB43" s="458"/>
      <c r="AC43" s="412"/>
      <c r="AD43" s="812"/>
      <c r="AE43" s="776"/>
      <c r="AF43" s="776"/>
      <c r="AG43" s="777"/>
      <c r="AH43" s="776"/>
      <c r="AI43" s="777"/>
    </row>
    <row r="44" spans="1:35" hidden="1">
      <c r="A44" s="1063" t="s">
        <v>60</v>
      </c>
      <c r="B44" s="777"/>
      <c r="C44" s="458"/>
      <c r="D44" s="458"/>
      <c r="E44" s="458"/>
      <c r="F44" s="458"/>
      <c r="G44" s="458"/>
      <c r="H44" s="458"/>
      <c r="I44" s="458"/>
      <c r="J44" s="458"/>
      <c r="K44" s="458"/>
      <c r="L44" s="458"/>
      <c r="M44" s="458"/>
      <c r="N44" s="412"/>
      <c r="O44" s="812"/>
      <c r="P44" s="776"/>
      <c r="Q44" s="777"/>
      <c r="R44" s="458"/>
      <c r="S44" s="458"/>
      <c r="T44" s="458"/>
      <c r="U44" s="458"/>
      <c r="V44" s="458"/>
      <c r="W44" s="458"/>
      <c r="X44" s="458"/>
      <c r="Y44" s="458"/>
      <c r="Z44" s="458"/>
      <c r="AA44" s="458"/>
      <c r="AB44" s="458"/>
      <c r="AC44" s="412"/>
      <c r="AD44" s="812"/>
      <c r="AE44" s="776"/>
      <c r="AF44" s="776"/>
      <c r="AG44" s="777"/>
      <c r="AH44" s="776"/>
      <c r="AI44" s="777"/>
    </row>
    <row r="45" spans="1:35">
      <c r="A45" s="1063" t="s">
        <v>62</v>
      </c>
      <c r="B45" s="777"/>
      <c r="C45" s="458"/>
      <c r="D45" s="458"/>
      <c r="E45" s="458"/>
      <c r="F45" s="458"/>
      <c r="G45" s="458"/>
      <c r="H45" s="458"/>
      <c r="I45" s="458"/>
      <c r="J45" s="458"/>
      <c r="K45" s="458"/>
      <c r="L45" s="458"/>
      <c r="M45" s="458"/>
      <c r="N45" s="412"/>
      <c r="O45" s="812"/>
      <c r="P45" s="776"/>
      <c r="Q45" s="777"/>
      <c r="R45" s="458"/>
      <c r="S45" s="458"/>
      <c r="T45" s="458"/>
      <c r="U45" s="458"/>
      <c r="V45" s="458"/>
      <c r="W45" s="458"/>
      <c r="X45" s="458"/>
      <c r="Y45" s="458"/>
      <c r="Z45" s="458"/>
      <c r="AA45" s="458"/>
      <c r="AB45" s="458"/>
      <c r="AC45" s="412"/>
      <c r="AD45" s="812"/>
      <c r="AE45" s="776"/>
      <c r="AF45" s="776"/>
      <c r="AG45" s="777"/>
      <c r="AH45" s="776"/>
      <c r="AI45" s="777"/>
    </row>
    <row r="46" spans="1:35" hidden="1">
      <c r="A46" s="1063" t="s">
        <v>60</v>
      </c>
      <c r="B46" s="777"/>
      <c r="C46" s="458"/>
      <c r="D46" s="458"/>
      <c r="E46" s="458"/>
      <c r="F46" s="458"/>
      <c r="G46" s="458"/>
      <c r="H46" s="458"/>
      <c r="I46" s="458"/>
      <c r="J46" s="458"/>
      <c r="K46" s="458"/>
      <c r="L46" s="458"/>
      <c r="M46" s="458"/>
      <c r="N46" s="412"/>
      <c r="O46" s="812"/>
      <c r="P46" s="776"/>
      <c r="Q46" s="777"/>
      <c r="R46" s="458"/>
      <c r="S46" s="458"/>
      <c r="T46" s="458"/>
      <c r="U46" s="458"/>
      <c r="V46" s="458"/>
      <c r="W46" s="458"/>
      <c r="X46" s="458"/>
      <c r="Y46" s="458"/>
      <c r="Z46" s="458"/>
      <c r="AA46" s="458"/>
      <c r="AB46" s="458"/>
      <c r="AC46" s="412"/>
      <c r="AD46" s="812"/>
      <c r="AE46" s="776"/>
      <c r="AF46" s="776"/>
      <c r="AG46" s="777"/>
      <c r="AH46" s="776"/>
      <c r="AI46" s="777"/>
    </row>
    <row r="47" spans="1:35" hidden="1">
      <c r="A47" s="1063"/>
      <c r="B47" s="777"/>
      <c r="C47" s="458"/>
      <c r="D47" s="458"/>
      <c r="E47" s="458"/>
      <c r="F47" s="458"/>
      <c r="G47" s="458"/>
      <c r="H47" s="458"/>
      <c r="I47" s="458"/>
      <c r="J47" s="458"/>
      <c r="K47" s="458"/>
      <c r="L47" s="458"/>
      <c r="M47" s="458"/>
      <c r="N47" s="412"/>
      <c r="O47" s="812"/>
      <c r="P47" s="776"/>
      <c r="Q47" s="777"/>
      <c r="R47" s="458"/>
      <c r="S47" s="458"/>
      <c r="T47" s="458"/>
      <c r="U47" s="458"/>
      <c r="V47" s="458"/>
      <c r="W47" s="458"/>
      <c r="X47" s="458"/>
      <c r="Y47" s="458"/>
      <c r="Z47" s="458"/>
      <c r="AA47" s="458"/>
      <c r="AB47" s="458"/>
      <c r="AC47" s="412"/>
      <c r="AD47" s="812"/>
      <c r="AE47" s="776"/>
      <c r="AF47" s="776"/>
      <c r="AG47" s="777"/>
      <c r="AH47" s="776"/>
      <c r="AI47" s="777"/>
    </row>
    <row r="48" spans="1:35">
      <c r="A48" s="1063" t="s">
        <v>63</v>
      </c>
      <c r="B48" s="777"/>
      <c r="C48" s="458"/>
      <c r="D48" s="458"/>
      <c r="E48" s="458"/>
      <c r="F48" s="458"/>
      <c r="G48" s="458"/>
      <c r="H48" s="458"/>
      <c r="I48" s="458"/>
      <c r="J48" s="458"/>
      <c r="K48" s="458"/>
      <c r="L48" s="458"/>
      <c r="M48" s="458"/>
      <c r="N48" s="412"/>
      <c r="O48" s="812"/>
      <c r="P48" s="776"/>
      <c r="Q48" s="777"/>
      <c r="R48" s="458"/>
      <c r="S48" s="458"/>
      <c r="T48" s="458"/>
      <c r="U48" s="458"/>
      <c r="V48" s="458"/>
      <c r="W48" s="458"/>
      <c r="X48" s="458"/>
      <c r="Y48" s="458"/>
      <c r="Z48" s="458"/>
      <c r="AA48" s="458"/>
      <c r="AB48" s="458"/>
      <c r="AC48" s="412"/>
      <c r="AD48" s="812"/>
      <c r="AE48" s="776"/>
      <c r="AF48" s="776"/>
      <c r="AG48" s="777"/>
      <c r="AH48" s="776"/>
      <c r="AI48" s="777"/>
    </row>
    <row r="49" spans="1:35" hidden="1">
      <c r="A49" s="909" t="s">
        <v>60</v>
      </c>
      <c r="B49" s="777"/>
      <c r="C49" s="458"/>
      <c r="D49" s="458"/>
      <c r="E49" s="458"/>
      <c r="F49" s="458"/>
      <c r="G49" s="458"/>
      <c r="H49" s="458"/>
      <c r="I49" s="458"/>
      <c r="J49" s="458"/>
      <c r="K49" s="458"/>
      <c r="L49" s="458"/>
      <c r="M49" s="458"/>
      <c r="N49" s="412"/>
      <c r="O49" s="812"/>
      <c r="P49" s="776"/>
      <c r="Q49" s="777"/>
      <c r="R49" s="458"/>
      <c r="S49" s="458"/>
      <c r="T49" s="458"/>
      <c r="U49" s="458"/>
      <c r="V49" s="458"/>
      <c r="W49" s="458"/>
      <c r="X49" s="458"/>
      <c r="Y49" s="458"/>
      <c r="Z49" s="458"/>
      <c r="AA49" s="458"/>
      <c r="AB49" s="458"/>
      <c r="AC49" s="412"/>
      <c r="AD49" s="812"/>
      <c r="AE49" s="776"/>
      <c r="AF49" s="776"/>
      <c r="AG49" s="777"/>
      <c r="AH49" s="776"/>
      <c r="AI49" s="777"/>
    </row>
    <row r="50" spans="1:35" hidden="1">
      <c r="A50" s="909"/>
      <c r="B50" s="777"/>
      <c r="C50" s="458"/>
      <c r="D50" s="458"/>
      <c r="E50" s="458"/>
      <c r="F50" s="458"/>
      <c r="G50" s="458"/>
      <c r="H50" s="458"/>
      <c r="I50" s="458"/>
      <c r="J50" s="458"/>
      <c r="K50" s="458"/>
      <c r="L50" s="458"/>
      <c r="M50" s="458"/>
      <c r="N50" s="412"/>
      <c r="O50" s="812"/>
      <c r="P50" s="776"/>
      <c r="Q50" s="777"/>
      <c r="R50" s="458"/>
      <c r="S50" s="458"/>
      <c r="T50" s="458"/>
      <c r="U50" s="458"/>
      <c r="V50" s="458"/>
      <c r="W50" s="458"/>
      <c r="X50" s="458"/>
      <c r="Y50" s="458"/>
      <c r="Z50" s="458"/>
      <c r="AA50" s="458"/>
      <c r="AB50" s="458"/>
      <c r="AC50" s="412"/>
      <c r="AD50" s="812"/>
      <c r="AE50" s="776"/>
      <c r="AF50" s="776"/>
      <c r="AG50" s="777"/>
      <c r="AH50" s="776"/>
      <c r="AI50" s="777"/>
    </row>
    <row r="51" spans="1:35" ht="12.75" hidden="1" thickBot="1">
      <c r="A51" s="910"/>
      <c r="B51" s="911"/>
      <c r="C51" s="456"/>
      <c r="D51" s="456"/>
      <c r="E51" s="456"/>
      <c r="F51" s="456"/>
      <c r="G51" s="456"/>
      <c r="H51" s="456"/>
      <c r="I51" s="456"/>
      <c r="J51" s="456"/>
      <c r="K51" s="456"/>
      <c r="L51" s="456"/>
      <c r="M51" s="456"/>
      <c r="N51" s="912"/>
      <c r="O51" s="913"/>
      <c r="P51" s="914"/>
      <c r="Q51" s="911"/>
      <c r="R51" s="456"/>
      <c r="S51" s="456"/>
      <c r="T51" s="456"/>
      <c r="U51" s="456"/>
      <c r="V51" s="456"/>
      <c r="W51" s="456"/>
      <c r="X51" s="456"/>
      <c r="Y51" s="456"/>
      <c r="Z51" s="456"/>
      <c r="AA51" s="456"/>
      <c r="AB51" s="456"/>
      <c r="AC51" s="912"/>
      <c r="AD51" s="913"/>
      <c r="AE51" s="914"/>
      <c r="AF51" s="914"/>
      <c r="AG51" s="911"/>
      <c r="AH51" s="914"/>
      <c r="AI51" s="911"/>
    </row>
    <row r="52" spans="1:35" ht="12.75" thickBot="1">
      <c r="A52" s="915" t="s">
        <v>0</v>
      </c>
      <c r="B52" s="916"/>
      <c r="C52" s="455"/>
      <c r="D52" s="917"/>
      <c r="E52" s="917"/>
      <c r="F52" s="917"/>
      <c r="G52" s="917"/>
      <c r="H52" s="917"/>
      <c r="I52" s="917"/>
      <c r="J52" s="917"/>
      <c r="K52" s="917"/>
      <c r="L52" s="917"/>
      <c r="M52" s="917"/>
      <c r="N52" s="918"/>
      <c r="O52" s="919"/>
      <c r="P52" s="920"/>
      <c r="Q52" s="921"/>
      <c r="R52" s="455"/>
      <c r="S52" s="917"/>
      <c r="T52" s="917"/>
      <c r="U52" s="917"/>
      <c r="V52" s="917"/>
      <c r="W52" s="917"/>
      <c r="X52" s="917"/>
      <c r="Y52" s="917"/>
      <c r="Z52" s="917"/>
      <c r="AA52" s="917"/>
      <c r="AB52" s="917"/>
      <c r="AC52" s="918"/>
      <c r="AD52" s="919"/>
      <c r="AE52" s="920"/>
      <c r="AF52" s="920"/>
      <c r="AG52" s="921"/>
      <c r="AH52" s="920"/>
      <c r="AI52" s="921"/>
    </row>
    <row r="53" spans="1:35">
      <c r="A53" s="265" t="s">
        <v>64</v>
      </c>
    </row>
    <row r="54" spans="1:35">
      <c r="A54" s="445" t="s">
        <v>65</v>
      </c>
      <c r="B54" s="265" t="s">
        <v>152</v>
      </c>
    </row>
    <row r="55" spans="1:35">
      <c r="A55" s="445" t="s">
        <v>66</v>
      </c>
      <c r="B55" s="265" t="s">
        <v>67</v>
      </c>
    </row>
    <row r="56" spans="1:35">
      <c r="A56" s="445" t="s">
        <v>68</v>
      </c>
      <c r="B56" s="265" t="s">
        <v>69</v>
      </c>
    </row>
    <row r="57" spans="1:35">
      <c r="A57" s="445" t="s">
        <v>70</v>
      </c>
      <c r="B57" s="265" t="s">
        <v>71</v>
      </c>
    </row>
    <row r="58" spans="1:35">
      <c r="A58" s="445"/>
      <c r="B58" s="265" t="s">
        <v>72</v>
      </c>
    </row>
    <row r="59" spans="1:35" ht="24">
      <c r="A59" s="445" t="s">
        <v>73</v>
      </c>
      <c r="B59" s="2028" t="s">
        <v>143</v>
      </c>
      <c r="C59" s="2028"/>
      <c r="D59" s="2028"/>
      <c r="E59" s="2028"/>
      <c r="F59" s="2028"/>
      <c r="G59" s="2028"/>
      <c r="H59" s="2028"/>
      <c r="I59" s="2028"/>
      <c r="J59" s="2028"/>
      <c r="K59" s="2028"/>
      <c r="L59" s="2028"/>
      <c r="M59" s="2028"/>
      <c r="N59" s="2028"/>
      <c r="O59" s="2028"/>
      <c r="P59" s="2028"/>
      <c r="Q59" s="2028"/>
      <c r="R59" s="2028"/>
      <c r="S59" s="2028"/>
      <c r="T59" s="2028"/>
      <c r="U59" s="2028"/>
      <c r="V59" s="2028"/>
      <c r="W59" s="2028"/>
      <c r="X59" s="2028"/>
      <c r="Y59" s="2028"/>
      <c r="Z59" s="2028"/>
      <c r="AA59" s="2028"/>
      <c r="AB59" s="2028"/>
      <c r="AC59" s="2028"/>
      <c r="AD59" s="2028"/>
      <c r="AE59" s="2028"/>
      <c r="AF59" s="2028"/>
      <c r="AG59" s="2028"/>
      <c r="AH59" s="2028"/>
      <c r="AI59" s="2028"/>
    </row>
    <row r="60" spans="1:35">
      <c r="A60" s="445"/>
      <c r="B60" s="265" t="s">
        <v>74</v>
      </c>
    </row>
    <row r="61" spans="1:35">
      <c r="A61" s="445"/>
      <c r="B61" s="265" t="s">
        <v>75</v>
      </c>
    </row>
    <row r="62" spans="1:35">
      <c r="A62" s="445"/>
      <c r="B62" s="265" t="s">
        <v>76</v>
      </c>
    </row>
    <row r="63" spans="1:35">
      <c r="A63" s="445" t="s">
        <v>177</v>
      </c>
      <c r="B63" s="265" t="s">
        <v>178</v>
      </c>
    </row>
    <row r="64" spans="1:35" ht="36">
      <c r="A64" s="445" t="s">
        <v>179</v>
      </c>
      <c r="B64" s="265" t="s">
        <v>148</v>
      </c>
    </row>
    <row r="65" spans="1:35" ht="24">
      <c r="A65" s="445" t="s">
        <v>180</v>
      </c>
      <c r="B65" s="2028" t="s">
        <v>144</v>
      </c>
      <c r="C65" s="2028"/>
      <c r="D65" s="2028"/>
      <c r="E65" s="2028"/>
      <c r="F65" s="2028"/>
      <c r="G65" s="2028"/>
      <c r="H65" s="2028"/>
      <c r="I65" s="2028"/>
      <c r="J65" s="2028"/>
      <c r="K65" s="2028"/>
      <c r="L65" s="2028"/>
      <c r="M65" s="2028"/>
      <c r="N65" s="2028"/>
      <c r="O65" s="2028"/>
      <c r="P65" s="2028"/>
      <c r="Q65" s="2028"/>
      <c r="R65" s="2028"/>
      <c r="S65" s="2028"/>
      <c r="T65" s="2028"/>
      <c r="U65" s="2028"/>
      <c r="V65" s="2028"/>
      <c r="W65" s="2028"/>
      <c r="X65" s="2028"/>
      <c r="Y65" s="2028"/>
      <c r="Z65" s="2028"/>
      <c r="AA65" s="2028"/>
      <c r="AB65" s="2028"/>
      <c r="AC65" s="2028"/>
      <c r="AD65" s="2028"/>
      <c r="AE65" s="2028"/>
      <c r="AF65" s="2028"/>
      <c r="AG65" s="2028"/>
      <c r="AH65" s="2028"/>
      <c r="AI65" s="2028"/>
    </row>
    <row r="66" spans="1:35">
      <c r="A66" s="445"/>
      <c r="B66" s="265" t="s">
        <v>74</v>
      </c>
    </row>
    <row r="67" spans="1:35">
      <c r="A67" s="445"/>
      <c r="B67" s="265" t="s">
        <v>75</v>
      </c>
    </row>
    <row r="68" spans="1:35">
      <c r="A68" s="445"/>
      <c r="B68" s="265" t="s">
        <v>112</v>
      </c>
    </row>
    <row r="69" spans="1:35" ht="24">
      <c r="A69" s="445" t="s">
        <v>189</v>
      </c>
      <c r="B69" s="265" t="s">
        <v>190</v>
      </c>
    </row>
    <row r="70" spans="1:35" ht="24">
      <c r="A70" s="445" t="s">
        <v>187</v>
      </c>
      <c r="B70" s="265" t="s">
        <v>183</v>
      </c>
    </row>
    <row r="71" spans="1:35">
      <c r="A71" s="445" t="s">
        <v>188</v>
      </c>
      <c r="B71" s="265" t="s">
        <v>191</v>
      </c>
    </row>
  </sheetData>
  <mergeCells count="7">
    <mergeCell ref="B65:AI65"/>
    <mergeCell ref="A5:A7"/>
    <mergeCell ref="B5:P5"/>
    <mergeCell ref="Q5:AE5"/>
    <mergeCell ref="AF5:AG5"/>
    <mergeCell ref="AH5:AI5"/>
    <mergeCell ref="B59:AI59"/>
  </mergeCells>
  <printOptions horizontalCentered="1"/>
  <pageMargins left="0.19685039370078741" right="0.19685039370078741" top="0.78740157480314965" bottom="0.78740157480314965" header="0.19685039370078741" footer="0.19685039370078741"/>
  <pageSetup paperSize="9" scale="79"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2060"/>
  </sheetPr>
  <dimension ref="A1:AI71"/>
  <sheetViews>
    <sheetView view="pageBreakPreview" zoomScaleNormal="100" zoomScaleSheetLayoutView="100" workbookViewId="0">
      <selection activeCell="B8" sqref="B8"/>
    </sheetView>
  </sheetViews>
  <sheetFormatPr baseColWidth="10" defaultColWidth="11.42578125" defaultRowHeight="12"/>
  <cols>
    <col min="1" max="1" width="23.7109375" style="265" customWidth="1"/>
    <col min="2" max="2" width="8.7109375" style="265" customWidth="1"/>
    <col min="3" max="3" width="5.42578125" style="265" bestFit="1" customWidth="1"/>
    <col min="4" max="5" width="3.140625" style="265" bestFit="1" customWidth="1"/>
    <col min="6" max="6" width="5.42578125" style="265" bestFit="1" customWidth="1"/>
    <col min="7" max="9" width="3.140625" style="265" bestFit="1" customWidth="1"/>
    <col min="10" max="15" width="5.42578125" style="265" bestFit="1" customWidth="1"/>
    <col min="16" max="16" width="4.140625" style="265" bestFit="1" customWidth="1"/>
    <col min="17" max="17" width="3.140625" style="265" bestFit="1" customWidth="1"/>
    <col min="18" max="18" width="5.42578125" style="265" bestFit="1" customWidth="1"/>
    <col min="19" max="20" width="3.140625" style="265" bestFit="1" customWidth="1"/>
    <col min="21" max="21" width="5.42578125" style="265" bestFit="1" customWidth="1"/>
    <col min="22" max="24" width="3.140625" style="265" bestFit="1" customWidth="1"/>
    <col min="25" max="30" width="5.42578125" style="265" bestFit="1" customWidth="1"/>
    <col min="31" max="31" width="7.7109375" style="265" bestFit="1" customWidth="1"/>
    <col min="32" max="32" width="5.42578125" style="265" bestFit="1" customWidth="1"/>
    <col min="33" max="34" width="3.140625" style="265" bestFit="1" customWidth="1"/>
    <col min="35" max="35" width="7.7109375" style="265" bestFit="1" customWidth="1"/>
    <col min="36" max="16384" width="11.42578125" style="265"/>
  </cols>
  <sheetData>
    <row r="1" spans="1:35" s="743" customFormat="1">
      <c r="A1" s="742" t="s">
        <v>465</v>
      </c>
    </row>
    <row r="2" spans="1:35" s="743" customFormat="1">
      <c r="A2" s="69" t="s">
        <v>1655</v>
      </c>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row>
    <row r="3" spans="1:35" s="742" customFormat="1">
      <c r="A3" s="742" t="s">
        <v>4969</v>
      </c>
      <c r="T3" s="745"/>
    </row>
    <row r="4" spans="1:35" s="742" customFormat="1" ht="12.75" thickBot="1">
      <c r="T4" s="745"/>
    </row>
    <row r="5" spans="1:35" ht="12.75" thickBot="1">
      <c r="A5" s="1992" t="s">
        <v>41</v>
      </c>
      <c r="B5" s="2021" t="s">
        <v>314</v>
      </c>
      <c r="C5" s="2021"/>
      <c r="D5" s="2021"/>
      <c r="E5" s="2021"/>
      <c r="F5" s="2021"/>
      <c r="G5" s="2021"/>
      <c r="H5" s="2021"/>
      <c r="I5" s="2021"/>
      <c r="J5" s="2021"/>
      <c r="K5" s="2021"/>
      <c r="L5" s="2021"/>
      <c r="M5" s="2021"/>
      <c r="N5" s="2021"/>
      <c r="O5" s="2021"/>
      <c r="P5" s="2021"/>
      <c r="Q5" s="2022" t="s">
        <v>462</v>
      </c>
      <c r="R5" s="2021"/>
      <c r="S5" s="2021"/>
      <c r="T5" s="2021"/>
      <c r="U5" s="2021"/>
      <c r="V5" s="2021"/>
      <c r="W5" s="2021"/>
      <c r="X5" s="2021"/>
      <c r="Y5" s="2021"/>
      <c r="Z5" s="2021"/>
      <c r="AA5" s="2021"/>
      <c r="AB5" s="2021"/>
      <c r="AC5" s="2021"/>
      <c r="AD5" s="2021"/>
      <c r="AE5" s="2023"/>
      <c r="AF5" s="2024" t="s">
        <v>463</v>
      </c>
      <c r="AG5" s="2025"/>
      <c r="AH5" s="2024" t="s">
        <v>464</v>
      </c>
      <c r="AI5" s="2025"/>
    </row>
    <row r="6" spans="1:35" ht="171">
      <c r="A6" s="2019"/>
      <c r="B6" s="130" t="s">
        <v>11</v>
      </c>
      <c r="C6" s="131" t="s">
        <v>137</v>
      </c>
      <c r="D6" s="132" t="s">
        <v>240</v>
      </c>
      <c r="E6" s="132" t="s">
        <v>139</v>
      </c>
      <c r="F6" s="132" t="s">
        <v>173</v>
      </c>
      <c r="G6" s="132" t="s">
        <v>174</v>
      </c>
      <c r="H6" s="132" t="s">
        <v>175</v>
      </c>
      <c r="I6" s="132" t="s">
        <v>176</v>
      </c>
      <c r="J6" s="132" t="s">
        <v>140</v>
      </c>
      <c r="K6" s="132" t="s">
        <v>141</v>
      </c>
      <c r="L6" s="132" t="s">
        <v>142</v>
      </c>
      <c r="M6" s="132" t="s">
        <v>172</v>
      </c>
      <c r="N6" s="133" t="s">
        <v>114</v>
      </c>
      <c r="O6" s="134" t="s">
        <v>147</v>
      </c>
      <c r="P6" s="135" t="s">
        <v>146</v>
      </c>
      <c r="Q6" s="130" t="s">
        <v>11</v>
      </c>
      <c r="R6" s="131" t="s">
        <v>137</v>
      </c>
      <c r="S6" s="132" t="s">
        <v>138</v>
      </c>
      <c r="T6" s="132" t="s">
        <v>139</v>
      </c>
      <c r="U6" s="132" t="s">
        <v>173</v>
      </c>
      <c r="V6" s="132" t="s">
        <v>174</v>
      </c>
      <c r="W6" s="132" t="s">
        <v>175</v>
      </c>
      <c r="X6" s="132" t="s">
        <v>176</v>
      </c>
      <c r="Y6" s="132" t="s">
        <v>140</v>
      </c>
      <c r="Z6" s="132" t="s">
        <v>141</v>
      </c>
      <c r="AA6" s="132" t="s">
        <v>142</v>
      </c>
      <c r="AB6" s="132" t="s">
        <v>172</v>
      </c>
      <c r="AC6" s="133" t="s">
        <v>114</v>
      </c>
      <c r="AD6" s="134" t="s">
        <v>147</v>
      </c>
      <c r="AE6" s="135" t="s">
        <v>315</v>
      </c>
      <c r="AF6" s="136" t="s">
        <v>151</v>
      </c>
      <c r="AG6" s="136" t="s">
        <v>150</v>
      </c>
      <c r="AH6" s="136" t="s">
        <v>11</v>
      </c>
      <c r="AI6" s="135" t="s">
        <v>316</v>
      </c>
    </row>
    <row r="7" spans="1:35" ht="15.75" customHeight="1" thickBot="1">
      <c r="A7" s="2020"/>
      <c r="B7" s="389" t="s">
        <v>42</v>
      </c>
      <c r="C7" s="805" t="s">
        <v>43</v>
      </c>
      <c r="D7" s="806" t="s">
        <v>44</v>
      </c>
      <c r="E7" s="806" t="s">
        <v>45</v>
      </c>
      <c r="F7" s="807" t="s">
        <v>46</v>
      </c>
      <c r="G7" s="807" t="s">
        <v>47</v>
      </c>
      <c r="H7" s="807" t="s">
        <v>77</v>
      </c>
      <c r="I7" s="807" t="s">
        <v>113</v>
      </c>
      <c r="J7" s="807" t="s">
        <v>145</v>
      </c>
      <c r="K7" s="807" t="s">
        <v>149</v>
      </c>
      <c r="L7" s="807" t="s">
        <v>181</v>
      </c>
      <c r="M7" s="807" t="s">
        <v>182</v>
      </c>
      <c r="N7" s="808" t="s">
        <v>184</v>
      </c>
      <c r="O7" s="809" t="s">
        <v>185</v>
      </c>
      <c r="P7" s="810" t="s">
        <v>186</v>
      </c>
      <c r="Q7" s="389" t="s">
        <v>42</v>
      </c>
      <c r="R7" s="805" t="s">
        <v>43</v>
      </c>
      <c r="S7" s="806" t="s">
        <v>44</v>
      </c>
      <c r="T7" s="806" t="s">
        <v>45</v>
      </c>
      <c r="U7" s="807" t="s">
        <v>46</v>
      </c>
      <c r="V7" s="807" t="s">
        <v>47</v>
      </c>
      <c r="W7" s="807" t="s">
        <v>77</v>
      </c>
      <c r="X7" s="807" t="s">
        <v>113</v>
      </c>
      <c r="Y7" s="807" t="s">
        <v>145</v>
      </c>
      <c r="Z7" s="807" t="s">
        <v>149</v>
      </c>
      <c r="AA7" s="807" t="s">
        <v>181</v>
      </c>
      <c r="AB7" s="807" t="s">
        <v>182</v>
      </c>
      <c r="AC7" s="808" t="s">
        <v>184</v>
      </c>
      <c r="AD7" s="809" t="s">
        <v>185</v>
      </c>
      <c r="AE7" s="810" t="s">
        <v>186</v>
      </c>
      <c r="AF7" s="754"/>
      <c r="AG7" s="389"/>
      <c r="AH7" s="754"/>
      <c r="AI7" s="389"/>
    </row>
    <row r="8" spans="1:35" hidden="1">
      <c r="A8" s="811"/>
      <c r="B8" s="777"/>
      <c r="C8" s="458"/>
      <c r="D8" s="458"/>
      <c r="E8" s="458"/>
      <c r="F8" s="458"/>
      <c r="G8" s="458"/>
      <c r="H8" s="458"/>
      <c r="I8" s="458"/>
      <c r="J8" s="458"/>
      <c r="K8" s="458"/>
      <c r="L8" s="458"/>
      <c r="M8" s="458"/>
      <c r="N8" s="412"/>
      <c r="O8" s="812"/>
      <c r="P8" s="776"/>
      <c r="Q8" s="777"/>
      <c r="R8" s="458"/>
      <c r="S8" s="458"/>
      <c r="T8" s="458"/>
      <c r="U8" s="458"/>
      <c r="V8" s="458"/>
      <c r="W8" s="458"/>
      <c r="X8" s="458"/>
      <c r="Y8" s="458"/>
      <c r="Z8" s="458"/>
      <c r="AA8" s="458"/>
      <c r="AB8" s="458"/>
      <c r="AC8" s="412"/>
      <c r="AD8" s="812"/>
      <c r="AE8" s="776"/>
      <c r="AF8" s="776"/>
      <c r="AG8" s="777"/>
      <c r="AH8" s="776"/>
      <c r="AI8" s="777"/>
    </row>
    <row r="9" spans="1:35">
      <c r="A9" s="1063" t="s">
        <v>48</v>
      </c>
      <c r="B9" s="777"/>
      <c r="C9" s="458"/>
      <c r="D9" s="458"/>
      <c r="E9" s="458"/>
      <c r="F9" s="458"/>
      <c r="G9" s="458"/>
      <c r="H9" s="458"/>
      <c r="I9" s="458"/>
      <c r="J9" s="458"/>
      <c r="K9" s="458"/>
      <c r="L9" s="458"/>
      <c r="M9" s="458"/>
      <c r="N9" s="412"/>
      <c r="O9" s="812"/>
      <c r="P9" s="776"/>
      <c r="Q9" s="777"/>
      <c r="R9" s="458"/>
      <c r="S9" s="458"/>
      <c r="T9" s="458"/>
      <c r="U9" s="458"/>
      <c r="V9" s="458"/>
      <c r="W9" s="458"/>
      <c r="X9" s="458"/>
      <c r="Y9" s="458"/>
      <c r="Z9" s="458"/>
      <c r="AA9" s="458"/>
      <c r="AB9" s="458"/>
      <c r="AC9" s="412"/>
      <c r="AD9" s="812"/>
      <c r="AE9" s="776"/>
      <c r="AF9" s="776"/>
      <c r="AG9" s="777"/>
      <c r="AH9" s="776"/>
      <c r="AI9" s="777"/>
    </row>
    <row r="10" spans="1:35" hidden="1">
      <c r="A10" s="1063" t="s">
        <v>49</v>
      </c>
      <c r="B10" s="777"/>
      <c r="C10" s="458"/>
      <c r="D10" s="458"/>
      <c r="E10" s="458"/>
      <c r="F10" s="458"/>
      <c r="G10" s="458"/>
      <c r="H10" s="458"/>
      <c r="I10" s="458"/>
      <c r="J10" s="458"/>
      <c r="K10" s="458"/>
      <c r="L10" s="458"/>
      <c r="M10" s="458"/>
      <c r="N10" s="412"/>
      <c r="O10" s="812"/>
      <c r="P10" s="776"/>
      <c r="Q10" s="777"/>
      <c r="R10" s="458"/>
      <c r="S10" s="458"/>
      <c r="T10" s="458"/>
      <c r="U10" s="458"/>
      <c r="V10" s="458"/>
      <c r="W10" s="458"/>
      <c r="X10" s="458"/>
      <c r="Y10" s="458"/>
      <c r="Z10" s="458"/>
      <c r="AA10" s="458"/>
      <c r="AB10" s="458"/>
      <c r="AC10" s="412"/>
      <c r="AD10" s="812"/>
      <c r="AE10" s="776"/>
      <c r="AF10" s="776"/>
      <c r="AG10" s="777"/>
      <c r="AH10" s="776"/>
      <c r="AI10" s="777"/>
    </row>
    <row r="11" spans="1:35" hidden="1">
      <c r="A11" s="1063" t="s">
        <v>49</v>
      </c>
      <c r="B11" s="777"/>
      <c r="C11" s="458"/>
      <c r="D11" s="458"/>
      <c r="E11" s="458"/>
      <c r="F11" s="458"/>
      <c r="G11" s="458"/>
      <c r="H11" s="458"/>
      <c r="I11" s="458"/>
      <c r="J11" s="458"/>
      <c r="K11" s="458"/>
      <c r="L11" s="458"/>
      <c r="M11" s="458"/>
      <c r="N11" s="412"/>
      <c r="O11" s="812"/>
      <c r="P11" s="776"/>
      <c r="Q11" s="777"/>
      <c r="R11" s="458"/>
      <c r="S11" s="458"/>
      <c r="T11" s="458"/>
      <c r="U11" s="458"/>
      <c r="V11" s="458"/>
      <c r="W11" s="458"/>
      <c r="X11" s="458"/>
      <c r="Y11" s="458"/>
      <c r="Z11" s="458"/>
      <c r="AA11" s="458"/>
      <c r="AB11" s="458"/>
      <c r="AC11" s="412"/>
      <c r="AD11" s="812"/>
      <c r="AE11" s="776"/>
      <c r="AF11" s="776"/>
      <c r="AG11" s="777"/>
      <c r="AH11" s="776"/>
      <c r="AI11" s="777"/>
    </row>
    <row r="12" spans="1:35" ht="22.5">
      <c r="A12" s="1063" t="s">
        <v>50</v>
      </c>
      <c r="B12" s="777"/>
      <c r="C12" s="458"/>
      <c r="D12" s="458"/>
      <c r="E12" s="458"/>
      <c r="F12" s="458"/>
      <c r="G12" s="458"/>
      <c r="H12" s="458"/>
      <c r="I12" s="458"/>
      <c r="J12" s="458"/>
      <c r="K12" s="458"/>
      <c r="L12" s="458"/>
      <c r="M12" s="458"/>
      <c r="N12" s="412"/>
      <c r="O12" s="812"/>
      <c r="P12" s="776"/>
      <c r="Q12" s="777"/>
      <c r="R12" s="458"/>
      <c r="S12" s="458"/>
      <c r="T12" s="458"/>
      <c r="U12" s="458"/>
      <c r="V12" s="458"/>
      <c r="W12" s="458"/>
      <c r="X12" s="458"/>
      <c r="Y12" s="458"/>
      <c r="Z12" s="458"/>
      <c r="AA12" s="458"/>
      <c r="AB12" s="458"/>
      <c r="AC12" s="412"/>
      <c r="AD12" s="812"/>
      <c r="AE12" s="776"/>
      <c r="AF12" s="776"/>
      <c r="AG12" s="777"/>
      <c r="AH12" s="776"/>
      <c r="AI12" s="777"/>
    </row>
    <row r="13" spans="1:35" hidden="1">
      <c r="A13" s="1063" t="s">
        <v>49</v>
      </c>
      <c r="B13" s="777"/>
      <c r="C13" s="458"/>
      <c r="D13" s="458"/>
      <c r="E13" s="458"/>
      <c r="F13" s="458"/>
      <c r="G13" s="458"/>
      <c r="H13" s="458"/>
      <c r="I13" s="458"/>
      <c r="J13" s="458"/>
      <c r="K13" s="458"/>
      <c r="L13" s="458"/>
      <c r="M13" s="458"/>
      <c r="N13" s="412"/>
      <c r="O13" s="812"/>
      <c r="P13" s="776"/>
      <c r="Q13" s="777"/>
      <c r="R13" s="458"/>
      <c r="S13" s="458"/>
      <c r="T13" s="458"/>
      <c r="U13" s="458"/>
      <c r="V13" s="458"/>
      <c r="W13" s="458"/>
      <c r="X13" s="458"/>
      <c r="Y13" s="458"/>
      <c r="Z13" s="458"/>
      <c r="AA13" s="458"/>
      <c r="AB13" s="458"/>
      <c r="AC13" s="412"/>
      <c r="AD13" s="812"/>
      <c r="AE13" s="776"/>
      <c r="AF13" s="776"/>
      <c r="AG13" s="777"/>
      <c r="AH13" s="776"/>
      <c r="AI13" s="777"/>
    </row>
    <row r="14" spans="1:35" hidden="1">
      <c r="A14" s="1063" t="s">
        <v>49</v>
      </c>
      <c r="B14" s="777"/>
      <c r="C14" s="458"/>
      <c r="D14" s="458"/>
      <c r="E14" s="458"/>
      <c r="F14" s="458"/>
      <c r="G14" s="458"/>
      <c r="H14" s="458"/>
      <c r="I14" s="458"/>
      <c r="J14" s="458"/>
      <c r="K14" s="458"/>
      <c r="L14" s="458"/>
      <c r="M14" s="458"/>
      <c r="N14" s="412"/>
      <c r="O14" s="812"/>
      <c r="P14" s="776"/>
      <c r="Q14" s="777"/>
      <c r="R14" s="458"/>
      <c r="S14" s="458"/>
      <c r="T14" s="458"/>
      <c r="U14" s="458"/>
      <c r="V14" s="458"/>
      <c r="W14" s="458"/>
      <c r="X14" s="458"/>
      <c r="Y14" s="458"/>
      <c r="Z14" s="458"/>
      <c r="AA14" s="458"/>
      <c r="AB14" s="458"/>
      <c r="AC14" s="412"/>
      <c r="AD14" s="812"/>
      <c r="AE14" s="776"/>
      <c r="AF14" s="776"/>
      <c r="AG14" s="777"/>
      <c r="AH14" s="776"/>
      <c r="AI14" s="777"/>
    </row>
    <row r="15" spans="1:35">
      <c r="A15" s="1063" t="s">
        <v>51</v>
      </c>
      <c r="B15" s="777"/>
      <c r="C15" s="458"/>
      <c r="D15" s="458"/>
      <c r="E15" s="458"/>
      <c r="F15" s="458"/>
      <c r="G15" s="458"/>
      <c r="H15" s="458"/>
      <c r="I15" s="458"/>
      <c r="J15" s="458"/>
      <c r="K15" s="458"/>
      <c r="L15" s="458"/>
      <c r="M15" s="458"/>
      <c r="N15" s="412"/>
      <c r="O15" s="812"/>
      <c r="P15" s="776"/>
      <c r="Q15" s="777"/>
      <c r="R15" s="458"/>
      <c r="S15" s="458"/>
      <c r="T15" s="458"/>
      <c r="U15" s="458"/>
      <c r="V15" s="458"/>
      <c r="W15" s="458"/>
      <c r="X15" s="458"/>
      <c r="Y15" s="458"/>
      <c r="Z15" s="458"/>
      <c r="AA15" s="458"/>
      <c r="AB15" s="458"/>
      <c r="AC15" s="412"/>
      <c r="AD15" s="812"/>
      <c r="AE15" s="776"/>
      <c r="AF15" s="776"/>
      <c r="AG15" s="777"/>
      <c r="AH15" s="776"/>
      <c r="AI15" s="777"/>
    </row>
    <row r="16" spans="1:35" hidden="1">
      <c r="A16" s="1063" t="s">
        <v>49</v>
      </c>
      <c r="B16" s="777"/>
      <c r="C16" s="458"/>
      <c r="D16" s="458"/>
      <c r="E16" s="458"/>
      <c r="F16" s="458"/>
      <c r="G16" s="458"/>
      <c r="H16" s="458"/>
      <c r="I16" s="458"/>
      <c r="J16" s="458"/>
      <c r="K16" s="458"/>
      <c r="L16" s="458"/>
      <c r="M16" s="458"/>
      <c r="N16" s="412"/>
      <c r="O16" s="812"/>
      <c r="P16" s="776"/>
      <c r="Q16" s="777"/>
      <c r="R16" s="458"/>
      <c r="S16" s="458"/>
      <c r="T16" s="458"/>
      <c r="U16" s="458"/>
      <c r="V16" s="458"/>
      <c r="W16" s="458"/>
      <c r="X16" s="458"/>
      <c r="Y16" s="458"/>
      <c r="Z16" s="458"/>
      <c r="AA16" s="458"/>
      <c r="AB16" s="458"/>
      <c r="AC16" s="412"/>
      <c r="AD16" s="812"/>
      <c r="AE16" s="776"/>
      <c r="AF16" s="776"/>
      <c r="AG16" s="777"/>
      <c r="AH16" s="776"/>
      <c r="AI16" s="777"/>
    </row>
    <row r="17" spans="1:35" hidden="1">
      <c r="A17" s="1063" t="s">
        <v>49</v>
      </c>
      <c r="B17" s="777"/>
      <c r="C17" s="458"/>
      <c r="D17" s="458"/>
      <c r="E17" s="458"/>
      <c r="F17" s="458"/>
      <c r="G17" s="458"/>
      <c r="H17" s="458"/>
      <c r="I17" s="458"/>
      <c r="J17" s="458"/>
      <c r="K17" s="458"/>
      <c r="L17" s="458"/>
      <c r="M17" s="458"/>
      <c r="N17" s="412"/>
      <c r="O17" s="812"/>
      <c r="P17" s="776"/>
      <c r="Q17" s="777"/>
      <c r="R17" s="458"/>
      <c r="S17" s="458"/>
      <c r="T17" s="458"/>
      <c r="U17" s="458"/>
      <c r="V17" s="458"/>
      <c r="W17" s="458"/>
      <c r="X17" s="458"/>
      <c r="Y17" s="458"/>
      <c r="Z17" s="458"/>
      <c r="AA17" s="458"/>
      <c r="AB17" s="458"/>
      <c r="AC17" s="412"/>
      <c r="AD17" s="812"/>
      <c r="AE17" s="776"/>
      <c r="AF17" s="776"/>
      <c r="AG17" s="777"/>
      <c r="AH17" s="776"/>
      <c r="AI17" s="777"/>
    </row>
    <row r="18" spans="1:35" ht="33.75">
      <c r="A18" s="1063" t="s">
        <v>52</v>
      </c>
      <c r="B18" s="777"/>
      <c r="C18" s="458"/>
      <c r="D18" s="458"/>
      <c r="E18" s="458"/>
      <c r="F18" s="458"/>
      <c r="G18" s="458"/>
      <c r="H18" s="458"/>
      <c r="I18" s="458"/>
      <c r="J18" s="458"/>
      <c r="K18" s="458"/>
      <c r="L18" s="458"/>
      <c r="M18" s="458"/>
      <c r="N18" s="412"/>
      <c r="O18" s="812"/>
      <c r="P18" s="776"/>
      <c r="Q18" s="777"/>
      <c r="R18" s="458"/>
      <c r="S18" s="458"/>
      <c r="T18" s="458"/>
      <c r="U18" s="458"/>
      <c r="V18" s="458"/>
      <c r="W18" s="458"/>
      <c r="X18" s="458"/>
      <c r="Y18" s="458"/>
      <c r="Z18" s="458"/>
      <c r="AA18" s="458"/>
      <c r="AB18" s="458"/>
      <c r="AC18" s="412"/>
      <c r="AD18" s="812"/>
      <c r="AE18" s="776"/>
      <c r="AF18" s="776"/>
      <c r="AG18" s="777"/>
      <c r="AH18" s="776"/>
      <c r="AI18" s="777"/>
    </row>
    <row r="19" spans="1:35" hidden="1">
      <c r="A19" s="1063" t="s">
        <v>49</v>
      </c>
      <c r="B19" s="777"/>
      <c r="C19" s="458"/>
      <c r="D19" s="458"/>
      <c r="E19" s="458"/>
      <c r="F19" s="458"/>
      <c r="G19" s="458"/>
      <c r="H19" s="458"/>
      <c r="I19" s="458"/>
      <c r="J19" s="458"/>
      <c r="K19" s="458"/>
      <c r="L19" s="458"/>
      <c r="M19" s="458"/>
      <c r="N19" s="412"/>
      <c r="O19" s="812"/>
      <c r="P19" s="776"/>
      <c r="Q19" s="777"/>
      <c r="R19" s="458"/>
      <c r="S19" s="458"/>
      <c r="T19" s="458"/>
      <c r="U19" s="458"/>
      <c r="V19" s="458"/>
      <c r="W19" s="458"/>
      <c r="X19" s="458"/>
      <c r="Y19" s="458"/>
      <c r="Z19" s="458"/>
      <c r="AA19" s="458"/>
      <c r="AB19" s="458"/>
      <c r="AC19" s="412"/>
      <c r="AD19" s="812"/>
      <c r="AE19" s="776"/>
      <c r="AF19" s="776"/>
      <c r="AG19" s="777"/>
      <c r="AH19" s="776"/>
      <c r="AI19" s="777"/>
    </row>
    <row r="20" spans="1:35" hidden="1">
      <c r="A20" s="1063" t="s">
        <v>49</v>
      </c>
      <c r="B20" s="777"/>
      <c r="C20" s="458"/>
      <c r="D20" s="458"/>
      <c r="E20" s="458"/>
      <c r="F20" s="458"/>
      <c r="G20" s="458"/>
      <c r="H20" s="458"/>
      <c r="I20" s="458"/>
      <c r="J20" s="458"/>
      <c r="K20" s="458"/>
      <c r="L20" s="458"/>
      <c r="M20" s="458"/>
      <c r="N20" s="412"/>
      <c r="O20" s="812"/>
      <c r="P20" s="776"/>
      <c r="Q20" s="777"/>
      <c r="R20" s="458"/>
      <c r="S20" s="458"/>
      <c r="T20" s="458"/>
      <c r="U20" s="458"/>
      <c r="V20" s="458"/>
      <c r="W20" s="458"/>
      <c r="X20" s="458"/>
      <c r="Y20" s="458"/>
      <c r="Z20" s="458"/>
      <c r="AA20" s="458"/>
      <c r="AB20" s="458"/>
      <c r="AC20" s="412"/>
      <c r="AD20" s="812"/>
      <c r="AE20" s="776"/>
      <c r="AF20" s="776"/>
      <c r="AG20" s="777"/>
      <c r="AH20" s="776"/>
      <c r="AI20" s="777"/>
    </row>
    <row r="21" spans="1:35">
      <c r="A21" s="1063" t="s">
        <v>53</v>
      </c>
      <c r="B21" s="777"/>
      <c r="C21" s="458"/>
      <c r="D21" s="458"/>
      <c r="E21" s="458"/>
      <c r="F21" s="458"/>
      <c r="G21" s="458"/>
      <c r="H21" s="458"/>
      <c r="I21" s="458"/>
      <c r="J21" s="458"/>
      <c r="K21" s="458"/>
      <c r="L21" s="458"/>
      <c r="M21" s="458"/>
      <c r="N21" s="412"/>
      <c r="O21" s="812"/>
      <c r="P21" s="776"/>
      <c r="Q21" s="777"/>
      <c r="R21" s="458"/>
      <c r="S21" s="458"/>
      <c r="T21" s="458"/>
      <c r="U21" s="458"/>
      <c r="V21" s="458"/>
      <c r="W21" s="458"/>
      <c r="X21" s="458"/>
      <c r="Y21" s="458"/>
      <c r="Z21" s="458"/>
      <c r="AA21" s="458"/>
      <c r="AB21" s="458"/>
      <c r="AC21" s="412"/>
      <c r="AD21" s="812"/>
      <c r="AE21" s="776"/>
      <c r="AF21" s="776"/>
      <c r="AG21" s="777"/>
      <c r="AH21" s="776"/>
      <c r="AI21" s="777"/>
    </row>
    <row r="22" spans="1:35" hidden="1">
      <c r="A22" s="1063" t="s">
        <v>49</v>
      </c>
      <c r="B22" s="777"/>
      <c r="C22" s="458"/>
      <c r="D22" s="458"/>
      <c r="E22" s="458"/>
      <c r="F22" s="458"/>
      <c r="G22" s="458"/>
      <c r="H22" s="458"/>
      <c r="I22" s="458"/>
      <c r="J22" s="458"/>
      <c r="K22" s="458"/>
      <c r="L22" s="458"/>
      <c r="M22" s="458"/>
      <c r="N22" s="412"/>
      <c r="O22" s="812"/>
      <c r="P22" s="776"/>
      <c r="Q22" s="777"/>
      <c r="R22" s="458"/>
      <c r="S22" s="458"/>
      <c r="T22" s="458"/>
      <c r="U22" s="458"/>
      <c r="V22" s="458"/>
      <c r="W22" s="458"/>
      <c r="X22" s="458"/>
      <c r="Y22" s="458"/>
      <c r="Z22" s="458"/>
      <c r="AA22" s="458"/>
      <c r="AB22" s="458"/>
      <c r="AC22" s="412"/>
      <c r="AD22" s="812"/>
      <c r="AE22" s="776"/>
      <c r="AF22" s="776"/>
      <c r="AG22" s="777"/>
      <c r="AH22" s="776"/>
      <c r="AI22" s="777"/>
    </row>
    <row r="23" spans="1:35" hidden="1">
      <c r="A23" s="1063" t="s">
        <v>49</v>
      </c>
      <c r="B23" s="777"/>
      <c r="C23" s="458"/>
      <c r="D23" s="458"/>
      <c r="E23" s="458"/>
      <c r="F23" s="458"/>
      <c r="G23" s="458"/>
      <c r="H23" s="458"/>
      <c r="I23" s="458"/>
      <c r="J23" s="458"/>
      <c r="K23" s="458"/>
      <c r="L23" s="458"/>
      <c r="M23" s="458"/>
      <c r="N23" s="412"/>
      <c r="O23" s="812"/>
      <c r="P23" s="776"/>
      <c r="Q23" s="777"/>
      <c r="R23" s="458"/>
      <c r="S23" s="458"/>
      <c r="T23" s="458"/>
      <c r="U23" s="458"/>
      <c r="V23" s="458"/>
      <c r="W23" s="458"/>
      <c r="X23" s="458"/>
      <c r="Y23" s="458"/>
      <c r="Z23" s="458"/>
      <c r="AA23" s="458"/>
      <c r="AB23" s="458"/>
      <c r="AC23" s="412"/>
      <c r="AD23" s="812"/>
      <c r="AE23" s="776"/>
      <c r="AF23" s="776"/>
      <c r="AG23" s="777"/>
      <c r="AH23" s="776"/>
      <c r="AI23" s="777"/>
    </row>
    <row r="24" spans="1:35">
      <c r="A24" s="1063" t="s">
        <v>54</v>
      </c>
      <c r="B24" s="777"/>
      <c r="C24" s="458"/>
      <c r="D24" s="458"/>
      <c r="E24" s="458"/>
      <c r="F24" s="458"/>
      <c r="G24" s="458"/>
      <c r="H24" s="458"/>
      <c r="I24" s="458"/>
      <c r="J24" s="458"/>
      <c r="K24" s="458"/>
      <c r="L24" s="458"/>
      <c r="M24" s="458"/>
      <c r="N24" s="412"/>
      <c r="O24" s="812"/>
      <c r="P24" s="776"/>
      <c r="Q24" s="777"/>
      <c r="R24" s="458"/>
      <c r="S24" s="458"/>
      <c r="T24" s="458"/>
      <c r="U24" s="458"/>
      <c r="V24" s="458"/>
      <c r="W24" s="458"/>
      <c r="X24" s="458"/>
      <c r="Y24" s="458"/>
      <c r="Z24" s="458"/>
      <c r="AA24" s="458"/>
      <c r="AB24" s="458"/>
      <c r="AC24" s="412"/>
      <c r="AD24" s="812"/>
      <c r="AE24" s="776"/>
      <c r="AF24" s="776"/>
      <c r="AG24" s="777"/>
      <c r="AH24" s="776"/>
      <c r="AI24" s="777"/>
    </row>
    <row r="25" spans="1:35" hidden="1">
      <c r="A25" s="1063" t="s">
        <v>49</v>
      </c>
      <c r="B25" s="777"/>
      <c r="C25" s="458"/>
      <c r="D25" s="458"/>
      <c r="E25" s="458"/>
      <c r="F25" s="458"/>
      <c r="G25" s="458"/>
      <c r="H25" s="458"/>
      <c r="I25" s="458"/>
      <c r="J25" s="458"/>
      <c r="K25" s="458"/>
      <c r="L25" s="458"/>
      <c r="M25" s="458"/>
      <c r="N25" s="412"/>
      <c r="O25" s="812"/>
      <c r="P25" s="776"/>
      <c r="Q25" s="777"/>
      <c r="R25" s="458"/>
      <c r="S25" s="458"/>
      <c r="T25" s="458"/>
      <c r="U25" s="458"/>
      <c r="V25" s="458"/>
      <c r="W25" s="458"/>
      <c r="X25" s="458"/>
      <c r="Y25" s="458"/>
      <c r="Z25" s="458"/>
      <c r="AA25" s="458"/>
      <c r="AB25" s="458"/>
      <c r="AC25" s="412"/>
      <c r="AD25" s="812"/>
      <c r="AE25" s="776"/>
      <c r="AF25" s="776"/>
      <c r="AG25" s="777"/>
      <c r="AH25" s="776"/>
      <c r="AI25" s="777"/>
    </row>
    <row r="26" spans="1:35" hidden="1">
      <c r="A26" s="1063" t="s">
        <v>49</v>
      </c>
      <c r="B26" s="777"/>
      <c r="C26" s="458"/>
      <c r="D26" s="458"/>
      <c r="E26" s="458"/>
      <c r="F26" s="458"/>
      <c r="G26" s="458"/>
      <c r="H26" s="458"/>
      <c r="I26" s="458"/>
      <c r="J26" s="458"/>
      <c r="K26" s="458"/>
      <c r="L26" s="458"/>
      <c r="M26" s="458"/>
      <c r="N26" s="412"/>
      <c r="O26" s="812"/>
      <c r="P26" s="776"/>
      <c r="Q26" s="777"/>
      <c r="R26" s="458"/>
      <c r="S26" s="458"/>
      <c r="T26" s="458"/>
      <c r="U26" s="458"/>
      <c r="V26" s="458"/>
      <c r="W26" s="458"/>
      <c r="X26" s="458"/>
      <c r="Y26" s="458"/>
      <c r="Z26" s="458"/>
      <c r="AA26" s="458"/>
      <c r="AB26" s="458"/>
      <c r="AC26" s="412"/>
      <c r="AD26" s="812"/>
      <c r="AE26" s="776"/>
      <c r="AF26" s="776"/>
      <c r="AG26" s="777"/>
      <c r="AH26" s="776"/>
      <c r="AI26" s="777"/>
    </row>
    <row r="27" spans="1:35" ht="22.5">
      <c r="A27" s="1063" t="s">
        <v>55</v>
      </c>
      <c r="B27" s="777"/>
      <c r="C27" s="458"/>
      <c r="D27" s="458"/>
      <c r="E27" s="458"/>
      <c r="F27" s="458"/>
      <c r="G27" s="458"/>
      <c r="H27" s="458"/>
      <c r="I27" s="458"/>
      <c r="J27" s="458"/>
      <c r="K27" s="458"/>
      <c r="L27" s="458"/>
      <c r="M27" s="458"/>
      <c r="N27" s="412"/>
      <c r="O27" s="812"/>
      <c r="P27" s="776"/>
      <c r="Q27" s="777"/>
      <c r="R27" s="458"/>
      <c r="S27" s="458"/>
      <c r="T27" s="458"/>
      <c r="U27" s="458"/>
      <c r="V27" s="458"/>
      <c r="W27" s="458"/>
      <c r="X27" s="458"/>
      <c r="Y27" s="458"/>
      <c r="Z27" s="458"/>
      <c r="AA27" s="458"/>
      <c r="AB27" s="458"/>
      <c r="AC27" s="412"/>
      <c r="AD27" s="812"/>
      <c r="AE27" s="776"/>
      <c r="AF27" s="776"/>
      <c r="AG27" s="777"/>
      <c r="AH27" s="776"/>
      <c r="AI27" s="777"/>
    </row>
    <row r="28" spans="1:35" hidden="1">
      <c r="A28" s="1063" t="s">
        <v>49</v>
      </c>
      <c r="B28" s="777"/>
      <c r="C28" s="458"/>
      <c r="D28" s="458"/>
      <c r="E28" s="458"/>
      <c r="F28" s="458"/>
      <c r="G28" s="458"/>
      <c r="H28" s="458"/>
      <c r="I28" s="458"/>
      <c r="J28" s="458"/>
      <c r="K28" s="458"/>
      <c r="L28" s="458"/>
      <c r="M28" s="458"/>
      <c r="N28" s="412"/>
      <c r="O28" s="812"/>
      <c r="P28" s="776"/>
      <c r="Q28" s="777"/>
      <c r="R28" s="458"/>
      <c r="S28" s="458"/>
      <c r="T28" s="458"/>
      <c r="U28" s="458"/>
      <c r="V28" s="458"/>
      <c r="W28" s="458"/>
      <c r="X28" s="458"/>
      <c r="Y28" s="458"/>
      <c r="Z28" s="458"/>
      <c r="AA28" s="458"/>
      <c r="AB28" s="458"/>
      <c r="AC28" s="412"/>
      <c r="AD28" s="812"/>
      <c r="AE28" s="776"/>
      <c r="AF28" s="776"/>
      <c r="AG28" s="777"/>
      <c r="AH28" s="776"/>
      <c r="AI28" s="777"/>
    </row>
    <row r="29" spans="1:35" hidden="1">
      <c r="A29" s="1063" t="s">
        <v>49</v>
      </c>
      <c r="B29" s="777"/>
      <c r="C29" s="458"/>
      <c r="D29" s="458"/>
      <c r="E29" s="458"/>
      <c r="F29" s="458"/>
      <c r="G29" s="458"/>
      <c r="H29" s="458"/>
      <c r="I29" s="458"/>
      <c r="J29" s="458"/>
      <c r="K29" s="458"/>
      <c r="L29" s="458"/>
      <c r="M29" s="458"/>
      <c r="N29" s="412"/>
      <c r="O29" s="812"/>
      <c r="P29" s="776"/>
      <c r="Q29" s="777"/>
      <c r="R29" s="458"/>
      <c r="S29" s="458"/>
      <c r="T29" s="458"/>
      <c r="U29" s="458"/>
      <c r="V29" s="458"/>
      <c r="W29" s="458"/>
      <c r="X29" s="458"/>
      <c r="Y29" s="458"/>
      <c r="Z29" s="458"/>
      <c r="AA29" s="458"/>
      <c r="AB29" s="458"/>
      <c r="AC29" s="412"/>
      <c r="AD29" s="812"/>
      <c r="AE29" s="776"/>
      <c r="AF29" s="776"/>
      <c r="AG29" s="777"/>
      <c r="AH29" s="776"/>
      <c r="AI29" s="777"/>
    </row>
    <row r="30" spans="1:35">
      <c r="A30" s="1063" t="s">
        <v>56</v>
      </c>
      <c r="B30" s="777"/>
      <c r="C30" s="458"/>
      <c r="D30" s="458"/>
      <c r="E30" s="458"/>
      <c r="F30" s="458"/>
      <c r="G30" s="458"/>
      <c r="H30" s="458"/>
      <c r="I30" s="458"/>
      <c r="J30" s="458"/>
      <c r="K30" s="458"/>
      <c r="L30" s="458"/>
      <c r="M30" s="458"/>
      <c r="N30" s="412"/>
      <c r="O30" s="812"/>
      <c r="P30" s="776"/>
      <c r="Q30" s="777"/>
      <c r="R30" s="458"/>
      <c r="S30" s="458"/>
      <c r="T30" s="458"/>
      <c r="U30" s="458"/>
      <c r="V30" s="458"/>
      <c r="W30" s="458"/>
      <c r="X30" s="458"/>
      <c r="Y30" s="458"/>
      <c r="Z30" s="458"/>
      <c r="AA30" s="458"/>
      <c r="AB30" s="458"/>
      <c r="AC30" s="412"/>
      <c r="AD30" s="812"/>
      <c r="AE30" s="776"/>
      <c r="AF30" s="776"/>
      <c r="AG30" s="777"/>
      <c r="AH30" s="776"/>
      <c r="AI30" s="777"/>
    </row>
    <row r="31" spans="1:35" hidden="1">
      <c r="A31" s="1063" t="s">
        <v>49</v>
      </c>
      <c r="B31" s="777"/>
      <c r="C31" s="458"/>
      <c r="D31" s="458"/>
      <c r="E31" s="458"/>
      <c r="F31" s="458"/>
      <c r="G31" s="458"/>
      <c r="H31" s="458"/>
      <c r="I31" s="458"/>
      <c r="J31" s="458"/>
      <c r="K31" s="458"/>
      <c r="L31" s="458"/>
      <c r="M31" s="458"/>
      <c r="N31" s="412"/>
      <c r="O31" s="812"/>
      <c r="P31" s="776"/>
      <c r="Q31" s="777"/>
      <c r="R31" s="458"/>
      <c r="S31" s="458"/>
      <c r="T31" s="458"/>
      <c r="U31" s="458"/>
      <c r="V31" s="458"/>
      <c r="W31" s="458"/>
      <c r="X31" s="458"/>
      <c r="Y31" s="458"/>
      <c r="Z31" s="458"/>
      <c r="AA31" s="458"/>
      <c r="AB31" s="458"/>
      <c r="AC31" s="412"/>
      <c r="AD31" s="812"/>
      <c r="AE31" s="776"/>
      <c r="AF31" s="776"/>
      <c r="AG31" s="777"/>
      <c r="AH31" s="776"/>
      <c r="AI31" s="777"/>
    </row>
    <row r="32" spans="1:35" hidden="1">
      <c r="A32" s="1063" t="s">
        <v>49</v>
      </c>
      <c r="B32" s="777"/>
      <c r="C32" s="458"/>
      <c r="D32" s="458"/>
      <c r="E32" s="458"/>
      <c r="F32" s="458"/>
      <c r="G32" s="458"/>
      <c r="H32" s="458"/>
      <c r="I32" s="458"/>
      <c r="J32" s="458"/>
      <c r="K32" s="458"/>
      <c r="L32" s="458"/>
      <c r="M32" s="458"/>
      <c r="N32" s="412"/>
      <c r="O32" s="812"/>
      <c r="P32" s="776"/>
      <c r="Q32" s="777"/>
      <c r="R32" s="458"/>
      <c r="S32" s="458"/>
      <c r="T32" s="458"/>
      <c r="U32" s="458"/>
      <c r="V32" s="458"/>
      <c r="W32" s="458"/>
      <c r="X32" s="458"/>
      <c r="Y32" s="458"/>
      <c r="Z32" s="458"/>
      <c r="AA32" s="458"/>
      <c r="AB32" s="458"/>
      <c r="AC32" s="412"/>
      <c r="AD32" s="812"/>
      <c r="AE32" s="776"/>
      <c r="AF32" s="776"/>
      <c r="AG32" s="777"/>
      <c r="AH32" s="776"/>
      <c r="AI32" s="777"/>
    </row>
    <row r="33" spans="1:35">
      <c r="A33" s="1063" t="s">
        <v>57</v>
      </c>
      <c r="B33" s="777"/>
      <c r="C33" s="458"/>
      <c r="D33" s="458"/>
      <c r="E33" s="458"/>
      <c r="F33" s="458"/>
      <c r="G33" s="458"/>
      <c r="H33" s="458"/>
      <c r="I33" s="458"/>
      <c r="J33" s="458"/>
      <c r="K33" s="458"/>
      <c r="L33" s="458"/>
      <c r="M33" s="458"/>
      <c r="N33" s="412"/>
      <c r="O33" s="812"/>
      <c r="P33" s="776"/>
      <c r="Q33" s="777"/>
      <c r="R33" s="458"/>
      <c r="S33" s="458"/>
      <c r="T33" s="458"/>
      <c r="U33" s="458"/>
      <c r="V33" s="458"/>
      <c r="W33" s="458"/>
      <c r="X33" s="458"/>
      <c r="Y33" s="458"/>
      <c r="Z33" s="458"/>
      <c r="AA33" s="458"/>
      <c r="AB33" s="458"/>
      <c r="AC33" s="412"/>
      <c r="AD33" s="812"/>
      <c r="AE33" s="776"/>
      <c r="AF33" s="776"/>
      <c r="AG33" s="777"/>
      <c r="AH33" s="776"/>
      <c r="AI33" s="777"/>
    </row>
    <row r="34" spans="1:35" hidden="1">
      <c r="A34" s="1063" t="s">
        <v>49</v>
      </c>
      <c r="B34" s="777"/>
      <c r="C34" s="458"/>
      <c r="D34" s="458"/>
      <c r="E34" s="458"/>
      <c r="F34" s="458"/>
      <c r="G34" s="458"/>
      <c r="H34" s="458"/>
      <c r="I34" s="458"/>
      <c r="J34" s="458"/>
      <c r="K34" s="458"/>
      <c r="L34" s="458"/>
      <c r="M34" s="458"/>
      <c r="N34" s="412"/>
      <c r="O34" s="812"/>
      <c r="P34" s="776"/>
      <c r="Q34" s="777"/>
      <c r="R34" s="458"/>
      <c r="S34" s="458"/>
      <c r="T34" s="458"/>
      <c r="U34" s="458"/>
      <c r="V34" s="458"/>
      <c r="W34" s="458"/>
      <c r="X34" s="458"/>
      <c r="Y34" s="458"/>
      <c r="Z34" s="458"/>
      <c r="AA34" s="458"/>
      <c r="AB34" s="458"/>
      <c r="AC34" s="412"/>
      <c r="AD34" s="812"/>
      <c r="AE34" s="776"/>
      <c r="AF34" s="776"/>
      <c r="AG34" s="777"/>
      <c r="AH34" s="776"/>
      <c r="AI34" s="777"/>
    </row>
    <row r="35" spans="1:35" hidden="1">
      <c r="A35" s="1063" t="s">
        <v>49</v>
      </c>
      <c r="B35" s="777"/>
      <c r="C35" s="458"/>
      <c r="D35" s="458"/>
      <c r="E35" s="458"/>
      <c r="F35" s="458"/>
      <c r="G35" s="458"/>
      <c r="H35" s="458"/>
      <c r="I35" s="458"/>
      <c r="J35" s="458"/>
      <c r="K35" s="458"/>
      <c r="L35" s="458"/>
      <c r="M35" s="458"/>
      <c r="N35" s="412"/>
      <c r="O35" s="812"/>
      <c r="P35" s="776"/>
      <c r="Q35" s="777"/>
      <c r="R35" s="458"/>
      <c r="S35" s="458"/>
      <c r="T35" s="458"/>
      <c r="U35" s="458"/>
      <c r="V35" s="458"/>
      <c r="W35" s="458"/>
      <c r="X35" s="458"/>
      <c r="Y35" s="458"/>
      <c r="Z35" s="458"/>
      <c r="AA35" s="458"/>
      <c r="AB35" s="458"/>
      <c r="AC35" s="412"/>
      <c r="AD35" s="812"/>
      <c r="AE35" s="776"/>
      <c r="AF35" s="776"/>
      <c r="AG35" s="777"/>
      <c r="AH35" s="776"/>
      <c r="AI35" s="777"/>
    </row>
    <row r="36" spans="1:35">
      <c r="A36" s="1063" t="s">
        <v>58</v>
      </c>
      <c r="B36" s="777"/>
      <c r="C36" s="458"/>
      <c r="D36" s="458"/>
      <c r="E36" s="458"/>
      <c r="F36" s="458"/>
      <c r="G36" s="458"/>
      <c r="H36" s="458"/>
      <c r="I36" s="458"/>
      <c r="J36" s="458"/>
      <c r="K36" s="458"/>
      <c r="L36" s="458"/>
      <c r="M36" s="458"/>
      <c r="N36" s="412"/>
      <c r="O36" s="812"/>
      <c r="P36" s="776"/>
      <c r="Q36" s="777"/>
      <c r="R36" s="458"/>
      <c r="S36" s="458"/>
      <c r="T36" s="458"/>
      <c r="U36" s="458"/>
      <c r="V36" s="458"/>
      <c r="W36" s="458"/>
      <c r="X36" s="458"/>
      <c r="Y36" s="458"/>
      <c r="Z36" s="458"/>
      <c r="AA36" s="458"/>
      <c r="AB36" s="458"/>
      <c r="AC36" s="412"/>
      <c r="AD36" s="812"/>
      <c r="AE36" s="776"/>
      <c r="AF36" s="776"/>
      <c r="AG36" s="777"/>
      <c r="AH36" s="776"/>
      <c r="AI36" s="777"/>
    </row>
    <row r="37" spans="1:35" hidden="1">
      <c r="A37" s="1063" t="s">
        <v>49</v>
      </c>
      <c r="B37" s="777"/>
      <c r="C37" s="458"/>
      <c r="D37" s="458"/>
      <c r="E37" s="458"/>
      <c r="F37" s="458"/>
      <c r="G37" s="458"/>
      <c r="H37" s="458"/>
      <c r="I37" s="458"/>
      <c r="J37" s="458"/>
      <c r="K37" s="458"/>
      <c r="L37" s="458"/>
      <c r="M37" s="458"/>
      <c r="N37" s="412"/>
      <c r="O37" s="812"/>
      <c r="P37" s="776"/>
      <c r="Q37" s="777"/>
      <c r="R37" s="458"/>
      <c r="S37" s="458"/>
      <c r="T37" s="458"/>
      <c r="U37" s="458"/>
      <c r="V37" s="458"/>
      <c r="W37" s="458"/>
      <c r="X37" s="458"/>
      <c r="Y37" s="458"/>
      <c r="Z37" s="458"/>
      <c r="AA37" s="458"/>
      <c r="AB37" s="458"/>
      <c r="AC37" s="412"/>
      <c r="AD37" s="812"/>
      <c r="AE37" s="776"/>
      <c r="AF37" s="776"/>
      <c r="AG37" s="777"/>
      <c r="AH37" s="776"/>
      <c r="AI37" s="777"/>
    </row>
    <row r="38" spans="1:35" hidden="1">
      <c r="A38" s="1063" t="s">
        <v>49</v>
      </c>
      <c r="B38" s="777"/>
      <c r="C38" s="458"/>
      <c r="D38" s="458"/>
      <c r="E38" s="458"/>
      <c r="F38" s="458"/>
      <c r="G38" s="458"/>
      <c r="H38" s="458"/>
      <c r="I38" s="458"/>
      <c r="J38" s="458"/>
      <c r="K38" s="458"/>
      <c r="L38" s="458"/>
      <c r="M38" s="458"/>
      <c r="N38" s="412"/>
      <c r="O38" s="812"/>
      <c r="P38" s="776"/>
      <c r="Q38" s="777"/>
      <c r="R38" s="458"/>
      <c r="S38" s="458"/>
      <c r="T38" s="458"/>
      <c r="U38" s="458"/>
      <c r="V38" s="458"/>
      <c r="W38" s="458"/>
      <c r="X38" s="458"/>
      <c r="Y38" s="458"/>
      <c r="Z38" s="458"/>
      <c r="AA38" s="458"/>
      <c r="AB38" s="458"/>
      <c r="AC38" s="412"/>
      <c r="AD38" s="812"/>
      <c r="AE38" s="776"/>
      <c r="AF38" s="776"/>
      <c r="AG38" s="777"/>
      <c r="AH38" s="776"/>
      <c r="AI38" s="777"/>
    </row>
    <row r="39" spans="1:35">
      <c r="A39" s="1063" t="s">
        <v>24</v>
      </c>
      <c r="B39" s="777"/>
      <c r="C39" s="458"/>
      <c r="D39" s="458"/>
      <c r="E39" s="458"/>
      <c r="F39" s="458"/>
      <c r="G39" s="458"/>
      <c r="H39" s="458"/>
      <c r="I39" s="458"/>
      <c r="J39" s="458"/>
      <c r="K39" s="458"/>
      <c r="L39" s="458"/>
      <c r="M39" s="458"/>
      <c r="N39" s="412"/>
      <c r="O39" s="812"/>
      <c r="P39" s="776"/>
      <c r="Q39" s="777"/>
      <c r="R39" s="458"/>
      <c r="S39" s="458"/>
      <c r="T39" s="458"/>
      <c r="U39" s="458"/>
      <c r="V39" s="458"/>
      <c r="W39" s="458"/>
      <c r="X39" s="458"/>
      <c r="Y39" s="458"/>
      <c r="Z39" s="458"/>
      <c r="AA39" s="458"/>
      <c r="AB39" s="458"/>
      <c r="AC39" s="412"/>
      <c r="AD39" s="812"/>
      <c r="AE39" s="776"/>
      <c r="AF39" s="776"/>
      <c r="AG39" s="777"/>
      <c r="AH39" s="776"/>
      <c r="AI39" s="777"/>
    </row>
    <row r="40" spans="1:35">
      <c r="A40" s="1063" t="s">
        <v>59</v>
      </c>
      <c r="B40" s="777"/>
      <c r="C40" s="458"/>
      <c r="D40" s="458"/>
      <c r="E40" s="458"/>
      <c r="F40" s="458"/>
      <c r="G40" s="458"/>
      <c r="H40" s="458"/>
      <c r="I40" s="458"/>
      <c r="J40" s="458"/>
      <c r="K40" s="458"/>
      <c r="L40" s="458"/>
      <c r="M40" s="458"/>
      <c r="N40" s="412"/>
      <c r="O40" s="812"/>
      <c r="P40" s="776"/>
      <c r="Q40" s="777"/>
      <c r="R40" s="458"/>
      <c r="S40" s="458"/>
      <c r="T40" s="458"/>
      <c r="U40" s="458"/>
      <c r="V40" s="458"/>
      <c r="W40" s="458"/>
      <c r="X40" s="458"/>
      <c r="Y40" s="458"/>
      <c r="Z40" s="458"/>
      <c r="AA40" s="458"/>
      <c r="AB40" s="458"/>
      <c r="AC40" s="412"/>
      <c r="AD40" s="812"/>
      <c r="AE40" s="776"/>
      <c r="AF40" s="776"/>
      <c r="AG40" s="777"/>
      <c r="AH40" s="776"/>
      <c r="AI40" s="777"/>
    </row>
    <row r="41" spans="1:35" hidden="1">
      <c r="A41" s="1063" t="s">
        <v>60</v>
      </c>
      <c r="B41" s="777"/>
      <c r="C41" s="458"/>
      <c r="D41" s="458"/>
      <c r="E41" s="458"/>
      <c r="F41" s="458"/>
      <c r="G41" s="458"/>
      <c r="H41" s="458"/>
      <c r="I41" s="458"/>
      <c r="J41" s="458"/>
      <c r="K41" s="458"/>
      <c r="L41" s="458"/>
      <c r="M41" s="458"/>
      <c r="N41" s="412"/>
      <c r="O41" s="812"/>
      <c r="P41" s="776"/>
      <c r="Q41" s="777"/>
      <c r="R41" s="458"/>
      <c r="S41" s="458"/>
      <c r="T41" s="458"/>
      <c r="U41" s="458"/>
      <c r="V41" s="458"/>
      <c r="W41" s="458"/>
      <c r="X41" s="458"/>
      <c r="Y41" s="458"/>
      <c r="Z41" s="458"/>
      <c r="AA41" s="458"/>
      <c r="AB41" s="458"/>
      <c r="AC41" s="412"/>
      <c r="AD41" s="812"/>
      <c r="AE41" s="776"/>
      <c r="AF41" s="776"/>
      <c r="AG41" s="777"/>
      <c r="AH41" s="776"/>
      <c r="AI41" s="777"/>
    </row>
    <row r="42" spans="1:35" hidden="1">
      <c r="A42" s="1063" t="s">
        <v>60</v>
      </c>
      <c r="B42" s="777"/>
      <c r="C42" s="458"/>
      <c r="D42" s="458"/>
      <c r="E42" s="458"/>
      <c r="F42" s="458"/>
      <c r="G42" s="458"/>
      <c r="H42" s="458"/>
      <c r="I42" s="458"/>
      <c r="J42" s="458"/>
      <c r="K42" s="458"/>
      <c r="L42" s="458"/>
      <c r="M42" s="458"/>
      <c r="N42" s="412"/>
      <c r="O42" s="812"/>
      <c r="P42" s="776"/>
      <c r="Q42" s="777"/>
      <c r="R42" s="458"/>
      <c r="S42" s="458"/>
      <c r="T42" s="458"/>
      <c r="U42" s="458"/>
      <c r="V42" s="458"/>
      <c r="W42" s="458"/>
      <c r="X42" s="458"/>
      <c r="Y42" s="458"/>
      <c r="Z42" s="458"/>
      <c r="AA42" s="458"/>
      <c r="AB42" s="458"/>
      <c r="AC42" s="412"/>
      <c r="AD42" s="812"/>
      <c r="AE42" s="776"/>
      <c r="AF42" s="776"/>
      <c r="AG42" s="777"/>
      <c r="AH42" s="776"/>
      <c r="AI42" s="777"/>
    </row>
    <row r="43" spans="1:35" ht="22.5">
      <c r="A43" s="1063" t="s">
        <v>61</v>
      </c>
      <c r="B43" s="777"/>
      <c r="C43" s="458"/>
      <c r="D43" s="458"/>
      <c r="E43" s="458"/>
      <c r="F43" s="458"/>
      <c r="G43" s="458"/>
      <c r="H43" s="458"/>
      <c r="I43" s="458"/>
      <c r="J43" s="458"/>
      <c r="K43" s="458"/>
      <c r="L43" s="458"/>
      <c r="M43" s="458"/>
      <c r="N43" s="412"/>
      <c r="O43" s="812"/>
      <c r="P43" s="776"/>
      <c r="Q43" s="777"/>
      <c r="R43" s="458"/>
      <c r="S43" s="458"/>
      <c r="T43" s="458"/>
      <c r="U43" s="458"/>
      <c r="V43" s="458"/>
      <c r="W43" s="458"/>
      <c r="X43" s="458"/>
      <c r="Y43" s="458"/>
      <c r="Z43" s="458"/>
      <c r="AA43" s="458"/>
      <c r="AB43" s="458"/>
      <c r="AC43" s="412"/>
      <c r="AD43" s="812"/>
      <c r="AE43" s="776"/>
      <c r="AF43" s="776"/>
      <c r="AG43" s="777"/>
      <c r="AH43" s="776"/>
      <c r="AI43" s="777"/>
    </row>
    <row r="44" spans="1:35" hidden="1">
      <c r="A44" s="1063" t="s">
        <v>60</v>
      </c>
      <c r="B44" s="777"/>
      <c r="C44" s="458"/>
      <c r="D44" s="458"/>
      <c r="E44" s="458"/>
      <c r="F44" s="458"/>
      <c r="G44" s="458"/>
      <c r="H44" s="458"/>
      <c r="I44" s="458"/>
      <c r="J44" s="458"/>
      <c r="K44" s="458"/>
      <c r="L44" s="458"/>
      <c r="M44" s="458"/>
      <c r="N44" s="412"/>
      <c r="O44" s="812"/>
      <c r="P44" s="776"/>
      <c r="Q44" s="777"/>
      <c r="R44" s="458"/>
      <c r="S44" s="458"/>
      <c r="T44" s="458"/>
      <c r="U44" s="458"/>
      <c r="V44" s="458"/>
      <c r="W44" s="458"/>
      <c r="X44" s="458"/>
      <c r="Y44" s="458"/>
      <c r="Z44" s="458"/>
      <c r="AA44" s="458"/>
      <c r="AB44" s="458"/>
      <c r="AC44" s="412"/>
      <c r="AD44" s="812"/>
      <c r="AE44" s="776"/>
      <c r="AF44" s="776"/>
      <c r="AG44" s="777"/>
      <c r="AH44" s="776"/>
      <c r="AI44" s="777"/>
    </row>
    <row r="45" spans="1:35">
      <c r="A45" s="1063" t="s">
        <v>62</v>
      </c>
      <c r="B45" s="777"/>
      <c r="C45" s="458"/>
      <c r="D45" s="458"/>
      <c r="E45" s="458"/>
      <c r="F45" s="458"/>
      <c r="G45" s="458"/>
      <c r="H45" s="458"/>
      <c r="I45" s="458"/>
      <c r="J45" s="458"/>
      <c r="K45" s="458"/>
      <c r="L45" s="458"/>
      <c r="M45" s="458"/>
      <c r="N45" s="412"/>
      <c r="O45" s="812"/>
      <c r="P45" s="776"/>
      <c r="Q45" s="777"/>
      <c r="R45" s="458"/>
      <c r="S45" s="458"/>
      <c r="T45" s="458"/>
      <c r="U45" s="458"/>
      <c r="V45" s="458"/>
      <c r="W45" s="458"/>
      <c r="X45" s="458"/>
      <c r="Y45" s="458"/>
      <c r="Z45" s="458"/>
      <c r="AA45" s="458"/>
      <c r="AB45" s="458"/>
      <c r="AC45" s="412"/>
      <c r="AD45" s="812"/>
      <c r="AE45" s="776"/>
      <c r="AF45" s="776"/>
      <c r="AG45" s="777"/>
      <c r="AH45" s="776"/>
      <c r="AI45" s="777"/>
    </row>
    <row r="46" spans="1:35" hidden="1">
      <c r="A46" s="1063" t="s">
        <v>60</v>
      </c>
      <c r="B46" s="777"/>
      <c r="C46" s="458"/>
      <c r="D46" s="458"/>
      <c r="E46" s="458"/>
      <c r="F46" s="458"/>
      <c r="G46" s="458"/>
      <c r="H46" s="458"/>
      <c r="I46" s="458"/>
      <c r="J46" s="458"/>
      <c r="K46" s="458"/>
      <c r="L46" s="458"/>
      <c r="M46" s="458"/>
      <c r="N46" s="412"/>
      <c r="O46" s="812"/>
      <c r="P46" s="776"/>
      <c r="Q46" s="777"/>
      <c r="R46" s="458"/>
      <c r="S46" s="458"/>
      <c r="T46" s="458"/>
      <c r="U46" s="458"/>
      <c r="V46" s="458"/>
      <c r="W46" s="458"/>
      <c r="X46" s="458"/>
      <c r="Y46" s="458"/>
      <c r="Z46" s="458"/>
      <c r="AA46" s="458"/>
      <c r="AB46" s="458"/>
      <c r="AC46" s="412"/>
      <c r="AD46" s="812"/>
      <c r="AE46" s="776"/>
      <c r="AF46" s="776"/>
      <c r="AG46" s="777"/>
      <c r="AH46" s="776"/>
      <c r="AI46" s="777"/>
    </row>
    <row r="47" spans="1:35" hidden="1">
      <c r="A47" s="1063"/>
      <c r="B47" s="777"/>
      <c r="C47" s="458"/>
      <c r="D47" s="458"/>
      <c r="E47" s="458"/>
      <c r="F47" s="458"/>
      <c r="G47" s="458"/>
      <c r="H47" s="458"/>
      <c r="I47" s="458"/>
      <c r="J47" s="458"/>
      <c r="K47" s="458"/>
      <c r="L47" s="458"/>
      <c r="M47" s="458"/>
      <c r="N47" s="412"/>
      <c r="O47" s="812"/>
      <c r="P47" s="776"/>
      <c r="Q47" s="777"/>
      <c r="R47" s="458"/>
      <c r="S47" s="458"/>
      <c r="T47" s="458"/>
      <c r="U47" s="458"/>
      <c r="V47" s="458"/>
      <c r="W47" s="458"/>
      <c r="X47" s="458"/>
      <c r="Y47" s="458"/>
      <c r="Z47" s="458"/>
      <c r="AA47" s="458"/>
      <c r="AB47" s="458"/>
      <c r="AC47" s="412"/>
      <c r="AD47" s="812"/>
      <c r="AE47" s="776"/>
      <c r="AF47" s="776"/>
      <c r="AG47" s="777"/>
      <c r="AH47" s="776"/>
      <c r="AI47" s="777"/>
    </row>
    <row r="48" spans="1:35">
      <c r="A48" s="1063" t="s">
        <v>63</v>
      </c>
      <c r="B48" s="777"/>
      <c r="C48" s="458"/>
      <c r="D48" s="458"/>
      <c r="E48" s="458"/>
      <c r="F48" s="458"/>
      <c r="G48" s="458"/>
      <c r="H48" s="458"/>
      <c r="I48" s="458"/>
      <c r="J48" s="458"/>
      <c r="K48" s="458"/>
      <c r="L48" s="458"/>
      <c r="M48" s="458"/>
      <c r="N48" s="412"/>
      <c r="O48" s="812"/>
      <c r="P48" s="776"/>
      <c r="Q48" s="777"/>
      <c r="R48" s="458"/>
      <c r="S48" s="458"/>
      <c r="T48" s="458"/>
      <c r="U48" s="458"/>
      <c r="V48" s="458"/>
      <c r="W48" s="458"/>
      <c r="X48" s="458"/>
      <c r="Y48" s="458"/>
      <c r="Z48" s="458"/>
      <c r="AA48" s="458"/>
      <c r="AB48" s="458"/>
      <c r="AC48" s="412"/>
      <c r="AD48" s="812"/>
      <c r="AE48" s="776"/>
      <c r="AF48" s="776"/>
      <c r="AG48" s="777"/>
      <c r="AH48" s="776"/>
      <c r="AI48" s="777"/>
    </row>
    <row r="49" spans="1:35" hidden="1">
      <c r="A49" s="909" t="s">
        <v>60</v>
      </c>
      <c r="B49" s="777"/>
      <c r="C49" s="458"/>
      <c r="D49" s="458"/>
      <c r="E49" s="458"/>
      <c r="F49" s="458"/>
      <c r="G49" s="458"/>
      <c r="H49" s="458"/>
      <c r="I49" s="458"/>
      <c r="J49" s="458"/>
      <c r="K49" s="458"/>
      <c r="L49" s="458"/>
      <c r="M49" s="458"/>
      <c r="N49" s="412"/>
      <c r="O49" s="812"/>
      <c r="P49" s="776"/>
      <c r="Q49" s="777"/>
      <c r="R49" s="458"/>
      <c r="S49" s="458"/>
      <c r="T49" s="458"/>
      <c r="U49" s="458"/>
      <c r="V49" s="458"/>
      <c r="W49" s="458"/>
      <c r="X49" s="458"/>
      <c r="Y49" s="458"/>
      <c r="Z49" s="458"/>
      <c r="AA49" s="458"/>
      <c r="AB49" s="458"/>
      <c r="AC49" s="412"/>
      <c r="AD49" s="812"/>
      <c r="AE49" s="776"/>
      <c r="AF49" s="776"/>
      <c r="AG49" s="777"/>
      <c r="AH49" s="776"/>
      <c r="AI49" s="777"/>
    </row>
    <row r="50" spans="1:35" hidden="1">
      <c r="A50" s="909"/>
      <c r="B50" s="777"/>
      <c r="C50" s="458"/>
      <c r="D50" s="458"/>
      <c r="E50" s="458"/>
      <c r="F50" s="458"/>
      <c r="G50" s="458"/>
      <c r="H50" s="458"/>
      <c r="I50" s="458"/>
      <c r="J50" s="458"/>
      <c r="K50" s="458"/>
      <c r="L50" s="458"/>
      <c r="M50" s="458"/>
      <c r="N50" s="412"/>
      <c r="O50" s="812"/>
      <c r="P50" s="776"/>
      <c r="Q50" s="777"/>
      <c r="R50" s="458"/>
      <c r="S50" s="458"/>
      <c r="T50" s="458"/>
      <c r="U50" s="458"/>
      <c r="V50" s="458"/>
      <c r="W50" s="458"/>
      <c r="X50" s="458"/>
      <c r="Y50" s="458"/>
      <c r="Z50" s="458"/>
      <c r="AA50" s="458"/>
      <c r="AB50" s="458"/>
      <c r="AC50" s="412"/>
      <c r="AD50" s="812"/>
      <c r="AE50" s="776"/>
      <c r="AF50" s="776"/>
      <c r="AG50" s="777"/>
      <c r="AH50" s="776"/>
      <c r="AI50" s="777"/>
    </row>
    <row r="51" spans="1:35" ht="12.75" hidden="1" thickBot="1">
      <c r="A51" s="910"/>
      <c r="B51" s="911"/>
      <c r="C51" s="456"/>
      <c r="D51" s="456"/>
      <c r="E51" s="456"/>
      <c r="F51" s="456"/>
      <c r="G51" s="456"/>
      <c r="H51" s="456"/>
      <c r="I51" s="456"/>
      <c r="J51" s="456"/>
      <c r="K51" s="456"/>
      <c r="L51" s="456"/>
      <c r="M51" s="456"/>
      <c r="N51" s="912"/>
      <c r="O51" s="913"/>
      <c r="P51" s="914"/>
      <c r="Q51" s="911"/>
      <c r="R51" s="456"/>
      <c r="S51" s="456"/>
      <c r="T51" s="456"/>
      <c r="U51" s="456"/>
      <c r="V51" s="456"/>
      <c r="W51" s="456"/>
      <c r="X51" s="456"/>
      <c r="Y51" s="456"/>
      <c r="Z51" s="456"/>
      <c r="AA51" s="456"/>
      <c r="AB51" s="456"/>
      <c r="AC51" s="912"/>
      <c r="AD51" s="913"/>
      <c r="AE51" s="914"/>
      <c r="AF51" s="914"/>
      <c r="AG51" s="911"/>
      <c r="AH51" s="914"/>
      <c r="AI51" s="911"/>
    </row>
    <row r="52" spans="1:35" ht="12.75" thickBot="1">
      <c r="A52" s="915" t="s">
        <v>0</v>
      </c>
      <c r="B52" s="916"/>
      <c r="C52" s="455"/>
      <c r="D52" s="917"/>
      <c r="E52" s="917"/>
      <c r="F52" s="917"/>
      <c r="G52" s="917"/>
      <c r="H52" s="917"/>
      <c r="I52" s="917"/>
      <c r="J52" s="917"/>
      <c r="K52" s="917"/>
      <c r="L52" s="917"/>
      <c r="M52" s="917"/>
      <c r="N52" s="918"/>
      <c r="O52" s="919"/>
      <c r="P52" s="920"/>
      <c r="Q52" s="921"/>
      <c r="R52" s="455"/>
      <c r="S52" s="917"/>
      <c r="T52" s="917"/>
      <c r="U52" s="917"/>
      <c r="V52" s="917"/>
      <c r="W52" s="917"/>
      <c r="X52" s="917"/>
      <c r="Y52" s="917"/>
      <c r="Z52" s="917"/>
      <c r="AA52" s="917"/>
      <c r="AB52" s="917"/>
      <c r="AC52" s="918"/>
      <c r="AD52" s="919"/>
      <c r="AE52" s="920"/>
      <c r="AF52" s="920"/>
      <c r="AG52" s="921"/>
      <c r="AH52" s="920"/>
      <c r="AI52" s="921"/>
    </row>
    <row r="53" spans="1:35">
      <c r="A53" s="265" t="s">
        <v>64</v>
      </c>
    </row>
    <row r="54" spans="1:35">
      <c r="A54" s="445" t="s">
        <v>65</v>
      </c>
      <c r="B54" s="265" t="s">
        <v>152</v>
      </c>
    </row>
    <row r="55" spans="1:35">
      <c r="A55" s="445" t="s">
        <v>66</v>
      </c>
      <c r="B55" s="265" t="s">
        <v>67</v>
      </c>
    </row>
    <row r="56" spans="1:35">
      <c r="A56" s="445" t="s">
        <v>68</v>
      </c>
      <c r="B56" s="265" t="s">
        <v>69</v>
      </c>
    </row>
    <row r="57" spans="1:35">
      <c r="A57" s="445" t="s">
        <v>70</v>
      </c>
      <c r="B57" s="265" t="s">
        <v>71</v>
      </c>
    </row>
    <row r="58" spans="1:35">
      <c r="A58" s="445"/>
      <c r="B58" s="265" t="s">
        <v>72</v>
      </c>
    </row>
    <row r="59" spans="1:35" ht="24">
      <c r="A59" s="445" t="s">
        <v>73</v>
      </c>
      <c r="B59" s="2028" t="s">
        <v>143</v>
      </c>
      <c r="C59" s="2028"/>
      <c r="D59" s="2028"/>
      <c r="E59" s="2028"/>
      <c r="F59" s="2028"/>
      <c r="G59" s="2028"/>
      <c r="H59" s="2028"/>
      <c r="I59" s="2028"/>
      <c r="J59" s="2028"/>
      <c r="K59" s="2028"/>
      <c r="L59" s="2028"/>
      <c r="M59" s="2028"/>
      <c r="N59" s="2028"/>
      <c r="O59" s="2028"/>
      <c r="P59" s="2028"/>
      <c r="Q59" s="2028"/>
      <c r="R59" s="2028"/>
      <c r="S59" s="2028"/>
      <c r="T59" s="2028"/>
      <c r="U59" s="2028"/>
      <c r="V59" s="2028"/>
      <c r="W59" s="2028"/>
      <c r="X59" s="2028"/>
      <c r="Y59" s="2028"/>
      <c r="Z59" s="2028"/>
      <c r="AA59" s="2028"/>
      <c r="AB59" s="2028"/>
      <c r="AC59" s="2028"/>
      <c r="AD59" s="2028"/>
      <c r="AE59" s="2028"/>
      <c r="AF59" s="2028"/>
      <c r="AG59" s="2028"/>
      <c r="AH59" s="2028"/>
      <c r="AI59" s="2028"/>
    </row>
    <row r="60" spans="1:35">
      <c r="A60" s="445"/>
      <c r="B60" s="265" t="s">
        <v>74</v>
      </c>
    </row>
    <row r="61" spans="1:35">
      <c r="A61" s="445"/>
      <c r="B61" s="265" t="s">
        <v>75</v>
      </c>
    </row>
    <row r="62" spans="1:35">
      <c r="A62" s="445"/>
      <c r="B62" s="265" t="s">
        <v>76</v>
      </c>
    </row>
    <row r="63" spans="1:35">
      <c r="A63" s="445" t="s">
        <v>177</v>
      </c>
      <c r="B63" s="265" t="s">
        <v>178</v>
      </c>
    </row>
    <row r="64" spans="1:35" ht="36">
      <c r="A64" s="445" t="s">
        <v>179</v>
      </c>
      <c r="B64" s="265" t="s">
        <v>148</v>
      </c>
    </row>
    <row r="65" spans="1:35" ht="24">
      <c r="A65" s="445" t="s">
        <v>180</v>
      </c>
      <c r="B65" s="2028" t="s">
        <v>144</v>
      </c>
      <c r="C65" s="2028"/>
      <c r="D65" s="2028"/>
      <c r="E65" s="2028"/>
      <c r="F65" s="2028"/>
      <c r="G65" s="2028"/>
      <c r="H65" s="2028"/>
      <c r="I65" s="2028"/>
      <c r="J65" s="2028"/>
      <c r="K65" s="2028"/>
      <c r="L65" s="2028"/>
      <c r="M65" s="2028"/>
      <c r="N65" s="2028"/>
      <c r="O65" s="2028"/>
      <c r="P65" s="2028"/>
      <c r="Q65" s="2028"/>
      <c r="R65" s="2028"/>
      <c r="S65" s="2028"/>
      <c r="T65" s="2028"/>
      <c r="U65" s="2028"/>
      <c r="V65" s="2028"/>
      <c r="W65" s="2028"/>
      <c r="X65" s="2028"/>
      <c r="Y65" s="2028"/>
      <c r="Z65" s="2028"/>
      <c r="AA65" s="2028"/>
      <c r="AB65" s="2028"/>
      <c r="AC65" s="2028"/>
      <c r="AD65" s="2028"/>
      <c r="AE65" s="2028"/>
      <c r="AF65" s="2028"/>
      <c r="AG65" s="2028"/>
      <c r="AH65" s="2028"/>
      <c r="AI65" s="2028"/>
    </row>
    <row r="66" spans="1:35">
      <c r="A66" s="445"/>
      <c r="B66" s="265" t="s">
        <v>74</v>
      </c>
    </row>
    <row r="67" spans="1:35">
      <c r="A67" s="445"/>
      <c r="B67" s="265" t="s">
        <v>75</v>
      </c>
    </row>
    <row r="68" spans="1:35">
      <c r="A68" s="445"/>
      <c r="B68" s="265" t="s">
        <v>112</v>
      </c>
    </row>
    <row r="69" spans="1:35" ht="24">
      <c r="A69" s="445" t="s">
        <v>189</v>
      </c>
      <c r="B69" s="265" t="s">
        <v>190</v>
      </c>
    </row>
    <row r="70" spans="1:35" ht="24">
      <c r="A70" s="445" t="s">
        <v>187</v>
      </c>
      <c r="B70" s="265" t="s">
        <v>183</v>
      </c>
    </row>
    <row r="71" spans="1:35">
      <c r="A71" s="445" t="s">
        <v>188</v>
      </c>
      <c r="B71" s="265" t="s">
        <v>191</v>
      </c>
    </row>
  </sheetData>
  <mergeCells count="7">
    <mergeCell ref="B59:AI59"/>
    <mergeCell ref="B65:AI65"/>
    <mergeCell ref="A5:A7"/>
    <mergeCell ref="B5:P5"/>
    <mergeCell ref="Q5:AE5"/>
    <mergeCell ref="AF5:AG5"/>
    <mergeCell ref="AH5:AI5"/>
  </mergeCells>
  <printOptions horizontalCentered="1"/>
  <pageMargins left="0.19685039370078741" right="0.19685039370078741" top="0.78740157480314965" bottom="0.78740157480314965" header="0.19685039370078741" footer="0.19685039370078741"/>
  <pageSetup paperSize="9" scale="79"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2060"/>
    <pageSetUpPr fitToPage="1"/>
  </sheetPr>
  <dimension ref="A1:AI71"/>
  <sheetViews>
    <sheetView view="pageBreakPreview" topLeftCell="A12" zoomScaleNormal="100" zoomScaleSheetLayoutView="100" workbookViewId="0">
      <selection activeCell="B8" sqref="B8"/>
    </sheetView>
  </sheetViews>
  <sheetFormatPr baseColWidth="10" defaultColWidth="11.42578125" defaultRowHeight="12"/>
  <cols>
    <col min="1" max="1" width="23.7109375" style="265" customWidth="1"/>
    <col min="2" max="2" width="8.7109375" style="265" customWidth="1"/>
    <col min="3" max="3" width="5.42578125" style="265" bestFit="1" customWidth="1"/>
    <col min="4" max="5" width="3.140625" style="265" bestFit="1" customWidth="1"/>
    <col min="6" max="6" width="5.42578125" style="265" bestFit="1" customWidth="1"/>
    <col min="7" max="9" width="3.140625" style="265" bestFit="1" customWidth="1"/>
    <col min="10" max="15" width="5.42578125" style="265" bestFit="1" customWidth="1"/>
    <col min="16" max="16" width="4.140625" style="265" bestFit="1" customWidth="1"/>
    <col min="17" max="17" width="3.140625" style="265" bestFit="1" customWidth="1"/>
    <col min="18" max="18" width="5.42578125" style="265" bestFit="1" customWidth="1"/>
    <col min="19" max="20" width="3.140625" style="265" bestFit="1" customWidth="1"/>
    <col min="21" max="21" width="5.42578125" style="265" bestFit="1" customWidth="1"/>
    <col min="22" max="24" width="3.140625" style="265" bestFit="1" customWidth="1"/>
    <col min="25" max="30" width="5.42578125" style="265" bestFit="1" customWidth="1"/>
    <col min="31" max="31" width="7.7109375" style="265" bestFit="1" customWidth="1"/>
    <col min="32" max="32" width="5.42578125" style="265" bestFit="1" customWidth="1"/>
    <col min="33" max="34" width="3.140625" style="265" bestFit="1" customWidth="1"/>
    <col min="35" max="35" width="7.7109375" style="265" bestFit="1" customWidth="1"/>
    <col min="36" max="16384" width="11.42578125" style="265"/>
  </cols>
  <sheetData>
    <row r="1" spans="1:35" s="743" customFormat="1">
      <c r="A1" s="742" t="s">
        <v>465</v>
      </c>
    </row>
    <row r="2" spans="1:35" s="743" customFormat="1">
      <c r="A2" s="69" t="s">
        <v>1655</v>
      </c>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row>
    <row r="3" spans="1:35" s="742" customFormat="1">
      <c r="A3" s="742" t="s">
        <v>5104</v>
      </c>
      <c r="T3" s="745"/>
    </row>
    <row r="4" spans="1:35" s="742" customFormat="1" ht="12.75" thickBot="1">
      <c r="T4" s="745"/>
    </row>
    <row r="5" spans="1:35" ht="12.75" thickBot="1">
      <c r="A5" s="1992" t="s">
        <v>41</v>
      </c>
      <c r="B5" s="2021" t="s">
        <v>314</v>
      </c>
      <c r="C5" s="2021"/>
      <c r="D5" s="2021"/>
      <c r="E5" s="2021"/>
      <c r="F5" s="2021"/>
      <c r="G5" s="2021"/>
      <c r="H5" s="2021"/>
      <c r="I5" s="2021"/>
      <c r="J5" s="2021"/>
      <c r="K5" s="2021"/>
      <c r="L5" s="2021"/>
      <c r="M5" s="2021"/>
      <c r="N5" s="2021"/>
      <c r="O5" s="2021"/>
      <c r="P5" s="2021"/>
      <c r="Q5" s="2022" t="s">
        <v>462</v>
      </c>
      <c r="R5" s="2021"/>
      <c r="S5" s="2021"/>
      <c r="T5" s="2021"/>
      <c r="U5" s="2021"/>
      <c r="V5" s="2021"/>
      <c r="W5" s="2021"/>
      <c r="X5" s="2021"/>
      <c r="Y5" s="2021"/>
      <c r="Z5" s="2021"/>
      <c r="AA5" s="2021"/>
      <c r="AB5" s="2021"/>
      <c r="AC5" s="2021"/>
      <c r="AD5" s="2021"/>
      <c r="AE5" s="2023"/>
      <c r="AF5" s="2024" t="s">
        <v>463</v>
      </c>
      <c r="AG5" s="2025"/>
      <c r="AH5" s="2024" t="s">
        <v>464</v>
      </c>
      <c r="AI5" s="2025"/>
    </row>
    <row r="6" spans="1:35" ht="171">
      <c r="A6" s="2019"/>
      <c r="B6" s="130" t="s">
        <v>11</v>
      </c>
      <c r="C6" s="131" t="s">
        <v>137</v>
      </c>
      <c r="D6" s="132" t="s">
        <v>240</v>
      </c>
      <c r="E6" s="132" t="s">
        <v>139</v>
      </c>
      <c r="F6" s="132" t="s">
        <v>173</v>
      </c>
      <c r="G6" s="132" t="s">
        <v>174</v>
      </c>
      <c r="H6" s="132" t="s">
        <v>175</v>
      </c>
      <c r="I6" s="132" t="s">
        <v>176</v>
      </c>
      <c r="J6" s="132" t="s">
        <v>140</v>
      </c>
      <c r="K6" s="132" t="s">
        <v>141</v>
      </c>
      <c r="L6" s="132" t="s">
        <v>142</v>
      </c>
      <c r="M6" s="132" t="s">
        <v>172</v>
      </c>
      <c r="N6" s="133" t="s">
        <v>114</v>
      </c>
      <c r="O6" s="134" t="s">
        <v>147</v>
      </c>
      <c r="P6" s="135" t="s">
        <v>146</v>
      </c>
      <c r="Q6" s="130" t="s">
        <v>11</v>
      </c>
      <c r="R6" s="131" t="s">
        <v>137</v>
      </c>
      <c r="S6" s="132" t="s">
        <v>138</v>
      </c>
      <c r="T6" s="132" t="s">
        <v>139</v>
      </c>
      <c r="U6" s="132" t="s">
        <v>173</v>
      </c>
      <c r="V6" s="132" t="s">
        <v>174</v>
      </c>
      <c r="W6" s="132" t="s">
        <v>175</v>
      </c>
      <c r="X6" s="132" t="s">
        <v>176</v>
      </c>
      <c r="Y6" s="132" t="s">
        <v>140</v>
      </c>
      <c r="Z6" s="132" t="s">
        <v>141</v>
      </c>
      <c r="AA6" s="132" t="s">
        <v>142</v>
      </c>
      <c r="AB6" s="132" t="s">
        <v>172</v>
      </c>
      <c r="AC6" s="133" t="s">
        <v>114</v>
      </c>
      <c r="AD6" s="134" t="s">
        <v>147</v>
      </c>
      <c r="AE6" s="135" t="s">
        <v>315</v>
      </c>
      <c r="AF6" s="136" t="s">
        <v>151</v>
      </c>
      <c r="AG6" s="136" t="s">
        <v>150</v>
      </c>
      <c r="AH6" s="136" t="s">
        <v>11</v>
      </c>
      <c r="AI6" s="135" t="s">
        <v>316</v>
      </c>
    </row>
    <row r="7" spans="1:35" ht="15.75" customHeight="1" thickBot="1">
      <c r="A7" s="2020"/>
      <c r="B7" s="389" t="s">
        <v>42</v>
      </c>
      <c r="C7" s="805" t="s">
        <v>43</v>
      </c>
      <c r="D7" s="806" t="s">
        <v>44</v>
      </c>
      <c r="E7" s="806" t="s">
        <v>45</v>
      </c>
      <c r="F7" s="807" t="s">
        <v>46</v>
      </c>
      <c r="G7" s="807" t="s">
        <v>47</v>
      </c>
      <c r="H7" s="807" t="s">
        <v>77</v>
      </c>
      <c r="I7" s="807" t="s">
        <v>113</v>
      </c>
      <c r="J7" s="807" t="s">
        <v>145</v>
      </c>
      <c r="K7" s="807" t="s">
        <v>149</v>
      </c>
      <c r="L7" s="807" t="s">
        <v>181</v>
      </c>
      <c r="M7" s="807" t="s">
        <v>182</v>
      </c>
      <c r="N7" s="808" t="s">
        <v>184</v>
      </c>
      <c r="O7" s="809" t="s">
        <v>185</v>
      </c>
      <c r="P7" s="810" t="s">
        <v>186</v>
      </c>
      <c r="Q7" s="389" t="s">
        <v>42</v>
      </c>
      <c r="R7" s="805" t="s">
        <v>43</v>
      </c>
      <c r="S7" s="806" t="s">
        <v>44</v>
      </c>
      <c r="T7" s="806" t="s">
        <v>45</v>
      </c>
      <c r="U7" s="807" t="s">
        <v>46</v>
      </c>
      <c r="V7" s="807" t="s">
        <v>47</v>
      </c>
      <c r="W7" s="807" t="s">
        <v>77</v>
      </c>
      <c r="X7" s="807" t="s">
        <v>113</v>
      </c>
      <c r="Y7" s="807" t="s">
        <v>145</v>
      </c>
      <c r="Z7" s="807" t="s">
        <v>149</v>
      </c>
      <c r="AA7" s="807" t="s">
        <v>181</v>
      </c>
      <c r="AB7" s="807" t="s">
        <v>182</v>
      </c>
      <c r="AC7" s="808" t="s">
        <v>184</v>
      </c>
      <c r="AD7" s="809" t="s">
        <v>185</v>
      </c>
      <c r="AE7" s="810" t="s">
        <v>186</v>
      </c>
      <c r="AF7" s="754"/>
      <c r="AG7" s="389"/>
      <c r="AH7" s="754"/>
      <c r="AI7" s="389"/>
    </row>
    <row r="8" spans="1:35" hidden="1">
      <c r="A8" s="811"/>
      <c r="B8" s="777"/>
      <c r="C8" s="458"/>
      <c r="D8" s="458"/>
      <c r="E8" s="458"/>
      <c r="F8" s="458"/>
      <c r="G8" s="458"/>
      <c r="H8" s="458"/>
      <c r="I8" s="458"/>
      <c r="J8" s="458"/>
      <c r="K8" s="458"/>
      <c r="L8" s="458"/>
      <c r="M8" s="458"/>
      <c r="N8" s="412"/>
      <c r="O8" s="812"/>
      <c r="P8" s="776"/>
      <c r="Q8" s="777"/>
      <c r="R8" s="458"/>
      <c r="S8" s="458"/>
      <c r="T8" s="458"/>
      <c r="U8" s="458"/>
      <c r="V8" s="458"/>
      <c r="W8" s="458"/>
      <c r="X8" s="458"/>
      <c r="Y8" s="458"/>
      <c r="Z8" s="458"/>
      <c r="AA8" s="458"/>
      <c r="AB8" s="458"/>
      <c r="AC8" s="412"/>
      <c r="AD8" s="812"/>
      <c r="AE8" s="776"/>
      <c r="AF8" s="776"/>
      <c r="AG8" s="777"/>
      <c r="AH8" s="776"/>
      <c r="AI8" s="777"/>
    </row>
    <row r="9" spans="1:35">
      <c r="A9" s="1063" t="s">
        <v>48</v>
      </c>
      <c r="B9" s="777"/>
      <c r="C9" s="458"/>
      <c r="D9" s="458"/>
      <c r="E9" s="458"/>
      <c r="F9" s="458"/>
      <c r="G9" s="458"/>
      <c r="H9" s="458"/>
      <c r="I9" s="458"/>
      <c r="J9" s="458"/>
      <c r="K9" s="458"/>
      <c r="L9" s="458"/>
      <c r="M9" s="458"/>
      <c r="N9" s="412"/>
      <c r="O9" s="812"/>
      <c r="P9" s="776"/>
      <c r="Q9" s="777"/>
      <c r="R9" s="458"/>
      <c r="S9" s="458"/>
      <c r="T9" s="458"/>
      <c r="U9" s="458"/>
      <c r="V9" s="458"/>
      <c r="W9" s="458"/>
      <c r="X9" s="458"/>
      <c r="Y9" s="458"/>
      <c r="Z9" s="458"/>
      <c r="AA9" s="458"/>
      <c r="AB9" s="458"/>
      <c r="AC9" s="412"/>
      <c r="AD9" s="812"/>
      <c r="AE9" s="776"/>
      <c r="AF9" s="776"/>
      <c r="AG9" s="777"/>
      <c r="AH9" s="776"/>
      <c r="AI9" s="777"/>
    </row>
    <row r="10" spans="1:35" hidden="1">
      <c r="A10" s="1063" t="s">
        <v>49</v>
      </c>
      <c r="B10" s="777"/>
      <c r="C10" s="458"/>
      <c r="D10" s="458"/>
      <c r="E10" s="458"/>
      <c r="F10" s="458"/>
      <c r="G10" s="458"/>
      <c r="H10" s="458"/>
      <c r="I10" s="458"/>
      <c r="J10" s="458"/>
      <c r="K10" s="458"/>
      <c r="L10" s="458"/>
      <c r="M10" s="458"/>
      <c r="N10" s="412"/>
      <c r="O10" s="812"/>
      <c r="P10" s="776"/>
      <c r="Q10" s="777"/>
      <c r="R10" s="458"/>
      <c r="S10" s="458"/>
      <c r="T10" s="458"/>
      <c r="U10" s="458"/>
      <c r="V10" s="458"/>
      <c r="W10" s="458"/>
      <c r="X10" s="458"/>
      <c r="Y10" s="458"/>
      <c r="Z10" s="458"/>
      <c r="AA10" s="458"/>
      <c r="AB10" s="458"/>
      <c r="AC10" s="412"/>
      <c r="AD10" s="812"/>
      <c r="AE10" s="776"/>
      <c r="AF10" s="776"/>
      <c r="AG10" s="777"/>
      <c r="AH10" s="776"/>
      <c r="AI10" s="777"/>
    </row>
    <row r="11" spans="1:35" hidden="1">
      <c r="A11" s="1063" t="s">
        <v>49</v>
      </c>
      <c r="B11" s="777"/>
      <c r="C11" s="458"/>
      <c r="D11" s="458"/>
      <c r="E11" s="458"/>
      <c r="F11" s="458"/>
      <c r="G11" s="458"/>
      <c r="H11" s="458"/>
      <c r="I11" s="458"/>
      <c r="J11" s="458"/>
      <c r="K11" s="458"/>
      <c r="L11" s="458"/>
      <c r="M11" s="458"/>
      <c r="N11" s="412"/>
      <c r="O11" s="812"/>
      <c r="P11" s="776"/>
      <c r="Q11" s="777"/>
      <c r="R11" s="458"/>
      <c r="S11" s="458"/>
      <c r="T11" s="458"/>
      <c r="U11" s="458"/>
      <c r="V11" s="458"/>
      <c r="W11" s="458"/>
      <c r="X11" s="458"/>
      <c r="Y11" s="458"/>
      <c r="Z11" s="458"/>
      <c r="AA11" s="458"/>
      <c r="AB11" s="458"/>
      <c r="AC11" s="412"/>
      <c r="AD11" s="812"/>
      <c r="AE11" s="776"/>
      <c r="AF11" s="776"/>
      <c r="AG11" s="777"/>
      <c r="AH11" s="776"/>
      <c r="AI11" s="777"/>
    </row>
    <row r="12" spans="1:35" ht="22.5">
      <c r="A12" s="1063" t="s">
        <v>50</v>
      </c>
      <c r="B12" s="777"/>
      <c r="C12" s="458"/>
      <c r="D12" s="458"/>
      <c r="E12" s="458"/>
      <c r="F12" s="458"/>
      <c r="G12" s="458"/>
      <c r="H12" s="458"/>
      <c r="I12" s="458"/>
      <c r="J12" s="458"/>
      <c r="K12" s="458"/>
      <c r="L12" s="458"/>
      <c r="M12" s="458"/>
      <c r="N12" s="412"/>
      <c r="O12" s="812"/>
      <c r="P12" s="776"/>
      <c r="Q12" s="777"/>
      <c r="R12" s="458"/>
      <c r="S12" s="458"/>
      <c r="T12" s="458"/>
      <c r="U12" s="458"/>
      <c r="V12" s="458"/>
      <c r="W12" s="458"/>
      <c r="X12" s="458"/>
      <c r="Y12" s="458"/>
      <c r="Z12" s="458"/>
      <c r="AA12" s="458"/>
      <c r="AB12" s="458"/>
      <c r="AC12" s="412"/>
      <c r="AD12" s="812"/>
      <c r="AE12" s="776"/>
      <c r="AF12" s="776"/>
      <c r="AG12" s="777"/>
      <c r="AH12" s="776"/>
      <c r="AI12" s="777"/>
    </row>
    <row r="13" spans="1:35" hidden="1">
      <c r="A13" s="1063" t="s">
        <v>49</v>
      </c>
      <c r="B13" s="777"/>
      <c r="C13" s="458"/>
      <c r="D13" s="458"/>
      <c r="E13" s="458"/>
      <c r="F13" s="458"/>
      <c r="G13" s="458"/>
      <c r="H13" s="458"/>
      <c r="I13" s="458"/>
      <c r="J13" s="458"/>
      <c r="K13" s="458"/>
      <c r="L13" s="458"/>
      <c r="M13" s="458"/>
      <c r="N13" s="412"/>
      <c r="O13" s="812"/>
      <c r="P13" s="776"/>
      <c r="Q13" s="777"/>
      <c r="R13" s="458"/>
      <c r="S13" s="458"/>
      <c r="T13" s="458"/>
      <c r="U13" s="458"/>
      <c r="V13" s="458"/>
      <c r="W13" s="458"/>
      <c r="X13" s="458"/>
      <c r="Y13" s="458"/>
      <c r="Z13" s="458"/>
      <c r="AA13" s="458"/>
      <c r="AB13" s="458"/>
      <c r="AC13" s="412"/>
      <c r="AD13" s="812"/>
      <c r="AE13" s="776"/>
      <c r="AF13" s="776"/>
      <c r="AG13" s="777"/>
      <c r="AH13" s="776"/>
      <c r="AI13" s="777"/>
    </row>
    <row r="14" spans="1:35" hidden="1">
      <c r="A14" s="1063" t="s">
        <v>49</v>
      </c>
      <c r="B14" s="777"/>
      <c r="C14" s="458"/>
      <c r="D14" s="458"/>
      <c r="E14" s="458"/>
      <c r="F14" s="458"/>
      <c r="G14" s="458"/>
      <c r="H14" s="458"/>
      <c r="I14" s="458"/>
      <c r="J14" s="458"/>
      <c r="K14" s="458"/>
      <c r="L14" s="458"/>
      <c r="M14" s="458"/>
      <c r="N14" s="412"/>
      <c r="O14" s="812"/>
      <c r="P14" s="776"/>
      <c r="Q14" s="777"/>
      <c r="R14" s="458"/>
      <c r="S14" s="458"/>
      <c r="T14" s="458"/>
      <c r="U14" s="458"/>
      <c r="V14" s="458"/>
      <c r="W14" s="458"/>
      <c r="X14" s="458"/>
      <c r="Y14" s="458"/>
      <c r="Z14" s="458"/>
      <c r="AA14" s="458"/>
      <c r="AB14" s="458"/>
      <c r="AC14" s="412"/>
      <c r="AD14" s="812"/>
      <c r="AE14" s="776"/>
      <c r="AF14" s="776"/>
      <c r="AG14" s="777"/>
      <c r="AH14" s="776"/>
      <c r="AI14" s="777"/>
    </row>
    <row r="15" spans="1:35">
      <c r="A15" s="1063" t="s">
        <v>51</v>
      </c>
      <c r="B15" s="777"/>
      <c r="C15" s="458"/>
      <c r="D15" s="458"/>
      <c r="E15" s="458"/>
      <c r="F15" s="458"/>
      <c r="G15" s="458"/>
      <c r="H15" s="458"/>
      <c r="I15" s="458"/>
      <c r="J15" s="458"/>
      <c r="K15" s="458"/>
      <c r="L15" s="458"/>
      <c r="M15" s="458"/>
      <c r="N15" s="412"/>
      <c r="O15" s="812"/>
      <c r="P15" s="776"/>
      <c r="Q15" s="777"/>
      <c r="R15" s="458"/>
      <c r="S15" s="458"/>
      <c r="T15" s="458"/>
      <c r="U15" s="458"/>
      <c r="V15" s="458"/>
      <c r="W15" s="458"/>
      <c r="X15" s="458"/>
      <c r="Y15" s="458"/>
      <c r="Z15" s="458"/>
      <c r="AA15" s="458"/>
      <c r="AB15" s="458"/>
      <c r="AC15" s="412"/>
      <c r="AD15" s="812"/>
      <c r="AE15" s="776"/>
      <c r="AF15" s="776"/>
      <c r="AG15" s="777"/>
      <c r="AH15" s="776"/>
      <c r="AI15" s="777"/>
    </row>
    <row r="16" spans="1:35" hidden="1">
      <c r="A16" s="1063" t="s">
        <v>49</v>
      </c>
      <c r="B16" s="777"/>
      <c r="C16" s="458"/>
      <c r="D16" s="458"/>
      <c r="E16" s="458"/>
      <c r="F16" s="458"/>
      <c r="G16" s="458"/>
      <c r="H16" s="458"/>
      <c r="I16" s="458"/>
      <c r="J16" s="458"/>
      <c r="K16" s="458"/>
      <c r="L16" s="458"/>
      <c r="M16" s="458"/>
      <c r="N16" s="412"/>
      <c r="O16" s="812"/>
      <c r="P16" s="776"/>
      <c r="Q16" s="777"/>
      <c r="R16" s="458"/>
      <c r="S16" s="458"/>
      <c r="T16" s="458"/>
      <c r="U16" s="458"/>
      <c r="V16" s="458"/>
      <c r="W16" s="458"/>
      <c r="X16" s="458"/>
      <c r="Y16" s="458"/>
      <c r="Z16" s="458"/>
      <c r="AA16" s="458"/>
      <c r="AB16" s="458"/>
      <c r="AC16" s="412"/>
      <c r="AD16" s="812"/>
      <c r="AE16" s="776"/>
      <c r="AF16" s="776"/>
      <c r="AG16" s="777"/>
      <c r="AH16" s="776"/>
      <c r="AI16" s="777"/>
    </row>
    <row r="17" spans="1:35" hidden="1">
      <c r="A17" s="1063" t="s">
        <v>49</v>
      </c>
      <c r="B17" s="777"/>
      <c r="C17" s="458"/>
      <c r="D17" s="458"/>
      <c r="E17" s="458"/>
      <c r="F17" s="458"/>
      <c r="G17" s="458"/>
      <c r="H17" s="458"/>
      <c r="I17" s="458"/>
      <c r="J17" s="458"/>
      <c r="K17" s="458"/>
      <c r="L17" s="458"/>
      <c r="M17" s="458"/>
      <c r="N17" s="412"/>
      <c r="O17" s="812"/>
      <c r="P17" s="776"/>
      <c r="Q17" s="777"/>
      <c r="R17" s="458"/>
      <c r="S17" s="458"/>
      <c r="T17" s="458"/>
      <c r="U17" s="458"/>
      <c r="V17" s="458"/>
      <c r="W17" s="458"/>
      <c r="X17" s="458"/>
      <c r="Y17" s="458"/>
      <c r="Z17" s="458"/>
      <c r="AA17" s="458"/>
      <c r="AB17" s="458"/>
      <c r="AC17" s="412"/>
      <c r="AD17" s="812"/>
      <c r="AE17" s="776"/>
      <c r="AF17" s="776"/>
      <c r="AG17" s="777"/>
      <c r="AH17" s="776"/>
      <c r="AI17" s="777"/>
    </row>
    <row r="18" spans="1:35" ht="33.75">
      <c r="A18" s="1063" t="s">
        <v>52</v>
      </c>
      <c r="B18" s="777"/>
      <c r="C18" s="458"/>
      <c r="D18" s="458"/>
      <c r="E18" s="458"/>
      <c r="F18" s="458"/>
      <c r="G18" s="458"/>
      <c r="H18" s="458"/>
      <c r="I18" s="458"/>
      <c r="J18" s="458"/>
      <c r="K18" s="458"/>
      <c r="L18" s="458"/>
      <c r="M18" s="458"/>
      <c r="N18" s="412"/>
      <c r="O18" s="812"/>
      <c r="P18" s="776"/>
      <c r="Q18" s="777"/>
      <c r="R18" s="458"/>
      <c r="S18" s="458"/>
      <c r="T18" s="458"/>
      <c r="U18" s="458"/>
      <c r="V18" s="458"/>
      <c r="W18" s="458"/>
      <c r="X18" s="458"/>
      <c r="Y18" s="458"/>
      <c r="Z18" s="458"/>
      <c r="AA18" s="458"/>
      <c r="AB18" s="458"/>
      <c r="AC18" s="412"/>
      <c r="AD18" s="812"/>
      <c r="AE18" s="776"/>
      <c r="AF18" s="776"/>
      <c r="AG18" s="777"/>
      <c r="AH18" s="776"/>
      <c r="AI18" s="777"/>
    </row>
    <row r="19" spans="1:35" hidden="1">
      <c r="A19" s="1063" t="s">
        <v>49</v>
      </c>
      <c r="B19" s="777"/>
      <c r="C19" s="458"/>
      <c r="D19" s="458"/>
      <c r="E19" s="458"/>
      <c r="F19" s="458"/>
      <c r="G19" s="458"/>
      <c r="H19" s="458"/>
      <c r="I19" s="458"/>
      <c r="J19" s="458"/>
      <c r="K19" s="458"/>
      <c r="L19" s="458"/>
      <c r="M19" s="458"/>
      <c r="N19" s="412"/>
      <c r="O19" s="812"/>
      <c r="P19" s="776"/>
      <c r="Q19" s="777"/>
      <c r="R19" s="458"/>
      <c r="S19" s="458"/>
      <c r="T19" s="458"/>
      <c r="U19" s="458"/>
      <c r="V19" s="458"/>
      <c r="W19" s="458"/>
      <c r="X19" s="458"/>
      <c r="Y19" s="458"/>
      <c r="Z19" s="458"/>
      <c r="AA19" s="458"/>
      <c r="AB19" s="458"/>
      <c r="AC19" s="412"/>
      <c r="AD19" s="812"/>
      <c r="AE19" s="776"/>
      <c r="AF19" s="776"/>
      <c r="AG19" s="777"/>
      <c r="AH19" s="776"/>
      <c r="AI19" s="777"/>
    </row>
    <row r="20" spans="1:35" hidden="1">
      <c r="A20" s="1063" t="s">
        <v>49</v>
      </c>
      <c r="B20" s="777"/>
      <c r="C20" s="458"/>
      <c r="D20" s="458"/>
      <c r="E20" s="458"/>
      <c r="F20" s="458"/>
      <c r="G20" s="458"/>
      <c r="H20" s="458"/>
      <c r="I20" s="458"/>
      <c r="J20" s="458"/>
      <c r="K20" s="458"/>
      <c r="L20" s="458"/>
      <c r="M20" s="458"/>
      <c r="N20" s="412"/>
      <c r="O20" s="812"/>
      <c r="P20" s="776"/>
      <c r="Q20" s="777"/>
      <c r="R20" s="458"/>
      <c r="S20" s="458"/>
      <c r="T20" s="458"/>
      <c r="U20" s="458"/>
      <c r="V20" s="458"/>
      <c r="W20" s="458"/>
      <c r="X20" s="458"/>
      <c r="Y20" s="458"/>
      <c r="Z20" s="458"/>
      <c r="AA20" s="458"/>
      <c r="AB20" s="458"/>
      <c r="AC20" s="412"/>
      <c r="AD20" s="812"/>
      <c r="AE20" s="776"/>
      <c r="AF20" s="776"/>
      <c r="AG20" s="777"/>
      <c r="AH20" s="776"/>
      <c r="AI20" s="777"/>
    </row>
    <row r="21" spans="1:35">
      <c r="A21" s="1063" t="s">
        <v>53</v>
      </c>
      <c r="B21" s="777"/>
      <c r="C21" s="458"/>
      <c r="D21" s="458"/>
      <c r="E21" s="458"/>
      <c r="F21" s="458"/>
      <c r="G21" s="458"/>
      <c r="H21" s="458"/>
      <c r="I21" s="458"/>
      <c r="J21" s="458"/>
      <c r="K21" s="458"/>
      <c r="L21" s="458"/>
      <c r="M21" s="458"/>
      <c r="N21" s="412"/>
      <c r="O21" s="812"/>
      <c r="P21" s="776"/>
      <c r="Q21" s="777"/>
      <c r="R21" s="458"/>
      <c r="S21" s="458"/>
      <c r="T21" s="458"/>
      <c r="U21" s="458"/>
      <c r="V21" s="458"/>
      <c r="W21" s="458"/>
      <c r="X21" s="458"/>
      <c r="Y21" s="458"/>
      <c r="Z21" s="458"/>
      <c r="AA21" s="458"/>
      <c r="AB21" s="458"/>
      <c r="AC21" s="412"/>
      <c r="AD21" s="812"/>
      <c r="AE21" s="776"/>
      <c r="AF21" s="776"/>
      <c r="AG21" s="777"/>
      <c r="AH21" s="776"/>
      <c r="AI21" s="777"/>
    </row>
    <row r="22" spans="1:35" hidden="1">
      <c r="A22" s="1063" t="s">
        <v>49</v>
      </c>
      <c r="B22" s="777"/>
      <c r="C22" s="458"/>
      <c r="D22" s="458"/>
      <c r="E22" s="458"/>
      <c r="F22" s="458"/>
      <c r="G22" s="458"/>
      <c r="H22" s="458"/>
      <c r="I22" s="458"/>
      <c r="J22" s="458"/>
      <c r="K22" s="458"/>
      <c r="L22" s="458"/>
      <c r="M22" s="458"/>
      <c r="N22" s="412"/>
      <c r="O22" s="812"/>
      <c r="P22" s="776"/>
      <c r="Q22" s="777"/>
      <c r="R22" s="458"/>
      <c r="S22" s="458"/>
      <c r="T22" s="458"/>
      <c r="U22" s="458"/>
      <c r="V22" s="458"/>
      <c r="W22" s="458"/>
      <c r="X22" s="458"/>
      <c r="Y22" s="458"/>
      <c r="Z22" s="458"/>
      <c r="AA22" s="458"/>
      <c r="AB22" s="458"/>
      <c r="AC22" s="412"/>
      <c r="AD22" s="812"/>
      <c r="AE22" s="776"/>
      <c r="AF22" s="776"/>
      <c r="AG22" s="777"/>
      <c r="AH22" s="776"/>
      <c r="AI22" s="777"/>
    </row>
    <row r="23" spans="1:35" hidden="1">
      <c r="A23" s="1063" t="s">
        <v>49</v>
      </c>
      <c r="B23" s="777"/>
      <c r="C23" s="458"/>
      <c r="D23" s="458"/>
      <c r="E23" s="458"/>
      <c r="F23" s="458"/>
      <c r="G23" s="458"/>
      <c r="H23" s="458"/>
      <c r="I23" s="458"/>
      <c r="J23" s="458"/>
      <c r="K23" s="458"/>
      <c r="L23" s="458"/>
      <c r="M23" s="458"/>
      <c r="N23" s="412"/>
      <c r="O23" s="812"/>
      <c r="P23" s="776"/>
      <c r="Q23" s="777"/>
      <c r="R23" s="458"/>
      <c r="S23" s="458"/>
      <c r="T23" s="458"/>
      <c r="U23" s="458"/>
      <c r="V23" s="458"/>
      <c r="W23" s="458"/>
      <c r="X23" s="458"/>
      <c r="Y23" s="458"/>
      <c r="Z23" s="458"/>
      <c r="AA23" s="458"/>
      <c r="AB23" s="458"/>
      <c r="AC23" s="412"/>
      <c r="AD23" s="812"/>
      <c r="AE23" s="776"/>
      <c r="AF23" s="776"/>
      <c r="AG23" s="777"/>
      <c r="AH23" s="776"/>
      <c r="AI23" s="777"/>
    </row>
    <row r="24" spans="1:35">
      <c r="A24" s="1063" t="s">
        <v>54</v>
      </c>
      <c r="B24" s="777"/>
      <c r="C24" s="458"/>
      <c r="D24" s="458"/>
      <c r="E24" s="458"/>
      <c r="F24" s="458"/>
      <c r="G24" s="458"/>
      <c r="H24" s="458"/>
      <c r="I24" s="458"/>
      <c r="J24" s="458"/>
      <c r="K24" s="458"/>
      <c r="L24" s="458"/>
      <c r="M24" s="458"/>
      <c r="N24" s="412"/>
      <c r="O24" s="812"/>
      <c r="P24" s="776"/>
      <c r="Q24" s="777"/>
      <c r="R24" s="458"/>
      <c r="S24" s="458"/>
      <c r="T24" s="458"/>
      <c r="U24" s="458"/>
      <c r="V24" s="458"/>
      <c r="W24" s="458"/>
      <c r="X24" s="458"/>
      <c r="Y24" s="458"/>
      <c r="Z24" s="458"/>
      <c r="AA24" s="458"/>
      <c r="AB24" s="458"/>
      <c r="AC24" s="412"/>
      <c r="AD24" s="812"/>
      <c r="AE24" s="776"/>
      <c r="AF24" s="776"/>
      <c r="AG24" s="777"/>
      <c r="AH24" s="776"/>
      <c r="AI24" s="777"/>
    </row>
    <row r="25" spans="1:35" hidden="1">
      <c r="A25" s="1063" t="s">
        <v>49</v>
      </c>
      <c r="B25" s="777"/>
      <c r="C25" s="458"/>
      <c r="D25" s="458"/>
      <c r="E25" s="458"/>
      <c r="F25" s="458"/>
      <c r="G25" s="458"/>
      <c r="H25" s="458"/>
      <c r="I25" s="458"/>
      <c r="J25" s="458"/>
      <c r="K25" s="458"/>
      <c r="L25" s="458"/>
      <c r="M25" s="458"/>
      <c r="N25" s="412"/>
      <c r="O25" s="812"/>
      <c r="P25" s="776"/>
      <c r="Q25" s="777"/>
      <c r="R25" s="458"/>
      <c r="S25" s="458"/>
      <c r="T25" s="458"/>
      <c r="U25" s="458"/>
      <c r="V25" s="458"/>
      <c r="W25" s="458"/>
      <c r="X25" s="458"/>
      <c r="Y25" s="458"/>
      <c r="Z25" s="458"/>
      <c r="AA25" s="458"/>
      <c r="AB25" s="458"/>
      <c r="AC25" s="412"/>
      <c r="AD25" s="812"/>
      <c r="AE25" s="776"/>
      <c r="AF25" s="776"/>
      <c r="AG25" s="777"/>
      <c r="AH25" s="776"/>
      <c r="AI25" s="777"/>
    </row>
    <row r="26" spans="1:35" hidden="1">
      <c r="A26" s="1063" t="s">
        <v>49</v>
      </c>
      <c r="B26" s="777"/>
      <c r="C26" s="458"/>
      <c r="D26" s="458"/>
      <c r="E26" s="458"/>
      <c r="F26" s="458"/>
      <c r="G26" s="458"/>
      <c r="H26" s="458"/>
      <c r="I26" s="458"/>
      <c r="J26" s="458"/>
      <c r="K26" s="458"/>
      <c r="L26" s="458"/>
      <c r="M26" s="458"/>
      <c r="N26" s="412"/>
      <c r="O26" s="812"/>
      <c r="P26" s="776"/>
      <c r="Q26" s="777"/>
      <c r="R26" s="458"/>
      <c r="S26" s="458"/>
      <c r="T26" s="458"/>
      <c r="U26" s="458"/>
      <c r="V26" s="458"/>
      <c r="W26" s="458"/>
      <c r="X26" s="458"/>
      <c r="Y26" s="458"/>
      <c r="Z26" s="458"/>
      <c r="AA26" s="458"/>
      <c r="AB26" s="458"/>
      <c r="AC26" s="412"/>
      <c r="AD26" s="812"/>
      <c r="AE26" s="776"/>
      <c r="AF26" s="776"/>
      <c r="AG26" s="777"/>
      <c r="AH26" s="776"/>
      <c r="AI26" s="777"/>
    </row>
    <row r="27" spans="1:35" ht="22.5">
      <c r="A27" s="1063" t="s">
        <v>55</v>
      </c>
      <c r="B27" s="777"/>
      <c r="C27" s="458"/>
      <c r="D27" s="458"/>
      <c r="E27" s="458"/>
      <c r="F27" s="458"/>
      <c r="G27" s="458"/>
      <c r="H27" s="458"/>
      <c r="I27" s="458"/>
      <c r="J27" s="458"/>
      <c r="K27" s="458"/>
      <c r="L27" s="458"/>
      <c r="M27" s="458"/>
      <c r="N27" s="412"/>
      <c r="O27" s="812"/>
      <c r="P27" s="776"/>
      <c r="Q27" s="777"/>
      <c r="R27" s="458"/>
      <c r="S27" s="458"/>
      <c r="T27" s="458"/>
      <c r="U27" s="458"/>
      <c r="V27" s="458"/>
      <c r="W27" s="458"/>
      <c r="X27" s="458"/>
      <c r="Y27" s="458"/>
      <c r="Z27" s="458"/>
      <c r="AA27" s="458"/>
      <c r="AB27" s="458"/>
      <c r="AC27" s="412"/>
      <c r="AD27" s="812"/>
      <c r="AE27" s="776"/>
      <c r="AF27" s="776"/>
      <c r="AG27" s="777"/>
      <c r="AH27" s="776"/>
      <c r="AI27" s="777"/>
    </row>
    <row r="28" spans="1:35" hidden="1">
      <c r="A28" s="1063" t="s">
        <v>49</v>
      </c>
      <c r="B28" s="777"/>
      <c r="C28" s="458"/>
      <c r="D28" s="458"/>
      <c r="E28" s="458"/>
      <c r="F28" s="458"/>
      <c r="G28" s="458"/>
      <c r="H28" s="458"/>
      <c r="I28" s="458"/>
      <c r="J28" s="458"/>
      <c r="K28" s="458"/>
      <c r="L28" s="458"/>
      <c r="M28" s="458"/>
      <c r="N28" s="412"/>
      <c r="O28" s="812"/>
      <c r="P28" s="776"/>
      <c r="Q28" s="777"/>
      <c r="R28" s="458"/>
      <c r="S28" s="458"/>
      <c r="T28" s="458"/>
      <c r="U28" s="458"/>
      <c r="V28" s="458"/>
      <c r="W28" s="458"/>
      <c r="X28" s="458"/>
      <c r="Y28" s="458"/>
      <c r="Z28" s="458"/>
      <c r="AA28" s="458"/>
      <c r="AB28" s="458"/>
      <c r="AC28" s="412"/>
      <c r="AD28" s="812"/>
      <c r="AE28" s="776"/>
      <c r="AF28" s="776"/>
      <c r="AG28" s="777"/>
      <c r="AH28" s="776"/>
      <c r="AI28" s="777"/>
    </row>
    <row r="29" spans="1:35" hidden="1">
      <c r="A29" s="1063" t="s">
        <v>49</v>
      </c>
      <c r="B29" s="777"/>
      <c r="C29" s="458"/>
      <c r="D29" s="458"/>
      <c r="E29" s="458"/>
      <c r="F29" s="458"/>
      <c r="G29" s="458"/>
      <c r="H29" s="458"/>
      <c r="I29" s="458"/>
      <c r="J29" s="458"/>
      <c r="K29" s="458"/>
      <c r="L29" s="458"/>
      <c r="M29" s="458"/>
      <c r="N29" s="412"/>
      <c r="O29" s="812"/>
      <c r="P29" s="776"/>
      <c r="Q29" s="777"/>
      <c r="R29" s="458"/>
      <c r="S29" s="458"/>
      <c r="T29" s="458"/>
      <c r="U29" s="458"/>
      <c r="V29" s="458"/>
      <c r="W29" s="458"/>
      <c r="X29" s="458"/>
      <c r="Y29" s="458"/>
      <c r="Z29" s="458"/>
      <c r="AA29" s="458"/>
      <c r="AB29" s="458"/>
      <c r="AC29" s="412"/>
      <c r="AD29" s="812"/>
      <c r="AE29" s="776"/>
      <c r="AF29" s="776"/>
      <c r="AG29" s="777"/>
      <c r="AH29" s="776"/>
      <c r="AI29" s="777"/>
    </row>
    <row r="30" spans="1:35">
      <c r="A30" s="1063" t="s">
        <v>56</v>
      </c>
      <c r="B30" s="777"/>
      <c r="C30" s="458"/>
      <c r="D30" s="458"/>
      <c r="E30" s="458"/>
      <c r="F30" s="458"/>
      <c r="G30" s="458"/>
      <c r="H30" s="458"/>
      <c r="I30" s="458"/>
      <c r="J30" s="458"/>
      <c r="K30" s="458"/>
      <c r="L30" s="458"/>
      <c r="M30" s="458"/>
      <c r="N30" s="412"/>
      <c r="O30" s="812"/>
      <c r="P30" s="776"/>
      <c r="Q30" s="777"/>
      <c r="R30" s="458"/>
      <c r="S30" s="458"/>
      <c r="T30" s="458"/>
      <c r="U30" s="458"/>
      <c r="V30" s="458"/>
      <c r="W30" s="458"/>
      <c r="X30" s="458"/>
      <c r="Y30" s="458"/>
      <c r="Z30" s="458"/>
      <c r="AA30" s="458"/>
      <c r="AB30" s="458"/>
      <c r="AC30" s="412"/>
      <c r="AD30" s="812"/>
      <c r="AE30" s="776"/>
      <c r="AF30" s="776"/>
      <c r="AG30" s="777"/>
      <c r="AH30" s="776"/>
      <c r="AI30" s="777"/>
    </row>
    <row r="31" spans="1:35" hidden="1">
      <c r="A31" s="1063" t="s">
        <v>49</v>
      </c>
      <c r="B31" s="777"/>
      <c r="C31" s="458"/>
      <c r="D31" s="458"/>
      <c r="E31" s="458"/>
      <c r="F31" s="458"/>
      <c r="G31" s="458"/>
      <c r="H31" s="458"/>
      <c r="I31" s="458"/>
      <c r="J31" s="458"/>
      <c r="K31" s="458"/>
      <c r="L31" s="458"/>
      <c r="M31" s="458"/>
      <c r="N31" s="412"/>
      <c r="O31" s="812"/>
      <c r="P31" s="776"/>
      <c r="Q31" s="777"/>
      <c r="R31" s="458"/>
      <c r="S31" s="458"/>
      <c r="T31" s="458"/>
      <c r="U31" s="458"/>
      <c r="V31" s="458"/>
      <c r="W31" s="458"/>
      <c r="X31" s="458"/>
      <c r="Y31" s="458"/>
      <c r="Z31" s="458"/>
      <c r="AA31" s="458"/>
      <c r="AB31" s="458"/>
      <c r="AC31" s="412"/>
      <c r="AD31" s="812"/>
      <c r="AE31" s="776"/>
      <c r="AF31" s="776"/>
      <c r="AG31" s="777"/>
      <c r="AH31" s="776"/>
      <c r="AI31" s="777"/>
    </row>
    <row r="32" spans="1:35" hidden="1">
      <c r="A32" s="1063" t="s">
        <v>49</v>
      </c>
      <c r="B32" s="777"/>
      <c r="C32" s="458"/>
      <c r="D32" s="458"/>
      <c r="E32" s="458"/>
      <c r="F32" s="458"/>
      <c r="G32" s="458"/>
      <c r="H32" s="458"/>
      <c r="I32" s="458"/>
      <c r="J32" s="458"/>
      <c r="K32" s="458"/>
      <c r="L32" s="458"/>
      <c r="M32" s="458"/>
      <c r="N32" s="412"/>
      <c r="O32" s="812"/>
      <c r="P32" s="776"/>
      <c r="Q32" s="777"/>
      <c r="R32" s="458"/>
      <c r="S32" s="458"/>
      <c r="T32" s="458"/>
      <c r="U32" s="458"/>
      <c r="V32" s="458"/>
      <c r="W32" s="458"/>
      <c r="X32" s="458"/>
      <c r="Y32" s="458"/>
      <c r="Z32" s="458"/>
      <c r="AA32" s="458"/>
      <c r="AB32" s="458"/>
      <c r="AC32" s="412"/>
      <c r="AD32" s="812"/>
      <c r="AE32" s="776"/>
      <c r="AF32" s="776"/>
      <c r="AG32" s="777"/>
      <c r="AH32" s="776"/>
      <c r="AI32" s="777"/>
    </row>
    <row r="33" spans="1:35">
      <c r="A33" s="1063" t="s">
        <v>57</v>
      </c>
      <c r="B33" s="777"/>
      <c r="C33" s="458"/>
      <c r="D33" s="458"/>
      <c r="E33" s="458"/>
      <c r="F33" s="458"/>
      <c r="G33" s="458"/>
      <c r="H33" s="458"/>
      <c r="I33" s="458"/>
      <c r="J33" s="458"/>
      <c r="K33" s="458"/>
      <c r="L33" s="458"/>
      <c r="M33" s="458"/>
      <c r="N33" s="412"/>
      <c r="O33" s="812"/>
      <c r="P33" s="776"/>
      <c r="Q33" s="777"/>
      <c r="R33" s="458"/>
      <c r="S33" s="458"/>
      <c r="T33" s="458"/>
      <c r="U33" s="458"/>
      <c r="V33" s="458"/>
      <c r="W33" s="458"/>
      <c r="X33" s="458"/>
      <c r="Y33" s="458"/>
      <c r="Z33" s="458"/>
      <c r="AA33" s="458"/>
      <c r="AB33" s="458"/>
      <c r="AC33" s="412"/>
      <c r="AD33" s="812"/>
      <c r="AE33" s="776"/>
      <c r="AF33" s="776"/>
      <c r="AG33" s="777"/>
      <c r="AH33" s="776"/>
      <c r="AI33" s="777"/>
    </row>
    <row r="34" spans="1:35" hidden="1">
      <c r="A34" s="1063" t="s">
        <v>49</v>
      </c>
      <c r="B34" s="777"/>
      <c r="C34" s="458"/>
      <c r="D34" s="458"/>
      <c r="E34" s="458"/>
      <c r="F34" s="458"/>
      <c r="G34" s="458"/>
      <c r="H34" s="458"/>
      <c r="I34" s="458"/>
      <c r="J34" s="458"/>
      <c r="K34" s="458"/>
      <c r="L34" s="458"/>
      <c r="M34" s="458"/>
      <c r="N34" s="412"/>
      <c r="O34" s="812"/>
      <c r="P34" s="776"/>
      <c r="Q34" s="777"/>
      <c r="R34" s="458"/>
      <c r="S34" s="458"/>
      <c r="T34" s="458"/>
      <c r="U34" s="458"/>
      <c r="V34" s="458"/>
      <c r="W34" s="458"/>
      <c r="X34" s="458"/>
      <c r="Y34" s="458"/>
      <c r="Z34" s="458"/>
      <c r="AA34" s="458"/>
      <c r="AB34" s="458"/>
      <c r="AC34" s="412"/>
      <c r="AD34" s="812"/>
      <c r="AE34" s="776"/>
      <c r="AF34" s="776"/>
      <c r="AG34" s="777"/>
      <c r="AH34" s="776"/>
      <c r="AI34" s="777"/>
    </row>
    <row r="35" spans="1:35" hidden="1">
      <c r="A35" s="1063" t="s">
        <v>49</v>
      </c>
      <c r="B35" s="777"/>
      <c r="C35" s="458"/>
      <c r="D35" s="458"/>
      <c r="E35" s="458"/>
      <c r="F35" s="458"/>
      <c r="G35" s="458"/>
      <c r="H35" s="458"/>
      <c r="I35" s="458"/>
      <c r="J35" s="458"/>
      <c r="K35" s="458"/>
      <c r="L35" s="458"/>
      <c r="M35" s="458"/>
      <c r="N35" s="412"/>
      <c r="O35" s="812"/>
      <c r="P35" s="776"/>
      <c r="Q35" s="777"/>
      <c r="R35" s="458"/>
      <c r="S35" s="458"/>
      <c r="T35" s="458"/>
      <c r="U35" s="458"/>
      <c r="V35" s="458"/>
      <c r="W35" s="458"/>
      <c r="X35" s="458"/>
      <c r="Y35" s="458"/>
      <c r="Z35" s="458"/>
      <c r="AA35" s="458"/>
      <c r="AB35" s="458"/>
      <c r="AC35" s="412"/>
      <c r="AD35" s="812"/>
      <c r="AE35" s="776"/>
      <c r="AF35" s="776"/>
      <c r="AG35" s="777"/>
      <c r="AH35" s="776"/>
      <c r="AI35" s="777"/>
    </row>
    <row r="36" spans="1:35">
      <c r="A36" s="1063" t="s">
        <v>58</v>
      </c>
      <c r="B36" s="777"/>
      <c r="C36" s="458"/>
      <c r="D36" s="458"/>
      <c r="E36" s="458"/>
      <c r="F36" s="458"/>
      <c r="G36" s="458"/>
      <c r="H36" s="458"/>
      <c r="I36" s="458"/>
      <c r="J36" s="458"/>
      <c r="K36" s="458"/>
      <c r="L36" s="458"/>
      <c r="M36" s="458"/>
      <c r="N36" s="412"/>
      <c r="O36" s="812"/>
      <c r="P36" s="776"/>
      <c r="Q36" s="777"/>
      <c r="R36" s="458"/>
      <c r="S36" s="458"/>
      <c r="T36" s="458"/>
      <c r="U36" s="458"/>
      <c r="V36" s="458"/>
      <c r="W36" s="458"/>
      <c r="X36" s="458"/>
      <c r="Y36" s="458"/>
      <c r="Z36" s="458"/>
      <c r="AA36" s="458"/>
      <c r="AB36" s="458"/>
      <c r="AC36" s="412"/>
      <c r="AD36" s="812"/>
      <c r="AE36" s="776"/>
      <c r="AF36" s="776"/>
      <c r="AG36" s="777"/>
      <c r="AH36" s="776"/>
      <c r="AI36" s="777"/>
    </row>
    <row r="37" spans="1:35" hidden="1">
      <c r="A37" s="1063" t="s">
        <v>49</v>
      </c>
      <c r="B37" s="777"/>
      <c r="C37" s="458"/>
      <c r="D37" s="458"/>
      <c r="E37" s="458"/>
      <c r="F37" s="458"/>
      <c r="G37" s="458"/>
      <c r="H37" s="458"/>
      <c r="I37" s="458"/>
      <c r="J37" s="458"/>
      <c r="K37" s="458"/>
      <c r="L37" s="458"/>
      <c r="M37" s="458"/>
      <c r="N37" s="412"/>
      <c r="O37" s="812"/>
      <c r="P37" s="776"/>
      <c r="Q37" s="777"/>
      <c r="R37" s="458"/>
      <c r="S37" s="458"/>
      <c r="T37" s="458"/>
      <c r="U37" s="458"/>
      <c r="V37" s="458"/>
      <c r="W37" s="458"/>
      <c r="X37" s="458"/>
      <c r="Y37" s="458"/>
      <c r="Z37" s="458"/>
      <c r="AA37" s="458"/>
      <c r="AB37" s="458"/>
      <c r="AC37" s="412"/>
      <c r="AD37" s="812"/>
      <c r="AE37" s="776"/>
      <c r="AF37" s="776"/>
      <c r="AG37" s="777"/>
      <c r="AH37" s="776"/>
      <c r="AI37" s="777"/>
    </row>
    <row r="38" spans="1:35" hidden="1">
      <c r="A38" s="1063" t="s">
        <v>49</v>
      </c>
      <c r="B38" s="777"/>
      <c r="C38" s="458"/>
      <c r="D38" s="458"/>
      <c r="E38" s="458"/>
      <c r="F38" s="458"/>
      <c r="G38" s="458"/>
      <c r="H38" s="458"/>
      <c r="I38" s="458"/>
      <c r="J38" s="458"/>
      <c r="K38" s="458"/>
      <c r="L38" s="458"/>
      <c r="M38" s="458"/>
      <c r="N38" s="412"/>
      <c r="O38" s="812"/>
      <c r="P38" s="776"/>
      <c r="Q38" s="777"/>
      <c r="R38" s="458"/>
      <c r="S38" s="458"/>
      <c r="T38" s="458"/>
      <c r="U38" s="458"/>
      <c r="V38" s="458"/>
      <c r="W38" s="458"/>
      <c r="X38" s="458"/>
      <c r="Y38" s="458"/>
      <c r="Z38" s="458"/>
      <c r="AA38" s="458"/>
      <c r="AB38" s="458"/>
      <c r="AC38" s="412"/>
      <c r="AD38" s="812"/>
      <c r="AE38" s="776"/>
      <c r="AF38" s="776"/>
      <c r="AG38" s="777"/>
      <c r="AH38" s="776"/>
      <c r="AI38" s="777"/>
    </row>
    <row r="39" spans="1:35">
      <c r="A39" s="1063" t="s">
        <v>24</v>
      </c>
      <c r="B39" s="777"/>
      <c r="C39" s="458"/>
      <c r="D39" s="458"/>
      <c r="E39" s="458"/>
      <c r="F39" s="458"/>
      <c r="G39" s="458"/>
      <c r="H39" s="458"/>
      <c r="I39" s="458"/>
      <c r="J39" s="458"/>
      <c r="K39" s="458"/>
      <c r="L39" s="458"/>
      <c r="M39" s="458"/>
      <c r="N39" s="412"/>
      <c r="O39" s="812"/>
      <c r="P39" s="776"/>
      <c r="Q39" s="777"/>
      <c r="R39" s="458"/>
      <c r="S39" s="458"/>
      <c r="T39" s="458"/>
      <c r="U39" s="458"/>
      <c r="V39" s="458"/>
      <c r="W39" s="458"/>
      <c r="X39" s="458"/>
      <c r="Y39" s="458"/>
      <c r="Z39" s="458"/>
      <c r="AA39" s="458"/>
      <c r="AB39" s="458"/>
      <c r="AC39" s="412"/>
      <c r="AD39" s="812"/>
      <c r="AE39" s="776"/>
      <c r="AF39" s="776"/>
      <c r="AG39" s="777"/>
      <c r="AH39" s="776"/>
      <c r="AI39" s="777"/>
    </row>
    <row r="40" spans="1:35">
      <c r="A40" s="1063" t="s">
        <v>59</v>
      </c>
      <c r="B40" s="777"/>
      <c r="C40" s="458"/>
      <c r="D40" s="458"/>
      <c r="E40" s="458"/>
      <c r="F40" s="458"/>
      <c r="G40" s="458"/>
      <c r="H40" s="458"/>
      <c r="I40" s="458"/>
      <c r="J40" s="458"/>
      <c r="K40" s="458"/>
      <c r="L40" s="458"/>
      <c r="M40" s="458"/>
      <c r="N40" s="412"/>
      <c r="O40" s="812"/>
      <c r="P40" s="776"/>
      <c r="Q40" s="777"/>
      <c r="R40" s="458"/>
      <c r="S40" s="458"/>
      <c r="T40" s="458"/>
      <c r="U40" s="458"/>
      <c r="V40" s="458"/>
      <c r="W40" s="458"/>
      <c r="X40" s="458"/>
      <c r="Y40" s="458"/>
      <c r="Z40" s="458"/>
      <c r="AA40" s="458"/>
      <c r="AB40" s="458"/>
      <c r="AC40" s="412"/>
      <c r="AD40" s="812"/>
      <c r="AE40" s="776"/>
      <c r="AF40" s="776"/>
      <c r="AG40" s="777"/>
      <c r="AH40" s="776"/>
      <c r="AI40" s="777"/>
    </row>
    <row r="41" spans="1:35" hidden="1">
      <c r="A41" s="1063" t="s">
        <v>60</v>
      </c>
      <c r="B41" s="777"/>
      <c r="C41" s="458"/>
      <c r="D41" s="458"/>
      <c r="E41" s="458"/>
      <c r="F41" s="458"/>
      <c r="G41" s="458"/>
      <c r="H41" s="458"/>
      <c r="I41" s="458"/>
      <c r="J41" s="458"/>
      <c r="K41" s="458"/>
      <c r="L41" s="458"/>
      <c r="M41" s="458"/>
      <c r="N41" s="412"/>
      <c r="O41" s="812"/>
      <c r="P41" s="776"/>
      <c r="Q41" s="777"/>
      <c r="R41" s="458"/>
      <c r="S41" s="458"/>
      <c r="T41" s="458"/>
      <c r="U41" s="458"/>
      <c r="V41" s="458"/>
      <c r="W41" s="458"/>
      <c r="X41" s="458"/>
      <c r="Y41" s="458"/>
      <c r="Z41" s="458"/>
      <c r="AA41" s="458"/>
      <c r="AB41" s="458"/>
      <c r="AC41" s="412"/>
      <c r="AD41" s="812"/>
      <c r="AE41" s="776"/>
      <c r="AF41" s="776"/>
      <c r="AG41" s="777"/>
      <c r="AH41" s="776"/>
      <c r="AI41" s="777"/>
    </row>
    <row r="42" spans="1:35" hidden="1">
      <c r="A42" s="1063" t="s">
        <v>60</v>
      </c>
      <c r="B42" s="777"/>
      <c r="C42" s="458"/>
      <c r="D42" s="458"/>
      <c r="E42" s="458"/>
      <c r="F42" s="458"/>
      <c r="G42" s="458"/>
      <c r="H42" s="458"/>
      <c r="I42" s="458"/>
      <c r="J42" s="458"/>
      <c r="K42" s="458"/>
      <c r="L42" s="458"/>
      <c r="M42" s="458"/>
      <c r="N42" s="412"/>
      <c r="O42" s="812"/>
      <c r="P42" s="776"/>
      <c r="Q42" s="777"/>
      <c r="R42" s="458"/>
      <c r="S42" s="458"/>
      <c r="T42" s="458"/>
      <c r="U42" s="458"/>
      <c r="V42" s="458"/>
      <c r="W42" s="458"/>
      <c r="X42" s="458"/>
      <c r="Y42" s="458"/>
      <c r="Z42" s="458"/>
      <c r="AA42" s="458"/>
      <c r="AB42" s="458"/>
      <c r="AC42" s="412"/>
      <c r="AD42" s="812"/>
      <c r="AE42" s="776"/>
      <c r="AF42" s="776"/>
      <c r="AG42" s="777"/>
      <c r="AH42" s="776"/>
      <c r="AI42" s="777"/>
    </row>
    <row r="43" spans="1:35" ht="22.5">
      <c r="A43" s="1063" t="s">
        <v>61</v>
      </c>
      <c r="B43" s="777"/>
      <c r="C43" s="458"/>
      <c r="D43" s="458"/>
      <c r="E43" s="458"/>
      <c r="F43" s="458"/>
      <c r="G43" s="458"/>
      <c r="H43" s="458"/>
      <c r="I43" s="458"/>
      <c r="J43" s="458"/>
      <c r="K43" s="458"/>
      <c r="L43" s="458"/>
      <c r="M43" s="458"/>
      <c r="N43" s="412"/>
      <c r="O43" s="812"/>
      <c r="P43" s="776"/>
      <c r="Q43" s="777"/>
      <c r="R43" s="458"/>
      <c r="S43" s="458"/>
      <c r="T43" s="458"/>
      <c r="U43" s="458"/>
      <c r="V43" s="458"/>
      <c r="W43" s="458"/>
      <c r="X43" s="458"/>
      <c r="Y43" s="458"/>
      <c r="Z43" s="458"/>
      <c r="AA43" s="458"/>
      <c r="AB43" s="458"/>
      <c r="AC43" s="412"/>
      <c r="AD43" s="812"/>
      <c r="AE43" s="776"/>
      <c r="AF43" s="776"/>
      <c r="AG43" s="777"/>
      <c r="AH43" s="776"/>
      <c r="AI43" s="777"/>
    </row>
    <row r="44" spans="1:35" hidden="1">
      <c r="A44" s="1063" t="s">
        <v>60</v>
      </c>
      <c r="B44" s="777"/>
      <c r="C44" s="458"/>
      <c r="D44" s="458"/>
      <c r="E44" s="458"/>
      <c r="F44" s="458"/>
      <c r="G44" s="458"/>
      <c r="H44" s="458"/>
      <c r="I44" s="458"/>
      <c r="J44" s="458"/>
      <c r="K44" s="458"/>
      <c r="L44" s="458"/>
      <c r="M44" s="458"/>
      <c r="N44" s="412"/>
      <c r="O44" s="812"/>
      <c r="P44" s="776"/>
      <c r="Q44" s="777"/>
      <c r="R44" s="458"/>
      <c r="S44" s="458"/>
      <c r="T44" s="458"/>
      <c r="U44" s="458"/>
      <c r="V44" s="458"/>
      <c r="W44" s="458"/>
      <c r="X44" s="458"/>
      <c r="Y44" s="458"/>
      <c r="Z44" s="458"/>
      <c r="AA44" s="458"/>
      <c r="AB44" s="458"/>
      <c r="AC44" s="412"/>
      <c r="AD44" s="812"/>
      <c r="AE44" s="776"/>
      <c r="AF44" s="776"/>
      <c r="AG44" s="777"/>
      <c r="AH44" s="776"/>
      <c r="AI44" s="777"/>
    </row>
    <row r="45" spans="1:35">
      <c r="A45" s="1063" t="s">
        <v>62</v>
      </c>
      <c r="B45" s="777"/>
      <c r="C45" s="458"/>
      <c r="D45" s="458"/>
      <c r="E45" s="458"/>
      <c r="F45" s="458"/>
      <c r="G45" s="458"/>
      <c r="H45" s="458"/>
      <c r="I45" s="458"/>
      <c r="J45" s="458"/>
      <c r="K45" s="458"/>
      <c r="L45" s="458"/>
      <c r="M45" s="458"/>
      <c r="N45" s="412"/>
      <c r="O45" s="812"/>
      <c r="P45" s="776"/>
      <c r="Q45" s="777"/>
      <c r="R45" s="458"/>
      <c r="S45" s="458"/>
      <c r="T45" s="458"/>
      <c r="U45" s="458"/>
      <c r="V45" s="458"/>
      <c r="W45" s="458"/>
      <c r="X45" s="458"/>
      <c r="Y45" s="458"/>
      <c r="Z45" s="458"/>
      <c r="AA45" s="458"/>
      <c r="AB45" s="458"/>
      <c r="AC45" s="412"/>
      <c r="AD45" s="812"/>
      <c r="AE45" s="776"/>
      <c r="AF45" s="776"/>
      <c r="AG45" s="777"/>
      <c r="AH45" s="776"/>
      <c r="AI45" s="777"/>
    </row>
    <row r="46" spans="1:35" hidden="1">
      <c r="A46" s="1063" t="s">
        <v>60</v>
      </c>
      <c r="B46" s="777"/>
      <c r="C46" s="458"/>
      <c r="D46" s="458"/>
      <c r="E46" s="458"/>
      <c r="F46" s="458"/>
      <c r="G46" s="458"/>
      <c r="H46" s="458"/>
      <c r="I46" s="458"/>
      <c r="J46" s="458"/>
      <c r="K46" s="458"/>
      <c r="L46" s="458"/>
      <c r="M46" s="458"/>
      <c r="N46" s="412"/>
      <c r="O46" s="812"/>
      <c r="P46" s="776"/>
      <c r="Q46" s="777"/>
      <c r="R46" s="458"/>
      <c r="S46" s="458"/>
      <c r="T46" s="458"/>
      <c r="U46" s="458"/>
      <c r="V46" s="458"/>
      <c r="W46" s="458"/>
      <c r="X46" s="458"/>
      <c r="Y46" s="458"/>
      <c r="Z46" s="458"/>
      <c r="AA46" s="458"/>
      <c r="AB46" s="458"/>
      <c r="AC46" s="412"/>
      <c r="AD46" s="812"/>
      <c r="AE46" s="776"/>
      <c r="AF46" s="776"/>
      <c r="AG46" s="777"/>
      <c r="AH46" s="776"/>
      <c r="AI46" s="777"/>
    </row>
    <row r="47" spans="1:35" hidden="1">
      <c r="A47" s="1063"/>
      <c r="B47" s="777"/>
      <c r="C47" s="458"/>
      <c r="D47" s="458"/>
      <c r="E47" s="458"/>
      <c r="F47" s="458"/>
      <c r="G47" s="458"/>
      <c r="H47" s="458"/>
      <c r="I47" s="458"/>
      <c r="J47" s="458"/>
      <c r="K47" s="458"/>
      <c r="L47" s="458"/>
      <c r="M47" s="458"/>
      <c r="N47" s="412"/>
      <c r="O47" s="812"/>
      <c r="P47" s="776"/>
      <c r="Q47" s="777"/>
      <c r="R47" s="458"/>
      <c r="S47" s="458"/>
      <c r="T47" s="458"/>
      <c r="U47" s="458"/>
      <c r="V47" s="458"/>
      <c r="W47" s="458"/>
      <c r="X47" s="458"/>
      <c r="Y47" s="458"/>
      <c r="Z47" s="458"/>
      <c r="AA47" s="458"/>
      <c r="AB47" s="458"/>
      <c r="AC47" s="412"/>
      <c r="AD47" s="812"/>
      <c r="AE47" s="776"/>
      <c r="AF47" s="776"/>
      <c r="AG47" s="777"/>
      <c r="AH47" s="776"/>
      <c r="AI47" s="777"/>
    </row>
    <row r="48" spans="1:35">
      <c r="A48" s="1063" t="s">
        <v>63</v>
      </c>
      <c r="B48" s="777"/>
      <c r="C48" s="458"/>
      <c r="D48" s="458"/>
      <c r="E48" s="458"/>
      <c r="F48" s="458"/>
      <c r="G48" s="458"/>
      <c r="H48" s="458"/>
      <c r="I48" s="458"/>
      <c r="J48" s="458"/>
      <c r="K48" s="458"/>
      <c r="L48" s="458"/>
      <c r="M48" s="458"/>
      <c r="N48" s="412"/>
      <c r="O48" s="812"/>
      <c r="P48" s="776"/>
      <c r="Q48" s="777"/>
      <c r="R48" s="458"/>
      <c r="S48" s="458"/>
      <c r="T48" s="458"/>
      <c r="U48" s="458"/>
      <c r="V48" s="458"/>
      <c r="W48" s="458"/>
      <c r="X48" s="458"/>
      <c r="Y48" s="458"/>
      <c r="Z48" s="458"/>
      <c r="AA48" s="458"/>
      <c r="AB48" s="458"/>
      <c r="AC48" s="412"/>
      <c r="AD48" s="812"/>
      <c r="AE48" s="776"/>
      <c r="AF48" s="776"/>
      <c r="AG48" s="777"/>
      <c r="AH48" s="776"/>
      <c r="AI48" s="777"/>
    </row>
    <row r="49" spans="1:35" hidden="1">
      <c r="A49" s="909" t="s">
        <v>60</v>
      </c>
      <c r="B49" s="777"/>
      <c r="C49" s="458"/>
      <c r="D49" s="458"/>
      <c r="E49" s="458"/>
      <c r="F49" s="458"/>
      <c r="G49" s="458"/>
      <c r="H49" s="458"/>
      <c r="I49" s="458"/>
      <c r="J49" s="458"/>
      <c r="K49" s="458"/>
      <c r="L49" s="458"/>
      <c r="M49" s="458"/>
      <c r="N49" s="412"/>
      <c r="O49" s="812"/>
      <c r="P49" s="776"/>
      <c r="Q49" s="777"/>
      <c r="R49" s="458"/>
      <c r="S49" s="458"/>
      <c r="T49" s="458"/>
      <c r="U49" s="458"/>
      <c r="V49" s="458"/>
      <c r="W49" s="458"/>
      <c r="X49" s="458"/>
      <c r="Y49" s="458"/>
      <c r="Z49" s="458"/>
      <c r="AA49" s="458"/>
      <c r="AB49" s="458"/>
      <c r="AC49" s="412"/>
      <c r="AD49" s="812"/>
      <c r="AE49" s="776"/>
      <c r="AF49" s="776"/>
      <c r="AG49" s="777"/>
      <c r="AH49" s="776"/>
      <c r="AI49" s="777"/>
    </row>
    <row r="50" spans="1:35" hidden="1">
      <c r="A50" s="909"/>
      <c r="B50" s="777"/>
      <c r="C50" s="458"/>
      <c r="D50" s="458"/>
      <c r="E50" s="458"/>
      <c r="F50" s="458"/>
      <c r="G50" s="458"/>
      <c r="H50" s="458"/>
      <c r="I50" s="458"/>
      <c r="J50" s="458"/>
      <c r="K50" s="458"/>
      <c r="L50" s="458"/>
      <c r="M50" s="458"/>
      <c r="N50" s="412"/>
      <c r="O50" s="812"/>
      <c r="P50" s="776"/>
      <c r="Q50" s="777"/>
      <c r="R50" s="458"/>
      <c r="S50" s="458"/>
      <c r="T50" s="458"/>
      <c r="U50" s="458"/>
      <c r="V50" s="458"/>
      <c r="W50" s="458"/>
      <c r="X50" s="458"/>
      <c r="Y50" s="458"/>
      <c r="Z50" s="458"/>
      <c r="AA50" s="458"/>
      <c r="AB50" s="458"/>
      <c r="AC50" s="412"/>
      <c r="AD50" s="812"/>
      <c r="AE50" s="776"/>
      <c r="AF50" s="776"/>
      <c r="AG50" s="777"/>
      <c r="AH50" s="776"/>
      <c r="AI50" s="777"/>
    </row>
    <row r="51" spans="1:35" ht="12.75" hidden="1" thickBot="1">
      <c r="A51" s="910"/>
      <c r="B51" s="911"/>
      <c r="C51" s="456"/>
      <c r="D51" s="456"/>
      <c r="E51" s="456"/>
      <c r="F51" s="456"/>
      <c r="G51" s="456"/>
      <c r="H51" s="456"/>
      <c r="I51" s="456"/>
      <c r="J51" s="456"/>
      <c r="K51" s="456"/>
      <c r="L51" s="456"/>
      <c r="M51" s="456"/>
      <c r="N51" s="912"/>
      <c r="O51" s="913"/>
      <c r="P51" s="914"/>
      <c r="Q51" s="911"/>
      <c r="R51" s="456"/>
      <c r="S51" s="456"/>
      <c r="T51" s="456"/>
      <c r="U51" s="456"/>
      <c r="V51" s="456"/>
      <c r="W51" s="456"/>
      <c r="X51" s="456"/>
      <c r="Y51" s="456"/>
      <c r="Z51" s="456"/>
      <c r="AA51" s="456"/>
      <c r="AB51" s="456"/>
      <c r="AC51" s="912"/>
      <c r="AD51" s="913"/>
      <c r="AE51" s="914"/>
      <c r="AF51" s="914"/>
      <c r="AG51" s="911"/>
      <c r="AH51" s="914"/>
      <c r="AI51" s="911"/>
    </row>
    <row r="52" spans="1:35" ht="12.75" thickBot="1">
      <c r="A52" s="915" t="s">
        <v>0</v>
      </c>
      <c r="B52" s="916"/>
      <c r="C52" s="455"/>
      <c r="D52" s="917"/>
      <c r="E52" s="917"/>
      <c r="F52" s="917"/>
      <c r="G52" s="917"/>
      <c r="H52" s="917"/>
      <c r="I52" s="917"/>
      <c r="J52" s="917"/>
      <c r="K52" s="917"/>
      <c r="L52" s="917"/>
      <c r="M52" s="917"/>
      <c r="N52" s="918"/>
      <c r="O52" s="919"/>
      <c r="P52" s="920"/>
      <c r="Q52" s="921"/>
      <c r="R52" s="455"/>
      <c r="S52" s="917"/>
      <c r="T52" s="917"/>
      <c r="U52" s="917"/>
      <c r="V52" s="917"/>
      <c r="W52" s="917"/>
      <c r="X52" s="917"/>
      <c r="Y52" s="917"/>
      <c r="Z52" s="917"/>
      <c r="AA52" s="917"/>
      <c r="AB52" s="917"/>
      <c r="AC52" s="918"/>
      <c r="AD52" s="919"/>
      <c r="AE52" s="920"/>
      <c r="AF52" s="920"/>
      <c r="AG52" s="921"/>
      <c r="AH52" s="920"/>
      <c r="AI52" s="921"/>
    </row>
    <row r="53" spans="1:35">
      <c r="A53" s="265" t="s">
        <v>64</v>
      </c>
    </row>
    <row r="54" spans="1:35">
      <c r="A54" s="445" t="s">
        <v>65</v>
      </c>
      <c r="B54" s="265" t="s">
        <v>152</v>
      </c>
    </row>
    <row r="55" spans="1:35">
      <c r="A55" s="445" t="s">
        <v>66</v>
      </c>
      <c r="B55" s="265" t="s">
        <v>67</v>
      </c>
    </row>
    <row r="56" spans="1:35">
      <c r="A56" s="445" t="s">
        <v>68</v>
      </c>
      <c r="B56" s="265" t="s">
        <v>69</v>
      </c>
    </row>
    <row r="57" spans="1:35">
      <c r="A57" s="445" t="s">
        <v>70</v>
      </c>
      <c r="B57" s="265" t="s">
        <v>71</v>
      </c>
    </row>
    <row r="58" spans="1:35">
      <c r="A58" s="445"/>
      <c r="B58" s="265" t="s">
        <v>72</v>
      </c>
    </row>
    <row r="59" spans="1:35" ht="24">
      <c r="A59" s="445" t="s">
        <v>73</v>
      </c>
      <c r="B59" s="2028" t="s">
        <v>143</v>
      </c>
      <c r="C59" s="2028"/>
      <c r="D59" s="2028"/>
      <c r="E59" s="2028"/>
      <c r="F59" s="2028"/>
      <c r="G59" s="2028"/>
      <c r="H59" s="2028"/>
      <c r="I59" s="2028"/>
      <c r="J59" s="2028"/>
      <c r="K59" s="2028"/>
      <c r="L59" s="2028"/>
      <c r="M59" s="2028"/>
      <c r="N59" s="2028"/>
      <c r="O59" s="2028"/>
      <c r="P59" s="2028"/>
      <c r="Q59" s="2028"/>
      <c r="R59" s="2028"/>
      <c r="S59" s="2028"/>
      <c r="T59" s="2028"/>
      <c r="U59" s="2028"/>
      <c r="V59" s="2028"/>
      <c r="W59" s="2028"/>
      <c r="X59" s="2028"/>
      <c r="Y59" s="2028"/>
      <c r="Z59" s="2028"/>
      <c r="AA59" s="2028"/>
      <c r="AB59" s="2028"/>
      <c r="AC59" s="2028"/>
      <c r="AD59" s="2028"/>
      <c r="AE59" s="2028"/>
      <c r="AF59" s="2028"/>
      <c r="AG59" s="2028"/>
      <c r="AH59" s="2028"/>
      <c r="AI59" s="2028"/>
    </row>
    <row r="60" spans="1:35">
      <c r="A60" s="445"/>
      <c r="B60" s="265" t="s">
        <v>74</v>
      </c>
    </row>
    <row r="61" spans="1:35">
      <c r="A61" s="445"/>
      <c r="B61" s="265" t="s">
        <v>75</v>
      </c>
    </row>
    <row r="62" spans="1:35">
      <c r="A62" s="445"/>
      <c r="B62" s="265" t="s">
        <v>76</v>
      </c>
    </row>
    <row r="63" spans="1:35">
      <c r="A63" s="445" t="s">
        <v>177</v>
      </c>
      <c r="B63" s="265" t="s">
        <v>178</v>
      </c>
    </row>
    <row r="64" spans="1:35" ht="36">
      <c r="A64" s="445" t="s">
        <v>179</v>
      </c>
      <c r="B64" s="265" t="s">
        <v>148</v>
      </c>
    </row>
    <row r="65" spans="1:35" ht="24">
      <c r="A65" s="445" t="s">
        <v>180</v>
      </c>
      <c r="B65" s="2028" t="s">
        <v>144</v>
      </c>
      <c r="C65" s="2028"/>
      <c r="D65" s="2028"/>
      <c r="E65" s="2028"/>
      <c r="F65" s="2028"/>
      <c r="G65" s="2028"/>
      <c r="H65" s="2028"/>
      <c r="I65" s="2028"/>
      <c r="J65" s="2028"/>
      <c r="K65" s="2028"/>
      <c r="L65" s="2028"/>
      <c r="M65" s="2028"/>
      <c r="N65" s="2028"/>
      <c r="O65" s="2028"/>
      <c r="P65" s="2028"/>
      <c r="Q65" s="2028"/>
      <c r="R65" s="2028"/>
      <c r="S65" s="2028"/>
      <c r="T65" s="2028"/>
      <c r="U65" s="2028"/>
      <c r="V65" s="2028"/>
      <c r="W65" s="2028"/>
      <c r="X65" s="2028"/>
      <c r="Y65" s="2028"/>
      <c r="Z65" s="2028"/>
      <c r="AA65" s="2028"/>
      <c r="AB65" s="2028"/>
      <c r="AC65" s="2028"/>
      <c r="AD65" s="2028"/>
      <c r="AE65" s="2028"/>
      <c r="AF65" s="2028"/>
      <c r="AG65" s="2028"/>
      <c r="AH65" s="2028"/>
      <c r="AI65" s="2028"/>
    </row>
    <row r="66" spans="1:35">
      <c r="A66" s="445"/>
      <c r="B66" s="265" t="s">
        <v>74</v>
      </c>
    </row>
    <row r="67" spans="1:35">
      <c r="A67" s="445"/>
      <c r="B67" s="265" t="s">
        <v>75</v>
      </c>
    </row>
    <row r="68" spans="1:35">
      <c r="A68" s="445"/>
      <c r="B68" s="265" t="s">
        <v>112</v>
      </c>
    </row>
    <row r="69" spans="1:35" ht="24">
      <c r="A69" s="445" t="s">
        <v>189</v>
      </c>
      <c r="B69" s="265" t="s">
        <v>190</v>
      </c>
    </row>
    <row r="70" spans="1:35" ht="24">
      <c r="A70" s="445" t="s">
        <v>187</v>
      </c>
      <c r="B70" s="265" t="s">
        <v>183</v>
      </c>
    </row>
    <row r="71" spans="1:35">
      <c r="A71" s="445" t="s">
        <v>188</v>
      </c>
      <c r="B71" s="265" t="s">
        <v>191</v>
      </c>
    </row>
  </sheetData>
  <mergeCells count="7">
    <mergeCell ref="B59:AI59"/>
    <mergeCell ref="B65:AI65"/>
    <mergeCell ref="A5:A7"/>
    <mergeCell ref="B5:P5"/>
    <mergeCell ref="Q5:AE5"/>
    <mergeCell ref="AF5:AG5"/>
    <mergeCell ref="AH5:AI5"/>
  </mergeCells>
  <printOptions horizontalCentered="1"/>
  <pageMargins left="0.19685039370078741" right="0.19685039370078741" top="0.78740157480314965" bottom="0.78740157480314965" header="0.19685039370078741" footer="0.19685039370078741"/>
  <pageSetup paperSize="9" scale="79"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2060"/>
  </sheetPr>
  <dimension ref="A1:AI71"/>
  <sheetViews>
    <sheetView view="pageBreakPreview" topLeftCell="A6" zoomScaleNormal="100" zoomScaleSheetLayoutView="100" workbookViewId="0">
      <selection activeCell="B8" sqref="B8"/>
    </sheetView>
  </sheetViews>
  <sheetFormatPr baseColWidth="10" defaultColWidth="11.42578125" defaultRowHeight="12"/>
  <cols>
    <col min="1" max="1" width="23.7109375" style="265" customWidth="1"/>
    <col min="2" max="2" width="8.7109375" style="265" customWidth="1"/>
    <col min="3" max="3" width="5.42578125" style="265" bestFit="1" customWidth="1"/>
    <col min="4" max="5" width="3.140625" style="265" bestFit="1" customWidth="1"/>
    <col min="6" max="6" width="5.42578125" style="265" bestFit="1" customWidth="1"/>
    <col min="7" max="9" width="3.140625" style="265" bestFit="1" customWidth="1"/>
    <col min="10" max="15" width="5.42578125" style="265" bestFit="1" customWidth="1"/>
    <col min="16" max="16" width="4.140625" style="265" bestFit="1" customWidth="1"/>
    <col min="17" max="17" width="3.140625" style="265" bestFit="1" customWidth="1"/>
    <col min="18" max="18" width="5.42578125" style="265" bestFit="1" customWidth="1"/>
    <col min="19" max="20" width="3.140625" style="265" bestFit="1" customWidth="1"/>
    <col min="21" max="21" width="5.42578125" style="265" bestFit="1" customWidth="1"/>
    <col min="22" max="24" width="3.140625" style="265" bestFit="1" customWidth="1"/>
    <col min="25" max="30" width="5.42578125" style="265" bestFit="1" customWidth="1"/>
    <col min="31" max="31" width="7.7109375" style="265" bestFit="1" customWidth="1"/>
    <col min="32" max="32" width="5.42578125" style="265" bestFit="1" customWidth="1"/>
    <col min="33" max="34" width="3.140625" style="265" bestFit="1" customWidth="1"/>
    <col min="35" max="35" width="7.7109375" style="265" bestFit="1" customWidth="1"/>
    <col min="36" max="16384" width="11.42578125" style="265"/>
  </cols>
  <sheetData>
    <row r="1" spans="1:35" s="743" customFormat="1">
      <c r="A1" s="742" t="s">
        <v>465</v>
      </c>
    </row>
    <row r="2" spans="1:35" s="743" customFormat="1">
      <c r="A2" s="69" t="s">
        <v>1655</v>
      </c>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row>
    <row r="3" spans="1:35" s="742" customFormat="1">
      <c r="A3" s="742" t="s">
        <v>5504</v>
      </c>
      <c r="T3" s="745"/>
    </row>
    <row r="4" spans="1:35" s="742" customFormat="1" ht="12.75" thickBot="1">
      <c r="T4" s="745"/>
    </row>
    <row r="5" spans="1:35" ht="12.75" thickBot="1">
      <c r="A5" s="1992" t="s">
        <v>41</v>
      </c>
      <c r="B5" s="2021" t="s">
        <v>314</v>
      </c>
      <c r="C5" s="2021"/>
      <c r="D5" s="2021"/>
      <c r="E5" s="2021"/>
      <c r="F5" s="2021"/>
      <c r="G5" s="2021"/>
      <c r="H5" s="2021"/>
      <c r="I5" s="2021"/>
      <c r="J5" s="2021"/>
      <c r="K5" s="2021"/>
      <c r="L5" s="2021"/>
      <c r="M5" s="2021"/>
      <c r="N5" s="2021"/>
      <c r="O5" s="2021"/>
      <c r="P5" s="2021"/>
      <c r="Q5" s="2022" t="s">
        <v>462</v>
      </c>
      <c r="R5" s="2021"/>
      <c r="S5" s="2021"/>
      <c r="T5" s="2021"/>
      <c r="U5" s="2021"/>
      <c r="V5" s="2021"/>
      <c r="W5" s="2021"/>
      <c r="X5" s="2021"/>
      <c r="Y5" s="2021"/>
      <c r="Z5" s="2021"/>
      <c r="AA5" s="2021"/>
      <c r="AB5" s="2021"/>
      <c r="AC5" s="2021"/>
      <c r="AD5" s="2021"/>
      <c r="AE5" s="2023"/>
      <c r="AF5" s="2024" t="s">
        <v>463</v>
      </c>
      <c r="AG5" s="2025"/>
      <c r="AH5" s="2024" t="s">
        <v>464</v>
      </c>
      <c r="AI5" s="2025"/>
    </row>
    <row r="6" spans="1:35" ht="171">
      <c r="A6" s="2019"/>
      <c r="B6" s="130" t="s">
        <v>11</v>
      </c>
      <c r="C6" s="131" t="s">
        <v>137</v>
      </c>
      <c r="D6" s="132" t="s">
        <v>240</v>
      </c>
      <c r="E6" s="132" t="s">
        <v>139</v>
      </c>
      <c r="F6" s="132" t="s">
        <v>173</v>
      </c>
      <c r="G6" s="132" t="s">
        <v>174</v>
      </c>
      <c r="H6" s="132" t="s">
        <v>175</v>
      </c>
      <c r="I6" s="132" t="s">
        <v>176</v>
      </c>
      <c r="J6" s="132" t="s">
        <v>140</v>
      </c>
      <c r="K6" s="132" t="s">
        <v>141</v>
      </c>
      <c r="L6" s="132" t="s">
        <v>142</v>
      </c>
      <c r="M6" s="132" t="s">
        <v>172</v>
      </c>
      <c r="N6" s="133" t="s">
        <v>114</v>
      </c>
      <c r="O6" s="134" t="s">
        <v>147</v>
      </c>
      <c r="P6" s="135" t="s">
        <v>146</v>
      </c>
      <c r="Q6" s="130" t="s">
        <v>11</v>
      </c>
      <c r="R6" s="131" t="s">
        <v>137</v>
      </c>
      <c r="S6" s="132" t="s">
        <v>138</v>
      </c>
      <c r="T6" s="132" t="s">
        <v>139</v>
      </c>
      <c r="U6" s="132" t="s">
        <v>173</v>
      </c>
      <c r="V6" s="132" t="s">
        <v>174</v>
      </c>
      <c r="W6" s="132" t="s">
        <v>175</v>
      </c>
      <c r="X6" s="132" t="s">
        <v>176</v>
      </c>
      <c r="Y6" s="132" t="s">
        <v>140</v>
      </c>
      <c r="Z6" s="132" t="s">
        <v>141</v>
      </c>
      <c r="AA6" s="132" t="s">
        <v>142</v>
      </c>
      <c r="AB6" s="132" t="s">
        <v>172</v>
      </c>
      <c r="AC6" s="133" t="s">
        <v>114</v>
      </c>
      <c r="AD6" s="134" t="s">
        <v>147</v>
      </c>
      <c r="AE6" s="135" t="s">
        <v>315</v>
      </c>
      <c r="AF6" s="136" t="s">
        <v>151</v>
      </c>
      <c r="AG6" s="136" t="s">
        <v>150</v>
      </c>
      <c r="AH6" s="136" t="s">
        <v>11</v>
      </c>
      <c r="AI6" s="135" t="s">
        <v>316</v>
      </c>
    </row>
    <row r="7" spans="1:35" ht="15.75" customHeight="1" thickBot="1">
      <c r="A7" s="2020"/>
      <c r="B7" s="389" t="s">
        <v>42</v>
      </c>
      <c r="C7" s="805" t="s">
        <v>43</v>
      </c>
      <c r="D7" s="806" t="s">
        <v>44</v>
      </c>
      <c r="E7" s="806" t="s">
        <v>45</v>
      </c>
      <c r="F7" s="807" t="s">
        <v>46</v>
      </c>
      <c r="G7" s="807" t="s">
        <v>47</v>
      </c>
      <c r="H7" s="807" t="s">
        <v>77</v>
      </c>
      <c r="I7" s="807" t="s">
        <v>113</v>
      </c>
      <c r="J7" s="807" t="s">
        <v>145</v>
      </c>
      <c r="K7" s="807" t="s">
        <v>149</v>
      </c>
      <c r="L7" s="807" t="s">
        <v>181</v>
      </c>
      <c r="M7" s="807" t="s">
        <v>182</v>
      </c>
      <c r="N7" s="808" t="s">
        <v>184</v>
      </c>
      <c r="O7" s="809" t="s">
        <v>185</v>
      </c>
      <c r="P7" s="810" t="s">
        <v>186</v>
      </c>
      <c r="Q7" s="389" t="s">
        <v>42</v>
      </c>
      <c r="R7" s="805" t="s">
        <v>43</v>
      </c>
      <c r="S7" s="806" t="s">
        <v>44</v>
      </c>
      <c r="T7" s="806" t="s">
        <v>45</v>
      </c>
      <c r="U7" s="807" t="s">
        <v>46</v>
      </c>
      <c r="V7" s="807" t="s">
        <v>47</v>
      </c>
      <c r="W7" s="807" t="s">
        <v>77</v>
      </c>
      <c r="X7" s="807" t="s">
        <v>113</v>
      </c>
      <c r="Y7" s="807" t="s">
        <v>145</v>
      </c>
      <c r="Z7" s="807" t="s">
        <v>149</v>
      </c>
      <c r="AA7" s="807" t="s">
        <v>181</v>
      </c>
      <c r="AB7" s="807" t="s">
        <v>182</v>
      </c>
      <c r="AC7" s="808" t="s">
        <v>184</v>
      </c>
      <c r="AD7" s="809" t="s">
        <v>185</v>
      </c>
      <c r="AE7" s="810" t="s">
        <v>186</v>
      </c>
      <c r="AF7" s="754"/>
      <c r="AG7" s="389"/>
      <c r="AH7" s="754"/>
      <c r="AI7" s="389"/>
    </row>
    <row r="8" spans="1:35" hidden="1">
      <c r="A8" s="811"/>
      <c r="B8" s="777"/>
      <c r="C8" s="458"/>
      <c r="D8" s="458"/>
      <c r="E8" s="458"/>
      <c r="F8" s="458"/>
      <c r="G8" s="458"/>
      <c r="H8" s="458"/>
      <c r="I8" s="458"/>
      <c r="J8" s="458"/>
      <c r="K8" s="458"/>
      <c r="L8" s="458"/>
      <c r="M8" s="458"/>
      <c r="N8" s="412"/>
      <c r="O8" s="812"/>
      <c r="P8" s="776"/>
      <c r="Q8" s="777"/>
      <c r="R8" s="458"/>
      <c r="S8" s="458"/>
      <c r="T8" s="458"/>
      <c r="U8" s="458"/>
      <c r="V8" s="458"/>
      <c r="W8" s="458"/>
      <c r="X8" s="458"/>
      <c r="Y8" s="458"/>
      <c r="Z8" s="458"/>
      <c r="AA8" s="458"/>
      <c r="AB8" s="458"/>
      <c r="AC8" s="412"/>
      <c r="AD8" s="812"/>
      <c r="AE8" s="776"/>
      <c r="AF8" s="776"/>
      <c r="AG8" s="777"/>
      <c r="AH8" s="776"/>
      <c r="AI8" s="777"/>
    </row>
    <row r="9" spans="1:35">
      <c r="A9" s="1063" t="s">
        <v>48</v>
      </c>
      <c r="B9" s="777"/>
      <c r="C9" s="458"/>
      <c r="D9" s="458"/>
      <c r="E9" s="458"/>
      <c r="F9" s="458"/>
      <c r="G9" s="458"/>
      <c r="H9" s="458"/>
      <c r="I9" s="458"/>
      <c r="J9" s="458"/>
      <c r="K9" s="458"/>
      <c r="L9" s="458"/>
      <c r="M9" s="458"/>
      <c r="N9" s="412"/>
      <c r="O9" s="812"/>
      <c r="P9" s="776"/>
      <c r="Q9" s="777"/>
      <c r="R9" s="458"/>
      <c r="S9" s="458"/>
      <c r="T9" s="458"/>
      <c r="U9" s="458"/>
      <c r="V9" s="458"/>
      <c r="W9" s="458"/>
      <c r="X9" s="458"/>
      <c r="Y9" s="458"/>
      <c r="Z9" s="458"/>
      <c r="AA9" s="458"/>
      <c r="AB9" s="458"/>
      <c r="AC9" s="412"/>
      <c r="AD9" s="812"/>
      <c r="AE9" s="776"/>
      <c r="AF9" s="776"/>
      <c r="AG9" s="777"/>
      <c r="AH9" s="776"/>
      <c r="AI9" s="777"/>
    </row>
    <row r="10" spans="1:35" hidden="1">
      <c r="A10" s="1063" t="s">
        <v>49</v>
      </c>
      <c r="B10" s="777"/>
      <c r="C10" s="458"/>
      <c r="D10" s="458"/>
      <c r="E10" s="458"/>
      <c r="F10" s="458"/>
      <c r="G10" s="458"/>
      <c r="H10" s="458"/>
      <c r="I10" s="458"/>
      <c r="J10" s="458"/>
      <c r="K10" s="458"/>
      <c r="L10" s="458"/>
      <c r="M10" s="458"/>
      <c r="N10" s="412"/>
      <c r="O10" s="812"/>
      <c r="P10" s="776"/>
      <c r="Q10" s="777"/>
      <c r="R10" s="458"/>
      <c r="S10" s="458"/>
      <c r="T10" s="458"/>
      <c r="U10" s="458"/>
      <c r="V10" s="458"/>
      <c r="W10" s="458"/>
      <c r="X10" s="458"/>
      <c r="Y10" s="458"/>
      <c r="Z10" s="458"/>
      <c r="AA10" s="458"/>
      <c r="AB10" s="458"/>
      <c r="AC10" s="412"/>
      <c r="AD10" s="812"/>
      <c r="AE10" s="776"/>
      <c r="AF10" s="776"/>
      <c r="AG10" s="777"/>
      <c r="AH10" s="776"/>
      <c r="AI10" s="777"/>
    </row>
    <row r="11" spans="1:35" hidden="1">
      <c r="A11" s="1063" t="s">
        <v>49</v>
      </c>
      <c r="B11" s="777"/>
      <c r="C11" s="458"/>
      <c r="D11" s="458"/>
      <c r="E11" s="458"/>
      <c r="F11" s="458"/>
      <c r="G11" s="458"/>
      <c r="H11" s="458"/>
      <c r="I11" s="458"/>
      <c r="J11" s="458"/>
      <c r="K11" s="458"/>
      <c r="L11" s="458"/>
      <c r="M11" s="458"/>
      <c r="N11" s="412"/>
      <c r="O11" s="812"/>
      <c r="P11" s="776"/>
      <c r="Q11" s="777"/>
      <c r="R11" s="458"/>
      <c r="S11" s="458"/>
      <c r="T11" s="458"/>
      <c r="U11" s="458"/>
      <c r="V11" s="458"/>
      <c r="W11" s="458"/>
      <c r="X11" s="458"/>
      <c r="Y11" s="458"/>
      <c r="Z11" s="458"/>
      <c r="AA11" s="458"/>
      <c r="AB11" s="458"/>
      <c r="AC11" s="412"/>
      <c r="AD11" s="812"/>
      <c r="AE11" s="776"/>
      <c r="AF11" s="776"/>
      <c r="AG11" s="777"/>
      <c r="AH11" s="776"/>
      <c r="AI11" s="777"/>
    </row>
    <row r="12" spans="1:35" ht="22.5">
      <c r="A12" s="1063" t="s">
        <v>50</v>
      </c>
      <c r="B12" s="777"/>
      <c r="C12" s="458"/>
      <c r="D12" s="458"/>
      <c r="E12" s="458"/>
      <c r="F12" s="458"/>
      <c r="G12" s="458"/>
      <c r="H12" s="458"/>
      <c r="I12" s="458"/>
      <c r="J12" s="458"/>
      <c r="K12" s="458"/>
      <c r="L12" s="458"/>
      <c r="M12" s="458"/>
      <c r="N12" s="412"/>
      <c r="O12" s="812"/>
      <c r="P12" s="776"/>
      <c r="Q12" s="777"/>
      <c r="R12" s="458"/>
      <c r="S12" s="458"/>
      <c r="T12" s="458"/>
      <c r="U12" s="458"/>
      <c r="V12" s="458"/>
      <c r="W12" s="458"/>
      <c r="X12" s="458"/>
      <c r="Y12" s="458"/>
      <c r="Z12" s="458"/>
      <c r="AA12" s="458"/>
      <c r="AB12" s="458"/>
      <c r="AC12" s="412"/>
      <c r="AD12" s="812"/>
      <c r="AE12" s="776"/>
      <c r="AF12" s="776"/>
      <c r="AG12" s="777"/>
      <c r="AH12" s="776"/>
      <c r="AI12" s="777"/>
    </row>
    <row r="13" spans="1:35" hidden="1">
      <c r="A13" s="1063" t="s">
        <v>49</v>
      </c>
      <c r="B13" s="777"/>
      <c r="C13" s="458"/>
      <c r="D13" s="458"/>
      <c r="E13" s="458"/>
      <c r="F13" s="458"/>
      <c r="G13" s="458"/>
      <c r="H13" s="458"/>
      <c r="I13" s="458"/>
      <c r="J13" s="458"/>
      <c r="K13" s="458"/>
      <c r="L13" s="458"/>
      <c r="M13" s="458"/>
      <c r="N13" s="412"/>
      <c r="O13" s="812"/>
      <c r="P13" s="776"/>
      <c r="Q13" s="777"/>
      <c r="R13" s="458"/>
      <c r="S13" s="458"/>
      <c r="T13" s="458"/>
      <c r="U13" s="458"/>
      <c r="V13" s="458"/>
      <c r="W13" s="458"/>
      <c r="X13" s="458"/>
      <c r="Y13" s="458"/>
      <c r="Z13" s="458"/>
      <c r="AA13" s="458"/>
      <c r="AB13" s="458"/>
      <c r="AC13" s="412"/>
      <c r="AD13" s="812"/>
      <c r="AE13" s="776"/>
      <c r="AF13" s="776"/>
      <c r="AG13" s="777"/>
      <c r="AH13" s="776"/>
      <c r="AI13" s="777"/>
    </row>
    <row r="14" spans="1:35" hidden="1">
      <c r="A14" s="1063" t="s">
        <v>49</v>
      </c>
      <c r="B14" s="777"/>
      <c r="C14" s="458"/>
      <c r="D14" s="458"/>
      <c r="E14" s="458"/>
      <c r="F14" s="458"/>
      <c r="G14" s="458"/>
      <c r="H14" s="458"/>
      <c r="I14" s="458"/>
      <c r="J14" s="458"/>
      <c r="K14" s="458"/>
      <c r="L14" s="458"/>
      <c r="M14" s="458"/>
      <c r="N14" s="412"/>
      <c r="O14" s="812"/>
      <c r="P14" s="776"/>
      <c r="Q14" s="777"/>
      <c r="R14" s="458"/>
      <c r="S14" s="458"/>
      <c r="T14" s="458"/>
      <c r="U14" s="458"/>
      <c r="V14" s="458"/>
      <c r="W14" s="458"/>
      <c r="X14" s="458"/>
      <c r="Y14" s="458"/>
      <c r="Z14" s="458"/>
      <c r="AA14" s="458"/>
      <c r="AB14" s="458"/>
      <c r="AC14" s="412"/>
      <c r="AD14" s="812"/>
      <c r="AE14" s="776"/>
      <c r="AF14" s="776"/>
      <c r="AG14" s="777"/>
      <c r="AH14" s="776"/>
      <c r="AI14" s="777"/>
    </row>
    <row r="15" spans="1:35">
      <c r="A15" s="1063" t="s">
        <v>51</v>
      </c>
      <c r="B15" s="777"/>
      <c r="C15" s="458"/>
      <c r="D15" s="458"/>
      <c r="E15" s="458"/>
      <c r="F15" s="458"/>
      <c r="G15" s="458"/>
      <c r="H15" s="458"/>
      <c r="I15" s="458"/>
      <c r="J15" s="458"/>
      <c r="K15" s="458"/>
      <c r="L15" s="458"/>
      <c r="M15" s="458"/>
      <c r="N15" s="412"/>
      <c r="O15" s="812"/>
      <c r="P15" s="776"/>
      <c r="Q15" s="777"/>
      <c r="R15" s="458"/>
      <c r="S15" s="458"/>
      <c r="T15" s="458"/>
      <c r="U15" s="458"/>
      <c r="V15" s="458"/>
      <c r="W15" s="458"/>
      <c r="X15" s="458"/>
      <c r="Y15" s="458"/>
      <c r="Z15" s="458"/>
      <c r="AA15" s="458"/>
      <c r="AB15" s="458"/>
      <c r="AC15" s="412"/>
      <c r="AD15" s="812"/>
      <c r="AE15" s="776"/>
      <c r="AF15" s="776"/>
      <c r="AG15" s="777"/>
      <c r="AH15" s="776"/>
      <c r="AI15" s="777"/>
    </row>
    <row r="16" spans="1:35" hidden="1">
      <c r="A16" s="1063" t="s">
        <v>49</v>
      </c>
      <c r="B16" s="777"/>
      <c r="C16" s="458"/>
      <c r="D16" s="458"/>
      <c r="E16" s="458"/>
      <c r="F16" s="458"/>
      <c r="G16" s="458"/>
      <c r="H16" s="458"/>
      <c r="I16" s="458"/>
      <c r="J16" s="458"/>
      <c r="K16" s="458"/>
      <c r="L16" s="458"/>
      <c r="M16" s="458"/>
      <c r="N16" s="412"/>
      <c r="O16" s="812"/>
      <c r="P16" s="776"/>
      <c r="Q16" s="777"/>
      <c r="R16" s="458"/>
      <c r="S16" s="458"/>
      <c r="T16" s="458"/>
      <c r="U16" s="458"/>
      <c r="V16" s="458"/>
      <c r="W16" s="458"/>
      <c r="X16" s="458"/>
      <c r="Y16" s="458"/>
      <c r="Z16" s="458"/>
      <c r="AA16" s="458"/>
      <c r="AB16" s="458"/>
      <c r="AC16" s="412"/>
      <c r="AD16" s="812"/>
      <c r="AE16" s="776"/>
      <c r="AF16" s="776"/>
      <c r="AG16" s="777"/>
      <c r="AH16" s="776"/>
      <c r="AI16" s="777"/>
    </row>
    <row r="17" spans="1:35" hidden="1">
      <c r="A17" s="1063" t="s">
        <v>49</v>
      </c>
      <c r="B17" s="777"/>
      <c r="C17" s="458"/>
      <c r="D17" s="458"/>
      <c r="E17" s="458"/>
      <c r="F17" s="458"/>
      <c r="G17" s="458"/>
      <c r="H17" s="458"/>
      <c r="I17" s="458"/>
      <c r="J17" s="458"/>
      <c r="K17" s="458"/>
      <c r="L17" s="458"/>
      <c r="M17" s="458"/>
      <c r="N17" s="412"/>
      <c r="O17" s="812"/>
      <c r="P17" s="776"/>
      <c r="Q17" s="777"/>
      <c r="R17" s="458"/>
      <c r="S17" s="458"/>
      <c r="T17" s="458"/>
      <c r="U17" s="458"/>
      <c r="V17" s="458"/>
      <c r="W17" s="458"/>
      <c r="X17" s="458"/>
      <c r="Y17" s="458"/>
      <c r="Z17" s="458"/>
      <c r="AA17" s="458"/>
      <c r="AB17" s="458"/>
      <c r="AC17" s="412"/>
      <c r="AD17" s="812"/>
      <c r="AE17" s="776"/>
      <c r="AF17" s="776"/>
      <c r="AG17" s="777"/>
      <c r="AH17" s="776"/>
      <c r="AI17" s="777"/>
    </row>
    <row r="18" spans="1:35" ht="33.75">
      <c r="A18" s="1063" t="s">
        <v>52</v>
      </c>
      <c r="B18" s="777"/>
      <c r="C18" s="458"/>
      <c r="D18" s="458"/>
      <c r="E18" s="458"/>
      <c r="F18" s="458"/>
      <c r="G18" s="458"/>
      <c r="H18" s="458"/>
      <c r="I18" s="458"/>
      <c r="J18" s="458"/>
      <c r="K18" s="458"/>
      <c r="L18" s="458"/>
      <c r="M18" s="458"/>
      <c r="N18" s="412"/>
      <c r="O18" s="812"/>
      <c r="P18" s="776"/>
      <c r="Q18" s="777"/>
      <c r="R18" s="458"/>
      <c r="S18" s="458"/>
      <c r="T18" s="458"/>
      <c r="U18" s="458"/>
      <c r="V18" s="458"/>
      <c r="W18" s="458"/>
      <c r="X18" s="458"/>
      <c r="Y18" s="458"/>
      <c r="Z18" s="458"/>
      <c r="AA18" s="458"/>
      <c r="AB18" s="458"/>
      <c r="AC18" s="412"/>
      <c r="AD18" s="812"/>
      <c r="AE18" s="776"/>
      <c r="AF18" s="776"/>
      <c r="AG18" s="777"/>
      <c r="AH18" s="776"/>
      <c r="AI18" s="777"/>
    </row>
    <row r="19" spans="1:35" hidden="1">
      <c r="A19" s="1063" t="s">
        <v>49</v>
      </c>
      <c r="B19" s="777"/>
      <c r="C19" s="458"/>
      <c r="D19" s="458"/>
      <c r="E19" s="458"/>
      <c r="F19" s="458"/>
      <c r="G19" s="458"/>
      <c r="H19" s="458"/>
      <c r="I19" s="458"/>
      <c r="J19" s="458"/>
      <c r="K19" s="458"/>
      <c r="L19" s="458"/>
      <c r="M19" s="458"/>
      <c r="N19" s="412"/>
      <c r="O19" s="812"/>
      <c r="P19" s="776"/>
      <c r="Q19" s="777"/>
      <c r="R19" s="458"/>
      <c r="S19" s="458"/>
      <c r="T19" s="458"/>
      <c r="U19" s="458"/>
      <c r="V19" s="458"/>
      <c r="W19" s="458"/>
      <c r="X19" s="458"/>
      <c r="Y19" s="458"/>
      <c r="Z19" s="458"/>
      <c r="AA19" s="458"/>
      <c r="AB19" s="458"/>
      <c r="AC19" s="412"/>
      <c r="AD19" s="812"/>
      <c r="AE19" s="776"/>
      <c r="AF19" s="776"/>
      <c r="AG19" s="777"/>
      <c r="AH19" s="776"/>
      <c r="AI19" s="777"/>
    </row>
    <row r="20" spans="1:35" hidden="1">
      <c r="A20" s="1063" t="s">
        <v>49</v>
      </c>
      <c r="B20" s="777"/>
      <c r="C20" s="458"/>
      <c r="D20" s="458"/>
      <c r="E20" s="458"/>
      <c r="F20" s="458"/>
      <c r="G20" s="458"/>
      <c r="H20" s="458"/>
      <c r="I20" s="458"/>
      <c r="J20" s="458"/>
      <c r="K20" s="458"/>
      <c r="L20" s="458"/>
      <c r="M20" s="458"/>
      <c r="N20" s="412"/>
      <c r="O20" s="812"/>
      <c r="P20" s="776"/>
      <c r="Q20" s="777"/>
      <c r="R20" s="458"/>
      <c r="S20" s="458"/>
      <c r="T20" s="458"/>
      <c r="U20" s="458"/>
      <c r="V20" s="458"/>
      <c r="W20" s="458"/>
      <c r="X20" s="458"/>
      <c r="Y20" s="458"/>
      <c r="Z20" s="458"/>
      <c r="AA20" s="458"/>
      <c r="AB20" s="458"/>
      <c r="AC20" s="412"/>
      <c r="AD20" s="812"/>
      <c r="AE20" s="776"/>
      <c r="AF20" s="776"/>
      <c r="AG20" s="777"/>
      <c r="AH20" s="776"/>
      <c r="AI20" s="777"/>
    </row>
    <row r="21" spans="1:35">
      <c r="A21" s="1063" t="s">
        <v>53</v>
      </c>
      <c r="B21" s="777"/>
      <c r="C21" s="458"/>
      <c r="D21" s="458"/>
      <c r="E21" s="458"/>
      <c r="F21" s="458"/>
      <c r="G21" s="458"/>
      <c r="H21" s="458"/>
      <c r="I21" s="458"/>
      <c r="J21" s="458"/>
      <c r="K21" s="458"/>
      <c r="L21" s="458"/>
      <c r="M21" s="458"/>
      <c r="N21" s="412"/>
      <c r="O21" s="812"/>
      <c r="P21" s="776"/>
      <c r="Q21" s="777"/>
      <c r="R21" s="458"/>
      <c r="S21" s="458"/>
      <c r="T21" s="458"/>
      <c r="U21" s="458"/>
      <c r="V21" s="458"/>
      <c r="W21" s="458"/>
      <c r="X21" s="458"/>
      <c r="Y21" s="458"/>
      <c r="Z21" s="458"/>
      <c r="AA21" s="458"/>
      <c r="AB21" s="458"/>
      <c r="AC21" s="412"/>
      <c r="AD21" s="812"/>
      <c r="AE21" s="776"/>
      <c r="AF21" s="776"/>
      <c r="AG21" s="777"/>
      <c r="AH21" s="776"/>
      <c r="AI21" s="777"/>
    </row>
    <row r="22" spans="1:35" hidden="1">
      <c r="A22" s="1063" t="s">
        <v>49</v>
      </c>
      <c r="B22" s="777"/>
      <c r="C22" s="458"/>
      <c r="D22" s="458"/>
      <c r="E22" s="458"/>
      <c r="F22" s="458"/>
      <c r="G22" s="458"/>
      <c r="H22" s="458"/>
      <c r="I22" s="458"/>
      <c r="J22" s="458"/>
      <c r="K22" s="458"/>
      <c r="L22" s="458"/>
      <c r="M22" s="458"/>
      <c r="N22" s="412"/>
      <c r="O22" s="812"/>
      <c r="P22" s="776"/>
      <c r="Q22" s="777"/>
      <c r="R22" s="458"/>
      <c r="S22" s="458"/>
      <c r="T22" s="458"/>
      <c r="U22" s="458"/>
      <c r="V22" s="458"/>
      <c r="W22" s="458"/>
      <c r="X22" s="458"/>
      <c r="Y22" s="458"/>
      <c r="Z22" s="458"/>
      <c r="AA22" s="458"/>
      <c r="AB22" s="458"/>
      <c r="AC22" s="412"/>
      <c r="AD22" s="812"/>
      <c r="AE22" s="776"/>
      <c r="AF22" s="776"/>
      <c r="AG22" s="777"/>
      <c r="AH22" s="776"/>
      <c r="AI22" s="777"/>
    </row>
    <row r="23" spans="1:35" hidden="1">
      <c r="A23" s="1063" t="s">
        <v>49</v>
      </c>
      <c r="B23" s="777"/>
      <c r="C23" s="458"/>
      <c r="D23" s="458"/>
      <c r="E23" s="458"/>
      <c r="F23" s="458"/>
      <c r="G23" s="458"/>
      <c r="H23" s="458"/>
      <c r="I23" s="458"/>
      <c r="J23" s="458"/>
      <c r="K23" s="458"/>
      <c r="L23" s="458"/>
      <c r="M23" s="458"/>
      <c r="N23" s="412"/>
      <c r="O23" s="812"/>
      <c r="P23" s="776"/>
      <c r="Q23" s="777"/>
      <c r="R23" s="458"/>
      <c r="S23" s="458"/>
      <c r="T23" s="458"/>
      <c r="U23" s="458"/>
      <c r="V23" s="458"/>
      <c r="W23" s="458"/>
      <c r="X23" s="458"/>
      <c r="Y23" s="458"/>
      <c r="Z23" s="458"/>
      <c r="AA23" s="458"/>
      <c r="AB23" s="458"/>
      <c r="AC23" s="412"/>
      <c r="AD23" s="812"/>
      <c r="AE23" s="776"/>
      <c r="AF23" s="776"/>
      <c r="AG23" s="777"/>
      <c r="AH23" s="776"/>
      <c r="AI23" s="777"/>
    </row>
    <row r="24" spans="1:35">
      <c r="A24" s="1063" t="s">
        <v>54</v>
      </c>
      <c r="B24" s="777"/>
      <c r="C24" s="458"/>
      <c r="D24" s="458"/>
      <c r="E24" s="458"/>
      <c r="F24" s="458"/>
      <c r="G24" s="458"/>
      <c r="H24" s="458"/>
      <c r="I24" s="458"/>
      <c r="J24" s="458"/>
      <c r="K24" s="458"/>
      <c r="L24" s="458"/>
      <c r="M24" s="458"/>
      <c r="N24" s="412"/>
      <c r="O24" s="812"/>
      <c r="P24" s="776"/>
      <c r="Q24" s="777"/>
      <c r="R24" s="458"/>
      <c r="S24" s="458"/>
      <c r="T24" s="458"/>
      <c r="U24" s="458"/>
      <c r="V24" s="458"/>
      <c r="W24" s="458"/>
      <c r="X24" s="458"/>
      <c r="Y24" s="458"/>
      <c r="Z24" s="458"/>
      <c r="AA24" s="458"/>
      <c r="AB24" s="458"/>
      <c r="AC24" s="412"/>
      <c r="AD24" s="812"/>
      <c r="AE24" s="776"/>
      <c r="AF24" s="776"/>
      <c r="AG24" s="777"/>
      <c r="AH24" s="776"/>
      <c r="AI24" s="777"/>
    </row>
    <row r="25" spans="1:35" hidden="1">
      <c r="A25" s="1063" t="s">
        <v>49</v>
      </c>
      <c r="B25" s="777"/>
      <c r="C25" s="458"/>
      <c r="D25" s="458"/>
      <c r="E25" s="458"/>
      <c r="F25" s="458"/>
      <c r="G25" s="458"/>
      <c r="H25" s="458"/>
      <c r="I25" s="458"/>
      <c r="J25" s="458"/>
      <c r="K25" s="458"/>
      <c r="L25" s="458"/>
      <c r="M25" s="458"/>
      <c r="N25" s="412"/>
      <c r="O25" s="812"/>
      <c r="P25" s="776"/>
      <c r="Q25" s="777"/>
      <c r="R25" s="458"/>
      <c r="S25" s="458"/>
      <c r="T25" s="458"/>
      <c r="U25" s="458"/>
      <c r="V25" s="458"/>
      <c r="W25" s="458"/>
      <c r="X25" s="458"/>
      <c r="Y25" s="458"/>
      <c r="Z25" s="458"/>
      <c r="AA25" s="458"/>
      <c r="AB25" s="458"/>
      <c r="AC25" s="412"/>
      <c r="AD25" s="812"/>
      <c r="AE25" s="776"/>
      <c r="AF25" s="776"/>
      <c r="AG25" s="777"/>
      <c r="AH25" s="776"/>
      <c r="AI25" s="777"/>
    </row>
    <row r="26" spans="1:35" hidden="1">
      <c r="A26" s="1063" t="s">
        <v>49</v>
      </c>
      <c r="B26" s="777"/>
      <c r="C26" s="458"/>
      <c r="D26" s="458"/>
      <c r="E26" s="458"/>
      <c r="F26" s="458"/>
      <c r="G26" s="458"/>
      <c r="H26" s="458"/>
      <c r="I26" s="458"/>
      <c r="J26" s="458"/>
      <c r="K26" s="458"/>
      <c r="L26" s="458"/>
      <c r="M26" s="458"/>
      <c r="N26" s="412"/>
      <c r="O26" s="812"/>
      <c r="P26" s="776"/>
      <c r="Q26" s="777"/>
      <c r="R26" s="458"/>
      <c r="S26" s="458"/>
      <c r="T26" s="458"/>
      <c r="U26" s="458"/>
      <c r="V26" s="458"/>
      <c r="W26" s="458"/>
      <c r="X26" s="458"/>
      <c r="Y26" s="458"/>
      <c r="Z26" s="458"/>
      <c r="AA26" s="458"/>
      <c r="AB26" s="458"/>
      <c r="AC26" s="412"/>
      <c r="AD26" s="812"/>
      <c r="AE26" s="776"/>
      <c r="AF26" s="776"/>
      <c r="AG26" s="777"/>
      <c r="AH26" s="776"/>
      <c r="AI26" s="777"/>
    </row>
    <row r="27" spans="1:35" ht="22.5">
      <c r="A27" s="1063" t="s">
        <v>55</v>
      </c>
      <c r="B27" s="777"/>
      <c r="C27" s="458"/>
      <c r="D27" s="458"/>
      <c r="E27" s="458"/>
      <c r="F27" s="458"/>
      <c r="G27" s="458"/>
      <c r="H27" s="458"/>
      <c r="I27" s="458"/>
      <c r="J27" s="458"/>
      <c r="K27" s="458"/>
      <c r="L27" s="458"/>
      <c r="M27" s="458"/>
      <c r="N27" s="412"/>
      <c r="O27" s="812"/>
      <c r="P27" s="776"/>
      <c r="Q27" s="777"/>
      <c r="R27" s="458"/>
      <c r="S27" s="458"/>
      <c r="T27" s="458"/>
      <c r="U27" s="458"/>
      <c r="V27" s="458"/>
      <c r="W27" s="458"/>
      <c r="X27" s="458"/>
      <c r="Y27" s="458"/>
      <c r="Z27" s="458"/>
      <c r="AA27" s="458"/>
      <c r="AB27" s="458"/>
      <c r="AC27" s="412"/>
      <c r="AD27" s="812"/>
      <c r="AE27" s="776"/>
      <c r="AF27" s="776"/>
      <c r="AG27" s="777"/>
      <c r="AH27" s="776"/>
      <c r="AI27" s="777"/>
    </row>
    <row r="28" spans="1:35" hidden="1">
      <c r="A28" s="1063" t="s">
        <v>49</v>
      </c>
      <c r="B28" s="777"/>
      <c r="C28" s="458"/>
      <c r="D28" s="458"/>
      <c r="E28" s="458"/>
      <c r="F28" s="458"/>
      <c r="G28" s="458"/>
      <c r="H28" s="458"/>
      <c r="I28" s="458"/>
      <c r="J28" s="458"/>
      <c r="K28" s="458"/>
      <c r="L28" s="458"/>
      <c r="M28" s="458"/>
      <c r="N28" s="412"/>
      <c r="O28" s="812"/>
      <c r="P28" s="776"/>
      <c r="Q28" s="777"/>
      <c r="R28" s="458"/>
      <c r="S28" s="458"/>
      <c r="T28" s="458"/>
      <c r="U28" s="458"/>
      <c r="V28" s="458"/>
      <c r="W28" s="458"/>
      <c r="X28" s="458"/>
      <c r="Y28" s="458"/>
      <c r="Z28" s="458"/>
      <c r="AA28" s="458"/>
      <c r="AB28" s="458"/>
      <c r="AC28" s="412"/>
      <c r="AD28" s="812"/>
      <c r="AE28" s="776"/>
      <c r="AF28" s="776"/>
      <c r="AG28" s="777"/>
      <c r="AH28" s="776"/>
      <c r="AI28" s="777"/>
    </row>
    <row r="29" spans="1:35" hidden="1">
      <c r="A29" s="1063" t="s">
        <v>49</v>
      </c>
      <c r="B29" s="777"/>
      <c r="C29" s="458"/>
      <c r="D29" s="458"/>
      <c r="E29" s="458"/>
      <c r="F29" s="458"/>
      <c r="G29" s="458"/>
      <c r="H29" s="458"/>
      <c r="I29" s="458"/>
      <c r="J29" s="458"/>
      <c r="K29" s="458"/>
      <c r="L29" s="458"/>
      <c r="M29" s="458"/>
      <c r="N29" s="412"/>
      <c r="O29" s="812"/>
      <c r="P29" s="776"/>
      <c r="Q29" s="777"/>
      <c r="R29" s="458"/>
      <c r="S29" s="458"/>
      <c r="T29" s="458"/>
      <c r="U29" s="458"/>
      <c r="V29" s="458"/>
      <c r="W29" s="458"/>
      <c r="X29" s="458"/>
      <c r="Y29" s="458"/>
      <c r="Z29" s="458"/>
      <c r="AA29" s="458"/>
      <c r="AB29" s="458"/>
      <c r="AC29" s="412"/>
      <c r="AD29" s="812"/>
      <c r="AE29" s="776"/>
      <c r="AF29" s="776"/>
      <c r="AG29" s="777"/>
      <c r="AH29" s="776"/>
      <c r="AI29" s="777"/>
    </row>
    <row r="30" spans="1:35">
      <c r="A30" s="1063" t="s">
        <v>56</v>
      </c>
      <c r="B30" s="777"/>
      <c r="C30" s="458"/>
      <c r="D30" s="458"/>
      <c r="E30" s="458"/>
      <c r="F30" s="458"/>
      <c r="G30" s="458"/>
      <c r="H30" s="458"/>
      <c r="I30" s="458"/>
      <c r="J30" s="458"/>
      <c r="K30" s="458"/>
      <c r="L30" s="458"/>
      <c r="M30" s="458"/>
      <c r="N30" s="412"/>
      <c r="O30" s="812"/>
      <c r="P30" s="776"/>
      <c r="Q30" s="777"/>
      <c r="R30" s="458"/>
      <c r="S30" s="458"/>
      <c r="T30" s="458"/>
      <c r="U30" s="458"/>
      <c r="V30" s="458"/>
      <c r="W30" s="458"/>
      <c r="X30" s="458"/>
      <c r="Y30" s="458"/>
      <c r="Z30" s="458"/>
      <c r="AA30" s="458"/>
      <c r="AB30" s="458"/>
      <c r="AC30" s="412"/>
      <c r="AD30" s="812"/>
      <c r="AE30" s="776"/>
      <c r="AF30" s="776"/>
      <c r="AG30" s="777"/>
      <c r="AH30" s="776"/>
      <c r="AI30" s="777"/>
    </row>
    <row r="31" spans="1:35" hidden="1">
      <c r="A31" s="1063" t="s">
        <v>49</v>
      </c>
      <c r="B31" s="777"/>
      <c r="C31" s="458"/>
      <c r="D31" s="458"/>
      <c r="E31" s="458"/>
      <c r="F31" s="458"/>
      <c r="G31" s="458"/>
      <c r="H31" s="458"/>
      <c r="I31" s="458"/>
      <c r="J31" s="458"/>
      <c r="K31" s="458"/>
      <c r="L31" s="458"/>
      <c r="M31" s="458"/>
      <c r="N31" s="412"/>
      <c r="O31" s="812"/>
      <c r="P31" s="776"/>
      <c r="Q31" s="777"/>
      <c r="R31" s="458"/>
      <c r="S31" s="458"/>
      <c r="T31" s="458"/>
      <c r="U31" s="458"/>
      <c r="V31" s="458"/>
      <c r="W31" s="458"/>
      <c r="X31" s="458"/>
      <c r="Y31" s="458"/>
      <c r="Z31" s="458"/>
      <c r="AA31" s="458"/>
      <c r="AB31" s="458"/>
      <c r="AC31" s="412"/>
      <c r="AD31" s="812"/>
      <c r="AE31" s="776"/>
      <c r="AF31" s="776"/>
      <c r="AG31" s="777"/>
      <c r="AH31" s="776"/>
      <c r="AI31" s="777"/>
    </row>
    <row r="32" spans="1:35" hidden="1">
      <c r="A32" s="1063" t="s">
        <v>49</v>
      </c>
      <c r="B32" s="777"/>
      <c r="C32" s="458"/>
      <c r="D32" s="458"/>
      <c r="E32" s="458"/>
      <c r="F32" s="458"/>
      <c r="G32" s="458"/>
      <c r="H32" s="458"/>
      <c r="I32" s="458"/>
      <c r="J32" s="458"/>
      <c r="K32" s="458"/>
      <c r="L32" s="458"/>
      <c r="M32" s="458"/>
      <c r="N32" s="412"/>
      <c r="O32" s="812"/>
      <c r="P32" s="776"/>
      <c r="Q32" s="777"/>
      <c r="R32" s="458"/>
      <c r="S32" s="458"/>
      <c r="T32" s="458"/>
      <c r="U32" s="458"/>
      <c r="V32" s="458"/>
      <c r="W32" s="458"/>
      <c r="X32" s="458"/>
      <c r="Y32" s="458"/>
      <c r="Z32" s="458"/>
      <c r="AA32" s="458"/>
      <c r="AB32" s="458"/>
      <c r="AC32" s="412"/>
      <c r="AD32" s="812"/>
      <c r="AE32" s="776"/>
      <c r="AF32" s="776"/>
      <c r="AG32" s="777"/>
      <c r="AH32" s="776"/>
      <c r="AI32" s="777"/>
    </row>
    <row r="33" spans="1:35">
      <c r="A33" s="1063" t="s">
        <v>57</v>
      </c>
      <c r="B33" s="777"/>
      <c r="C33" s="458"/>
      <c r="D33" s="458"/>
      <c r="E33" s="458"/>
      <c r="F33" s="458"/>
      <c r="G33" s="458"/>
      <c r="H33" s="458"/>
      <c r="I33" s="458"/>
      <c r="J33" s="458"/>
      <c r="K33" s="458"/>
      <c r="L33" s="458"/>
      <c r="M33" s="458"/>
      <c r="N33" s="412"/>
      <c r="O33" s="812"/>
      <c r="P33" s="776"/>
      <c r="Q33" s="777"/>
      <c r="R33" s="458"/>
      <c r="S33" s="458"/>
      <c r="T33" s="458"/>
      <c r="U33" s="458"/>
      <c r="V33" s="458"/>
      <c r="W33" s="458"/>
      <c r="X33" s="458"/>
      <c r="Y33" s="458"/>
      <c r="Z33" s="458"/>
      <c r="AA33" s="458"/>
      <c r="AB33" s="458"/>
      <c r="AC33" s="412"/>
      <c r="AD33" s="812"/>
      <c r="AE33" s="776"/>
      <c r="AF33" s="776"/>
      <c r="AG33" s="777"/>
      <c r="AH33" s="776"/>
      <c r="AI33" s="777"/>
    </row>
    <row r="34" spans="1:35" hidden="1">
      <c r="A34" s="1063" t="s">
        <v>49</v>
      </c>
      <c r="B34" s="777"/>
      <c r="C34" s="458"/>
      <c r="D34" s="458"/>
      <c r="E34" s="458"/>
      <c r="F34" s="458"/>
      <c r="G34" s="458"/>
      <c r="H34" s="458"/>
      <c r="I34" s="458"/>
      <c r="J34" s="458"/>
      <c r="K34" s="458"/>
      <c r="L34" s="458"/>
      <c r="M34" s="458"/>
      <c r="N34" s="412"/>
      <c r="O34" s="812"/>
      <c r="P34" s="776"/>
      <c r="Q34" s="777"/>
      <c r="R34" s="458"/>
      <c r="S34" s="458"/>
      <c r="T34" s="458"/>
      <c r="U34" s="458"/>
      <c r="V34" s="458"/>
      <c r="W34" s="458"/>
      <c r="X34" s="458"/>
      <c r="Y34" s="458"/>
      <c r="Z34" s="458"/>
      <c r="AA34" s="458"/>
      <c r="AB34" s="458"/>
      <c r="AC34" s="412"/>
      <c r="AD34" s="812"/>
      <c r="AE34" s="776"/>
      <c r="AF34" s="776"/>
      <c r="AG34" s="777"/>
      <c r="AH34" s="776"/>
      <c r="AI34" s="777"/>
    </row>
    <row r="35" spans="1:35" hidden="1">
      <c r="A35" s="1063" t="s">
        <v>49</v>
      </c>
      <c r="B35" s="777"/>
      <c r="C35" s="458"/>
      <c r="D35" s="458"/>
      <c r="E35" s="458"/>
      <c r="F35" s="458"/>
      <c r="G35" s="458"/>
      <c r="H35" s="458"/>
      <c r="I35" s="458"/>
      <c r="J35" s="458"/>
      <c r="K35" s="458"/>
      <c r="L35" s="458"/>
      <c r="M35" s="458"/>
      <c r="N35" s="412"/>
      <c r="O35" s="812"/>
      <c r="P35" s="776"/>
      <c r="Q35" s="777"/>
      <c r="R35" s="458"/>
      <c r="S35" s="458"/>
      <c r="T35" s="458"/>
      <c r="U35" s="458"/>
      <c r="V35" s="458"/>
      <c r="W35" s="458"/>
      <c r="X35" s="458"/>
      <c r="Y35" s="458"/>
      <c r="Z35" s="458"/>
      <c r="AA35" s="458"/>
      <c r="AB35" s="458"/>
      <c r="AC35" s="412"/>
      <c r="AD35" s="812"/>
      <c r="AE35" s="776"/>
      <c r="AF35" s="776"/>
      <c r="AG35" s="777"/>
      <c r="AH35" s="776"/>
      <c r="AI35" s="777"/>
    </row>
    <row r="36" spans="1:35">
      <c r="A36" s="1063" t="s">
        <v>58</v>
      </c>
      <c r="B36" s="777"/>
      <c r="C36" s="458"/>
      <c r="D36" s="458"/>
      <c r="E36" s="458"/>
      <c r="F36" s="458"/>
      <c r="G36" s="458"/>
      <c r="H36" s="458"/>
      <c r="I36" s="458"/>
      <c r="J36" s="458"/>
      <c r="K36" s="458"/>
      <c r="L36" s="458"/>
      <c r="M36" s="458"/>
      <c r="N36" s="412"/>
      <c r="O36" s="812"/>
      <c r="P36" s="776"/>
      <c r="Q36" s="777"/>
      <c r="R36" s="458"/>
      <c r="S36" s="458"/>
      <c r="T36" s="458"/>
      <c r="U36" s="458"/>
      <c r="V36" s="458"/>
      <c r="W36" s="458"/>
      <c r="X36" s="458"/>
      <c r="Y36" s="458"/>
      <c r="Z36" s="458"/>
      <c r="AA36" s="458"/>
      <c r="AB36" s="458"/>
      <c r="AC36" s="412"/>
      <c r="AD36" s="812"/>
      <c r="AE36" s="776"/>
      <c r="AF36" s="776"/>
      <c r="AG36" s="777"/>
      <c r="AH36" s="776"/>
      <c r="AI36" s="777"/>
    </row>
    <row r="37" spans="1:35" hidden="1">
      <c r="A37" s="1063" t="s">
        <v>49</v>
      </c>
      <c r="B37" s="777"/>
      <c r="C37" s="458"/>
      <c r="D37" s="458"/>
      <c r="E37" s="458"/>
      <c r="F37" s="458"/>
      <c r="G37" s="458"/>
      <c r="H37" s="458"/>
      <c r="I37" s="458"/>
      <c r="J37" s="458"/>
      <c r="K37" s="458"/>
      <c r="L37" s="458"/>
      <c r="M37" s="458"/>
      <c r="N37" s="412"/>
      <c r="O37" s="812"/>
      <c r="P37" s="776"/>
      <c r="Q37" s="777"/>
      <c r="R37" s="458"/>
      <c r="S37" s="458"/>
      <c r="T37" s="458"/>
      <c r="U37" s="458"/>
      <c r="V37" s="458"/>
      <c r="W37" s="458"/>
      <c r="X37" s="458"/>
      <c r="Y37" s="458"/>
      <c r="Z37" s="458"/>
      <c r="AA37" s="458"/>
      <c r="AB37" s="458"/>
      <c r="AC37" s="412"/>
      <c r="AD37" s="812"/>
      <c r="AE37" s="776"/>
      <c r="AF37" s="776"/>
      <c r="AG37" s="777"/>
      <c r="AH37" s="776"/>
      <c r="AI37" s="777"/>
    </row>
    <row r="38" spans="1:35" hidden="1">
      <c r="A38" s="1063" t="s">
        <v>49</v>
      </c>
      <c r="B38" s="777"/>
      <c r="C38" s="458"/>
      <c r="D38" s="458"/>
      <c r="E38" s="458"/>
      <c r="F38" s="458"/>
      <c r="G38" s="458"/>
      <c r="H38" s="458"/>
      <c r="I38" s="458"/>
      <c r="J38" s="458"/>
      <c r="K38" s="458"/>
      <c r="L38" s="458"/>
      <c r="M38" s="458"/>
      <c r="N38" s="412"/>
      <c r="O38" s="812"/>
      <c r="P38" s="776"/>
      <c r="Q38" s="777"/>
      <c r="R38" s="458"/>
      <c r="S38" s="458"/>
      <c r="T38" s="458"/>
      <c r="U38" s="458"/>
      <c r="V38" s="458"/>
      <c r="W38" s="458"/>
      <c r="X38" s="458"/>
      <c r="Y38" s="458"/>
      <c r="Z38" s="458"/>
      <c r="AA38" s="458"/>
      <c r="AB38" s="458"/>
      <c r="AC38" s="412"/>
      <c r="AD38" s="812"/>
      <c r="AE38" s="776"/>
      <c r="AF38" s="776"/>
      <c r="AG38" s="777"/>
      <c r="AH38" s="776"/>
      <c r="AI38" s="777"/>
    </row>
    <row r="39" spans="1:35">
      <c r="A39" s="1063" t="s">
        <v>24</v>
      </c>
      <c r="B39" s="777"/>
      <c r="C39" s="458"/>
      <c r="D39" s="458"/>
      <c r="E39" s="458"/>
      <c r="F39" s="458"/>
      <c r="G39" s="458"/>
      <c r="H39" s="458"/>
      <c r="I39" s="458"/>
      <c r="J39" s="458"/>
      <c r="K39" s="458"/>
      <c r="L39" s="458"/>
      <c r="M39" s="458"/>
      <c r="N39" s="412"/>
      <c r="O39" s="812"/>
      <c r="P39" s="776"/>
      <c r="Q39" s="777"/>
      <c r="R39" s="458"/>
      <c r="S39" s="458"/>
      <c r="T39" s="458"/>
      <c r="U39" s="458"/>
      <c r="V39" s="458"/>
      <c r="W39" s="458"/>
      <c r="X39" s="458"/>
      <c r="Y39" s="458"/>
      <c r="Z39" s="458"/>
      <c r="AA39" s="458"/>
      <c r="AB39" s="458"/>
      <c r="AC39" s="412"/>
      <c r="AD39" s="812"/>
      <c r="AE39" s="776"/>
      <c r="AF39" s="776"/>
      <c r="AG39" s="777"/>
      <c r="AH39" s="776"/>
      <c r="AI39" s="777"/>
    </row>
    <row r="40" spans="1:35">
      <c r="A40" s="1063" t="s">
        <v>59</v>
      </c>
      <c r="B40" s="777"/>
      <c r="C40" s="458"/>
      <c r="D40" s="458"/>
      <c r="E40" s="458"/>
      <c r="F40" s="458"/>
      <c r="G40" s="458"/>
      <c r="H40" s="458"/>
      <c r="I40" s="458"/>
      <c r="J40" s="458"/>
      <c r="K40" s="458"/>
      <c r="L40" s="458"/>
      <c r="M40" s="458"/>
      <c r="N40" s="412"/>
      <c r="O40" s="812"/>
      <c r="P40" s="776"/>
      <c r="Q40" s="777"/>
      <c r="R40" s="458"/>
      <c r="S40" s="458"/>
      <c r="T40" s="458"/>
      <c r="U40" s="458"/>
      <c r="V40" s="458"/>
      <c r="W40" s="458"/>
      <c r="X40" s="458"/>
      <c r="Y40" s="458"/>
      <c r="Z40" s="458"/>
      <c r="AA40" s="458"/>
      <c r="AB40" s="458"/>
      <c r="AC40" s="412"/>
      <c r="AD40" s="812"/>
      <c r="AE40" s="776"/>
      <c r="AF40" s="776"/>
      <c r="AG40" s="777"/>
      <c r="AH40" s="776"/>
      <c r="AI40" s="777"/>
    </row>
    <row r="41" spans="1:35" hidden="1">
      <c r="A41" s="1063" t="s">
        <v>60</v>
      </c>
      <c r="B41" s="777"/>
      <c r="C41" s="458"/>
      <c r="D41" s="458"/>
      <c r="E41" s="458"/>
      <c r="F41" s="458"/>
      <c r="G41" s="458"/>
      <c r="H41" s="458"/>
      <c r="I41" s="458"/>
      <c r="J41" s="458"/>
      <c r="K41" s="458"/>
      <c r="L41" s="458"/>
      <c r="M41" s="458"/>
      <c r="N41" s="412"/>
      <c r="O41" s="812"/>
      <c r="P41" s="776"/>
      <c r="Q41" s="777"/>
      <c r="R41" s="458"/>
      <c r="S41" s="458"/>
      <c r="T41" s="458"/>
      <c r="U41" s="458"/>
      <c r="V41" s="458"/>
      <c r="W41" s="458"/>
      <c r="X41" s="458"/>
      <c r="Y41" s="458"/>
      <c r="Z41" s="458"/>
      <c r="AA41" s="458"/>
      <c r="AB41" s="458"/>
      <c r="AC41" s="412"/>
      <c r="AD41" s="812"/>
      <c r="AE41" s="776"/>
      <c r="AF41" s="776"/>
      <c r="AG41" s="777"/>
      <c r="AH41" s="776"/>
      <c r="AI41" s="777"/>
    </row>
    <row r="42" spans="1:35" hidden="1">
      <c r="A42" s="1063" t="s">
        <v>60</v>
      </c>
      <c r="B42" s="777"/>
      <c r="C42" s="458"/>
      <c r="D42" s="458"/>
      <c r="E42" s="458"/>
      <c r="F42" s="458"/>
      <c r="G42" s="458"/>
      <c r="H42" s="458"/>
      <c r="I42" s="458"/>
      <c r="J42" s="458"/>
      <c r="K42" s="458"/>
      <c r="L42" s="458"/>
      <c r="M42" s="458"/>
      <c r="N42" s="412"/>
      <c r="O42" s="812"/>
      <c r="P42" s="776"/>
      <c r="Q42" s="777"/>
      <c r="R42" s="458"/>
      <c r="S42" s="458"/>
      <c r="T42" s="458"/>
      <c r="U42" s="458"/>
      <c r="V42" s="458"/>
      <c r="W42" s="458"/>
      <c r="X42" s="458"/>
      <c r="Y42" s="458"/>
      <c r="Z42" s="458"/>
      <c r="AA42" s="458"/>
      <c r="AB42" s="458"/>
      <c r="AC42" s="412"/>
      <c r="AD42" s="812"/>
      <c r="AE42" s="776"/>
      <c r="AF42" s="776"/>
      <c r="AG42" s="777"/>
      <c r="AH42" s="776"/>
      <c r="AI42" s="777"/>
    </row>
    <row r="43" spans="1:35" ht="22.5">
      <c r="A43" s="1063" t="s">
        <v>61</v>
      </c>
      <c r="B43" s="777"/>
      <c r="C43" s="458"/>
      <c r="D43" s="458"/>
      <c r="E43" s="458"/>
      <c r="F43" s="458"/>
      <c r="G43" s="458"/>
      <c r="H43" s="458"/>
      <c r="I43" s="458"/>
      <c r="J43" s="458"/>
      <c r="K43" s="458"/>
      <c r="L43" s="458"/>
      <c r="M43" s="458"/>
      <c r="N43" s="412"/>
      <c r="O43" s="812"/>
      <c r="P43" s="776"/>
      <c r="Q43" s="777"/>
      <c r="R43" s="458"/>
      <c r="S43" s="458"/>
      <c r="T43" s="458"/>
      <c r="U43" s="458"/>
      <c r="V43" s="458"/>
      <c r="W43" s="458"/>
      <c r="X43" s="458"/>
      <c r="Y43" s="458"/>
      <c r="Z43" s="458"/>
      <c r="AA43" s="458"/>
      <c r="AB43" s="458"/>
      <c r="AC43" s="412"/>
      <c r="AD43" s="812"/>
      <c r="AE43" s="776"/>
      <c r="AF43" s="776"/>
      <c r="AG43" s="777"/>
      <c r="AH43" s="776"/>
      <c r="AI43" s="777"/>
    </row>
    <row r="44" spans="1:35" hidden="1">
      <c r="A44" s="1063" t="s">
        <v>60</v>
      </c>
      <c r="B44" s="777"/>
      <c r="C44" s="458"/>
      <c r="D44" s="458"/>
      <c r="E44" s="458"/>
      <c r="F44" s="458"/>
      <c r="G44" s="458"/>
      <c r="H44" s="458"/>
      <c r="I44" s="458"/>
      <c r="J44" s="458"/>
      <c r="K44" s="458"/>
      <c r="L44" s="458"/>
      <c r="M44" s="458"/>
      <c r="N44" s="412"/>
      <c r="O44" s="812"/>
      <c r="P44" s="776"/>
      <c r="Q44" s="777"/>
      <c r="R44" s="458"/>
      <c r="S44" s="458"/>
      <c r="T44" s="458"/>
      <c r="U44" s="458"/>
      <c r="V44" s="458"/>
      <c r="W44" s="458"/>
      <c r="X44" s="458"/>
      <c r="Y44" s="458"/>
      <c r="Z44" s="458"/>
      <c r="AA44" s="458"/>
      <c r="AB44" s="458"/>
      <c r="AC44" s="412"/>
      <c r="AD44" s="812"/>
      <c r="AE44" s="776"/>
      <c r="AF44" s="776"/>
      <c r="AG44" s="777"/>
      <c r="AH44" s="776"/>
      <c r="AI44" s="777"/>
    </row>
    <row r="45" spans="1:35">
      <c r="A45" s="1063" t="s">
        <v>62</v>
      </c>
      <c r="B45" s="777"/>
      <c r="C45" s="458"/>
      <c r="D45" s="458"/>
      <c r="E45" s="458"/>
      <c r="F45" s="458"/>
      <c r="G45" s="458"/>
      <c r="H45" s="458"/>
      <c r="I45" s="458"/>
      <c r="J45" s="458"/>
      <c r="K45" s="458"/>
      <c r="L45" s="458"/>
      <c r="M45" s="458"/>
      <c r="N45" s="412"/>
      <c r="O45" s="812"/>
      <c r="P45" s="776"/>
      <c r="Q45" s="777"/>
      <c r="R45" s="458"/>
      <c r="S45" s="458"/>
      <c r="T45" s="458"/>
      <c r="U45" s="458"/>
      <c r="V45" s="458"/>
      <c r="W45" s="458"/>
      <c r="X45" s="458"/>
      <c r="Y45" s="458"/>
      <c r="Z45" s="458"/>
      <c r="AA45" s="458"/>
      <c r="AB45" s="458"/>
      <c r="AC45" s="412"/>
      <c r="AD45" s="812"/>
      <c r="AE45" s="776"/>
      <c r="AF45" s="776"/>
      <c r="AG45" s="777"/>
      <c r="AH45" s="776"/>
      <c r="AI45" s="777"/>
    </row>
    <row r="46" spans="1:35" hidden="1">
      <c r="A46" s="1063" t="s">
        <v>60</v>
      </c>
      <c r="B46" s="777"/>
      <c r="C46" s="458"/>
      <c r="D46" s="458"/>
      <c r="E46" s="458"/>
      <c r="F46" s="458"/>
      <c r="G46" s="458"/>
      <c r="H46" s="458"/>
      <c r="I46" s="458"/>
      <c r="J46" s="458"/>
      <c r="K46" s="458"/>
      <c r="L46" s="458"/>
      <c r="M46" s="458"/>
      <c r="N46" s="412"/>
      <c r="O46" s="812"/>
      <c r="P46" s="776"/>
      <c r="Q46" s="777"/>
      <c r="R46" s="458"/>
      <c r="S46" s="458"/>
      <c r="T46" s="458"/>
      <c r="U46" s="458"/>
      <c r="V46" s="458"/>
      <c r="W46" s="458"/>
      <c r="X46" s="458"/>
      <c r="Y46" s="458"/>
      <c r="Z46" s="458"/>
      <c r="AA46" s="458"/>
      <c r="AB46" s="458"/>
      <c r="AC46" s="412"/>
      <c r="AD46" s="812"/>
      <c r="AE46" s="776"/>
      <c r="AF46" s="776"/>
      <c r="AG46" s="777"/>
      <c r="AH46" s="776"/>
      <c r="AI46" s="777"/>
    </row>
    <row r="47" spans="1:35" hidden="1">
      <c r="A47" s="1063"/>
      <c r="B47" s="777"/>
      <c r="C47" s="458"/>
      <c r="D47" s="458"/>
      <c r="E47" s="458"/>
      <c r="F47" s="458"/>
      <c r="G47" s="458"/>
      <c r="H47" s="458"/>
      <c r="I47" s="458"/>
      <c r="J47" s="458"/>
      <c r="K47" s="458"/>
      <c r="L47" s="458"/>
      <c r="M47" s="458"/>
      <c r="N47" s="412"/>
      <c r="O47" s="812"/>
      <c r="P47" s="776"/>
      <c r="Q47" s="777"/>
      <c r="R47" s="458"/>
      <c r="S47" s="458"/>
      <c r="T47" s="458"/>
      <c r="U47" s="458"/>
      <c r="V47" s="458"/>
      <c r="W47" s="458"/>
      <c r="X47" s="458"/>
      <c r="Y47" s="458"/>
      <c r="Z47" s="458"/>
      <c r="AA47" s="458"/>
      <c r="AB47" s="458"/>
      <c r="AC47" s="412"/>
      <c r="AD47" s="812"/>
      <c r="AE47" s="776"/>
      <c r="AF47" s="776"/>
      <c r="AG47" s="777"/>
      <c r="AH47" s="776"/>
      <c r="AI47" s="777"/>
    </row>
    <row r="48" spans="1:35">
      <c r="A48" s="1063" t="s">
        <v>63</v>
      </c>
      <c r="B48" s="777"/>
      <c r="C48" s="458"/>
      <c r="D48" s="458"/>
      <c r="E48" s="458"/>
      <c r="F48" s="458"/>
      <c r="G48" s="458"/>
      <c r="H48" s="458"/>
      <c r="I48" s="458"/>
      <c r="J48" s="458"/>
      <c r="K48" s="458"/>
      <c r="L48" s="458"/>
      <c r="M48" s="458"/>
      <c r="N48" s="412"/>
      <c r="O48" s="812"/>
      <c r="P48" s="776"/>
      <c r="Q48" s="777"/>
      <c r="R48" s="458"/>
      <c r="S48" s="458"/>
      <c r="T48" s="458"/>
      <c r="U48" s="458"/>
      <c r="V48" s="458"/>
      <c r="W48" s="458"/>
      <c r="X48" s="458"/>
      <c r="Y48" s="458"/>
      <c r="Z48" s="458"/>
      <c r="AA48" s="458"/>
      <c r="AB48" s="458"/>
      <c r="AC48" s="412"/>
      <c r="AD48" s="812"/>
      <c r="AE48" s="776"/>
      <c r="AF48" s="776"/>
      <c r="AG48" s="777"/>
      <c r="AH48" s="776"/>
      <c r="AI48" s="777"/>
    </row>
    <row r="49" spans="1:35" hidden="1">
      <c r="A49" s="909" t="s">
        <v>60</v>
      </c>
      <c r="B49" s="777"/>
      <c r="C49" s="458"/>
      <c r="D49" s="458"/>
      <c r="E49" s="458"/>
      <c r="F49" s="458"/>
      <c r="G49" s="458"/>
      <c r="H49" s="458"/>
      <c r="I49" s="458"/>
      <c r="J49" s="458"/>
      <c r="K49" s="458"/>
      <c r="L49" s="458"/>
      <c r="M49" s="458"/>
      <c r="N49" s="412"/>
      <c r="O49" s="812"/>
      <c r="P49" s="776"/>
      <c r="Q49" s="777"/>
      <c r="R49" s="458"/>
      <c r="S49" s="458"/>
      <c r="T49" s="458"/>
      <c r="U49" s="458"/>
      <c r="V49" s="458"/>
      <c r="W49" s="458"/>
      <c r="X49" s="458"/>
      <c r="Y49" s="458"/>
      <c r="Z49" s="458"/>
      <c r="AA49" s="458"/>
      <c r="AB49" s="458"/>
      <c r="AC49" s="412"/>
      <c r="AD49" s="812"/>
      <c r="AE49" s="776"/>
      <c r="AF49" s="776"/>
      <c r="AG49" s="777"/>
      <c r="AH49" s="776"/>
      <c r="AI49" s="777"/>
    </row>
    <row r="50" spans="1:35" hidden="1">
      <c r="A50" s="909"/>
      <c r="B50" s="777"/>
      <c r="C50" s="458"/>
      <c r="D50" s="458"/>
      <c r="E50" s="458"/>
      <c r="F50" s="458"/>
      <c r="G50" s="458"/>
      <c r="H50" s="458"/>
      <c r="I50" s="458"/>
      <c r="J50" s="458"/>
      <c r="K50" s="458"/>
      <c r="L50" s="458"/>
      <c r="M50" s="458"/>
      <c r="N50" s="412"/>
      <c r="O50" s="812"/>
      <c r="P50" s="776"/>
      <c r="Q50" s="777"/>
      <c r="R50" s="458"/>
      <c r="S50" s="458"/>
      <c r="T50" s="458"/>
      <c r="U50" s="458"/>
      <c r="V50" s="458"/>
      <c r="W50" s="458"/>
      <c r="X50" s="458"/>
      <c r="Y50" s="458"/>
      <c r="Z50" s="458"/>
      <c r="AA50" s="458"/>
      <c r="AB50" s="458"/>
      <c r="AC50" s="412"/>
      <c r="AD50" s="812"/>
      <c r="AE50" s="776"/>
      <c r="AF50" s="776"/>
      <c r="AG50" s="777"/>
      <c r="AH50" s="776"/>
      <c r="AI50" s="777"/>
    </row>
    <row r="51" spans="1:35" ht="12.75" hidden="1" thickBot="1">
      <c r="A51" s="910"/>
      <c r="B51" s="911"/>
      <c r="C51" s="456"/>
      <c r="D51" s="456"/>
      <c r="E51" s="456"/>
      <c r="F51" s="456"/>
      <c r="G51" s="456"/>
      <c r="H51" s="456"/>
      <c r="I51" s="456"/>
      <c r="J51" s="456"/>
      <c r="K51" s="456"/>
      <c r="L51" s="456"/>
      <c r="M51" s="456"/>
      <c r="N51" s="912"/>
      <c r="O51" s="913"/>
      <c r="P51" s="914"/>
      <c r="Q51" s="911"/>
      <c r="R51" s="456"/>
      <c r="S51" s="456"/>
      <c r="T51" s="456"/>
      <c r="U51" s="456"/>
      <c r="V51" s="456"/>
      <c r="W51" s="456"/>
      <c r="X51" s="456"/>
      <c r="Y51" s="456"/>
      <c r="Z51" s="456"/>
      <c r="AA51" s="456"/>
      <c r="AB51" s="456"/>
      <c r="AC51" s="912"/>
      <c r="AD51" s="913"/>
      <c r="AE51" s="914"/>
      <c r="AF51" s="914"/>
      <c r="AG51" s="911"/>
      <c r="AH51" s="914"/>
      <c r="AI51" s="911"/>
    </row>
    <row r="52" spans="1:35" ht="12.75" thickBot="1">
      <c r="A52" s="915" t="s">
        <v>0</v>
      </c>
      <c r="B52" s="916"/>
      <c r="C52" s="455"/>
      <c r="D52" s="917"/>
      <c r="E52" s="917"/>
      <c r="F52" s="917"/>
      <c r="G52" s="917"/>
      <c r="H52" s="917"/>
      <c r="I52" s="917"/>
      <c r="J52" s="917"/>
      <c r="K52" s="917"/>
      <c r="L52" s="917"/>
      <c r="M52" s="917"/>
      <c r="N52" s="918"/>
      <c r="O52" s="919"/>
      <c r="P52" s="920"/>
      <c r="Q52" s="921"/>
      <c r="R52" s="455"/>
      <c r="S52" s="917"/>
      <c r="T52" s="917"/>
      <c r="U52" s="917"/>
      <c r="V52" s="917"/>
      <c r="W52" s="917"/>
      <c r="X52" s="917"/>
      <c r="Y52" s="917"/>
      <c r="Z52" s="917"/>
      <c r="AA52" s="917"/>
      <c r="AB52" s="917"/>
      <c r="AC52" s="918"/>
      <c r="AD52" s="919"/>
      <c r="AE52" s="920"/>
      <c r="AF52" s="920"/>
      <c r="AG52" s="921"/>
      <c r="AH52" s="920"/>
      <c r="AI52" s="921"/>
    </row>
    <row r="53" spans="1:35">
      <c r="A53" s="265" t="s">
        <v>64</v>
      </c>
    </row>
    <row r="54" spans="1:35">
      <c r="A54" s="445" t="s">
        <v>65</v>
      </c>
      <c r="B54" s="265" t="s">
        <v>152</v>
      </c>
    </row>
    <row r="55" spans="1:35">
      <c r="A55" s="445" t="s">
        <v>66</v>
      </c>
      <c r="B55" s="265" t="s">
        <v>67</v>
      </c>
    </row>
    <row r="56" spans="1:35">
      <c r="A56" s="445" t="s">
        <v>68</v>
      </c>
      <c r="B56" s="265" t="s">
        <v>69</v>
      </c>
    </row>
    <row r="57" spans="1:35">
      <c r="A57" s="445" t="s">
        <v>70</v>
      </c>
      <c r="B57" s="265" t="s">
        <v>71</v>
      </c>
    </row>
    <row r="58" spans="1:35">
      <c r="A58" s="445"/>
      <c r="B58" s="265" t="s">
        <v>72</v>
      </c>
    </row>
    <row r="59" spans="1:35" ht="24">
      <c r="A59" s="445" t="s">
        <v>73</v>
      </c>
      <c r="B59" s="2028" t="s">
        <v>143</v>
      </c>
      <c r="C59" s="2028"/>
      <c r="D59" s="2028"/>
      <c r="E59" s="2028"/>
      <c r="F59" s="2028"/>
      <c r="G59" s="2028"/>
      <c r="H59" s="2028"/>
      <c r="I59" s="2028"/>
      <c r="J59" s="2028"/>
      <c r="K59" s="2028"/>
      <c r="L59" s="2028"/>
      <c r="M59" s="2028"/>
      <c r="N59" s="2028"/>
      <c r="O59" s="2028"/>
      <c r="P59" s="2028"/>
      <c r="Q59" s="2028"/>
      <c r="R59" s="2028"/>
      <c r="S59" s="2028"/>
      <c r="T59" s="2028"/>
      <c r="U59" s="2028"/>
      <c r="V59" s="2028"/>
      <c r="W59" s="2028"/>
      <c r="X59" s="2028"/>
      <c r="Y59" s="2028"/>
      <c r="Z59" s="2028"/>
      <c r="AA59" s="2028"/>
      <c r="AB59" s="2028"/>
      <c r="AC59" s="2028"/>
      <c r="AD59" s="2028"/>
      <c r="AE59" s="2028"/>
      <c r="AF59" s="2028"/>
      <c r="AG59" s="2028"/>
      <c r="AH59" s="2028"/>
      <c r="AI59" s="2028"/>
    </row>
    <row r="60" spans="1:35">
      <c r="A60" s="445"/>
      <c r="B60" s="265" t="s">
        <v>74</v>
      </c>
    </row>
    <row r="61" spans="1:35">
      <c r="A61" s="445"/>
      <c r="B61" s="265" t="s">
        <v>75</v>
      </c>
    </row>
    <row r="62" spans="1:35">
      <c r="A62" s="445"/>
      <c r="B62" s="265" t="s">
        <v>76</v>
      </c>
    </row>
    <row r="63" spans="1:35">
      <c r="A63" s="445" t="s">
        <v>177</v>
      </c>
      <c r="B63" s="265" t="s">
        <v>178</v>
      </c>
    </row>
    <row r="64" spans="1:35" ht="36">
      <c r="A64" s="445" t="s">
        <v>179</v>
      </c>
      <c r="B64" s="265" t="s">
        <v>148</v>
      </c>
    </row>
    <row r="65" spans="1:35" ht="24">
      <c r="A65" s="445" t="s">
        <v>180</v>
      </c>
      <c r="B65" s="2028" t="s">
        <v>144</v>
      </c>
      <c r="C65" s="2028"/>
      <c r="D65" s="2028"/>
      <c r="E65" s="2028"/>
      <c r="F65" s="2028"/>
      <c r="G65" s="2028"/>
      <c r="H65" s="2028"/>
      <c r="I65" s="2028"/>
      <c r="J65" s="2028"/>
      <c r="K65" s="2028"/>
      <c r="L65" s="2028"/>
      <c r="M65" s="2028"/>
      <c r="N65" s="2028"/>
      <c r="O65" s="2028"/>
      <c r="P65" s="2028"/>
      <c r="Q65" s="2028"/>
      <c r="R65" s="2028"/>
      <c r="S65" s="2028"/>
      <c r="T65" s="2028"/>
      <c r="U65" s="2028"/>
      <c r="V65" s="2028"/>
      <c r="W65" s="2028"/>
      <c r="X65" s="2028"/>
      <c r="Y65" s="2028"/>
      <c r="Z65" s="2028"/>
      <c r="AA65" s="2028"/>
      <c r="AB65" s="2028"/>
      <c r="AC65" s="2028"/>
      <c r="AD65" s="2028"/>
      <c r="AE65" s="2028"/>
      <c r="AF65" s="2028"/>
      <c r="AG65" s="2028"/>
      <c r="AH65" s="2028"/>
      <c r="AI65" s="2028"/>
    </row>
    <row r="66" spans="1:35">
      <c r="A66" s="445"/>
      <c r="B66" s="265" t="s">
        <v>74</v>
      </c>
    </row>
    <row r="67" spans="1:35">
      <c r="A67" s="445"/>
      <c r="B67" s="265" t="s">
        <v>75</v>
      </c>
    </row>
    <row r="68" spans="1:35">
      <c r="A68" s="445"/>
      <c r="B68" s="265" t="s">
        <v>112</v>
      </c>
    </row>
    <row r="69" spans="1:35" ht="24">
      <c r="A69" s="445" t="s">
        <v>189</v>
      </c>
      <c r="B69" s="265" t="s">
        <v>190</v>
      </c>
    </row>
    <row r="70" spans="1:35" ht="24">
      <c r="A70" s="445" t="s">
        <v>187</v>
      </c>
      <c r="B70" s="265" t="s">
        <v>183</v>
      </c>
    </row>
    <row r="71" spans="1:35">
      <c r="A71" s="445" t="s">
        <v>188</v>
      </c>
      <c r="B71" s="265" t="s">
        <v>191</v>
      </c>
    </row>
  </sheetData>
  <mergeCells count="7">
    <mergeCell ref="B59:AI59"/>
    <mergeCell ref="B65:AI65"/>
    <mergeCell ref="A5:A7"/>
    <mergeCell ref="B5:P5"/>
    <mergeCell ref="Q5:AE5"/>
    <mergeCell ref="AF5:AG5"/>
    <mergeCell ref="AH5:AI5"/>
  </mergeCells>
  <printOptions horizontalCentered="1"/>
  <pageMargins left="0.19685039370078741" right="0.19685039370078741" top="0.78740157480314965" bottom="0.78740157480314965" header="0.19685039370078741" footer="0.19685039370078741"/>
  <pageSetup paperSize="9" scale="79"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tabColor rgb="FF002060"/>
  </sheetPr>
  <dimension ref="A1:W66"/>
  <sheetViews>
    <sheetView view="pageBreakPreview" zoomScaleNormal="100" zoomScaleSheetLayoutView="100" workbookViewId="0">
      <selection activeCell="B8" sqref="B8"/>
    </sheetView>
  </sheetViews>
  <sheetFormatPr baseColWidth="10" defaultColWidth="11.28515625" defaultRowHeight="11.25"/>
  <cols>
    <col min="1" max="1" width="8.5703125" style="83" customWidth="1"/>
    <col min="2" max="2" width="17.7109375" style="83" customWidth="1"/>
    <col min="3" max="3" width="3.7109375" style="83" customWidth="1"/>
    <col min="4" max="6" width="10.85546875" style="83" bestFit="1" customWidth="1"/>
    <col min="7" max="7" width="9.5703125" style="83" bestFit="1" customWidth="1"/>
    <col min="8" max="8" width="8.7109375" style="83" bestFit="1" customWidth="1"/>
    <col min="9" max="9" width="10.85546875" style="83" bestFit="1" customWidth="1"/>
    <col min="10" max="10" width="9.5703125" style="83" bestFit="1" customWidth="1"/>
    <col min="11" max="11" width="2.28515625" style="83" customWidth="1"/>
    <col min="12" max="12" width="9.5703125" style="83" bestFit="1" customWidth="1"/>
    <col min="13" max="13" width="3.7109375" style="83" customWidth="1"/>
    <col min="14" max="16" width="9.5703125" style="83" bestFit="1" customWidth="1"/>
    <col min="17" max="17" width="11.5703125" style="83" bestFit="1" customWidth="1"/>
    <col min="18" max="18" width="6.140625" style="83" bestFit="1" customWidth="1"/>
    <col min="19" max="16384" width="11.28515625" style="83"/>
  </cols>
  <sheetData>
    <row r="1" spans="1:23" s="82" customFormat="1">
      <c r="A1" s="76" t="s">
        <v>446</v>
      </c>
      <c r="B1" s="76"/>
      <c r="C1" s="142"/>
      <c r="D1" s="142"/>
      <c r="E1" s="142"/>
      <c r="F1" s="142"/>
      <c r="G1" s="142"/>
      <c r="H1" s="143"/>
      <c r="I1" s="143"/>
      <c r="J1" s="143"/>
      <c r="K1" s="143"/>
      <c r="L1" s="143"/>
      <c r="M1" s="143"/>
      <c r="N1" s="143"/>
      <c r="O1" s="143"/>
      <c r="P1" s="143"/>
      <c r="Q1" s="143"/>
      <c r="R1" s="143"/>
    </row>
    <row r="2" spans="1:23" s="82" customFormat="1" ht="12" thickBot="1">
      <c r="A2" s="76" t="s">
        <v>382</v>
      </c>
      <c r="B2" s="77"/>
      <c r="C2" s="77"/>
      <c r="D2" s="77"/>
      <c r="E2" s="77"/>
      <c r="F2" s="77"/>
      <c r="G2" s="77"/>
      <c r="H2" s="77"/>
      <c r="I2" s="77"/>
      <c r="J2" s="77"/>
      <c r="K2" s="77"/>
      <c r="L2" s="77"/>
      <c r="M2" s="77"/>
      <c r="N2" s="77"/>
      <c r="O2" s="77"/>
      <c r="P2" s="77"/>
      <c r="Q2" s="77"/>
      <c r="R2" s="77"/>
      <c r="S2" s="81"/>
      <c r="T2" s="81"/>
      <c r="U2" s="81"/>
      <c r="V2" s="81"/>
      <c r="W2" s="81"/>
    </row>
    <row r="3" spans="1:23" s="85" customFormat="1" ht="28.35" customHeight="1" thickBot="1">
      <c r="A3" s="1955" t="s">
        <v>260</v>
      </c>
      <c r="B3" s="1955" t="s">
        <v>245</v>
      </c>
      <c r="C3" s="1957" t="s">
        <v>111</v>
      </c>
      <c r="D3" s="1958"/>
      <c r="E3" s="1958"/>
      <c r="F3" s="1958"/>
      <c r="G3" s="1958"/>
      <c r="H3" s="1958"/>
      <c r="I3" s="1959"/>
      <c r="J3" s="1957" t="s">
        <v>99</v>
      </c>
      <c r="K3" s="1958"/>
      <c r="L3" s="1958"/>
      <c r="M3" s="1958"/>
      <c r="N3" s="1959"/>
      <c r="O3" s="1957" t="s">
        <v>89</v>
      </c>
      <c r="P3" s="1959"/>
      <c r="Q3" s="1957" t="s">
        <v>0</v>
      </c>
      <c r="R3" s="1959"/>
    </row>
    <row r="4" spans="1:23" s="86" customFormat="1" ht="74.25" customHeight="1" thickBot="1">
      <c r="A4" s="1956"/>
      <c r="B4" s="1956"/>
      <c r="C4" s="370" t="s">
        <v>100</v>
      </c>
      <c r="D4" s="348" t="s">
        <v>101</v>
      </c>
      <c r="E4" s="348" t="s">
        <v>102</v>
      </c>
      <c r="F4" s="348" t="s">
        <v>103</v>
      </c>
      <c r="G4" s="348" t="s">
        <v>104</v>
      </c>
      <c r="H4" s="348" t="s">
        <v>105</v>
      </c>
      <c r="I4" s="349" t="s">
        <v>96</v>
      </c>
      <c r="J4" s="347" t="s">
        <v>106</v>
      </c>
      <c r="K4" s="371" t="s">
        <v>107</v>
      </c>
      <c r="L4" s="348" t="s">
        <v>108</v>
      </c>
      <c r="M4" s="371" t="s">
        <v>109</v>
      </c>
      <c r="N4" s="349" t="s">
        <v>97</v>
      </c>
      <c r="O4" s="347" t="s">
        <v>110</v>
      </c>
      <c r="P4" s="349" t="s">
        <v>98</v>
      </c>
      <c r="Q4" s="350" t="s">
        <v>130</v>
      </c>
      <c r="R4" s="351" t="s">
        <v>88</v>
      </c>
    </row>
    <row r="5" spans="1:23" s="376" customFormat="1" ht="7.5" thickBot="1">
      <c r="A5" s="372"/>
      <c r="B5" s="372"/>
      <c r="C5" s="373"/>
      <c r="D5" s="374"/>
      <c r="E5" s="375"/>
      <c r="F5" s="375"/>
      <c r="G5" s="375"/>
      <c r="H5" s="375"/>
      <c r="I5" s="375"/>
      <c r="J5" s="375"/>
      <c r="K5" s="375"/>
      <c r="L5" s="375"/>
      <c r="M5" s="375"/>
      <c r="N5" s="375"/>
      <c r="O5" s="375"/>
      <c r="P5" s="375"/>
      <c r="Q5" s="375"/>
      <c r="R5" s="375"/>
    </row>
    <row r="6" spans="1:23" s="112" customFormat="1" ht="13.5" thickBot="1">
      <c r="A6" s="344" t="s">
        <v>372</v>
      </c>
      <c r="B6" s="345"/>
      <c r="C6" s="345"/>
      <c r="D6" s="345"/>
      <c r="E6" s="345"/>
      <c r="F6" s="345"/>
      <c r="G6" s="345"/>
      <c r="H6" s="345"/>
      <c r="I6" s="345"/>
      <c r="J6" s="345"/>
      <c r="K6" s="345"/>
      <c r="L6" s="345"/>
      <c r="M6" s="345"/>
      <c r="N6" s="345"/>
      <c r="O6" s="345"/>
      <c r="P6" s="345"/>
      <c r="Q6" s="345"/>
      <c r="R6" s="346"/>
    </row>
    <row r="7" spans="1:23" ht="21.95" customHeight="1">
      <c r="A7" s="1953" t="s">
        <v>352</v>
      </c>
      <c r="B7" s="368" t="s">
        <v>353</v>
      </c>
      <c r="C7" s="218"/>
      <c r="D7" s="219">
        <v>6403007</v>
      </c>
      <c r="E7" s="219">
        <v>5744</v>
      </c>
      <c r="F7" s="219">
        <v>52503770</v>
      </c>
      <c r="G7" s="219"/>
      <c r="H7" s="219">
        <v>3273079</v>
      </c>
      <c r="I7" s="204">
        <f>SUM(C7:H7)</f>
        <v>62185600</v>
      </c>
      <c r="J7" s="218"/>
      <c r="K7" s="219"/>
      <c r="L7" s="219"/>
      <c r="M7" s="219"/>
      <c r="N7" s="204">
        <f>SUM(J7:L7)</f>
        <v>0</v>
      </c>
      <c r="O7" s="218"/>
      <c r="P7" s="204">
        <f>SUM(O7)</f>
        <v>0</v>
      </c>
      <c r="Q7" s="203">
        <f>SUM(P7,N7,I7)</f>
        <v>62185600</v>
      </c>
      <c r="R7" s="209">
        <f>Q7/$Q$19</f>
        <v>8.3723285498833299E-3</v>
      </c>
    </row>
    <row r="8" spans="1:23" ht="33" customHeight="1">
      <c r="A8" s="1953"/>
      <c r="B8" s="369" t="s">
        <v>354</v>
      </c>
      <c r="C8" s="199"/>
      <c r="D8" s="198">
        <v>12013671</v>
      </c>
      <c r="E8" s="198"/>
      <c r="F8" s="198">
        <v>158720189</v>
      </c>
      <c r="G8" s="198"/>
      <c r="H8" s="198">
        <v>9305398</v>
      </c>
      <c r="I8" s="206">
        <f t="shared" ref="I8:I18" si="0">SUM(C8:H8)</f>
        <v>180039258</v>
      </c>
      <c r="J8" s="199"/>
      <c r="K8" s="198"/>
      <c r="L8" s="198">
        <v>12395343</v>
      </c>
      <c r="M8" s="198"/>
      <c r="N8" s="206">
        <f t="shared" ref="N8:N18" si="1">SUM(J8:L8)</f>
        <v>12395343</v>
      </c>
      <c r="O8" s="199"/>
      <c r="P8" s="206">
        <f t="shared" ref="P8:P18" si="2">SUM(O8)</f>
        <v>0</v>
      </c>
      <c r="Q8" s="205">
        <f t="shared" ref="Q8:Q18" si="3">SUM(P8,N8,I8)</f>
        <v>192434601</v>
      </c>
      <c r="R8" s="210">
        <f t="shared" ref="R8:R19" si="4">Q8/$Q$19</f>
        <v>2.5908340579454202E-2</v>
      </c>
    </row>
    <row r="9" spans="1:23" ht="21.95" customHeight="1">
      <c r="A9" s="1953"/>
      <c r="B9" s="369" t="s">
        <v>355</v>
      </c>
      <c r="C9" s="199"/>
      <c r="D9" s="198">
        <v>1713021032</v>
      </c>
      <c r="E9" s="198"/>
      <c r="F9" s="198">
        <v>473974742</v>
      </c>
      <c r="G9" s="198"/>
      <c r="H9" s="198">
        <v>6226940</v>
      </c>
      <c r="I9" s="206">
        <f t="shared" si="0"/>
        <v>2193222714</v>
      </c>
      <c r="J9" s="199"/>
      <c r="K9" s="198"/>
      <c r="L9" s="198">
        <v>20155152</v>
      </c>
      <c r="M9" s="198"/>
      <c r="N9" s="206">
        <f t="shared" si="1"/>
        <v>20155152</v>
      </c>
      <c r="O9" s="199">
        <v>36110699</v>
      </c>
      <c r="P9" s="206">
        <f t="shared" si="2"/>
        <v>36110699</v>
      </c>
      <c r="Q9" s="205">
        <f t="shared" si="3"/>
        <v>2249488565</v>
      </c>
      <c r="R9" s="211">
        <f t="shared" si="4"/>
        <v>0.30285881836607803</v>
      </c>
    </row>
    <row r="10" spans="1:23" s="112" customFormat="1" ht="21.95" customHeight="1">
      <c r="A10" s="1953"/>
      <c r="B10" s="369" t="s">
        <v>356</v>
      </c>
      <c r="C10" s="199"/>
      <c r="D10" s="198">
        <v>1253826511</v>
      </c>
      <c r="E10" s="198">
        <v>1010000</v>
      </c>
      <c r="F10" s="198">
        <v>446059704</v>
      </c>
      <c r="G10" s="198">
        <v>230555</v>
      </c>
      <c r="H10" s="198">
        <v>3185930</v>
      </c>
      <c r="I10" s="206">
        <f t="shared" si="0"/>
        <v>1704312700</v>
      </c>
      <c r="J10" s="199"/>
      <c r="K10" s="198"/>
      <c r="L10" s="198">
        <v>134393387</v>
      </c>
      <c r="M10" s="198"/>
      <c r="N10" s="206">
        <f t="shared" si="1"/>
        <v>134393387</v>
      </c>
      <c r="O10" s="199">
        <v>38128880</v>
      </c>
      <c r="P10" s="206">
        <f t="shared" si="2"/>
        <v>38128880</v>
      </c>
      <c r="Q10" s="205">
        <f t="shared" si="3"/>
        <v>1876834967</v>
      </c>
      <c r="R10" s="211">
        <f t="shared" si="4"/>
        <v>0.25268677921630472</v>
      </c>
    </row>
    <row r="11" spans="1:23" s="112" customFormat="1" ht="21.95" customHeight="1">
      <c r="A11" s="1953"/>
      <c r="B11" s="369" t="s">
        <v>357</v>
      </c>
      <c r="C11" s="199"/>
      <c r="D11" s="198">
        <v>728173052</v>
      </c>
      <c r="E11" s="198">
        <v>802000</v>
      </c>
      <c r="F11" s="198">
        <v>342173983</v>
      </c>
      <c r="G11" s="198">
        <v>6300</v>
      </c>
      <c r="H11" s="198">
        <v>1275341</v>
      </c>
      <c r="I11" s="206">
        <f t="shared" si="0"/>
        <v>1072430676</v>
      </c>
      <c r="J11" s="199"/>
      <c r="K11" s="198"/>
      <c r="L11" s="198">
        <v>30556080</v>
      </c>
      <c r="M11" s="198"/>
      <c r="N11" s="206">
        <f t="shared" si="1"/>
        <v>30556080</v>
      </c>
      <c r="O11" s="199">
        <v>130610062</v>
      </c>
      <c r="P11" s="206">
        <f t="shared" si="2"/>
        <v>130610062</v>
      </c>
      <c r="Q11" s="205">
        <f t="shared" si="3"/>
        <v>1233596818</v>
      </c>
      <c r="R11" s="211">
        <f t="shared" si="4"/>
        <v>0.16608471830112809</v>
      </c>
    </row>
    <row r="12" spans="1:23" s="112" customFormat="1" ht="44.1" customHeight="1">
      <c r="A12" s="1953"/>
      <c r="B12" s="369" t="s">
        <v>358</v>
      </c>
      <c r="C12" s="199"/>
      <c r="D12" s="198">
        <v>529922</v>
      </c>
      <c r="E12" s="198"/>
      <c r="F12" s="198">
        <v>17727894</v>
      </c>
      <c r="G12" s="198"/>
      <c r="H12" s="198">
        <v>4993</v>
      </c>
      <c r="I12" s="206">
        <f t="shared" si="0"/>
        <v>18262809</v>
      </c>
      <c r="J12" s="199"/>
      <c r="K12" s="198"/>
      <c r="L12" s="198"/>
      <c r="M12" s="198"/>
      <c r="N12" s="206">
        <f t="shared" si="1"/>
        <v>0</v>
      </c>
      <c r="O12" s="199"/>
      <c r="P12" s="206">
        <f t="shared" si="2"/>
        <v>0</v>
      </c>
      <c r="Q12" s="205">
        <f t="shared" si="3"/>
        <v>18262809</v>
      </c>
      <c r="R12" s="211">
        <f t="shared" si="4"/>
        <v>2.4588045655548267E-3</v>
      </c>
    </row>
    <row r="13" spans="1:23" s="112" customFormat="1" ht="21.95" customHeight="1">
      <c r="A13" s="1953"/>
      <c r="B13" s="369" t="s">
        <v>359</v>
      </c>
      <c r="C13" s="199"/>
      <c r="D13" s="198">
        <v>2734400</v>
      </c>
      <c r="E13" s="198"/>
      <c r="F13" s="198">
        <v>7656459</v>
      </c>
      <c r="G13" s="198"/>
      <c r="H13" s="198">
        <v>5686</v>
      </c>
      <c r="I13" s="206">
        <f t="shared" si="0"/>
        <v>10396545</v>
      </c>
      <c r="J13" s="199"/>
      <c r="K13" s="198"/>
      <c r="L13" s="198"/>
      <c r="M13" s="198"/>
      <c r="N13" s="206">
        <f t="shared" si="1"/>
        <v>0</v>
      </c>
      <c r="O13" s="199"/>
      <c r="P13" s="206">
        <f t="shared" si="2"/>
        <v>0</v>
      </c>
      <c r="Q13" s="205">
        <f t="shared" si="3"/>
        <v>10396545</v>
      </c>
      <c r="R13" s="211">
        <f t="shared" si="4"/>
        <v>1.3997338696361663E-3</v>
      </c>
    </row>
    <row r="14" spans="1:23" ht="33" customHeight="1">
      <c r="A14" s="1954"/>
      <c r="B14" s="369" t="s">
        <v>360</v>
      </c>
      <c r="C14" s="199"/>
      <c r="D14" s="198">
        <v>117092002</v>
      </c>
      <c r="E14" s="198">
        <v>1291191305</v>
      </c>
      <c r="F14" s="198">
        <v>1028141</v>
      </c>
      <c r="G14" s="198"/>
      <c r="H14" s="198"/>
      <c r="I14" s="206">
        <f t="shared" si="0"/>
        <v>1409311448</v>
      </c>
      <c r="J14" s="199"/>
      <c r="K14" s="198"/>
      <c r="L14" s="198"/>
      <c r="M14" s="198"/>
      <c r="N14" s="206">
        <f t="shared" si="1"/>
        <v>0</v>
      </c>
      <c r="O14" s="199"/>
      <c r="P14" s="206">
        <f t="shared" si="2"/>
        <v>0</v>
      </c>
      <c r="Q14" s="205">
        <f t="shared" si="3"/>
        <v>1409311448</v>
      </c>
      <c r="R14" s="211">
        <f t="shared" si="4"/>
        <v>0.18974197357214237</v>
      </c>
    </row>
    <row r="15" spans="1:23" ht="33" customHeight="1">
      <c r="A15" s="144" t="s">
        <v>361</v>
      </c>
      <c r="B15" s="369" t="s">
        <v>362</v>
      </c>
      <c r="C15" s="199"/>
      <c r="D15" s="198">
        <v>2030424</v>
      </c>
      <c r="E15" s="198">
        <v>15706287</v>
      </c>
      <c r="F15" s="198">
        <v>51231019</v>
      </c>
      <c r="G15" s="198">
        <v>164000000</v>
      </c>
      <c r="H15" s="198">
        <v>56253</v>
      </c>
      <c r="I15" s="206">
        <f t="shared" si="0"/>
        <v>233023983</v>
      </c>
      <c r="J15" s="199">
        <v>100000000</v>
      </c>
      <c r="K15" s="198"/>
      <c r="L15" s="198">
        <v>24380054</v>
      </c>
      <c r="M15" s="198"/>
      <c r="N15" s="206">
        <f t="shared" si="1"/>
        <v>124380054</v>
      </c>
      <c r="O15" s="199"/>
      <c r="P15" s="206">
        <f t="shared" si="2"/>
        <v>0</v>
      </c>
      <c r="Q15" s="205">
        <f t="shared" si="3"/>
        <v>357404037</v>
      </c>
      <c r="R15" s="210">
        <f t="shared" si="4"/>
        <v>4.8118921789267258E-2</v>
      </c>
    </row>
    <row r="16" spans="1:23" ht="50.1" customHeight="1">
      <c r="A16" s="144" t="s">
        <v>363</v>
      </c>
      <c r="B16" s="369" t="s">
        <v>364</v>
      </c>
      <c r="C16" s="199"/>
      <c r="D16" s="198"/>
      <c r="E16" s="198"/>
      <c r="F16" s="198">
        <v>8633577</v>
      </c>
      <c r="G16" s="198"/>
      <c r="H16" s="198">
        <v>20000</v>
      </c>
      <c r="I16" s="206">
        <f t="shared" si="0"/>
        <v>8653577</v>
      </c>
      <c r="J16" s="199"/>
      <c r="K16" s="198"/>
      <c r="L16" s="198"/>
      <c r="M16" s="198"/>
      <c r="N16" s="206">
        <f t="shared" si="1"/>
        <v>0</v>
      </c>
      <c r="O16" s="199"/>
      <c r="P16" s="206">
        <f t="shared" si="2"/>
        <v>0</v>
      </c>
      <c r="Q16" s="205">
        <f t="shared" si="3"/>
        <v>8653577</v>
      </c>
      <c r="R16" s="211">
        <f t="shared" si="4"/>
        <v>1.165070205573537E-3</v>
      </c>
    </row>
    <row r="17" spans="1:18" ht="33" customHeight="1">
      <c r="A17" s="144" t="s">
        <v>365</v>
      </c>
      <c r="B17" s="369" t="s">
        <v>366</v>
      </c>
      <c r="C17" s="199"/>
      <c r="D17" s="198"/>
      <c r="E17" s="198"/>
      <c r="F17" s="198">
        <v>3402776</v>
      </c>
      <c r="G17" s="198">
        <v>10761</v>
      </c>
      <c r="H17" s="198">
        <v>10000</v>
      </c>
      <c r="I17" s="206">
        <f t="shared" si="0"/>
        <v>3423537</v>
      </c>
      <c r="J17" s="199"/>
      <c r="K17" s="198"/>
      <c r="L17" s="198"/>
      <c r="M17" s="198"/>
      <c r="N17" s="206">
        <f t="shared" si="1"/>
        <v>0</v>
      </c>
      <c r="O17" s="199"/>
      <c r="P17" s="206">
        <f t="shared" si="2"/>
        <v>0</v>
      </c>
      <c r="Q17" s="205">
        <f t="shared" si="3"/>
        <v>3423537</v>
      </c>
      <c r="R17" s="211">
        <f t="shared" si="4"/>
        <v>4.609262685683169E-4</v>
      </c>
    </row>
    <row r="18" spans="1:18" ht="33" customHeight="1" thickBot="1">
      <c r="A18" s="145" t="s">
        <v>367</v>
      </c>
      <c r="B18" s="369" t="s">
        <v>368</v>
      </c>
      <c r="C18" s="220"/>
      <c r="D18" s="221"/>
      <c r="E18" s="221"/>
      <c r="F18" s="221">
        <v>5499481</v>
      </c>
      <c r="G18" s="221"/>
      <c r="H18" s="221">
        <v>23506</v>
      </c>
      <c r="I18" s="208">
        <f t="shared" si="0"/>
        <v>5522987</v>
      </c>
      <c r="J18" s="220"/>
      <c r="K18" s="221"/>
      <c r="L18" s="221"/>
      <c r="M18" s="221"/>
      <c r="N18" s="208">
        <f t="shared" si="1"/>
        <v>0</v>
      </c>
      <c r="O18" s="220"/>
      <c r="P18" s="208">
        <f t="shared" si="2"/>
        <v>0</v>
      </c>
      <c r="Q18" s="207">
        <f t="shared" si="3"/>
        <v>5522987</v>
      </c>
      <c r="R18" s="212">
        <f t="shared" si="4"/>
        <v>7.4358471640917649E-4</v>
      </c>
    </row>
    <row r="19" spans="1:18" ht="23.25" thickBot="1">
      <c r="A19" s="214" t="s">
        <v>81</v>
      </c>
      <c r="B19" s="146" t="s">
        <v>81</v>
      </c>
      <c r="C19" s="200">
        <f>SUM(C7:C18)</f>
        <v>0</v>
      </c>
      <c r="D19" s="201">
        <f t="shared" ref="D19:Q19" si="5">SUM(D7:D18)</f>
        <v>3835824021</v>
      </c>
      <c r="E19" s="201">
        <f t="shared" si="5"/>
        <v>1308715336</v>
      </c>
      <c r="F19" s="201">
        <f t="shared" si="5"/>
        <v>1568611735</v>
      </c>
      <c r="G19" s="201">
        <f t="shared" si="5"/>
        <v>164247616</v>
      </c>
      <c r="H19" s="201">
        <f t="shared" si="5"/>
        <v>23387126</v>
      </c>
      <c r="I19" s="202">
        <f t="shared" si="5"/>
        <v>6900785834</v>
      </c>
      <c r="J19" s="200">
        <f t="shared" si="5"/>
        <v>100000000</v>
      </c>
      <c r="K19" s="201">
        <f t="shared" si="5"/>
        <v>0</v>
      </c>
      <c r="L19" s="201">
        <f t="shared" si="5"/>
        <v>221880016</v>
      </c>
      <c r="M19" s="201">
        <f t="shared" si="5"/>
        <v>0</v>
      </c>
      <c r="N19" s="202">
        <f t="shared" si="5"/>
        <v>321880016</v>
      </c>
      <c r="O19" s="200">
        <f t="shared" si="5"/>
        <v>204849641</v>
      </c>
      <c r="P19" s="202">
        <f t="shared" si="5"/>
        <v>204849641</v>
      </c>
      <c r="Q19" s="200">
        <f t="shared" si="5"/>
        <v>7427515491</v>
      </c>
      <c r="R19" s="213">
        <f t="shared" si="4"/>
        <v>1</v>
      </c>
    </row>
    <row r="20" spans="1:18" s="376" customFormat="1" ht="7.5" thickBot="1">
      <c r="A20" s="372"/>
      <c r="B20" s="372"/>
      <c r="C20" s="373"/>
      <c r="D20" s="374"/>
      <c r="E20" s="375"/>
      <c r="F20" s="375"/>
      <c r="G20" s="375"/>
      <c r="H20" s="375"/>
      <c r="I20" s="375"/>
      <c r="J20" s="375"/>
      <c r="K20" s="375"/>
      <c r="L20" s="375"/>
      <c r="M20" s="375"/>
      <c r="N20" s="375"/>
      <c r="O20" s="375"/>
      <c r="P20" s="375"/>
      <c r="Q20" s="375"/>
      <c r="R20" s="375"/>
    </row>
    <row r="21" spans="1:18" s="112" customFormat="1" ht="13.5" thickBot="1">
      <c r="A21" s="344" t="s">
        <v>369</v>
      </c>
      <c r="B21" s="345"/>
      <c r="C21" s="345"/>
      <c r="D21" s="345"/>
      <c r="E21" s="345"/>
      <c r="F21" s="345"/>
      <c r="G21" s="345"/>
      <c r="H21" s="345"/>
      <c r="I21" s="345"/>
      <c r="J21" s="345"/>
      <c r="K21" s="345"/>
      <c r="L21" s="345"/>
      <c r="M21" s="345"/>
      <c r="N21" s="345"/>
      <c r="O21" s="345"/>
      <c r="P21" s="345"/>
      <c r="Q21" s="345"/>
      <c r="R21" s="346"/>
    </row>
    <row r="22" spans="1:18" s="112" customFormat="1" ht="21.95" customHeight="1">
      <c r="A22" s="1960" t="s">
        <v>352</v>
      </c>
      <c r="B22" s="368" t="s">
        <v>353</v>
      </c>
      <c r="C22" s="218"/>
      <c r="D22" s="219">
        <v>6403007</v>
      </c>
      <c r="E22" s="219">
        <v>5744</v>
      </c>
      <c r="F22" s="219">
        <v>42607348</v>
      </c>
      <c r="G22" s="219"/>
      <c r="H22" s="219">
        <v>3273079</v>
      </c>
      <c r="I22" s="204">
        <f>SUM(C22:H22)</f>
        <v>52289178</v>
      </c>
      <c r="J22" s="218"/>
      <c r="K22" s="219"/>
      <c r="L22" s="219"/>
      <c r="M22" s="219"/>
      <c r="N22" s="204">
        <f>SUM(J22:L22)</f>
        <v>0</v>
      </c>
      <c r="O22" s="218"/>
      <c r="P22" s="204">
        <f>SUM(O22)</f>
        <v>0</v>
      </c>
      <c r="Q22" s="203">
        <f>SUM(P22,N22,I22)</f>
        <v>52289178</v>
      </c>
      <c r="R22" s="209">
        <f>Q22/$Q$34</f>
        <v>7.904237491343339E-3</v>
      </c>
    </row>
    <row r="23" spans="1:18" s="112" customFormat="1" ht="33" customHeight="1">
      <c r="A23" s="1953"/>
      <c r="B23" s="369" t="s">
        <v>354</v>
      </c>
      <c r="C23" s="199"/>
      <c r="D23" s="198">
        <v>1172423</v>
      </c>
      <c r="E23" s="198"/>
      <c r="F23" s="198">
        <v>145077534</v>
      </c>
      <c r="G23" s="198"/>
      <c r="H23" s="198">
        <v>9305398</v>
      </c>
      <c r="I23" s="206">
        <f t="shared" ref="I23:I33" si="6">SUM(C23:H23)</f>
        <v>155555355</v>
      </c>
      <c r="J23" s="199"/>
      <c r="K23" s="198"/>
      <c r="L23" s="198"/>
      <c r="M23" s="198"/>
      <c r="N23" s="206">
        <f t="shared" ref="N23:N33" si="7">SUM(J23:L23)</f>
        <v>0</v>
      </c>
      <c r="O23" s="199"/>
      <c r="P23" s="206">
        <f t="shared" ref="P23:P33" si="8">SUM(O23)</f>
        <v>0</v>
      </c>
      <c r="Q23" s="205">
        <f t="shared" ref="Q23:Q33" si="9">SUM(P23,N23,I23)</f>
        <v>155555355</v>
      </c>
      <c r="R23" s="210">
        <f t="shared" ref="R23:R34" si="10">Q23/$Q$34</f>
        <v>2.3514358343331054E-2</v>
      </c>
    </row>
    <row r="24" spans="1:18" s="112" customFormat="1" ht="21.95" customHeight="1">
      <c r="A24" s="1953"/>
      <c r="B24" s="369" t="s">
        <v>355</v>
      </c>
      <c r="C24" s="199"/>
      <c r="D24" s="198">
        <v>1713021032</v>
      </c>
      <c r="E24" s="198"/>
      <c r="F24" s="198">
        <v>435038714</v>
      </c>
      <c r="G24" s="198"/>
      <c r="H24" s="198">
        <v>1062626</v>
      </c>
      <c r="I24" s="206">
        <f t="shared" si="6"/>
        <v>2149122372</v>
      </c>
      <c r="J24" s="199"/>
      <c r="K24" s="198"/>
      <c r="L24" s="198">
        <v>7521000</v>
      </c>
      <c r="M24" s="198"/>
      <c r="N24" s="206">
        <f t="shared" si="7"/>
        <v>7521000</v>
      </c>
      <c r="O24" s="199"/>
      <c r="P24" s="206">
        <f t="shared" si="8"/>
        <v>0</v>
      </c>
      <c r="Q24" s="205">
        <f t="shared" si="9"/>
        <v>2156643372</v>
      </c>
      <c r="R24" s="211">
        <f t="shared" si="10"/>
        <v>0.32600668146704315</v>
      </c>
    </row>
    <row r="25" spans="1:18" s="112" customFormat="1" ht="21.95" customHeight="1">
      <c r="A25" s="1953"/>
      <c r="B25" s="369" t="s">
        <v>356</v>
      </c>
      <c r="C25" s="199"/>
      <c r="D25" s="198">
        <v>1253826511</v>
      </c>
      <c r="E25" s="198">
        <v>1010000</v>
      </c>
      <c r="F25" s="198">
        <v>295705187</v>
      </c>
      <c r="G25" s="198"/>
      <c r="H25" s="198">
        <v>1062626</v>
      </c>
      <c r="I25" s="206">
        <f t="shared" si="6"/>
        <v>1551604324</v>
      </c>
      <c r="J25" s="199"/>
      <c r="K25" s="198"/>
      <c r="L25" s="198">
        <v>4280202</v>
      </c>
      <c r="M25" s="198"/>
      <c r="N25" s="206">
        <f t="shared" si="7"/>
        <v>4280202</v>
      </c>
      <c r="O25" s="199"/>
      <c r="P25" s="206">
        <f t="shared" si="8"/>
        <v>0</v>
      </c>
      <c r="Q25" s="205">
        <f t="shared" si="9"/>
        <v>1555884526</v>
      </c>
      <c r="R25" s="211">
        <f t="shared" si="10"/>
        <v>0.23519361506524658</v>
      </c>
    </row>
    <row r="26" spans="1:18" s="112" customFormat="1" ht="21.95" customHeight="1">
      <c r="A26" s="1953"/>
      <c r="B26" s="369" t="s">
        <v>357</v>
      </c>
      <c r="C26" s="199"/>
      <c r="D26" s="198">
        <v>728173052</v>
      </c>
      <c r="E26" s="198">
        <v>800000</v>
      </c>
      <c r="F26" s="198">
        <v>287537115</v>
      </c>
      <c r="G26" s="198">
        <v>6300</v>
      </c>
      <c r="H26" s="198">
        <v>1062626</v>
      </c>
      <c r="I26" s="206">
        <f t="shared" si="6"/>
        <v>1017579093</v>
      </c>
      <c r="J26" s="199"/>
      <c r="K26" s="198"/>
      <c r="L26" s="198"/>
      <c r="M26" s="198"/>
      <c r="N26" s="206">
        <f t="shared" si="7"/>
        <v>0</v>
      </c>
      <c r="O26" s="199"/>
      <c r="P26" s="206">
        <f t="shared" si="8"/>
        <v>0</v>
      </c>
      <c r="Q26" s="205">
        <f t="shared" si="9"/>
        <v>1017579093</v>
      </c>
      <c r="R26" s="211">
        <f t="shared" si="10"/>
        <v>0.15382125183336692</v>
      </c>
    </row>
    <row r="27" spans="1:18" s="112" customFormat="1" ht="44.1" customHeight="1">
      <c r="A27" s="1953"/>
      <c r="B27" s="369" t="s">
        <v>358</v>
      </c>
      <c r="C27" s="199"/>
      <c r="D27" s="198">
        <v>529922</v>
      </c>
      <c r="E27" s="198"/>
      <c r="F27" s="198">
        <v>17727894</v>
      </c>
      <c r="G27" s="198"/>
      <c r="H27" s="198">
        <v>4993</v>
      </c>
      <c r="I27" s="206">
        <f t="shared" si="6"/>
        <v>18262809</v>
      </c>
      <c r="J27" s="199"/>
      <c r="K27" s="198"/>
      <c r="L27" s="198"/>
      <c r="M27" s="198"/>
      <c r="N27" s="206">
        <f t="shared" si="7"/>
        <v>0</v>
      </c>
      <c r="O27" s="199"/>
      <c r="P27" s="206">
        <f t="shared" si="8"/>
        <v>0</v>
      </c>
      <c r="Q27" s="205">
        <f t="shared" si="9"/>
        <v>18262809</v>
      </c>
      <c r="R27" s="211">
        <f t="shared" si="10"/>
        <v>2.7606779283285456E-3</v>
      </c>
    </row>
    <row r="28" spans="1:18" s="112" customFormat="1" ht="21.95" customHeight="1">
      <c r="A28" s="1953"/>
      <c r="B28" s="369" t="s">
        <v>359</v>
      </c>
      <c r="C28" s="199"/>
      <c r="D28" s="198">
        <v>1934395</v>
      </c>
      <c r="E28" s="198"/>
      <c r="F28" s="198">
        <v>1270565</v>
      </c>
      <c r="G28" s="198"/>
      <c r="H28" s="198">
        <v>5686</v>
      </c>
      <c r="I28" s="206">
        <f t="shared" si="6"/>
        <v>3210646</v>
      </c>
      <c r="J28" s="199"/>
      <c r="K28" s="198"/>
      <c r="L28" s="198"/>
      <c r="M28" s="198"/>
      <c r="N28" s="206">
        <f t="shared" si="7"/>
        <v>0</v>
      </c>
      <c r="O28" s="199"/>
      <c r="P28" s="206">
        <f t="shared" si="8"/>
        <v>0</v>
      </c>
      <c r="Q28" s="205">
        <f t="shared" si="9"/>
        <v>3210646</v>
      </c>
      <c r="R28" s="211">
        <f t="shared" si="10"/>
        <v>4.8533385788989694E-4</v>
      </c>
    </row>
    <row r="29" spans="1:18" s="112" customFormat="1" ht="33" customHeight="1">
      <c r="A29" s="1954"/>
      <c r="B29" s="369" t="s">
        <v>360</v>
      </c>
      <c r="C29" s="199"/>
      <c r="D29" s="198">
        <v>117092002</v>
      </c>
      <c r="E29" s="198">
        <v>1291191305</v>
      </c>
      <c r="F29" s="198">
        <v>1028141</v>
      </c>
      <c r="G29" s="198"/>
      <c r="H29" s="198"/>
      <c r="I29" s="206">
        <f t="shared" si="6"/>
        <v>1409311448</v>
      </c>
      <c r="J29" s="199"/>
      <c r="K29" s="198"/>
      <c r="L29" s="198"/>
      <c r="M29" s="198"/>
      <c r="N29" s="206">
        <f t="shared" si="7"/>
        <v>0</v>
      </c>
      <c r="O29" s="199"/>
      <c r="P29" s="206">
        <f t="shared" si="8"/>
        <v>0</v>
      </c>
      <c r="Q29" s="205">
        <f t="shared" si="9"/>
        <v>1409311448</v>
      </c>
      <c r="R29" s="211">
        <f t="shared" si="10"/>
        <v>0.21303705298754111</v>
      </c>
    </row>
    <row r="30" spans="1:18" s="112" customFormat="1" ht="33" customHeight="1">
      <c r="A30" s="144" t="s">
        <v>361</v>
      </c>
      <c r="B30" s="369" t="s">
        <v>362</v>
      </c>
      <c r="C30" s="199"/>
      <c r="D30" s="198">
        <v>2030424</v>
      </c>
      <c r="E30" s="198">
        <v>15706287</v>
      </c>
      <c r="F30" s="198">
        <v>49377212</v>
      </c>
      <c r="G30" s="198">
        <v>164000000</v>
      </c>
      <c r="H30" s="198"/>
      <c r="I30" s="206">
        <f t="shared" si="6"/>
        <v>231113923</v>
      </c>
      <c r="J30" s="199"/>
      <c r="K30" s="198"/>
      <c r="L30" s="198"/>
      <c r="M30" s="198"/>
      <c r="N30" s="206">
        <f t="shared" si="7"/>
        <v>0</v>
      </c>
      <c r="O30" s="199"/>
      <c r="P30" s="206">
        <f t="shared" si="8"/>
        <v>0</v>
      </c>
      <c r="Q30" s="205">
        <f t="shared" si="9"/>
        <v>231113923</v>
      </c>
      <c r="R30" s="210">
        <f t="shared" si="10"/>
        <v>3.4936088208310283E-2</v>
      </c>
    </row>
    <row r="31" spans="1:18" s="112" customFormat="1" ht="54.95" customHeight="1">
      <c r="A31" s="144" t="s">
        <v>363</v>
      </c>
      <c r="B31" s="369" t="s">
        <v>364</v>
      </c>
      <c r="C31" s="199"/>
      <c r="D31" s="198"/>
      <c r="E31" s="198"/>
      <c r="F31" s="198">
        <v>8633577</v>
      </c>
      <c r="G31" s="198"/>
      <c r="H31" s="198">
        <v>20000</v>
      </c>
      <c r="I31" s="206">
        <f t="shared" si="6"/>
        <v>8653577</v>
      </c>
      <c r="J31" s="199"/>
      <c r="K31" s="198"/>
      <c r="L31" s="198"/>
      <c r="M31" s="198"/>
      <c r="N31" s="206">
        <f t="shared" si="7"/>
        <v>0</v>
      </c>
      <c r="O31" s="199"/>
      <c r="P31" s="206">
        <f t="shared" si="8"/>
        <v>0</v>
      </c>
      <c r="Q31" s="205">
        <f t="shared" si="9"/>
        <v>8653577</v>
      </c>
      <c r="R31" s="211">
        <f t="shared" si="10"/>
        <v>1.3081086827876013E-3</v>
      </c>
    </row>
    <row r="32" spans="1:18" s="112" customFormat="1" ht="33" customHeight="1">
      <c r="A32" s="144" t="s">
        <v>365</v>
      </c>
      <c r="B32" s="369" t="s">
        <v>366</v>
      </c>
      <c r="C32" s="199"/>
      <c r="D32" s="198"/>
      <c r="E32" s="198"/>
      <c r="F32" s="198">
        <v>1310519</v>
      </c>
      <c r="G32" s="198"/>
      <c r="H32" s="198"/>
      <c r="I32" s="206">
        <f t="shared" si="6"/>
        <v>1310519</v>
      </c>
      <c r="J32" s="199"/>
      <c r="K32" s="198"/>
      <c r="L32" s="198"/>
      <c r="M32" s="198"/>
      <c r="N32" s="206">
        <f t="shared" si="7"/>
        <v>0</v>
      </c>
      <c r="O32" s="199"/>
      <c r="P32" s="206">
        <f t="shared" si="8"/>
        <v>0</v>
      </c>
      <c r="Q32" s="205">
        <f t="shared" si="9"/>
        <v>1310519</v>
      </c>
      <c r="R32" s="211">
        <f t="shared" si="10"/>
        <v>1.9810319857997732E-4</v>
      </c>
    </row>
    <row r="33" spans="1:18" s="112" customFormat="1" ht="33" customHeight="1" thickBot="1">
      <c r="A33" s="145" t="s">
        <v>367</v>
      </c>
      <c r="B33" s="369" t="s">
        <v>368</v>
      </c>
      <c r="C33" s="220"/>
      <c r="D33" s="221"/>
      <c r="E33" s="221"/>
      <c r="F33" s="221">
        <v>5499481</v>
      </c>
      <c r="G33" s="221"/>
      <c r="H33" s="221">
        <v>20956</v>
      </c>
      <c r="I33" s="208">
        <f t="shared" si="6"/>
        <v>5520437</v>
      </c>
      <c r="J33" s="220"/>
      <c r="K33" s="221"/>
      <c r="L33" s="221"/>
      <c r="M33" s="221"/>
      <c r="N33" s="208">
        <f t="shared" si="7"/>
        <v>0</v>
      </c>
      <c r="O33" s="220"/>
      <c r="P33" s="208">
        <f t="shared" si="8"/>
        <v>0</v>
      </c>
      <c r="Q33" s="207">
        <f t="shared" si="9"/>
        <v>5520437</v>
      </c>
      <c r="R33" s="212">
        <f t="shared" si="10"/>
        <v>8.3449093623156495E-4</v>
      </c>
    </row>
    <row r="34" spans="1:18" s="112" customFormat="1" ht="23.25" thickBot="1">
      <c r="A34" s="214" t="s">
        <v>81</v>
      </c>
      <c r="B34" s="146" t="s">
        <v>81</v>
      </c>
      <c r="C34" s="200">
        <f>SUM(C22:C33)</f>
        <v>0</v>
      </c>
      <c r="D34" s="201">
        <f t="shared" ref="D34:Q34" si="11">SUM(D22:D33)</f>
        <v>3824182768</v>
      </c>
      <c r="E34" s="201">
        <f t="shared" si="11"/>
        <v>1308713336</v>
      </c>
      <c r="F34" s="201">
        <f t="shared" si="11"/>
        <v>1290813287</v>
      </c>
      <c r="G34" s="201">
        <f t="shared" si="11"/>
        <v>164006300</v>
      </c>
      <c r="H34" s="201">
        <f t="shared" si="11"/>
        <v>15817990</v>
      </c>
      <c r="I34" s="202">
        <f t="shared" si="11"/>
        <v>6603533681</v>
      </c>
      <c r="J34" s="200">
        <f t="shared" si="11"/>
        <v>0</v>
      </c>
      <c r="K34" s="201">
        <f t="shared" si="11"/>
        <v>0</v>
      </c>
      <c r="L34" s="201">
        <f t="shared" si="11"/>
        <v>11801202</v>
      </c>
      <c r="M34" s="201">
        <f t="shared" si="11"/>
        <v>0</v>
      </c>
      <c r="N34" s="202">
        <f t="shared" si="11"/>
        <v>11801202</v>
      </c>
      <c r="O34" s="200">
        <f t="shared" si="11"/>
        <v>0</v>
      </c>
      <c r="P34" s="202">
        <f t="shared" si="11"/>
        <v>0</v>
      </c>
      <c r="Q34" s="200">
        <f t="shared" si="11"/>
        <v>6615334883</v>
      </c>
      <c r="R34" s="213">
        <f t="shared" si="10"/>
        <v>1</v>
      </c>
    </row>
    <row r="35" spans="1:18" s="376" customFormat="1" ht="7.5" thickBot="1">
      <c r="A35" s="372"/>
      <c r="B35" s="372"/>
      <c r="C35" s="373"/>
      <c r="D35" s="374"/>
      <c r="E35" s="375"/>
      <c r="F35" s="375"/>
      <c r="G35" s="375"/>
      <c r="H35" s="375"/>
      <c r="I35" s="375"/>
      <c r="J35" s="375"/>
      <c r="K35" s="375"/>
      <c r="L35" s="375"/>
      <c r="M35" s="375"/>
      <c r="N35" s="375"/>
      <c r="O35" s="375"/>
      <c r="P35" s="375"/>
      <c r="Q35" s="375"/>
      <c r="R35" s="375"/>
    </row>
    <row r="36" spans="1:18" s="112" customFormat="1" ht="13.5" thickBot="1">
      <c r="A36" s="344" t="s">
        <v>370</v>
      </c>
      <c r="B36" s="345"/>
      <c r="C36" s="345"/>
      <c r="D36" s="345"/>
      <c r="E36" s="345"/>
      <c r="F36" s="345"/>
      <c r="G36" s="345"/>
      <c r="H36" s="345"/>
      <c r="I36" s="345"/>
      <c r="J36" s="345"/>
      <c r="K36" s="345"/>
      <c r="L36" s="345"/>
      <c r="M36" s="345"/>
      <c r="N36" s="345"/>
      <c r="O36" s="345"/>
      <c r="P36" s="345"/>
      <c r="Q36" s="345"/>
      <c r="R36" s="346"/>
    </row>
    <row r="37" spans="1:18" s="112" customFormat="1" ht="21.95" customHeight="1">
      <c r="A37" s="1960" t="s">
        <v>352</v>
      </c>
      <c r="B37" s="368" t="s">
        <v>353</v>
      </c>
      <c r="C37" s="218"/>
      <c r="D37" s="219"/>
      <c r="E37" s="219"/>
      <c r="F37" s="219">
        <v>9896422</v>
      </c>
      <c r="G37" s="219"/>
      <c r="H37" s="219"/>
      <c r="I37" s="204">
        <f>SUM(C37:H37)</f>
        <v>9896422</v>
      </c>
      <c r="J37" s="218"/>
      <c r="K37" s="219"/>
      <c r="L37" s="219"/>
      <c r="M37" s="219"/>
      <c r="N37" s="204">
        <f>SUM(J37:L37)</f>
        <v>0</v>
      </c>
      <c r="O37" s="218"/>
      <c r="P37" s="204">
        <f>SUM(O37)</f>
        <v>0</v>
      </c>
      <c r="Q37" s="203">
        <f>SUM(P37,N37,I37)</f>
        <v>9896422</v>
      </c>
      <c r="R37" s="209">
        <f t="shared" ref="R37:R45" si="12">Q37/$Q$45</f>
        <v>3.6542512619977638E-2</v>
      </c>
    </row>
    <row r="38" spans="1:18" s="112" customFormat="1" ht="21.95" customHeight="1">
      <c r="A38" s="1953"/>
      <c r="B38" s="369" t="s">
        <v>355</v>
      </c>
      <c r="C38" s="199"/>
      <c r="D38" s="198"/>
      <c r="E38" s="198"/>
      <c r="F38" s="198">
        <v>38936028</v>
      </c>
      <c r="G38" s="198"/>
      <c r="H38" s="198">
        <v>5164314</v>
      </c>
      <c r="I38" s="206">
        <f t="shared" ref="I38:I44" si="13">SUM(C38:H38)</f>
        <v>44100342</v>
      </c>
      <c r="J38" s="199"/>
      <c r="K38" s="198"/>
      <c r="L38" s="198"/>
      <c r="M38" s="198"/>
      <c r="N38" s="206">
        <f t="shared" ref="N38:N44" si="14">SUM(J38:L38)</f>
        <v>0</v>
      </c>
      <c r="O38" s="199"/>
      <c r="P38" s="206">
        <f t="shared" ref="P38:P44" si="15">SUM(O38)</f>
        <v>0</v>
      </c>
      <c r="Q38" s="205">
        <f t="shared" ref="Q38:Q44" si="16">SUM(P38,N38,I38)</f>
        <v>44100342</v>
      </c>
      <c r="R38" s="210">
        <f t="shared" si="12"/>
        <v>0.16284039868957995</v>
      </c>
    </row>
    <row r="39" spans="1:18" s="112" customFormat="1" ht="21.95" customHeight="1">
      <c r="A39" s="1953"/>
      <c r="B39" s="369" t="s">
        <v>356</v>
      </c>
      <c r="C39" s="199"/>
      <c r="D39" s="198"/>
      <c r="E39" s="198"/>
      <c r="F39" s="198">
        <v>146616159</v>
      </c>
      <c r="G39" s="198">
        <v>230555</v>
      </c>
      <c r="H39" s="198">
        <v>2123304</v>
      </c>
      <c r="I39" s="206">
        <f t="shared" si="13"/>
        <v>148970018</v>
      </c>
      <c r="J39" s="199"/>
      <c r="K39" s="198"/>
      <c r="L39" s="198"/>
      <c r="M39" s="198"/>
      <c r="N39" s="206">
        <f t="shared" si="14"/>
        <v>0</v>
      </c>
      <c r="O39" s="199">
        <v>2082720</v>
      </c>
      <c r="P39" s="206">
        <f t="shared" si="15"/>
        <v>2082720</v>
      </c>
      <c r="Q39" s="205">
        <f t="shared" si="16"/>
        <v>151052738</v>
      </c>
      <c r="R39" s="211">
        <f t="shared" si="12"/>
        <v>0.55776184409346896</v>
      </c>
    </row>
    <row r="40" spans="1:18" s="112" customFormat="1" ht="21.95" customHeight="1">
      <c r="A40" s="1953"/>
      <c r="B40" s="369" t="s">
        <v>357</v>
      </c>
      <c r="C40" s="199"/>
      <c r="D40" s="198"/>
      <c r="E40" s="198">
        <v>2000</v>
      </c>
      <c r="F40" s="198">
        <v>54636868</v>
      </c>
      <c r="G40" s="198"/>
      <c r="H40" s="198">
        <v>212715</v>
      </c>
      <c r="I40" s="206">
        <f t="shared" si="13"/>
        <v>54851583</v>
      </c>
      <c r="J40" s="199"/>
      <c r="K40" s="198"/>
      <c r="L40" s="198"/>
      <c r="M40" s="198"/>
      <c r="N40" s="206">
        <f t="shared" si="14"/>
        <v>0</v>
      </c>
      <c r="O40" s="199"/>
      <c r="P40" s="206">
        <f t="shared" si="15"/>
        <v>0</v>
      </c>
      <c r="Q40" s="205">
        <f t="shared" si="16"/>
        <v>54851583</v>
      </c>
      <c r="R40" s="211">
        <f t="shared" si="12"/>
        <v>0.20253932825451976</v>
      </c>
    </row>
    <row r="41" spans="1:18" s="112" customFormat="1" ht="21.95" customHeight="1">
      <c r="A41" s="1953"/>
      <c r="B41" s="369" t="s">
        <v>359</v>
      </c>
      <c r="C41" s="199"/>
      <c r="D41" s="198">
        <v>800005</v>
      </c>
      <c r="E41" s="198"/>
      <c r="F41" s="198">
        <v>6385894</v>
      </c>
      <c r="G41" s="198"/>
      <c r="H41" s="198"/>
      <c r="I41" s="206">
        <f t="shared" si="13"/>
        <v>7185899</v>
      </c>
      <c r="J41" s="199"/>
      <c r="K41" s="198"/>
      <c r="L41" s="198"/>
      <c r="M41" s="198"/>
      <c r="N41" s="206">
        <f t="shared" si="14"/>
        <v>0</v>
      </c>
      <c r="O41" s="199"/>
      <c r="P41" s="206">
        <f t="shared" si="15"/>
        <v>0</v>
      </c>
      <c r="Q41" s="205">
        <f t="shared" si="16"/>
        <v>7185899</v>
      </c>
      <c r="R41" s="211">
        <f t="shared" si="12"/>
        <v>2.6533913458155353E-2</v>
      </c>
    </row>
    <row r="42" spans="1:18" s="112" customFormat="1" ht="33" customHeight="1">
      <c r="A42" s="216" t="s">
        <v>361</v>
      </c>
      <c r="B42" s="369" t="s">
        <v>362</v>
      </c>
      <c r="C42" s="199"/>
      <c r="D42" s="198"/>
      <c r="E42" s="198"/>
      <c r="F42" s="198">
        <v>1560613</v>
      </c>
      <c r="G42" s="198"/>
      <c r="H42" s="198">
        <v>56253</v>
      </c>
      <c r="I42" s="206">
        <f t="shared" si="13"/>
        <v>1616866</v>
      </c>
      <c r="J42" s="739"/>
      <c r="K42" s="198"/>
      <c r="L42" s="198"/>
      <c r="M42" s="198"/>
      <c r="N42" s="206">
        <f t="shared" si="14"/>
        <v>0</v>
      </c>
      <c r="O42" s="199"/>
      <c r="P42" s="206">
        <f t="shared" si="15"/>
        <v>0</v>
      </c>
      <c r="Q42" s="205">
        <f t="shared" si="16"/>
        <v>1616866</v>
      </c>
      <c r="R42" s="211">
        <f t="shared" si="12"/>
        <v>5.9702735200472222E-3</v>
      </c>
    </row>
    <row r="43" spans="1:18" s="112" customFormat="1" ht="33" customHeight="1">
      <c r="A43" s="217" t="s">
        <v>365</v>
      </c>
      <c r="B43" s="369" t="s">
        <v>366</v>
      </c>
      <c r="C43" s="199"/>
      <c r="D43" s="198"/>
      <c r="E43" s="198"/>
      <c r="F43" s="198">
        <v>2092257</v>
      </c>
      <c r="G43" s="198">
        <v>10761</v>
      </c>
      <c r="H43" s="198">
        <v>10000</v>
      </c>
      <c r="I43" s="206">
        <f t="shared" si="13"/>
        <v>2113018</v>
      </c>
      <c r="J43" s="199"/>
      <c r="K43" s="198"/>
      <c r="L43" s="198"/>
      <c r="M43" s="198"/>
      <c r="N43" s="206">
        <f t="shared" si="14"/>
        <v>0</v>
      </c>
      <c r="O43" s="199"/>
      <c r="P43" s="206">
        <f t="shared" si="15"/>
        <v>0</v>
      </c>
      <c r="Q43" s="205">
        <f t="shared" si="16"/>
        <v>2113018</v>
      </c>
      <c r="R43" s="211">
        <f t="shared" si="12"/>
        <v>7.80231349585132E-3</v>
      </c>
    </row>
    <row r="44" spans="1:18" s="112" customFormat="1" ht="33" customHeight="1" thickBot="1">
      <c r="A44" s="144" t="s">
        <v>367</v>
      </c>
      <c r="B44" s="369" t="s">
        <v>368</v>
      </c>
      <c r="C44" s="199"/>
      <c r="D44" s="198"/>
      <c r="E44" s="198"/>
      <c r="F44" s="198"/>
      <c r="G44" s="198"/>
      <c r="H44" s="198">
        <v>2550</v>
      </c>
      <c r="I44" s="206">
        <f t="shared" si="13"/>
        <v>2550</v>
      </c>
      <c r="J44" s="199"/>
      <c r="K44" s="198"/>
      <c r="L44" s="198"/>
      <c r="M44" s="198"/>
      <c r="N44" s="206">
        <f t="shared" si="14"/>
        <v>0</v>
      </c>
      <c r="O44" s="199"/>
      <c r="P44" s="206">
        <f t="shared" si="15"/>
        <v>0</v>
      </c>
      <c r="Q44" s="205">
        <f t="shared" si="16"/>
        <v>2550</v>
      </c>
      <c r="R44" s="210">
        <f t="shared" si="12"/>
        <v>9.4158683998058072E-6</v>
      </c>
    </row>
    <row r="45" spans="1:18" s="112" customFormat="1" ht="23.25" thickBot="1">
      <c r="A45" s="214" t="s">
        <v>81</v>
      </c>
      <c r="B45" s="146" t="s">
        <v>81</v>
      </c>
      <c r="C45" s="200">
        <f t="shared" ref="C45:Q45" si="17">SUM(C37:C44)</f>
        <v>0</v>
      </c>
      <c r="D45" s="201">
        <f t="shared" si="17"/>
        <v>800005</v>
      </c>
      <c r="E45" s="201">
        <f t="shared" si="17"/>
        <v>2000</v>
      </c>
      <c r="F45" s="201">
        <f t="shared" si="17"/>
        <v>260124241</v>
      </c>
      <c r="G45" s="201">
        <f t="shared" si="17"/>
        <v>241316</v>
      </c>
      <c r="H45" s="201">
        <f t="shared" si="17"/>
        <v>7569136</v>
      </c>
      <c r="I45" s="202">
        <f t="shared" si="17"/>
        <v>268736698</v>
      </c>
      <c r="J45" s="200">
        <f t="shared" si="17"/>
        <v>0</v>
      </c>
      <c r="K45" s="201">
        <f t="shared" si="17"/>
        <v>0</v>
      </c>
      <c r="L45" s="201">
        <f t="shared" si="17"/>
        <v>0</v>
      </c>
      <c r="M45" s="201">
        <f t="shared" si="17"/>
        <v>0</v>
      </c>
      <c r="N45" s="202">
        <f t="shared" si="17"/>
        <v>0</v>
      </c>
      <c r="O45" s="200">
        <f t="shared" si="17"/>
        <v>2082720</v>
      </c>
      <c r="P45" s="202">
        <f t="shared" si="17"/>
        <v>2082720</v>
      </c>
      <c r="Q45" s="200">
        <f t="shared" si="17"/>
        <v>270819418</v>
      </c>
      <c r="R45" s="213">
        <f t="shared" si="12"/>
        <v>1</v>
      </c>
    </row>
    <row r="46" spans="1:18" s="376" customFormat="1" ht="7.5" thickBot="1">
      <c r="A46" s="372"/>
      <c r="B46" s="372"/>
      <c r="C46" s="373"/>
      <c r="D46" s="374"/>
      <c r="E46" s="375"/>
      <c r="F46" s="375"/>
      <c r="G46" s="375"/>
      <c r="H46" s="375"/>
      <c r="I46" s="375"/>
      <c r="J46" s="375"/>
      <c r="K46" s="375"/>
      <c r="L46" s="375"/>
      <c r="M46" s="375"/>
      <c r="N46" s="375"/>
      <c r="O46" s="375"/>
      <c r="P46" s="375"/>
      <c r="Q46" s="375"/>
      <c r="R46" s="375"/>
    </row>
    <row r="47" spans="1:18" s="112" customFormat="1" ht="13.5" thickBot="1">
      <c r="A47" s="344" t="s">
        <v>373</v>
      </c>
      <c r="B47" s="345"/>
      <c r="C47" s="345"/>
      <c r="D47" s="345"/>
      <c r="E47" s="345"/>
      <c r="F47" s="345"/>
      <c r="G47" s="345"/>
      <c r="H47" s="345"/>
      <c r="I47" s="345"/>
      <c r="J47" s="345"/>
      <c r="K47" s="345"/>
      <c r="L47" s="345"/>
      <c r="M47" s="345"/>
      <c r="N47" s="345"/>
      <c r="O47" s="345"/>
      <c r="P47" s="345"/>
      <c r="Q47" s="345"/>
      <c r="R47" s="346"/>
    </row>
    <row r="48" spans="1:18" s="112" customFormat="1" ht="33" customHeight="1">
      <c r="A48" s="1962" t="s">
        <v>352</v>
      </c>
      <c r="B48" s="368" t="s">
        <v>354</v>
      </c>
      <c r="C48" s="218"/>
      <c r="D48" s="219">
        <v>10841248</v>
      </c>
      <c r="E48" s="219"/>
      <c r="F48" s="219">
        <v>13642655</v>
      </c>
      <c r="G48" s="219"/>
      <c r="H48" s="219"/>
      <c r="I48" s="204">
        <f>SUM(C48:H48)</f>
        <v>24483903</v>
      </c>
      <c r="J48" s="218"/>
      <c r="K48" s="219"/>
      <c r="L48" s="219"/>
      <c r="M48" s="219"/>
      <c r="N48" s="204">
        <f>SUM(J48:L48)</f>
        <v>0</v>
      </c>
      <c r="O48" s="218"/>
      <c r="P48" s="204">
        <f>SUM(O48)</f>
        <v>0</v>
      </c>
      <c r="Q48" s="203">
        <f>SUM(P48,N48,I48)</f>
        <v>24483903</v>
      </c>
      <c r="R48" s="209">
        <f>Q48/$Q$51</f>
        <v>0.75984435108386716</v>
      </c>
    </row>
    <row r="49" spans="1:18" s="112" customFormat="1" ht="21.95" customHeight="1">
      <c r="A49" s="1963"/>
      <c r="B49" s="369" t="s">
        <v>356</v>
      </c>
      <c r="C49" s="218"/>
      <c r="D49" s="219"/>
      <c r="E49" s="219"/>
      <c r="F49" s="219">
        <v>3738358</v>
      </c>
      <c r="G49" s="219"/>
      <c r="H49" s="219"/>
      <c r="I49" s="204">
        <f>SUM(C49:H49)</f>
        <v>3738358</v>
      </c>
      <c r="J49" s="218"/>
      <c r="K49" s="219"/>
      <c r="L49" s="219"/>
      <c r="M49" s="219"/>
      <c r="N49" s="204">
        <f>SUM(J49:L49)</f>
        <v>0</v>
      </c>
      <c r="O49" s="218"/>
      <c r="P49" s="204">
        <f>SUM(O49)</f>
        <v>0</v>
      </c>
      <c r="Q49" s="203">
        <f>SUM(P49,N49,I49)</f>
        <v>3738358</v>
      </c>
      <c r="R49" s="209">
        <f>Q49/$Q$51</f>
        <v>0.11601786727504938</v>
      </c>
    </row>
    <row r="50" spans="1:18" s="112" customFormat="1" ht="33" customHeight="1" thickBot="1">
      <c r="A50" s="216" t="s">
        <v>361</v>
      </c>
      <c r="B50" s="369" t="s">
        <v>362</v>
      </c>
      <c r="C50" s="199"/>
      <c r="D50" s="198"/>
      <c r="E50" s="198"/>
      <c r="F50" s="198">
        <v>293194</v>
      </c>
      <c r="G50" s="198"/>
      <c r="H50" s="198"/>
      <c r="I50" s="206">
        <f t="shared" ref="I50" si="18">SUM(C50:H50)</f>
        <v>293194</v>
      </c>
      <c r="J50" s="199"/>
      <c r="K50" s="198"/>
      <c r="L50" s="198">
        <v>3706806</v>
      </c>
      <c r="M50" s="198"/>
      <c r="N50" s="206">
        <f t="shared" ref="N50" si="19">SUM(J50:L50)</f>
        <v>3706806</v>
      </c>
      <c r="O50" s="199"/>
      <c r="P50" s="206">
        <f t="shared" ref="P50" si="20">SUM(O50)</f>
        <v>0</v>
      </c>
      <c r="Q50" s="205">
        <f t="shared" ref="Q50" si="21">SUM(P50,N50,I50)</f>
        <v>4000000</v>
      </c>
      <c r="R50" s="211">
        <f>Q50/$Q$45</f>
        <v>1.4769989646754206E-2</v>
      </c>
    </row>
    <row r="51" spans="1:18" s="112" customFormat="1" ht="23.25" thickBot="1">
      <c r="A51" s="214" t="s">
        <v>81</v>
      </c>
      <c r="B51" s="146" t="s">
        <v>81</v>
      </c>
      <c r="C51" s="200">
        <f t="shared" ref="C51:Q51" si="22">SUM(C48:C50)</f>
        <v>0</v>
      </c>
      <c r="D51" s="201">
        <f t="shared" si="22"/>
        <v>10841248</v>
      </c>
      <c r="E51" s="201">
        <f t="shared" si="22"/>
        <v>0</v>
      </c>
      <c r="F51" s="201">
        <f t="shared" si="22"/>
        <v>17674207</v>
      </c>
      <c r="G51" s="201">
        <f t="shared" si="22"/>
        <v>0</v>
      </c>
      <c r="H51" s="201">
        <f t="shared" si="22"/>
        <v>0</v>
      </c>
      <c r="I51" s="202">
        <f t="shared" si="22"/>
        <v>28515455</v>
      </c>
      <c r="J51" s="200">
        <f t="shared" si="22"/>
        <v>0</v>
      </c>
      <c r="K51" s="201">
        <f t="shared" si="22"/>
        <v>0</v>
      </c>
      <c r="L51" s="201">
        <f t="shared" si="22"/>
        <v>3706806</v>
      </c>
      <c r="M51" s="201">
        <f t="shared" si="22"/>
        <v>0</v>
      </c>
      <c r="N51" s="202">
        <f t="shared" si="22"/>
        <v>3706806</v>
      </c>
      <c r="O51" s="200">
        <f t="shared" si="22"/>
        <v>0</v>
      </c>
      <c r="P51" s="202">
        <f t="shared" si="22"/>
        <v>0</v>
      </c>
      <c r="Q51" s="200">
        <f t="shared" si="22"/>
        <v>32222261</v>
      </c>
      <c r="R51" s="213">
        <f t="shared" ref="R51" si="23">Q51/$Q$51</f>
        <v>1</v>
      </c>
    </row>
    <row r="52" spans="1:18" s="376" customFormat="1" ht="7.5" thickBot="1">
      <c r="A52" s="372"/>
      <c r="B52" s="372"/>
      <c r="C52" s="373"/>
      <c r="D52" s="374"/>
      <c r="E52" s="375"/>
      <c r="F52" s="375"/>
      <c r="G52" s="375"/>
      <c r="H52" s="375"/>
      <c r="I52" s="375"/>
      <c r="J52" s="375"/>
      <c r="K52" s="375"/>
      <c r="L52" s="375"/>
      <c r="M52" s="375"/>
      <c r="N52" s="375"/>
      <c r="O52" s="375"/>
      <c r="P52" s="375"/>
      <c r="Q52" s="375"/>
      <c r="R52" s="375"/>
    </row>
    <row r="53" spans="1:18" s="112" customFormat="1" ht="13.5" thickBot="1">
      <c r="A53" s="344" t="s">
        <v>371</v>
      </c>
      <c r="B53" s="345"/>
      <c r="C53" s="345"/>
      <c r="D53" s="345"/>
      <c r="E53" s="345"/>
      <c r="F53" s="345"/>
      <c r="G53" s="345"/>
      <c r="H53" s="345"/>
      <c r="I53" s="345"/>
      <c r="J53" s="345"/>
      <c r="K53" s="345"/>
      <c r="L53" s="345"/>
      <c r="M53" s="345"/>
      <c r="N53" s="345"/>
      <c r="O53" s="345"/>
      <c r="P53" s="345"/>
      <c r="Q53" s="345"/>
      <c r="R53" s="346"/>
    </row>
    <row r="54" spans="1:18" s="112" customFormat="1" ht="21.95" customHeight="1">
      <c r="A54" s="1960" t="s">
        <v>352</v>
      </c>
      <c r="B54" s="368" t="s">
        <v>355</v>
      </c>
      <c r="C54" s="218"/>
      <c r="D54" s="219"/>
      <c r="E54" s="219"/>
      <c r="F54" s="219"/>
      <c r="G54" s="219"/>
      <c r="H54" s="219"/>
      <c r="I54" s="204">
        <f>SUM(C54:H54)</f>
        <v>0</v>
      </c>
      <c r="J54" s="218"/>
      <c r="K54" s="219"/>
      <c r="L54" s="219"/>
      <c r="M54" s="219"/>
      <c r="N54" s="204">
        <f>SUM(J54:L54)</f>
        <v>0</v>
      </c>
      <c r="O54" s="218">
        <v>36110699</v>
      </c>
      <c r="P54" s="204">
        <f>SUM(O54)</f>
        <v>36110699</v>
      </c>
      <c r="Q54" s="203">
        <f>SUM(P54,N54,I54)</f>
        <v>36110699</v>
      </c>
      <c r="R54" s="209">
        <f>Q54/$Q$57</f>
        <v>0.12227901443681198</v>
      </c>
    </row>
    <row r="55" spans="1:18" s="112" customFormat="1" ht="21.95" customHeight="1">
      <c r="A55" s="1953"/>
      <c r="B55" s="369" t="s">
        <v>356</v>
      </c>
      <c r="C55" s="199"/>
      <c r="D55" s="198"/>
      <c r="E55" s="198"/>
      <c r="F55" s="198"/>
      <c r="G55" s="198"/>
      <c r="H55" s="198"/>
      <c r="I55" s="206">
        <f t="shared" ref="I55:I56" si="24">SUM(C55:H55)</f>
        <v>0</v>
      </c>
      <c r="J55" s="199"/>
      <c r="K55" s="198"/>
      <c r="L55" s="198">
        <v>92547031</v>
      </c>
      <c r="M55" s="198"/>
      <c r="N55" s="206">
        <f t="shared" ref="N55:N56" si="25">SUM(J55:L55)</f>
        <v>92547031</v>
      </c>
      <c r="O55" s="199">
        <v>36046160</v>
      </c>
      <c r="P55" s="206">
        <f t="shared" ref="P55:P56" si="26">SUM(O55)</f>
        <v>36046160</v>
      </c>
      <c r="Q55" s="205">
        <f t="shared" ref="Q55:Q56" si="27">SUM(P55,N55,I55)</f>
        <v>128593191</v>
      </c>
      <c r="R55" s="210">
        <f t="shared" ref="R55:R57" si="28">Q55/$Q$57</f>
        <v>0.43544570152919831</v>
      </c>
    </row>
    <row r="56" spans="1:18" s="112" customFormat="1" ht="21.95" customHeight="1" thickBot="1">
      <c r="A56" s="1961"/>
      <c r="B56" s="369" t="s">
        <v>357</v>
      </c>
      <c r="C56" s="199"/>
      <c r="D56" s="198"/>
      <c r="E56" s="198"/>
      <c r="F56" s="198"/>
      <c r="G56" s="198"/>
      <c r="H56" s="198"/>
      <c r="I56" s="206">
        <f t="shared" si="24"/>
        <v>0</v>
      </c>
      <c r="J56" s="199"/>
      <c r="K56" s="198"/>
      <c r="L56" s="198"/>
      <c r="M56" s="198"/>
      <c r="N56" s="206">
        <f t="shared" si="25"/>
        <v>0</v>
      </c>
      <c r="O56" s="199">
        <v>130610062</v>
      </c>
      <c r="P56" s="206">
        <f t="shared" si="26"/>
        <v>130610062</v>
      </c>
      <c r="Q56" s="205">
        <f t="shared" si="27"/>
        <v>130610062</v>
      </c>
      <c r="R56" s="211">
        <f t="shared" si="28"/>
        <v>0.44227528403398969</v>
      </c>
    </row>
    <row r="57" spans="1:18" s="112" customFormat="1" ht="23.25" thickBot="1">
      <c r="A57" s="214" t="s">
        <v>81</v>
      </c>
      <c r="B57" s="146" t="s">
        <v>81</v>
      </c>
      <c r="C57" s="200">
        <f t="shared" ref="C57:Q57" si="29">SUM(C54:C56)</f>
        <v>0</v>
      </c>
      <c r="D57" s="201">
        <f t="shared" si="29"/>
        <v>0</v>
      </c>
      <c r="E57" s="201">
        <f t="shared" si="29"/>
        <v>0</v>
      </c>
      <c r="F57" s="201">
        <f t="shared" si="29"/>
        <v>0</v>
      </c>
      <c r="G57" s="201">
        <f t="shared" si="29"/>
        <v>0</v>
      </c>
      <c r="H57" s="201">
        <f t="shared" si="29"/>
        <v>0</v>
      </c>
      <c r="I57" s="202">
        <f t="shared" si="29"/>
        <v>0</v>
      </c>
      <c r="J57" s="200">
        <f t="shared" si="29"/>
        <v>0</v>
      </c>
      <c r="K57" s="201">
        <f t="shared" si="29"/>
        <v>0</v>
      </c>
      <c r="L57" s="201">
        <f t="shared" si="29"/>
        <v>92547031</v>
      </c>
      <c r="M57" s="201">
        <f t="shared" si="29"/>
        <v>0</v>
      </c>
      <c r="N57" s="202">
        <f t="shared" si="29"/>
        <v>92547031</v>
      </c>
      <c r="O57" s="200">
        <f t="shared" si="29"/>
        <v>202766921</v>
      </c>
      <c r="P57" s="202">
        <f t="shared" si="29"/>
        <v>202766921</v>
      </c>
      <c r="Q57" s="200">
        <f t="shared" si="29"/>
        <v>295313952</v>
      </c>
      <c r="R57" s="213">
        <f t="shared" si="28"/>
        <v>1</v>
      </c>
    </row>
    <row r="58" spans="1:18" s="376" customFormat="1" ht="7.5" thickBot="1">
      <c r="A58" s="372"/>
      <c r="B58" s="372"/>
      <c r="C58" s="373"/>
      <c r="D58" s="374"/>
      <c r="E58" s="375"/>
      <c r="F58" s="375"/>
      <c r="G58" s="375"/>
      <c r="H58" s="375"/>
      <c r="I58" s="375"/>
      <c r="J58" s="375"/>
      <c r="K58" s="375"/>
      <c r="L58" s="375"/>
      <c r="M58" s="375"/>
      <c r="N58" s="375"/>
      <c r="O58" s="375"/>
      <c r="P58" s="375"/>
      <c r="Q58" s="375"/>
      <c r="R58" s="375"/>
    </row>
    <row r="59" spans="1:18" s="112" customFormat="1" ht="13.5" thickBot="1">
      <c r="A59" s="344" t="s">
        <v>374</v>
      </c>
      <c r="B59" s="345"/>
      <c r="C59" s="345"/>
      <c r="D59" s="345"/>
      <c r="E59" s="345"/>
      <c r="F59" s="345"/>
      <c r="G59" s="345"/>
      <c r="H59" s="345"/>
      <c r="I59" s="345"/>
      <c r="J59" s="345"/>
      <c r="K59" s="345"/>
      <c r="L59" s="345"/>
      <c r="M59" s="345"/>
      <c r="N59" s="345"/>
      <c r="O59" s="345"/>
      <c r="P59" s="345"/>
      <c r="Q59" s="345"/>
      <c r="R59" s="346"/>
    </row>
    <row r="60" spans="1:18" s="112" customFormat="1" ht="33" customHeight="1">
      <c r="A60" s="1960" t="s">
        <v>352</v>
      </c>
      <c r="B60" s="368" t="s">
        <v>354</v>
      </c>
      <c r="C60" s="218"/>
      <c r="D60" s="219"/>
      <c r="E60" s="219"/>
      <c r="F60" s="219"/>
      <c r="G60" s="219"/>
      <c r="H60" s="219"/>
      <c r="I60" s="204">
        <f>SUM(C60:H60)</f>
        <v>0</v>
      </c>
      <c r="J60" s="218"/>
      <c r="K60" s="219"/>
      <c r="L60" s="219">
        <v>12395343</v>
      </c>
      <c r="M60" s="219"/>
      <c r="N60" s="204">
        <f>SUM(J60:L60)</f>
        <v>12395343</v>
      </c>
      <c r="O60" s="218"/>
      <c r="P60" s="204">
        <f>SUM(O60)</f>
        <v>0</v>
      </c>
      <c r="Q60" s="203">
        <f>SUM(P60,N60,I60)</f>
        <v>12395343</v>
      </c>
      <c r="R60" s="209">
        <f>Q60/$Q$65</f>
        <v>5.796957480790469E-2</v>
      </c>
    </row>
    <row r="61" spans="1:18" s="112" customFormat="1" ht="21.95" customHeight="1">
      <c r="A61" s="1953"/>
      <c r="B61" s="369" t="s">
        <v>355</v>
      </c>
      <c r="C61" s="199"/>
      <c r="D61" s="198"/>
      <c r="E61" s="198"/>
      <c r="F61" s="198"/>
      <c r="G61" s="198"/>
      <c r="H61" s="198"/>
      <c r="I61" s="206">
        <f t="shared" ref="I61:I64" si="30">SUM(C61:H61)</f>
        <v>0</v>
      </c>
      <c r="J61" s="199"/>
      <c r="K61" s="198"/>
      <c r="L61" s="198">
        <v>12634152</v>
      </c>
      <c r="M61" s="198"/>
      <c r="N61" s="206">
        <f>SUM(J61:L61)</f>
        <v>12634152</v>
      </c>
      <c r="O61" s="199"/>
      <c r="P61" s="206">
        <f t="shared" ref="P61:P64" si="31">SUM(O61)</f>
        <v>0</v>
      </c>
      <c r="Q61" s="205">
        <f t="shared" ref="Q61:Q64" si="32">SUM(P61,N61,I61)</f>
        <v>12634152</v>
      </c>
      <c r="R61" s="210">
        <f t="shared" ref="R61:R65" si="33">Q61/$Q$65</f>
        <v>5.9086418140945243E-2</v>
      </c>
    </row>
    <row r="62" spans="1:18" s="112" customFormat="1" ht="21.95" customHeight="1">
      <c r="A62" s="1953"/>
      <c r="B62" s="369" t="s">
        <v>356</v>
      </c>
      <c r="C62" s="199"/>
      <c r="D62" s="198"/>
      <c r="E62" s="198"/>
      <c r="F62" s="198"/>
      <c r="G62" s="198"/>
      <c r="H62" s="198"/>
      <c r="I62" s="206">
        <f t="shared" si="30"/>
        <v>0</v>
      </c>
      <c r="J62" s="199"/>
      <c r="K62" s="198"/>
      <c r="L62" s="198">
        <v>37566154</v>
      </c>
      <c r="M62" s="198"/>
      <c r="N62" s="206">
        <f>SUM(J62:L62)</f>
        <v>37566154</v>
      </c>
      <c r="O62" s="199"/>
      <c r="P62" s="206">
        <f t="shared" si="31"/>
        <v>0</v>
      </c>
      <c r="Q62" s="205">
        <f t="shared" si="32"/>
        <v>37566154</v>
      </c>
      <c r="R62" s="211">
        <f t="shared" si="33"/>
        <v>0.17568646342003347</v>
      </c>
    </row>
    <row r="63" spans="1:18" s="112" customFormat="1" ht="21.95" customHeight="1">
      <c r="A63" s="1953"/>
      <c r="B63" s="369" t="s">
        <v>357</v>
      </c>
      <c r="C63" s="199"/>
      <c r="D63" s="198"/>
      <c r="E63" s="198"/>
      <c r="F63" s="198"/>
      <c r="G63" s="198"/>
      <c r="H63" s="198"/>
      <c r="I63" s="206">
        <f t="shared" si="30"/>
        <v>0</v>
      </c>
      <c r="J63" s="199"/>
      <c r="K63" s="198"/>
      <c r="L63" s="198">
        <v>30556080</v>
      </c>
      <c r="M63" s="198"/>
      <c r="N63" s="206">
        <f>SUM(J63:L63)</f>
        <v>30556080</v>
      </c>
      <c r="O63" s="199"/>
      <c r="P63" s="206">
        <f t="shared" si="31"/>
        <v>0</v>
      </c>
      <c r="Q63" s="205">
        <f t="shared" si="32"/>
        <v>30556080</v>
      </c>
      <c r="R63" s="211">
        <f t="shared" si="33"/>
        <v>0.14290229527301668</v>
      </c>
    </row>
    <row r="64" spans="1:18" s="112" customFormat="1" ht="33" customHeight="1" thickBot="1">
      <c r="A64" s="216" t="s">
        <v>361</v>
      </c>
      <c r="B64" s="369" t="s">
        <v>362</v>
      </c>
      <c r="C64" s="199"/>
      <c r="D64" s="198"/>
      <c r="E64" s="198"/>
      <c r="F64" s="198"/>
      <c r="G64" s="198"/>
      <c r="H64" s="198"/>
      <c r="I64" s="206">
        <f t="shared" si="30"/>
        <v>0</v>
      </c>
      <c r="J64" s="199">
        <v>100000000</v>
      </c>
      <c r="K64" s="198"/>
      <c r="L64" s="198">
        <v>20673248</v>
      </c>
      <c r="M64" s="198"/>
      <c r="N64" s="206">
        <f t="shared" ref="N64" si="34">SUM(J64:L64)</f>
        <v>120673248</v>
      </c>
      <c r="O64" s="199"/>
      <c r="P64" s="206">
        <f t="shared" si="31"/>
        <v>0</v>
      </c>
      <c r="Q64" s="205">
        <f t="shared" si="32"/>
        <v>120673248</v>
      </c>
      <c r="R64" s="211">
        <f t="shared" si="33"/>
        <v>0.56435524835809991</v>
      </c>
    </row>
    <row r="65" spans="1:18" s="112" customFormat="1" ht="23.25" thickBot="1">
      <c r="A65" s="214" t="s">
        <v>81</v>
      </c>
      <c r="B65" s="146" t="s">
        <v>81</v>
      </c>
      <c r="C65" s="200">
        <f t="shared" ref="C65:Q65" si="35">SUM(C60:C64)</f>
        <v>0</v>
      </c>
      <c r="D65" s="201">
        <f t="shared" si="35"/>
        <v>0</v>
      </c>
      <c r="E65" s="201">
        <f t="shared" si="35"/>
        <v>0</v>
      </c>
      <c r="F65" s="201">
        <f t="shared" si="35"/>
        <v>0</v>
      </c>
      <c r="G65" s="201">
        <f t="shared" si="35"/>
        <v>0</v>
      </c>
      <c r="H65" s="201">
        <f t="shared" si="35"/>
        <v>0</v>
      </c>
      <c r="I65" s="202">
        <f t="shared" si="35"/>
        <v>0</v>
      </c>
      <c r="J65" s="200">
        <f t="shared" si="35"/>
        <v>100000000</v>
      </c>
      <c r="K65" s="201">
        <f t="shared" si="35"/>
        <v>0</v>
      </c>
      <c r="L65" s="201">
        <f>SUM(L60:L64)</f>
        <v>113824977</v>
      </c>
      <c r="M65" s="201">
        <f t="shared" si="35"/>
        <v>0</v>
      </c>
      <c r="N65" s="202">
        <f t="shared" si="35"/>
        <v>213824977</v>
      </c>
      <c r="O65" s="200">
        <f t="shared" si="35"/>
        <v>0</v>
      </c>
      <c r="P65" s="202">
        <f t="shared" si="35"/>
        <v>0</v>
      </c>
      <c r="Q65" s="200">
        <f t="shared" si="35"/>
        <v>213824977</v>
      </c>
      <c r="R65" s="213">
        <f t="shared" si="33"/>
        <v>1</v>
      </c>
    </row>
    <row r="66" spans="1:18" s="112" customFormat="1">
      <c r="A66" s="87"/>
      <c r="B66" s="87"/>
      <c r="C66" s="88"/>
      <c r="D66" s="89"/>
      <c r="E66" s="90"/>
      <c r="F66" s="90"/>
      <c r="G66" s="90"/>
      <c r="H66" s="90"/>
      <c r="I66" s="90"/>
      <c r="J66" s="90"/>
      <c r="K66" s="90"/>
      <c r="L66" s="90"/>
      <c r="M66" s="90"/>
      <c r="N66" s="90"/>
      <c r="O66" s="90"/>
      <c r="P66" s="90"/>
      <c r="Q66" s="90"/>
      <c r="R66" s="90"/>
    </row>
  </sheetData>
  <mergeCells count="12">
    <mergeCell ref="A54:A56"/>
    <mergeCell ref="A60:A63"/>
    <mergeCell ref="A22:A29"/>
    <mergeCell ref="A37:A41"/>
    <mergeCell ref="A48:A49"/>
    <mergeCell ref="A7:A14"/>
    <mergeCell ref="A3:A4"/>
    <mergeCell ref="J3:N3"/>
    <mergeCell ref="O3:P3"/>
    <mergeCell ref="Q3:R3"/>
    <mergeCell ref="C3:I3"/>
    <mergeCell ref="B3:B4"/>
  </mergeCells>
  <phoneticPr fontId="0" type="noConversion"/>
  <printOptions horizontalCentered="1"/>
  <pageMargins left="0.19685039370078741" right="0.19685039370078741" top="0.78740157480314965" bottom="0.78740157480314965" header="0.19685039370078741" footer="0.19685039370078741"/>
  <pageSetup paperSize="9" scale="90" orientation="landscape" r:id="rId1"/>
  <headerFooter alignWithMargins="0">
    <oddHeader>&amp;C&amp;"Arial,Negrita"&amp;18FORMATOS DEL PROYECTO DE PRESUPUESTO 2021</oddHeader>
    <oddFooter>&amp;L&amp;"Arial,Negrita"&amp;8PROYECTO DE PRESUPUESTO PARA EL AÑO FISCAL 2021
INFORMACIÓN PARA LA COMISIÓN DE PRESUPUESTO Y CUENTA GENERAL DE LA REPÚBLICA DEL CONGRESO DE LA REPÚBLICA</oddFooter>
  </headerFooter>
  <rowBreaks count="3" manualBreakCount="3">
    <brk id="19" max="16383" man="1"/>
    <brk id="34" max="16383" man="1"/>
    <brk id="51" max="16383" man="1"/>
  </rowBreaks>
  <colBreaks count="1" manualBreakCount="1">
    <brk id="18"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2060"/>
    <pageSetUpPr fitToPage="1"/>
  </sheetPr>
  <dimension ref="A1:AI56"/>
  <sheetViews>
    <sheetView view="pageBreakPreview" topLeftCell="A10" zoomScaleNormal="100" zoomScaleSheetLayoutView="100" workbookViewId="0">
      <selection activeCell="B8" sqref="B8"/>
    </sheetView>
  </sheetViews>
  <sheetFormatPr baseColWidth="10" defaultColWidth="11.42578125" defaultRowHeight="12"/>
  <cols>
    <col min="1" max="1" width="15.7109375" style="265" customWidth="1"/>
    <col min="2" max="2" width="8.7109375" style="265" customWidth="1"/>
    <col min="3" max="3" width="6.42578125" style="265" bestFit="1" customWidth="1"/>
    <col min="4" max="4" width="6.7109375" style="265" bestFit="1" customWidth="1"/>
    <col min="5" max="5" width="5.85546875" style="265" bestFit="1" customWidth="1"/>
    <col min="6" max="6" width="8.140625" style="265" bestFit="1" customWidth="1"/>
    <col min="7" max="9" width="4.28515625" style="265" bestFit="1" customWidth="1"/>
    <col min="10" max="10" width="5.85546875" style="265" bestFit="1" customWidth="1"/>
    <col min="11" max="11" width="7.140625" style="265" bestFit="1" customWidth="1"/>
    <col min="12" max="12" width="10.5703125" style="265" bestFit="1" customWidth="1"/>
    <col min="13" max="15" width="8.140625" style="265" bestFit="1" customWidth="1"/>
    <col min="16" max="16" width="9.42578125" style="265" bestFit="1" customWidth="1"/>
    <col min="17" max="17" width="3.85546875" style="265" bestFit="1" customWidth="1"/>
    <col min="18" max="18" width="6.7109375" style="265" bestFit="1" customWidth="1"/>
    <col min="19" max="19" width="7.140625" style="265" bestFit="1" customWidth="1"/>
    <col min="20" max="20" width="5.85546875" style="265" bestFit="1" customWidth="1"/>
    <col min="21" max="21" width="8.140625" style="265" bestFit="1" customWidth="1"/>
    <col min="22" max="24" width="4.28515625" style="265" bestFit="1" customWidth="1"/>
    <col min="25" max="25" width="5.85546875" style="265" bestFit="1" customWidth="1"/>
    <col min="26" max="26" width="6.7109375" style="265" bestFit="1" customWidth="1"/>
    <col min="27" max="27" width="10.5703125" style="265" bestFit="1" customWidth="1"/>
    <col min="28" max="30" width="8.140625" style="265" bestFit="1" customWidth="1"/>
    <col min="31" max="31" width="9.140625" style="265" bestFit="1" customWidth="1"/>
    <col min="32" max="32" width="5.85546875" style="265" bestFit="1" customWidth="1"/>
    <col min="33" max="33" width="6" style="265" bestFit="1" customWidth="1"/>
    <col min="34" max="34" width="3.5703125" style="265" bestFit="1" customWidth="1"/>
    <col min="35" max="35" width="9.42578125" style="265" bestFit="1" customWidth="1"/>
    <col min="36" max="16384" width="11.42578125" style="265"/>
  </cols>
  <sheetData>
    <row r="1" spans="1:35" s="743" customFormat="1">
      <c r="A1" s="742" t="s">
        <v>465</v>
      </c>
    </row>
    <row r="2" spans="1:35" s="743" customFormat="1">
      <c r="A2" s="69" t="s">
        <v>1655</v>
      </c>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row>
    <row r="3" spans="1:35" s="742" customFormat="1">
      <c r="A3" s="742" t="s">
        <v>6864</v>
      </c>
      <c r="T3" s="745"/>
    </row>
    <row r="4" spans="1:35" s="742" customFormat="1" ht="12.75" thickBot="1">
      <c r="T4" s="745"/>
    </row>
    <row r="5" spans="1:35" ht="12.75" thickBot="1">
      <c r="A5" s="1992" t="s">
        <v>41</v>
      </c>
      <c r="B5" s="2021" t="s">
        <v>314</v>
      </c>
      <c r="C5" s="2021"/>
      <c r="D5" s="2021"/>
      <c r="E5" s="2021"/>
      <c r="F5" s="2021"/>
      <c r="G5" s="2021"/>
      <c r="H5" s="2021"/>
      <c r="I5" s="2021"/>
      <c r="J5" s="2021"/>
      <c r="K5" s="2021"/>
      <c r="L5" s="2021"/>
      <c r="M5" s="2021"/>
      <c r="N5" s="2021"/>
      <c r="O5" s="2021"/>
      <c r="P5" s="2021"/>
      <c r="Q5" s="2022" t="s">
        <v>462</v>
      </c>
      <c r="R5" s="2021"/>
      <c r="S5" s="2021"/>
      <c r="T5" s="2021"/>
      <c r="U5" s="2021"/>
      <c r="V5" s="2021"/>
      <c r="W5" s="2021"/>
      <c r="X5" s="2021"/>
      <c r="Y5" s="2021"/>
      <c r="Z5" s="2021"/>
      <c r="AA5" s="2021"/>
      <c r="AB5" s="2021"/>
      <c r="AC5" s="2021"/>
      <c r="AD5" s="2021"/>
      <c r="AE5" s="2023"/>
      <c r="AF5" s="2024" t="s">
        <v>463</v>
      </c>
      <c r="AG5" s="2025"/>
      <c r="AH5" s="2024" t="s">
        <v>464</v>
      </c>
      <c r="AI5" s="2025"/>
    </row>
    <row r="6" spans="1:35" ht="171">
      <c r="A6" s="2019"/>
      <c r="B6" s="130" t="s">
        <v>11</v>
      </c>
      <c r="C6" s="131" t="s">
        <v>137</v>
      </c>
      <c r="D6" s="132" t="s">
        <v>240</v>
      </c>
      <c r="E6" s="132" t="s">
        <v>139</v>
      </c>
      <c r="F6" s="132" t="s">
        <v>173</v>
      </c>
      <c r="G6" s="132" t="s">
        <v>174</v>
      </c>
      <c r="H6" s="132" t="s">
        <v>175</v>
      </c>
      <c r="I6" s="132" t="s">
        <v>176</v>
      </c>
      <c r="J6" s="132" t="s">
        <v>140</v>
      </c>
      <c r="K6" s="132" t="s">
        <v>141</v>
      </c>
      <c r="L6" s="132" t="s">
        <v>142</v>
      </c>
      <c r="M6" s="132" t="s">
        <v>172</v>
      </c>
      <c r="N6" s="133" t="s">
        <v>114</v>
      </c>
      <c r="O6" s="134" t="s">
        <v>147</v>
      </c>
      <c r="P6" s="135" t="s">
        <v>146</v>
      </c>
      <c r="Q6" s="130" t="s">
        <v>11</v>
      </c>
      <c r="R6" s="131" t="s">
        <v>137</v>
      </c>
      <c r="S6" s="132" t="s">
        <v>138</v>
      </c>
      <c r="T6" s="132" t="s">
        <v>139</v>
      </c>
      <c r="U6" s="132" t="s">
        <v>173</v>
      </c>
      <c r="V6" s="132" t="s">
        <v>174</v>
      </c>
      <c r="W6" s="132" t="s">
        <v>175</v>
      </c>
      <c r="X6" s="132" t="s">
        <v>176</v>
      </c>
      <c r="Y6" s="132" t="s">
        <v>140</v>
      </c>
      <c r="Z6" s="132" t="s">
        <v>141</v>
      </c>
      <c r="AA6" s="132" t="s">
        <v>142</v>
      </c>
      <c r="AB6" s="132" t="s">
        <v>172</v>
      </c>
      <c r="AC6" s="133" t="s">
        <v>114</v>
      </c>
      <c r="AD6" s="134" t="s">
        <v>147</v>
      </c>
      <c r="AE6" s="135" t="s">
        <v>315</v>
      </c>
      <c r="AF6" s="136" t="s">
        <v>151</v>
      </c>
      <c r="AG6" s="136" t="s">
        <v>150</v>
      </c>
      <c r="AH6" s="136" t="s">
        <v>11</v>
      </c>
      <c r="AI6" s="135" t="s">
        <v>316</v>
      </c>
    </row>
    <row r="7" spans="1:35" ht="15.75" customHeight="1" thickBot="1">
      <c r="A7" s="2020"/>
      <c r="B7" s="389" t="s">
        <v>42</v>
      </c>
      <c r="C7" s="805" t="s">
        <v>43</v>
      </c>
      <c r="D7" s="806" t="s">
        <v>44</v>
      </c>
      <c r="E7" s="806" t="s">
        <v>45</v>
      </c>
      <c r="F7" s="807" t="s">
        <v>46</v>
      </c>
      <c r="G7" s="807" t="s">
        <v>47</v>
      </c>
      <c r="H7" s="807" t="s">
        <v>77</v>
      </c>
      <c r="I7" s="807" t="s">
        <v>113</v>
      </c>
      <c r="J7" s="807" t="s">
        <v>145</v>
      </c>
      <c r="K7" s="807" t="s">
        <v>149</v>
      </c>
      <c r="L7" s="807" t="s">
        <v>181</v>
      </c>
      <c r="M7" s="807" t="s">
        <v>182</v>
      </c>
      <c r="N7" s="808" t="s">
        <v>184</v>
      </c>
      <c r="O7" s="809" t="s">
        <v>185</v>
      </c>
      <c r="P7" s="810" t="s">
        <v>186</v>
      </c>
      <c r="Q7" s="389" t="s">
        <v>42</v>
      </c>
      <c r="R7" s="805" t="s">
        <v>43</v>
      </c>
      <c r="S7" s="806" t="s">
        <v>44</v>
      </c>
      <c r="T7" s="806" t="s">
        <v>45</v>
      </c>
      <c r="U7" s="807" t="s">
        <v>46</v>
      </c>
      <c r="V7" s="807" t="s">
        <v>47</v>
      </c>
      <c r="W7" s="807" t="s">
        <v>77</v>
      </c>
      <c r="X7" s="807" t="s">
        <v>113</v>
      </c>
      <c r="Y7" s="807" t="s">
        <v>145</v>
      </c>
      <c r="Z7" s="807" t="s">
        <v>149</v>
      </c>
      <c r="AA7" s="807" t="s">
        <v>181</v>
      </c>
      <c r="AB7" s="807" t="s">
        <v>182</v>
      </c>
      <c r="AC7" s="808" t="s">
        <v>184</v>
      </c>
      <c r="AD7" s="809" t="s">
        <v>185</v>
      </c>
      <c r="AE7" s="810" t="s">
        <v>186</v>
      </c>
      <c r="AF7" s="754"/>
      <c r="AG7" s="389"/>
      <c r="AH7" s="754"/>
      <c r="AI7" s="389"/>
    </row>
    <row r="8" spans="1:35" hidden="1">
      <c r="A8" s="811"/>
      <c r="B8" s="777"/>
      <c r="C8" s="458"/>
      <c r="D8" s="458"/>
      <c r="E8" s="458"/>
      <c r="F8" s="458"/>
      <c r="G8" s="458"/>
      <c r="H8" s="458"/>
      <c r="I8" s="458"/>
      <c r="J8" s="458"/>
      <c r="K8" s="458"/>
      <c r="L8" s="458"/>
      <c r="M8" s="458"/>
      <c r="N8" s="412"/>
      <c r="O8" s="812"/>
      <c r="P8" s="776"/>
      <c r="Q8" s="777"/>
      <c r="R8" s="458"/>
      <c r="S8" s="458"/>
      <c r="T8" s="458"/>
      <c r="U8" s="458"/>
      <c r="V8" s="458"/>
      <c r="W8" s="458"/>
      <c r="X8" s="458"/>
      <c r="Y8" s="458"/>
      <c r="Z8" s="458"/>
      <c r="AA8" s="458"/>
      <c r="AB8" s="458"/>
      <c r="AC8" s="412"/>
      <c r="AD8" s="812"/>
      <c r="AE8" s="776"/>
      <c r="AF8" s="776"/>
      <c r="AG8" s="777"/>
      <c r="AH8" s="776"/>
      <c r="AI8" s="777"/>
    </row>
    <row r="9" spans="1:35" ht="24">
      <c r="A9" s="1065" t="s">
        <v>48</v>
      </c>
      <c r="B9" s="1066"/>
      <c r="C9" s="1067"/>
      <c r="D9" s="1067"/>
      <c r="E9" s="1067"/>
      <c r="F9" s="1067"/>
      <c r="G9" s="1067"/>
      <c r="H9" s="1067"/>
      <c r="I9" s="1067"/>
      <c r="J9" s="1067"/>
      <c r="K9" s="1067"/>
      <c r="L9" s="1067"/>
      <c r="M9" s="1067"/>
      <c r="N9" s="1068"/>
      <c r="O9" s="1067"/>
      <c r="P9" s="1069"/>
      <c r="Q9" s="1070"/>
      <c r="R9" s="1071"/>
      <c r="S9" s="1071"/>
      <c r="T9" s="1071"/>
      <c r="U9" s="1071"/>
      <c r="V9" s="1071"/>
      <c r="W9" s="1071"/>
      <c r="X9" s="1071"/>
      <c r="Y9" s="1071"/>
      <c r="Z9" s="1071"/>
      <c r="AA9" s="1071"/>
      <c r="AB9" s="1071"/>
      <c r="AC9" s="1072"/>
      <c r="AD9" s="1073"/>
      <c r="AE9" s="1074"/>
      <c r="AF9" s="1074"/>
      <c r="AG9" s="1070"/>
      <c r="AH9" s="1074"/>
      <c r="AI9" s="1070"/>
    </row>
    <row r="10" spans="1:35">
      <c r="A10" s="1075" t="s">
        <v>7175</v>
      </c>
      <c r="B10" s="1076">
        <f t="shared" ref="B10:AE10" si="0">SUM(B11:B16)</f>
        <v>16</v>
      </c>
      <c r="C10" s="1077">
        <f t="shared" si="0"/>
        <v>3787</v>
      </c>
      <c r="D10" s="1077">
        <f t="shared" si="0"/>
        <v>3600</v>
      </c>
      <c r="E10" s="1077">
        <f t="shared" si="0"/>
        <v>0</v>
      </c>
      <c r="F10" s="1077">
        <f t="shared" si="0"/>
        <v>0</v>
      </c>
      <c r="G10" s="1077">
        <f t="shared" si="0"/>
        <v>0</v>
      </c>
      <c r="H10" s="1077">
        <f t="shared" si="0"/>
        <v>0</v>
      </c>
      <c r="I10" s="1077">
        <f t="shared" si="0"/>
        <v>0</v>
      </c>
      <c r="J10" s="1077">
        <f t="shared" si="0"/>
        <v>0</v>
      </c>
      <c r="K10" s="1077">
        <f t="shared" si="0"/>
        <v>7387</v>
      </c>
      <c r="L10" s="1077">
        <f t="shared" si="0"/>
        <v>3000</v>
      </c>
      <c r="M10" s="1077">
        <f t="shared" si="0"/>
        <v>0</v>
      </c>
      <c r="N10" s="1078">
        <f t="shared" si="0"/>
        <v>3000</v>
      </c>
      <c r="O10" s="1077">
        <f t="shared" si="0"/>
        <v>91644</v>
      </c>
      <c r="P10" s="1077">
        <f t="shared" si="0"/>
        <v>413760</v>
      </c>
      <c r="Q10" s="1076">
        <f t="shared" si="0"/>
        <v>10</v>
      </c>
      <c r="R10" s="1077">
        <f t="shared" si="0"/>
        <v>2552</v>
      </c>
      <c r="S10" s="1077">
        <f t="shared" si="0"/>
        <v>3630</v>
      </c>
      <c r="T10" s="1077">
        <f t="shared" si="0"/>
        <v>0</v>
      </c>
      <c r="U10" s="1077">
        <f t="shared" si="0"/>
        <v>0</v>
      </c>
      <c r="V10" s="1077">
        <f t="shared" si="0"/>
        <v>0</v>
      </c>
      <c r="W10" s="1077">
        <f t="shared" si="0"/>
        <v>0</v>
      </c>
      <c r="X10" s="1077">
        <f t="shared" si="0"/>
        <v>0</v>
      </c>
      <c r="Y10" s="1077">
        <f t="shared" si="0"/>
        <v>0</v>
      </c>
      <c r="Z10" s="1077">
        <f t="shared" si="0"/>
        <v>6182</v>
      </c>
      <c r="AA10" s="1077">
        <f t="shared" si="0"/>
        <v>3000</v>
      </c>
      <c r="AB10" s="1077">
        <f t="shared" si="0"/>
        <v>0</v>
      </c>
      <c r="AC10" s="1078">
        <f t="shared" si="0"/>
        <v>3000</v>
      </c>
      <c r="AD10" s="1077">
        <f t="shared" si="0"/>
        <v>74184</v>
      </c>
      <c r="AE10" s="1078">
        <f t="shared" si="0"/>
        <v>249648</v>
      </c>
      <c r="AF10" s="865">
        <f>+B10-Q10</f>
        <v>6</v>
      </c>
      <c r="AG10" s="1079">
        <f>SUM(AG12:AG16)</f>
        <v>1205</v>
      </c>
      <c r="AH10" s="865">
        <f>SUM(AH11:AH16)</f>
        <v>7</v>
      </c>
      <c r="AI10" s="1079">
        <f>SUM(AI11:AI16)</f>
        <v>190119</v>
      </c>
    </row>
    <row r="11" spans="1:35" hidden="1">
      <c r="A11" s="1080" t="s">
        <v>7061</v>
      </c>
      <c r="B11" s="319"/>
      <c r="C11" s="1081"/>
      <c r="D11" s="1081"/>
      <c r="E11" s="1082"/>
      <c r="F11" s="1082"/>
      <c r="G11" s="1082"/>
      <c r="H11" s="1082"/>
      <c r="I11" s="1082"/>
      <c r="J11" s="1082"/>
      <c r="K11" s="1081"/>
      <c r="L11" s="1081"/>
      <c r="M11" s="1081"/>
      <c r="N11" s="1083"/>
      <c r="O11" s="1081"/>
      <c r="P11" s="316"/>
      <c r="Q11" s="319"/>
      <c r="R11" s="1081"/>
      <c r="S11" s="1081"/>
      <c r="T11" s="1082"/>
      <c r="U11" s="1082"/>
      <c r="V11" s="1082"/>
      <c r="W11" s="1082"/>
      <c r="X11" s="1082"/>
      <c r="Y11" s="1082"/>
      <c r="Z11" s="1081"/>
      <c r="AA11" s="1081"/>
      <c r="AB11" s="1081"/>
      <c r="AC11" s="1083"/>
      <c r="AD11" s="1081"/>
      <c r="AE11" s="316"/>
      <c r="AF11" s="776"/>
      <c r="AG11" s="777"/>
      <c r="AH11" s="776"/>
      <c r="AI11" s="1017"/>
    </row>
    <row r="12" spans="1:35">
      <c r="A12" s="1080" t="s">
        <v>7060</v>
      </c>
      <c r="B12" s="319">
        <v>1</v>
      </c>
      <c r="C12" s="1081">
        <v>1044</v>
      </c>
      <c r="D12" s="1081"/>
      <c r="E12" s="1082"/>
      <c r="F12" s="1082"/>
      <c r="G12" s="1082"/>
      <c r="H12" s="1082"/>
      <c r="I12" s="1082"/>
      <c r="J12" s="1082"/>
      <c r="K12" s="1081">
        <v>1044</v>
      </c>
      <c r="L12" s="1081"/>
      <c r="M12" s="1081"/>
      <c r="N12" s="1083">
        <v>0</v>
      </c>
      <c r="O12" s="1081">
        <v>12528</v>
      </c>
      <c r="P12" s="316">
        <v>12528</v>
      </c>
      <c r="Q12" s="319"/>
      <c r="R12" s="1081"/>
      <c r="S12" s="1081"/>
      <c r="T12" s="1082"/>
      <c r="U12" s="1082"/>
      <c r="V12" s="1082"/>
      <c r="W12" s="1082"/>
      <c r="X12" s="1082"/>
      <c r="Y12" s="1082"/>
      <c r="Z12" s="1081">
        <f>+R12+S12</f>
        <v>0</v>
      </c>
      <c r="AA12" s="1081"/>
      <c r="AB12" s="1081"/>
      <c r="AC12" s="1083">
        <v>0</v>
      </c>
      <c r="AD12" s="1081">
        <f>+(Z12*12)</f>
        <v>0</v>
      </c>
      <c r="AE12" s="316">
        <f>+Q12*AD12</f>
        <v>0</v>
      </c>
      <c r="AF12" s="776">
        <f t="shared" ref="AF12:AF33" si="1">+B12-Q12</f>
        <v>1</v>
      </c>
      <c r="AG12" s="1017">
        <f t="shared" ref="AG12:AG33" si="2">+K12-Z12</f>
        <v>1044</v>
      </c>
      <c r="AH12" s="776"/>
      <c r="AI12" s="1017"/>
    </row>
    <row r="13" spans="1:35" hidden="1">
      <c r="A13" s="1080" t="s">
        <v>7059</v>
      </c>
      <c r="B13" s="319"/>
      <c r="C13" s="1081"/>
      <c r="D13" s="1081"/>
      <c r="E13" s="1082"/>
      <c r="F13" s="1082"/>
      <c r="G13" s="1082"/>
      <c r="H13" s="1082"/>
      <c r="I13" s="1082"/>
      <c r="J13" s="1082"/>
      <c r="K13" s="1081">
        <v>0</v>
      </c>
      <c r="L13" s="1081"/>
      <c r="M13" s="1081"/>
      <c r="N13" s="1083"/>
      <c r="O13" s="1081"/>
      <c r="P13" s="316"/>
      <c r="Q13" s="319"/>
      <c r="R13" s="1081"/>
      <c r="S13" s="1081"/>
      <c r="T13" s="1082"/>
      <c r="U13" s="1082"/>
      <c r="V13" s="1082"/>
      <c r="W13" s="1082"/>
      <c r="X13" s="1082"/>
      <c r="Y13" s="1082"/>
      <c r="Z13" s="1081">
        <f>+R13+S13</f>
        <v>0</v>
      </c>
      <c r="AA13" s="1081"/>
      <c r="AB13" s="1081"/>
      <c r="AC13" s="1083"/>
      <c r="AD13" s="1081"/>
      <c r="AE13" s="316"/>
      <c r="AF13" s="776">
        <f t="shared" si="1"/>
        <v>0</v>
      </c>
      <c r="AG13" s="1017">
        <f t="shared" si="2"/>
        <v>0</v>
      </c>
      <c r="AH13" s="776"/>
      <c r="AI13" s="1017"/>
    </row>
    <row r="14" spans="1:35">
      <c r="A14" s="1080" t="s">
        <v>7058</v>
      </c>
      <c r="B14" s="319">
        <v>12</v>
      </c>
      <c r="C14" s="1081">
        <v>963</v>
      </c>
      <c r="D14" s="1081">
        <v>1200</v>
      </c>
      <c r="E14" s="1082"/>
      <c r="F14" s="1082"/>
      <c r="G14" s="1082"/>
      <c r="H14" s="1082"/>
      <c r="I14" s="1082"/>
      <c r="J14" s="1082"/>
      <c r="K14" s="1081">
        <v>2163</v>
      </c>
      <c r="L14" s="1081">
        <v>1000</v>
      </c>
      <c r="M14" s="1081"/>
      <c r="N14" s="1083">
        <v>1000</v>
      </c>
      <c r="O14" s="1081">
        <v>26956</v>
      </c>
      <c r="P14" s="316">
        <v>323472</v>
      </c>
      <c r="Q14" s="319">
        <v>7</v>
      </c>
      <c r="R14" s="1081">
        <v>890</v>
      </c>
      <c r="S14" s="1081">
        <v>1210</v>
      </c>
      <c r="T14" s="1082"/>
      <c r="U14" s="1082"/>
      <c r="V14" s="1082"/>
      <c r="W14" s="1082"/>
      <c r="X14" s="1082"/>
      <c r="Y14" s="1082"/>
      <c r="Z14" s="1081">
        <f>+R14+S14</f>
        <v>2100</v>
      </c>
      <c r="AA14" s="1081">
        <v>1000</v>
      </c>
      <c r="AB14" s="1081"/>
      <c r="AC14" s="1083">
        <v>1000</v>
      </c>
      <c r="AD14" s="1081">
        <f>+(Z14*12)</f>
        <v>25200</v>
      </c>
      <c r="AE14" s="316">
        <f>+Q14*AD14</f>
        <v>176400</v>
      </c>
      <c r="AF14" s="776">
        <f t="shared" si="1"/>
        <v>5</v>
      </c>
      <c r="AG14" s="1017">
        <f t="shared" si="2"/>
        <v>63</v>
      </c>
      <c r="AH14" s="776">
        <v>5</v>
      </c>
      <c r="AI14" s="1017">
        <v>136979</v>
      </c>
    </row>
    <row r="15" spans="1:35">
      <c r="A15" s="1080" t="s">
        <v>7057</v>
      </c>
      <c r="B15" s="319">
        <v>1</v>
      </c>
      <c r="C15" s="1081">
        <v>930</v>
      </c>
      <c r="D15" s="1081">
        <v>1200</v>
      </c>
      <c r="E15" s="1082"/>
      <c r="F15" s="1082"/>
      <c r="G15" s="1082"/>
      <c r="H15" s="1082"/>
      <c r="I15" s="1082"/>
      <c r="J15" s="1082"/>
      <c r="K15" s="1081">
        <v>2130</v>
      </c>
      <c r="L15" s="1081">
        <v>1000</v>
      </c>
      <c r="M15" s="1081"/>
      <c r="N15" s="1083">
        <v>1000</v>
      </c>
      <c r="O15" s="1081">
        <v>26560</v>
      </c>
      <c r="P15" s="316">
        <v>26560</v>
      </c>
      <c r="Q15" s="319">
        <v>1</v>
      </c>
      <c r="R15" s="1081">
        <v>850</v>
      </c>
      <c r="S15" s="1081">
        <v>1210</v>
      </c>
      <c r="T15" s="1082"/>
      <c r="U15" s="1082"/>
      <c r="V15" s="1082"/>
      <c r="W15" s="1082"/>
      <c r="X15" s="1082"/>
      <c r="Y15" s="1082"/>
      <c r="Z15" s="1081">
        <f>+R15+S15</f>
        <v>2060</v>
      </c>
      <c r="AA15" s="1081">
        <v>1000</v>
      </c>
      <c r="AB15" s="1081"/>
      <c r="AC15" s="1083">
        <v>1000</v>
      </c>
      <c r="AD15" s="1081">
        <f>+(Z15*12)</f>
        <v>24720</v>
      </c>
      <c r="AE15" s="316">
        <f>+Q15*AD15</f>
        <v>24720</v>
      </c>
      <c r="AF15" s="776">
        <f t="shared" si="1"/>
        <v>0</v>
      </c>
      <c r="AG15" s="1017">
        <f t="shared" si="2"/>
        <v>70</v>
      </c>
      <c r="AH15" s="776">
        <v>1</v>
      </c>
      <c r="AI15" s="1017">
        <v>26675</v>
      </c>
    </row>
    <row r="16" spans="1:35">
      <c r="A16" s="1080" t="s">
        <v>12</v>
      </c>
      <c r="B16" s="319">
        <v>2</v>
      </c>
      <c r="C16" s="1081">
        <v>850</v>
      </c>
      <c r="D16" s="1081">
        <v>1200</v>
      </c>
      <c r="E16" s="1082"/>
      <c r="F16" s="1082"/>
      <c r="G16" s="1082"/>
      <c r="H16" s="1082"/>
      <c r="I16" s="1082"/>
      <c r="J16" s="1082"/>
      <c r="K16" s="1081">
        <v>2050</v>
      </c>
      <c r="L16" s="1081">
        <v>1000</v>
      </c>
      <c r="M16" s="1081"/>
      <c r="N16" s="1083">
        <v>1000</v>
      </c>
      <c r="O16" s="1081">
        <v>25600</v>
      </c>
      <c r="P16" s="316">
        <v>51200</v>
      </c>
      <c r="Q16" s="319">
        <v>2</v>
      </c>
      <c r="R16" s="1081">
        <v>812</v>
      </c>
      <c r="S16" s="1081">
        <v>1210</v>
      </c>
      <c r="T16" s="1082"/>
      <c r="U16" s="1082"/>
      <c r="V16" s="1082"/>
      <c r="W16" s="1082"/>
      <c r="X16" s="1082"/>
      <c r="Y16" s="1082"/>
      <c r="Z16" s="1081">
        <f>+R16+S16</f>
        <v>2022</v>
      </c>
      <c r="AA16" s="1081">
        <v>1000</v>
      </c>
      <c r="AB16" s="1081"/>
      <c r="AC16" s="1083">
        <v>1000</v>
      </c>
      <c r="AD16" s="1081">
        <f>+(Z16*12)</f>
        <v>24264</v>
      </c>
      <c r="AE16" s="316">
        <f>+Q16*AD16</f>
        <v>48528</v>
      </c>
      <c r="AF16" s="776">
        <f t="shared" si="1"/>
        <v>0</v>
      </c>
      <c r="AG16" s="1017">
        <f t="shared" si="2"/>
        <v>28</v>
      </c>
      <c r="AH16" s="776">
        <v>1</v>
      </c>
      <c r="AI16" s="1017">
        <v>26465</v>
      </c>
    </row>
    <row r="17" spans="1:35">
      <c r="A17" s="1075" t="s">
        <v>7174</v>
      </c>
      <c r="B17" s="1076">
        <f t="shared" ref="B17:AE17" si="3">SUM(B18:B23)</f>
        <v>26</v>
      </c>
      <c r="C17" s="1077">
        <f t="shared" si="3"/>
        <v>4180</v>
      </c>
      <c r="D17" s="1077">
        <f t="shared" si="3"/>
        <v>6600</v>
      </c>
      <c r="E17" s="1077">
        <f t="shared" si="3"/>
        <v>0</v>
      </c>
      <c r="F17" s="1077">
        <f t="shared" si="3"/>
        <v>0</v>
      </c>
      <c r="G17" s="1077">
        <f t="shared" si="3"/>
        <v>0</v>
      </c>
      <c r="H17" s="1077">
        <f t="shared" si="3"/>
        <v>0</v>
      </c>
      <c r="I17" s="1077">
        <f t="shared" si="3"/>
        <v>0</v>
      </c>
      <c r="J17" s="1077">
        <f t="shared" si="3"/>
        <v>0</v>
      </c>
      <c r="K17" s="1077">
        <f t="shared" si="3"/>
        <v>10780</v>
      </c>
      <c r="L17" s="1077">
        <f t="shared" si="3"/>
        <v>6000</v>
      </c>
      <c r="M17" s="1077">
        <f t="shared" si="3"/>
        <v>0</v>
      </c>
      <c r="N17" s="1078">
        <f t="shared" si="3"/>
        <v>6000</v>
      </c>
      <c r="O17" s="1077">
        <f t="shared" si="3"/>
        <v>135360</v>
      </c>
      <c r="P17" s="1077">
        <f t="shared" si="3"/>
        <v>584600</v>
      </c>
      <c r="Q17" s="1076">
        <f t="shared" si="3"/>
        <v>26</v>
      </c>
      <c r="R17" s="1077">
        <f t="shared" si="3"/>
        <v>3213</v>
      </c>
      <c r="S17" s="1077">
        <f t="shared" si="3"/>
        <v>6660</v>
      </c>
      <c r="T17" s="1077">
        <f t="shared" si="3"/>
        <v>0</v>
      </c>
      <c r="U17" s="1077">
        <f t="shared" si="3"/>
        <v>0</v>
      </c>
      <c r="V17" s="1077">
        <f t="shared" si="3"/>
        <v>0</v>
      </c>
      <c r="W17" s="1077">
        <f t="shared" si="3"/>
        <v>0</v>
      </c>
      <c r="X17" s="1077">
        <f t="shared" si="3"/>
        <v>0</v>
      </c>
      <c r="Y17" s="1077">
        <f t="shared" si="3"/>
        <v>0</v>
      </c>
      <c r="Z17" s="1077">
        <f t="shared" si="3"/>
        <v>9873</v>
      </c>
      <c r="AA17" s="1077">
        <f t="shared" si="3"/>
        <v>6000</v>
      </c>
      <c r="AB17" s="1077">
        <f t="shared" si="3"/>
        <v>0</v>
      </c>
      <c r="AC17" s="1078">
        <f t="shared" si="3"/>
        <v>6000</v>
      </c>
      <c r="AD17" s="1077">
        <f t="shared" si="3"/>
        <v>118476</v>
      </c>
      <c r="AE17" s="1077">
        <f t="shared" si="3"/>
        <v>541980</v>
      </c>
      <c r="AF17" s="865">
        <f t="shared" si="1"/>
        <v>0</v>
      </c>
      <c r="AG17" s="1079">
        <f t="shared" si="2"/>
        <v>907</v>
      </c>
      <c r="AH17" s="865">
        <f>SUM(AH18:AH23)</f>
        <v>25</v>
      </c>
      <c r="AI17" s="1079">
        <f>SUM(AI18:AI23)</f>
        <v>462806</v>
      </c>
    </row>
    <row r="18" spans="1:35">
      <c r="A18" s="1080" t="s">
        <v>13</v>
      </c>
      <c r="B18" s="319">
        <v>7</v>
      </c>
      <c r="C18" s="1081">
        <v>711</v>
      </c>
      <c r="D18" s="1081">
        <v>1100</v>
      </c>
      <c r="E18" s="1082"/>
      <c r="F18" s="1082"/>
      <c r="G18" s="1082"/>
      <c r="H18" s="1082"/>
      <c r="I18" s="1082"/>
      <c r="J18" s="1082"/>
      <c r="K18" s="1081">
        <v>1811</v>
      </c>
      <c r="L18" s="1081">
        <v>1000</v>
      </c>
      <c r="M18" s="1081"/>
      <c r="N18" s="1083">
        <v>1000</v>
      </c>
      <c r="O18" s="1081">
        <v>22732</v>
      </c>
      <c r="P18" s="316">
        <v>159124</v>
      </c>
      <c r="Q18" s="319">
        <v>7</v>
      </c>
      <c r="R18" s="1081">
        <v>717</v>
      </c>
      <c r="S18" s="1081">
        <v>1110</v>
      </c>
      <c r="T18" s="1082"/>
      <c r="U18" s="1082"/>
      <c r="V18" s="1082"/>
      <c r="W18" s="1082"/>
      <c r="X18" s="1082"/>
      <c r="Y18" s="1082"/>
      <c r="Z18" s="1081">
        <f t="shared" ref="Z18:Z23" si="4">+R18+S18</f>
        <v>1827</v>
      </c>
      <c r="AA18" s="1081">
        <v>1000</v>
      </c>
      <c r="AB18" s="1081"/>
      <c r="AC18" s="1083">
        <v>1000</v>
      </c>
      <c r="AD18" s="1081">
        <f t="shared" ref="AD18:AD23" si="5">+(Z18*12)</f>
        <v>21924</v>
      </c>
      <c r="AE18" s="316">
        <f t="shared" ref="AE18:AE23" si="6">+Q18*AD18</f>
        <v>153468</v>
      </c>
      <c r="AF18" s="776">
        <f t="shared" si="1"/>
        <v>0</v>
      </c>
      <c r="AG18" s="1017">
        <f t="shared" si="2"/>
        <v>-16</v>
      </c>
      <c r="AH18" s="776">
        <v>6</v>
      </c>
      <c r="AI18" s="1017">
        <v>100799</v>
      </c>
    </row>
    <row r="19" spans="1:35">
      <c r="A19" s="1080" t="s">
        <v>6978</v>
      </c>
      <c r="B19" s="319">
        <v>1</v>
      </c>
      <c r="C19" s="1081">
        <v>788</v>
      </c>
      <c r="D19" s="1081">
        <v>1100</v>
      </c>
      <c r="E19" s="1082"/>
      <c r="F19" s="1082"/>
      <c r="G19" s="1082"/>
      <c r="H19" s="1082"/>
      <c r="I19" s="1082"/>
      <c r="J19" s="1082"/>
      <c r="K19" s="1081">
        <v>1888</v>
      </c>
      <c r="L19" s="1081">
        <v>1000</v>
      </c>
      <c r="M19" s="1081"/>
      <c r="N19" s="1083">
        <v>1000</v>
      </c>
      <c r="O19" s="1081">
        <v>23656</v>
      </c>
      <c r="P19" s="316">
        <v>23656</v>
      </c>
      <c r="Q19" s="319">
        <v>1</v>
      </c>
      <c r="R19" s="1081">
        <v>0</v>
      </c>
      <c r="S19" s="1081">
        <v>1110</v>
      </c>
      <c r="T19" s="1082"/>
      <c r="U19" s="1082"/>
      <c r="V19" s="1082"/>
      <c r="W19" s="1082"/>
      <c r="X19" s="1082"/>
      <c r="Y19" s="1082"/>
      <c r="Z19" s="1081">
        <f t="shared" si="4"/>
        <v>1110</v>
      </c>
      <c r="AA19" s="1081">
        <v>1000</v>
      </c>
      <c r="AB19" s="1081"/>
      <c r="AC19" s="1083">
        <v>1000</v>
      </c>
      <c r="AD19" s="1081">
        <f t="shared" si="5"/>
        <v>13320</v>
      </c>
      <c r="AE19" s="316">
        <f t="shared" si="6"/>
        <v>13320</v>
      </c>
      <c r="AF19" s="776">
        <f t="shared" si="1"/>
        <v>0</v>
      </c>
      <c r="AG19" s="1017">
        <f t="shared" si="2"/>
        <v>778</v>
      </c>
      <c r="AH19" s="776">
        <v>1</v>
      </c>
      <c r="AI19" s="1017">
        <v>13320</v>
      </c>
    </row>
    <row r="20" spans="1:35">
      <c r="A20" s="1080" t="s">
        <v>6977</v>
      </c>
      <c r="B20" s="319">
        <v>7</v>
      </c>
      <c r="C20" s="1081">
        <v>660</v>
      </c>
      <c r="D20" s="1081">
        <v>1100</v>
      </c>
      <c r="E20" s="1082"/>
      <c r="F20" s="1082"/>
      <c r="G20" s="1082"/>
      <c r="H20" s="1082"/>
      <c r="I20" s="1082"/>
      <c r="J20" s="1082"/>
      <c r="K20" s="1081">
        <v>1760</v>
      </c>
      <c r="L20" s="1081">
        <v>1000</v>
      </c>
      <c r="M20" s="1081"/>
      <c r="N20" s="1083">
        <v>1000</v>
      </c>
      <c r="O20" s="1081">
        <v>22120</v>
      </c>
      <c r="P20" s="316">
        <v>154840</v>
      </c>
      <c r="Q20" s="319">
        <v>7</v>
      </c>
      <c r="R20" s="1081">
        <v>633</v>
      </c>
      <c r="S20" s="1081">
        <v>1110</v>
      </c>
      <c r="T20" s="1082"/>
      <c r="U20" s="1082"/>
      <c r="V20" s="1082"/>
      <c r="W20" s="1082"/>
      <c r="X20" s="1082"/>
      <c r="Y20" s="1082"/>
      <c r="Z20" s="1081">
        <f t="shared" si="4"/>
        <v>1743</v>
      </c>
      <c r="AA20" s="1081">
        <v>1000</v>
      </c>
      <c r="AB20" s="1081"/>
      <c r="AC20" s="1083">
        <v>1000</v>
      </c>
      <c r="AD20" s="1081">
        <f t="shared" si="5"/>
        <v>20916</v>
      </c>
      <c r="AE20" s="316">
        <f t="shared" si="6"/>
        <v>146412</v>
      </c>
      <c r="AF20" s="776">
        <f t="shared" si="1"/>
        <v>0</v>
      </c>
      <c r="AG20" s="1017">
        <f t="shared" si="2"/>
        <v>17</v>
      </c>
      <c r="AH20" s="776">
        <v>7</v>
      </c>
      <c r="AI20" s="1017">
        <v>121178</v>
      </c>
    </row>
    <row r="21" spans="1:35">
      <c r="A21" s="1080" t="s">
        <v>6976</v>
      </c>
      <c r="B21" s="319">
        <v>5</v>
      </c>
      <c r="C21" s="1081">
        <v>712</v>
      </c>
      <c r="D21" s="1081">
        <v>1100</v>
      </c>
      <c r="E21" s="1082"/>
      <c r="F21" s="1082"/>
      <c r="G21" s="1082"/>
      <c r="H21" s="1082"/>
      <c r="I21" s="1082"/>
      <c r="J21" s="1082"/>
      <c r="K21" s="1081">
        <v>1812</v>
      </c>
      <c r="L21" s="1081">
        <v>1000</v>
      </c>
      <c r="M21" s="1081"/>
      <c r="N21" s="1083">
        <v>1000</v>
      </c>
      <c r="O21" s="1081">
        <v>22744</v>
      </c>
      <c r="P21" s="316">
        <v>113720</v>
      </c>
      <c r="Q21" s="319">
        <v>5</v>
      </c>
      <c r="R21" s="1081">
        <v>624</v>
      </c>
      <c r="S21" s="1081">
        <v>1110</v>
      </c>
      <c r="T21" s="1082"/>
      <c r="U21" s="1082"/>
      <c r="V21" s="1082"/>
      <c r="W21" s="1082"/>
      <c r="X21" s="1082"/>
      <c r="Y21" s="1082"/>
      <c r="Z21" s="1081">
        <f t="shared" si="4"/>
        <v>1734</v>
      </c>
      <c r="AA21" s="1081">
        <v>1000</v>
      </c>
      <c r="AB21" s="1081"/>
      <c r="AC21" s="1083">
        <v>1000</v>
      </c>
      <c r="AD21" s="1081">
        <f t="shared" si="5"/>
        <v>20808</v>
      </c>
      <c r="AE21" s="316">
        <f t="shared" si="6"/>
        <v>104040</v>
      </c>
      <c r="AF21" s="776">
        <f t="shared" si="1"/>
        <v>0</v>
      </c>
      <c r="AG21" s="1017">
        <f t="shared" si="2"/>
        <v>78</v>
      </c>
      <c r="AH21" s="776">
        <v>5</v>
      </c>
      <c r="AI21" s="1017">
        <v>93503</v>
      </c>
    </row>
    <row r="22" spans="1:35">
      <c r="A22" s="1080" t="s">
        <v>14</v>
      </c>
      <c r="B22" s="319">
        <v>5</v>
      </c>
      <c r="C22" s="1081">
        <v>674</v>
      </c>
      <c r="D22" s="1081">
        <v>1100</v>
      </c>
      <c r="E22" s="1082"/>
      <c r="F22" s="1082"/>
      <c r="G22" s="1082"/>
      <c r="H22" s="1082"/>
      <c r="I22" s="1082"/>
      <c r="J22" s="1082"/>
      <c r="K22" s="1081">
        <v>1774</v>
      </c>
      <c r="L22" s="1081">
        <v>1000</v>
      </c>
      <c r="M22" s="1081"/>
      <c r="N22" s="1083">
        <v>1000</v>
      </c>
      <c r="O22" s="1081">
        <v>22288</v>
      </c>
      <c r="P22" s="316">
        <v>111440</v>
      </c>
      <c r="Q22" s="319">
        <v>5</v>
      </c>
      <c r="R22" s="1081">
        <v>624</v>
      </c>
      <c r="S22" s="1081">
        <v>1110</v>
      </c>
      <c r="T22" s="1082"/>
      <c r="U22" s="1082"/>
      <c r="V22" s="1082"/>
      <c r="W22" s="1082"/>
      <c r="X22" s="1082"/>
      <c r="Y22" s="1082"/>
      <c r="Z22" s="1081">
        <f t="shared" si="4"/>
        <v>1734</v>
      </c>
      <c r="AA22" s="1081">
        <v>1000</v>
      </c>
      <c r="AB22" s="1081"/>
      <c r="AC22" s="1083">
        <v>1000</v>
      </c>
      <c r="AD22" s="1081">
        <f t="shared" si="5"/>
        <v>20808</v>
      </c>
      <c r="AE22" s="316">
        <f t="shared" si="6"/>
        <v>104040</v>
      </c>
      <c r="AF22" s="776">
        <f t="shared" si="1"/>
        <v>0</v>
      </c>
      <c r="AG22" s="1017">
        <f t="shared" si="2"/>
        <v>40</v>
      </c>
      <c r="AH22" s="776">
        <v>5</v>
      </c>
      <c r="AI22" s="1017">
        <v>112066</v>
      </c>
    </row>
    <row r="23" spans="1:35">
      <c r="A23" s="1080" t="s">
        <v>6975</v>
      </c>
      <c r="B23" s="319">
        <v>1</v>
      </c>
      <c r="C23" s="1081">
        <v>635</v>
      </c>
      <c r="D23" s="1081">
        <v>1100</v>
      </c>
      <c r="E23" s="1082"/>
      <c r="F23" s="1082"/>
      <c r="G23" s="1082"/>
      <c r="H23" s="1082"/>
      <c r="I23" s="1082"/>
      <c r="J23" s="1082"/>
      <c r="K23" s="1081">
        <v>1735</v>
      </c>
      <c r="L23" s="1081">
        <v>1000</v>
      </c>
      <c r="M23" s="1081"/>
      <c r="N23" s="1083">
        <v>1000</v>
      </c>
      <c r="O23" s="1081">
        <v>21820</v>
      </c>
      <c r="P23" s="316">
        <v>21820</v>
      </c>
      <c r="Q23" s="319">
        <v>1</v>
      </c>
      <c r="R23" s="1081">
        <v>615</v>
      </c>
      <c r="S23" s="1081">
        <v>1110</v>
      </c>
      <c r="T23" s="1082"/>
      <c r="U23" s="1082"/>
      <c r="V23" s="1082"/>
      <c r="W23" s="1082"/>
      <c r="X23" s="1082"/>
      <c r="Y23" s="1082"/>
      <c r="Z23" s="1081">
        <f t="shared" si="4"/>
        <v>1725</v>
      </c>
      <c r="AA23" s="1081">
        <v>1000</v>
      </c>
      <c r="AB23" s="1081"/>
      <c r="AC23" s="1083">
        <v>1000</v>
      </c>
      <c r="AD23" s="1081">
        <f t="shared" si="5"/>
        <v>20700</v>
      </c>
      <c r="AE23" s="316">
        <f t="shared" si="6"/>
        <v>20700</v>
      </c>
      <c r="AF23" s="776">
        <f t="shared" si="1"/>
        <v>0</v>
      </c>
      <c r="AG23" s="1017">
        <f t="shared" si="2"/>
        <v>10</v>
      </c>
      <c r="AH23" s="776">
        <v>1</v>
      </c>
      <c r="AI23" s="1017">
        <v>21940</v>
      </c>
    </row>
    <row r="24" spans="1:35">
      <c r="A24" s="1075" t="s">
        <v>7173</v>
      </c>
      <c r="B24" s="1076">
        <f t="shared" ref="B24:AE24" si="7">SUM(B25:B30)</f>
        <v>49</v>
      </c>
      <c r="C24" s="1077">
        <f t="shared" si="7"/>
        <v>3724</v>
      </c>
      <c r="D24" s="1077">
        <f t="shared" si="7"/>
        <v>5700</v>
      </c>
      <c r="E24" s="1077">
        <f t="shared" si="7"/>
        <v>0</v>
      </c>
      <c r="F24" s="1077">
        <f t="shared" si="7"/>
        <v>0</v>
      </c>
      <c r="G24" s="1077">
        <f t="shared" si="7"/>
        <v>0</v>
      </c>
      <c r="H24" s="1077">
        <f t="shared" si="7"/>
        <v>0</v>
      </c>
      <c r="I24" s="1077">
        <f t="shared" si="7"/>
        <v>0</v>
      </c>
      <c r="J24" s="1077">
        <f t="shared" si="7"/>
        <v>0</v>
      </c>
      <c r="K24" s="1077">
        <f t="shared" si="7"/>
        <v>9424</v>
      </c>
      <c r="L24" s="1077">
        <f t="shared" si="7"/>
        <v>6000</v>
      </c>
      <c r="M24" s="1077">
        <f t="shared" si="7"/>
        <v>0</v>
      </c>
      <c r="N24" s="1078">
        <f t="shared" si="7"/>
        <v>6000</v>
      </c>
      <c r="O24" s="1077">
        <f t="shared" si="7"/>
        <v>119088</v>
      </c>
      <c r="P24" s="1077">
        <f t="shared" si="7"/>
        <v>983956</v>
      </c>
      <c r="Q24" s="1076">
        <f t="shared" si="7"/>
        <v>49</v>
      </c>
      <c r="R24" s="1077">
        <f t="shared" si="7"/>
        <v>2690</v>
      </c>
      <c r="S24" s="1077">
        <f t="shared" si="7"/>
        <v>6420</v>
      </c>
      <c r="T24" s="1077">
        <f t="shared" si="7"/>
        <v>0</v>
      </c>
      <c r="U24" s="1077">
        <f t="shared" si="7"/>
        <v>0</v>
      </c>
      <c r="V24" s="1077">
        <f t="shared" si="7"/>
        <v>0</v>
      </c>
      <c r="W24" s="1077">
        <f t="shared" si="7"/>
        <v>0</v>
      </c>
      <c r="X24" s="1077">
        <f t="shared" si="7"/>
        <v>0</v>
      </c>
      <c r="Y24" s="1077">
        <f t="shared" si="7"/>
        <v>0</v>
      </c>
      <c r="Z24" s="1077">
        <f t="shared" si="7"/>
        <v>9110</v>
      </c>
      <c r="AA24" s="1077">
        <f t="shared" si="7"/>
        <v>6000</v>
      </c>
      <c r="AB24" s="1077">
        <f t="shared" si="7"/>
        <v>0</v>
      </c>
      <c r="AC24" s="1078">
        <f t="shared" si="7"/>
        <v>6000</v>
      </c>
      <c r="AD24" s="1077">
        <f t="shared" si="7"/>
        <v>109320</v>
      </c>
      <c r="AE24" s="1077">
        <f t="shared" si="7"/>
        <v>952224</v>
      </c>
      <c r="AF24" s="865">
        <f t="shared" si="1"/>
        <v>0</v>
      </c>
      <c r="AG24" s="1079">
        <f t="shared" si="2"/>
        <v>314</v>
      </c>
      <c r="AH24" s="865">
        <f>SUM(AH25:AH30)</f>
        <v>49</v>
      </c>
      <c r="AI24" s="1079">
        <f>SUM(AI25:AI30)</f>
        <v>1013287</v>
      </c>
    </row>
    <row r="25" spans="1:35">
      <c r="A25" s="1080" t="s">
        <v>15</v>
      </c>
      <c r="B25" s="319">
        <v>32</v>
      </c>
      <c r="C25" s="1081">
        <v>644</v>
      </c>
      <c r="D25" s="1081">
        <v>950</v>
      </c>
      <c r="E25" s="1082"/>
      <c r="F25" s="1082"/>
      <c r="G25" s="1082"/>
      <c r="H25" s="1082"/>
      <c r="I25" s="1082"/>
      <c r="J25" s="1082"/>
      <c r="K25" s="1081">
        <v>1594</v>
      </c>
      <c r="L25" s="1081">
        <v>1000</v>
      </c>
      <c r="M25" s="1081"/>
      <c r="N25" s="1083">
        <v>1000</v>
      </c>
      <c r="O25" s="1081">
        <v>20128</v>
      </c>
      <c r="P25" s="316">
        <v>644096</v>
      </c>
      <c r="Q25" s="319">
        <v>32</v>
      </c>
      <c r="R25" s="1081">
        <v>572</v>
      </c>
      <c r="S25" s="1081">
        <v>1070</v>
      </c>
      <c r="T25" s="1082"/>
      <c r="U25" s="1082"/>
      <c r="V25" s="1082"/>
      <c r="W25" s="1082"/>
      <c r="X25" s="1082"/>
      <c r="Y25" s="1082"/>
      <c r="Z25" s="1081">
        <f t="shared" ref="Z25:Z30" si="8">+R25+S25</f>
        <v>1642</v>
      </c>
      <c r="AA25" s="1081">
        <v>1000</v>
      </c>
      <c r="AB25" s="1081"/>
      <c r="AC25" s="1083">
        <v>1000</v>
      </c>
      <c r="AD25" s="1081">
        <f t="shared" ref="AD25:AD30" si="9">+(Z25*12)</f>
        <v>19704</v>
      </c>
      <c r="AE25" s="316">
        <f t="shared" ref="AE25:AE30" si="10">+Q25*AD25</f>
        <v>630528</v>
      </c>
      <c r="AF25" s="776">
        <f t="shared" si="1"/>
        <v>0</v>
      </c>
      <c r="AG25" s="1017">
        <f t="shared" si="2"/>
        <v>-48</v>
      </c>
      <c r="AH25" s="776">
        <v>32</v>
      </c>
      <c r="AI25" s="1017">
        <v>682214</v>
      </c>
    </row>
    <row r="26" spans="1:35">
      <c r="A26" s="1080" t="s">
        <v>7056</v>
      </c>
      <c r="B26" s="319">
        <v>9</v>
      </c>
      <c r="C26" s="1081">
        <v>638</v>
      </c>
      <c r="D26" s="1081">
        <v>950</v>
      </c>
      <c r="E26" s="1082"/>
      <c r="F26" s="1082"/>
      <c r="G26" s="1082"/>
      <c r="H26" s="1082"/>
      <c r="I26" s="1082"/>
      <c r="J26" s="1082"/>
      <c r="K26" s="1081">
        <v>1588</v>
      </c>
      <c r="L26" s="1081">
        <v>1000</v>
      </c>
      <c r="M26" s="1081"/>
      <c r="N26" s="1083">
        <v>1000</v>
      </c>
      <c r="O26" s="1081">
        <v>20056</v>
      </c>
      <c r="P26" s="316">
        <v>180504</v>
      </c>
      <c r="Q26" s="319">
        <v>9</v>
      </c>
      <c r="R26" s="1081">
        <v>548</v>
      </c>
      <c r="S26" s="1081">
        <v>1070</v>
      </c>
      <c r="T26" s="1082"/>
      <c r="U26" s="1082"/>
      <c r="V26" s="1082"/>
      <c r="W26" s="1082"/>
      <c r="X26" s="1082"/>
      <c r="Y26" s="1082"/>
      <c r="Z26" s="1081">
        <f t="shared" si="8"/>
        <v>1618</v>
      </c>
      <c r="AA26" s="1081">
        <v>1000</v>
      </c>
      <c r="AB26" s="1081"/>
      <c r="AC26" s="1083">
        <v>1000</v>
      </c>
      <c r="AD26" s="1081">
        <f t="shared" si="9"/>
        <v>19416</v>
      </c>
      <c r="AE26" s="316">
        <f t="shared" si="10"/>
        <v>174744</v>
      </c>
      <c r="AF26" s="776">
        <f t="shared" si="1"/>
        <v>0</v>
      </c>
      <c r="AG26" s="1017">
        <f t="shared" si="2"/>
        <v>-30</v>
      </c>
      <c r="AH26" s="776">
        <v>9</v>
      </c>
      <c r="AI26" s="1017">
        <v>184395</v>
      </c>
    </row>
    <row r="27" spans="1:35">
      <c r="A27" s="1080" t="s">
        <v>6972</v>
      </c>
      <c r="B27" s="319">
        <v>4</v>
      </c>
      <c r="C27" s="1081">
        <v>643</v>
      </c>
      <c r="D27" s="1081">
        <v>950</v>
      </c>
      <c r="E27" s="1082"/>
      <c r="F27" s="1082"/>
      <c r="G27" s="1082"/>
      <c r="H27" s="1082"/>
      <c r="I27" s="1082"/>
      <c r="J27" s="1082"/>
      <c r="K27" s="1081">
        <v>1593</v>
      </c>
      <c r="L27" s="1081">
        <v>1000</v>
      </c>
      <c r="M27" s="1081"/>
      <c r="N27" s="1083">
        <v>1000</v>
      </c>
      <c r="O27" s="1081">
        <v>20116</v>
      </c>
      <c r="P27" s="316">
        <v>80464</v>
      </c>
      <c r="Q27" s="319">
        <v>4</v>
      </c>
      <c r="R27" s="1081">
        <v>531</v>
      </c>
      <c r="S27" s="1081">
        <v>1070</v>
      </c>
      <c r="T27" s="1082"/>
      <c r="U27" s="1082"/>
      <c r="V27" s="1082"/>
      <c r="W27" s="1082"/>
      <c r="X27" s="1082"/>
      <c r="Y27" s="1082"/>
      <c r="Z27" s="1081">
        <f t="shared" si="8"/>
        <v>1601</v>
      </c>
      <c r="AA27" s="1081">
        <v>1000</v>
      </c>
      <c r="AB27" s="1081"/>
      <c r="AC27" s="1083">
        <v>1000</v>
      </c>
      <c r="AD27" s="1081">
        <f t="shared" si="9"/>
        <v>19212</v>
      </c>
      <c r="AE27" s="316">
        <f t="shared" si="10"/>
        <v>76848</v>
      </c>
      <c r="AF27" s="776">
        <f t="shared" si="1"/>
        <v>0</v>
      </c>
      <c r="AG27" s="1017">
        <f t="shared" si="2"/>
        <v>-8</v>
      </c>
      <c r="AH27" s="776">
        <v>4</v>
      </c>
      <c r="AI27" s="1017">
        <v>78462</v>
      </c>
    </row>
    <row r="28" spans="1:35">
      <c r="A28" s="1080" t="s">
        <v>6971</v>
      </c>
      <c r="B28" s="319">
        <v>1</v>
      </c>
      <c r="C28" s="1081">
        <v>563</v>
      </c>
      <c r="D28" s="1081">
        <v>950</v>
      </c>
      <c r="E28" s="1082"/>
      <c r="F28" s="1082"/>
      <c r="G28" s="1082"/>
      <c r="H28" s="1082"/>
      <c r="I28" s="1082"/>
      <c r="J28" s="1082"/>
      <c r="K28" s="1081">
        <v>1513</v>
      </c>
      <c r="L28" s="1081">
        <v>1000</v>
      </c>
      <c r="M28" s="1081"/>
      <c r="N28" s="1083">
        <v>1000</v>
      </c>
      <c r="O28" s="1081">
        <v>19156</v>
      </c>
      <c r="P28" s="316">
        <v>19156</v>
      </c>
      <c r="Q28" s="319">
        <v>1</v>
      </c>
      <c r="R28" s="1081">
        <v>0</v>
      </c>
      <c r="S28" s="1081">
        <v>1070</v>
      </c>
      <c r="T28" s="1082"/>
      <c r="U28" s="1082"/>
      <c r="V28" s="1082"/>
      <c r="W28" s="1082"/>
      <c r="X28" s="1082"/>
      <c r="Y28" s="1082"/>
      <c r="Z28" s="1081">
        <f t="shared" si="8"/>
        <v>1070</v>
      </c>
      <c r="AA28" s="1081">
        <v>1000</v>
      </c>
      <c r="AB28" s="1081"/>
      <c r="AC28" s="1083">
        <v>1000</v>
      </c>
      <c r="AD28" s="1081">
        <f t="shared" si="9"/>
        <v>12840</v>
      </c>
      <c r="AE28" s="316">
        <f t="shared" si="10"/>
        <v>12840</v>
      </c>
      <c r="AF28" s="776">
        <f t="shared" si="1"/>
        <v>0</v>
      </c>
      <c r="AG28" s="1017">
        <f t="shared" si="2"/>
        <v>443</v>
      </c>
      <c r="AH28" s="776">
        <v>1</v>
      </c>
      <c r="AI28" s="1017">
        <v>12840</v>
      </c>
    </row>
    <row r="29" spans="1:35">
      <c r="A29" s="1080" t="s">
        <v>16</v>
      </c>
      <c r="B29" s="319">
        <v>2</v>
      </c>
      <c r="C29" s="1081">
        <v>642</v>
      </c>
      <c r="D29" s="1081">
        <v>950</v>
      </c>
      <c r="E29" s="1082"/>
      <c r="F29" s="1082"/>
      <c r="G29" s="1082"/>
      <c r="H29" s="1082"/>
      <c r="I29" s="1082"/>
      <c r="J29" s="1082"/>
      <c r="K29" s="1081">
        <v>1592</v>
      </c>
      <c r="L29" s="1081">
        <v>1000</v>
      </c>
      <c r="M29" s="1081"/>
      <c r="N29" s="1083">
        <v>1000</v>
      </c>
      <c r="O29" s="1081">
        <v>20104</v>
      </c>
      <c r="P29" s="316">
        <v>40208</v>
      </c>
      <c r="Q29" s="319">
        <v>2</v>
      </c>
      <c r="R29" s="1081">
        <v>523</v>
      </c>
      <c r="S29" s="1081">
        <v>1070</v>
      </c>
      <c r="T29" s="1082"/>
      <c r="U29" s="1082"/>
      <c r="V29" s="1082"/>
      <c r="W29" s="1082"/>
      <c r="X29" s="1082"/>
      <c r="Y29" s="1082"/>
      <c r="Z29" s="1081">
        <f t="shared" si="8"/>
        <v>1593</v>
      </c>
      <c r="AA29" s="1081">
        <v>1000</v>
      </c>
      <c r="AB29" s="1081"/>
      <c r="AC29" s="1083">
        <v>1000</v>
      </c>
      <c r="AD29" s="1081">
        <f t="shared" si="9"/>
        <v>19116</v>
      </c>
      <c r="AE29" s="316">
        <f t="shared" si="10"/>
        <v>38232</v>
      </c>
      <c r="AF29" s="776">
        <f t="shared" si="1"/>
        <v>0</v>
      </c>
      <c r="AG29" s="1017">
        <f t="shared" si="2"/>
        <v>-1</v>
      </c>
      <c r="AH29" s="776">
        <v>2</v>
      </c>
      <c r="AI29" s="1017">
        <v>34413</v>
      </c>
    </row>
    <row r="30" spans="1:35">
      <c r="A30" s="1080" t="s">
        <v>6970</v>
      </c>
      <c r="B30" s="319">
        <v>1</v>
      </c>
      <c r="C30" s="1081">
        <v>594</v>
      </c>
      <c r="D30" s="1081">
        <v>950</v>
      </c>
      <c r="E30" s="1082"/>
      <c r="F30" s="1082"/>
      <c r="G30" s="1082"/>
      <c r="H30" s="1082"/>
      <c r="I30" s="1082"/>
      <c r="J30" s="1082"/>
      <c r="K30" s="1081">
        <v>1544</v>
      </c>
      <c r="L30" s="1081">
        <v>1000</v>
      </c>
      <c r="M30" s="1081"/>
      <c r="N30" s="1083">
        <v>1000</v>
      </c>
      <c r="O30" s="1081">
        <v>19528</v>
      </c>
      <c r="P30" s="316">
        <v>19528</v>
      </c>
      <c r="Q30" s="319">
        <v>1</v>
      </c>
      <c r="R30" s="1081">
        <v>516</v>
      </c>
      <c r="S30" s="1081">
        <v>1070</v>
      </c>
      <c r="T30" s="1082"/>
      <c r="U30" s="1082"/>
      <c r="V30" s="1082"/>
      <c r="W30" s="1082"/>
      <c r="X30" s="1082"/>
      <c r="Y30" s="1082"/>
      <c r="Z30" s="1081">
        <f t="shared" si="8"/>
        <v>1586</v>
      </c>
      <c r="AA30" s="1081">
        <v>1000</v>
      </c>
      <c r="AB30" s="1081"/>
      <c r="AC30" s="1083">
        <v>1000</v>
      </c>
      <c r="AD30" s="1081">
        <f t="shared" si="9"/>
        <v>19032</v>
      </c>
      <c r="AE30" s="316">
        <f t="shared" si="10"/>
        <v>19032</v>
      </c>
      <c r="AF30" s="776">
        <f t="shared" si="1"/>
        <v>0</v>
      </c>
      <c r="AG30" s="1017">
        <f t="shared" si="2"/>
        <v>-42</v>
      </c>
      <c r="AH30" s="776">
        <v>1</v>
      </c>
      <c r="AI30" s="1017">
        <v>20963</v>
      </c>
    </row>
    <row r="31" spans="1:35">
      <c r="A31" s="1075" t="s">
        <v>7172</v>
      </c>
      <c r="B31" s="1076">
        <f t="shared" ref="B31:AE31" si="11">SUM(B32:B36)</f>
        <v>4</v>
      </c>
      <c r="C31" s="1077">
        <f t="shared" si="11"/>
        <v>1928</v>
      </c>
      <c r="D31" s="1077">
        <f t="shared" si="11"/>
        <v>2850</v>
      </c>
      <c r="E31" s="1077">
        <f t="shared" si="11"/>
        <v>0</v>
      </c>
      <c r="F31" s="1077">
        <f t="shared" si="11"/>
        <v>0</v>
      </c>
      <c r="G31" s="1077">
        <f t="shared" si="11"/>
        <v>0</v>
      </c>
      <c r="H31" s="1077">
        <f t="shared" si="11"/>
        <v>0</v>
      </c>
      <c r="I31" s="1077">
        <f t="shared" si="11"/>
        <v>0</v>
      </c>
      <c r="J31" s="1077">
        <f t="shared" si="11"/>
        <v>0</v>
      </c>
      <c r="K31" s="1077">
        <f t="shared" si="11"/>
        <v>4778</v>
      </c>
      <c r="L31" s="1077">
        <f t="shared" si="11"/>
        <v>3000</v>
      </c>
      <c r="M31" s="1077">
        <f t="shared" si="11"/>
        <v>0</v>
      </c>
      <c r="N31" s="1078">
        <f t="shared" si="11"/>
        <v>3000</v>
      </c>
      <c r="O31" s="1077">
        <f t="shared" si="11"/>
        <v>60336</v>
      </c>
      <c r="P31" s="1077">
        <f t="shared" si="11"/>
        <v>79696</v>
      </c>
      <c r="Q31" s="1076">
        <f t="shared" si="11"/>
        <v>4</v>
      </c>
      <c r="R31" s="1077">
        <f t="shared" si="11"/>
        <v>1531</v>
      </c>
      <c r="S31" s="1077">
        <f t="shared" si="11"/>
        <v>3210</v>
      </c>
      <c r="T31" s="1077">
        <f t="shared" si="11"/>
        <v>0</v>
      </c>
      <c r="U31" s="1077">
        <f t="shared" si="11"/>
        <v>0</v>
      </c>
      <c r="V31" s="1077">
        <f t="shared" si="11"/>
        <v>0</v>
      </c>
      <c r="W31" s="1077">
        <f t="shared" si="11"/>
        <v>0</v>
      </c>
      <c r="X31" s="1077">
        <f t="shared" si="11"/>
        <v>0</v>
      </c>
      <c r="Y31" s="1077">
        <f t="shared" si="11"/>
        <v>0</v>
      </c>
      <c r="Z31" s="1077">
        <f t="shared" si="11"/>
        <v>4741</v>
      </c>
      <c r="AA31" s="1077">
        <f t="shared" si="11"/>
        <v>3000</v>
      </c>
      <c r="AB31" s="1077">
        <f t="shared" si="11"/>
        <v>0</v>
      </c>
      <c r="AC31" s="1078">
        <f t="shared" si="11"/>
        <v>3000</v>
      </c>
      <c r="AD31" s="1077">
        <f t="shared" si="11"/>
        <v>56892</v>
      </c>
      <c r="AE31" s="1077">
        <f t="shared" si="11"/>
        <v>75804</v>
      </c>
      <c r="AF31" s="865">
        <f t="shared" si="1"/>
        <v>0</v>
      </c>
      <c r="AG31" s="1079">
        <f t="shared" si="2"/>
        <v>37</v>
      </c>
      <c r="AH31" s="865">
        <f>SUM(AH32:AH36)</f>
        <v>4</v>
      </c>
      <c r="AI31" s="1079">
        <f>SUM(AI32:AI36)</f>
        <v>77616</v>
      </c>
    </row>
    <row r="32" spans="1:35">
      <c r="A32" s="1080" t="s">
        <v>17</v>
      </c>
      <c r="B32" s="319">
        <v>1</v>
      </c>
      <c r="C32" s="1081">
        <v>674</v>
      </c>
      <c r="D32" s="1081">
        <v>950</v>
      </c>
      <c r="E32" s="1082"/>
      <c r="F32" s="1082"/>
      <c r="G32" s="1082"/>
      <c r="H32" s="1082"/>
      <c r="I32" s="1082"/>
      <c r="J32" s="1082"/>
      <c r="K32" s="1081">
        <v>1624</v>
      </c>
      <c r="L32" s="1081">
        <v>1000</v>
      </c>
      <c r="M32" s="1081"/>
      <c r="N32" s="1083">
        <v>1000</v>
      </c>
      <c r="O32" s="1081">
        <v>20488</v>
      </c>
      <c r="P32" s="316">
        <v>20488</v>
      </c>
      <c r="Q32" s="319">
        <v>1</v>
      </c>
      <c r="R32" s="1081">
        <v>514</v>
      </c>
      <c r="S32" s="1081">
        <v>1070</v>
      </c>
      <c r="T32" s="1082"/>
      <c r="U32" s="1082"/>
      <c r="V32" s="1082"/>
      <c r="W32" s="1082"/>
      <c r="X32" s="1082"/>
      <c r="Y32" s="1082"/>
      <c r="Z32" s="1081">
        <f>+R32+S32</f>
        <v>1584</v>
      </c>
      <c r="AA32" s="1081">
        <v>1000</v>
      </c>
      <c r="AB32" s="1081"/>
      <c r="AC32" s="1083">
        <v>1000</v>
      </c>
      <c r="AD32" s="1081">
        <f>+(Z32*12)</f>
        <v>19008</v>
      </c>
      <c r="AE32" s="316">
        <f>+Q32*AD32</f>
        <v>19008</v>
      </c>
      <c r="AF32" s="776">
        <f t="shared" si="1"/>
        <v>0</v>
      </c>
      <c r="AG32" s="1017">
        <f t="shared" si="2"/>
        <v>40</v>
      </c>
      <c r="AH32" s="776">
        <v>1</v>
      </c>
      <c r="AI32" s="1017">
        <v>21929</v>
      </c>
    </row>
    <row r="33" spans="1:35">
      <c r="A33" s="1080" t="s">
        <v>6969</v>
      </c>
      <c r="B33" s="319">
        <v>1</v>
      </c>
      <c r="C33" s="1081">
        <v>674</v>
      </c>
      <c r="D33" s="1081">
        <v>950</v>
      </c>
      <c r="E33" s="1082"/>
      <c r="F33" s="1082"/>
      <c r="G33" s="1082"/>
      <c r="H33" s="1082"/>
      <c r="I33" s="1082"/>
      <c r="J33" s="1082"/>
      <c r="K33" s="1081">
        <v>1624</v>
      </c>
      <c r="L33" s="1081">
        <v>1000</v>
      </c>
      <c r="M33" s="1081"/>
      <c r="N33" s="1083">
        <v>1000</v>
      </c>
      <c r="O33" s="1081">
        <v>20488</v>
      </c>
      <c r="P33" s="316">
        <v>20488</v>
      </c>
      <c r="Q33" s="319">
        <v>1</v>
      </c>
      <c r="R33" s="1081">
        <v>511</v>
      </c>
      <c r="S33" s="1081">
        <v>1070</v>
      </c>
      <c r="T33" s="1082"/>
      <c r="U33" s="1082"/>
      <c r="V33" s="1082"/>
      <c r="W33" s="1082"/>
      <c r="X33" s="1082"/>
      <c r="Y33" s="1082"/>
      <c r="Z33" s="1081">
        <f>+R33+S33</f>
        <v>1581</v>
      </c>
      <c r="AA33" s="1081">
        <v>1000</v>
      </c>
      <c r="AB33" s="1081"/>
      <c r="AC33" s="1083">
        <v>1000</v>
      </c>
      <c r="AD33" s="1081">
        <f>+(Z33*12)</f>
        <v>18972</v>
      </c>
      <c r="AE33" s="316">
        <f>+Q33*AD33</f>
        <v>18972</v>
      </c>
      <c r="AF33" s="776">
        <f t="shared" si="1"/>
        <v>0</v>
      </c>
      <c r="AG33" s="1017">
        <f t="shared" si="2"/>
        <v>43</v>
      </c>
      <c r="AH33" s="776">
        <v>1</v>
      </c>
      <c r="AI33" s="1017">
        <v>21848</v>
      </c>
    </row>
    <row r="34" spans="1:35" hidden="1">
      <c r="A34" s="1080" t="s">
        <v>6968</v>
      </c>
      <c r="B34" s="319"/>
      <c r="C34" s="1081"/>
      <c r="D34" s="1081"/>
      <c r="E34" s="1082"/>
      <c r="F34" s="1082"/>
      <c r="G34" s="1082"/>
      <c r="H34" s="1082"/>
      <c r="I34" s="1082"/>
      <c r="J34" s="1082"/>
      <c r="K34" s="1081">
        <v>0</v>
      </c>
      <c r="L34" s="1081"/>
      <c r="M34" s="1081"/>
      <c r="N34" s="1083"/>
      <c r="O34" s="1081"/>
      <c r="P34" s="316"/>
      <c r="Q34" s="319"/>
      <c r="R34" s="1081"/>
      <c r="S34" s="1081"/>
      <c r="T34" s="1082"/>
      <c r="U34" s="1082"/>
      <c r="V34" s="1082"/>
      <c r="W34" s="1082"/>
      <c r="X34" s="1082"/>
      <c r="Y34" s="1082"/>
      <c r="Z34" s="1081">
        <f>+R34+S34</f>
        <v>0</v>
      </c>
      <c r="AA34" s="1081"/>
      <c r="AB34" s="1081"/>
      <c r="AC34" s="1083"/>
      <c r="AD34" s="1081"/>
      <c r="AE34" s="316"/>
      <c r="AF34" s="776"/>
      <c r="AG34" s="777"/>
      <c r="AH34" s="776"/>
      <c r="AI34" s="1017"/>
    </row>
    <row r="35" spans="1:35" hidden="1">
      <c r="A35" s="1080" t="s">
        <v>6967</v>
      </c>
      <c r="B35" s="319"/>
      <c r="C35" s="1081"/>
      <c r="D35" s="1081"/>
      <c r="E35" s="1082"/>
      <c r="F35" s="1082"/>
      <c r="G35" s="1082"/>
      <c r="H35" s="1082"/>
      <c r="I35" s="1082"/>
      <c r="J35" s="1082"/>
      <c r="K35" s="1081">
        <v>0</v>
      </c>
      <c r="L35" s="1081"/>
      <c r="M35" s="1081"/>
      <c r="N35" s="1083"/>
      <c r="O35" s="1081"/>
      <c r="P35" s="316"/>
      <c r="Q35" s="319"/>
      <c r="R35" s="1081"/>
      <c r="S35" s="1081"/>
      <c r="T35" s="1082"/>
      <c r="U35" s="1082"/>
      <c r="V35" s="1082"/>
      <c r="W35" s="1082"/>
      <c r="X35" s="1082"/>
      <c r="Y35" s="1082"/>
      <c r="Z35" s="1081">
        <f>+R35+S35</f>
        <v>0</v>
      </c>
      <c r="AA35" s="1081"/>
      <c r="AB35" s="1081"/>
      <c r="AC35" s="1083"/>
      <c r="AD35" s="1081"/>
      <c r="AE35" s="316"/>
      <c r="AF35" s="776"/>
      <c r="AG35" s="777"/>
      <c r="AH35" s="776"/>
      <c r="AI35" s="1017"/>
    </row>
    <row r="36" spans="1:35" ht="12.75" thickBot="1">
      <c r="A36" s="1080" t="s">
        <v>18</v>
      </c>
      <c r="B36" s="319">
        <v>2</v>
      </c>
      <c r="C36" s="1081">
        <v>580</v>
      </c>
      <c r="D36" s="1081">
        <v>950</v>
      </c>
      <c r="E36" s="1082"/>
      <c r="F36" s="1082"/>
      <c r="G36" s="1082"/>
      <c r="H36" s="1082"/>
      <c r="I36" s="1082"/>
      <c r="J36" s="1082"/>
      <c r="K36" s="1081">
        <v>1530</v>
      </c>
      <c r="L36" s="1081">
        <v>1000</v>
      </c>
      <c r="M36" s="1081"/>
      <c r="N36" s="1083">
        <v>1000</v>
      </c>
      <c r="O36" s="1081">
        <v>19360</v>
      </c>
      <c r="P36" s="316">
        <v>38720</v>
      </c>
      <c r="Q36" s="319">
        <v>2</v>
      </c>
      <c r="R36" s="1081">
        <v>506</v>
      </c>
      <c r="S36" s="1081">
        <v>1070</v>
      </c>
      <c r="T36" s="1082"/>
      <c r="U36" s="1082"/>
      <c r="V36" s="1082"/>
      <c r="W36" s="1082"/>
      <c r="X36" s="1082"/>
      <c r="Y36" s="1082"/>
      <c r="Z36" s="1081">
        <f>+R36+S36</f>
        <v>1576</v>
      </c>
      <c r="AA36" s="1081">
        <v>1000</v>
      </c>
      <c r="AB36" s="1081"/>
      <c r="AC36" s="1083">
        <v>1000</v>
      </c>
      <c r="AD36" s="1081">
        <f>+(Z36*12)</f>
        <v>18912</v>
      </c>
      <c r="AE36" s="316">
        <f>+Q36*AD36</f>
        <v>37824</v>
      </c>
      <c r="AF36" s="776">
        <f>+B36-Q36</f>
        <v>0</v>
      </c>
      <c r="AG36" s="1017">
        <f>+K36-Z36</f>
        <v>-46</v>
      </c>
      <c r="AH36" s="776">
        <v>2</v>
      </c>
      <c r="AI36" s="1017">
        <v>33839</v>
      </c>
    </row>
    <row r="37" spans="1:35" ht="12.75" thickBot="1">
      <c r="A37" s="1084" t="s">
        <v>0</v>
      </c>
      <c r="B37" s="1085">
        <f>+B10+B17+B24+B31</f>
        <v>95</v>
      </c>
      <c r="C37" s="1086">
        <f>+C10+C17+C24+C31</f>
        <v>13619</v>
      </c>
      <c r="D37" s="1086">
        <f>+D10+D17+D24+D31</f>
        <v>18750</v>
      </c>
      <c r="E37" s="1087"/>
      <c r="F37" s="1087"/>
      <c r="G37" s="1087"/>
      <c r="H37" s="1087"/>
      <c r="I37" s="1087"/>
      <c r="J37" s="1087"/>
      <c r="K37" s="1086">
        <f t="shared" ref="K37:Q37" si="12">+K10+K17+K24+K31</f>
        <v>32369</v>
      </c>
      <c r="L37" s="1086">
        <f t="shared" si="12"/>
        <v>18000</v>
      </c>
      <c r="M37" s="1086">
        <f t="shared" si="12"/>
        <v>0</v>
      </c>
      <c r="N37" s="1088">
        <f t="shared" si="12"/>
        <v>18000</v>
      </c>
      <c r="O37" s="1086">
        <f t="shared" si="12"/>
        <v>406428</v>
      </c>
      <c r="P37" s="1086">
        <f t="shared" si="12"/>
        <v>2062012</v>
      </c>
      <c r="Q37" s="1085">
        <f t="shared" si="12"/>
        <v>89</v>
      </c>
      <c r="R37" s="1086">
        <f t="shared" ref="R37:AD37" si="13">+R10+R17+R24+R31+R36</f>
        <v>10492</v>
      </c>
      <c r="S37" s="1086">
        <f t="shared" si="13"/>
        <v>20990</v>
      </c>
      <c r="T37" s="1086">
        <f t="shared" si="13"/>
        <v>0</v>
      </c>
      <c r="U37" s="1086">
        <f t="shared" si="13"/>
        <v>0</v>
      </c>
      <c r="V37" s="1086">
        <f t="shared" si="13"/>
        <v>0</v>
      </c>
      <c r="W37" s="1086">
        <f t="shared" si="13"/>
        <v>0</v>
      </c>
      <c r="X37" s="1086">
        <f t="shared" si="13"/>
        <v>0</v>
      </c>
      <c r="Y37" s="1086">
        <f t="shared" si="13"/>
        <v>0</v>
      </c>
      <c r="Z37" s="1086">
        <f t="shared" si="13"/>
        <v>31482</v>
      </c>
      <c r="AA37" s="1086">
        <f t="shared" si="13"/>
        <v>19000</v>
      </c>
      <c r="AB37" s="1086">
        <f t="shared" si="13"/>
        <v>0</v>
      </c>
      <c r="AC37" s="1088">
        <f t="shared" si="13"/>
        <v>19000</v>
      </c>
      <c r="AD37" s="1086">
        <f t="shared" si="13"/>
        <v>377784</v>
      </c>
      <c r="AE37" s="1086">
        <f>+AE10+AE17+AE24+AE31</f>
        <v>1819656</v>
      </c>
      <c r="AF37" s="1089">
        <f>+B37-Q37</f>
        <v>6</v>
      </c>
      <c r="AG37" s="1086">
        <f>+AG10+AG17+AG24+AG31</f>
        <v>2463</v>
      </c>
      <c r="AH37" s="1090">
        <f>+AH10+AH17+AH24+AH31</f>
        <v>85</v>
      </c>
      <c r="AI37" s="1091">
        <f>+AI10+AI17+AI24+AI31</f>
        <v>1743828</v>
      </c>
    </row>
    <row r="38" spans="1:35">
      <c r="A38" s="445" t="s">
        <v>64</v>
      </c>
    </row>
    <row r="39" spans="1:35">
      <c r="A39" s="445" t="s">
        <v>65</v>
      </c>
      <c r="B39" s="265" t="s">
        <v>152</v>
      </c>
    </row>
    <row r="40" spans="1:35" ht="24">
      <c r="A40" s="445" t="s">
        <v>66</v>
      </c>
      <c r="B40" s="265" t="s">
        <v>67</v>
      </c>
    </row>
    <row r="41" spans="1:35">
      <c r="A41" s="445" t="s">
        <v>68</v>
      </c>
      <c r="B41" s="265" t="s">
        <v>69</v>
      </c>
    </row>
    <row r="42" spans="1:35">
      <c r="A42" s="445" t="s">
        <v>70</v>
      </c>
      <c r="B42" s="265" t="s">
        <v>71</v>
      </c>
    </row>
    <row r="43" spans="1:35">
      <c r="A43" s="445"/>
      <c r="B43" s="265" t="s">
        <v>72</v>
      </c>
    </row>
    <row r="44" spans="1:35" ht="48">
      <c r="A44" s="445" t="s">
        <v>73</v>
      </c>
      <c r="B44" s="265" t="s">
        <v>143</v>
      </c>
    </row>
    <row r="45" spans="1:35">
      <c r="A45" s="445"/>
      <c r="B45" s="265" t="s">
        <v>74</v>
      </c>
    </row>
    <row r="46" spans="1:35">
      <c r="A46" s="445"/>
      <c r="B46" s="265" t="s">
        <v>75</v>
      </c>
    </row>
    <row r="47" spans="1:35">
      <c r="A47" s="445"/>
      <c r="B47" s="265" t="s">
        <v>76</v>
      </c>
    </row>
    <row r="48" spans="1:35">
      <c r="A48" s="445" t="s">
        <v>177</v>
      </c>
      <c r="B48" s="265" t="s">
        <v>178</v>
      </c>
    </row>
    <row r="49" spans="1:2" ht="48">
      <c r="A49" s="445" t="s">
        <v>179</v>
      </c>
      <c r="B49" s="265" t="s">
        <v>148</v>
      </c>
    </row>
    <row r="50" spans="1:2" ht="48">
      <c r="A50" s="445" t="s">
        <v>180</v>
      </c>
      <c r="B50" s="265" t="s">
        <v>144</v>
      </c>
    </row>
    <row r="51" spans="1:2">
      <c r="B51" s="265" t="s">
        <v>74</v>
      </c>
    </row>
    <row r="52" spans="1:2">
      <c r="B52" s="265" t="s">
        <v>75</v>
      </c>
    </row>
    <row r="53" spans="1:2">
      <c r="B53" s="265" t="s">
        <v>112</v>
      </c>
    </row>
    <row r="54" spans="1:2">
      <c r="A54" s="265" t="s">
        <v>189</v>
      </c>
      <c r="B54" s="265" t="s">
        <v>190</v>
      </c>
    </row>
    <row r="55" spans="1:2">
      <c r="A55" s="265" t="s">
        <v>187</v>
      </c>
      <c r="B55" s="265" t="s">
        <v>183</v>
      </c>
    </row>
    <row r="56" spans="1:2">
      <c r="A56" s="265" t="s">
        <v>188</v>
      </c>
      <c r="B56" s="265" t="s">
        <v>191</v>
      </c>
    </row>
  </sheetData>
  <mergeCells count="5">
    <mergeCell ref="A5:A7"/>
    <mergeCell ref="B5:P5"/>
    <mergeCell ref="Q5:AE5"/>
    <mergeCell ref="AF5:AG5"/>
    <mergeCell ref="AH5:AI5"/>
  </mergeCells>
  <printOptions horizontalCentered="1"/>
  <pageMargins left="0.19685039370078741" right="0.19685039370078741" top="0.78740157480314965" bottom="0.78740157480314965" header="0.19685039370078741" footer="0.19685039370078741"/>
  <pageSetup paperSize="9" scale="59" fitToHeight="1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27">
    <tabColor rgb="FF002060"/>
  </sheetPr>
  <dimension ref="A1:U105"/>
  <sheetViews>
    <sheetView view="pageBreakPreview" topLeftCell="A71" zoomScaleNormal="100" zoomScaleSheetLayoutView="100" workbookViewId="0">
      <selection activeCell="B8" sqref="B8"/>
    </sheetView>
  </sheetViews>
  <sheetFormatPr baseColWidth="10" defaultRowHeight="12"/>
  <cols>
    <col min="1" max="1" width="41.42578125" style="265" customWidth="1"/>
    <col min="2" max="4" width="12.28515625" style="413" bestFit="1" customWidth="1"/>
    <col min="5" max="5" width="10.85546875" style="413" bestFit="1" customWidth="1"/>
    <col min="6" max="6" width="12.28515625" style="413" bestFit="1" customWidth="1"/>
    <col min="7" max="7" width="11.42578125" style="413" bestFit="1" customWidth="1"/>
    <col min="8" max="8" width="10.42578125" style="413" customWidth="1"/>
    <col min="9" max="9" width="12.28515625" style="413" customWidth="1"/>
    <col min="10" max="10" width="10.42578125" style="413" customWidth="1"/>
    <col min="11" max="16384" width="11.42578125" style="265"/>
  </cols>
  <sheetData>
    <row r="1" spans="1:21" s="275" customFormat="1">
      <c r="A1" s="69" t="s">
        <v>466</v>
      </c>
      <c r="B1" s="406"/>
      <c r="C1" s="406"/>
      <c r="D1" s="406"/>
      <c r="E1" s="406"/>
      <c r="F1" s="406"/>
      <c r="G1" s="406"/>
      <c r="H1" s="406"/>
      <c r="I1" s="406"/>
      <c r="J1" s="411"/>
    </row>
    <row r="2" spans="1:21" s="264" customFormat="1">
      <c r="A2" s="69" t="s">
        <v>382</v>
      </c>
      <c r="B2" s="406"/>
      <c r="C2" s="406"/>
      <c r="D2" s="406"/>
      <c r="E2" s="406"/>
      <c r="F2" s="406"/>
      <c r="G2" s="406"/>
      <c r="H2" s="406"/>
      <c r="I2" s="406"/>
      <c r="J2" s="406"/>
      <c r="K2" s="69"/>
      <c r="L2" s="69"/>
      <c r="M2" s="69"/>
      <c r="N2" s="69"/>
      <c r="O2" s="69"/>
      <c r="P2" s="69"/>
      <c r="Q2" s="69"/>
      <c r="R2" s="69"/>
      <c r="S2" s="69"/>
      <c r="T2" s="69"/>
      <c r="U2" s="69"/>
    </row>
    <row r="3" spans="1:21" ht="12.75" thickBot="1">
      <c r="A3" s="412"/>
      <c r="B3" s="407"/>
      <c r="E3" s="407"/>
    </row>
    <row r="4" spans="1:21" ht="12.75" customHeight="1" thickBot="1">
      <c r="A4" s="2029" t="s">
        <v>29</v>
      </c>
      <c r="B4" s="2037" t="s">
        <v>481</v>
      </c>
      <c r="C4" s="2040" t="s">
        <v>480</v>
      </c>
      <c r="D4" s="2037" t="s">
        <v>482</v>
      </c>
      <c r="E4" s="2040" t="s">
        <v>467</v>
      </c>
      <c r="F4" s="2037" t="s">
        <v>487</v>
      </c>
      <c r="G4" s="2031" t="s">
        <v>486</v>
      </c>
      <c r="H4" s="2034" t="s">
        <v>485</v>
      </c>
      <c r="I4" s="2031" t="s">
        <v>484</v>
      </c>
      <c r="J4" s="2037" t="s">
        <v>483</v>
      </c>
    </row>
    <row r="5" spans="1:21" ht="12.75" customHeight="1" thickBot="1">
      <c r="A5" s="2029"/>
      <c r="B5" s="2038"/>
      <c r="C5" s="2041"/>
      <c r="D5" s="2038"/>
      <c r="E5" s="2041"/>
      <c r="F5" s="2038"/>
      <c r="G5" s="2032"/>
      <c r="H5" s="2035"/>
      <c r="I5" s="2032"/>
      <c r="J5" s="2038"/>
    </row>
    <row r="6" spans="1:21" ht="12.75" thickBot="1">
      <c r="A6" s="2030"/>
      <c r="B6" s="2039"/>
      <c r="C6" s="2042"/>
      <c r="D6" s="2039"/>
      <c r="E6" s="2042"/>
      <c r="F6" s="2039"/>
      <c r="G6" s="2033"/>
      <c r="H6" s="2036"/>
      <c r="I6" s="2033"/>
      <c r="J6" s="2039"/>
    </row>
    <row r="7" spans="1:21" ht="13.5" thickBot="1">
      <c r="A7" s="261" t="s">
        <v>372</v>
      </c>
      <c r="B7" s="408"/>
      <c r="C7" s="408"/>
      <c r="D7" s="408"/>
      <c r="E7" s="408"/>
      <c r="F7" s="408"/>
      <c r="G7" s="408"/>
      <c r="H7" s="408"/>
      <c r="I7" s="408"/>
      <c r="J7" s="414"/>
    </row>
    <row r="8" spans="1:21">
      <c r="A8" s="260" t="s">
        <v>398</v>
      </c>
      <c r="B8" s="415">
        <v>245225655</v>
      </c>
      <c r="C8" s="416">
        <v>248082406</v>
      </c>
      <c r="D8" s="417">
        <v>198487798</v>
      </c>
      <c r="E8" s="415">
        <v>110910458.88000001</v>
      </c>
      <c r="F8" s="418">
        <v>199635207</v>
      </c>
      <c r="G8" s="419">
        <f>IFERROR(SUM(D8-B8)," ")</f>
        <v>-46737857</v>
      </c>
      <c r="H8" s="420">
        <f>IFERROR((D8/B8-1)," ")</f>
        <v>-0.19059122097155778</v>
      </c>
      <c r="I8" s="421">
        <f>IFERROR(SUM(F8-D8)," ")</f>
        <v>1147409</v>
      </c>
      <c r="J8" s="420">
        <f>IFERROR((F8/D8)," ")</f>
        <v>1.0057807533337642</v>
      </c>
    </row>
    <row r="9" spans="1:21">
      <c r="A9" s="260" t="s">
        <v>399</v>
      </c>
      <c r="B9" s="415">
        <v>24582517</v>
      </c>
      <c r="C9" s="416">
        <v>25961537</v>
      </c>
      <c r="D9" s="417">
        <v>31590838</v>
      </c>
      <c r="E9" s="415">
        <v>20525650.139999997</v>
      </c>
      <c r="F9" s="418">
        <v>25786174</v>
      </c>
      <c r="G9" s="422">
        <f t="shared" ref="G9:G28" si="0">IFERROR(SUM(D9-B9)," ")</f>
        <v>7008321</v>
      </c>
      <c r="H9" s="423">
        <f t="shared" ref="H9:H29" si="1">IFERROR((D9/B9-1)," ")</f>
        <v>0.28509371111184434</v>
      </c>
      <c r="I9" s="424">
        <f t="shared" ref="I9:I28" si="2">IFERROR(SUM(F9-D9)," ")</f>
        <v>-5804664</v>
      </c>
      <c r="J9" s="423">
        <f t="shared" ref="J9:J29" si="3">IFERROR((F9/D9)," ")</f>
        <v>0.81625482679503469</v>
      </c>
    </row>
    <row r="10" spans="1:21" ht="24">
      <c r="A10" s="260" t="s">
        <v>400</v>
      </c>
      <c r="B10" s="415">
        <v>149271918</v>
      </c>
      <c r="C10" s="416">
        <v>210485223</v>
      </c>
      <c r="D10" s="417">
        <v>155944191</v>
      </c>
      <c r="E10" s="415">
        <v>45998047.589999996</v>
      </c>
      <c r="F10" s="418">
        <v>150788071</v>
      </c>
      <c r="G10" s="422">
        <f t="shared" si="0"/>
        <v>6672273</v>
      </c>
      <c r="H10" s="423">
        <f t="shared" si="1"/>
        <v>4.4698782526529923E-2</v>
      </c>
      <c r="I10" s="424">
        <f t="shared" si="2"/>
        <v>-5156120</v>
      </c>
      <c r="J10" s="423">
        <f t="shared" si="3"/>
        <v>0.96693612011491981</v>
      </c>
    </row>
    <row r="11" spans="1:21">
      <c r="A11" s="260" t="s">
        <v>401</v>
      </c>
      <c r="B11" s="415">
        <v>25973759</v>
      </c>
      <c r="C11" s="416">
        <v>18846757</v>
      </c>
      <c r="D11" s="417">
        <v>26594753</v>
      </c>
      <c r="E11" s="415">
        <v>4683853.2699999996</v>
      </c>
      <c r="F11" s="418">
        <v>14330593</v>
      </c>
      <c r="G11" s="422">
        <f t="shared" si="0"/>
        <v>620994</v>
      </c>
      <c r="H11" s="423">
        <f t="shared" si="1"/>
        <v>2.3908514743668841E-2</v>
      </c>
      <c r="I11" s="424">
        <f t="shared" si="2"/>
        <v>-12264160</v>
      </c>
      <c r="J11" s="423">
        <f t="shared" si="3"/>
        <v>0.5388503890222256</v>
      </c>
    </row>
    <row r="12" spans="1:21">
      <c r="A12" s="260" t="s">
        <v>402</v>
      </c>
      <c r="B12" s="415">
        <v>105891763</v>
      </c>
      <c r="C12" s="416">
        <v>103978367</v>
      </c>
      <c r="D12" s="417">
        <v>107053257</v>
      </c>
      <c r="E12" s="415">
        <v>48051270.340000004</v>
      </c>
      <c r="F12" s="418">
        <v>97458163</v>
      </c>
      <c r="G12" s="422">
        <f t="shared" si="0"/>
        <v>1161494</v>
      </c>
      <c r="H12" s="423">
        <f t="shared" si="1"/>
        <v>1.0968690737541031E-2</v>
      </c>
      <c r="I12" s="424">
        <f t="shared" si="2"/>
        <v>-9595094</v>
      </c>
      <c r="J12" s="423">
        <f t="shared" si="3"/>
        <v>0.91037083533105401</v>
      </c>
    </row>
    <row r="13" spans="1:21">
      <c r="A13" s="260" t="s">
        <v>403</v>
      </c>
      <c r="B13" s="415">
        <v>726496</v>
      </c>
      <c r="C13" s="416">
        <v>817081</v>
      </c>
      <c r="D13" s="417">
        <v>3695354</v>
      </c>
      <c r="E13" s="415">
        <v>66246.42</v>
      </c>
      <c r="F13" s="418">
        <v>406020</v>
      </c>
      <c r="G13" s="422">
        <f t="shared" si="0"/>
        <v>2968858</v>
      </c>
      <c r="H13" s="423">
        <f t="shared" si="1"/>
        <v>4.0865441791833677</v>
      </c>
      <c r="I13" s="424">
        <f t="shared" si="2"/>
        <v>-3289334</v>
      </c>
      <c r="J13" s="423">
        <f t="shared" si="3"/>
        <v>0.10987310011435981</v>
      </c>
    </row>
    <row r="14" spans="1:21" ht="24">
      <c r="A14" s="260" t="s">
        <v>479</v>
      </c>
      <c r="B14" s="415"/>
      <c r="C14" s="416"/>
      <c r="D14" s="417"/>
      <c r="E14" s="415"/>
      <c r="F14" s="418">
        <v>214400</v>
      </c>
      <c r="G14" s="422">
        <f t="shared" ref="G14" si="4">IFERROR(SUM(D14-B14)," ")</f>
        <v>0</v>
      </c>
      <c r="H14" s="423" t="str">
        <f t="shared" ref="H14" si="5">IFERROR((D14/B14-1)," ")</f>
        <v xml:space="preserve"> </v>
      </c>
      <c r="I14" s="424">
        <f t="shared" ref="I14" si="6">IFERROR(SUM(F14-D14)," ")</f>
        <v>214400</v>
      </c>
      <c r="J14" s="423" t="str">
        <f t="shared" ref="J14" si="7">IFERROR((F14/D14)," ")</f>
        <v xml:space="preserve"> </v>
      </c>
    </row>
    <row r="15" spans="1:21">
      <c r="A15" s="260" t="s">
        <v>404</v>
      </c>
      <c r="B15" s="415">
        <v>60473965</v>
      </c>
      <c r="C15" s="416">
        <v>46475152</v>
      </c>
      <c r="D15" s="417">
        <v>66438474</v>
      </c>
      <c r="E15" s="415">
        <v>11745530.230000008</v>
      </c>
      <c r="F15" s="418">
        <v>50226280</v>
      </c>
      <c r="G15" s="422">
        <f t="shared" si="0"/>
        <v>5964509</v>
      </c>
      <c r="H15" s="423">
        <f t="shared" si="1"/>
        <v>9.8629368853191624E-2</v>
      </c>
      <c r="I15" s="424">
        <f t="shared" si="2"/>
        <v>-16212194</v>
      </c>
      <c r="J15" s="423">
        <f t="shared" si="3"/>
        <v>0.75598184268952351</v>
      </c>
    </row>
    <row r="16" spans="1:21">
      <c r="A16" s="260" t="s">
        <v>405</v>
      </c>
      <c r="B16" s="415">
        <v>3279411</v>
      </c>
      <c r="C16" s="416">
        <v>790998</v>
      </c>
      <c r="D16" s="417">
        <v>964391</v>
      </c>
      <c r="E16" s="415">
        <v>78151.600000000006</v>
      </c>
      <c r="F16" s="418">
        <v>311342</v>
      </c>
      <c r="G16" s="422">
        <f t="shared" si="0"/>
        <v>-2315020</v>
      </c>
      <c r="H16" s="423">
        <f t="shared" si="1"/>
        <v>-0.70592554577636046</v>
      </c>
      <c r="I16" s="424">
        <f t="shared" si="2"/>
        <v>-653049</v>
      </c>
      <c r="J16" s="423">
        <f t="shared" si="3"/>
        <v>0.32283793606535111</v>
      </c>
    </row>
    <row r="17" spans="1:10">
      <c r="A17" s="260" t="s">
        <v>406</v>
      </c>
      <c r="B17" s="415">
        <v>48192291</v>
      </c>
      <c r="C17" s="416">
        <v>35317873</v>
      </c>
      <c r="D17" s="417">
        <v>29747055</v>
      </c>
      <c r="E17" s="415">
        <v>4101088.34</v>
      </c>
      <c r="F17" s="418">
        <v>22420610</v>
      </c>
      <c r="G17" s="422">
        <f t="shared" si="0"/>
        <v>-18445236</v>
      </c>
      <c r="H17" s="423">
        <f t="shared" si="1"/>
        <v>-0.38274245978469879</v>
      </c>
      <c r="I17" s="424">
        <f t="shared" si="2"/>
        <v>-7326445</v>
      </c>
      <c r="J17" s="423">
        <f t="shared" si="3"/>
        <v>0.75370856039362555</v>
      </c>
    </row>
    <row r="18" spans="1:10">
      <c r="A18" s="260" t="s">
        <v>407</v>
      </c>
      <c r="B18" s="415">
        <v>37584185</v>
      </c>
      <c r="C18" s="416">
        <v>115039174</v>
      </c>
      <c r="D18" s="417">
        <v>59124490</v>
      </c>
      <c r="E18" s="415">
        <v>9798455.3800000008</v>
      </c>
      <c r="F18" s="418">
        <v>77186588</v>
      </c>
      <c r="G18" s="422">
        <f t="shared" si="0"/>
        <v>21540305</v>
      </c>
      <c r="H18" s="423">
        <f t="shared" si="1"/>
        <v>0.57312151374308096</v>
      </c>
      <c r="I18" s="424">
        <f t="shared" si="2"/>
        <v>18062098</v>
      </c>
      <c r="J18" s="423">
        <f t="shared" si="3"/>
        <v>1.30549266471474</v>
      </c>
    </row>
    <row r="19" spans="1:10" ht="24">
      <c r="A19" s="260" t="s">
        <v>408</v>
      </c>
      <c r="B19" s="415">
        <v>196982508</v>
      </c>
      <c r="C19" s="416">
        <v>224590067</v>
      </c>
      <c r="D19" s="417">
        <v>284929857</v>
      </c>
      <c r="E19" s="415">
        <v>15981699.880000003</v>
      </c>
      <c r="F19" s="418">
        <v>211115669</v>
      </c>
      <c r="G19" s="422">
        <f t="shared" si="0"/>
        <v>87947349</v>
      </c>
      <c r="H19" s="423">
        <f t="shared" si="1"/>
        <v>0.4464728868209964</v>
      </c>
      <c r="I19" s="424">
        <f t="shared" si="2"/>
        <v>-73814188</v>
      </c>
      <c r="J19" s="423">
        <f t="shared" si="3"/>
        <v>0.74093909014245563</v>
      </c>
    </row>
    <row r="20" spans="1:10" ht="24">
      <c r="A20" s="260" t="s">
        <v>409</v>
      </c>
      <c r="B20" s="415">
        <v>116645316</v>
      </c>
      <c r="C20" s="416">
        <v>72178014</v>
      </c>
      <c r="D20" s="417">
        <v>78643099</v>
      </c>
      <c r="E20" s="415">
        <v>19047116.169999998</v>
      </c>
      <c r="F20" s="418">
        <v>85626791</v>
      </c>
      <c r="G20" s="422">
        <f t="shared" si="0"/>
        <v>-38002217</v>
      </c>
      <c r="H20" s="423">
        <f t="shared" si="1"/>
        <v>-0.32579291053573034</v>
      </c>
      <c r="I20" s="424">
        <f t="shared" si="2"/>
        <v>6983692</v>
      </c>
      <c r="J20" s="423">
        <f t="shared" si="3"/>
        <v>1.0888023499684314</v>
      </c>
    </row>
    <row r="21" spans="1:10" ht="24">
      <c r="A21" s="260" t="s">
        <v>410</v>
      </c>
      <c r="B21" s="415">
        <v>90685903</v>
      </c>
      <c r="C21" s="416">
        <v>106006558</v>
      </c>
      <c r="D21" s="417">
        <v>96332151</v>
      </c>
      <c r="E21" s="415">
        <v>40393366.45000001</v>
      </c>
      <c r="F21" s="418">
        <v>97676811</v>
      </c>
      <c r="G21" s="422">
        <f t="shared" si="0"/>
        <v>5646248</v>
      </c>
      <c r="H21" s="423">
        <f t="shared" si="1"/>
        <v>6.2261584361132716E-2</v>
      </c>
      <c r="I21" s="424">
        <f t="shared" si="2"/>
        <v>1344660</v>
      </c>
      <c r="J21" s="423">
        <f t="shared" si="3"/>
        <v>1.0139585796231207</v>
      </c>
    </row>
    <row r="22" spans="1:10" ht="24">
      <c r="A22" s="260" t="s">
        <v>411</v>
      </c>
      <c r="B22" s="415">
        <v>13394076</v>
      </c>
      <c r="C22" s="416">
        <v>14127587</v>
      </c>
      <c r="D22" s="417">
        <v>13374671</v>
      </c>
      <c r="E22" s="415">
        <v>3463787.25</v>
      </c>
      <c r="F22" s="418">
        <v>12108995</v>
      </c>
      <c r="G22" s="422">
        <f t="shared" si="0"/>
        <v>-19405</v>
      </c>
      <c r="H22" s="423">
        <f t="shared" si="1"/>
        <v>-1.4487748165681325E-3</v>
      </c>
      <c r="I22" s="424">
        <f t="shared" si="2"/>
        <v>-1265676</v>
      </c>
      <c r="J22" s="423">
        <f t="shared" si="3"/>
        <v>0.90536769091366809</v>
      </c>
    </row>
    <row r="23" spans="1:10">
      <c r="A23" s="260" t="s">
        <v>412</v>
      </c>
      <c r="B23" s="415">
        <v>240587570</v>
      </c>
      <c r="C23" s="416">
        <v>208397102</v>
      </c>
      <c r="D23" s="417">
        <v>232185037</v>
      </c>
      <c r="E23" s="415">
        <v>39532953.239999995</v>
      </c>
      <c r="F23" s="418">
        <v>221752934</v>
      </c>
      <c r="G23" s="422">
        <f t="shared" si="0"/>
        <v>-8402533</v>
      </c>
      <c r="H23" s="423">
        <f t="shared" si="1"/>
        <v>-3.4925050367315302E-2</v>
      </c>
      <c r="I23" s="424">
        <f t="shared" si="2"/>
        <v>-10432103</v>
      </c>
      <c r="J23" s="423">
        <f t="shared" si="3"/>
        <v>0.95506987386099307</v>
      </c>
    </row>
    <row r="24" spans="1:10">
      <c r="A24" s="260" t="s">
        <v>413</v>
      </c>
      <c r="B24" s="415">
        <v>43922965</v>
      </c>
      <c r="C24" s="416">
        <v>31411988</v>
      </c>
      <c r="D24" s="417">
        <v>44529019</v>
      </c>
      <c r="E24" s="415">
        <v>17238799.180000003</v>
      </c>
      <c r="F24" s="418">
        <v>70141899</v>
      </c>
      <c r="G24" s="422">
        <f t="shared" si="0"/>
        <v>606054</v>
      </c>
      <c r="H24" s="423">
        <f t="shared" si="1"/>
        <v>1.3798112217606517E-2</v>
      </c>
      <c r="I24" s="424">
        <f t="shared" si="2"/>
        <v>25612880</v>
      </c>
      <c r="J24" s="423">
        <f t="shared" si="3"/>
        <v>1.5751952451501345</v>
      </c>
    </row>
    <row r="25" spans="1:10" ht="24">
      <c r="A25" s="260" t="s">
        <v>414</v>
      </c>
      <c r="B25" s="415">
        <v>21636761</v>
      </c>
      <c r="C25" s="416">
        <v>32495267</v>
      </c>
      <c r="D25" s="417">
        <v>15819425</v>
      </c>
      <c r="E25" s="415">
        <v>3722672.3699999996</v>
      </c>
      <c r="F25" s="418">
        <v>19349680</v>
      </c>
      <c r="G25" s="422">
        <f t="shared" si="0"/>
        <v>-5817336</v>
      </c>
      <c r="H25" s="423">
        <f t="shared" si="1"/>
        <v>-0.26886353276259789</v>
      </c>
      <c r="I25" s="424">
        <f t="shared" si="2"/>
        <v>3530255</v>
      </c>
      <c r="J25" s="423">
        <f t="shared" si="3"/>
        <v>1.2231595016885886</v>
      </c>
    </row>
    <row r="26" spans="1:10" ht="24">
      <c r="A26" s="260" t="s">
        <v>415</v>
      </c>
      <c r="B26" s="415">
        <v>774395</v>
      </c>
      <c r="C26" s="416">
        <v>516688</v>
      </c>
      <c r="D26" s="417">
        <v>610229</v>
      </c>
      <c r="E26" s="415">
        <v>224426.06</v>
      </c>
      <c r="F26" s="418">
        <v>666665</v>
      </c>
      <c r="G26" s="422">
        <f t="shared" si="0"/>
        <v>-164166</v>
      </c>
      <c r="H26" s="423">
        <f t="shared" si="1"/>
        <v>-0.21199258776205943</v>
      </c>
      <c r="I26" s="424">
        <f t="shared" si="2"/>
        <v>56436</v>
      </c>
      <c r="J26" s="423">
        <f t="shared" si="3"/>
        <v>1.0924833136412724</v>
      </c>
    </row>
    <row r="27" spans="1:10">
      <c r="A27" s="260" t="s">
        <v>416</v>
      </c>
      <c r="B27" s="415">
        <v>111427492</v>
      </c>
      <c r="C27" s="416">
        <v>95940237</v>
      </c>
      <c r="D27" s="417">
        <v>93716976</v>
      </c>
      <c r="E27" s="415">
        <v>30571069.66</v>
      </c>
      <c r="F27" s="418">
        <v>89905426</v>
      </c>
      <c r="G27" s="422">
        <f t="shared" si="0"/>
        <v>-17710516</v>
      </c>
      <c r="H27" s="423">
        <f t="shared" si="1"/>
        <v>-0.15894206790546805</v>
      </c>
      <c r="I27" s="424">
        <f t="shared" si="2"/>
        <v>-3811550</v>
      </c>
      <c r="J27" s="423">
        <f t="shared" si="3"/>
        <v>0.95932914011224601</v>
      </c>
    </row>
    <row r="28" spans="1:10" ht="12.75" thickBot="1">
      <c r="A28" s="260" t="s">
        <v>417</v>
      </c>
      <c r="B28" s="415">
        <v>210475255</v>
      </c>
      <c r="C28" s="416">
        <v>207899402</v>
      </c>
      <c r="D28" s="417">
        <v>198494806</v>
      </c>
      <c r="E28" s="415">
        <v>100708333.22999996</v>
      </c>
      <c r="F28" s="418">
        <v>121503417</v>
      </c>
      <c r="G28" s="425">
        <f t="shared" si="0"/>
        <v>-11980449</v>
      </c>
      <c r="H28" s="426">
        <f t="shared" si="1"/>
        <v>-5.6920938283220091E-2</v>
      </c>
      <c r="I28" s="427">
        <f t="shared" si="2"/>
        <v>-76991389</v>
      </c>
      <c r="J28" s="426">
        <f t="shared" si="3"/>
        <v>0.61212391119191301</v>
      </c>
    </row>
    <row r="29" spans="1:10" ht="12.75" thickBot="1">
      <c r="A29" s="46" t="s">
        <v>38</v>
      </c>
      <c r="B29" s="428">
        <f t="shared" ref="B29:G29" si="8">SUM(B8:B28)</f>
        <v>1747734201</v>
      </c>
      <c r="C29" s="429">
        <f t="shared" si="8"/>
        <v>1799357478</v>
      </c>
      <c r="D29" s="430">
        <f t="shared" si="8"/>
        <v>1738275871</v>
      </c>
      <c r="E29" s="431">
        <f t="shared" si="8"/>
        <v>526842975.68000007</v>
      </c>
      <c r="F29" s="432">
        <f t="shared" si="8"/>
        <v>1568611735</v>
      </c>
      <c r="G29" s="433">
        <f t="shared" si="8"/>
        <v>-9458330</v>
      </c>
      <c r="H29" s="434">
        <f t="shared" si="1"/>
        <v>-5.411766843372523E-3</v>
      </c>
      <c r="I29" s="435">
        <f>SUM(I8:I28)</f>
        <v>-169664136</v>
      </c>
      <c r="J29" s="436">
        <f t="shared" si="3"/>
        <v>0.9023951613029092</v>
      </c>
    </row>
    <row r="30" spans="1:10" s="439" customFormat="1" ht="9" thickBot="1">
      <c r="B30" s="440"/>
      <c r="C30" s="440"/>
      <c r="D30" s="440"/>
      <c r="E30" s="440"/>
      <c r="F30" s="440"/>
      <c r="G30" s="440"/>
      <c r="H30" s="440"/>
      <c r="I30" s="440"/>
      <c r="J30" s="440"/>
    </row>
    <row r="31" spans="1:10" ht="13.5" thickBot="1">
      <c r="A31" s="261" t="s">
        <v>369</v>
      </c>
      <c r="B31" s="437"/>
      <c r="C31" s="437"/>
      <c r="D31" s="437"/>
      <c r="E31" s="437"/>
      <c r="F31" s="437"/>
      <c r="G31" s="437"/>
      <c r="H31" s="437"/>
      <c r="I31" s="437"/>
      <c r="J31" s="438"/>
    </row>
    <row r="32" spans="1:10">
      <c r="A32" s="260" t="s">
        <v>398</v>
      </c>
      <c r="B32" s="415">
        <v>234729532</v>
      </c>
      <c r="C32" s="416">
        <v>237299470</v>
      </c>
      <c r="D32" s="417">
        <v>191848206</v>
      </c>
      <c r="E32" s="415">
        <v>109672257.47</v>
      </c>
      <c r="F32" s="418">
        <v>193754225</v>
      </c>
      <c r="G32" s="422">
        <f>IFERROR(SUM(D32-B32)," ")</f>
        <v>-42881326</v>
      </c>
      <c r="H32" s="423">
        <f>IFERROR((D32/B32-1)," ")</f>
        <v>-0.18268398370938688</v>
      </c>
      <c r="I32" s="424">
        <f>IFERROR(SUM(F32-D32)," ")</f>
        <v>1906019</v>
      </c>
      <c r="J32" s="423">
        <f>IFERROR((F32/D32)," ")</f>
        <v>1.009935036869722</v>
      </c>
    </row>
    <row r="33" spans="1:10">
      <c r="A33" s="260" t="s">
        <v>399</v>
      </c>
      <c r="B33" s="415">
        <v>18402416</v>
      </c>
      <c r="C33" s="416">
        <v>18936812</v>
      </c>
      <c r="D33" s="417">
        <v>24676294</v>
      </c>
      <c r="E33" s="415">
        <v>19056649.490000002</v>
      </c>
      <c r="F33" s="418">
        <v>17942422</v>
      </c>
      <c r="G33" s="422">
        <f t="shared" ref="G33:G52" si="9">IFERROR(SUM(D33-B33)," ")</f>
        <v>6273878</v>
      </c>
      <c r="H33" s="423">
        <f t="shared" ref="H33:H52" si="10">IFERROR((D33/B33-1)," ")</f>
        <v>0.34092686525508387</v>
      </c>
      <c r="I33" s="424">
        <f t="shared" ref="I33:I52" si="11">IFERROR(SUM(F33-D33)," ")</f>
        <v>-6733872</v>
      </c>
      <c r="J33" s="423">
        <f t="shared" ref="J33:J52" si="12">IFERROR((F33/D33)," ")</f>
        <v>0.72711169675640919</v>
      </c>
    </row>
    <row r="34" spans="1:10" ht="24">
      <c r="A34" s="260" t="s">
        <v>400</v>
      </c>
      <c r="B34" s="415">
        <v>132310675</v>
      </c>
      <c r="C34" s="416">
        <v>173450590</v>
      </c>
      <c r="D34" s="417">
        <v>132029392</v>
      </c>
      <c r="E34" s="415">
        <v>41914907.020000003</v>
      </c>
      <c r="F34" s="418">
        <v>130094367</v>
      </c>
      <c r="G34" s="422">
        <f t="shared" si="9"/>
        <v>-281283</v>
      </c>
      <c r="H34" s="423">
        <f t="shared" si="10"/>
        <v>-2.1259282367049881E-3</v>
      </c>
      <c r="I34" s="424">
        <f t="shared" si="11"/>
        <v>-1935025</v>
      </c>
      <c r="J34" s="423">
        <f t="shared" si="12"/>
        <v>0.98534398310339866</v>
      </c>
    </row>
    <row r="35" spans="1:10">
      <c r="A35" s="260" t="s">
        <v>401</v>
      </c>
      <c r="B35" s="415">
        <v>9226532</v>
      </c>
      <c r="C35" s="416">
        <v>13959470</v>
      </c>
      <c r="D35" s="417">
        <v>14738864</v>
      </c>
      <c r="E35" s="415">
        <v>3997865.3399999994</v>
      </c>
      <c r="F35" s="418">
        <v>9872425</v>
      </c>
      <c r="G35" s="422">
        <f t="shared" si="9"/>
        <v>5512332</v>
      </c>
      <c r="H35" s="423">
        <f t="shared" si="10"/>
        <v>0.59744354650262954</v>
      </c>
      <c r="I35" s="424">
        <f t="shared" si="11"/>
        <v>-4866439</v>
      </c>
      <c r="J35" s="423">
        <f t="shared" si="12"/>
        <v>0.66982265390331308</v>
      </c>
    </row>
    <row r="36" spans="1:10">
      <c r="A36" s="260" t="s">
        <v>402</v>
      </c>
      <c r="B36" s="415">
        <v>93138177</v>
      </c>
      <c r="C36" s="416">
        <v>91326181</v>
      </c>
      <c r="D36" s="417">
        <v>94429199</v>
      </c>
      <c r="E36" s="415">
        <v>43623700.620000005</v>
      </c>
      <c r="F36" s="418">
        <v>86727712</v>
      </c>
      <c r="G36" s="422">
        <f t="shared" si="9"/>
        <v>1291022</v>
      </c>
      <c r="H36" s="423">
        <f t="shared" si="10"/>
        <v>1.3861362135099586E-2</v>
      </c>
      <c r="I36" s="424">
        <f t="shared" si="11"/>
        <v>-7701487</v>
      </c>
      <c r="J36" s="423">
        <f t="shared" si="12"/>
        <v>0.91844167819320377</v>
      </c>
    </row>
    <row r="37" spans="1:10">
      <c r="A37" s="260" t="s">
        <v>403</v>
      </c>
      <c r="B37" s="415">
        <v>462011</v>
      </c>
      <c r="C37" s="416">
        <v>615727</v>
      </c>
      <c r="D37" s="417">
        <v>694846</v>
      </c>
      <c r="E37" s="415">
        <v>44362.720000000001</v>
      </c>
      <c r="F37" s="418">
        <v>172017</v>
      </c>
      <c r="G37" s="422">
        <f t="shared" si="9"/>
        <v>232835</v>
      </c>
      <c r="H37" s="423">
        <f t="shared" si="10"/>
        <v>0.50395986242751789</v>
      </c>
      <c r="I37" s="424">
        <f t="shared" si="11"/>
        <v>-522829</v>
      </c>
      <c r="J37" s="423">
        <f t="shared" si="12"/>
        <v>0.24756133013646189</v>
      </c>
    </row>
    <row r="38" spans="1:10" ht="24">
      <c r="A38" s="260" t="s">
        <v>479</v>
      </c>
      <c r="B38" s="415"/>
      <c r="C38" s="416"/>
      <c r="D38" s="417"/>
      <c r="E38" s="415"/>
      <c r="F38" s="418">
        <v>214400</v>
      </c>
      <c r="G38" s="422">
        <f t="shared" ref="G38" si="13">IFERROR(SUM(D38-B38)," ")</f>
        <v>0</v>
      </c>
      <c r="H38" s="423" t="str">
        <f t="shared" ref="H38" si="14">IFERROR((D38/B38-1)," ")</f>
        <v xml:space="preserve"> </v>
      </c>
      <c r="I38" s="424">
        <f t="shared" ref="I38" si="15">IFERROR(SUM(F38-D38)," ")</f>
        <v>214400</v>
      </c>
      <c r="J38" s="423" t="str">
        <f t="shared" ref="J38" si="16">IFERROR((F38/D38)," ")</f>
        <v xml:space="preserve"> </v>
      </c>
    </row>
    <row r="39" spans="1:10">
      <c r="A39" s="260" t="s">
        <v>404</v>
      </c>
      <c r="B39" s="415">
        <v>32272117</v>
      </c>
      <c r="C39" s="416">
        <v>32077138</v>
      </c>
      <c r="D39" s="417">
        <v>33953568</v>
      </c>
      <c r="E39" s="415">
        <v>8675294.5</v>
      </c>
      <c r="F39" s="418">
        <v>27060540</v>
      </c>
      <c r="G39" s="422">
        <f t="shared" si="9"/>
        <v>1681451</v>
      </c>
      <c r="H39" s="423">
        <f t="shared" si="10"/>
        <v>5.2102283838398433E-2</v>
      </c>
      <c r="I39" s="424">
        <f t="shared" si="11"/>
        <v>-6893028</v>
      </c>
      <c r="J39" s="423">
        <f t="shared" si="12"/>
        <v>0.79698663775188516</v>
      </c>
    </row>
    <row r="40" spans="1:10">
      <c r="A40" s="260" t="s">
        <v>405</v>
      </c>
      <c r="B40" s="415">
        <v>3124205</v>
      </c>
      <c r="C40" s="416">
        <v>720819</v>
      </c>
      <c r="D40" s="417">
        <v>772442</v>
      </c>
      <c r="E40" s="415">
        <v>62602.6</v>
      </c>
      <c r="F40" s="418">
        <v>142529</v>
      </c>
      <c r="G40" s="422">
        <f t="shared" si="9"/>
        <v>-2351763</v>
      </c>
      <c r="H40" s="423">
        <f t="shared" si="10"/>
        <v>-0.75275566104016867</v>
      </c>
      <c r="I40" s="424">
        <f t="shared" si="11"/>
        <v>-629913</v>
      </c>
      <c r="J40" s="423">
        <f t="shared" si="12"/>
        <v>0.18451741360516388</v>
      </c>
    </row>
    <row r="41" spans="1:10">
      <c r="A41" s="260" t="s">
        <v>406</v>
      </c>
      <c r="B41" s="415">
        <v>47355186</v>
      </c>
      <c r="C41" s="416">
        <v>35100066</v>
      </c>
      <c r="D41" s="417">
        <v>29624950</v>
      </c>
      <c r="E41" s="415">
        <v>12999</v>
      </c>
      <c r="F41" s="418">
        <v>22391655</v>
      </c>
      <c r="G41" s="422">
        <f t="shared" si="9"/>
        <v>-17730236</v>
      </c>
      <c r="H41" s="423">
        <f t="shared" si="10"/>
        <v>-0.37440959475906188</v>
      </c>
      <c r="I41" s="424">
        <f t="shared" si="11"/>
        <v>-7233295</v>
      </c>
      <c r="J41" s="423">
        <f t="shared" si="12"/>
        <v>0.75583773137169852</v>
      </c>
    </row>
    <row r="42" spans="1:10">
      <c r="A42" s="260" t="s">
        <v>407</v>
      </c>
      <c r="B42" s="415">
        <v>29787086</v>
      </c>
      <c r="C42" s="416">
        <v>101572113</v>
      </c>
      <c r="D42" s="417">
        <v>51330763</v>
      </c>
      <c r="E42" s="415">
        <v>8545500.3000000007</v>
      </c>
      <c r="F42" s="418">
        <v>67064699</v>
      </c>
      <c r="G42" s="422">
        <f t="shared" si="9"/>
        <v>21543677</v>
      </c>
      <c r="H42" s="423">
        <f t="shared" si="10"/>
        <v>0.72325560815180112</v>
      </c>
      <c r="I42" s="424">
        <f t="shared" si="11"/>
        <v>15733936</v>
      </c>
      <c r="J42" s="734">
        <f t="shared" si="12"/>
        <v>1.3065205946773089</v>
      </c>
    </row>
    <row r="43" spans="1:10" ht="24">
      <c r="A43" s="260" t="s">
        <v>408</v>
      </c>
      <c r="B43" s="415">
        <v>163439485</v>
      </c>
      <c r="C43" s="416">
        <v>170282782</v>
      </c>
      <c r="D43" s="417">
        <v>122146505</v>
      </c>
      <c r="E43" s="415">
        <v>10119725.419999998</v>
      </c>
      <c r="F43" s="418">
        <v>168184568</v>
      </c>
      <c r="G43" s="422">
        <f t="shared" si="9"/>
        <v>-41292980</v>
      </c>
      <c r="H43" s="423">
        <f t="shared" si="10"/>
        <v>-0.2526499639912595</v>
      </c>
      <c r="I43" s="424">
        <f t="shared" si="11"/>
        <v>46038063</v>
      </c>
      <c r="J43" s="423">
        <f t="shared" si="12"/>
        <v>1.3769085574736666</v>
      </c>
    </row>
    <row r="44" spans="1:10" ht="24">
      <c r="A44" s="260" t="s">
        <v>409</v>
      </c>
      <c r="B44" s="415">
        <v>109442198</v>
      </c>
      <c r="C44" s="416">
        <v>68533918</v>
      </c>
      <c r="D44" s="417">
        <v>71302863</v>
      </c>
      <c r="E44" s="415">
        <v>16527375.440000001</v>
      </c>
      <c r="F44" s="418">
        <v>75735218</v>
      </c>
      <c r="G44" s="422">
        <f t="shared" si="9"/>
        <v>-38139335</v>
      </c>
      <c r="H44" s="423">
        <f t="shared" si="10"/>
        <v>-0.34848838653624259</v>
      </c>
      <c r="I44" s="424">
        <f t="shared" si="11"/>
        <v>4432355</v>
      </c>
      <c r="J44" s="423">
        <f t="shared" si="12"/>
        <v>1.0621623706750738</v>
      </c>
    </row>
    <row r="45" spans="1:10" ht="24">
      <c r="A45" s="260" t="s">
        <v>410</v>
      </c>
      <c r="B45" s="415">
        <v>82214971</v>
      </c>
      <c r="C45" s="416">
        <v>89803948</v>
      </c>
      <c r="D45" s="417">
        <v>82738932</v>
      </c>
      <c r="E45" s="415">
        <v>35245622.710000023</v>
      </c>
      <c r="F45" s="418">
        <v>80569637</v>
      </c>
      <c r="G45" s="422">
        <f t="shared" si="9"/>
        <v>523961</v>
      </c>
      <c r="H45" s="423">
        <f t="shared" si="10"/>
        <v>6.3730606923160238E-3</v>
      </c>
      <c r="I45" s="424">
        <f t="shared" si="11"/>
        <v>-2169295</v>
      </c>
      <c r="J45" s="423">
        <f t="shared" si="12"/>
        <v>0.97378144789202747</v>
      </c>
    </row>
    <row r="46" spans="1:10" ht="24">
      <c r="A46" s="260" t="s">
        <v>411</v>
      </c>
      <c r="B46" s="415">
        <v>10709466</v>
      </c>
      <c r="C46" s="416">
        <v>11206557</v>
      </c>
      <c r="D46" s="417">
        <v>11218727</v>
      </c>
      <c r="E46" s="415">
        <v>2945571.71</v>
      </c>
      <c r="F46" s="418">
        <v>9412379</v>
      </c>
      <c r="G46" s="422">
        <f t="shared" si="9"/>
        <v>509261</v>
      </c>
      <c r="H46" s="423">
        <f t="shared" si="10"/>
        <v>4.7552417646220535E-2</v>
      </c>
      <c r="I46" s="424">
        <f t="shared" si="11"/>
        <v>-1806348</v>
      </c>
      <c r="J46" s="423">
        <f t="shared" si="12"/>
        <v>0.83898814901191554</v>
      </c>
    </row>
    <row r="47" spans="1:10">
      <c r="A47" s="260" t="s">
        <v>412</v>
      </c>
      <c r="B47" s="415">
        <v>181461453</v>
      </c>
      <c r="C47" s="416">
        <v>152243559</v>
      </c>
      <c r="D47" s="417">
        <v>150273034</v>
      </c>
      <c r="E47" s="415">
        <v>33010034.939999998</v>
      </c>
      <c r="F47" s="418">
        <v>159992516</v>
      </c>
      <c r="G47" s="422">
        <f t="shared" si="9"/>
        <v>-31188419</v>
      </c>
      <c r="H47" s="423">
        <f t="shared" si="10"/>
        <v>-0.17187352181071758</v>
      </c>
      <c r="I47" s="424">
        <f t="shared" si="11"/>
        <v>9719482</v>
      </c>
      <c r="J47" s="423">
        <f t="shared" si="12"/>
        <v>1.0646788165599956</v>
      </c>
    </row>
    <row r="48" spans="1:10">
      <c r="A48" s="260" t="s">
        <v>413</v>
      </c>
      <c r="B48" s="415">
        <v>35053104</v>
      </c>
      <c r="C48" s="416">
        <v>25942844</v>
      </c>
      <c r="D48" s="417">
        <v>28958665</v>
      </c>
      <c r="E48" s="415">
        <v>13812366.33</v>
      </c>
      <c r="F48" s="418">
        <v>44088750</v>
      </c>
      <c r="G48" s="422">
        <f t="shared" si="9"/>
        <v>-6094439</v>
      </c>
      <c r="H48" s="423">
        <f t="shared" si="10"/>
        <v>-0.17386303364175681</v>
      </c>
      <c r="I48" s="424">
        <f t="shared" si="11"/>
        <v>15130085</v>
      </c>
      <c r="J48" s="423">
        <f t="shared" si="12"/>
        <v>1.5224717714024456</v>
      </c>
    </row>
    <row r="49" spans="1:10" ht="24">
      <c r="A49" s="260" t="s">
        <v>414</v>
      </c>
      <c r="B49" s="415">
        <v>12709841</v>
      </c>
      <c r="C49" s="416">
        <v>18340351</v>
      </c>
      <c r="D49" s="417">
        <v>6342357</v>
      </c>
      <c r="E49" s="415">
        <v>1926342.92</v>
      </c>
      <c r="F49" s="418">
        <v>11002612</v>
      </c>
      <c r="G49" s="422">
        <f t="shared" si="9"/>
        <v>-6367484</v>
      </c>
      <c r="H49" s="423">
        <f t="shared" si="10"/>
        <v>-0.50098848600859758</v>
      </c>
      <c r="I49" s="424">
        <f t="shared" si="11"/>
        <v>4660255</v>
      </c>
      <c r="J49" s="423">
        <f t="shared" si="12"/>
        <v>1.7347828260061677</v>
      </c>
    </row>
    <row r="50" spans="1:10" ht="24">
      <c r="A50" s="260" t="s">
        <v>415</v>
      </c>
      <c r="B50" s="415">
        <v>280282</v>
      </c>
      <c r="C50" s="416">
        <v>240982</v>
      </c>
      <c r="D50" s="417">
        <v>252867</v>
      </c>
      <c r="E50" s="415">
        <v>121620.16</v>
      </c>
      <c r="F50" s="418">
        <v>126720</v>
      </c>
      <c r="G50" s="422">
        <f t="shared" si="9"/>
        <v>-27415</v>
      </c>
      <c r="H50" s="423">
        <f t="shared" si="10"/>
        <v>-9.7812203423694677E-2</v>
      </c>
      <c r="I50" s="424">
        <f t="shared" si="11"/>
        <v>-126147</v>
      </c>
      <c r="J50" s="423">
        <f t="shared" si="12"/>
        <v>0.50113300667940064</v>
      </c>
    </row>
    <row r="51" spans="1:10">
      <c r="A51" s="260" t="s">
        <v>416</v>
      </c>
      <c r="B51" s="415">
        <v>104765794</v>
      </c>
      <c r="C51" s="416">
        <v>83460135</v>
      </c>
      <c r="D51" s="417">
        <v>87072859</v>
      </c>
      <c r="E51" s="415">
        <v>29127131.93</v>
      </c>
      <c r="F51" s="418">
        <v>82723272</v>
      </c>
      <c r="G51" s="422">
        <f t="shared" si="9"/>
        <v>-17692935</v>
      </c>
      <c r="H51" s="423">
        <f t="shared" si="10"/>
        <v>-0.16888083719386504</v>
      </c>
      <c r="I51" s="424">
        <f t="shared" si="11"/>
        <v>-4349587</v>
      </c>
      <c r="J51" s="423">
        <f t="shared" si="12"/>
        <v>0.95004658110514095</v>
      </c>
    </row>
    <row r="52" spans="1:10" ht="12.75" thickBot="1">
      <c r="A52" s="260" t="s">
        <v>417</v>
      </c>
      <c r="B52" s="415">
        <v>181276787</v>
      </c>
      <c r="C52" s="416">
        <v>173974640</v>
      </c>
      <c r="D52" s="417">
        <v>164403414</v>
      </c>
      <c r="E52" s="415">
        <v>89840580.98999995</v>
      </c>
      <c r="F52" s="418">
        <v>103540624</v>
      </c>
      <c r="G52" s="425">
        <f t="shared" si="9"/>
        <v>-16873373</v>
      </c>
      <c r="H52" s="426">
        <f t="shared" si="10"/>
        <v>-9.3080715293128002E-2</v>
      </c>
      <c r="I52" s="427">
        <f t="shared" si="11"/>
        <v>-60862790</v>
      </c>
      <c r="J52" s="426">
        <f t="shared" si="12"/>
        <v>0.62979606980667691</v>
      </c>
    </row>
    <row r="53" spans="1:10" ht="12.75" thickBot="1">
      <c r="A53" s="46" t="s">
        <v>38</v>
      </c>
      <c r="B53" s="428">
        <f t="shared" ref="B53:G53" si="17">SUM(B32:B52)</f>
        <v>1482161318</v>
      </c>
      <c r="C53" s="429">
        <f t="shared" si="17"/>
        <v>1499088102</v>
      </c>
      <c r="D53" s="430">
        <f t="shared" si="17"/>
        <v>1298808747</v>
      </c>
      <c r="E53" s="431">
        <f t="shared" si="17"/>
        <v>468282511.61000001</v>
      </c>
      <c r="F53" s="432">
        <f t="shared" si="17"/>
        <v>1290813287</v>
      </c>
      <c r="G53" s="433">
        <f t="shared" si="17"/>
        <v>-183352571</v>
      </c>
      <c r="H53" s="434">
        <f t="shared" ref="H53" si="18">IFERROR((D53/B53-1)," ")</f>
        <v>-0.12370621792195502</v>
      </c>
      <c r="I53" s="435">
        <f>SUM(I32:I52)</f>
        <v>-7995460</v>
      </c>
      <c r="J53" s="436">
        <f t="shared" ref="J53" si="19">IFERROR((F53/D53)," ")</f>
        <v>0.99384400511740623</v>
      </c>
    </row>
    <row r="54" spans="1:10" s="439" customFormat="1" ht="9" thickBot="1">
      <c r="B54" s="440"/>
      <c r="C54" s="440"/>
      <c r="D54" s="440"/>
      <c r="E54" s="440"/>
      <c r="F54" s="440"/>
      <c r="G54" s="440"/>
      <c r="H54" s="440"/>
      <c r="I54" s="440"/>
      <c r="J54" s="440"/>
    </row>
    <row r="55" spans="1:10" ht="13.5" thickBot="1">
      <c r="A55" s="261" t="s">
        <v>370</v>
      </c>
      <c r="B55" s="437"/>
      <c r="C55" s="437"/>
      <c r="D55" s="437"/>
      <c r="E55" s="437"/>
      <c r="F55" s="437"/>
      <c r="G55" s="437"/>
      <c r="H55" s="437"/>
      <c r="I55" s="437"/>
      <c r="J55" s="438"/>
    </row>
    <row r="56" spans="1:10">
      <c r="A56" s="260" t="s">
        <v>398</v>
      </c>
      <c r="B56" s="415">
        <v>9817513</v>
      </c>
      <c r="C56" s="416">
        <v>9904062</v>
      </c>
      <c r="D56" s="417">
        <v>6466529</v>
      </c>
      <c r="E56" s="415">
        <v>1175889.97</v>
      </c>
      <c r="F56" s="418">
        <v>5854362</v>
      </c>
      <c r="G56" s="419">
        <f>IFERROR(SUM(D56-B56)," ")</f>
        <v>-3350984</v>
      </c>
      <c r="H56" s="420">
        <f>IFERROR((D56/B56-1)," ")</f>
        <v>-0.34132717725965833</v>
      </c>
      <c r="I56" s="421">
        <f>IFERROR(SUM(F56-D56)," ")</f>
        <v>-612167</v>
      </c>
      <c r="J56" s="420">
        <f>IFERROR((F56/D56)," ")</f>
        <v>0.90533298466611689</v>
      </c>
    </row>
    <row r="57" spans="1:10">
      <c r="A57" s="260" t="s">
        <v>399</v>
      </c>
      <c r="B57" s="415">
        <v>6180101</v>
      </c>
      <c r="C57" s="416">
        <v>6882400</v>
      </c>
      <c r="D57" s="417">
        <v>6914544</v>
      </c>
      <c r="E57" s="415">
        <v>1469000.65</v>
      </c>
      <c r="F57" s="418">
        <v>7843752</v>
      </c>
      <c r="G57" s="422">
        <f t="shared" ref="G57:G76" si="20">IFERROR(SUM(D57-B57)," ")</f>
        <v>734443</v>
      </c>
      <c r="H57" s="423">
        <f t="shared" ref="H57:H76" si="21">IFERROR((D57/B57-1)," ")</f>
        <v>0.11883996717852985</v>
      </c>
      <c r="I57" s="424">
        <f t="shared" ref="I57:I76" si="22">IFERROR(SUM(F57-D57)," ")</f>
        <v>929208</v>
      </c>
      <c r="J57" s="423">
        <f t="shared" ref="J57:J76" si="23">IFERROR((F57/D57)," ")</f>
        <v>1.1343845667913892</v>
      </c>
    </row>
    <row r="58" spans="1:10" ht="24">
      <c r="A58" s="260" t="s">
        <v>400</v>
      </c>
      <c r="B58" s="415">
        <v>16961243</v>
      </c>
      <c r="C58" s="416">
        <v>27854312</v>
      </c>
      <c r="D58" s="417">
        <v>20176441</v>
      </c>
      <c r="E58" s="415">
        <v>4083140.5700000003</v>
      </c>
      <c r="F58" s="418">
        <v>18450689</v>
      </c>
      <c r="G58" s="422">
        <f t="shared" si="20"/>
        <v>3215198</v>
      </c>
      <c r="H58" s="423">
        <f t="shared" si="21"/>
        <v>0.18956146079623992</v>
      </c>
      <c r="I58" s="424">
        <f t="shared" si="22"/>
        <v>-1725752</v>
      </c>
      <c r="J58" s="423">
        <f t="shared" si="23"/>
        <v>0.91446697660900655</v>
      </c>
    </row>
    <row r="59" spans="1:10">
      <c r="A59" s="260" t="s">
        <v>401</v>
      </c>
      <c r="B59" s="415">
        <v>16716477</v>
      </c>
      <c r="C59" s="416">
        <v>4552750</v>
      </c>
      <c r="D59" s="417">
        <v>11825754</v>
      </c>
      <c r="E59" s="415">
        <v>573595.17999999993</v>
      </c>
      <c r="F59" s="418">
        <v>4427418</v>
      </c>
      <c r="G59" s="422">
        <f t="shared" si="20"/>
        <v>-4890723</v>
      </c>
      <c r="H59" s="423">
        <f t="shared" si="21"/>
        <v>-0.29256900242796369</v>
      </c>
      <c r="I59" s="424">
        <f t="shared" si="22"/>
        <v>-7398336</v>
      </c>
      <c r="J59" s="423">
        <f t="shared" si="23"/>
        <v>0.37438779802116634</v>
      </c>
    </row>
    <row r="60" spans="1:10">
      <c r="A60" s="260" t="s">
        <v>402</v>
      </c>
      <c r="B60" s="415">
        <v>12552226</v>
      </c>
      <c r="C60" s="416">
        <v>12552226</v>
      </c>
      <c r="D60" s="417">
        <v>12524141</v>
      </c>
      <c r="E60" s="415">
        <v>4377481.7200000007</v>
      </c>
      <c r="F60" s="418">
        <v>10645523</v>
      </c>
      <c r="G60" s="422">
        <f t="shared" si="20"/>
        <v>-28085</v>
      </c>
      <c r="H60" s="423">
        <f t="shared" si="21"/>
        <v>-2.2374517476023703E-3</v>
      </c>
      <c r="I60" s="424">
        <f t="shared" si="22"/>
        <v>-1878618</v>
      </c>
      <c r="J60" s="423">
        <f t="shared" si="23"/>
        <v>0.85000025151425551</v>
      </c>
    </row>
    <row r="61" spans="1:10">
      <c r="A61" s="260" t="s">
        <v>403</v>
      </c>
      <c r="B61" s="415">
        <v>264485</v>
      </c>
      <c r="C61" s="416">
        <v>201354</v>
      </c>
      <c r="D61" s="417">
        <v>3000508</v>
      </c>
      <c r="E61" s="415">
        <v>21883.7</v>
      </c>
      <c r="F61" s="418">
        <v>234003</v>
      </c>
      <c r="G61" s="422">
        <f t="shared" si="20"/>
        <v>2736023</v>
      </c>
      <c r="H61" s="423">
        <f t="shared" si="21"/>
        <v>10.344718982172902</v>
      </c>
      <c r="I61" s="424">
        <f t="shared" si="22"/>
        <v>-2766505</v>
      </c>
      <c r="J61" s="423">
        <f t="shared" si="23"/>
        <v>7.7987794066871341E-2</v>
      </c>
    </row>
    <row r="62" spans="1:10" ht="24">
      <c r="A62" s="260" t="s">
        <v>479</v>
      </c>
      <c r="B62" s="415"/>
      <c r="C62" s="416"/>
      <c r="D62" s="417"/>
      <c r="E62" s="415"/>
      <c r="F62" s="418"/>
      <c r="G62" s="422">
        <f t="shared" ref="G62" si="24">IFERROR(SUM(D62-B62)," ")</f>
        <v>0</v>
      </c>
      <c r="H62" s="423" t="str">
        <f t="shared" ref="H62" si="25">IFERROR((D62/B62-1)," ")</f>
        <v xml:space="preserve"> </v>
      </c>
      <c r="I62" s="424">
        <f t="shared" ref="I62" si="26">IFERROR(SUM(F62-D62)," ")</f>
        <v>0</v>
      </c>
      <c r="J62" s="423" t="str">
        <f t="shared" ref="J62" si="27">IFERROR((F62/D62)," ")</f>
        <v xml:space="preserve"> </v>
      </c>
    </row>
    <row r="63" spans="1:10">
      <c r="A63" s="260" t="s">
        <v>404</v>
      </c>
      <c r="B63" s="415">
        <v>27433723</v>
      </c>
      <c r="C63" s="416">
        <v>14024184</v>
      </c>
      <c r="D63" s="417">
        <v>32298962</v>
      </c>
      <c r="E63" s="415">
        <v>3014839.7300000009</v>
      </c>
      <c r="F63" s="418">
        <v>23119583</v>
      </c>
      <c r="G63" s="422">
        <f t="shared" si="20"/>
        <v>4865239</v>
      </c>
      <c r="H63" s="423">
        <f t="shared" si="21"/>
        <v>0.17734519663991644</v>
      </c>
      <c r="I63" s="424">
        <f t="shared" si="22"/>
        <v>-9179379</v>
      </c>
      <c r="J63" s="423">
        <f t="shared" si="23"/>
        <v>0.71579956656192234</v>
      </c>
    </row>
    <row r="64" spans="1:10">
      <c r="A64" s="260" t="s">
        <v>405</v>
      </c>
      <c r="B64" s="415">
        <v>155206</v>
      </c>
      <c r="C64" s="416">
        <v>70179</v>
      </c>
      <c r="D64" s="417">
        <v>191949</v>
      </c>
      <c r="E64" s="415">
        <v>15549</v>
      </c>
      <c r="F64" s="418">
        <v>168813</v>
      </c>
      <c r="G64" s="422">
        <f t="shared" si="20"/>
        <v>36743</v>
      </c>
      <c r="H64" s="423">
        <f t="shared" si="21"/>
        <v>0.23673698181771319</v>
      </c>
      <c r="I64" s="424">
        <f t="shared" si="22"/>
        <v>-23136</v>
      </c>
      <c r="J64" s="423">
        <f t="shared" si="23"/>
        <v>0.87946798368316581</v>
      </c>
    </row>
    <row r="65" spans="1:10">
      <c r="A65" s="260" t="s">
        <v>406</v>
      </c>
      <c r="B65" s="415">
        <v>837105</v>
      </c>
      <c r="C65" s="416">
        <v>199447</v>
      </c>
      <c r="D65" s="417">
        <v>122105</v>
      </c>
      <c r="E65" s="415">
        <v>4088089.34</v>
      </c>
      <c r="F65" s="418">
        <v>28955</v>
      </c>
      <c r="G65" s="422">
        <f t="shared" si="20"/>
        <v>-715000</v>
      </c>
      <c r="H65" s="423">
        <f t="shared" si="21"/>
        <v>-0.85413418866211521</v>
      </c>
      <c r="I65" s="424">
        <f t="shared" si="22"/>
        <v>-93150</v>
      </c>
      <c r="J65" s="423">
        <f t="shared" si="23"/>
        <v>0.23713197657753574</v>
      </c>
    </row>
    <row r="66" spans="1:10">
      <c r="A66" s="260" t="s">
        <v>407</v>
      </c>
      <c r="B66" s="415">
        <v>5920137</v>
      </c>
      <c r="C66" s="416">
        <v>6609587</v>
      </c>
      <c r="D66" s="417">
        <v>6555220</v>
      </c>
      <c r="E66" s="415">
        <v>1170885.0799999998</v>
      </c>
      <c r="F66" s="418">
        <v>8371085</v>
      </c>
      <c r="G66" s="422">
        <f t="shared" si="20"/>
        <v>635083</v>
      </c>
      <c r="H66" s="423">
        <f t="shared" si="21"/>
        <v>0.10727505123614534</v>
      </c>
      <c r="I66" s="424">
        <f t="shared" si="22"/>
        <v>1815865</v>
      </c>
      <c r="J66" s="423">
        <f t="shared" si="23"/>
        <v>1.2770105351155263</v>
      </c>
    </row>
    <row r="67" spans="1:10" ht="24">
      <c r="A67" s="260" t="s">
        <v>408</v>
      </c>
      <c r="B67" s="415">
        <v>33509423</v>
      </c>
      <c r="C67" s="416">
        <v>40762807</v>
      </c>
      <c r="D67" s="417">
        <v>162749752</v>
      </c>
      <c r="E67" s="415">
        <v>5493542.46</v>
      </c>
      <c r="F67" s="418">
        <v>41402158</v>
      </c>
      <c r="G67" s="422">
        <f t="shared" si="20"/>
        <v>129240329</v>
      </c>
      <c r="H67" s="423">
        <f t="shared" si="21"/>
        <v>3.8568354041786996</v>
      </c>
      <c r="I67" s="424">
        <f t="shared" si="22"/>
        <v>-121347594</v>
      </c>
      <c r="J67" s="423">
        <f t="shared" si="23"/>
        <v>0.25439152742917853</v>
      </c>
    </row>
    <row r="68" spans="1:10" ht="24">
      <c r="A68" s="260" t="s">
        <v>409</v>
      </c>
      <c r="B68" s="415">
        <v>7198618</v>
      </c>
      <c r="C68" s="416">
        <v>3595770</v>
      </c>
      <c r="D68" s="417">
        <v>7335736</v>
      </c>
      <c r="E68" s="415">
        <v>2517865.7300000004</v>
      </c>
      <c r="F68" s="418">
        <v>9589379</v>
      </c>
      <c r="G68" s="422">
        <f t="shared" si="20"/>
        <v>137118</v>
      </c>
      <c r="H68" s="423">
        <f t="shared" si="21"/>
        <v>1.9047822790430047E-2</v>
      </c>
      <c r="I68" s="424">
        <f t="shared" si="22"/>
        <v>2253643</v>
      </c>
      <c r="J68" s="423">
        <f t="shared" si="23"/>
        <v>1.3072142999693555</v>
      </c>
    </row>
    <row r="69" spans="1:10" ht="24">
      <c r="A69" s="260" t="s">
        <v>410</v>
      </c>
      <c r="B69" s="415">
        <v>8394420</v>
      </c>
      <c r="C69" s="416">
        <v>15851082</v>
      </c>
      <c r="D69" s="417">
        <v>13472307</v>
      </c>
      <c r="E69" s="415">
        <v>5025833.0900000017</v>
      </c>
      <c r="F69" s="418">
        <v>17006707</v>
      </c>
      <c r="G69" s="422">
        <f t="shared" si="20"/>
        <v>5077887</v>
      </c>
      <c r="H69" s="423">
        <f t="shared" si="21"/>
        <v>0.60491219167018095</v>
      </c>
      <c r="I69" s="424">
        <f t="shared" si="22"/>
        <v>3534400</v>
      </c>
      <c r="J69" s="423">
        <f t="shared" si="23"/>
        <v>1.2623455656109974</v>
      </c>
    </row>
    <row r="70" spans="1:10" ht="24">
      <c r="A70" s="260" t="s">
        <v>411</v>
      </c>
      <c r="B70" s="415">
        <v>2684610</v>
      </c>
      <c r="C70" s="416">
        <v>2921030</v>
      </c>
      <c r="D70" s="417">
        <v>2155944</v>
      </c>
      <c r="E70" s="415">
        <v>518215.53999999992</v>
      </c>
      <c r="F70" s="418">
        <v>2696616</v>
      </c>
      <c r="G70" s="422">
        <f t="shared" si="20"/>
        <v>-528666</v>
      </c>
      <c r="H70" s="423">
        <f t="shared" si="21"/>
        <v>-0.19692469297216353</v>
      </c>
      <c r="I70" s="424">
        <f t="shared" si="22"/>
        <v>540672</v>
      </c>
      <c r="J70" s="423">
        <f t="shared" si="23"/>
        <v>1.2507820240228875</v>
      </c>
    </row>
    <row r="71" spans="1:10">
      <c r="A71" s="260" t="s">
        <v>412</v>
      </c>
      <c r="B71" s="415">
        <v>54648099</v>
      </c>
      <c r="C71" s="416">
        <v>53500635</v>
      </c>
      <c r="D71" s="417">
        <v>66514702</v>
      </c>
      <c r="E71" s="415">
        <v>6283193.1999999993</v>
      </c>
      <c r="F71" s="418">
        <v>51669937</v>
      </c>
      <c r="G71" s="422">
        <f t="shared" si="20"/>
        <v>11866603</v>
      </c>
      <c r="H71" s="423">
        <f t="shared" si="21"/>
        <v>0.21714576018463139</v>
      </c>
      <c r="I71" s="424">
        <f t="shared" si="22"/>
        <v>-14844765</v>
      </c>
      <c r="J71" s="423">
        <f t="shared" si="23"/>
        <v>0.77681979241220989</v>
      </c>
    </row>
    <row r="72" spans="1:10">
      <c r="A72" s="260" t="s">
        <v>413</v>
      </c>
      <c r="B72" s="415">
        <v>6379859</v>
      </c>
      <c r="C72" s="416">
        <v>4723935</v>
      </c>
      <c r="D72" s="417">
        <v>15100936</v>
      </c>
      <c r="E72" s="415">
        <v>3368418.0500000003</v>
      </c>
      <c r="F72" s="418">
        <v>25808619</v>
      </c>
      <c r="G72" s="422">
        <f t="shared" si="20"/>
        <v>8721077</v>
      </c>
      <c r="H72" s="423">
        <f t="shared" si="21"/>
        <v>1.3669701791215134</v>
      </c>
      <c r="I72" s="424">
        <f t="shared" si="22"/>
        <v>10707683</v>
      </c>
      <c r="J72" s="423">
        <f t="shared" si="23"/>
        <v>1.7090741262660805</v>
      </c>
    </row>
    <row r="73" spans="1:10" ht="24">
      <c r="A73" s="260" t="s">
        <v>414</v>
      </c>
      <c r="B73" s="415">
        <v>8875452</v>
      </c>
      <c r="C73" s="416">
        <v>10666121</v>
      </c>
      <c r="D73" s="417">
        <v>9440044</v>
      </c>
      <c r="E73" s="415">
        <v>1741879.4500000002</v>
      </c>
      <c r="F73" s="418">
        <v>8298497</v>
      </c>
      <c r="G73" s="422">
        <f t="shared" si="20"/>
        <v>564592</v>
      </c>
      <c r="H73" s="423">
        <f t="shared" si="21"/>
        <v>6.3612760229000198E-2</v>
      </c>
      <c r="I73" s="424">
        <f t="shared" si="22"/>
        <v>-1141547</v>
      </c>
      <c r="J73" s="423">
        <f t="shared" si="23"/>
        <v>0.87907397465520287</v>
      </c>
    </row>
    <row r="74" spans="1:10" ht="24">
      <c r="A74" s="260" t="s">
        <v>415</v>
      </c>
      <c r="B74" s="415">
        <v>494113</v>
      </c>
      <c r="C74" s="416">
        <v>275638</v>
      </c>
      <c r="D74" s="417">
        <v>357362</v>
      </c>
      <c r="E74" s="415">
        <v>102805.9</v>
      </c>
      <c r="F74" s="418">
        <v>539945</v>
      </c>
      <c r="G74" s="422">
        <f t="shared" si="20"/>
        <v>-136751</v>
      </c>
      <c r="H74" s="423">
        <f t="shared" si="21"/>
        <v>-0.27676057905782681</v>
      </c>
      <c r="I74" s="424">
        <f t="shared" si="22"/>
        <v>182583</v>
      </c>
      <c r="J74" s="423">
        <f t="shared" si="23"/>
        <v>1.51091890016286</v>
      </c>
    </row>
    <row r="75" spans="1:10">
      <c r="A75" s="260" t="s">
        <v>416</v>
      </c>
      <c r="B75" s="415">
        <v>5991444</v>
      </c>
      <c r="C75" s="416">
        <v>11717160</v>
      </c>
      <c r="D75" s="417">
        <v>5975196</v>
      </c>
      <c r="E75" s="415">
        <v>1347280.1</v>
      </c>
      <c r="F75" s="418">
        <v>6723683</v>
      </c>
      <c r="G75" s="422">
        <f t="shared" si="20"/>
        <v>-16248</v>
      </c>
      <c r="H75" s="423">
        <f t="shared" si="21"/>
        <v>-2.7118671225166979E-3</v>
      </c>
      <c r="I75" s="424">
        <f t="shared" si="22"/>
        <v>748487</v>
      </c>
      <c r="J75" s="423">
        <f t="shared" si="23"/>
        <v>1.1252656816613211</v>
      </c>
    </row>
    <row r="76" spans="1:10" ht="12.75" thickBot="1">
      <c r="A76" s="260" t="s">
        <v>417</v>
      </c>
      <c r="B76" s="415">
        <v>28046860</v>
      </c>
      <c r="C76" s="416">
        <v>32269602</v>
      </c>
      <c r="D76" s="417">
        <v>33396377</v>
      </c>
      <c r="E76" s="415">
        <v>10830656.91</v>
      </c>
      <c r="F76" s="418">
        <v>17244517</v>
      </c>
      <c r="G76" s="425">
        <f t="shared" si="20"/>
        <v>5349517</v>
      </c>
      <c r="H76" s="426">
        <f t="shared" si="21"/>
        <v>0.19073496997524853</v>
      </c>
      <c r="I76" s="427">
        <f t="shared" si="22"/>
        <v>-16151860</v>
      </c>
      <c r="J76" s="426">
        <f t="shared" si="23"/>
        <v>0.51635891522005517</v>
      </c>
    </row>
    <row r="77" spans="1:10" ht="12.75" thickBot="1">
      <c r="A77" s="46" t="s">
        <v>38</v>
      </c>
      <c r="B77" s="428">
        <f t="shared" ref="B77:G77" si="28">SUM(B56:B76)</f>
        <v>253061114</v>
      </c>
      <c r="C77" s="429">
        <f t="shared" si="28"/>
        <v>259134281</v>
      </c>
      <c r="D77" s="430">
        <f t="shared" si="28"/>
        <v>416574509</v>
      </c>
      <c r="E77" s="431">
        <f t="shared" si="28"/>
        <v>57220045.36999999</v>
      </c>
      <c r="F77" s="432">
        <f t="shared" si="28"/>
        <v>260124241</v>
      </c>
      <c r="G77" s="433">
        <f t="shared" si="28"/>
        <v>163513395</v>
      </c>
      <c r="H77" s="434">
        <f t="shared" ref="H77" si="29">IFERROR((D77/B77-1)," ")</f>
        <v>0.64614192364615919</v>
      </c>
      <c r="I77" s="435">
        <f>SUM(I56:I76)</f>
        <v>-156450268</v>
      </c>
      <c r="J77" s="436">
        <f t="shared" ref="J77" si="30">IFERROR((F77/D77)," ")</f>
        <v>0.6244362902195727</v>
      </c>
    </row>
    <row r="78" spans="1:10" s="439" customFormat="1" ht="9" thickBot="1">
      <c r="B78" s="440"/>
      <c r="C78" s="440"/>
      <c r="D78" s="440"/>
      <c r="E78" s="440"/>
      <c r="F78" s="440"/>
      <c r="G78" s="440"/>
      <c r="H78" s="440"/>
      <c r="I78" s="440"/>
      <c r="J78" s="440"/>
    </row>
    <row r="79" spans="1:10" ht="13.5" thickBot="1">
      <c r="A79" s="261" t="s">
        <v>373</v>
      </c>
      <c r="B79" s="437"/>
      <c r="C79" s="437"/>
      <c r="D79" s="437"/>
      <c r="E79" s="437"/>
      <c r="F79" s="437"/>
      <c r="G79" s="437"/>
      <c r="H79" s="437"/>
      <c r="I79" s="437"/>
      <c r="J79" s="438"/>
    </row>
    <row r="80" spans="1:10">
      <c r="A80" s="260" t="s">
        <v>398</v>
      </c>
      <c r="B80" s="415">
        <v>678610</v>
      </c>
      <c r="C80" s="416">
        <v>878874</v>
      </c>
      <c r="D80" s="417">
        <v>173063</v>
      </c>
      <c r="E80" s="415">
        <v>62311.44</v>
      </c>
      <c r="F80" s="418">
        <v>26620</v>
      </c>
      <c r="G80" s="419">
        <f>IFERROR(SUM(D80-B80)," ")</f>
        <v>-505547</v>
      </c>
      <c r="H80" s="420">
        <f>IFERROR((D80/B80-1)," ")</f>
        <v>-0.74497428567218282</v>
      </c>
      <c r="I80" s="421">
        <f>IFERROR(SUM(F80-D80)," ")</f>
        <v>-146443</v>
      </c>
      <c r="J80" s="420">
        <f>IFERROR((F80/D80)," ")</f>
        <v>0.15381681815292697</v>
      </c>
    </row>
    <row r="81" spans="1:10">
      <c r="A81" s="260" t="s">
        <v>399</v>
      </c>
      <c r="B81" s="415"/>
      <c r="C81" s="416">
        <v>142325</v>
      </c>
      <c r="D81" s="417"/>
      <c r="E81" s="415">
        <v>0</v>
      </c>
      <c r="F81" s="418"/>
      <c r="G81" s="422">
        <f t="shared" ref="G81:G100" si="31">IFERROR(SUM(D81-B81)," ")</f>
        <v>0</v>
      </c>
      <c r="H81" s="423" t="str">
        <f t="shared" ref="H81:H100" si="32">IFERROR((D81/B81-1)," ")</f>
        <v xml:space="preserve"> </v>
      </c>
      <c r="I81" s="424">
        <f t="shared" ref="I81:I100" si="33">IFERROR(SUM(F81-D81)," ")</f>
        <v>0</v>
      </c>
      <c r="J81" s="423" t="str">
        <f t="shared" ref="J81:J100" si="34">IFERROR((F81/D81)," ")</f>
        <v xml:space="preserve"> </v>
      </c>
    </row>
    <row r="82" spans="1:10" ht="24">
      <c r="A82" s="260" t="s">
        <v>400</v>
      </c>
      <c r="B82" s="415"/>
      <c r="C82" s="416">
        <v>9180321</v>
      </c>
      <c r="D82" s="417">
        <v>3738358</v>
      </c>
      <c r="E82" s="415">
        <v>0</v>
      </c>
      <c r="F82" s="418">
        <v>2243015</v>
      </c>
      <c r="G82" s="422">
        <f t="shared" si="31"/>
        <v>3738358</v>
      </c>
      <c r="H82" s="423" t="str">
        <f t="shared" si="32"/>
        <v xml:space="preserve"> </v>
      </c>
      <c r="I82" s="424">
        <f t="shared" si="33"/>
        <v>-1495343</v>
      </c>
      <c r="J82" s="423">
        <f t="shared" si="34"/>
        <v>0.60000005349942409</v>
      </c>
    </row>
    <row r="83" spans="1:10">
      <c r="A83" s="260" t="s">
        <v>401</v>
      </c>
      <c r="B83" s="415">
        <v>30750</v>
      </c>
      <c r="C83" s="416">
        <v>334537</v>
      </c>
      <c r="D83" s="417">
        <v>30135</v>
      </c>
      <c r="E83" s="415">
        <v>112392.75</v>
      </c>
      <c r="F83" s="418">
        <v>30750</v>
      </c>
      <c r="G83" s="422">
        <f t="shared" si="31"/>
        <v>-615</v>
      </c>
      <c r="H83" s="423">
        <f t="shared" si="32"/>
        <v>-2.0000000000000018E-2</v>
      </c>
      <c r="I83" s="424">
        <f t="shared" si="33"/>
        <v>615</v>
      </c>
      <c r="J83" s="423">
        <f t="shared" si="34"/>
        <v>1.0204081632653061</v>
      </c>
    </row>
    <row r="84" spans="1:10">
      <c r="A84" s="260" t="s">
        <v>402</v>
      </c>
      <c r="B84" s="415">
        <v>201360</v>
      </c>
      <c r="C84" s="416">
        <v>99960</v>
      </c>
      <c r="D84" s="417">
        <v>99917</v>
      </c>
      <c r="E84" s="415">
        <v>50088</v>
      </c>
      <c r="F84" s="418">
        <v>84928</v>
      </c>
      <c r="G84" s="422">
        <f t="shared" si="31"/>
        <v>-101443</v>
      </c>
      <c r="H84" s="423">
        <f t="shared" si="32"/>
        <v>-0.50378923321414382</v>
      </c>
      <c r="I84" s="424">
        <f t="shared" si="33"/>
        <v>-14989</v>
      </c>
      <c r="J84" s="423">
        <f t="shared" si="34"/>
        <v>0.84998548795500262</v>
      </c>
    </row>
    <row r="85" spans="1:10">
      <c r="A85" s="260" t="s">
        <v>403</v>
      </c>
      <c r="B85" s="415"/>
      <c r="C85" s="416">
        <v>0</v>
      </c>
      <c r="D85" s="417"/>
      <c r="E85" s="415"/>
      <c r="F85" s="418"/>
      <c r="G85" s="422">
        <f t="shared" si="31"/>
        <v>0</v>
      </c>
      <c r="H85" s="423" t="str">
        <f t="shared" si="32"/>
        <v xml:space="preserve"> </v>
      </c>
      <c r="I85" s="424">
        <f t="shared" si="33"/>
        <v>0</v>
      </c>
      <c r="J85" s="423" t="str">
        <f t="shared" si="34"/>
        <v xml:space="preserve"> </v>
      </c>
    </row>
    <row r="86" spans="1:10" ht="24">
      <c r="A86" s="260" t="s">
        <v>479</v>
      </c>
      <c r="B86" s="415"/>
      <c r="C86" s="416"/>
      <c r="D86" s="417"/>
      <c r="E86" s="415"/>
      <c r="F86" s="418"/>
      <c r="G86" s="422">
        <f t="shared" ref="G86" si="35">IFERROR(SUM(D86-B86)," ")</f>
        <v>0</v>
      </c>
      <c r="H86" s="423" t="str">
        <f t="shared" ref="H86" si="36">IFERROR((D86/B86-1)," ")</f>
        <v xml:space="preserve"> </v>
      </c>
      <c r="I86" s="424">
        <f t="shared" ref="I86" si="37">IFERROR(SUM(F86-D86)," ")</f>
        <v>0</v>
      </c>
      <c r="J86" s="423" t="str">
        <f t="shared" ref="J86" si="38">IFERROR((F86/D86)," ")</f>
        <v xml:space="preserve"> </v>
      </c>
    </row>
    <row r="87" spans="1:10">
      <c r="A87" s="260" t="s">
        <v>404</v>
      </c>
      <c r="B87" s="415">
        <v>768125</v>
      </c>
      <c r="C87" s="416">
        <v>373830</v>
      </c>
      <c r="D87" s="417">
        <v>185944</v>
      </c>
      <c r="E87" s="415">
        <v>55396</v>
      </c>
      <c r="F87" s="418">
        <v>46157</v>
      </c>
      <c r="G87" s="422">
        <f t="shared" si="31"/>
        <v>-582181</v>
      </c>
      <c r="H87" s="423">
        <f t="shared" si="32"/>
        <v>-0.75792481692432867</v>
      </c>
      <c r="I87" s="424">
        <f t="shared" si="33"/>
        <v>-139787</v>
      </c>
      <c r="J87" s="423">
        <f t="shared" si="34"/>
        <v>0.24823065008819858</v>
      </c>
    </row>
    <row r="88" spans="1:10">
      <c r="A88" s="260" t="s">
        <v>405</v>
      </c>
      <c r="B88" s="415"/>
      <c r="C88" s="416"/>
      <c r="D88" s="417"/>
      <c r="E88" s="415"/>
      <c r="F88" s="418"/>
      <c r="G88" s="422">
        <f t="shared" si="31"/>
        <v>0</v>
      </c>
      <c r="H88" s="423" t="str">
        <f t="shared" si="32"/>
        <v xml:space="preserve"> </v>
      </c>
      <c r="I88" s="424">
        <f t="shared" si="33"/>
        <v>0</v>
      </c>
      <c r="J88" s="423" t="str">
        <f t="shared" si="34"/>
        <v xml:space="preserve"> </v>
      </c>
    </row>
    <row r="89" spans="1:10">
      <c r="A89" s="260" t="s">
        <v>406</v>
      </c>
      <c r="B89" s="415"/>
      <c r="C89" s="416">
        <v>18360</v>
      </c>
      <c r="D89" s="417"/>
      <c r="E89" s="415">
        <v>0</v>
      </c>
      <c r="F89" s="418"/>
      <c r="G89" s="422">
        <f t="shared" si="31"/>
        <v>0</v>
      </c>
      <c r="H89" s="423" t="str">
        <f t="shared" si="32"/>
        <v xml:space="preserve"> </v>
      </c>
      <c r="I89" s="424">
        <f t="shared" si="33"/>
        <v>0</v>
      </c>
      <c r="J89" s="423" t="str">
        <f t="shared" si="34"/>
        <v xml:space="preserve"> </v>
      </c>
    </row>
    <row r="90" spans="1:10">
      <c r="A90" s="260" t="s">
        <v>407</v>
      </c>
      <c r="B90" s="415">
        <v>1876962</v>
      </c>
      <c r="C90" s="416">
        <v>6857474</v>
      </c>
      <c r="D90" s="417">
        <v>1238507</v>
      </c>
      <c r="E90" s="415">
        <v>82070</v>
      </c>
      <c r="F90" s="418">
        <v>1750804</v>
      </c>
      <c r="G90" s="422">
        <f t="shared" si="31"/>
        <v>-638455</v>
      </c>
      <c r="H90" s="423">
        <f t="shared" si="32"/>
        <v>-0.340153396818902</v>
      </c>
      <c r="I90" s="424">
        <f t="shared" si="33"/>
        <v>512297</v>
      </c>
      <c r="J90" s="423">
        <f t="shared" si="34"/>
        <v>1.4136407787763816</v>
      </c>
    </row>
    <row r="91" spans="1:10" ht="24">
      <c r="A91" s="260" t="s">
        <v>408</v>
      </c>
      <c r="B91" s="415">
        <v>33600</v>
      </c>
      <c r="C91" s="416">
        <v>13544478</v>
      </c>
      <c r="D91" s="417">
        <v>33600</v>
      </c>
      <c r="E91" s="415">
        <v>368432</v>
      </c>
      <c r="F91" s="418">
        <v>1528943</v>
      </c>
      <c r="G91" s="422">
        <f t="shared" si="31"/>
        <v>0</v>
      </c>
      <c r="H91" s="423">
        <f t="shared" si="32"/>
        <v>0</v>
      </c>
      <c r="I91" s="424">
        <f t="shared" si="33"/>
        <v>1495343</v>
      </c>
      <c r="J91" s="423">
        <f t="shared" si="34"/>
        <v>45.504255952380952</v>
      </c>
    </row>
    <row r="92" spans="1:10" ht="24">
      <c r="A92" s="260" t="s">
        <v>409</v>
      </c>
      <c r="B92" s="415">
        <v>4500</v>
      </c>
      <c r="C92" s="416">
        <v>48326</v>
      </c>
      <c r="D92" s="417">
        <v>4500</v>
      </c>
      <c r="E92" s="415">
        <v>1875</v>
      </c>
      <c r="F92" s="418">
        <v>302194</v>
      </c>
      <c r="G92" s="422">
        <f t="shared" si="31"/>
        <v>0</v>
      </c>
      <c r="H92" s="423">
        <f t="shared" si="32"/>
        <v>0</v>
      </c>
      <c r="I92" s="424">
        <f t="shared" si="33"/>
        <v>297694</v>
      </c>
      <c r="J92" s="423">
        <f t="shared" si="34"/>
        <v>67.154222222222216</v>
      </c>
    </row>
    <row r="93" spans="1:10" ht="24">
      <c r="A93" s="260" t="s">
        <v>410</v>
      </c>
      <c r="B93" s="415">
        <v>76512</v>
      </c>
      <c r="C93" s="416">
        <v>351528</v>
      </c>
      <c r="D93" s="417">
        <v>120912</v>
      </c>
      <c r="E93" s="415">
        <v>121910.65</v>
      </c>
      <c r="F93" s="418">
        <v>100467</v>
      </c>
      <c r="G93" s="422">
        <f t="shared" si="31"/>
        <v>44400</v>
      </c>
      <c r="H93" s="423">
        <f t="shared" si="32"/>
        <v>0.58030112923462984</v>
      </c>
      <c r="I93" s="424">
        <f t="shared" si="33"/>
        <v>-20445</v>
      </c>
      <c r="J93" s="423">
        <f t="shared" si="34"/>
        <v>0.83091008336641525</v>
      </c>
    </row>
    <row r="94" spans="1:10" ht="24">
      <c r="A94" s="260" t="s">
        <v>411</v>
      </c>
      <c r="B94" s="415"/>
      <c r="C94" s="416"/>
      <c r="D94" s="417"/>
      <c r="E94" s="415"/>
      <c r="F94" s="418"/>
      <c r="G94" s="422">
        <f t="shared" si="31"/>
        <v>0</v>
      </c>
      <c r="H94" s="423" t="str">
        <f t="shared" si="32"/>
        <v xml:space="preserve"> </v>
      </c>
      <c r="I94" s="424">
        <f t="shared" si="33"/>
        <v>0</v>
      </c>
      <c r="J94" s="423" t="str">
        <f t="shared" si="34"/>
        <v xml:space="preserve"> </v>
      </c>
    </row>
    <row r="95" spans="1:10">
      <c r="A95" s="260" t="s">
        <v>412</v>
      </c>
      <c r="B95" s="415">
        <v>4478018</v>
      </c>
      <c r="C95" s="416">
        <v>2652908</v>
      </c>
      <c r="D95" s="417">
        <v>15397301</v>
      </c>
      <c r="E95" s="415">
        <v>239725.1</v>
      </c>
      <c r="F95" s="418">
        <v>10090481</v>
      </c>
      <c r="G95" s="422">
        <f t="shared" si="31"/>
        <v>10919283</v>
      </c>
      <c r="H95" s="423">
        <f t="shared" si="32"/>
        <v>2.4384187379327193</v>
      </c>
      <c r="I95" s="424">
        <f t="shared" si="33"/>
        <v>-5306820</v>
      </c>
      <c r="J95" s="423">
        <f t="shared" si="34"/>
        <v>0.65534089383587424</v>
      </c>
    </row>
    <row r="96" spans="1:10">
      <c r="A96" s="260" t="s">
        <v>413</v>
      </c>
      <c r="B96" s="415">
        <v>2490002</v>
      </c>
      <c r="C96" s="416">
        <v>745209</v>
      </c>
      <c r="D96" s="417">
        <v>469418</v>
      </c>
      <c r="E96" s="415">
        <v>58014.8</v>
      </c>
      <c r="F96" s="418">
        <v>244530</v>
      </c>
      <c r="G96" s="422">
        <f t="shared" si="31"/>
        <v>-2020584</v>
      </c>
      <c r="H96" s="423">
        <f t="shared" si="32"/>
        <v>-0.81147886628203514</v>
      </c>
      <c r="I96" s="424">
        <f t="shared" si="33"/>
        <v>-224888</v>
      </c>
      <c r="J96" s="423">
        <f t="shared" si="34"/>
        <v>0.52092165191790685</v>
      </c>
    </row>
    <row r="97" spans="1:10" ht="24">
      <c r="A97" s="260" t="s">
        <v>414</v>
      </c>
      <c r="B97" s="415">
        <v>51468</v>
      </c>
      <c r="C97" s="416">
        <v>3488795</v>
      </c>
      <c r="D97" s="417">
        <v>37024</v>
      </c>
      <c r="E97" s="415">
        <v>54450</v>
      </c>
      <c r="F97" s="418">
        <v>48571</v>
      </c>
      <c r="G97" s="422">
        <f t="shared" si="31"/>
        <v>-14444</v>
      </c>
      <c r="H97" s="423">
        <f t="shared" si="32"/>
        <v>-0.28064039791715245</v>
      </c>
      <c r="I97" s="424">
        <f t="shared" si="33"/>
        <v>11547</v>
      </c>
      <c r="J97" s="423">
        <f t="shared" si="34"/>
        <v>1.3118787813310284</v>
      </c>
    </row>
    <row r="98" spans="1:10" ht="24">
      <c r="A98" s="260" t="s">
        <v>415</v>
      </c>
      <c r="B98" s="415"/>
      <c r="C98" s="416">
        <v>68</v>
      </c>
      <c r="D98" s="417"/>
      <c r="E98" s="415"/>
      <c r="F98" s="418"/>
      <c r="G98" s="422">
        <f t="shared" si="31"/>
        <v>0</v>
      </c>
      <c r="H98" s="423" t="str">
        <f t="shared" si="32"/>
        <v xml:space="preserve"> </v>
      </c>
      <c r="I98" s="424">
        <f t="shared" si="33"/>
        <v>0</v>
      </c>
      <c r="J98" s="423" t="str">
        <f t="shared" si="34"/>
        <v xml:space="preserve"> </v>
      </c>
    </row>
    <row r="99" spans="1:10">
      <c r="A99" s="260" t="s">
        <v>416</v>
      </c>
      <c r="B99" s="415">
        <v>670254</v>
      </c>
      <c r="C99" s="416">
        <v>762942</v>
      </c>
      <c r="D99" s="417">
        <v>668921</v>
      </c>
      <c r="E99" s="415">
        <v>96657.62999999999</v>
      </c>
      <c r="F99" s="418">
        <v>458471</v>
      </c>
      <c r="G99" s="422">
        <f t="shared" si="31"/>
        <v>-1333</v>
      </c>
      <c r="H99" s="423">
        <f t="shared" si="32"/>
        <v>-1.9887982764742462E-3</v>
      </c>
      <c r="I99" s="424">
        <f t="shared" si="33"/>
        <v>-210450</v>
      </c>
      <c r="J99" s="423">
        <f t="shared" si="34"/>
        <v>0.68538885757809964</v>
      </c>
    </row>
    <row r="100" spans="1:10" ht="12.75" thickBot="1">
      <c r="A100" s="260" t="s">
        <v>417</v>
      </c>
      <c r="B100" s="415">
        <v>1151608</v>
      </c>
      <c r="C100" s="416">
        <v>1655160</v>
      </c>
      <c r="D100" s="417">
        <v>695015</v>
      </c>
      <c r="E100" s="415">
        <v>37095.33</v>
      </c>
      <c r="F100" s="418">
        <v>718276</v>
      </c>
      <c r="G100" s="425">
        <f t="shared" si="31"/>
        <v>-456593</v>
      </c>
      <c r="H100" s="426">
        <f t="shared" si="32"/>
        <v>-0.39648300463352115</v>
      </c>
      <c r="I100" s="427">
        <f t="shared" si="33"/>
        <v>23261</v>
      </c>
      <c r="J100" s="426">
        <f t="shared" si="34"/>
        <v>1.0334683424098761</v>
      </c>
    </row>
    <row r="101" spans="1:10" ht="12.75" thickBot="1">
      <c r="A101" s="46" t="s">
        <v>38</v>
      </c>
      <c r="B101" s="428">
        <f t="shared" ref="B101:G101" si="39">SUM(B80:B100)</f>
        <v>12511769</v>
      </c>
      <c r="C101" s="429">
        <f t="shared" si="39"/>
        <v>41135095</v>
      </c>
      <c r="D101" s="430">
        <f t="shared" si="39"/>
        <v>22892615</v>
      </c>
      <c r="E101" s="431">
        <f t="shared" si="39"/>
        <v>1340418.7</v>
      </c>
      <c r="F101" s="432">
        <f t="shared" si="39"/>
        <v>17674207</v>
      </c>
      <c r="G101" s="433">
        <f t="shared" si="39"/>
        <v>10380846</v>
      </c>
      <c r="H101" s="434">
        <f t="shared" ref="H101" si="40">IFERROR((D101/B101-1)," ")</f>
        <v>0.82968651355375878</v>
      </c>
      <c r="I101" s="435">
        <f>SUM(I80:I100)</f>
        <v>-5218408</v>
      </c>
      <c r="J101" s="436">
        <f t="shared" ref="J101" si="41">IFERROR((F101/D101)," ")</f>
        <v>0.77204840949799747</v>
      </c>
    </row>
    <row r="102" spans="1:10" s="439" customFormat="1" ht="3.75" customHeight="1">
      <c r="B102" s="441"/>
      <c r="C102" s="441"/>
      <c r="D102" s="441"/>
      <c r="E102" s="441"/>
      <c r="F102" s="441"/>
      <c r="G102" s="441"/>
      <c r="H102" s="441"/>
      <c r="I102" s="441"/>
      <c r="J102" s="441"/>
    </row>
    <row r="103" spans="1:10">
      <c r="A103" s="1" t="s">
        <v>40</v>
      </c>
      <c r="B103" s="409"/>
      <c r="C103" s="409"/>
      <c r="D103" s="409"/>
      <c r="E103" s="409"/>
      <c r="F103" s="409"/>
      <c r="G103" s="409"/>
      <c r="H103" s="409"/>
      <c r="I103" s="409"/>
    </row>
    <row r="104" spans="1:10">
      <c r="A104" s="1" t="s">
        <v>468</v>
      </c>
      <c r="B104" s="410"/>
      <c r="C104" s="410"/>
      <c r="D104" s="410"/>
      <c r="E104" s="410"/>
      <c r="F104" s="410"/>
      <c r="G104" s="410"/>
      <c r="H104" s="410"/>
      <c r="I104" s="410"/>
    </row>
    <row r="105" spans="1:10">
      <c r="A105" s="1" t="s">
        <v>153</v>
      </c>
      <c r="B105" s="409"/>
      <c r="C105" s="409"/>
      <c r="D105" s="409"/>
      <c r="E105" s="409"/>
      <c r="F105" s="409"/>
      <c r="G105" s="409"/>
      <c r="H105" s="409"/>
      <c r="I105" s="409"/>
    </row>
  </sheetData>
  <sortState xmlns:xlrd2="http://schemas.microsoft.com/office/spreadsheetml/2017/richdata2" ref="A8:K42">
    <sortCondition ref="A8:A42"/>
  </sortState>
  <mergeCells count="10">
    <mergeCell ref="A4:A6"/>
    <mergeCell ref="G4:G6"/>
    <mergeCell ref="I4:I6"/>
    <mergeCell ref="H4:H6"/>
    <mergeCell ref="J4:J6"/>
    <mergeCell ref="C4:C6"/>
    <mergeCell ref="E4:E6"/>
    <mergeCell ref="F4:F6"/>
    <mergeCell ref="B4:B6"/>
    <mergeCell ref="D4:D6"/>
  </mergeCells>
  <phoneticPr fontId="0" type="noConversion"/>
  <printOptions horizontalCentered="1"/>
  <pageMargins left="0.19685039370078741" right="0.19685039370078741" top="0.78740157480314965" bottom="0.78740157480314965" header="0.19685039370078741" footer="0.19685039370078741"/>
  <pageSetup paperSize="9" orientation="landscape" r:id="rId1"/>
  <headerFooter alignWithMargins="0">
    <oddHeader>&amp;C&amp;"Arial,Negrita"&amp;18FORMATOS DEL PROYECTO DE PRESUPUESTO 2021</oddHeader>
    <oddFooter>&amp;L&amp;"Arial,Negrita"&amp;8PROYECTO DE PRESUPUESTO PARA EL AÑO FISCAL 2021
INFORMACIÓN PARA LA COMISIÓN DE PRESUPUESTO Y CUENTA GENERAL DE LA REPÚBLICA DEL CONGRESO DE LA REPÚBLICA</oddFooter>
  </headerFooter>
  <rowBreaks count="3" manualBreakCount="3">
    <brk id="30" max="9" man="1"/>
    <brk id="54" max="9" man="1"/>
    <brk id="78" max="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29">
    <pageSetUpPr fitToPage="1"/>
  </sheetPr>
  <dimension ref="A1:Y92"/>
  <sheetViews>
    <sheetView view="pageBreakPreview" zoomScale="80" zoomScaleNormal="100" zoomScaleSheetLayoutView="80" zoomScalePageLayoutView="85" workbookViewId="0">
      <selection activeCell="B8" sqref="B8"/>
    </sheetView>
  </sheetViews>
  <sheetFormatPr baseColWidth="10" defaultRowHeight="12"/>
  <cols>
    <col min="1" max="1" width="31.42578125" style="3" customWidth="1"/>
    <col min="2" max="2" width="12" style="3" bestFit="1" customWidth="1"/>
    <col min="3" max="3" width="16.140625" style="3" bestFit="1" customWidth="1"/>
    <col min="4" max="4" width="11.42578125" style="45" bestFit="1" customWidth="1"/>
    <col min="5" max="5" width="11.85546875" style="45" bestFit="1" customWidth="1"/>
    <col min="6" max="6" width="15.5703125" style="43" bestFit="1" customWidth="1"/>
    <col min="7" max="7" width="16.140625" style="43" bestFit="1" customWidth="1"/>
    <col min="8" max="8" width="18.42578125" style="45" customWidth="1"/>
    <col min="9" max="9" width="11.7109375" style="43" bestFit="1" customWidth="1"/>
    <col min="10" max="10" width="16.28515625" style="43" bestFit="1" customWidth="1"/>
    <col min="11" max="11" width="14.5703125" style="43" bestFit="1" customWidth="1"/>
    <col min="12" max="12" width="15.28515625" style="3" bestFit="1" customWidth="1"/>
    <col min="13" max="13" width="17.42578125" style="3" bestFit="1" customWidth="1"/>
    <col min="14" max="14" width="16.140625" style="43" bestFit="1" customWidth="1"/>
    <col min="15" max="16384" width="11.42578125" style="3"/>
  </cols>
  <sheetData>
    <row r="1" spans="1:25" s="4" customFormat="1" ht="15.75" customHeight="1">
      <c r="A1" s="69" t="s">
        <v>469</v>
      </c>
      <c r="B1" s="69"/>
      <c r="C1" s="69"/>
      <c r="D1" s="69"/>
      <c r="E1" s="69"/>
      <c r="F1" s="69"/>
      <c r="G1" s="69"/>
      <c r="H1" s="69"/>
      <c r="I1" s="69"/>
      <c r="J1" s="69"/>
      <c r="K1" s="69"/>
      <c r="L1" s="69"/>
      <c r="M1" s="69"/>
      <c r="N1" s="69"/>
    </row>
    <row r="2" spans="1:25" s="4" customFormat="1">
      <c r="A2" s="69" t="s">
        <v>382</v>
      </c>
      <c r="B2" s="69"/>
      <c r="C2" s="69"/>
      <c r="D2" s="69"/>
      <c r="E2" s="69"/>
      <c r="F2" s="69"/>
      <c r="G2" s="69"/>
      <c r="H2" s="69"/>
      <c r="I2" s="69"/>
      <c r="J2" s="69"/>
      <c r="K2" s="69"/>
      <c r="L2" s="69"/>
      <c r="M2" s="69"/>
      <c r="N2" s="69"/>
      <c r="O2" s="69"/>
      <c r="P2" s="69"/>
      <c r="Q2" s="69"/>
      <c r="R2" s="69"/>
      <c r="S2" s="69"/>
      <c r="T2" s="69"/>
      <c r="U2" s="69"/>
      <c r="V2" s="69"/>
      <c r="W2" s="69"/>
      <c r="X2" s="69"/>
      <c r="Y2" s="69"/>
    </row>
    <row r="3" spans="1:25" s="43" customFormat="1" ht="12.75" thickBot="1">
      <c r="A3" s="7"/>
      <c r="B3" s="8"/>
      <c r="D3" s="45"/>
      <c r="E3" s="45"/>
      <c r="G3" s="8"/>
      <c r="H3" s="8"/>
    </row>
    <row r="4" spans="1:25" ht="12.75" hidden="1" customHeight="1" thickBot="1">
      <c r="A4" s="36" t="s">
        <v>78</v>
      </c>
      <c r="B4" s="33"/>
      <c r="C4" s="28"/>
      <c r="D4" s="47"/>
      <c r="E4" s="47"/>
      <c r="F4" s="44"/>
      <c r="G4" s="44"/>
      <c r="H4" s="47"/>
      <c r="I4" s="44"/>
      <c r="J4" s="44"/>
      <c r="K4" s="44"/>
      <c r="L4" s="28"/>
      <c r="M4" s="28"/>
      <c r="N4" s="44"/>
    </row>
    <row r="5" spans="1:25" ht="57" customHeight="1" thickBot="1">
      <c r="A5" s="137" t="s">
        <v>82</v>
      </c>
      <c r="B5" s="333" t="s">
        <v>83</v>
      </c>
      <c r="C5" s="138" t="s">
        <v>84</v>
      </c>
      <c r="D5" s="138" t="s">
        <v>193</v>
      </c>
      <c r="E5" s="138" t="s">
        <v>194</v>
      </c>
      <c r="F5" s="138" t="s">
        <v>230</v>
      </c>
      <c r="G5" s="138" t="s">
        <v>154</v>
      </c>
      <c r="H5" s="138" t="s">
        <v>192</v>
      </c>
      <c r="I5" s="138" t="s">
        <v>156</v>
      </c>
      <c r="J5" s="138" t="s">
        <v>155</v>
      </c>
      <c r="K5" s="138" t="s">
        <v>157</v>
      </c>
      <c r="L5" s="138" t="s">
        <v>158</v>
      </c>
      <c r="M5" s="138" t="s">
        <v>159</v>
      </c>
      <c r="N5" s="138" t="s">
        <v>160</v>
      </c>
    </row>
    <row r="6" spans="1:25" s="265" customFormat="1" ht="13.5" customHeight="1" thickBot="1">
      <c r="A6" s="2043" t="s">
        <v>384</v>
      </c>
      <c r="B6" s="2044"/>
      <c r="C6" s="2044"/>
      <c r="D6" s="2044"/>
      <c r="E6" s="2044"/>
      <c r="F6" s="2044"/>
      <c r="G6" s="2044"/>
      <c r="H6" s="2044"/>
      <c r="I6" s="2044"/>
      <c r="J6" s="2044"/>
      <c r="K6" s="2044"/>
      <c r="L6" s="2044"/>
      <c r="M6" s="2044"/>
      <c r="N6" s="2044"/>
    </row>
    <row r="7" spans="1:25" s="68" customFormat="1" ht="16.5" thickBot="1">
      <c r="A7" s="2045" t="s">
        <v>7300</v>
      </c>
      <c r="B7" s="2046"/>
      <c r="C7" s="2046"/>
      <c r="D7" s="2046"/>
      <c r="E7" s="2046"/>
      <c r="F7" s="2046"/>
      <c r="G7" s="2046"/>
      <c r="H7" s="2046"/>
      <c r="I7" s="2046"/>
      <c r="J7" s="2046"/>
      <c r="K7" s="2046"/>
      <c r="L7" s="2046"/>
      <c r="M7" s="2046"/>
      <c r="N7" s="2047"/>
    </row>
    <row r="8" spans="1:25">
      <c r="A8" s="300"/>
      <c r="B8" s="304"/>
      <c r="C8" s="305"/>
      <c r="D8" s="305"/>
      <c r="E8" s="305"/>
      <c r="F8" s="305"/>
      <c r="G8" s="305"/>
      <c r="H8" s="305"/>
      <c r="I8" s="305"/>
      <c r="J8" s="305"/>
      <c r="K8" s="305"/>
      <c r="L8" s="305"/>
      <c r="M8" s="301"/>
      <c r="N8" s="301"/>
    </row>
    <row r="9" spans="1:25">
      <c r="A9" s="300"/>
      <c r="B9" s="304"/>
      <c r="C9" s="305"/>
      <c r="D9" s="305"/>
      <c r="E9" s="305"/>
      <c r="F9" s="305"/>
      <c r="G9" s="305"/>
      <c r="H9" s="305"/>
      <c r="I9" s="305"/>
      <c r="J9" s="305"/>
      <c r="K9" s="305"/>
      <c r="L9" s="305"/>
      <c r="M9" s="301"/>
      <c r="N9" s="301"/>
    </row>
    <row r="10" spans="1:25" s="68" customFormat="1">
      <c r="A10" s="300"/>
      <c r="B10" s="304"/>
      <c r="C10" s="305"/>
      <c r="D10" s="305"/>
      <c r="E10" s="305"/>
      <c r="F10" s="305"/>
      <c r="G10" s="305"/>
      <c r="H10" s="305"/>
      <c r="I10" s="305"/>
      <c r="J10" s="305"/>
      <c r="K10" s="305"/>
      <c r="L10" s="305"/>
      <c r="M10" s="301"/>
      <c r="N10" s="301"/>
    </row>
    <row r="11" spans="1:25" s="68" customFormat="1">
      <c r="A11" s="300"/>
      <c r="B11" s="304"/>
      <c r="C11" s="305"/>
      <c r="D11" s="305"/>
      <c r="E11" s="305"/>
      <c r="F11" s="305"/>
      <c r="G11" s="305"/>
      <c r="H11" s="305"/>
      <c r="I11" s="305"/>
      <c r="J11" s="305"/>
      <c r="K11" s="305"/>
      <c r="L11" s="305"/>
      <c r="M11" s="301"/>
      <c r="N11" s="301"/>
    </row>
    <row r="12" spans="1:25" s="68" customFormat="1" ht="12.75" thickBot="1">
      <c r="A12" s="300"/>
      <c r="B12" s="304"/>
      <c r="C12" s="305"/>
      <c r="D12" s="305"/>
      <c r="E12" s="305"/>
      <c r="F12" s="305"/>
      <c r="G12" s="305"/>
      <c r="H12" s="305"/>
      <c r="I12" s="305"/>
      <c r="J12" s="305"/>
      <c r="K12" s="305"/>
      <c r="L12" s="305"/>
      <c r="M12" s="301"/>
      <c r="N12" s="301"/>
    </row>
    <row r="13" spans="1:25" s="68" customFormat="1" ht="16.5" thickBot="1">
      <c r="A13" s="2045" t="s">
        <v>419</v>
      </c>
      <c r="B13" s="2046"/>
      <c r="C13" s="2046"/>
      <c r="D13" s="2046"/>
      <c r="E13" s="2046"/>
      <c r="F13" s="2046"/>
      <c r="G13" s="2046"/>
      <c r="H13" s="2046"/>
      <c r="I13" s="2046"/>
      <c r="J13" s="2046"/>
      <c r="K13" s="2046"/>
      <c r="L13" s="2046"/>
      <c r="M13" s="2046"/>
      <c r="N13" s="2047"/>
    </row>
    <row r="14" spans="1:25" s="68" customFormat="1">
      <c r="A14" s="300"/>
      <c r="B14" s="304"/>
      <c r="C14" s="305"/>
      <c r="D14" s="305"/>
      <c r="E14" s="305"/>
      <c r="F14" s="305"/>
      <c r="G14" s="305"/>
      <c r="H14" s="305"/>
      <c r="I14" s="305"/>
      <c r="J14" s="305"/>
      <c r="K14" s="305"/>
      <c r="L14" s="305"/>
      <c r="M14" s="301"/>
      <c r="N14" s="301"/>
    </row>
    <row r="15" spans="1:25" s="68" customFormat="1">
      <c r="A15" s="300"/>
      <c r="B15" s="304"/>
      <c r="C15" s="305"/>
      <c r="D15" s="305"/>
      <c r="E15" s="305"/>
      <c r="F15" s="305"/>
      <c r="G15" s="305"/>
      <c r="H15" s="305"/>
      <c r="I15" s="305"/>
      <c r="J15" s="305"/>
      <c r="K15" s="305"/>
      <c r="L15" s="305"/>
      <c r="M15" s="301"/>
      <c r="N15" s="301"/>
    </row>
    <row r="16" spans="1:25" s="68" customFormat="1">
      <c r="A16" s="300"/>
      <c r="B16" s="304"/>
      <c r="C16" s="305"/>
      <c r="D16" s="305"/>
      <c r="E16" s="305"/>
      <c r="F16" s="305"/>
      <c r="G16" s="305"/>
      <c r="H16" s="305"/>
      <c r="I16" s="305"/>
      <c r="J16" s="305"/>
      <c r="K16" s="305"/>
      <c r="L16" s="305"/>
      <c r="M16" s="301"/>
      <c r="N16" s="301"/>
    </row>
    <row r="17" spans="1:14" s="68" customFormat="1">
      <c r="A17" s="300"/>
      <c r="B17" s="304"/>
      <c r="C17" s="305"/>
      <c r="D17" s="305"/>
      <c r="E17" s="305"/>
      <c r="F17" s="305"/>
      <c r="G17" s="305"/>
      <c r="H17" s="305"/>
      <c r="I17" s="305"/>
      <c r="J17" s="305"/>
      <c r="K17" s="305"/>
      <c r="L17" s="305"/>
      <c r="M17" s="301"/>
      <c r="N17" s="301"/>
    </row>
    <row r="18" spans="1:14" s="68" customFormat="1" ht="12.75" thickBot="1">
      <c r="A18" s="300"/>
      <c r="B18" s="304"/>
      <c r="C18" s="305"/>
      <c r="D18" s="305"/>
      <c r="E18" s="305"/>
      <c r="F18" s="305"/>
      <c r="G18" s="305"/>
      <c r="H18" s="305"/>
      <c r="I18" s="305"/>
      <c r="J18" s="305"/>
      <c r="K18" s="305"/>
      <c r="L18" s="305"/>
      <c r="M18" s="301"/>
      <c r="N18" s="301"/>
    </row>
    <row r="19" spans="1:14" s="68" customFormat="1" ht="16.5" thickBot="1">
      <c r="A19" s="2045" t="s">
        <v>421</v>
      </c>
      <c r="B19" s="2046"/>
      <c r="C19" s="2046"/>
      <c r="D19" s="2046"/>
      <c r="E19" s="2046"/>
      <c r="F19" s="2046"/>
      <c r="G19" s="2046"/>
      <c r="H19" s="2046"/>
      <c r="I19" s="2046"/>
      <c r="J19" s="2046"/>
      <c r="K19" s="2046"/>
      <c r="L19" s="2046"/>
      <c r="M19" s="2046"/>
      <c r="N19" s="2047"/>
    </row>
    <row r="20" spans="1:14" s="68" customFormat="1">
      <c r="A20" s="300">
        <v>2019</v>
      </c>
      <c r="B20" s="304"/>
      <c r="C20" s="305"/>
      <c r="D20" s="305"/>
      <c r="E20" s="305"/>
      <c r="F20" s="305"/>
      <c r="G20" s="305"/>
      <c r="H20" s="305"/>
      <c r="I20" s="305"/>
      <c r="J20" s="305"/>
      <c r="K20" s="305"/>
      <c r="L20" s="305"/>
      <c r="M20" s="301"/>
      <c r="N20" s="301"/>
    </row>
    <row r="21" spans="1:14" s="68" customFormat="1" ht="60">
      <c r="A21" s="260" t="s">
        <v>7870</v>
      </c>
      <c r="B21" s="1657">
        <v>336726</v>
      </c>
      <c r="C21" s="1658" t="s">
        <v>7871</v>
      </c>
      <c r="D21" s="1658" t="s">
        <v>7872</v>
      </c>
      <c r="E21" s="1658" t="s">
        <v>7849</v>
      </c>
      <c r="F21" s="1658" t="s">
        <v>7850</v>
      </c>
      <c r="G21" s="1658" t="s">
        <v>7851</v>
      </c>
      <c r="H21" s="1658" t="s">
        <v>7851</v>
      </c>
      <c r="I21" s="1658" t="s">
        <v>7851</v>
      </c>
      <c r="J21" s="1658" t="s">
        <v>7851</v>
      </c>
      <c r="K21" s="1658" t="s">
        <v>7851</v>
      </c>
      <c r="L21" s="1658" t="s">
        <v>7852</v>
      </c>
      <c r="M21" s="1659" t="s">
        <v>7851</v>
      </c>
      <c r="N21" s="1659" t="s">
        <v>7851</v>
      </c>
    </row>
    <row r="22" spans="1:14" s="68" customFormat="1" ht="132">
      <c r="A22" s="260" t="s">
        <v>7873</v>
      </c>
      <c r="B22" s="1657">
        <v>2452864</v>
      </c>
      <c r="C22" s="1658" t="s">
        <v>7874</v>
      </c>
      <c r="D22" s="1658" t="s">
        <v>7872</v>
      </c>
      <c r="E22" s="1658" t="s">
        <v>7853</v>
      </c>
      <c r="F22" s="1658">
        <v>548900.39</v>
      </c>
      <c r="G22" s="1658">
        <v>43829</v>
      </c>
      <c r="H22" s="1658" t="s">
        <v>7854</v>
      </c>
      <c r="I22" s="1658">
        <v>90</v>
      </c>
      <c r="J22" s="1658">
        <v>43919</v>
      </c>
      <c r="K22" s="1658" t="s">
        <v>7855</v>
      </c>
      <c r="L22" s="1658">
        <v>44089</v>
      </c>
      <c r="M22" s="1659" t="s">
        <v>7851</v>
      </c>
      <c r="N22" s="1659" t="s">
        <v>7851</v>
      </c>
    </row>
    <row r="23" spans="1:14" s="68" customFormat="1" ht="96">
      <c r="A23" s="260" t="s">
        <v>7875</v>
      </c>
      <c r="B23" s="1657">
        <v>2377002</v>
      </c>
      <c r="C23" s="1658" t="s">
        <v>7874</v>
      </c>
      <c r="D23" s="1658" t="s">
        <v>7872</v>
      </c>
      <c r="E23" s="1658" t="s">
        <v>7856</v>
      </c>
      <c r="F23" s="1658">
        <v>1619593.61</v>
      </c>
      <c r="G23" s="1658">
        <v>43810</v>
      </c>
      <c r="H23" s="1658" t="s">
        <v>7857</v>
      </c>
      <c r="I23" s="1658">
        <v>135</v>
      </c>
      <c r="J23" s="1658">
        <v>43945</v>
      </c>
      <c r="K23" s="1658" t="s">
        <v>7858</v>
      </c>
      <c r="L23" s="1658">
        <v>44157</v>
      </c>
      <c r="M23" s="1659" t="s">
        <v>7851</v>
      </c>
      <c r="N23" s="1659" t="s">
        <v>7851</v>
      </c>
    </row>
    <row r="24" spans="1:14" s="68" customFormat="1" ht="108">
      <c r="A24" s="260" t="s">
        <v>7876</v>
      </c>
      <c r="B24" s="1657">
        <v>2449996</v>
      </c>
      <c r="C24" s="1658" t="s">
        <v>7874</v>
      </c>
      <c r="D24" s="1658" t="s">
        <v>7872</v>
      </c>
      <c r="E24" s="1658" t="s">
        <v>7859</v>
      </c>
      <c r="F24" s="1658">
        <v>1168558.74</v>
      </c>
      <c r="G24" s="1658">
        <v>43822</v>
      </c>
      <c r="H24" s="1658" t="s">
        <v>7860</v>
      </c>
      <c r="I24" s="1658">
        <v>90</v>
      </c>
      <c r="J24" s="1658">
        <v>43912</v>
      </c>
      <c r="K24" s="1658" t="s">
        <v>7861</v>
      </c>
      <c r="L24" s="1658">
        <v>44065</v>
      </c>
      <c r="M24" s="1659" t="s">
        <v>7851</v>
      </c>
      <c r="N24" s="1659" t="s">
        <v>7851</v>
      </c>
    </row>
    <row r="25" spans="1:14" s="68" customFormat="1" ht="144">
      <c r="A25" s="260" t="s">
        <v>7877</v>
      </c>
      <c r="B25" s="1657">
        <v>2487118</v>
      </c>
      <c r="C25" s="1658" t="s">
        <v>7871</v>
      </c>
      <c r="D25" s="1658" t="s">
        <v>7872</v>
      </c>
      <c r="E25" s="1658" t="s">
        <v>7862</v>
      </c>
      <c r="F25" s="1658">
        <v>5937221.8300000001</v>
      </c>
      <c r="G25" s="1658">
        <v>44048</v>
      </c>
      <c r="H25" s="1658" t="s">
        <v>7863</v>
      </c>
      <c r="I25" s="1658">
        <v>150</v>
      </c>
      <c r="J25" s="1658">
        <v>44198</v>
      </c>
      <c r="K25" s="1658" t="s">
        <v>7851</v>
      </c>
      <c r="L25" s="1658" t="s">
        <v>7851</v>
      </c>
      <c r="M25" s="1659" t="s">
        <v>7851</v>
      </c>
      <c r="N25" s="1659" t="s">
        <v>7851</v>
      </c>
    </row>
    <row r="26" spans="1:14" s="68" customFormat="1" ht="132">
      <c r="A26" s="260" t="s">
        <v>7878</v>
      </c>
      <c r="B26" s="1657">
        <v>2487118</v>
      </c>
      <c r="C26" s="1658" t="s">
        <v>7871</v>
      </c>
      <c r="D26" s="1658" t="s">
        <v>7872</v>
      </c>
      <c r="E26" s="1658" t="s">
        <v>7864</v>
      </c>
      <c r="F26" s="1658">
        <v>114118</v>
      </c>
      <c r="G26" s="1658">
        <v>44068</v>
      </c>
      <c r="H26" s="1658" t="s">
        <v>7865</v>
      </c>
      <c r="I26" s="1658">
        <v>120</v>
      </c>
      <c r="J26" s="1658">
        <v>44188</v>
      </c>
      <c r="K26" s="1658" t="s">
        <v>7851</v>
      </c>
      <c r="L26" s="1658" t="s">
        <v>7851</v>
      </c>
      <c r="M26" s="1659" t="s">
        <v>7851</v>
      </c>
      <c r="N26" s="1659" t="s">
        <v>7851</v>
      </c>
    </row>
    <row r="27" spans="1:14" s="68" customFormat="1" ht="144">
      <c r="A27" s="260" t="s">
        <v>7879</v>
      </c>
      <c r="B27" s="1657">
        <v>2485124</v>
      </c>
      <c r="C27" s="1658" t="s">
        <v>7871</v>
      </c>
      <c r="D27" s="1658" t="s">
        <v>7872</v>
      </c>
      <c r="E27" s="1658" t="s">
        <v>7866</v>
      </c>
      <c r="F27" s="1658">
        <v>744763</v>
      </c>
      <c r="G27" s="1658">
        <v>44061</v>
      </c>
      <c r="H27" s="1658" t="s">
        <v>7867</v>
      </c>
      <c r="I27" s="1658">
        <v>90</v>
      </c>
      <c r="J27" s="1658">
        <v>44151</v>
      </c>
      <c r="K27" s="1658" t="s">
        <v>7851</v>
      </c>
      <c r="L27" s="1658" t="s">
        <v>7851</v>
      </c>
      <c r="M27" s="1659" t="s">
        <v>7851</v>
      </c>
      <c r="N27" s="1659" t="s">
        <v>7851</v>
      </c>
    </row>
    <row r="28" spans="1:14" s="68" customFormat="1" ht="132.75" thickBot="1">
      <c r="A28" s="260" t="s">
        <v>7880</v>
      </c>
      <c r="B28" s="1657">
        <v>2477064</v>
      </c>
      <c r="C28" s="1658" t="s">
        <v>7871</v>
      </c>
      <c r="D28" s="1658" t="s">
        <v>7872</v>
      </c>
      <c r="E28" s="1658" t="s">
        <v>7868</v>
      </c>
      <c r="F28" s="1658">
        <v>129689</v>
      </c>
      <c r="G28" s="1658">
        <v>44081</v>
      </c>
      <c r="H28" s="1658" t="s">
        <v>7869</v>
      </c>
      <c r="I28" s="1658">
        <v>30</v>
      </c>
      <c r="J28" s="1658">
        <v>44111</v>
      </c>
      <c r="K28" s="1658" t="s">
        <v>7851</v>
      </c>
      <c r="L28" s="1658" t="s">
        <v>7851</v>
      </c>
      <c r="M28" s="1659" t="s">
        <v>7851</v>
      </c>
      <c r="N28" s="1659" t="s">
        <v>7851</v>
      </c>
    </row>
    <row r="29" spans="1:14" s="68" customFormat="1">
      <c r="A29" s="2048" t="s">
        <v>8107</v>
      </c>
      <c r="B29" s="2049"/>
      <c r="C29" s="2049"/>
      <c r="D29" s="2049"/>
      <c r="E29" s="2049"/>
      <c r="F29" s="2049"/>
      <c r="G29" s="2049"/>
      <c r="H29" s="2049"/>
      <c r="I29" s="2049"/>
      <c r="J29" s="2049"/>
      <c r="K29" s="2049"/>
      <c r="L29" s="2049"/>
      <c r="M29" s="2049"/>
      <c r="N29" s="2050"/>
    </row>
    <row r="30" spans="1:14" s="68" customFormat="1" ht="168">
      <c r="A30" s="260" t="s">
        <v>8108</v>
      </c>
      <c r="B30" s="1657">
        <v>375467</v>
      </c>
      <c r="C30" s="1658" t="s">
        <v>8109</v>
      </c>
      <c r="D30" s="1658" t="s">
        <v>8110</v>
      </c>
      <c r="E30" s="1658" t="s">
        <v>8111</v>
      </c>
      <c r="F30" s="1658">
        <v>1182310.46</v>
      </c>
      <c r="G30" s="1658">
        <v>43434</v>
      </c>
      <c r="H30" s="1658" t="s">
        <v>8112</v>
      </c>
      <c r="I30" s="1658" t="s">
        <v>8113</v>
      </c>
      <c r="J30" s="1658">
        <v>43647</v>
      </c>
      <c r="K30" s="1658" t="s">
        <v>8114</v>
      </c>
      <c r="L30" s="1658">
        <v>43692</v>
      </c>
      <c r="M30" s="1659" t="s">
        <v>8115</v>
      </c>
      <c r="N30" s="1659" t="s">
        <v>8116</v>
      </c>
    </row>
    <row r="31" spans="1:14" s="68" customFormat="1" ht="192">
      <c r="A31" s="260" t="s">
        <v>8117</v>
      </c>
      <c r="B31" s="1657">
        <v>375467</v>
      </c>
      <c r="C31" s="1658" t="s">
        <v>8109</v>
      </c>
      <c r="D31" s="1658" t="s">
        <v>8110</v>
      </c>
      <c r="E31" s="1658" t="s">
        <v>8111</v>
      </c>
      <c r="F31" s="1658">
        <v>1223807.73</v>
      </c>
      <c r="G31" s="1658">
        <v>43444</v>
      </c>
      <c r="H31" s="1658" t="s">
        <v>8118</v>
      </c>
      <c r="I31" s="1658" t="s">
        <v>8119</v>
      </c>
      <c r="J31" s="1658">
        <v>43587</v>
      </c>
      <c r="K31" s="1658" t="s">
        <v>8120</v>
      </c>
      <c r="L31" s="1658">
        <v>43622</v>
      </c>
      <c r="M31" s="1659">
        <v>43622</v>
      </c>
      <c r="N31" s="1659">
        <v>43649</v>
      </c>
    </row>
    <row r="32" spans="1:14" s="68" customFormat="1" ht="144">
      <c r="A32" s="260" t="s">
        <v>8121</v>
      </c>
      <c r="B32" s="1657">
        <v>176576</v>
      </c>
      <c r="C32" s="1658" t="s">
        <v>8122</v>
      </c>
      <c r="D32" s="1658" t="s">
        <v>8110</v>
      </c>
      <c r="E32" s="1658" t="s">
        <v>8123</v>
      </c>
      <c r="F32" s="1658">
        <v>7828655.0499999998</v>
      </c>
      <c r="G32" s="1658">
        <v>43462</v>
      </c>
      <c r="H32" s="1658" t="s">
        <v>8124</v>
      </c>
      <c r="I32" s="1658" t="s">
        <v>8113</v>
      </c>
      <c r="J32" s="1658">
        <v>43788</v>
      </c>
      <c r="K32" s="1658" t="s">
        <v>8125</v>
      </c>
      <c r="L32" s="1658">
        <v>44076</v>
      </c>
      <c r="M32" s="1659" t="s">
        <v>8126</v>
      </c>
      <c r="N32" s="1659" t="s">
        <v>8126</v>
      </c>
    </row>
    <row r="33" spans="1:14" s="68" customFormat="1" ht="108.75" thickBot="1">
      <c r="A33" s="260" t="s">
        <v>8127</v>
      </c>
      <c r="B33" s="1657">
        <v>156495</v>
      </c>
      <c r="C33" s="1658" t="s">
        <v>8128</v>
      </c>
      <c r="D33" s="1658" t="s">
        <v>8110</v>
      </c>
      <c r="E33" s="1658" t="s">
        <v>8129</v>
      </c>
      <c r="F33" s="1658">
        <v>8180269.6500000004</v>
      </c>
      <c r="G33" s="1658">
        <v>43816</v>
      </c>
      <c r="H33" s="1658" t="s">
        <v>8130</v>
      </c>
      <c r="I33" s="1658" t="s">
        <v>8131</v>
      </c>
      <c r="J33" s="1658">
        <v>44151</v>
      </c>
      <c r="K33" s="1658" t="s">
        <v>8132</v>
      </c>
      <c r="L33" s="1658">
        <v>43976</v>
      </c>
      <c r="M33" s="1659" t="s">
        <v>8133</v>
      </c>
      <c r="N33" s="1659" t="s">
        <v>8133</v>
      </c>
    </row>
    <row r="34" spans="1:14" s="68" customFormat="1" ht="16.5" thickBot="1">
      <c r="A34" s="2045" t="s">
        <v>8374</v>
      </c>
      <c r="B34" s="2046"/>
      <c r="C34" s="2046"/>
      <c r="D34" s="2046"/>
      <c r="E34" s="2046"/>
      <c r="F34" s="2046"/>
      <c r="G34" s="2046"/>
      <c r="H34" s="2046"/>
      <c r="I34" s="2046"/>
      <c r="J34" s="2046"/>
      <c r="K34" s="2046"/>
      <c r="L34" s="2046"/>
      <c r="M34" s="2046"/>
      <c r="N34" s="2047"/>
    </row>
    <row r="35" spans="1:14" s="68" customFormat="1" ht="36">
      <c r="A35" s="260" t="s">
        <v>8843</v>
      </c>
      <c r="B35" s="1657">
        <v>2135235</v>
      </c>
      <c r="C35" s="1658" t="s">
        <v>8844</v>
      </c>
      <c r="D35" s="1658" t="s">
        <v>8845</v>
      </c>
      <c r="E35" s="1658" t="s">
        <v>8846</v>
      </c>
      <c r="F35" s="1658">
        <v>3062913</v>
      </c>
      <c r="G35" s="1658" t="s">
        <v>8846</v>
      </c>
      <c r="H35" s="1658" t="s">
        <v>8844</v>
      </c>
      <c r="I35" s="1658">
        <v>43655</v>
      </c>
      <c r="J35" s="1658">
        <v>44089</v>
      </c>
      <c r="K35" s="1658">
        <v>2</v>
      </c>
      <c r="L35" s="1658">
        <v>44089</v>
      </c>
      <c r="M35" s="1659">
        <v>44104</v>
      </c>
      <c r="N35" s="1659">
        <v>44104</v>
      </c>
    </row>
    <row r="36" spans="1:14" s="68" customFormat="1" ht="84">
      <c r="A36" s="260" t="s">
        <v>8847</v>
      </c>
      <c r="B36" s="1657">
        <v>2366201</v>
      </c>
      <c r="C36" s="1658" t="s">
        <v>7416</v>
      </c>
      <c r="D36" s="1658" t="s">
        <v>7872</v>
      </c>
      <c r="E36" s="1658" t="s">
        <v>8848</v>
      </c>
      <c r="F36" s="1658">
        <v>613836</v>
      </c>
      <c r="G36" s="1658">
        <v>43460</v>
      </c>
      <c r="H36" s="1658" t="s">
        <v>8849</v>
      </c>
      <c r="I36" s="1658">
        <v>43461</v>
      </c>
      <c r="J36" s="1658">
        <v>43513</v>
      </c>
      <c r="K36" s="1658">
        <v>1</v>
      </c>
      <c r="L36" s="1658">
        <v>43513</v>
      </c>
      <c r="M36" s="1659">
        <v>43525</v>
      </c>
      <c r="N36" s="1659">
        <v>43525</v>
      </c>
    </row>
    <row r="37" spans="1:14" s="68" customFormat="1" ht="96">
      <c r="A37" s="260" t="s">
        <v>8850</v>
      </c>
      <c r="B37" s="1657">
        <v>2387627</v>
      </c>
      <c r="C37" s="1658" t="s">
        <v>7414</v>
      </c>
      <c r="D37" s="1658" t="s">
        <v>7872</v>
      </c>
      <c r="E37" s="1658" t="s">
        <v>8851</v>
      </c>
      <c r="F37" s="1658">
        <v>1494454</v>
      </c>
      <c r="G37" s="1658">
        <v>43826</v>
      </c>
      <c r="H37" s="1658" t="s">
        <v>8852</v>
      </c>
      <c r="I37" s="1658" t="s">
        <v>8853</v>
      </c>
      <c r="J37" s="1658"/>
      <c r="K37" s="1658"/>
      <c r="L37" s="1658"/>
      <c r="M37" s="1659"/>
      <c r="N37" s="1659"/>
    </row>
    <row r="38" spans="1:14" s="68" customFormat="1" ht="96">
      <c r="A38" s="260" t="s">
        <v>8854</v>
      </c>
      <c r="B38" s="1657">
        <v>2425875</v>
      </c>
      <c r="C38" s="1658" t="s">
        <v>7416</v>
      </c>
      <c r="D38" s="1658" t="s">
        <v>7872</v>
      </c>
      <c r="E38" s="1658" t="s">
        <v>8855</v>
      </c>
      <c r="F38" s="1658">
        <v>348518</v>
      </c>
      <c r="G38" s="1658">
        <v>43385</v>
      </c>
      <c r="H38" s="1658" t="s">
        <v>8856</v>
      </c>
      <c r="I38" s="1658">
        <v>43387</v>
      </c>
      <c r="J38" s="1658">
        <v>43495</v>
      </c>
      <c r="K38" s="1658">
        <v>3</v>
      </c>
      <c r="L38" s="1658">
        <v>43495</v>
      </c>
      <c r="M38" s="1659">
        <v>43531</v>
      </c>
      <c r="N38" s="1659">
        <v>43531</v>
      </c>
    </row>
    <row r="39" spans="1:14" s="68" customFormat="1" ht="84">
      <c r="A39" s="260" t="s">
        <v>8857</v>
      </c>
      <c r="B39" s="1657" t="s">
        <v>8858</v>
      </c>
      <c r="C39" s="1658" t="s">
        <v>7414</v>
      </c>
      <c r="D39" s="1658" t="s">
        <v>7872</v>
      </c>
      <c r="E39" s="1658" t="s">
        <v>8851</v>
      </c>
      <c r="F39" s="1658">
        <v>1339951</v>
      </c>
      <c r="G39" s="1658">
        <v>43826</v>
      </c>
      <c r="H39" s="1658" t="s">
        <v>8859</v>
      </c>
      <c r="I39" s="1658" t="s">
        <v>8853</v>
      </c>
      <c r="J39" s="1658"/>
      <c r="K39" s="1658"/>
      <c r="L39" s="1658"/>
      <c r="M39" s="1659"/>
      <c r="N39" s="1659"/>
    </row>
    <row r="40" spans="1:14" s="68" customFormat="1" ht="96">
      <c r="A40" s="260" t="s">
        <v>8860</v>
      </c>
      <c r="B40" s="1657">
        <v>2442196</v>
      </c>
      <c r="C40" s="1658" t="s">
        <v>7416</v>
      </c>
      <c r="D40" s="1658" t="s">
        <v>7872</v>
      </c>
      <c r="E40" s="1658" t="s">
        <v>8861</v>
      </c>
      <c r="F40" s="1658">
        <v>96400</v>
      </c>
      <c r="G40" s="1658">
        <v>43809</v>
      </c>
      <c r="H40" s="1658" t="s">
        <v>8862</v>
      </c>
      <c r="I40" s="1658" t="s">
        <v>8853</v>
      </c>
      <c r="J40" s="1658"/>
      <c r="K40" s="1658"/>
      <c r="L40" s="1658"/>
      <c r="M40" s="1659"/>
      <c r="N40" s="1659"/>
    </row>
    <row r="41" spans="1:14" s="68" customFormat="1" ht="72">
      <c r="A41" s="260" t="s">
        <v>8863</v>
      </c>
      <c r="B41" s="1657">
        <v>2442312</v>
      </c>
      <c r="C41" s="1658" t="s">
        <v>7414</v>
      </c>
      <c r="D41" s="1658" t="s">
        <v>7872</v>
      </c>
      <c r="E41" s="1658" t="s">
        <v>8864</v>
      </c>
      <c r="F41" s="1658">
        <v>1310960</v>
      </c>
      <c r="G41" s="1658">
        <v>43784</v>
      </c>
      <c r="H41" s="1658" t="s">
        <v>8865</v>
      </c>
      <c r="I41" s="1658">
        <v>43809</v>
      </c>
      <c r="J41" s="1658">
        <v>44050</v>
      </c>
      <c r="K41" s="1658">
        <v>1</v>
      </c>
      <c r="L41" s="1658">
        <v>44050</v>
      </c>
      <c r="M41" s="1659">
        <v>44104</v>
      </c>
      <c r="N41" s="1659">
        <v>44104</v>
      </c>
    </row>
    <row r="42" spans="1:14" s="68" customFormat="1">
      <c r="A42" s="300">
        <v>2020</v>
      </c>
      <c r="B42" s="304"/>
      <c r="C42" s="305"/>
      <c r="D42" s="305"/>
      <c r="E42" s="305"/>
      <c r="F42" s="305"/>
      <c r="G42" s="305"/>
      <c r="H42" s="305"/>
      <c r="I42" s="305"/>
      <c r="J42" s="305"/>
      <c r="K42" s="305"/>
      <c r="L42" s="305"/>
      <c r="M42" s="301"/>
      <c r="N42" s="301"/>
    </row>
    <row r="43" spans="1:14" s="68" customFormat="1" ht="36">
      <c r="A43" s="260" t="s">
        <v>8843</v>
      </c>
      <c r="B43" s="1657">
        <v>2135235</v>
      </c>
      <c r="C43" s="1658" t="s">
        <v>8866</v>
      </c>
      <c r="D43" s="1658" t="s">
        <v>8845</v>
      </c>
      <c r="E43" s="1658" t="s">
        <v>8867</v>
      </c>
      <c r="F43" s="1658">
        <v>1885177</v>
      </c>
      <c r="G43" s="1658" t="s">
        <v>8867</v>
      </c>
      <c r="H43" s="1658" t="s">
        <v>8866</v>
      </c>
      <c r="I43" s="1658">
        <v>43655</v>
      </c>
      <c r="J43" s="1658">
        <v>44089</v>
      </c>
      <c r="K43" s="1658">
        <v>2</v>
      </c>
      <c r="L43" s="1658">
        <v>44089</v>
      </c>
      <c r="M43" s="1659">
        <v>44104</v>
      </c>
      <c r="N43" s="1659">
        <v>44104</v>
      </c>
    </row>
    <row r="44" spans="1:14" s="68" customFormat="1" ht="120">
      <c r="A44" s="260" t="s">
        <v>8868</v>
      </c>
      <c r="B44" s="1657">
        <v>2289216</v>
      </c>
      <c r="C44" s="1658" t="s">
        <v>7416</v>
      </c>
      <c r="D44" s="1658" t="s">
        <v>7872</v>
      </c>
      <c r="E44" s="1658">
        <v>444</v>
      </c>
      <c r="F44" s="1658">
        <v>744919</v>
      </c>
      <c r="G44" s="1658">
        <v>44061</v>
      </c>
      <c r="H44" s="1658" t="s">
        <v>8869</v>
      </c>
      <c r="I44" s="1658">
        <v>44069</v>
      </c>
      <c r="J44" s="1658">
        <v>44159</v>
      </c>
      <c r="K44" s="1658">
        <v>0</v>
      </c>
      <c r="L44" s="1658">
        <v>44159</v>
      </c>
      <c r="M44" s="1659">
        <v>44191</v>
      </c>
      <c r="N44" s="1659">
        <v>44191</v>
      </c>
    </row>
    <row r="45" spans="1:14" s="68" customFormat="1" ht="96">
      <c r="A45" s="260" t="s">
        <v>8870</v>
      </c>
      <c r="B45" s="1657">
        <v>2387627</v>
      </c>
      <c r="C45" s="1658" t="s">
        <v>7414</v>
      </c>
      <c r="D45" s="1658" t="s">
        <v>7872</v>
      </c>
      <c r="E45" s="1658" t="s">
        <v>8851</v>
      </c>
      <c r="F45" s="1658">
        <v>1494454</v>
      </c>
      <c r="G45" s="1658">
        <v>43826</v>
      </c>
      <c r="H45" s="1658" t="s">
        <v>8852</v>
      </c>
      <c r="I45" s="1658">
        <v>43844</v>
      </c>
      <c r="J45" s="1658">
        <v>44104</v>
      </c>
      <c r="K45" s="1658">
        <v>1</v>
      </c>
      <c r="L45" s="1658">
        <v>44104</v>
      </c>
      <c r="M45" s="1659">
        <v>44134</v>
      </c>
      <c r="N45" s="1659">
        <v>44134</v>
      </c>
    </row>
    <row r="46" spans="1:14" s="68" customFormat="1" ht="96">
      <c r="A46" s="260" t="s">
        <v>8854</v>
      </c>
      <c r="B46" s="1657">
        <v>2425875</v>
      </c>
      <c r="C46" s="1658" t="s">
        <v>8871</v>
      </c>
      <c r="D46" s="1658" t="s">
        <v>7872</v>
      </c>
      <c r="E46" s="1658" t="s">
        <v>8855</v>
      </c>
      <c r="F46" s="1658">
        <v>16782</v>
      </c>
      <c r="G46" s="1658">
        <v>43385</v>
      </c>
      <c r="H46" s="1658" t="s">
        <v>8856</v>
      </c>
      <c r="I46" s="1658" t="s">
        <v>8872</v>
      </c>
      <c r="J46" s="1658"/>
      <c r="K46" s="1658"/>
      <c r="L46" s="1658"/>
      <c r="M46" s="1659"/>
      <c r="N46" s="1659"/>
    </row>
    <row r="47" spans="1:14" s="68" customFormat="1" ht="84">
      <c r="A47" s="260" t="s">
        <v>8857</v>
      </c>
      <c r="B47" s="1657" t="s">
        <v>8858</v>
      </c>
      <c r="C47" s="1658" t="s">
        <v>7414</v>
      </c>
      <c r="D47" s="1658" t="s">
        <v>7872</v>
      </c>
      <c r="E47" s="1658" t="s">
        <v>8851</v>
      </c>
      <c r="F47" s="1658">
        <v>1339951</v>
      </c>
      <c r="G47" s="1658">
        <v>43826</v>
      </c>
      <c r="H47" s="1658" t="s">
        <v>8859</v>
      </c>
      <c r="I47" s="1658">
        <v>43840</v>
      </c>
      <c r="J47" s="1658">
        <v>44121</v>
      </c>
      <c r="K47" s="1658">
        <v>2</v>
      </c>
      <c r="L47" s="1658">
        <v>44121</v>
      </c>
      <c r="M47" s="1659">
        <v>44152</v>
      </c>
      <c r="N47" s="1659">
        <v>44152</v>
      </c>
    </row>
    <row r="48" spans="1:14" s="68" customFormat="1" ht="96">
      <c r="A48" s="260" t="s">
        <v>8873</v>
      </c>
      <c r="B48" s="1657">
        <v>2442196</v>
      </c>
      <c r="C48" s="1658" t="s">
        <v>7416</v>
      </c>
      <c r="D48" s="1658" t="s">
        <v>7872</v>
      </c>
      <c r="E48" s="1658" t="s">
        <v>8861</v>
      </c>
      <c r="F48" s="1658">
        <v>96400</v>
      </c>
      <c r="G48" s="1658">
        <v>43809</v>
      </c>
      <c r="H48" s="1658" t="s">
        <v>8862</v>
      </c>
      <c r="I48" s="1658">
        <v>44182</v>
      </c>
      <c r="J48" s="1658">
        <v>43875</v>
      </c>
      <c r="K48" s="1658">
        <v>0</v>
      </c>
      <c r="L48" s="1658">
        <v>43875</v>
      </c>
      <c r="M48" s="1659">
        <v>43992</v>
      </c>
      <c r="N48" s="1659">
        <v>43992</v>
      </c>
    </row>
    <row r="49" spans="1:14" s="68" customFormat="1" ht="72">
      <c r="A49" s="260" t="s">
        <v>8863</v>
      </c>
      <c r="B49" s="1657">
        <v>2442312</v>
      </c>
      <c r="C49" s="1658" t="s">
        <v>7414</v>
      </c>
      <c r="D49" s="1658" t="s">
        <v>7872</v>
      </c>
      <c r="E49" s="1658" t="s">
        <v>8864</v>
      </c>
      <c r="F49" s="1658">
        <v>1310960</v>
      </c>
      <c r="G49" s="1658">
        <v>43784</v>
      </c>
      <c r="H49" s="1658" t="s">
        <v>8865</v>
      </c>
      <c r="I49" s="1658">
        <v>43809</v>
      </c>
      <c r="J49" s="1658">
        <v>44050</v>
      </c>
      <c r="K49" s="1658">
        <v>1</v>
      </c>
      <c r="L49" s="1658">
        <v>44050</v>
      </c>
      <c r="M49" s="1659">
        <v>44104</v>
      </c>
      <c r="N49" s="1659">
        <v>44104</v>
      </c>
    </row>
    <row r="50" spans="1:14" s="68" customFormat="1" ht="120">
      <c r="A50" s="260" t="s">
        <v>8874</v>
      </c>
      <c r="B50" s="1657" t="s">
        <v>8875</v>
      </c>
      <c r="C50" s="1658" t="s">
        <v>7416</v>
      </c>
      <c r="D50" s="1658" t="s">
        <v>7872</v>
      </c>
      <c r="E50" s="1658">
        <v>331</v>
      </c>
      <c r="F50" s="1658">
        <v>36000</v>
      </c>
      <c r="G50" s="1658">
        <v>43986</v>
      </c>
      <c r="H50" s="1658" t="s">
        <v>8876</v>
      </c>
      <c r="I50" s="1658">
        <v>43987</v>
      </c>
      <c r="J50" s="1658">
        <v>44164</v>
      </c>
      <c r="K50" s="1658">
        <v>0</v>
      </c>
      <c r="L50" s="1658">
        <v>44164</v>
      </c>
      <c r="M50" s="1659">
        <v>44175</v>
      </c>
      <c r="N50" s="1659">
        <v>44175</v>
      </c>
    </row>
    <row r="51" spans="1:14" s="68" customFormat="1" ht="108.75" thickBot="1">
      <c r="A51" s="260" t="s">
        <v>8877</v>
      </c>
      <c r="B51" s="1657" t="s">
        <v>8878</v>
      </c>
      <c r="C51" s="1658" t="s">
        <v>7416</v>
      </c>
      <c r="D51" s="1658" t="s">
        <v>7872</v>
      </c>
      <c r="E51" s="1658">
        <v>453</v>
      </c>
      <c r="F51" s="1658">
        <v>360317</v>
      </c>
      <c r="G51" s="1658">
        <v>44084</v>
      </c>
      <c r="H51" s="1658" t="s">
        <v>8879</v>
      </c>
      <c r="I51" s="1658">
        <v>44078</v>
      </c>
      <c r="J51" s="1658">
        <v>44358</v>
      </c>
      <c r="K51" s="1658">
        <v>0</v>
      </c>
      <c r="L51" s="1658">
        <v>44358</v>
      </c>
      <c r="M51" s="1659">
        <v>44368</v>
      </c>
      <c r="N51" s="1659">
        <v>44368</v>
      </c>
    </row>
    <row r="52" spans="1:14" s="68" customFormat="1" ht="16.5" thickBot="1">
      <c r="A52" s="2045" t="s">
        <v>9077</v>
      </c>
      <c r="B52" s="2046"/>
      <c r="C52" s="2046"/>
      <c r="D52" s="2046"/>
      <c r="E52" s="2046"/>
      <c r="F52" s="2046"/>
      <c r="G52" s="2046"/>
      <c r="H52" s="2046"/>
      <c r="I52" s="2046"/>
      <c r="J52" s="2046"/>
      <c r="K52" s="2046"/>
      <c r="L52" s="2046"/>
      <c r="M52" s="2046"/>
      <c r="N52" s="2047"/>
    </row>
    <row r="53" spans="1:14" s="68" customFormat="1">
      <c r="A53" s="300"/>
      <c r="B53" s="304"/>
      <c r="C53" s="305"/>
      <c r="D53" s="305"/>
      <c r="E53" s="305"/>
      <c r="F53" s="305"/>
      <c r="G53" s="305"/>
      <c r="H53" s="305"/>
      <c r="I53" s="305"/>
      <c r="J53" s="305"/>
      <c r="K53" s="305"/>
      <c r="L53" s="305"/>
      <c r="M53" s="301"/>
      <c r="N53" s="301"/>
    </row>
    <row r="54" spans="1:14" s="68" customFormat="1">
      <c r="A54" s="300"/>
      <c r="B54" s="304"/>
      <c r="C54" s="305"/>
      <c r="D54" s="305"/>
      <c r="E54" s="305"/>
      <c r="F54" s="305"/>
      <c r="G54" s="305"/>
      <c r="H54" s="305"/>
      <c r="I54" s="305"/>
      <c r="J54" s="305"/>
      <c r="K54" s="305"/>
      <c r="L54" s="305"/>
      <c r="M54" s="301"/>
      <c r="N54" s="301"/>
    </row>
    <row r="55" spans="1:14" s="68" customFormat="1">
      <c r="A55" s="300"/>
      <c r="B55" s="304"/>
      <c r="C55" s="305"/>
      <c r="D55" s="305"/>
      <c r="E55" s="305"/>
      <c r="F55" s="305"/>
      <c r="G55" s="305"/>
      <c r="H55" s="305"/>
      <c r="I55" s="305"/>
      <c r="J55" s="305"/>
      <c r="K55" s="305"/>
      <c r="L55" s="305"/>
      <c r="M55" s="301"/>
      <c r="N55" s="301"/>
    </row>
    <row r="56" spans="1:14" s="68" customFormat="1" ht="12.75" thickBot="1">
      <c r="A56" s="300"/>
      <c r="B56" s="304"/>
      <c r="C56" s="305"/>
      <c r="D56" s="305"/>
      <c r="E56" s="305"/>
      <c r="F56" s="305"/>
      <c r="G56" s="305"/>
      <c r="H56" s="305"/>
      <c r="I56" s="305"/>
      <c r="J56" s="305"/>
      <c r="K56" s="305"/>
      <c r="L56" s="305"/>
      <c r="M56" s="301"/>
      <c r="N56" s="301"/>
    </row>
    <row r="57" spans="1:14" s="68" customFormat="1" ht="16.5" thickBot="1">
      <c r="A57" s="2045" t="s">
        <v>9079</v>
      </c>
      <c r="B57" s="2046"/>
      <c r="C57" s="2046"/>
      <c r="D57" s="2046"/>
      <c r="E57" s="2046"/>
      <c r="F57" s="2046"/>
      <c r="G57" s="2046"/>
      <c r="H57" s="2046"/>
      <c r="I57" s="2046"/>
      <c r="J57" s="2046"/>
      <c r="K57" s="2046"/>
      <c r="L57" s="2046"/>
      <c r="M57" s="2046"/>
      <c r="N57" s="2047"/>
    </row>
    <row r="58" spans="1:14" s="68" customFormat="1">
      <c r="A58" s="300"/>
      <c r="B58" s="304"/>
      <c r="C58" s="305"/>
      <c r="D58" s="305"/>
      <c r="E58" s="305"/>
      <c r="F58" s="305"/>
      <c r="G58" s="305"/>
      <c r="H58" s="305"/>
      <c r="I58" s="305"/>
      <c r="J58" s="305"/>
      <c r="K58" s="305"/>
      <c r="L58" s="305"/>
      <c r="M58" s="301"/>
      <c r="N58" s="301"/>
    </row>
    <row r="59" spans="1:14" s="68" customFormat="1">
      <c r="A59" s="300"/>
      <c r="B59" s="304"/>
      <c r="C59" s="305"/>
      <c r="D59" s="305"/>
      <c r="E59" s="305"/>
      <c r="F59" s="305"/>
      <c r="G59" s="305"/>
      <c r="H59" s="305"/>
      <c r="I59" s="305"/>
      <c r="J59" s="305"/>
      <c r="K59" s="305"/>
      <c r="L59" s="305"/>
      <c r="M59" s="301"/>
      <c r="N59" s="301"/>
    </row>
    <row r="60" spans="1:14" s="68" customFormat="1">
      <c r="A60" s="300"/>
      <c r="B60" s="304"/>
      <c r="C60" s="305"/>
      <c r="D60" s="305"/>
      <c r="E60" s="305"/>
      <c r="F60" s="305"/>
      <c r="G60" s="305"/>
      <c r="H60" s="305"/>
      <c r="I60" s="305"/>
      <c r="J60" s="305"/>
      <c r="K60" s="305"/>
      <c r="L60" s="305"/>
      <c r="M60" s="301"/>
      <c r="N60" s="301"/>
    </row>
    <row r="61" spans="1:14" s="68" customFormat="1">
      <c r="A61" s="300"/>
      <c r="B61" s="304"/>
      <c r="C61" s="305"/>
      <c r="D61" s="305"/>
      <c r="E61" s="305"/>
      <c r="F61" s="305"/>
      <c r="G61" s="305"/>
      <c r="H61" s="305"/>
      <c r="I61" s="305"/>
      <c r="J61" s="305"/>
      <c r="K61" s="305"/>
      <c r="L61" s="305"/>
      <c r="M61" s="301"/>
      <c r="N61" s="301"/>
    </row>
    <row r="62" spans="1:14" s="68" customFormat="1" ht="12.75" thickBot="1">
      <c r="A62" s="300"/>
      <c r="B62" s="304"/>
      <c r="C62" s="305"/>
      <c r="D62" s="305"/>
      <c r="E62" s="305"/>
      <c r="F62" s="305"/>
      <c r="G62" s="305"/>
      <c r="H62" s="305"/>
      <c r="I62" s="305"/>
      <c r="J62" s="305"/>
      <c r="K62" s="305"/>
      <c r="L62" s="305"/>
      <c r="M62" s="301"/>
      <c r="N62" s="301"/>
    </row>
    <row r="63" spans="1:14" s="68" customFormat="1" ht="16.5" thickBot="1">
      <c r="A63" s="2045" t="s">
        <v>9080</v>
      </c>
      <c r="B63" s="2046"/>
      <c r="C63" s="2046"/>
      <c r="D63" s="2046"/>
      <c r="E63" s="2046"/>
      <c r="F63" s="2046"/>
      <c r="G63" s="2046"/>
      <c r="H63" s="2046"/>
      <c r="I63" s="2046"/>
      <c r="J63" s="2046"/>
      <c r="K63" s="2046"/>
      <c r="L63" s="2046"/>
      <c r="M63" s="2046"/>
      <c r="N63" s="2047"/>
    </row>
    <row r="64" spans="1:14" s="68" customFormat="1">
      <c r="A64" s="300"/>
      <c r="B64" s="304"/>
      <c r="C64" s="305"/>
      <c r="D64" s="305"/>
      <c r="E64" s="305"/>
      <c r="F64" s="305"/>
      <c r="G64" s="305"/>
      <c r="H64" s="305"/>
      <c r="I64" s="305"/>
      <c r="J64" s="305"/>
      <c r="K64" s="305"/>
      <c r="L64" s="305"/>
      <c r="M64" s="301"/>
      <c r="N64" s="301"/>
    </row>
    <row r="65" spans="1:14" s="68" customFormat="1">
      <c r="A65" s="300"/>
      <c r="B65" s="304"/>
      <c r="C65" s="305"/>
      <c r="D65" s="305"/>
      <c r="E65" s="305"/>
      <c r="F65" s="305"/>
      <c r="G65" s="305"/>
      <c r="H65" s="305"/>
      <c r="I65" s="305"/>
      <c r="J65" s="305"/>
      <c r="K65" s="305"/>
      <c r="L65" s="305"/>
      <c r="M65" s="301"/>
      <c r="N65" s="301"/>
    </row>
    <row r="66" spans="1:14" s="68" customFormat="1">
      <c r="A66" s="300"/>
      <c r="B66" s="304"/>
      <c r="C66" s="305"/>
      <c r="D66" s="305"/>
      <c r="E66" s="305"/>
      <c r="F66" s="305"/>
      <c r="G66" s="305"/>
      <c r="H66" s="305"/>
      <c r="I66" s="305"/>
      <c r="J66" s="305"/>
      <c r="K66" s="305"/>
      <c r="L66" s="305"/>
      <c r="M66" s="301"/>
      <c r="N66" s="301"/>
    </row>
    <row r="67" spans="1:14" s="68" customFormat="1" ht="12.75" thickBot="1">
      <c r="A67" s="300"/>
      <c r="B67" s="304"/>
      <c r="C67" s="305"/>
      <c r="D67" s="305"/>
      <c r="E67" s="305"/>
      <c r="F67" s="305"/>
      <c r="G67" s="305"/>
      <c r="H67" s="305"/>
      <c r="I67" s="305"/>
      <c r="J67" s="305"/>
      <c r="K67" s="305"/>
      <c r="L67" s="305"/>
      <c r="M67" s="301"/>
      <c r="N67" s="301"/>
    </row>
    <row r="68" spans="1:14" s="68" customFormat="1" ht="12.75" thickBot="1">
      <c r="A68" s="2043" t="s">
        <v>9088</v>
      </c>
      <c r="B68" s="2044"/>
      <c r="C68" s="2044"/>
      <c r="D68" s="2044"/>
      <c r="E68" s="2044"/>
      <c r="F68" s="2044"/>
      <c r="G68" s="2044"/>
      <c r="H68" s="2044"/>
      <c r="I68" s="2044"/>
      <c r="J68" s="2044"/>
      <c r="K68" s="2044"/>
      <c r="L68" s="2044"/>
      <c r="M68" s="2044"/>
      <c r="N68" s="2044"/>
    </row>
    <row r="69" spans="1:14" s="68" customFormat="1" ht="108">
      <c r="A69" s="260" t="s">
        <v>9089</v>
      </c>
      <c r="B69" s="1657">
        <v>278289</v>
      </c>
      <c r="C69" s="1658" t="s">
        <v>9090</v>
      </c>
      <c r="D69" s="1658" t="s">
        <v>9091</v>
      </c>
      <c r="E69" s="1658" t="s">
        <v>9092</v>
      </c>
      <c r="F69" s="1658">
        <v>313358.95</v>
      </c>
      <c r="G69" s="1658">
        <v>43644</v>
      </c>
      <c r="H69" s="1658">
        <v>20451624432</v>
      </c>
      <c r="I69" s="1658" t="s">
        <v>9093</v>
      </c>
      <c r="J69" s="1658">
        <v>43673</v>
      </c>
      <c r="K69" s="1658"/>
      <c r="L69" s="1658"/>
      <c r="M69" s="1659"/>
      <c r="N69" s="1659"/>
    </row>
    <row r="70" spans="1:14" s="68" customFormat="1" ht="120">
      <c r="A70" s="260" t="s">
        <v>9094</v>
      </c>
      <c r="B70" s="1657">
        <v>278289</v>
      </c>
      <c r="C70" s="1658" t="s">
        <v>9090</v>
      </c>
      <c r="D70" s="1658" t="s">
        <v>9091</v>
      </c>
      <c r="E70" s="1658" t="s">
        <v>9095</v>
      </c>
      <c r="F70" s="1658">
        <v>521675.94</v>
      </c>
      <c r="G70" s="1658">
        <v>43651</v>
      </c>
      <c r="H70" s="1658">
        <v>20451624432</v>
      </c>
      <c r="I70" s="1658" t="s">
        <v>9096</v>
      </c>
      <c r="J70" s="1658">
        <v>43735</v>
      </c>
      <c r="K70" s="1658"/>
      <c r="L70" s="1658"/>
      <c r="M70" s="1659"/>
      <c r="N70" s="1659"/>
    </row>
    <row r="71" spans="1:14" s="68" customFormat="1" ht="120">
      <c r="A71" s="260" t="s">
        <v>9097</v>
      </c>
      <c r="B71" s="1657">
        <v>278289</v>
      </c>
      <c r="C71" s="1658" t="s">
        <v>9090</v>
      </c>
      <c r="D71" s="1658" t="s">
        <v>9091</v>
      </c>
      <c r="E71" s="1658" t="s">
        <v>9098</v>
      </c>
      <c r="F71" s="1658">
        <v>981723.13</v>
      </c>
      <c r="G71" s="1658">
        <v>43658</v>
      </c>
      <c r="H71" s="1658">
        <v>20570771231</v>
      </c>
      <c r="I71" s="1658" t="s">
        <v>9099</v>
      </c>
      <c r="J71" s="1658">
        <v>43803</v>
      </c>
      <c r="K71" s="1658"/>
      <c r="L71" s="1658"/>
      <c r="M71" s="1659"/>
      <c r="N71" s="1659"/>
    </row>
    <row r="72" spans="1:14" s="68" customFormat="1" ht="96">
      <c r="A72" s="260" t="s">
        <v>9100</v>
      </c>
      <c r="B72" s="1657">
        <v>278289</v>
      </c>
      <c r="C72" s="1658" t="s">
        <v>9090</v>
      </c>
      <c r="D72" s="1658" t="s">
        <v>9091</v>
      </c>
      <c r="E72" s="1658" t="s">
        <v>9101</v>
      </c>
      <c r="F72" s="1658">
        <v>442823.39</v>
      </c>
      <c r="G72" s="1658">
        <v>43801</v>
      </c>
      <c r="H72" s="1658">
        <v>20482444912</v>
      </c>
      <c r="I72" s="1658" t="s">
        <v>9102</v>
      </c>
      <c r="J72" s="1658">
        <v>44021</v>
      </c>
      <c r="K72" s="1658" t="s">
        <v>9103</v>
      </c>
      <c r="L72" s="1658">
        <v>44156</v>
      </c>
      <c r="M72" s="1659"/>
      <c r="N72" s="1659"/>
    </row>
    <row r="73" spans="1:14" s="68" customFormat="1" ht="12.75" thickBot="1">
      <c r="A73" s="300"/>
      <c r="B73" s="304"/>
      <c r="C73" s="305"/>
      <c r="D73" s="305"/>
      <c r="E73" s="305"/>
      <c r="F73" s="305"/>
      <c r="G73" s="305"/>
      <c r="H73" s="305"/>
      <c r="I73" s="305"/>
      <c r="J73" s="305"/>
      <c r="K73" s="305"/>
      <c r="L73" s="305"/>
      <c r="M73" s="301"/>
      <c r="N73" s="301"/>
    </row>
    <row r="74" spans="1:14" s="68" customFormat="1" ht="12.75" thickBot="1">
      <c r="A74" s="2043" t="s">
        <v>9336</v>
      </c>
      <c r="B74" s="2044"/>
      <c r="C74" s="2044"/>
      <c r="D74" s="2044"/>
      <c r="E74" s="2044"/>
      <c r="F74" s="2044"/>
      <c r="G74" s="2044"/>
      <c r="H74" s="2044"/>
      <c r="I74" s="2044"/>
      <c r="J74" s="2044"/>
      <c r="K74" s="2044"/>
      <c r="L74" s="2044"/>
      <c r="M74" s="2044"/>
      <c r="N74" s="2044"/>
    </row>
    <row r="75" spans="1:14" s="68" customFormat="1">
      <c r="A75" s="300"/>
      <c r="B75" s="304"/>
      <c r="C75" s="305"/>
      <c r="D75" s="305"/>
      <c r="E75" s="305"/>
      <c r="F75" s="305"/>
      <c r="G75" s="305"/>
      <c r="H75" s="305"/>
      <c r="I75" s="305"/>
      <c r="J75" s="305"/>
      <c r="K75" s="305"/>
      <c r="L75" s="305"/>
      <c r="M75" s="301"/>
      <c r="N75" s="301"/>
    </row>
    <row r="76" spans="1:14" s="68" customFormat="1">
      <c r="A76" s="300"/>
      <c r="B76" s="304"/>
      <c r="C76" s="305"/>
      <c r="D76" s="305"/>
      <c r="E76" s="305"/>
      <c r="F76" s="305"/>
      <c r="G76" s="305"/>
      <c r="H76" s="305"/>
      <c r="I76" s="305"/>
      <c r="J76" s="305"/>
      <c r="K76" s="305"/>
      <c r="L76" s="305"/>
      <c r="M76" s="301"/>
      <c r="N76" s="301"/>
    </row>
    <row r="77" spans="1:14" s="68" customFormat="1">
      <c r="A77" s="300"/>
      <c r="B77" s="304"/>
      <c r="C77" s="305"/>
      <c r="D77" s="305"/>
      <c r="E77" s="305"/>
      <c r="F77" s="305"/>
      <c r="G77" s="305"/>
      <c r="H77" s="305"/>
      <c r="I77" s="305"/>
      <c r="J77" s="305"/>
      <c r="K77" s="305"/>
      <c r="L77" s="305"/>
      <c r="M77" s="301"/>
      <c r="N77" s="301"/>
    </row>
    <row r="78" spans="1:14" s="68" customFormat="1" ht="12.75" thickBot="1">
      <c r="A78" s="300"/>
      <c r="B78" s="304"/>
      <c r="C78" s="305"/>
      <c r="D78" s="305"/>
      <c r="E78" s="305"/>
      <c r="F78" s="305"/>
      <c r="G78" s="305"/>
      <c r="H78" s="305"/>
      <c r="I78" s="305"/>
      <c r="J78" s="305"/>
      <c r="K78" s="305"/>
      <c r="L78" s="305"/>
      <c r="M78" s="301"/>
      <c r="N78" s="301"/>
    </row>
    <row r="79" spans="1:14" s="68" customFormat="1" ht="12.75" thickBot="1">
      <c r="A79" s="2043" t="s">
        <v>9394</v>
      </c>
      <c r="B79" s="2044"/>
      <c r="C79" s="2044"/>
      <c r="D79" s="2044"/>
      <c r="E79" s="2044"/>
      <c r="F79" s="2044"/>
      <c r="G79" s="2044"/>
      <c r="H79" s="2044"/>
      <c r="I79" s="2044"/>
      <c r="J79" s="2044"/>
      <c r="K79" s="2044"/>
      <c r="L79" s="2044"/>
      <c r="M79" s="2044"/>
      <c r="N79" s="2044"/>
    </row>
    <row r="80" spans="1:14" s="68" customFormat="1">
      <c r="A80" s="300"/>
      <c r="B80" s="304"/>
      <c r="C80" s="305"/>
      <c r="D80" s="305"/>
      <c r="E80" s="305"/>
      <c r="F80" s="305"/>
      <c r="G80" s="305"/>
      <c r="H80" s="305"/>
      <c r="I80" s="305"/>
      <c r="J80" s="305"/>
      <c r="K80" s="305"/>
      <c r="L80" s="305"/>
      <c r="M80" s="301"/>
      <c r="N80" s="301"/>
    </row>
    <row r="81" spans="1:14" s="68" customFormat="1">
      <c r="A81" s="300"/>
      <c r="B81" s="304"/>
      <c r="C81" s="305"/>
      <c r="D81" s="305"/>
      <c r="E81" s="305"/>
      <c r="F81" s="305"/>
      <c r="G81" s="305"/>
      <c r="H81" s="305"/>
      <c r="I81" s="305"/>
      <c r="J81" s="305"/>
      <c r="K81" s="305"/>
      <c r="L81" s="305"/>
      <c r="M81" s="301"/>
      <c r="N81" s="301"/>
    </row>
    <row r="82" spans="1:14" s="68" customFormat="1">
      <c r="A82" s="300"/>
      <c r="B82" s="304"/>
      <c r="C82" s="305"/>
      <c r="D82" s="305"/>
      <c r="E82" s="305"/>
      <c r="F82" s="305"/>
      <c r="G82" s="305"/>
      <c r="H82" s="305"/>
      <c r="I82" s="305"/>
      <c r="J82" s="305"/>
      <c r="K82" s="305"/>
      <c r="L82" s="305"/>
      <c r="M82" s="301"/>
      <c r="N82" s="301"/>
    </row>
    <row r="83" spans="1:14" s="68" customFormat="1" ht="12.75" thickBot="1">
      <c r="A83" s="300"/>
      <c r="B83" s="304"/>
      <c r="C83" s="305"/>
      <c r="D83" s="305"/>
      <c r="E83" s="305"/>
      <c r="F83" s="305"/>
      <c r="G83" s="305"/>
      <c r="H83" s="305"/>
      <c r="I83" s="305"/>
      <c r="J83" s="305"/>
      <c r="K83" s="305"/>
      <c r="L83" s="305"/>
      <c r="M83" s="301"/>
      <c r="N83" s="301"/>
    </row>
    <row r="84" spans="1:14" s="68" customFormat="1" ht="12.75" thickBot="1">
      <c r="A84" s="2043" t="s">
        <v>9486</v>
      </c>
      <c r="B84" s="2044"/>
      <c r="C84" s="2044"/>
      <c r="D84" s="2044"/>
      <c r="E84" s="2044"/>
      <c r="F84" s="2044"/>
      <c r="G84" s="2044"/>
      <c r="H84" s="2044"/>
      <c r="I84" s="2044"/>
      <c r="J84" s="2044"/>
      <c r="K84" s="2044"/>
      <c r="L84" s="2044"/>
      <c r="M84" s="2044"/>
      <c r="N84" s="2044"/>
    </row>
    <row r="85" spans="1:14" s="68" customFormat="1">
      <c r="A85" s="300"/>
      <c r="B85" s="304"/>
      <c r="C85" s="305"/>
      <c r="D85" s="305"/>
      <c r="E85" s="305"/>
      <c r="F85" s="305"/>
      <c r="G85" s="305"/>
      <c r="H85" s="305"/>
      <c r="I85" s="305"/>
      <c r="J85" s="305"/>
      <c r="K85" s="305"/>
      <c r="L85" s="305"/>
      <c r="M85" s="301"/>
      <c r="N85" s="301"/>
    </row>
    <row r="86" spans="1:14" s="68" customFormat="1">
      <c r="A86" s="300"/>
      <c r="B86" s="304"/>
      <c r="C86" s="305"/>
      <c r="D86" s="305"/>
      <c r="E86" s="305"/>
      <c r="F86" s="305"/>
      <c r="G86" s="305"/>
      <c r="H86" s="305"/>
      <c r="I86" s="305"/>
      <c r="J86" s="305"/>
      <c r="K86" s="305"/>
      <c r="L86" s="305"/>
      <c r="M86" s="301"/>
      <c r="N86" s="301"/>
    </row>
    <row r="87" spans="1:14" s="68" customFormat="1">
      <c r="A87" s="300"/>
      <c r="B87" s="304"/>
      <c r="C87" s="305"/>
      <c r="D87" s="305"/>
      <c r="E87" s="305"/>
      <c r="F87" s="305"/>
      <c r="G87" s="305"/>
      <c r="H87" s="305"/>
      <c r="I87" s="305"/>
      <c r="J87" s="305"/>
      <c r="K87" s="305"/>
      <c r="L87" s="305"/>
      <c r="M87" s="301"/>
      <c r="N87" s="301"/>
    </row>
    <row r="88" spans="1:14" ht="12.75" thickBot="1">
      <c r="A88" s="336"/>
      <c r="B88" s="337"/>
      <c r="C88" s="338"/>
      <c r="D88" s="338"/>
      <c r="E88" s="338"/>
      <c r="F88" s="338"/>
      <c r="G88" s="338"/>
      <c r="H88" s="338"/>
      <c r="I88" s="338"/>
      <c r="J88" s="338"/>
      <c r="K88" s="338"/>
      <c r="L88" s="338"/>
      <c r="M88" s="339"/>
      <c r="N88" s="339"/>
    </row>
    <row r="89" spans="1:14" ht="12.75" thickBot="1">
      <c r="A89" s="14" t="s">
        <v>0</v>
      </c>
      <c r="B89" s="27"/>
      <c r="C89" s="24"/>
      <c r="D89" s="20"/>
      <c r="E89" s="20"/>
      <c r="F89" s="20"/>
      <c r="G89" s="24"/>
      <c r="H89" s="24"/>
      <c r="I89" s="24"/>
      <c r="J89" s="24"/>
      <c r="K89" s="24"/>
      <c r="L89" s="24"/>
      <c r="M89" s="24"/>
      <c r="N89" s="24"/>
    </row>
    <row r="90" spans="1:14" s="43" customFormat="1">
      <c r="A90" s="1" t="s">
        <v>317</v>
      </c>
      <c r="B90" s="2"/>
      <c r="C90" s="2"/>
      <c r="D90" s="2"/>
      <c r="E90" s="2"/>
      <c r="F90" s="2"/>
      <c r="G90" s="2"/>
      <c r="H90" s="2"/>
      <c r="I90" s="2"/>
      <c r="J90" s="2"/>
      <c r="K90" s="2"/>
      <c r="L90" s="2"/>
    </row>
    <row r="91" spans="1:14">
      <c r="A91" s="10"/>
      <c r="B91" s="10"/>
    </row>
    <row r="92" spans="1:14">
      <c r="A92" s="10"/>
    </row>
  </sheetData>
  <mergeCells count="13">
    <mergeCell ref="A74:N74"/>
    <mergeCell ref="A79:N79"/>
    <mergeCell ref="A84:N84"/>
    <mergeCell ref="A6:N6"/>
    <mergeCell ref="A19:N19"/>
    <mergeCell ref="A57:N57"/>
    <mergeCell ref="A63:N63"/>
    <mergeCell ref="A68:N68"/>
    <mergeCell ref="A29:N29"/>
    <mergeCell ref="A34:N34"/>
    <mergeCell ref="A52:N52"/>
    <mergeCell ref="A7:N7"/>
    <mergeCell ref="A13:N13"/>
  </mergeCells>
  <phoneticPr fontId="11" type="noConversion"/>
  <printOptions horizontalCentered="1"/>
  <pageMargins left="0.19685039370078741" right="0.19685039370078741" top="0.78740157480314965" bottom="0.78740157480314965" header="0.19685039370078741" footer="0.19685039370078741"/>
  <pageSetup paperSize="9" scale="65" fitToHeight="100" orientation="landscape" r:id="rId1"/>
  <headerFooter alignWithMargins="0">
    <oddHeader>&amp;C&amp;"Arial,Negrita"&amp;18FORMATOS DEL PROYECTO DE PRESUPUESTO 2021</oddHeader>
    <oddFooter>&amp;L&amp;"Arial,Negrita"&amp;8PROYECTO DE PRESUPUESTO PARA EL AÑO FISCAL 2021
INFORMACIÓN PARA LA COMISIÓN DE PRESUPUESTO Y CUENTA GENERAL DE LA REPÚBLICA DEL CONGRESO DE LA REPÚBLICA</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30">
    <pageSetUpPr fitToPage="1"/>
  </sheetPr>
  <dimension ref="A1:X712"/>
  <sheetViews>
    <sheetView view="pageBreakPreview" zoomScaleNormal="100" zoomScaleSheetLayoutView="100" workbookViewId="0">
      <pane ySplit="7" topLeftCell="A706" activePane="bottomLeft" state="frozen"/>
      <selection activeCell="B8" sqref="B8"/>
      <selection pane="bottomLeft" activeCell="B8" sqref="B8"/>
    </sheetView>
  </sheetViews>
  <sheetFormatPr baseColWidth="10" defaultRowHeight="12"/>
  <cols>
    <col min="1" max="1" width="45.7109375" style="265" customWidth="1"/>
    <col min="2" max="2" width="13" style="265" bestFit="1" customWidth="1"/>
    <col min="3" max="3" width="12.85546875" style="265" customWidth="1"/>
    <col min="4" max="4" width="14" style="265" customWidth="1"/>
    <col min="5" max="5" width="12.28515625" style="265" bestFit="1" customWidth="1"/>
    <col min="6" max="6" width="31.5703125" style="265" customWidth="1"/>
    <col min="7" max="7" width="12.85546875" style="265" customWidth="1"/>
    <col min="8" max="8" width="13.7109375" style="265" customWidth="1"/>
    <col min="9" max="9" width="10.42578125" style="265" customWidth="1"/>
    <col min="10" max="10" width="15.140625" style="265" bestFit="1" customWidth="1"/>
    <col min="11" max="16384" width="11.42578125" style="265"/>
  </cols>
  <sheetData>
    <row r="1" spans="1:24" s="264" customFormat="1">
      <c r="A1" s="69" t="s">
        <v>470</v>
      </c>
      <c r="B1" s="69"/>
      <c r="C1" s="69"/>
      <c r="D1" s="69"/>
      <c r="E1" s="69"/>
      <c r="F1" s="69"/>
      <c r="G1" s="69"/>
      <c r="H1" s="69"/>
      <c r="I1" s="69"/>
      <c r="J1" s="69"/>
    </row>
    <row r="2" spans="1:24" s="264" customFormat="1">
      <c r="A2" s="69" t="s">
        <v>382</v>
      </c>
      <c r="B2" s="69"/>
      <c r="C2" s="69"/>
      <c r="D2" s="69"/>
      <c r="E2" s="69"/>
      <c r="F2" s="69"/>
      <c r="G2" s="69"/>
      <c r="H2" s="69"/>
      <c r="I2" s="69"/>
      <c r="J2" s="69"/>
      <c r="K2" s="69"/>
      <c r="L2" s="69"/>
      <c r="M2" s="69"/>
      <c r="N2" s="69"/>
      <c r="O2" s="69"/>
      <c r="P2" s="69"/>
      <c r="Q2" s="69"/>
      <c r="R2" s="69"/>
      <c r="S2" s="69"/>
      <c r="T2" s="69"/>
      <c r="U2" s="69"/>
      <c r="V2" s="69"/>
      <c r="W2" s="69"/>
      <c r="X2" s="69"/>
    </row>
    <row r="3" spans="1:24" ht="12.75" thickBot="1">
      <c r="A3" s="1611"/>
      <c r="B3" s="1611"/>
      <c r="C3" s="1611"/>
      <c r="D3" s="1036"/>
      <c r="E3" s="1036"/>
      <c r="F3" s="1036"/>
      <c r="G3" s="9"/>
    </row>
    <row r="4" spans="1:24" ht="12.75" hidden="1" thickBot="1">
      <c r="A4" s="33" t="s">
        <v>78</v>
      </c>
      <c r="B4" s="36"/>
      <c r="C4" s="36"/>
      <c r="D4" s="49"/>
      <c r="E4" s="49"/>
      <c r="F4" s="49"/>
      <c r="G4" s="49" t="s">
        <v>30</v>
      </c>
      <c r="H4" s="49" t="s">
        <v>79</v>
      </c>
      <c r="I4" s="47"/>
      <c r="J4" s="47"/>
    </row>
    <row r="5" spans="1:24" ht="36.75" thickBot="1">
      <c r="A5" s="390" t="s">
        <v>85</v>
      </c>
      <c r="B5" s="333" t="s">
        <v>84</v>
      </c>
      <c r="C5" s="333" t="s">
        <v>193</v>
      </c>
      <c r="D5" s="138" t="s">
        <v>194</v>
      </c>
      <c r="E5" s="138" t="s">
        <v>2</v>
      </c>
      <c r="F5" s="138" t="s">
        <v>192</v>
      </c>
      <c r="G5" s="333" t="s">
        <v>87</v>
      </c>
      <c r="H5" s="138" t="s">
        <v>154</v>
      </c>
      <c r="I5" s="138" t="s">
        <v>159</v>
      </c>
      <c r="J5" s="138" t="s">
        <v>86</v>
      </c>
    </row>
    <row r="6" spans="1:24" ht="12.75" thickBot="1">
      <c r="A6" s="2043" t="s">
        <v>384</v>
      </c>
      <c r="B6" s="2044"/>
      <c r="C6" s="2044"/>
      <c r="D6" s="2044"/>
      <c r="E6" s="2044"/>
      <c r="F6" s="2044"/>
      <c r="G6" s="2044"/>
      <c r="H6" s="2044"/>
      <c r="I6" s="2044"/>
      <c r="J6" s="2054"/>
    </row>
    <row r="7" spans="1:24" ht="12.75" thickBot="1">
      <c r="A7" s="2051" t="s">
        <v>420</v>
      </c>
      <c r="B7" s="2052"/>
      <c r="C7" s="2052"/>
      <c r="D7" s="2052"/>
      <c r="E7" s="2052"/>
      <c r="F7" s="2052"/>
      <c r="G7" s="2052"/>
      <c r="H7" s="2052"/>
      <c r="I7" s="2052"/>
      <c r="J7" s="2053"/>
    </row>
    <row r="8" spans="1:24" ht="22.5">
      <c r="A8" s="269" t="s">
        <v>7301</v>
      </c>
      <c r="B8" s="294"/>
      <c r="C8" s="306" t="s">
        <v>7302</v>
      </c>
      <c r="D8" s="273" t="s">
        <v>7303</v>
      </c>
      <c r="E8" s="295">
        <v>599000</v>
      </c>
      <c r="F8" s="271" t="s">
        <v>7304</v>
      </c>
      <c r="G8" s="296" t="s">
        <v>7305</v>
      </c>
      <c r="H8" s="297">
        <v>43745</v>
      </c>
      <c r="I8" s="297">
        <v>43806</v>
      </c>
      <c r="J8" s="298"/>
    </row>
    <row r="9" spans="1:24" ht="33.75">
      <c r="A9" s="269" t="s">
        <v>7306</v>
      </c>
      <c r="B9" s="294"/>
      <c r="C9" s="306" t="s">
        <v>7302</v>
      </c>
      <c r="D9" s="273" t="s">
        <v>7307</v>
      </c>
      <c r="E9" s="295">
        <v>3132000</v>
      </c>
      <c r="F9" s="271" t="s">
        <v>7308</v>
      </c>
      <c r="G9" s="296" t="s">
        <v>7305</v>
      </c>
      <c r="H9" s="297">
        <v>43738</v>
      </c>
      <c r="I9" s="297">
        <v>43739</v>
      </c>
      <c r="J9" s="298" t="s">
        <v>7309</v>
      </c>
    </row>
    <row r="10" spans="1:24" ht="24">
      <c r="A10" s="269" t="s">
        <v>7310</v>
      </c>
      <c r="B10" s="294"/>
      <c r="C10" s="306" t="s">
        <v>7302</v>
      </c>
      <c r="D10" s="273" t="s">
        <v>7311</v>
      </c>
      <c r="E10" s="295">
        <v>580380</v>
      </c>
      <c r="F10" s="271" t="s">
        <v>7312</v>
      </c>
      <c r="G10" s="296" t="s">
        <v>7305</v>
      </c>
      <c r="H10" s="297">
        <v>43964</v>
      </c>
      <c r="I10" s="297">
        <v>43964</v>
      </c>
      <c r="J10" s="298" t="s">
        <v>7313</v>
      </c>
    </row>
    <row r="11" spans="1:24" ht="22.5">
      <c r="A11" s="269" t="s">
        <v>7314</v>
      </c>
      <c r="B11" s="294"/>
      <c r="C11" s="306" t="s">
        <v>7302</v>
      </c>
      <c r="D11" s="273" t="s">
        <v>7315</v>
      </c>
      <c r="E11" s="295"/>
      <c r="F11" s="271"/>
      <c r="G11" s="296"/>
      <c r="H11" s="297"/>
      <c r="I11" s="297"/>
      <c r="J11" s="298" t="s">
        <v>7316</v>
      </c>
    </row>
    <row r="12" spans="1:24" ht="45">
      <c r="A12" s="269" t="s">
        <v>7317</v>
      </c>
      <c r="B12" s="294"/>
      <c r="C12" s="306" t="s">
        <v>7302</v>
      </c>
      <c r="D12" s="273" t="s">
        <v>7318</v>
      </c>
      <c r="E12" s="295">
        <v>2418886.7999999998</v>
      </c>
      <c r="F12" s="271" t="s">
        <v>7319</v>
      </c>
      <c r="G12" s="296" t="s">
        <v>7305</v>
      </c>
      <c r="H12" s="297">
        <v>44029</v>
      </c>
      <c r="I12" s="297">
        <v>44029</v>
      </c>
      <c r="J12" s="298" t="s">
        <v>7313</v>
      </c>
    </row>
    <row r="13" spans="1:24" ht="45">
      <c r="A13" s="269" t="s">
        <v>7320</v>
      </c>
      <c r="B13" s="294"/>
      <c r="C13" s="306" t="s">
        <v>7302</v>
      </c>
      <c r="D13" s="273" t="s">
        <v>7321</v>
      </c>
      <c r="E13" s="295"/>
      <c r="F13" s="271"/>
      <c r="G13" s="296"/>
      <c r="H13" s="297"/>
      <c r="I13" s="297"/>
      <c r="J13" s="298" t="s">
        <v>7322</v>
      </c>
    </row>
    <row r="14" spans="1:24" ht="22.5">
      <c r="A14" s="269" t="s">
        <v>7323</v>
      </c>
      <c r="B14" s="294"/>
      <c r="C14" s="306" t="s">
        <v>7302</v>
      </c>
      <c r="D14" s="273" t="s">
        <v>7324</v>
      </c>
      <c r="E14" s="295">
        <v>332846.12</v>
      </c>
      <c r="F14" s="271" t="s">
        <v>7325</v>
      </c>
      <c r="G14" s="296" t="s">
        <v>7305</v>
      </c>
      <c r="H14" s="297">
        <v>43901</v>
      </c>
      <c r="I14" s="297">
        <v>43901</v>
      </c>
      <c r="J14" s="298" t="s">
        <v>7326</v>
      </c>
    </row>
    <row r="15" spans="1:24" ht="56.25">
      <c r="A15" s="269" t="s">
        <v>7327</v>
      </c>
      <c r="B15" s="294"/>
      <c r="C15" s="306" t="s">
        <v>7302</v>
      </c>
      <c r="D15" s="273" t="s">
        <v>7328</v>
      </c>
      <c r="E15" s="295">
        <v>801792.38</v>
      </c>
      <c r="F15" s="271" t="s">
        <v>7329</v>
      </c>
      <c r="G15" s="296" t="s">
        <v>7305</v>
      </c>
      <c r="H15" s="297">
        <v>43731</v>
      </c>
      <c r="I15" s="297">
        <v>43731</v>
      </c>
      <c r="J15" s="298" t="s">
        <v>7326</v>
      </c>
    </row>
    <row r="16" spans="1:24" ht="56.25">
      <c r="A16" s="269" t="s">
        <v>7330</v>
      </c>
      <c r="B16" s="294"/>
      <c r="C16" s="306" t="s">
        <v>7302</v>
      </c>
      <c r="D16" s="273" t="s">
        <v>7331</v>
      </c>
      <c r="E16" s="295">
        <v>98500</v>
      </c>
      <c r="F16" s="271" t="s">
        <v>7332</v>
      </c>
      <c r="G16" s="296" t="s">
        <v>7305</v>
      </c>
      <c r="H16" s="297">
        <v>43655</v>
      </c>
      <c r="I16" s="297"/>
      <c r="J16" s="298"/>
    </row>
    <row r="17" spans="1:10" ht="36">
      <c r="A17" s="269" t="s">
        <v>7333</v>
      </c>
      <c r="B17" s="294"/>
      <c r="C17" s="306" t="s">
        <v>7302</v>
      </c>
      <c r="D17" s="273" t="s">
        <v>7334</v>
      </c>
      <c r="E17" s="295">
        <v>91542</v>
      </c>
      <c r="F17" s="271" t="s">
        <v>7335</v>
      </c>
      <c r="G17" s="296" t="s">
        <v>7305</v>
      </c>
      <c r="H17" s="297">
        <v>43698</v>
      </c>
      <c r="I17" s="297"/>
      <c r="J17" s="298" t="s">
        <v>7305</v>
      </c>
    </row>
    <row r="18" spans="1:10" ht="45">
      <c r="A18" s="269" t="s">
        <v>7336</v>
      </c>
      <c r="B18" s="294"/>
      <c r="C18" s="306" t="s">
        <v>7302</v>
      </c>
      <c r="D18" s="273" t="s">
        <v>7337</v>
      </c>
      <c r="E18" s="295">
        <v>214861</v>
      </c>
      <c r="F18" s="271" t="s">
        <v>7338</v>
      </c>
      <c r="G18" s="296" t="s">
        <v>7305</v>
      </c>
      <c r="H18" s="297">
        <v>43698</v>
      </c>
      <c r="I18" s="297"/>
      <c r="J18" s="298" t="s">
        <v>7305</v>
      </c>
    </row>
    <row r="19" spans="1:10" ht="36">
      <c r="A19" s="269" t="s">
        <v>7339</v>
      </c>
      <c r="B19" s="294"/>
      <c r="C19" s="306" t="s">
        <v>7302</v>
      </c>
      <c r="D19" s="273" t="s">
        <v>7340</v>
      </c>
      <c r="E19" s="295">
        <v>59904</v>
      </c>
      <c r="F19" s="271" t="s">
        <v>7341</v>
      </c>
      <c r="G19" s="296" t="s">
        <v>7305</v>
      </c>
      <c r="H19" s="297">
        <v>43719</v>
      </c>
      <c r="I19" s="297"/>
      <c r="J19" s="298" t="s">
        <v>7305</v>
      </c>
    </row>
    <row r="20" spans="1:10" ht="67.5">
      <c r="A20" s="269" t="s">
        <v>7342</v>
      </c>
      <c r="B20" s="294"/>
      <c r="C20" s="306" t="s">
        <v>7302</v>
      </c>
      <c r="D20" s="273" t="s">
        <v>7343</v>
      </c>
      <c r="E20" s="295">
        <v>189990</v>
      </c>
      <c r="F20" s="271" t="s">
        <v>7344</v>
      </c>
      <c r="G20" s="296" t="s">
        <v>7305</v>
      </c>
      <c r="H20" s="297">
        <v>43847</v>
      </c>
      <c r="I20" s="297">
        <v>43847</v>
      </c>
      <c r="J20" s="298" t="s">
        <v>7305</v>
      </c>
    </row>
    <row r="21" spans="1:10" ht="36">
      <c r="A21" s="269" t="s">
        <v>7345</v>
      </c>
      <c r="B21" s="294"/>
      <c r="C21" s="306" t="s">
        <v>7302</v>
      </c>
      <c r="D21" s="273" t="s">
        <v>7346</v>
      </c>
      <c r="E21" s="295">
        <v>74048.06</v>
      </c>
      <c r="F21" s="271" t="s">
        <v>7347</v>
      </c>
      <c r="G21" s="296" t="s">
        <v>7305</v>
      </c>
      <c r="H21" s="297">
        <v>43742</v>
      </c>
      <c r="I21" s="297">
        <v>44108</v>
      </c>
      <c r="J21" s="298" t="s">
        <v>7305</v>
      </c>
    </row>
    <row r="22" spans="1:10" ht="36">
      <c r="A22" s="269" t="s">
        <v>7348</v>
      </c>
      <c r="B22" s="294"/>
      <c r="C22" s="306" t="s">
        <v>7302</v>
      </c>
      <c r="D22" s="273" t="s">
        <v>7349</v>
      </c>
      <c r="E22" s="295">
        <v>55193.599999999999</v>
      </c>
      <c r="F22" s="271" t="s">
        <v>7350</v>
      </c>
      <c r="G22" s="296" t="s">
        <v>7305</v>
      </c>
      <c r="H22" s="297">
        <v>43838</v>
      </c>
      <c r="I22" s="297"/>
      <c r="J22" s="298" t="s">
        <v>7351</v>
      </c>
    </row>
    <row r="23" spans="1:10" ht="25.5" customHeight="1">
      <c r="A23" s="269" t="s">
        <v>7352</v>
      </c>
      <c r="B23" s="294"/>
      <c r="C23" s="306" t="s">
        <v>7302</v>
      </c>
      <c r="D23" s="273" t="s">
        <v>7353</v>
      </c>
      <c r="E23" s="295">
        <v>44430</v>
      </c>
      <c r="F23" s="271" t="s">
        <v>7354</v>
      </c>
      <c r="G23" s="296" t="s">
        <v>7305</v>
      </c>
      <c r="H23" s="297">
        <v>43777</v>
      </c>
      <c r="I23" s="297"/>
      <c r="J23" s="298" t="s">
        <v>7305</v>
      </c>
    </row>
    <row r="24" spans="1:10" ht="22.5">
      <c r="A24" s="269"/>
      <c r="B24" s="294"/>
      <c r="C24" s="306" t="s">
        <v>7302</v>
      </c>
      <c r="D24" s="273"/>
      <c r="E24" s="295">
        <v>107052</v>
      </c>
      <c r="F24" s="271" t="s">
        <v>7355</v>
      </c>
      <c r="G24" s="296" t="s">
        <v>7305</v>
      </c>
      <c r="H24" s="297">
        <v>43987</v>
      </c>
      <c r="I24" s="297"/>
      <c r="J24" s="298" t="s">
        <v>7305</v>
      </c>
    </row>
    <row r="25" spans="1:10">
      <c r="A25" s="269"/>
      <c r="B25" s="294"/>
      <c r="C25" s="306" t="s">
        <v>7302</v>
      </c>
      <c r="D25" s="273"/>
      <c r="E25" s="295">
        <v>113883.75</v>
      </c>
      <c r="F25" s="271" t="s">
        <v>7356</v>
      </c>
      <c r="G25" s="296" t="s">
        <v>7305</v>
      </c>
      <c r="H25" s="297">
        <v>43985</v>
      </c>
      <c r="I25" s="297"/>
      <c r="J25" s="298" t="s">
        <v>7305</v>
      </c>
    </row>
    <row r="26" spans="1:10" ht="36">
      <c r="A26" s="269" t="s">
        <v>7357</v>
      </c>
      <c r="B26" s="294"/>
      <c r="C26" s="306" t="s">
        <v>7302</v>
      </c>
      <c r="D26" s="273" t="s">
        <v>7358</v>
      </c>
      <c r="E26" s="295">
        <v>31200</v>
      </c>
      <c r="F26" s="271" t="s">
        <v>7359</v>
      </c>
      <c r="G26" s="296" t="s">
        <v>7305</v>
      </c>
      <c r="H26" s="297">
        <v>43812</v>
      </c>
      <c r="I26" s="297"/>
      <c r="J26" s="298" t="s">
        <v>7313</v>
      </c>
    </row>
    <row r="27" spans="1:10" ht="36">
      <c r="A27" s="269" t="s">
        <v>7360</v>
      </c>
      <c r="B27" s="294"/>
      <c r="C27" s="306" t="s">
        <v>7302</v>
      </c>
      <c r="D27" s="273" t="s">
        <v>7361</v>
      </c>
      <c r="E27" s="295">
        <v>175025</v>
      </c>
      <c r="F27" s="271" t="s">
        <v>7362</v>
      </c>
      <c r="G27" s="296" t="s">
        <v>7305</v>
      </c>
      <c r="H27" s="297">
        <v>43822</v>
      </c>
      <c r="I27" s="297"/>
      <c r="J27" s="298" t="s">
        <v>7363</v>
      </c>
    </row>
    <row r="28" spans="1:10" ht="36">
      <c r="A28" s="269" t="s">
        <v>7364</v>
      </c>
      <c r="B28" s="294"/>
      <c r="C28" s="306" t="s">
        <v>7302</v>
      </c>
      <c r="D28" s="273" t="s">
        <v>7365</v>
      </c>
      <c r="E28" s="295">
        <v>77407.259999999995</v>
      </c>
      <c r="F28" s="271" t="s">
        <v>7366</v>
      </c>
      <c r="G28" s="296" t="s">
        <v>7305</v>
      </c>
      <c r="H28" s="297">
        <v>43819</v>
      </c>
      <c r="I28" s="297"/>
      <c r="J28" s="298" t="s">
        <v>7313</v>
      </c>
    </row>
    <row r="29" spans="1:10" ht="36">
      <c r="A29" s="269" t="s">
        <v>7367</v>
      </c>
      <c r="B29" s="294"/>
      <c r="C29" s="306" t="s">
        <v>7302</v>
      </c>
      <c r="D29" s="273" t="s">
        <v>7368</v>
      </c>
      <c r="E29" s="295">
        <v>299993.93</v>
      </c>
      <c r="F29" s="271" t="s">
        <v>7369</v>
      </c>
      <c r="G29" s="296" t="s">
        <v>7305</v>
      </c>
      <c r="H29" s="297">
        <v>43819</v>
      </c>
      <c r="I29" s="297"/>
      <c r="J29" s="298" t="s">
        <v>7305</v>
      </c>
    </row>
    <row r="30" spans="1:10" ht="36">
      <c r="A30" s="269" t="s">
        <v>7370</v>
      </c>
      <c r="B30" s="294"/>
      <c r="C30" s="306" t="s">
        <v>7302</v>
      </c>
      <c r="D30" s="273" t="s">
        <v>7371</v>
      </c>
      <c r="E30" s="295">
        <v>79696.11</v>
      </c>
      <c r="F30" s="271" t="s">
        <v>7372</v>
      </c>
      <c r="G30" s="296" t="s">
        <v>7305</v>
      </c>
      <c r="H30" s="297">
        <v>43864</v>
      </c>
      <c r="I30" s="297"/>
      <c r="J30" s="298" t="s">
        <v>7313</v>
      </c>
    </row>
    <row r="31" spans="1:10" ht="36">
      <c r="A31" s="269" t="s">
        <v>7373</v>
      </c>
      <c r="B31" s="294"/>
      <c r="C31" s="306" t="s">
        <v>7302</v>
      </c>
      <c r="D31" s="273" t="s">
        <v>7374</v>
      </c>
      <c r="E31" s="295">
        <v>406526.56</v>
      </c>
      <c r="F31" s="271" t="s">
        <v>7375</v>
      </c>
      <c r="G31" s="296" t="s">
        <v>7305</v>
      </c>
      <c r="H31" s="297">
        <v>43790</v>
      </c>
      <c r="I31" s="297"/>
      <c r="J31" s="298" t="s">
        <v>7313</v>
      </c>
    </row>
    <row r="32" spans="1:10" ht="36">
      <c r="A32" s="269" t="s">
        <v>7376</v>
      </c>
      <c r="B32" s="294"/>
      <c r="C32" s="306" t="s">
        <v>7302</v>
      </c>
      <c r="D32" s="273" t="s">
        <v>7377</v>
      </c>
      <c r="E32" s="295">
        <v>65400</v>
      </c>
      <c r="F32" s="271" t="s">
        <v>7378</v>
      </c>
      <c r="G32" s="296" t="s">
        <v>7305</v>
      </c>
      <c r="H32" s="297">
        <v>43893</v>
      </c>
      <c r="I32" s="297"/>
      <c r="J32" s="298" t="s">
        <v>7313</v>
      </c>
    </row>
    <row r="33" spans="1:10" ht="36">
      <c r="A33" s="269" t="s">
        <v>7379</v>
      </c>
      <c r="B33" s="294"/>
      <c r="C33" s="306" t="s">
        <v>7302</v>
      </c>
      <c r="D33" s="273" t="s">
        <v>7380</v>
      </c>
      <c r="E33" s="295">
        <v>240480</v>
      </c>
      <c r="F33" s="271" t="s">
        <v>7381</v>
      </c>
      <c r="G33" s="296" t="s">
        <v>7305</v>
      </c>
      <c r="H33" s="297">
        <v>43970</v>
      </c>
      <c r="I33" s="297"/>
      <c r="J33" s="298" t="s">
        <v>7313</v>
      </c>
    </row>
    <row r="34" spans="1:10" ht="36">
      <c r="A34" s="269" t="s">
        <v>7382</v>
      </c>
      <c r="B34" s="294"/>
      <c r="C34" s="306" t="s">
        <v>7302</v>
      </c>
      <c r="D34" s="273" t="s">
        <v>7383</v>
      </c>
      <c r="E34" s="295">
        <v>177661.155</v>
      </c>
      <c r="F34" s="271" t="s">
        <v>7384</v>
      </c>
      <c r="G34" s="296" t="s">
        <v>7305</v>
      </c>
      <c r="H34" s="297">
        <v>43969</v>
      </c>
      <c r="I34" s="297"/>
      <c r="J34" s="298" t="s">
        <v>7313</v>
      </c>
    </row>
    <row r="35" spans="1:10" ht="36">
      <c r="A35" s="269" t="s">
        <v>7385</v>
      </c>
      <c r="B35" s="294"/>
      <c r="C35" s="306" t="s">
        <v>7302</v>
      </c>
      <c r="D35" s="273" t="s">
        <v>7386</v>
      </c>
      <c r="E35" s="295">
        <v>78699.570000000007</v>
      </c>
      <c r="F35" s="271" t="s">
        <v>7387</v>
      </c>
      <c r="G35" s="296" t="s">
        <v>7305</v>
      </c>
      <c r="H35" s="297">
        <v>44046</v>
      </c>
      <c r="I35" s="297"/>
      <c r="J35" s="298" t="s">
        <v>7313</v>
      </c>
    </row>
    <row r="36" spans="1:10" ht="36">
      <c r="A36" s="269" t="s">
        <v>7388</v>
      </c>
      <c r="B36" s="294"/>
      <c r="C36" s="306" t="s">
        <v>7302</v>
      </c>
      <c r="D36" s="273" t="s">
        <v>7389</v>
      </c>
      <c r="E36" s="295">
        <v>93356.88</v>
      </c>
      <c r="F36" s="271" t="s">
        <v>7390</v>
      </c>
      <c r="G36" s="296" t="s">
        <v>7305</v>
      </c>
      <c r="H36" s="297">
        <v>44046</v>
      </c>
      <c r="I36" s="297"/>
      <c r="J36" s="298" t="s">
        <v>7313</v>
      </c>
    </row>
    <row r="37" spans="1:10" ht="36">
      <c r="A37" s="269" t="s">
        <v>7391</v>
      </c>
      <c r="B37" s="294"/>
      <c r="C37" s="306" t="s">
        <v>7302</v>
      </c>
      <c r="D37" s="273" t="s">
        <v>7392</v>
      </c>
      <c r="E37" s="295">
        <v>114560</v>
      </c>
      <c r="F37" s="271" t="s">
        <v>7393</v>
      </c>
      <c r="G37" s="296" t="s">
        <v>7305</v>
      </c>
      <c r="H37" s="297">
        <v>44061</v>
      </c>
      <c r="I37" s="297"/>
      <c r="J37" s="298" t="s">
        <v>7363</v>
      </c>
    </row>
    <row r="38" spans="1:10" ht="56.25">
      <c r="A38" s="269" t="s">
        <v>7394</v>
      </c>
      <c r="B38" s="294"/>
      <c r="C38" s="306" t="s">
        <v>7302</v>
      </c>
      <c r="D38" s="273" t="s">
        <v>7395</v>
      </c>
      <c r="E38" s="295">
        <v>335119</v>
      </c>
      <c r="F38" s="271" t="s">
        <v>7396</v>
      </c>
      <c r="G38" s="296" t="s">
        <v>7397</v>
      </c>
      <c r="H38" s="297"/>
      <c r="I38" s="297"/>
      <c r="J38" s="298" t="s">
        <v>7398</v>
      </c>
    </row>
    <row r="39" spans="1:10" ht="36">
      <c r="A39" s="269" t="s">
        <v>7399</v>
      </c>
      <c r="B39" s="294"/>
      <c r="C39" s="306" t="s">
        <v>7302</v>
      </c>
      <c r="D39" s="273" t="s">
        <v>7400</v>
      </c>
      <c r="E39" s="295">
        <v>297800.15999999997</v>
      </c>
      <c r="F39" s="271" t="s">
        <v>7401</v>
      </c>
      <c r="G39" s="296" t="s">
        <v>7305</v>
      </c>
      <c r="H39" s="297">
        <v>44075</v>
      </c>
      <c r="I39" s="297"/>
      <c r="J39" s="298" t="s">
        <v>7313</v>
      </c>
    </row>
    <row r="40" spans="1:10" ht="36">
      <c r="A40" s="269" t="s">
        <v>7402</v>
      </c>
      <c r="B40" s="294"/>
      <c r="C40" s="306" t="s">
        <v>7302</v>
      </c>
      <c r="D40" s="273" t="s">
        <v>7403</v>
      </c>
      <c r="E40" s="295">
        <v>496382.4</v>
      </c>
      <c r="F40" s="271"/>
      <c r="G40" s="296" t="s">
        <v>7397</v>
      </c>
      <c r="H40" s="297"/>
      <c r="I40" s="297"/>
      <c r="J40" s="298" t="s">
        <v>7398</v>
      </c>
    </row>
    <row r="41" spans="1:10" ht="36">
      <c r="A41" s="269" t="s">
        <v>7404</v>
      </c>
      <c r="B41" s="294"/>
      <c r="C41" s="306" t="s">
        <v>7302</v>
      </c>
      <c r="D41" s="273" t="s">
        <v>7405</v>
      </c>
      <c r="E41" s="295">
        <v>1103438.05</v>
      </c>
      <c r="F41" s="271"/>
      <c r="G41" s="296" t="s">
        <v>7397</v>
      </c>
      <c r="H41" s="297"/>
      <c r="I41" s="297"/>
      <c r="J41" s="298" t="s">
        <v>7398</v>
      </c>
    </row>
    <row r="42" spans="1:10" ht="36">
      <c r="A42" s="269" t="s">
        <v>7406</v>
      </c>
      <c r="B42" s="294"/>
      <c r="C42" s="306" t="s">
        <v>7302</v>
      </c>
      <c r="D42" s="273" t="s">
        <v>7407</v>
      </c>
      <c r="E42" s="295">
        <v>440433.12</v>
      </c>
      <c r="F42" s="271"/>
      <c r="G42" s="296" t="s">
        <v>7397</v>
      </c>
      <c r="H42" s="297"/>
      <c r="I42" s="297"/>
      <c r="J42" s="733" t="s">
        <v>7398</v>
      </c>
    </row>
    <row r="43" spans="1:10" ht="22.5">
      <c r="A43" s="270" t="s">
        <v>7408</v>
      </c>
      <c r="B43" s="299"/>
      <c r="C43" s="307" t="s">
        <v>7302</v>
      </c>
      <c r="D43" s="274" t="s">
        <v>7409</v>
      </c>
      <c r="E43" s="262">
        <v>400000</v>
      </c>
      <c r="F43" s="272"/>
      <c r="G43" s="301"/>
      <c r="H43" s="302"/>
      <c r="I43" s="302"/>
      <c r="J43" s="303"/>
    </row>
    <row r="44" spans="1:10" ht="22.5">
      <c r="A44" s="269" t="s">
        <v>7410</v>
      </c>
      <c r="B44" s="294"/>
      <c r="C44" s="307" t="s">
        <v>7302</v>
      </c>
      <c r="D44" s="274" t="s">
        <v>7409</v>
      </c>
      <c r="E44" s="295">
        <v>350000</v>
      </c>
      <c r="F44" s="272"/>
      <c r="G44" s="301"/>
      <c r="H44" s="302"/>
      <c r="I44" s="302"/>
      <c r="J44" s="303"/>
    </row>
    <row r="45" spans="1:10" ht="22.5">
      <c r="A45" s="269" t="s">
        <v>7411</v>
      </c>
      <c r="B45" s="294"/>
      <c r="C45" s="307" t="s">
        <v>7302</v>
      </c>
      <c r="D45" s="274" t="s">
        <v>7409</v>
      </c>
      <c r="E45" s="295">
        <v>150000</v>
      </c>
      <c r="F45" s="272"/>
      <c r="G45" s="301"/>
      <c r="H45" s="302"/>
      <c r="I45" s="302"/>
      <c r="J45" s="303"/>
    </row>
    <row r="46" spans="1:10" ht="22.5">
      <c r="A46" s="269" t="s">
        <v>7412</v>
      </c>
      <c r="B46" s="294"/>
      <c r="C46" s="307" t="s">
        <v>7302</v>
      </c>
      <c r="D46" s="274" t="s">
        <v>7409</v>
      </c>
      <c r="E46" s="295">
        <v>200000</v>
      </c>
      <c r="F46" s="272"/>
      <c r="G46" s="301"/>
      <c r="H46" s="302"/>
      <c r="I46" s="302"/>
      <c r="J46" s="303"/>
    </row>
    <row r="47" spans="1:10" ht="22.5">
      <c r="A47" s="269" t="s">
        <v>7413</v>
      </c>
      <c r="B47" s="294"/>
      <c r="C47" s="307" t="s">
        <v>7302</v>
      </c>
      <c r="D47" s="274" t="s">
        <v>7414</v>
      </c>
      <c r="E47" s="295">
        <v>700000</v>
      </c>
      <c r="F47" s="272"/>
      <c r="G47" s="301"/>
      <c r="H47" s="302"/>
      <c r="I47" s="302"/>
      <c r="J47" s="303"/>
    </row>
    <row r="48" spans="1:10" ht="22.5">
      <c r="A48" s="269" t="s">
        <v>7415</v>
      </c>
      <c r="B48" s="294"/>
      <c r="C48" s="307" t="s">
        <v>7302</v>
      </c>
      <c r="D48" s="274" t="s">
        <v>7416</v>
      </c>
      <c r="E48" s="295">
        <v>200000</v>
      </c>
      <c r="F48" s="272"/>
      <c r="G48" s="301"/>
      <c r="H48" s="302"/>
      <c r="I48" s="302"/>
      <c r="J48" s="303"/>
    </row>
    <row r="49" spans="1:10">
      <c r="A49" s="269" t="s">
        <v>7417</v>
      </c>
      <c r="B49" s="294"/>
      <c r="C49" s="308" t="s">
        <v>7302</v>
      </c>
      <c r="D49" s="274" t="s">
        <v>7416</v>
      </c>
      <c r="E49" s="295">
        <v>150000</v>
      </c>
      <c r="F49" s="272"/>
      <c r="G49" s="301"/>
      <c r="H49" s="302"/>
      <c r="I49" s="302"/>
      <c r="J49" s="303"/>
    </row>
    <row r="50" spans="1:10">
      <c r="A50" s="269" t="s">
        <v>7418</v>
      </c>
      <c r="B50" s="294"/>
      <c r="C50" s="308" t="s">
        <v>7302</v>
      </c>
      <c r="D50" s="274" t="s">
        <v>7414</v>
      </c>
      <c r="E50" s="295">
        <v>900000</v>
      </c>
      <c r="F50" s="272"/>
      <c r="G50" s="301"/>
      <c r="H50" s="302"/>
      <c r="I50" s="302"/>
      <c r="J50" s="303"/>
    </row>
    <row r="51" spans="1:10">
      <c r="A51" s="269" t="s">
        <v>7382</v>
      </c>
      <c r="B51" s="294"/>
      <c r="C51" s="308" t="s">
        <v>7302</v>
      </c>
      <c r="D51" s="274" t="s">
        <v>7416</v>
      </c>
      <c r="E51" s="295">
        <v>100000</v>
      </c>
      <c r="F51" s="272"/>
      <c r="G51" s="301"/>
      <c r="H51" s="302"/>
      <c r="I51" s="302"/>
      <c r="J51" s="303"/>
    </row>
    <row r="52" spans="1:10">
      <c r="A52" s="269" t="s">
        <v>7419</v>
      </c>
      <c r="B52" s="294"/>
      <c r="C52" s="306" t="s">
        <v>7302</v>
      </c>
      <c r="D52" s="273" t="s">
        <v>7416</v>
      </c>
      <c r="E52" s="295">
        <v>100000</v>
      </c>
      <c r="F52" s="272"/>
      <c r="G52" s="301"/>
      <c r="H52" s="302"/>
      <c r="I52" s="302"/>
      <c r="J52" s="303"/>
    </row>
    <row r="53" spans="1:10">
      <c r="A53" s="269" t="s">
        <v>7420</v>
      </c>
      <c r="B53" s="294"/>
      <c r="C53" s="306" t="s">
        <v>7302</v>
      </c>
      <c r="D53" s="273" t="s">
        <v>7414</v>
      </c>
      <c r="E53" s="295">
        <v>450000</v>
      </c>
      <c r="F53" s="272"/>
      <c r="G53" s="301"/>
      <c r="H53" s="302"/>
      <c r="I53" s="302"/>
      <c r="J53" s="303"/>
    </row>
    <row r="54" spans="1:10">
      <c r="A54" s="269" t="s">
        <v>7421</v>
      </c>
      <c r="B54" s="294"/>
      <c r="C54" s="306" t="s">
        <v>7302</v>
      </c>
      <c r="D54" s="273" t="s">
        <v>7416</v>
      </c>
      <c r="E54" s="295">
        <v>50000</v>
      </c>
      <c r="F54" s="272"/>
      <c r="G54" s="301"/>
      <c r="H54" s="302"/>
      <c r="I54" s="302"/>
      <c r="J54" s="303"/>
    </row>
    <row r="55" spans="1:10">
      <c r="A55" s="269" t="s">
        <v>7422</v>
      </c>
      <c r="B55" s="294"/>
      <c r="C55" s="306" t="s">
        <v>7302</v>
      </c>
      <c r="D55" s="273" t="s">
        <v>7416</v>
      </c>
      <c r="E55" s="295">
        <v>200000</v>
      </c>
      <c r="F55" s="272"/>
      <c r="G55" s="301"/>
      <c r="H55" s="302"/>
      <c r="I55" s="302"/>
      <c r="J55" s="303"/>
    </row>
    <row r="56" spans="1:10">
      <c r="A56" s="269" t="s">
        <v>7423</v>
      </c>
      <c r="B56" s="294"/>
      <c r="C56" s="306" t="s">
        <v>7302</v>
      </c>
      <c r="D56" s="273" t="s">
        <v>7416</v>
      </c>
      <c r="E56" s="295">
        <v>100000</v>
      </c>
      <c r="F56" s="272"/>
      <c r="G56" s="301"/>
      <c r="H56" s="302"/>
      <c r="I56" s="302"/>
      <c r="J56" s="303"/>
    </row>
    <row r="57" spans="1:10">
      <c r="A57" s="269" t="s">
        <v>7424</v>
      </c>
      <c r="B57" s="294"/>
      <c r="C57" s="306" t="s">
        <v>7302</v>
      </c>
      <c r="D57" s="273" t="s">
        <v>7416</v>
      </c>
      <c r="E57" s="295">
        <v>150000</v>
      </c>
      <c r="F57" s="272"/>
      <c r="G57" s="301"/>
      <c r="H57" s="302"/>
      <c r="I57" s="302"/>
      <c r="J57" s="303"/>
    </row>
    <row r="58" spans="1:10">
      <c r="A58" s="269" t="s">
        <v>7376</v>
      </c>
      <c r="B58" s="294"/>
      <c r="C58" s="306" t="s">
        <v>7302</v>
      </c>
      <c r="D58" s="273" t="s">
        <v>7416</v>
      </c>
      <c r="E58" s="295">
        <v>70000</v>
      </c>
      <c r="F58" s="272"/>
      <c r="G58" s="301"/>
      <c r="H58" s="302"/>
      <c r="I58" s="302"/>
      <c r="J58" s="303"/>
    </row>
    <row r="59" spans="1:10">
      <c r="A59" s="269" t="s">
        <v>7425</v>
      </c>
      <c r="B59" s="294"/>
      <c r="C59" s="306" t="s">
        <v>7302</v>
      </c>
      <c r="D59" s="273" t="s">
        <v>7416</v>
      </c>
      <c r="E59" s="295">
        <v>60000</v>
      </c>
      <c r="F59" s="272"/>
      <c r="G59" s="301"/>
      <c r="H59" s="302"/>
      <c r="I59" s="302"/>
      <c r="J59" s="303"/>
    </row>
    <row r="60" spans="1:10">
      <c r="A60" s="269" t="s">
        <v>7426</v>
      </c>
      <c r="B60" s="294"/>
      <c r="C60" s="306" t="s">
        <v>7302</v>
      </c>
      <c r="D60" s="273" t="s">
        <v>7427</v>
      </c>
      <c r="E60" s="295">
        <v>500000</v>
      </c>
      <c r="F60" s="272"/>
      <c r="G60" s="301"/>
      <c r="H60" s="302"/>
      <c r="I60" s="302"/>
      <c r="J60" s="303"/>
    </row>
    <row r="61" spans="1:10">
      <c r="A61" s="269" t="s">
        <v>7428</v>
      </c>
      <c r="B61" s="294"/>
      <c r="C61" s="306" t="s">
        <v>7302</v>
      </c>
      <c r="D61" s="273" t="s">
        <v>7416</v>
      </c>
      <c r="E61" s="295">
        <v>80000</v>
      </c>
      <c r="F61" s="272"/>
      <c r="G61" s="301"/>
      <c r="H61" s="302"/>
      <c r="I61" s="302"/>
      <c r="J61" s="303"/>
    </row>
    <row r="62" spans="1:10" ht="12.75" thickBot="1">
      <c r="A62" s="269" t="s">
        <v>7429</v>
      </c>
      <c r="B62" s="294"/>
      <c r="C62" s="306" t="s">
        <v>7302</v>
      </c>
      <c r="D62" s="273" t="s">
        <v>7414</v>
      </c>
      <c r="E62" s="295">
        <v>1000000</v>
      </c>
      <c r="F62" s="272"/>
      <c r="G62" s="301"/>
      <c r="H62" s="302"/>
      <c r="I62" s="302"/>
      <c r="J62" s="303"/>
    </row>
    <row r="63" spans="1:10" ht="12.75" thickBot="1">
      <c r="A63" s="2055" t="s">
        <v>419</v>
      </c>
      <c r="B63" s="2056"/>
      <c r="C63" s="2056"/>
      <c r="D63" s="2056"/>
      <c r="E63" s="2056"/>
      <c r="F63" s="2056"/>
      <c r="G63" s="2056"/>
      <c r="H63" s="2056"/>
      <c r="I63" s="2056"/>
      <c r="J63" s="2057"/>
    </row>
    <row r="64" spans="1:10" s="68" customFormat="1" ht="24">
      <c r="A64" s="1200" t="s">
        <v>7490</v>
      </c>
      <c r="B64" s="1191" t="s">
        <v>7491</v>
      </c>
      <c r="C64" s="1200"/>
      <c r="D64" s="1615" t="s">
        <v>822</v>
      </c>
      <c r="E64" s="1591">
        <v>411200</v>
      </c>
      <c r="F64" s="1191" t="s">
        <v>7492</v>
      </c>
      <c r="G64" s="1191" t="s">
        <v>7493</v>
      </c>
      <c r="H64" s="1191" t="s">
        <v>7494</v>
      </c>
      <c r="I64" s="1191" t="s">
        <v>7495</v>
      </c>
      <c r="J64" s="1616"/>
    </row>
    <row r="65" spans="1:10" s="68" customFormat="1" ht="36">
      <c r="A65" s="1200" t="s">
        <v>7496</v>
      </c>
      <c r="B65" s="1191" t="s">
        <v>7491</v>
      </c>
      <c r="C65" s="1200"/>
      <c r="D65" s="1615" t="s">
        <v>7497</v>
      </c>
      <c r="E65" s="1591">
        <v>382684.7</v>
      </c>
      <c r="F65" s="1191" t="s">
        <v>7498</v>
      </c>
      <c r="G65" s="1191" t="s">
        <v>7493</v>
      </c>
      <c r="H65" s="1191" t="s">
        <v>7499</v>
      </c>
      <c r="I65" s="1191" t="s">
        <v>7500</v>
      </c>
      <c r="J65" s="1616"/>
    </row>
    <row r="66" spans="1:10" s="68" customFormat="1" ht="24">
      <c r="A66" s="1200" t="s">
        <v>7501</v>
      </c>
      <c r="B66" s="1191" t="s">
        <v>7491</v>
      </c>
      <c r="C66" s="1200"/>
      <c r="D66" s="1615" t="s">
        <v>7502</v>
      </c>
      <c r="E66" s="1591">
        <v>182805.6</v>
      </c>
      <c r="F66" s="1191" t="s">
        <v>7503</v>
      </c>
      <c r="G66" s="1191" t="s">
        <v>7493</v>
      </c>
      <c r="H66" s="1191" t="s">
        <v>7504</v>
      </c>
      <c r="I66" s="1191" t="s">
        <v>7505</v>
      </c>
      <c r="J66" s="1616"/>
    </row>
    <row r="67" spans="1:10" s="68" customFormat="1" ht="24">
      <c r="A67" s="1200" t="s">
        <v>7506</v>
      </c>
      <c r="B67" s="1191" t="s">
        <v>7491</v>
      </c>
      <c r="C67" s="1200"/>
      <c r="D67" s="1615" t="s">
        <v>7507</v>
      </c>
      <c r="E67" s="1591">
        <v>76377.600000000006</v>
      </c>
      <c r="F67" s="1191" t="s">
        <v>7508</v>
      </c>
      <c r="G67" s="1191" t="s">
        <v>7493</v>
      </c>
      <c r="H67" s="1191" t="s">
        <v>7509</v>
      </c>
      <c r="I67" s="1191" t="s">
        <v>7510</v>
      </c>
      <c r="J67" s="1616"/>
    </row>
    <row r="68" spans="1:10" s="68" customFormat="1" ht="24">
      <c r="A68" s="1200" t="s">
        <v>7511</v>
      </c>
      <c r="B68" s="1191" t="s">
        <v>7491</v>
      </c>
      <c r="C68" s="1200"/>
      <c r="D68" s="1615" t="s">
        <v>687</v>
      </c>
      <c r="E68" s="1591">
        <v>51622.83</v>
      </c>
      <c r="F68" s="1191" t="s">
        <v>7512</v>
      </c>
      <c r="G68" s="1191" t="s">
        <v>7493</v>
      </c>
      <c r="H68" s="1191" t="s">
        <v>7513</v>
      </c>
      <c r="I68" s="1191" t="s">
        <v>7514</v>
      </c>
      <c r="J68" s="1616"/>
    </row>
    <row r="69" spans="1:10" s="68" customFormat="1" ht="24">
      <c r="A69" s="1200" t="s">
        <v>7515</v>
      </c>
      <c r="B69" s="1191" t="s">
        <v>7491</v>
      </c>
      <c r="C69" s="1200"/>
      <c r="D69" s="1615" t="s">
        <v>556</v>
      </c>
      <c r="E69" s="1591">
        <v>14374.12</v>
      </c>
      <c r="F69" s="1191" t="s">
        <v>7516</v>
      </c>
      <c r="G69" s="1191" t="s">
        <v>7493</v>
      </c>
      <c r="H69" s="1191" t="s">
        <v>7517</v>
      </c>
      <c r="I69" s="1191" t="s">
        <v>7518</v>
      </c>
      <c r="J69" s="1616"/>
    </row>
    <row r="70" spans="1:10" s="68" customFormat="1" ht="24">
      <c r="A70" s="1200" t="s">
        <v>7519</v>
      </c>
      <c r="B70" s="1191" t="s">
        <v>7491</v>
      </c>
      <c r="C70" s="1200"/>
      <c r="D70" s="1615" t="s">
        <v>7520</v>
      </c>
      <c r="E70" s="1591">
        <v>94734.9</v>
      </c>
      <c r="F70" s="1191" t="s">
        <v>7521</v>
      </c>
      <c r="G70" s="1191" t="s">
        <v>7493</v>
      </c>
      <c r="H70" s="1191" t="s">
        <v>7522</v>
      </c>
      <c r="I70" s="1191" t="s">
        <v>7523</v>
      </c>
      <c r="J70" s="1616"/>
    </row>
    <row r="71" spans="1:10" s="68" customFormat="1" ht="24">
      <c r="A71" s="1200" t="s">
        <v>7524</v>
      </c>
      <c r="B71" s="1191" t="s">
        <v>7491</v>
      </c>
      <c r="C71" s="1200"/>
      <c r="D71" s="1615" t="s">
        <v>7525</v>
      </c>
      <c r="E71" s="1591">
        <v>70650</v>
      </c>
      <c r="F71" s="1191" t="s">
        <v>7526</v>
      </c>
      <c r="G71" s="1191" t="s">
        <v>7493</v>
      </c>
      <c r="H71" s="1191" t="s">
        <v>7523</v>
      </c>
      <c r="I71" s="1191" t="s">
        <v>7527</v>
      </c>
      <c r="J71" s="1616"/>
    </row>
    <row r="72" spans="1:10" s="68" customFormat="1" ht="24">
      <c r="A72" s="1200" t="s">
        <v>7528</v>
      </c>
      <c r="B72" s="1191" t="s">
        <v>7491</v>
      </c>
      <c r="C72" s="1200"/>
      <c r="D72" s="1615" t="s">
        <v>562</v>
      </c>
      <c r="E72" s="1591">
        <v>168000</v>
      </c>
      <c r="F72" s="1191" t="s">
        <v>7529</v>
      </c>
      <c r="G72" s="1191" t="s">
        <v>7493</v>
      </c>
      <c r="H72" s="1191" t="s">
        <v>7530</v>
      </c>
      <c r="I72" s="1191" t="s">
        <v>7531</v>
      </c>
      <c r="J72" s="1616"/>
    </row>
    <row r="73" spans="1:10" s="68" customFormat="1" ht="36">
      <c r="A73" s="1200" t="s">
        <v>7532</v>
      </c>
      <c r="B73" s="1191" t="s">
        <v>7491</v>
      </c>
      <c r="C73" s="1200"/>
      <c r="D73" s="1615" t="s">
        <v>563</v>
      </c>
      <c r="E73" s="1591">
        <v>135625</v>
      </c>
      <c r="F73" s="1191" t="s">
        <v>7533</v>
      </c>
      <c r="G73" s="1191" t="s">
        <v>7493</v>
      </c>
      <c r="H73" s="1191" t="s">
        <v>7534</v>
      </c>
      <c r="I73" s="1191" t="s">
        <v>7509</v>
      </c>
      <c r="J73" s="1616"/>
    </row>
    <row r="74" spans="1:10" s="68" customFormat="1" ht="36">
      <c r="A74" s="1200" t="s">
        <v>7535</v>
      </c>
      <c r="B74" s="1191" t="s">
        <v>7491</v>
      </c>
      <c r="C74" s="1200"/>
      <c r="D74" s="1615" t="s">
        <v>7536</v>
      </c>
      <c r="E74" s="1591">
        <v>67443.75</v>
      </c>
      <c r="F74" s="1191" t="s">
        <v>7537</v>
      </c>
      <c r="G74" s="1191" t="s">
        <v>7493</v>
      </c>
      <c r="H74" s="1191" t="s">
        <v>7538</v>
      </c>
      <c r="I74" s="1191" t="s">
        <v>7500</v>
      </c>
      <c r="J74" s="1616"/>
    </row>
    <row r="75" spans="1:10" s="68" customFormat="1" ht="24">
      <c r="A75" s="1200" t="s">
        <v>7539</v>
      </c>
      <c r="B75" s="1191" t="s">
        <v>7491</v>
      </c>
      <c r="C75" s="1200"/>
      <c r="D75" s="1615" t="s">
        <v>7540</v>
      </c>
      <c r="E75" s="1591">
        <v>282960</v>
      </c>
      <c r="F75" s="1191" t="s">
        <v>7541</v>
      </c>
      <c r="G75" s="1191" t="s">
        <v>7493</v>
      </c>
      <c r="H75" s="1191" t="s">
        <v>7542</v>
      </c>
      <c r="I75" s="1191" t="s">
        <v>7543</v>
      </c>
      <c r="J75" s="1616"/>
    </row>
    <row r="76" spans="1:10" s="68" customFormat="1" ht="36">
      <c r="A76" s="1200" t="s">
        <v>7544</v>
      </c>
      <c r="B76" s="1191" t="s">
        <v>7491</v>
      </c>
      <c r="C76" s="1200"/>
      <c r="D76" s="1615" t="s">
        <v>497</v>
      </c>
      <c r="E76" s="1591">
        <v>69500</v>
      </c>
      <c r="F76" s="1191" t="s">
        <v>7545</v>
      </c>
      <c r="G76" s="1191" t="s">
        <v>7493</v>
      </c>
      <c r="H76" s="1191" t="s">
        <v>7546</v>
      </c>
      <c r="I76" s="1191" t="s">
        <v>7547</v>
      </c>
      <c r="J76" s="1616"/>
    </row>
    <row r="77" spans="1:10" s="68" customFormat="1" ht="48">
      <c r="A77" s="1200" t="s">
        <v>7548</v>
      </c>
      <c r="B77" s="1191" t="s">
        <v>7491</v>
      </c>
      <c r="C77" s="1200"/>
      <c r="D77" s="1615" t="s">
        <v>7549</v>
      </c>
      <c r="E77" s="1591">
        <v>99900</v>
      </c>
      <c r="F77" s="1191" t="s">
        <v>7550</v>
      </c>
      <c r="G77" s="1191" t="s">
        <v>7493</v>
      </c>
      <c r="H77" s="1191" t="s">
        <v>7542</v>
      </c>
      <c r="I77" s="1191" t="s">
        <v>7551</v>
      </c>
      <c r="J77" s="1616"/>
    </row>
    <row r="78" spans="1:10" s="68" customFormat="1" ht="24">
      <c r="A78" s="1200" t="s">
        <v>7552</v>
      </c>
      <c r="B78" s="1191" t="s">
        <v>7491</v>
      </c>
      <c r="C78" s="1200"/>
      <c r="D78" s="1615" t="s">
        <v>7553</v>
      </c>
      <c r="E78" s="1591">
        <v>79813.5</v>
      </c>
      <c r="F78" s="1191" t="s">
        <v>7545</v>
      </c>
      <c r="G78" s="1191" t="s">
        <v>7493</v>
      </c>
      <c r="H78" s="1191" t="s">
        <v>7554</v>
      </c>
      <c r="I78" s="1191" t="s">
        <v>7555</v>
      </c>
      <c r="J78" s="1616"/>
    </row>
    <row r="79" spans="1:10" s="68" customFormat="1" ht="24">
      <c r="A79" s="1200" t="s">
        <v>7556</v>
      </c>
      <c r="B79" s="1191" t="s">
        <v>7491</v>
      </c>
      <c r="C79" s="1200"/>
      <c r="D79" s="1615" t="s">
        <v>7557</v>
      </c>
      <c r="E79" s="1591">
        <v>92224.47</v>
      </c>
      <c r="F79" s="1191" t="s">
        <v>7558</v>
      </c>
      <c r="G79" s="1191" t="s">
        <v>7493</v>
      </c>
      <c r="H79" s="1191" t="s">
        <v>7559</v>
      </c>
      <c r="I79" s="1191" t="s">
        <v>7560</v>
      </c>
      <c r="J79" s="1616"/>
    </row>
    <row r="80" spans="1:10" s="68" customFormat="1" ht="36">
      <c r="A80" s="1200" t="s">
        <v>7561</v>
      </c>
      <c r="B80" s="1191" t="s">
        <v>7491</v>
      </c>
      <c r="C80" s="1200"/>
      <c r="D80" s="1615" t="s">
        <v>498</v>
      </c>
      <c r="E80" s="1591">
        <v>114900</v>
      </c>
      <c r="F80" s="1191" t="s">
        <v>7562</v>
      </c>
      <c r="G80" s="1191" t="s">
        <v>7493</v>
      </c>
      <c r="H80" s="1191" t="s">
        <v>7560</v>
      </c>
      <c r="I80" s="1191" t="s">
        <v>7563</v>
      </c>
      <c r="J80" s="1616"/>
    </row>
    <row r="81" spans="1:10" s="68" customFormat="1" ht="36">
      <c r="A81" s="1200" t="s">
        <v>7564</v>
      </c>
      <c r="B81" s="1191" t="s">
        <v>7491</v>
      </c>
      <c r="C81" s="1200"/>
      <c r="D81" s="1615" t="s">
        <v>7565</v>
      </c>
      <c r="E81" s="1591">
        <v>97952.4</v>
      </c>
      <c r="F81" s="1191" t="s">
        <v>7566</v>
      </c>
      <c r="G81" s="1191" t="s">
        <v>7493</v>
      </c>
      <c r="H81" s="1191" t="s">
        <v>7567</v>
      </c>
      <c r="I81" s="1191" t="s">
        <v>7568</v>
      </c>
      <c r="J81" s="1616"/>
    </row>
    <row r="82" spans="1:10" s="68" customFormat="1" ht="24">
      <c r="A82" s="1200" t="s">
        <v>7569</v>
      </c>
      <c r="B82" s="1191" t="s">
        <v>7491</v>
      </c>
      <c r="C82" s="1200"/>
      <c r="D82" s="1615" t="s">
        <v>7570</v>
      </c>
      <c r="E82" s="1591">
        <v>183731</v>
      </c>
      <c r="F82" s="1191" t="s">
        <v>7571</v>
      </c>
      <c r="G82" s="1191" t="s">
        <v>7493</v>
      </c>
      <c r="H82" s="1191" t="s">
        <v>7572</v>
      </c>
      <c r="I82" s="1191" t="s">
        <v>7573</v>
      </c>
      <c r="J82" s="1616"/>
    </row>
    <row r="83" spans="1:10" s="68" customFormat="1" ht="36">
      <c r="A83" s="1200" t="s">
        <v>7574</v>
      </c>
      <c r="B83" s="1191" t="s">
        <v>7491</v>
      </c>
      <c r="C83" s="1200"/>
      <c r="D83" s="1615" t="s">
        <v>7575</v>
      </c>
      <c r="E83" s="1591">
        <v>308203.2</v>
      </c>
      <c r="F83" s="1191" t="s">
        <v>7571</v>
      </c>
      <c r="G83" s="1191" t="s">
        <v>7493</v>
      </c>
      <c r="H83" s="1191" t="s">
        <v>7572</v>
      </c>
      <c r="I83" s="1191" t="s">
        <v>7576</v>
      </c>
      <c r="J83" s="1616"/>
    </row>
    <row r="84" spans="1:10" s="68" customFormat="1" ht="24">
      <c r="A84" s="1200" t="s">
        <v>7577</v>
      </c>
      <c r="B84" s="1191" t="s">
        <v>7491</v>
      </c>
      <c r="C84" s="1200"/>
      <c r="D84" s="1615" t="s">
        <v>7578</v>
      </c>
      <c r="E84" s="1591">
        <v>27999</v>
      </c>
      <c r="F84" s="1191" t="s">
        <v>7579</v>
      </c>
      <c r="G84" s="1191" t="s">
        <v>7493</v>
      </c>
      <c r="H84" s="1191" t="s">
        <v>7580</v>
      </c>
      <c r="I84" s="1191" t="s">
        <v>7581</v>
      </c>
      <c r="J84" s="1616"/>
    </row>
    <row r="85" spans="1:10" s="68" customFormat="1" ht="36">
      <c r="A85" s="1200" t="s">
        <v>7582</v>
      </c>
      <c r="B85" s="1191" t="s">
        <v>7491</v>
      </c>
      <c r="C85" s="1200"/>
      <c r="D85" s="1615" t="s">
        <v>7583</v>
      </c>
      <c r="E85" s="1591">
        <v>321000</v>
      </c>
      <c r="F85" s="1191" t="s">
        <v>7584</v>
      </c>
      <c r="G85" s="1191" t="s">
        <v>7493</v>
      </c>
      <c r="H85" s="1191" t="s">
        <v>7585</v>
      </c>
      <c r="I85" s="1191" t="s">
        <v>7586</v>
      </c>
      <c r="J85" s="1616"/>
    </row>
    <row r="86" spans="1:10" s="68" customFormat="1" ht="36">
      <c r="A86" s="1200" t="s">
        <v>7587</v>
      </c>
      <c r="B86" s="1191" t="s">
        <v>7491</v>
      </c>
      <c r="C86" s="1200"/>
      <c r="D86" s="1615" t="s">
        <v>7588</v>
      </c>
      <c r="E86" s="1591">
        <v>1763002.5</v>
      </c>
      <c r="F86" s="1191" t="s">
        <v>7589</v>
      </c>
      <c r="G86" s="1191" t="s">
        <v>7493</v>
      </c>
      <c r="H86" s="1191" t="s">
        <v>7590</v>
      </c>
      <c r="I86" s="1191" t="s">
        <v>7591</v>
      </c>
      <c r="J86" s="1616"/>
    </row>
    <row r="87" spans="1:10" s="68" customFormat="1" ht="24">
      <c r="A87" s="1200" t="s">
        <v>7592</v>
      </c>
      <c r="B87" s="1191" t="s">
        <v>7491</v>
      </c>
      <c r="C87" s="1200"/>
      <c r="D87" s="1615" t="s">
        <v>7593</v>
      </c>
      <c r="E87" s="1591">
        <v>409632</v>
      </c>
      <c r="F87" s="1191" t="s">
        <v>7571</v>
      </c>
      <c r="G87" s="1191" t="s">
        <v>7493</v>
      </c>
      <c r="H87" s="1191" t="s">
        <v>7594</v>
      </c>
      <c r="I87" s="1191" t="s">
        <v>7595</v>
      </c>
      <c r="J87" s="1616"/>
    </row>
    <row r="88" spans="1:10" s="68" customFormat="1" ht="24">
      <c r="A88" s="1200" t="s">
        <v>7596</v>
      </c>
      <c r="B88" s="1191" t="s">
        <v>7491</v>
      </c>
      <c r="C88" s="1200"/>
      <c r="D88" s="1615" t="s">
        <v>7597</v>
      </c>
      <c r="E88" s="1591">
        <v>442400</v>
      </c>
      <c r="F88" s="1191" t="s">
        <v>7598</v>
      </c>
      <c r="G88" s="1191" t="s">
        <v>7493</v>
      </c>
      <c r="H88" s="1191" t="s">
        <v>7563</v>
      </c>
      <c r="I88" s="1191" t="s">
        <v>7599</v>
      </c>
      <c r="J88" s="1616"/>
    </row>
    <row r="89" spans="1:10" s="68" customFormat="1" ht="36">
      <c r="A89" s="1200" t="s">
        <v>7600</v>
      </c>
      <c r="B89" s="1191" t="s">
        <v>7491</v>
      </c>
      <c r="C89" s="1200"/>
      <c r="D89" s="1615" t="s">
        <v>1012</v>
      </c>
      <c r="E89" s="1591">
        <v>170000</v>
      </c>
      <c r="F89" s="1191" t="s">
        <v>7601</v>
      </c>
      <c r="G89" s="1191" t="s">
        <v>7493</v>
      </c>
      <c r="H89" s="1191" t="s">
        <v>7602</v>
      </c>
      <c r="I89" s="1191" t="s">
        <v>7603</v>
      </c>
      <c r="J89" s="1616"/>
    </row>
    <row r="90" spans="1:10" s="68" customFormat="1" ht="36">
      <c r="A90" s="1200" t="s">
        <v>7600</v>
      </c>
      <c r="B90" s="1191" t="s">
        <v>7491</v>
      </c>
      <c r="C90" s="1200"/>
      <c r="D90" s="1615" t="s">
        <v>1012</v>
      </c>
      <c r="E90" s="1591">
        <v>57324</v>
      </c>
      <c r="F90" s="1191" t="s">
        <v>7604</v>
      </c>
      <c r="G90" s="1191" t="s">
        <v>7493</v>
      </c>
      <c r="H90" s="1191" t="s">
        <v>7605</v>
      </c>
      <c r="I90" s="1191" t="s">
        <v>7606</v>
      </c>
      <c r="J90" s="1616"/>
    </row>
    <row r="91" spans="1:10" s="68" customFormat="1" ht="36">
      <c r="A91" s="1200" t="s">
        <v>7607</v>
      </c>
      <c r="B91" s="1191" t="s">
        <v>7491</v>
      </c>
      <c r="C91" s="1200"/>
      <c r="D91" s="1615" t="s">
        <v>7608</v>
      </c>
      <c r="E91" s="1591">
        <v>153641.4</v>
      </c>
      <c r="F91" s="1191" t="s">
        <v>7508</v>
      </c>
      <c r="G91" s="1191" t="s">
        <v>7493</v>
      </c>
      <c r="H91" s="1191" t="s">
        <v>7609</v>
      </c>
      <c r="I91" s="1191" t="s">
        <v>7610</v>
      </c>
      <c r="J91" s="1616"/>
    </row>
    <row r="92" spans="1:10" s="68" customFormat="1" ht="36">
      <c r="A92" s="1200" t="s">
        <v>7611</v>
      </c>
      <c r="B92" s="1191" t="s">
        <v>7491</v>
      </c>
      <c r="C92" s="1200"/>
      <c r="D92" s="1615" t="s">
        <v>583</v>
      </c>
      <c r="E92" s="1591">
        <v>115000</v>
      </c>
      <c r="F92" s="1191" t="s">
        <v>7612</v>
      </c>
      <c r="G92" s="1191" t="s">
        <v>7493</v>
      </c>
      <c r="H92" s="1191" t="s">
        <v>7602</v>
      </c>
      <c r="I92" s="1191" t="s">
        <v>7613</v>
      </c>
      <c r="J92" s="1616"/>
    </row>
    <row r="93" spans="1:10" s="68" customFormat="1" ht="24">
      <c r="A93" s="1200" t="s">
        <v>7614</v>
      </c>
      <c r="B93" s="1191" t="s">
        <v>7491</v>
      </c>
      <c r="C93" s="1200"/>
      <c r="D93" s="1615" t="s">
        <v>7615</v>
      </c>
      <c r="E93" s="1591">
        <v>460350</v>
      </c>
      <c r="F93" s="1191" t="s">
        <v>7598</v>
      </c>
      <c r="G93" s="1191" t="s">
        <v>7493</v>
      </c>
      <c r="H93" s="1191" t="s">
        <v>7616</v>
      </c>
      <c r="I93" s="1191" t="s">
        <v>7617</v>
      </c>
      <c r="J93" s="1616"/>
    </row>
    <row r="94" spans="1:10" s="68" customFormat="1" ht="24">
      <c r="A94" s="1200" t="s">
        <v>7618</v>
      </c>
      <c r="B94" s="1191" t="s">
        <v>7491</v>
      </c>
      <c r="C94" s="1200"/>
      <c r="D94" s="1615" t="s">
        <v>7525</v>
      </c>
      <c r="E94" s="1591">
        <v>119250</v>
      </c>
      <c r="F94" s="1191" t="s">
        <v>7558</v>
      </c>
      <c r="G94" s="1191" t="s">
        <v>7493</v>
      </c>
      <c r="H94" s="1191" t="s">
        <v>7619</v>
      </c>
      <c r="I94" s="1191" t="s">
        <v>7620</v>
      </c>
      <c r="J94" s="1616"/>
    </row>
    <row r="95" spans="1:10" s="68" customFormat="1" ht="36">
      <c r="A95" s="1200" t="s">
        <v>7621</v>
      </c>
      <c r="B95" s="1191" t="s">
        <v>7491</v>
      </c>
      <c r="C95" s="1200"/>
      <c r="D95" s="1615" t="s">
        <v>7622</v>
      </c>
      <c r="E95" s="1591">
        <v>496750</v>
      </c>
      <c r="F95" s="1191" t="s">
        <v>7571</v>
      </c>
      <c r="G95" s="1191" t="s">
        <v>7493</v>
      </c>
      <c r="H95" s="1191" t="s">
        <v>7613</v>
      </c>
      <c r="I95" s="1191" t="s">
        <v>7623</v>
      </c>
      <c r="J95" s="1616"/>
    </row>
    <row r="96" spans="1:10" s="68" customFormat="1" ht="24">
      <c r="A96" s="1200" t="s">
        <v>7624</v>
      </c>
      <c r="B96" s="1191" t="s">
        <v>7491</v>
      </c>
      <c r="C96" s="1200"/>
      <c r="D96" s="1615" t="s">
        <v>7625</v>
      </c>
      <c r="E96" s="1591">
        <v>233356</v>
      </c>
      <c r="F96" s="1191" t="s">
        <v>7508</v>
      </c>
      <c r="G96" s="1191" t="s">
        <v>7493</v>
      </c>
      <c r="H96" s="1191" t="s">
        <v>7626</v>
      </c>
      <c r="I96" s="1191" t="s">
        <v>7627</v>
      </c>
      <c r="J96" s="1616"/>
    </row>
    <row r="97" spans="1:10" s="68" customFormat="1" ht="48">
      <c r="A97" s="1200" t="s">
        <v>7628</v>
      </c>
      <c r="B97" s="1191" t="s">
        <v>7491</v>
      </c>
      <c r="C97" s="1200"/>
      <c r="D97" s="1615" t="s">
        <v>7629</v>
      </c>
      <c r="E97" s="1591">
        <v>180000</v>
      </c>
      <c r="F97" s="1191" t="s">
        <v>7630</v>
      </c>
      <c r="G97" s="1191" t="s">
        <v>7493</v>
      </c>
      <c r="H97" s="1191" t="s">
        <v>7631</v>
      </c>
      <c r="I97" s="1191" t="s">
        <v>7518</v>
      </c>
      <c r="J97" s="1616"/>
    </row>
    <row r="98" spans="1:10" s="68" customFormat="1" ht="24">
      <c r="A98" s="1200" t="s">
        <v>7577</v>
      </c>
      <c r="B98" s="1191" t="s">
        <v>7491</v>
      </c>
      <c r="C98" s="1200"/>
      <c r="D98" s="1615" t="s">
        <v>7578</v>
      </c>
      <c r="E98" s="1591">
        <v>31350</v>
      </c>
      <c r="F98" s="1191" t="s">
        <v>7508</v>
      </c>
      <c r="G98" s="1191" t="s">
        <v>7493</v>
      </c>
      <c r="H98" s="1191" t="s">
        <v>7632</v>
      </c>
      <c r="I98" s="1191" t="s">
        <v>7633</v>
      </c>
      <c r="J98" s="1616"/>
    </row>
    <row r="99" spans="1:10" s="68" customFormat="1" ht="48">
      <c r="A99" s="1200" t="s">
        <v>7634</v>
      </c>
      <c r="B99" s="1191" t="s">
        <v>7491</v>
      </c>
      <c r="C99" s="1200"/>
      <c r="D99" s="1615" t="s">
        <v>7635</v>
      </c>
      <c r="E99" s="1591">
        <v>340964</v>
      </c>
      <c r="F99" s="1191" t="s">
        <v>7636</v>
      </c>
      <c r="G99" s="1191" t="s">
        <v>7493</v>
      </c>
      <c r="H99" s="1191" t="s">
        <v>7637</v>
      </c>
      <c r="I99" s="1191" t="s">
        <v>7638</v>
      </c>
      <c r="J99" s="1616"/>
    </row>
    <row r="100" spans="1:10" s="68" customFormat="1" ht="24">
      <c r="A100" s="1200" t="s">
        <v>7639</v>
      </c>
      <c r="B100" s="1191" t="s">
        <v>7491</v>
      </c>
      <c r="C100" s="1200"/>
      <c r="D100" s="1615" t="s">
        <v>7640</v>
      </c>
      <c r="E100" s="1591">
        <v>207501</v>
      </c>
      <c r="F100" s="1191" t="s">
        <v>7641</v>
      </c>
      <c r="G100" s="1191" t="s">
        <v>7493</v>
      </c>
      <c r="H100" s="1191" t="s">
        <v>7642</v>
      </c>
      <c r="I100" s="1191" t="s">
        <v>7643</v>
      </c>
      <c r="J100" s="1616"/>
    </row>
    <row r="101" spans="1:10" s="68" customFormat="1" ht="36">
      <c r="A101" s="1200" t="s">
        <v>7644</v>
      </c>
      <c r="B101" s="1191" t="s">
        <v>7491</v>
      </c>
      <c r="C101" s="1200"/>
      <c r="D101" s="1615" t="s">
        <v>7645</v>
      </c>
      <c r="E101" s="1591">
        <v>52050</v>
      </c>
      <c r="F101" s="1191" t="s">
        <v>7541</v>
      </c>
      <c r="G101" s="1191" t="s">
        <v>7493</v>
      </c>
      <c r="H101" s="1191" t="s">
        <v>7646</v>
      </c>
      <c r="I101" s="1191" t="s">
        <v>7599</v>
      </c>
      <c r="J101" s="1616"/>
    </row>
    <row r="102" spans="1:10" s="68" customFormat="1" ht="24">
      <c r="A102" s="1200" t="s">
        <v>7647</v>
      </c>
      <c r="B102" s="1191" t="s">
        <v>7491</v>
      </c>
      <c r="C102" s="1200"/>
      <c r="D102" s="1615" t="s">
        <v>7648</v>
      </c>
      <c r="E102" s="1591">
        <v>88681.05</v>
      </c>
      <c r="F102" s="1191" t="s">
        <v>7649</v>
      </c>
      <c r="G102" s="1191" t="s">
        <v>7493</v>
      </c>
      <c r="H102" s="1191" t="s">
        <v>7650</v>
      </c>
      <c r="I102" s="1191" t="s">
        <v>7651</v>
      </c>
      <c r="J102" s="1616"/>
    </row>
    <row r="103" spans="1:10" s="68" customFormat="1" ht="48">
      <c r="A103" s="1200" t="s">
        <v>7652</v>
      </c>
      <c r="B103" s="1191" t="s">
        <v>7491</v>
      </c>
      <c r="C103" s="1200"/>
      <c r="D103" s="1615" t="s">
        <v>7653</v>
      </c>
      <c r="E103" s="1591">
        <v>125552</v>
      </c>
      <c r="F103" s="1191" t="s">
        <v>7550</v>
      </c>
      <c r="G103" s="1191" t="s">
        <v>7493</v>
      </c>
      <c r="H103" s="1191" t="s">
        <v>7650</v>
      </c>
      <c r="I103" s="1191" t="s">
        <v>7654</v>
      </c>
      <c r="J103" s="1616"/>
    </row>
    <row r="104" spans="1:10" s="68" customFormat="1" ht="36">
      <c r="A104" s="1200" t="s">
        <v>7655</v>
      </c>
      <c r="B104" s="1191" t="s">
        <v>7491</v>
      </c>
      <c r="C104" s="1200"/>
      <c r="D104" s="1615" t="s">
        <v>7656</v>
      </c>
      <c r="E104" s="1591">
        <v>73347.5</v>
      </c>
      <c r="F104" s="1191" t="s">
        <v>7657</v>
      </c>
      <c r="G104" s="1191" t="s">
        <v>7493</v>
      </c>
      <c r="H104" s="1191" t="s">
        <v>7658</v>
      </c>
      <c r="I104" s="1191" t="s">
        <v>7659</v>
      </c>
      <c r="J104" s="1616"/>
    </row>
    <row r="105" spans="1:10" s="68" customFormat="1" ht="60">
      <c r="A105" s="1200" t="s">
        <v>7660</v>
      </c>
      <c r="B105" s="1191" t="s">
        <v>7491</v>
      </c>
      <c r="C105" s="1200"/>
      <c r="D105" s="1615" t="s">
        <v>7661</v>
      </c>
      <c r="E105" s="1591">
        <v>157800</v>
      </c>
      <c r="F105" s="1191" t="s">
        <v>7662</v>
      </c>
      <c r="G105" s="1191" t="s">
        <v>7493</v>
      </c>
      <c r="H105" s="1191" t="s">
        <v>7663</v>
      </c>
      <c r="I105" s="1191" t="s">
        <v>7659</v>
      </c>
      <c r="J105" s="1616"/>
    </row>
    <row r="106" spans="1:10" s="68" customFormat="1" ht="48">
      <c r="A106" s="1200" t="s">
        <v>7664</v>
      </c>
      <c r="B106" s="1191" t="s">
        <v>7491</v>
      </c>
      <c r="C106" s="1200"/>
      <c r="D106" s="1615" t="s">
        <v>7665</v>
      </c>
      <c r="E106" s="1591">
        <v>102000</v>
      </c>
      <c r="F106" s="1191" t="s">
        <v>7498</v>
      </c>
      <c r="G106" s="1191" t="s">
        <v>7493</v>
      </c>
      <c r="H106" s="1191" t="s">
        <v>7658</v>
      </c>
      <c r="I106" s="1191" t="s">
        <v>7666</v>
      </c>
      <c r="J106" s="1616"/>
    </row>
    <row r="107" spans="1:10" s="68" customFormat="1" ht="48">
      <c r="A107" s="1200" t="s">
        <v>7664</v>
      </c>
      <c r="B107" s="1191" t="s">
        <v>7491</v>
      </c>
      <c r="C107" s="1200"/>
      <c r="D107" s="1615" t="s">
        <v>7665</v>
      </c>
      <c r="E107" s="1591">
        <v>132500</v>
      </c>
      <c r="F107" s="1191" t="s">
        <v>7498</v>
      </c>
      <c r="G107" s="1191" t="s">
        <v>7493</v>
      </c>
      <c r="H107" s="1191" t="s">
        <v>7667</v>
      </c>
      <c r="I107" s="1191" t="s">
        <v>7654</v>
      </c>
      <c r="J107" s="1616"/>
    </row>
    <row r="108" spans="1:10" s="68" customFormat="1" ht="24">
      <c r="A108" s="1200" t="s">
        <v>7668</v>
      </c>
      <c r="B108" s="1191" t="s">
        <v>7491</v>
      </c>
      <c r="C108" s="1200"/>
      <c r="D108" s="1615" t="s">
        <v>7669</v>
      </c>
      <c r="E108" s="1591">
        <v>372915.95</v>
      </c>
      <c r="F108" s="1191" t="s">
        <v>7670</v>
      </c>
      <c r="G108" s="1191" t="s">
        <v>7493</v>
      </c>
      <c r="H108" s="1191" t="s">
        <v>7671</v>
      </c>
      <c r="I108" s="1191" t="s">
        <v>7654</v>
      </c>
      <c r="J108" s="1616"/>
    </row>
    <row r="109" spans="1:10" s="68" customFormat="1" ht="24">
      <c r="A109" s="1200" t="s">
        <v>7672</v>
      </c>
      <c r="B109" s="1191" t="s">
        <v>7491</v>
      </c>
      <c r="C109" s="1200"/>
      <c r="D109" s="1615" t="s">
        <v>7673</v>
      </c>
      <c r="E109" s="1591">
        <v>262500</v>
      </c>
      <c r="F109" s="1191" t="s">
        <v>7533</v>
      </c>
      <c r="G109" s="1191" t="s">
        <v>7493</v>
      </c>
      <c r="H109" s="1191" t="s">
        <v>7674</v>
      </c>
      <c r="I109" s="1191" t="s">
        <v>7500</v>
      </c>
      <c r="J109" s="1616"/>
    </row>
    <row r="110" spans="1:10" s="68" customFormat="1" ht="36">
      <c r="A110" s="1200" t="s">
        <v>7675</v>
      </c>
      <c r="B110" s="1191" t="s">
        <v>7491</v>
      </c>
      <c r="C110" s="1200"/>
      <c r="D110" s="1615" t="s">
        <v>7653</v>
      </c>
      <c r="E110" s="1591">
        <v>48500</v>
      </c>
      <c r="F110" s="1191" t="s">
        <v>7641</v>
      </c>
      <c r="G110" s="1191" t="s">
        <v>7493</v>
      </c>
      <c r="H110" s="1191" t="s">
        <v>7676</v>
      </c>
      <c r="I110" s="1191" t="s">
        <v>7500</v>
      </c>
      <c r="J110" s="1616"/>
    </row>
    <row r="111" spans="1:10" s="68" customFormat="1" ht="48">
      <c r="A111" s="1200" t="s">
        <v>7677</v>
      </c>
      <c r="B111" s="1191" t="s">
        <v>7491</v>
      </c>
      <c r="C111" s="1200"/>
      <c r="D111" s="1615" t="s">
        <v>7678</v>
      </c>
      <c r="E111" s="1591">
        <v>54324.44</v>
      </c>
      <c r="F111" s="1191" t="s">
        <v>7679</v>
      </c>
      <c r="G111" s="1191" t="s">
        <v>7493</v>
      </c>
      <c r="H111" s="1191" t="s">
        <v>7680</v>
      </c>
      <c r="I111" s="1191" t="s">
        <v>7681</v>
      </c>
      <c r="J111" s="1616"/>
    </row>
    <row r="112" spans="1:10" s="68" customFormat="1" ht="48">
      <c r="A112" s="1200" t="s">
        <v>7682</v>
      </c>
      <c r="B112" s="1191" t="s">
        <v>7491</v>
      </c>
      <c r="C112" s="1200"/>
      <c r="D112" s="1615" t="s">
        <v>7683</v>
      </c>
      <c r="E112" s="1591">
        <v>391000</v>
      </c>
      <c r="F112" s="1191" t="s">
        <v>7684</v>
      </c>
      <c r="G112" s="1191" t="s">
        <v>7493</v>
      </c>
      <c r="H112" s="1191" t="s">
        <v>7685</v>
      </c>
      <c r="I112" s="1191" t="s">
        <v>7686</v>
      </c>
      <c r="J112" s="1616"/>
    </row>
    <row r="113" spans="1:10" s="68" customFormat="1" ht="36">
      <c r="A113" s="1200" t="s">
        <v>7687</v>
      </c>
      <c r="B113" s="1191" t="s">
        <v>7491</v>
      </c>
      <c r="C113" s="1200"/>
      <c r="D113" s="1615" t="s">
        <v>828</v>
      </c>
      <c r="E113" s="1591">
        <v>54600</v>
      </c>
      <c r="F113" s="1191" t="s">
        <v>7688</v>
      </c>
      <c r="G113" s="1191" t="s">
        <v>7493</v>
      </c>
      <c r="H113" s="1191" t="s">
        <v>7689</v>
      </c>
      <c r="I113" s="1191" t="s">
        <v>7690</v>
      </c>
      <c r="J113" s="1616"/>
    </row>
    <row r="114" spans="1:10" s="68" customFormat="1" ht="24">
      <c r="A114" s="1200" t="s">
        <v>7691</v>
      </c>
      <c r="B114" s="1200" t="s">
        <v>7692</v>
      </c>
      <c r="C114" s="1617"/>
      <c r="D114" s="1615" t="s">
        <v>563</v>
      </c>
      <c r="E114" s="1591">
        <v>1181125</v>
      </c>
      <c r="F114" s="1618" t="s">
        <v>7693</v>
      </c>
      <c r="G114" s="1191" t="s">
        <v>7493</v>
      </c>
      <c r="H114" s="1191" t="s">
        <v>7694</v>
      </c>
      <c r="I114" s="1191" t="s">
        <v>7500</v>
      </c>
      <c r="J114" s="1619"/>
    </row>
    <row r="115" spans="1:10" s="68" customFormat="1" ht="24">
      <c r="A115" s="1200" t="s">
        <v>7691</v>
      </c>
      <c r="B115" s="1200" t="s">
        <v>7692</v>
      </c>
      <c r="C115" s="1617"/>
      <c r="D115" s="1615" t="s">
        <v>563</v>
      </c>
      <c r="E115" s="1591">
        <v>219250</v>
      </c>
      <c r="F115" s="1618" t="s">
        <v>7693</v>
      </c>
      <c r="G115" s="1191" t="s">
        <v>7493</v>
      </c>
      <c r="H115" s="1191" t="s">
        <v>7631</v>
      </c>
      <c r="I115" s="1191" t="s">
        <v>7500</v>
      </c>
      <c r="J115" s="1619"/>
    </row>
    <row r="116" spans="1:10" s="68" customFormat="1" ht="24">
      <c r="A116" s="1200" t="s">
        <v>7695</v>
      </c>
      <c r="B116" s="1200" t="s">
        <v>7692</v>
      </c>
      <c r="C116" s="1617"/>
      <c r="D116" s="1615" t="s">
        <v>664</v>
      </c>
      <c r="E116" s="1591">
        <v>462104.7</v>
      </c>
      <c r="F116" s="1618" t="s">
        <v>7696</v>
      </c>
      <c r="G116" s="1191" t="s">
        <v>7493</v>
      </c>
      <c r="H116" s="1191" t="s">
        <v>7658</v>
      </c>
      <c r="I116" s="1191" t="s">
        <v>7659</v>
      </c>
      <c r="J116" s="1619"/>
    </row>
    <row r="117" spans="1:10" s="68" customFormat="1" ht="24">
      <c r="A117" s="1200" t="s">
        <v>7697</v>
      </c>
      <c r="B117" s="1191" t="s">
        <v>7698</v>
      </c>
      <c r="C117" s="1617"/>
      <c r="D117" s="1615" t="s">
        <v>563</v>
      </c>
      <c r="E117" s="1591">
        <v>6546.14</v>
      </c>
      <c r="F117" s="1618" t="s">
        <v>7699</v>
      </c>
      <c r="G117" s="1191" t="s">
        <v>7493</v>
      </c>
      <c r="H117" s="1191" t="s">
        <v>7700</v>
      </c>
      <c r="I117" s="1191" t="s">
        <v>7701</v>
      </c>
      <c r="J117" s="1619"/>
    </row>
    <row r="118" spans="1:10" s="68" customFormat="1" ht="36">
      <c r="A118" s="1200" t="s">
        <v>7702</v>
      </c>
      <c r="B118" s="1191" t="s">
        <v>7698</v>
      </c>
      <c r="C118" s="1617"/>
      <c r="D118" s="1615" t="s">
        <v>563</v>
      </c>
      <c r="E118" s="1591">
        <v>303864</v>
      </c>
      <c r="F118" s="1618" t="s">
        <v>7703</v>
      </c>
      <c r="G118" s="1191" t="s">
        <v>7493</v>
      </c>
      <c r="H118" s="1191" t="s">
        <v>7704</v>
      </c>
      <c r="I118" s="1191" t="s">
        <v>7705</v>
      </c>
      <c r="J118" s="1619"/>
    </row>
    <row r="119" spans="1:10" s="68" customFormat="1" ht="24">
      <c r="A119" s="1200" t="s">
        <v>7706</v>
      </c>
      <c r="B119" s="1191" t="s">
        <v>7692</v>
      </c>
      <c r="C119" s="1617"/>
      <c r="D119" s="1615" t="s">
        <v>562</v>
      </c>
      <c r="E119" s="1591">
        <v>434967</v>
      </c>
      <c r="F119" s="1618" t="s">
        <v>7707</v>
      </c>
      <c r="G119" s="1191" t="s">
        <v>7493</v>
      </c>
      <c r="H119" s="1191" t="s">
        <v>7708</v>
      </c>
      <c r="I119" s="1191" t="s">
        <v>7709</v>
      </c>
      <c r="J119" s="1619"/>
    </row>
    <row r="120" spans="1:10" s="68" customFormat="1" ht="24">
      <c r="A120" s="1200" t="s">
        <v>7710</v>
      </c>
      <c r="B120" s="1191" t="s">
        <v>7692</v>
      </c>
      <c r="C120" s="1617"/>
      <c r="D120" s="1615" t="s">
        <v>498</v>
      </c>
      <c r="E120" s="1591">
        <v>1099700</v>
      </c>
      <c r="F120" s="1618" t="s">
        <v>7696</v>
      </c>
      <c r="G120" s="1191" t="s">
        <v>7493</v>
      </c>
      <c r="H120" s="1191" t="s">
        <v>7711</v>
      </c>
      <c r="I120" s="1191" t="s">
        <v>7712</v>
      </c>
      <c r="J120" s="1619"/>
    </row>
    <row r="121" spans="1:10" s="68" customFormat="1" ht="36">
      <c r="A121" s="1200" t="s">
        <v>7713</v>
      </c>
      <c r="B121" s="1191" t="s">
        <v>7714</v>
      </c>
      <c r="C121" s="1617"/>
      <c r="D121" s="1615" t="s">
        <v>664</v>
      </c>
      <c r="E121" s="1591">
        <v>221782</v>
      </c>
      <c r="F121" s="1618" t="s">
        <v>7715</v>
      </c>
      <c r="G121" s="1191" t="s">
        <v>7493</v>
      </c>
      <c r="H121" s="1191" t="s">
        <v>7716</v>
      </c>
      <c r="I121" s="1191" t="s">
        <v>7717</v>
      </c>
      <c r="J121" s="1619"/>
    </row>
    <row r="122" spans="1:10" s="68" customFormat="1" ht="36">
      <c r="A122" s="1200" t="s">
        <v>7718</v>
      </c>
      <c r="B122" s="1191" t="s">
        <v>7719</v>
      </c>
      <c r="C122" s="1617"/>
      <c r="D122" s="1615" t="s">
        <v>664</v>
      </c>
      <c r="E122" s="1591">
        <v>62990</v>
      </c>
      <c r="F122" s="1618" t="s">
        <v>7720</v>
      </c>
      <c r="G122" s="1191" t="s">
        <v>7493</v>
      </c>
      <c r="H122" s="1191" t="s">
        <v>7721</v>
      </c>
      <c r="I122" s="1191" t="s">
        <v>7722</v>
      </c>
      <c r="J122" s="1619"/>
    </row>
    <row r="123" spans="1:10" s="68" customFormat="1" ht="24">
      <c r="A123" s="1200" t="s">
        <v>7723</v>
      </c>
      <c r="B123" s="1191" t="s">
        <v>7719</v>
      </c>
      <c r="C123" s="1617"/>
      <c r="D123" s="1615" t="s">
        <v>563</v>
      </c>
      <c r="E123" s="1591">
        <v>39100</v>
      </c>
      <c r="F123" s="1618" t="s">
        <v>7533</v>
      </c>
      <c r="G123" s="1191" t="s">
        <v>7493</v>
      </c>
      <c r="H123" s="1191" t="s">
        <v>7724</v>
      </c>
      <c r="I123" s="1191" t="s">
        <v>7555</v>
      </c>
      <c r="J123" s="1619"/>
    </row>
    <row r="124" spans="1:10" s="68" customFormat="1" ht="36">
      <c r="A124" s="1200" t="s">
        <v>7725</v>
      </c>
      <c r="B124" s="1191" t="s">
        <v>7726</v>
      </c>
      <c r="C124" s="1617"/>
      <c r="D124" s="1615" t="s">
        <v>664</v>
      </c>
      <c r="E124" s="1591">
        <v>679017.37</v>
      </c>
      <c r="F124" s="1618" t="s">
        <v>7727</v>
      </c>
      <c r="G124" s="1191" t="s">
        <v>7493</v>
      </c>
      <c r="H124" s="1191" t="s">
        <v>7563</v>
      </c>
      <c r="I124" s="1191" t="s">
        <v>7638</v>
      </c>
      <c r="J124" s="1619"/>
    </row>
    <row r="125" spans="1:10" s="68" customFormat="1" ht="48">
      <c r="A125" s="1200" t="s">
        <v>7728</v>
      </c>
      <c r="B125" s="1191" t="s">
        <v>7719</v>
      </c>
      <c r="C125" s="1617"/>
      <c r="D125" s="1615" t="s">
        <v>498</v>
      </c>
      <c r="E125" s="1591">
        <v>61268</v>
      </c>
      <c r="F125" s="1618" t="s">
        <v>7558</v>
      </c>
      <c r="G125" s="1191" t="s">
        <v>7493</v>
      </c>
      <c r="H125" s="1191" t="s">
        <v>7642</v>
      </c>
      <c r="I125" s="1191" t="s">
        <v>7671</v>
      </c>
      <c r="J125" s="1619"/>
    </row>
    <row r="126" spans="1:10" s="68" customFormat="1" ht="36">
      <c r="A126" s="1200" t="s">
        <v>7729</v>
      </c>
      <c r="B126" s="1191" t="s">
        <v>7719</v>
      </c>
      <c r="C126" s="1617"/>
      <c r="D126" s="1615" t="s">
        <v>822</v>
      </c>
      <c r="E126" s="1591">
        <v>48720.7</v>
      </c>
      <c r="F126" s="1618" t="s">
        <v>7558</v>
      </c>
      <c r="G126" s="1191" t="s">
        <v>7493</v>
      </c>
      <c r="H126" s="1191" t="s">
        <v>7651</v>
      </c>
      <c r="I126" s="1191" t="s">
        <v>7500</v>
      </c>
      <c r="J126" s="1619"/>
    </row>
    <row r="127" spans="1:10" s="68" customFormat="1" ht="24">
      <c r="A127" s="1200" t="s">
        <v>7730</v>
      </c>
      <c r="B127" s="1191" t="s">
        <v>7719</v>
      </c>
      <c r="C127" s="1617"/>
      <c r="D127" s="1615" t="s">
        <v>687</v>
      </c>
      <c r="E127" s="1591">
        <v>59297.3</v>
      </c>
      <c r="F127" s="1618" t="s">
        <v>7670</v>
      </c>
      <c r="G127" s="1191" t="s">
        <v>7493</v>
      </c>
      <c r="H127" s="1191" t="s">
        <v>7514</v>
      </c>
      <c r="I127" s="1191" t="s">
        <v>7731</v>
      </c>
      <c r="J127" s="1619"/>
    </row>
    <row r="128" spans="1:10" s="68" customFormat="1" ht="36">
      <c r="A128" s="1200" t="s">
        <v>7732</v>
      </c>
      <c r="B128" s="1191" t="s">
        <v>7719</v>
      </c>
      <c r="C128" s="1617"/>
      <c r="D128" s="1615" t="s">
        <v>562</v>
      </c>
      <c r="E128" s="1591">
        <v>57918.400000000001</v>
      </c>
      <c r="F128" s="1618" t="s">
        <v>7733</v>
      </c>
      <c r="G128" s="1191" t="s">
        <v>7493</v>
      </c>
      <c r="H128" s="1191" t="s">
        <v>7654</v>
      </c>
      <c r="I128" s="1191" t="s">
        <v>7623</v>
      </c>
      <c r="J128" s="1619"/>
    </row>
    <row r="129" spans="1:10" s="68" customFormat="1" ht="24.75" thickBot="1">
      <c r="A129" s="1410" t="s">
        <v>7734</v>
      </c>
      <c r="B129" s="1276" t="s">
        <v>7719</v>
      </c>
      <c r="C129" s="1410"/>
      <c r="D129" s="1620" t="s">
        <v>828</v>
      </c>
      <c r="E129" s="1621">
        <v>60000</v>
      </c>
      <c r="F129" s="1276" t="s">
        <v>7735</v>
      </c>
      <c r="G129" s="1276" t="s">
        <v>7493</v>
      </c>
      <c r="H129" s="1276" t="s">
        <v>7736</v>
      </c>
      <c r="I129" s="1191" t="s">
        <v>7737</v>
      </c>
      <c r="J129" s="1619"/>
    </row>
    <row r="130" spans="1:10" s="68" customFormat="1" ht="12.75" thickBot="1">
      <c r="A130" s="17" t="s">
        <v>0</v>
      </c>
      <c r="B130" s="46"/>
      <c r="C130" s="17"/>
      <c r="D130" s="1622"/>
      <c r="E130" s="1623">
        <f>SUM(E64:E129)</f>
        <v>15427644.52</v>
      </c>
      <c r="F130" s="46"/>
      <c r="G130" s="17"/>
      <c r="H130" s="49"/>
      <c r="I130" s="49"/>
      <c r="J130" s="24"/>
    </row>
    <row r="131" spans="1:10" s="68" customFormat="1" ht="48">
      <c r="A131" s="1200" t="s">
        <v>7738</v>
      </c>
      <c r="B131" s="1191" t="s">
        <v>7491</v>
      </c>
      <c r="C131" s="1200"/>
      <c r="D131" s="1191" t="s">
        <v>7739</v>
      </c>
      <c r="E131" s="1591">
        <v>1597500</v>
      </c>
      <c r="F131" s="1191" t="s">
        <v>7740</v>
      </c>
      <c r="G131" s="1191" t="s">
        <v>7741</v>
      </c>
      <c r="H131" s="1191" t="s">
        <v>7742</v>
      </c>
      <c r="I131" s="1191" t="s">
        <v>7743</v>
      </c>
      <c r="J131" s="1200"/>
    </row>
    <row r="132" spans="1:10" s="68" customFormat="1" ht="24">
      <c r="A132" s="1200" t="s">
        <v>7744</v>
      </c>
      <c r="B132" s="1191" t="s">
        <v>7491</v>
      </c>
      <c r="C132" s="1200"/>
      <c r="D132" s="1191" t="s">
        <v>822</v>
      </c>
      <c r="E132" s="1591">
        <v>93906</v>
      </c>
      <c r="F132" s="1191" t="s">
        <v>7566</v>
      </c>
      <c r="G132" s="1191" t="s">
        <v>7741</v>
      </c>
      <c r="H132" s="1191" t="s">
        <v>7742</v>
      </c>
      <c r="I132" s="1191" t="s">
        <v>7745</v>
      </c>
      <c r="J132" s="1200"/>
    </row>
    <row r="133" spans="1:10" s="68" customFormat="1" ht="36">
      <c r="A133" s="1200" t="s">
        <v>7746</v>
      </c>
      <c r="B133" s="1191" t="s">
        <v>7491</v>
      </c>
      <c r="C133" s="1200"/>
      <c r="D133" s="1191" t="s">
        <v>7536</v>
      </c>
      <c r="E133" s="1591">
        <v>41238</v>
      </c>
      <c r="F133" s="1191" t="s">
        <v>7508</v>
      </c>
      <c r="G133" s="1191" t="s">
        <v>7741</v>
      </c>
      <c r="H133" s="1191" t="s">
        <v>7742</v>
      </c>
      <c r="I133" s="1191" t="s">
        <v>7745</v>
      </c>
      <c r="J133" s="1200"/>
    </row>
    <row r="134" spans="1:10" s="68" customFormat="1" ht="24">
      <c r="A134" s="1200" t="s">
        <v>7747</v>
      </c>
      <c r="B134" s="1191" t="s">
        <v>7491</v>
      </c>
      <c r="C134" s="1200"/>
      <c r="D134" s="1191" t="s">
        <v>1012</v>
      </c>
      <c r="E134" s="1591">
        <v>72600</v>
      </c>
      <c r="F134" s="1191" t="s">
        <v>7641</v>
      </c>
      <c r="G134" s="1191" t="s">
        <v>7741</v>
      </c>
      <c r="H134" s="1191" t="s">
        <v>7748</v>
      </c>
      <c r="I134" s="1191" t="s">
        <v>7749</v>
      </c>
      <c r="J134" s="1200"/>
    </row>
    <row r="135" spans="1:10" s="68" customFormat="1" ht="36">
      <c r="A135" s="1200" t="s">
        <v>7750</v>
      </c>
      <c r="B135" s="1191" t="s">
        <v>7491</v>
      </c>
      <c r="C135" s="1200"/>
      <c r="D135" s="1191" t="s">
        <v>7615</v>
      </c>
      <c r="E135" s="1591">
        <v>472155.24</v>
      </c>
      <c r="F135" s="1191" t="s">
        <v>7612</v>
      </c>
      <c r="G135" s="1191" t="s">
        <v>7741</v>
      </c>
      <c r="H135" s="1191" t="s">
        <v>7751</v>
      </c>
      <c r="I135" s="1191" t="s">
        <v>7752</v>
      </c>
      <c r="J135" s="1200"/>
    </row>
    <row r="136" spans="1:10" s="68" customFormat="1" ht="36">
      <c r="A136" s="1200" t="s">
        <v>7753</v>
      </c>
      <c r="B136" s="1191" t="s">
        <v>7491</v>
      </c>
      <c r="C136" s="1200"/>
      <c r="D136" s="1191" t="s">
        <v>7520</v>
      </c>
      <c r="E136" s="1591">
        <v>247650</v>
      </c>
      <c r="F136" s="1191" t="s">
        <v>7693</v>
      </c>
      <c r="G136" s="1191" t="s">
        <v>7741</v>
      </c>
      <c r="H136" s="1191" t="s">
        <v>7754</v>
      </c>
      <c r="I136" s="1191" t="s">
        <v>7755</v>
      </c>
      <c r="J136" s="1200"/>
    </row>
    <row r="137" spans="1:10" s="68" customFormat="1" ht="36">
      <c r="A137" s="1200" t="s">
        <v>7753</v>
      </c>
      <c r="B137" s="1191" t="s">
        <v>7491</v>
      </c>
      <c r="C137" s="1200"/>
      <c r="D137" s="1191" t="s">
        <v>7520</v>
      </c>
      <c r="E137" s="1591">
        <v>138021</v>
      </c>
      <c r="F137" s="1191" t="s">
        <v>7693</v>
      </c>
      <c r="G137" s="1191" t="s">
        <v>7741</v>
      </c>
      <c r="H137" s="1191" t="s">
        <v>7754</v>
      </c>
      <c r="I137" s="1191" t="s">
        <v>7755</v>
      </c>
      <c r="J137" s="1200"/>
    </row>
    <row r="138" spans="1:10" s="68" customFormat="1" ht="24">
      <c r="A138" s="1200" t="s">
        <v>7592</v>
      </c>
      <c r="B138" s="1191" t="s">
        <v>7491</v>
      </c>
      <c r="C138" s="1200"/>
      <c r="D138" s="1191" t="s">
        <v>828</v>
      </c>
      <c r="E138" s="1591">
        <v>81224</v>
      </c>
      <c r="F138" s="1191" t="s">
        <v>7533</v>
      </c>
      <c r="G138" s="1191" t="s">
        <v>7741</v>
      </c>
      <c r="H138" s="1191" t="s">
        <v>7756</v>
      </c>
      <c r="I138" s="1191" t="s">
        <v>7531</v>
      </c>
      <c r="J138" s="1200"/>
    </row>
    <row r="139" spans="1:10" s="68" customFormat="1" ht="36">
      <c r="A139" s="1200" t="s">
        <v>7582</v>
      </c>
      <c r="B139" s="1191" t="s">
        <v>7491</v>
      </c>
      <c r="C139" s="1200"/>
      <c r="D139" s="1191" t="s">
        <v>664</v>
      </c>
      <c r="E139" s="1591">
        <v>296088</v>
      </c>
      <c r="F139" s="1191" t="s">
        <v>7693</v>
      </c>
      <c r="G139" s="1191" t="s">
        <v>7741</v>
      </c>
      <c r="H139" s="1191" t="s">
        <v>7757</v>
      </c>
      <c r="I139" s="1191" t="s">
        <v>7758</v>
      </c>
      <c r="J139" s="1200"/>
    </row>
    <row r="140" spans="1:10" s="68" customFormat="1" ht="24">
      <c r="A140" s="1200" t="s">
        <v>7569</v>
      </c>
      <c r="B140" s="1191" t="s">
        <v>7491</v>
      </c>
      <c r="C140" s="1200"/>
      <c r="D140" s="1191" t="s">
        <v>556</v>
      </c>
      <c r="E140" s="1591">
        <v>170000</v>
      </c>
      <c r="F140" s="1191" t="s">
        <v>7571</v>
      </c>
      <c r="G140" s="1191" t="s">
        <v>7741</v>
      </c>
      <c r="H140" s="1191" t="s">
        <v>7759</v>
      </c>
      <c r="I140" s="1191" t="s">
        <v>7760</v>
      </c>
      <c r="J140" s="1200"/>
    </row>
    <row r="141" spans="1:10" s="68" customFormat="1" ht="24">
      <c r="A141" s="1200" t="s">
        <v>7524</v>
      </c>
      <c r="B141" s="1191" t="s">
        <v>7491</v>
      </c>
      <c r="C141" s="1200"/>
      <c r="D141" s="1191" t="s">
        <v>583</v>
      </c>
      <c r="E141" s="1591">
        <v>296400</v>
      </c>
      <c r="F141" s="1191" t="s">
        <v>7571</v>
      </c>
      <c r="G141" s="1191" t="s">
        <v>7741</v>
      </c>
      <c r="H141" s="1191" t="s">
        <v>7759</v>
      </c>
      <c r="I141" s="1191" t="s">
        <v>7752</v>
      </c>
      <c r="J141" s="1200"/>
    </row>
    <row r="142" spans="1:10" s="68" customFormat="1" ht="36">
      <c r="A142" s="1200" t="s">
        <v>7761</v>
      </c>
      <c r="B142" s="1191" t="s">
        <v>7491</v>
      </c>
      <c r="C142" s="1200"/>
      <c r="D142" s="1191" t="s">
        <v>7557</v>
      </c>
      <c r="E142" s="1591">
        <v>346529.5</v>
      </c>
      <c r="F142" s="1191" t="s">
        <v>7612</v>
      </c>
      <c r="G142" s="1191" t="s">
        <v>7741</v>
      </c>
      <c r="H142" s="1191" t="s">
        <v>7762</v>
      </c>
      <c r="I142" s="1191" t="s">
        <v>7763</v>
      </c>
      <c r="J142" s="1200"/>
    </row>
    <row r="143" spans="1:10" s="68" customFormat="1" ht="24">
      <c r="A143" s="1200" t="s">
        <v>7764</v>
      </c>
      <c r="B143" s="1191" t="s">
        <v>7491</v>
      </c>
      <c r="C143" s="1200"/>
      <c r="D143" s="1191" t="s">
        <v>7640</v>
      </c>
      <c r="E143" s="1591">
        <v>63000</v>
      </c>
      <c r="F143" s="1191" t="s">
        <v>7765</v>
      </c>
      <c r="G143" s="1191" t="s">
        <v>7741</v>
      </c>
      <c r="H143" s="1191" t="s">
        <v>7766</v>
      </c>
      <c r="I143" s="1191" t="s">
        <v>7763</v>
      </c>
      <c r="J143" s="1200"/>
    </row>
    <row r="144" spans="1:10" s="68" customFormat="1" ht="24">
      <c r="A144" s="1200" t="s">
        <v>7764</v>
      </c>
      <c r="B144" s="1191" t="s">
        <v>7491</v>
      </c>
      <c r="C144" s="1200"/>
      <c r="D144" s="1191" t="s">
        <v>7640</v>
      </c>
      <c r="E144" s="1591">
        <v>201420</v>
      </c>
      <c r="F144" s="1191" t="s">
        <v>7767</v>
      </c>
      <c r="G144" s="1191" t="s">
        <v>7741</v>
      </c>
      <c r="H144" s="1191" t="s">
        <v>7762</v>
      </c>
      <c r="I144" s="1191" t="s">
        <v>7758</v>
      </c>
      <c r="J144" s="1200"/>
    </row>
    <row r="145" spans="1:10" s="68" customFormat="1" ht="24">
      <c r="A145" s="1200" t="s">
        <v>7768</v>
      </c>
      <c r="B145" s="1191" t="s">
        <v>7491</v>
      </c>
      <c r="C145" s="1200"/>
      <c r="D145" s="1191" t="s">
        <v>7540</v>
      </c>
      <c r="E145" s="1591">
        <v>73800</v>
      </c>
      <c r="F145" s="1191" t="s">
        <v>7641</v>
      </c>
      <c r="G145" s="1191" t="s">
        <v>7741</v>
      </c>
      <c r="H145" s="1191" t="s">
        <v>7769</v>
      </c>
      <c r="I145" s="1191" t="s">
        <v>7591</v>
      </c>
      <c r="J145" s="1200"/>
    </row>
    <row r="146" spans="1:10" s="68" customFormat="1" ht="24">
      <c r="A146" s="1200" t="s">
        <v>7770</v>
      </c>
      <c r="B146" s="1191" t="s">
        <v>7491</v>
      </c>
      <c r="C146" s="1200"/>
      <c r="D146" s="1191" t="s">
        <v>7502</v>
      </c>
      <c r="E146" s="1591">
        <v>37821</v>
      </c>
      <c r="F146" s="1191" t="s">
        <v>7771</v>
      </c>
      <c r="G146" s="1191" t="s">
        <v>7741</v>
      </c>
      <c r="H146" s="1191" t="s">
        <v>7772</v>
      </c>
      <c r="I146" s="1191" t="s">
        <v>7773</v>
      </c>
      <c r="J146" s="1200"/>
    </row>
    <row r="147" spans="1:10" s="68" customFormat="1" ht="36">
      <c r="A147" s="1200" t="s">
        <v>7574</v>
      </c>
      <c r="B147" s="1191" t="s">
        <v>7491</v>
      </c>
      <c r="C147" s="1200"/>
      <c r="D147" s="1191" t="s">
        <v>498</v>
      </c>
      <c r="E147" s="1591">
        <v>371971</v>
      </c>
      <c r="F147" s="1191" t="s">
        <v>7571</v>
      </c>
      <c r="G147" s="1191" t="s">
        <v>7741</v>
      </c>
      <c r="H147" s="1191" t="s">
        <v>7774</v>
      </c>
      <c r="I147" s="1191" t="s">
        <v>7775</v>
      </c>
      <c r="J147" s="1200"/>
    </row>
    <row r="148" spans="1:10" s="68" customFormat="1" ht="24">
      <c r="A148" s="1200" t="s">
        <v>7776</v>
      </c>
      <c r="B148" s="1191" t="s">
        <v>7491</v>
      </c>
      <c r="C148" s="1200"/>
      <c r="D148" s="1191" t="s">
        <v>7777</v>
      </c>
      <c r="E148" s="1591">
        <v>71700</v>
      </c>
      <c r="F148" s="1191" t="s">
        <v>7641</v>
      </c>
      <c r="G148" s="1191" t="s">
        <v>7741</v>
      </c>
      <c r="H148" s="1191" t="s">
        <v>7772</v>
      </c>
      <c r="I148" s="1191" t="s">
        <v>7778</v>
      </c>
      <c r="J148" s="1200"/>
    </row>
    <row r="149" spans="1:10" s="68" customFormat="1" ht="36">
      <c r="A149" s="1200" t="s">
        <v>7779</v>
      </c>
      <c r="B149" s="1191" t="s">
        <v>7491</v>
      </c>
      <c r="C149" s="1200"/>
      <c r="D149" s="1191" t="s">
        <v>7608</v>
      </c>
      <c r="E149" s="1591">
        <v>88800</v>
      </c>
      <c r="F149" s="1191" t="s">
        <v>7780</v>
      </c>
      <c r="G149" s="1191" t="s">
        <v>7741</v>
      </c>
      <c r="H149" s="1191" t="s">
        <v>7781</v>
      </c>
      <c r="I149" s="1191" t="s">
        <v>7782</v>
      </c>
      <c r="J149" s="1200"/>
    </row>
    <row r="150" spans="1:10" s="68" customFormat="1" ht="36">
      <c r="A150" s="1200" t="s">
        <v>7496</v>
      </c>
      <c r="B150" s="1191" t="s">
        <v>7491</v>
      </c>
      <c r="C150" s="1200"/>
      <c r="D150" s="1191" t="s">
        <v>7783</v>
      </c>
      <c r="E150" s="1591">
        <v>229500</v>
      </c>
      <c r="F150" s="1191" t="s">
        <v>7707</v>
      </c>
      <c r="G150" s="1191" t="s">
        <v>7784</v>
      </c>
      <c r="H150" s="1191" t="s">
        <v>7781</v>
      </c>
      <c r="I150" s="1191" t="s">
        <v>7785</v>
      </c>
      <c r="J150" s="1200"/>
    </row>
    <row r="151" spans="1:10" s="68" customFormat="1" ht="24">
      <c r="A151" s="1200" t="s">
        <v>7786</v>
      </c>
      <c r="B151" s="1191" t="s">
        <v>7491</v>
      </c>
      <c r="C151" s="1200"/>
      <c r="D151" s="1191" t="s">
        <v>7583</v>
      </c>
      <c r="E151" s="1591">
        <v>54960.5</v>
      </c>
      <c r="F151" s="1191" t="s">
        <v>7771</v>
      </c>
      <c r="G151" s="1191" t="s">
        <v>7784</v>
      </c>
      <c r="H151" s="1191" t="s">
        <v>7772</v>
      </c>
      <c r="I151" s="1191" t="s">
        <v>7787</v>
      </c>
      <c r="J151" s="1200"/>
    </row>
    <row r="152" spans="1:10" s="68" customFormat="1" ht="36">
      <c r="A152" s="1200" t="s">
        <v>7788</v>
      </c>
      <c r="B152" s="1191" t="s">
        <v>7491</v>
      </c>
      <c r="C152" s="1200"/>
      <c r="D152" s="1191" t="s">
        <v>687</v>
      </c>
      <c r="E152" s="1591">
        <v>88633.5</v>
      </c>
      <c r="F152" s="1191" t="s">
        <v>7558</v>
      </c>
      <c r="G152" s="1191" t="s">
        <v>7784</v>
      </c>
      <c r="H152" s="1191" t="s">
        <v>7789</v>
      </c>
      <c r="I152" s="1191" t="s">
        <v>7790</v>
      </c>
      <c r="J152" s="1200"/>
    </row>
    <row r="153" spans="1:10" s="68" customFormat="1" ht="36">
      <c r="A153" s="1200" t="s">
        <v>7791</v>
      </c>
      <c r="B153" s="1191" t="s">
        <v>7692</v>
      </c>
      <c r="C153" s="1200"/>
      <c r="D153" s="1191" t="s">
        <v>664</v>
      </c>
      <c r="E153" s="1591">
        <v>4268052.18</v>
      </c>
      <c r="F153" s="1191" t="s">
        <v>7792</v>
      </c>
      <c r="G153" s="1191" t="s">
        <v>7784</v>
      </c>
      <c r="H153" s="1191" t="s">
        <v>7749</v>
      </c>
      <c r="I153" s="1191" t="s">
        <v>7793</v>
      </c>
      <c r="J153" s="1200" t="s">
        <v>7794</v>
      </c>
    </row>
    <row r="154" spans="1:10" s="68" customFormat="1" ht="24">
      <c r="A154" s="1200" t="s">
        <v>7706</v>
      </c>
      <c r="B154" s="1191" t="s">
        <v>7692</v>
      </c>
      <c r="C154" s="1200"/>
      <c r="D154" s="1191" t="s">
        <v>563</v>
      </c>
      <c r="E154" s="1591">
        <v>544055.80000000005</v>
      </c>
      <c r="F154" s="1191" t="s">
        <v>7707</v>
      </c>
      <c r="G154" s="1191" t="s">
        <v>7741</v>
      </c>
      <c r="H154" s="1191" t="s">
        <v>7795</v>
      </c>
      <c r="I154" s="1191" t="s">
        <v>7591</v>
      </c>
      <c r="J154" s="1200"/>
    </row>
    <row r="155" spans="1:10" s="68" customFormat="1" ht="24">
      <c r="A155" s="1200" t="s">
        <v>7710</v>
      </c>
      <c r="B155" s="1191" t="s">
        <v>7692</v>
      </c>
      <c r="C155" s="1200"/>
      <c r="D155" s="1191" t="s">
        <v>822</v>
      </c>
      <c r="E155" s="1591">
        <v>2379293</v>
      </c>
      <c r="F155" s="1191" t="s">
        <v>7796</v>
      </c>
      <c r="G155" s="1191" t="s">
        <v>7784</v>
      </c>
      <c r="H155" s="1191" t="s">
        <v>7795</v>
      </c>
      <c r="I155" s="1191" t="s">
        <v>7797</v>
      </c>
      <c r="J155" s="1200"/>
    </row>
    <row r="156" spans="1:10" s="68" customFormat="1" ht="24">
      <c r="A156" s="1200" t="s">
        <v>7798</v>
      </c>
      <c r="B156" s="1191" t="s">
        <v>7698</v>
      </c>
      <c r="C156" s="1200"/>
      <c r="D156" s="1191" t="s">
        <v>664</v>
      </c>
      <c r="E156" s="1591">
        <v>507393.6</v>
      </c>
      <c r="F156" s="1191" t="s">
        <v>7799</v>
      </c>
      <c r="G156" s="1191" t="s">
        <v>7741</v>
      </c>
      <c r="H156" s="1191" t="s">
        <v>7800</v>
      </c>
      <c r="I156" s="1191" t="s">
        <v>7801</v>
      </c>
      <c r="J156" s="1200"/>
    </row>
    <row r="157" spans="1:10" s="68" customFormat="1" ht="24">
      <c r="A157" s="1200" t="s">
        <v>7802</v>
      </c>
      <c r="B157" s="1191" t="s">
        <v>7692</v>
      </c>
      <c r="C157" s="1200"/>
      <c r="D157" s="1191" t="s">
        <v>498</v>
      </c>
      <c r="E157" s="1591">
        <v>673129.5</v>
      </c>
      <c r="F157" s="1191" t="s">
        <v>7641</v>
      </c>
      <c r="G157" s="1191" t="s">
        <v>7784</v>
      </c>
      <c r="H157" s="1191" t="s">
        <v>7789</v>
      </c>
      <c r="I157" s="1191" t="s">
        <v>7803</v>
      </c>
      <c r="J157" s="1200"/>
    </row>
    <row r="158" spans="1:10" s="68" customFormat="1" ht="24">
      <c r="A158" s="1200" t="s">
        <v>7802</v>
      </c>
      <c r="B158" s="1191" t="s">
        <v>7692</v>
      </c>
      <c r="C158" s="1200"/>
      <c r="D158" s="1191" t="s">
        <v>498</v>
      </c>
      <c r="E158" s="1591">
        <v>229030.5</v>
      </c>
      <c r="F158" s="1191" t="s">
        <v>7641</v>
      </c>
      <c r="G158" s="1191" t="s">
        <v>7784</v>
      </c>
      <c r="H158" s="1191" t="s">
        <v>7789</v>
      </c>
      <c r="I158" s="1191" t="s">
        <v>7804</v>
      </c>
      <c r="J158" s="1200"/>
    </row>
    <row r="159" spans="1:10" s="68" customFormat="1" ht="24">
      <c r="A159" s="1200" t="s">
        <v>7539</v>
      </c>
      <c r="B159" s="1191" t="s">
        <v>7692</v>
      </c>
      <c r="C159" s="1200"/>
      <c r="D159" s="1191" t="s">
        <v>562</v>
      </c>
      <c r="E159" s="1591">
        <v>427800</v>
      </c>
      <c r="F159" s="1191" t="s">
        <v>7598</v>
      </c>
      <c r="G159" s="1191" t="s">
        <v>7784</v>
      </c>
      <c r="H159" s="1191" t="s">
        <v>7772</v>
      </c>
      <c r="I159" s="1191" t="s">
        <v>7805</v>
      </c>
      <c r="J159" s="1200"/>
    </row>
    <row r="160" spans="1:10" s="68" customFormat="1" ht="36">
      <c r="A160" s="1200" t="s">
        <v>7725</v>
      </c>
      <c r="B160" s="1191" t="s">
        <v>7726</v>
      </c>
      <c r="C160" s="1200"/>
      <c r="D160" s="1191" t="s">
        <v>498</v>
      </c>
      <c r="E160" s="1591">
        <v>495480</v>
      </c>
      <c r="F160" s="1191" t="s">
        <v>7727</v>
      </c>
      <c r="G160" s="1191" t="s">
        <v>7784</v>
      </c>
      <c r="H160" s="1191" t="s">
        <v>7806</v>
      </c>
      <c r="I160" s="1191" t="s">
        <v>7807</v>
      </c>
      <c r="J160" s="1200"/>
    </row>
    <row r="161" spans="1:10" s="68" customFormat="1" ht="24">
      <c r="A161" s="1200" t="s">
        <v>7808</v>
      </c>
      <c r="B161" s="1191" t="s">
        <v>7809</v>
      </c>
      <c r="C161" s="1200"/>
      <c r="D161" s="1191" t="s">
        <v>664</v>
      </c>
      <c r="E161" s="1591">
        <v>111824.44</v>
      </c>
      <c r="F161" s="1191" t="s">
        <v>7589</v>
      </c>
      <c r="G161" s="1191" t="s">
        <v>7784</v>
      </c>
      <c r="H161" s="1191" t="s">
        <v>7810</v>
      </c>
      <c r="I161" s="1191" t="s">
        <v>7531</v>
      </c>
      <c r="J161" s="1200"/>
    </row>
    <row r="162" spans="1:10" s="68" customFormat="1" ht="60">
      <c r="A162" s="1200" t="s">
        <v>7811</v>
      </c>
      <c r="B162" s="1191" t="s">
        <v>7809</v>
      </c>
      <c r="C162" s="1200"/>
      <c r="D162" s="1191" t="s">
        <v>563</v>
      </c>
      <c r="E162" s="1591">
        <v>200000</v>
      </c>
      <c r="F162" s="1191" t="s">
        <v>7812</v>
      </c>
      <c r="G162" s="1191" t="s">
        <v>7784</v>
      </c>
      <c r="H162" s="1191" t="s">
        <v>7813</v>
      </c>
      <c r="I162" s="1191" t="s">
        <v>7814</v>
      </c>
      <c r="J162" s="1200"/>
    </row>
    <row r="163" spans="1:10" s="68" customFormat="1" ht="36">
      <c r="A163" s="1200" t="s">
        <v>7815</v>
      </c>
      <c r="B163" s="1191" t="s">
        <v>7809</v>
      </c>
      <c r="C163" s="1200"/>
      <c r="D163" s="1191" t="s">
        <v>562</v>
      </c>
      <c r="E163" s="1591">
        <v>100005.5</v>
      </c>
      <c r="F163" s="1191" t="s">
        <v>7558</v>
      </c>
      <c r="G163" s="1191" t="s">
        <v>7784</v>
      </c>
      <c r="H163" s="1191" t="s">
        <v>7816</v>
      </c>
      <c r="I163" s="1191" t="s">
        <v>7749</v>
      </c>
      <c r="J163" s="1200"/>
    </row>
    <row r="164" spans="1:10" s="68" customFormat="1" ht="24">
      <c r="A164" s="1200" t="s">
        <v>7817</v>
      </c>
      <c r="B164" s="1191" t="s">
        <v>7809</v>
      </c>
      <c r="C164" s="1200"/>
      <c r="D164" s="1191" t="s">
        <v>498</v>
      </c>
      <c r="E164" s="1591">
        <v>499500</v>
      </c>
      <c r="F164" s="1191" t="s">
        <v>7558</v>
      </c>
      <c r="G164" s="1191" t="s">
        <v>7784</v>
      </c>
      <c r="H164" s="1191" t="s">
        <v>7818</v>
      </c>
      <c r="I164" s="1191" t="s">
        <v>7531</v>
      </c>
      <c r="J164" s="1200"/>
    </row>
    <row r="165" spans="1:10" s="68" customFormat="1" ht="24">
      <c r="A165" s="1200" t="s">
        <v>7817</v>
      </c>
      <c r="B165" s="1191" t="s">
        <v>7809</v>
      </c>
      <c r="C165" s="1200"/>
      <c r="D165" s="1191" t="s">
        <v>687</v>
      </c>
      <c r="E165" s="1591">
        <v>3496500</v>
      </c>
      <c r="F165" s="1191" t="s">
        <v>7558</v>
      </c>
      <c r="G165" s="1191" t="s">
        <v>7784</v>
      </c>
      <c r="H165" s="1191" t="s">
        <v>7819</v>
      </c>
      <c r="I165" s="1191" t="s">
        <v>7820</v>
      </c>
      <c r="J165" s="1200"/>
    </row>
    <row r="166" spans="1:10" s="68" customFormat="1" ht="24">
      <c r="A166" s="1200" t="s">
        <v>7821</v>
      </c>
      <c r="B166" s="1191" t="s">
        <v>7809</v>
      </c>
      <c r="C166" s="1200"/>
      <c r="D166" s="1191" t="s">
        <v>1012</v>
      </c>
      <c r="E166" s="1591">
        <v>247832</v>
      </c>
      <c r="F166" s="1191" t="s">
        <v>7566</v>
      </c>
      <c r="G166" s="1191" t="s">
        <v>7784</v>
      </c>
      <c r="H166" s="1191" t="s">
        <v>7800</v>
      </c>
      <c r="I166" s="1191" t="s">
        <v>7822</v>
      </c>
      <c r="J166" s="1200"/>
    </row>
    <row r="167" spans="1:10" s="68" customFormat="1" ht="36.75" thickBot="1">
      <c r="A167" s="1200" t="s">
        <v>7823</v>
      </c>
      <c r="B167" s="1191" t="s">
        <v>7809</v>
      </c>
      <c r="C167" s="1200"/>
      <c r="D167" s="1191" t="s">
        <v>556</v>
      </c>
      <c r="E167" s="1591">
        <v>686682.26</v>
      </c>
      <c r="F167" s="1191" t="s">
        <v>7824</v>
      </c>
      <c r="G167" s="1191" t="s">
        <v>7784</v>
      </c>
      <c r="H167" s="1191" t="s">
        <v>7825</v>
      </c>
      <c r="I167" s="1191" t="s">
        <v>7826</v>
      </c>
      <c r="J167" s="1200"/>
    </row>
    <row r="168" spans="1:10" s="68" customFormat="1" ht="12.75" thickBot="1">
      <c r="A168" s="50" t="s">
        <v>0</v>
      </c>
      <c r="B168" s="27"/>
      <c r="C168" s="17"/>
      <c r="D168" s="1622"/>
      <c r="E168" s="1623">
        <f>SUM(E131:E167)</f>
        <v>20001496.52</v>
      </c>
      <c r="F168" s="46"/>
      <c r="G168" s="17"/>
      <c r="H168" s="49"/>
      <c r="I168" s="49"/>
      <c r="J168" s="24"/>
    </row>
    <row r="169" spans="1:10" s="68" customFormat="1" ht="24">
      <c r="A169" s="1200" t="s">
        <v>7827</v>
      </c>
      <c r="B169" s="1191"/>
      <c r="C169" s="1200"/>
      <c r="D169" s="1191"/>
      <c r="E169" s="1591">
        <v>12395343</v>
      </c>
      <c r="F169" s="1191"/>
      <c r="G169" s="1191"/>
      <c r="H169" s="1191"/>
      <c r="I169" s="1191"/>
      <c r="J169" s="1616"/>
    </row>
    <row r="170" spans="1:10" s="68" customFormat="1" ht="24">
      <c r="A170" s="1200" t="s">
        <v>7828</v>
      </c>
      <c r="B170" s="1191" t="s">
        <v>7829</v>
      </c>
      <c r="C170" s="1200"/>
      <c r="D170" s="1191"/>
      <c r="E170" s="1591">
        <v>16801</v>
      </c>
      <c r="F170" s="1191"/>
      <c r="G170" s="1191"/>
      <c r="H170" s="1191"/>
      <c r="I170" s="1191"/>
      <c r="J170" s="1616"/>
    </row>
    <row r="171" spans="1:10" s="68" customFormat="1" ht="24">
      <c r="A171" s="1200" t="s">
        <v>7830</v>
      </c>
      <c r="B171" s="1191" t="s">
        <v>7829</v>
      </c>
      <c r="C171" s="1200"/>
      <c r="D171" s="1191"/>
      <c r="E171" s="1591">
        <v>19883.66</v>
      </c>
      <c r="F171" s="1191"/>
      <c r="G171" s="1191"/>
      <c r="H171" s="1191"/>
      <c r="I171" s="1191"/>
      <c r="J171" s="1616"/>
    </row>
    <row r="172" spans="1:10" s="68" customFormat="1" ht="24">
      <c r="A172" s="1200" t="s">
        <v>7831</v>
      </c>
      <c r="B172" s="1191" t="s">
        <v>7829</v>
      </c>
      <c r="C172" s="1200"/>
      <c r="D172" s="1191"/>
      <c r="E172" s="1591">
        <v>8191.67</v>
      </c>
      <c r="F172" s="1191"/>
      <c r="G172" s="1191"/>
      <c r="H172" s="1191"/>
      <c r="I172" s="1191"/>
      <c r="J172" s="1616"/>
    </row>
    <row r="173" spans="1:10" s="68" customFormat="1" ht="24">
      <c r="A173" s="1200" t="s">
        <v>7832</v>
      </c>
      <c r="B173" s="1191" t="s">
        <v>7829</v>
      </c>
      <c r="C173" s="1200"/>
      <c r="D173" s="1191"/>
      <c r="E173" s="1591">
        <v>40307</v>
      </c>
      <c r="F173" s="1191"/>
      <c r="G173" s="1191"/>
      <c r="H173" s="1191"/>
      <c r="I173" s="1191"/>
      <c r="J173" s="1616"/>
    </row>
    <row r="174" spans="1:10" s="68" customFormat="1" ht="24">
      <c r="A174" s="1200" t="s">
        <v>7833</v>
      </c>
      <c r="B174" s="1191" t="s">
        <v>7834</v>
      </c>
      <c r="C174" s="1200"/>
      <c r="D174" s="1191"/>
      <c r="E174" s="1591">
        <v>70980</v>
      </c>
      <c r="F174" s="1191"/>
      <c r="G174" s="1191"/>
      <c r="H174" s="1191"/>
      <c r="I174" s="1191"/>
      <c r="J174" s="1616"/>
    </row>
    <row r="175" spans="1:10" s="68" customFormat="1" ht="24">
      <c r="A175" s="1200" t="s">
        <v>7835</v>
      </c>
      <c r="B175" s="1191" t="s">
        <v>7829</v>
      </c>
      <c r="C175" s="1200"/>
      <c r="D175" s="1191"/>
      <c r="E175" s="1591">
        <v>256418.64</v>
      </c>
      <c r="F175" s="1191"/>
      <c r="G175" s="1191"/>
      <c r="H175" s="1191"/>
      <c r="I175" s="1191"/>
      <c r="J175" s="1616"/>
    </row>
    <row r="176" spans="1:10" s="68" customFormat="1" ht="24.75" thickBot="1">
      <c r="A176" s="1200" t="s">
        <v>7836</v>
      </c>
      <c r="B176" s="1191" t="s">
        <v>7829</v>
      </c>
      <c r="C176" s="1200"/>
      <c r="D176" s="1191"/>
      <c r="E176" s="1591">
        <v>1120163</v>
      </c>
      <c r="F176" s="1191"/>
      <c r="G176" s="1191"/>
      <c r="H176" s="1191"/>
      <c r="I176" s="1191"/>
      <c r="J176" s="1616"/>
    </row>
    <row r="177" spans="1:10" s="68" customFormat="1" ht="12.75" thickBot="1">
      <c r="A177" s="50" t="s">
        <v>0</v>
      </c>
      <c r="B177" s="27"/>
      <c r="C177" s="17"/>
      <c r="D177" s="1622"/>
      <c r="E177" s="1623">
        <f>SUM(E169:E176)</f>
        <v>13928087.970000001</v>
      </c>
      <c r="F177" s="46"/>
      <c r="G177" s="17"/>
      <c r="H177" s="49"/>
      <c r="I177" s="49"/>
      <c r="J177" s="24"/>
    </row>
    <row r="178" spans="1:10" ht="12.75" thickBot="1">
      <c r="A178" s="2055" t="s">
        <v>421</v>
      </c>
      <c r="B178" s="2056"/>
      <c r="C178" s="2056"/>
      <c r="D178" s="2056"/>
      <c r="E178" s="2056"/>
      <c r="F178" s="2056"/>
      <c r="G178" s="2056"/>
      <c r="H178" s="2056"/>
      <c r="I178" s="2056"/>
      <c r="J178" s="2057"/>
    </row>
    <row r="179" spans="1:10">
      <c r="A179" s="396" t="s">
        <v>7881</v>
      </c>
      <c r="B179" s="394"/>
      <c r="C179" s="394"/>
      <c r="D179" s="397"/>
      <c r="E179" s="279"/>
      <c r="F179" s="393"/>
      <c r="G179" s="394"/>
      <c r="H179" s="395"/>
      <c r="I179" s="395"/>
      <c r="J179" s="280"/>
    </row>
    <row r="180" spans="1:10" ht="36">
      <c r="A180" s="396" t="s">
        <v>7882</v>
      </c>
      <c r="B180" s="394" t="s">
        <v>7883</v>
      </c>
      <c r="C180" s="394"/>
      <c r="D180" s="397" t="s">
        <v>7884</v>
      </c>
      <c r="E180" s="279" t="s">
        <v>7885</v>
      </c>
      <c r="F180" s="393" t="s">
        <v>7886</v>
      </c>
      <c r="G180" s="394" t="s">
        <v>7305</v>
      </c>
      <c r="H180" s="395">
        <v>43594</v>
      </c>
      <c r="I180" s="395">
        <v>43831</v>
      </c>
      <c r="J180" s="280" t="s">
        <v>7887</v>
      </c>
    </row>
    <row r="181" spans="1:10" ht="60">
      <c r="A181" s="396" t="s">
        <v>7888</v>
      </c>
      <c r="B181" s="394" t="s">
        <v>7883</v>
      </c>
      <c r="C181" s="394"/>
      <c r="D181" s="397" t="s">
        <v>7889</v>
      </c>
      <c r="E181" s="279" t="s">
        <v>7890</v>
      </c>
      <c r="F181" s="393" t="s">
        <v>7891</v>
      </c>
      <c r="G181" s="394" t="s">
        <v>7892</v>
      </c>
      <c r="H181" s="395">
        <v>43679</v>
      </c>
      <c r="I181" s="395">
        <v>44094</v>
      </c>
      <c r="J181" s="280" t="s">
        <v>7887</v>
      </c>
    </row>
    <row r="182" spans="1:10" ht="48">
      <c r="A182" s="396" t="s">
        <v>7893</v>
      </c>
      <c r="B182" s="394" t="s">
        <v>7894</v>
      </c>
      <c r="C182" s="394"/>
      <c r="D182" s="397" t="s">
        <v>7895</v>
      </c>
      <c r="E182" s="279" t="s">
        <v>7896</v>
      </c>
      <c r="F182" s="393" t="s">
        <v>7897</v>
      </c>
      <c r="G182" s="394" t="s">
        <v>7305</v>
      </c>
      <c r="H182" s="395">
        <v>43740</v>
      </c>
      <c r="I182" s="395">
        <v>43799</v>
      </c>
      <c r="J182" s="280" t="s">
        <v>7887</v>
      </c>
    </row>
    <row r="183" spans="1:10" ht="48">
      <c r="A183" s="396" t="s">
        <v>7898</v>
      </c>
      <c r="B183" s="394" t="s">
        <v>7899</v>
      </c>
      <c r="C183" s="394"/>
      <c r="D183" s="397" t="s">
        <v>7900</v>
      </c>
      <c r="E183" s="279" t="s">
        <v>7901</v>
      </c>
      <c r="F183" s="393" t="s">
        <v>7902</v>
      </c>
      <c r="G183" s="394" t="s">
        <v>7305</v>
      </c>
      <c r="H183" s="395">
        <v>43649</v>
      </c>
      <c r="I183" s="395">
        <v>44014</v>
      </c>
      <c r="J183" s="280" t="s">
        <v>7887</v>
      </c>
    </row>
    <row r="184" spans="1:10" ht="48">
      <c r="A184" s="396" t="s">
        <v>7898</v>
      </c>
      <c r="B184" s="394" t="s">
        <v>7899</v>
      </c>
      <c r="C184" s="394"/>
      <c r="D184" s="397" t="s">
        <v>7903</v>
      </c>
      <c r="E184" s="279" t="s">
        <v>7904</v>
      </c>
      <c r="F184" s="393" t="s">
        <v>7905</v>
      </c>
      <c r="G184" s="394" t="s">
        <v>7305</v>
      </c>
      <c r="H184" s="395">
        <v>43650</v>
      </c>
      <c r="I184" s="395">
        <v>43985</v>
      </c>
      <c r="J184" s="280" t="s">
        <v>7887</v>
      </c>
    </row>
    <row r="185" spans="1:10" ht="36">
      <c r="A185" s="396" t="s">
        <v>7906</v>
      </c>
      <c r="B185" s="394" t="s">
        <v>7894</v>
      </c>
      <c r="C185" s="394"/>
      <c r="D185" s="397" t="s">
        <v>7907</v>
      </c>
      <c r="E185" s="279" t="s">
        <v>7908</v>
      </c>
      <c r="F185" s="393" t="s">
        <v>7902</v>
      </c>
      <c r="G185" s="394" t="s">
        <v>7305</v>
      </c>
      <c r="H185" s="395">
        <v>43657</v>
      </c>
      <c r="I185" s="395">
        <v>44021</v>
      </c>
      <c r="J185" s="280" t="s">
        <v>7887</v>
      </c>
    </row>
    <row r="186" spans="1:10" ht="48">
      <c r="A186" s="396" t="s">
        <v>7909</v>
      </c>
      <c r="B186" s="394" t="s">
        <v>7894</v>
      </c>
      <c r="C186" s="394"/>
      <c r="D186" s="397" t="s">
        <v>7910</v>
      </c>
      <c r="E186" s="279" t="s">
        <v>7911</v>
      </c>
      <c r="F186" s="393" t="s">
        <v>7902</v>
      </c>
      <c r="G186" s="394" t="s">
        <v>7892</v>
      </c>
      <c r="H186" s="395">
        <v>43587</v>
      </c>
      <c r="I186" s="395">
        <v>43951</v>
      </c>
      <c r="J186" s="280" t="s">
        <v>7887</v>
      </c>
    </row>
    <row r="187" spans="1:10" ht="48">
      <c r="A187" s="396" t="s">
        <v>7912</v>
      </c>
      <c r="B187" s="394" t="s">
        <v>7894</v>
      </c>
      <c r="C187" s="394"/>
      <c r="D187" s="397" t="s">
        <v>7913</v>
      </c>
      <c r="E187" s="279" t="s">
        <v>7914</v>
      </c>
      <c r="F187" s="393" t="s">
        <v>7915</v>
      </c>
      <c r="G187" s="394" t="s">
        <v>7305</v>
      </c>
      <c r="H187" s="395">
        <v>43712</v>
      </c>
      <c r="I187" s="395">
        <v>44077</v>
      </c>
      <c r="J187" s="280" t="s">
        <v>7887</v>
      </c>
    </row>
    <row r="188" spans="1:10">
      <c r="A188" s="396" t="s">
        <v>7916</v>
      </c>
      <c r="B188" s="394"/>
      <c r="C188" s="394"/>
      <c r="D188" s="397"/>
      <c r="E188" s="279"/>
      <c r="F188" s="393"/>
      <c r="G188" s="394"/>
      <c r="H188" s="395"/>
      <c r="I188" s="395"/>
      <c r="J188" s="280"/>
    </row>
    <row r="189" spans="1:10" ht="48">
      <c r="A189" s="396" t="s">
        <v>7917</v>
      </c>
      <c r="B189" s="394" t="s">
        <v>7883</v>
      </c>
      <c r="C189" s="394"/>
      <c r="D189" s="397" t="s">
        <v>7918</v>
      </c>
      <c r="E189" s="279" t="s">
        <v>7919</v>
      </c>
      <c r="F189" s="393" t="s">
        <v>7920</v>
      </c>
      <c r="G189" s="394" t="s">
        <v>7892</v>
      </c>
      <c r="H189" s="395">
        <v>44033</v>
      </c>
      <c r="I189" s="395">
        <v>44196</v>
      </c>
      <c r="J189" s="280" t="s">
        <v>7887</v>
      </c>
    </row>
    <row r="190" spans="1:10" ht="48">
      <c r="A190" s="396" t="s">
        <v>7921</v>
      </c>
      <c r="B190" s="394" t="s">
        <v>7883</v>
      </c>
      <c r="C190" s="394"/>
      <c r="D190" s="397" t="s">
        <v>7922</v>
      </c>
      <c r="E190" s="279" t="s">
        <v>7923</v>
      </c>
      <c r="F190" s="393" t="s">
        <v>1592</v>
      </c>
      <c r="G190" s="394" t="s">
        <v>1592</v>
      </c>
      <c r="H190" s="395" t="s">
        <v>1592</v>
      </c>
      <c r="I190" s="395" t="s">
        <v>1592</v>
      </c>
      <c r="J190" s="280" t="s">
        <v>7924</v>
      </c>
    </row>
    <row r="191" spans="1:10" ht="36">
      <c r="A191" s="396" t="s">
        <v>7925</v>
      </c>
      <c r="B191" s="394" t="s">
        <v>7894</v>
      </c>
      <c r="C191" s="394"/>
      <c r="D191" s="397" t="s">
        <v>7926</v>
      </c>
      <c r="E191" s="279" t="s">
        <v>7927</v>
      </c>
      <c r="F191" s="393" t="s">
        <v>7902</v>
      </c>
      <c r="G191" s="394" t="s">
        <v>7892</v>
      </c>
      <c r="H191" s="395">
        <v>44022</v>
      </c>
      <c r="I191" s="395">
        <v>44386</v>
      </c>
      <c r="J191" s="280" t="s">
        <v>7887</v>
      </c>
    </row>
    <row r="192" spans="1:10" ht="60">
      <c r="A192" s="396" t="s">
        <v>7928</v>
      </c>
      <c r="B192" s="394" t="s">
        <v>7929</v>
      </c>
      <c r="C192" s="394"/>
      <c r="D192" s="397" t="s">
        <v>1592</v>
      </c>
      <c r="E192" s="279" t="s">
        <v>7930</v>
      </c>
      <c r="F192" s="393" t="s">
        <v>1592</v>
      </c>
      <c r="G192" s="394" t="s">
        <v>1592</v>
      </c>
      <c r="H192" s="395" t="s">
        <v>1592</v>
      </c>
      <c r="I192" s="395" t="s">
        <v>1592</v>
      </c>
      <c r="J192" s="280" t="s">
        <v>7931</v>
      </c>
    </row>
    <row r="193" spans="1:10" ht="48">
      <c r="A193" s="396" t="s">
        <v>7932</v>
      </c>
      <c r="B193" s="394" t="s">
        <v>7899</v>
      </c>
      <c r="C193" s="394"/>
      <c r="D193" s="397" t="s">
        <v>7922</v>
      </c>
      <c r="E193" s="279" t="s">
        <v>7933</v>
      </c>
      <c r="F193" s="393" t="s">
        <v>1592</v>
      </c>
      <c r="G193" s="394" t="s">
        <v>1592</v>
      </c>
      <c r="H193" s="395" t="s">
        <v>1592</v>
      </c>
      <c r="I193" s="395" t="s">
        <v>1592</v>
      </c>
      <c r="J193" s="280" t="s">
        <v>7397</v>
      </c>
    </row>
    <row r="194" spans="1:10" ht="36">
      <c r="A194" s="396" t="s">
        <v>7934</v>
      </c>
      <c r="B194" s="394" t="s">
        <v>7894</v>
      </c>
      <c r="C194" s="394"/>
      <c r="D194" s="397" t="s">
        <v>7935</v>
      </c>
      <c r="E194" s="279" t="s">
        <v>7936</v>
      </c>
      <c r="F194" s="393" t="s">
        <v>7937</v>
      </c>
      <c r="G194" s="394" t="s">
        <v>7892</v>
      </c>
      <c r="H194" s="395">
        <v>44027</v>
      </c>
      <c r="I194" s="395">
        <v>44392</v>
      </c>
      <c r="J194" s="280" t="s">
        <v>7887</v>
      </c>
    </row>
    <row r="195" spans="1:10" ht="36">
      <c r="A195" s="396" t="s">
        <v>7938</v>
      </c>
      <c r="B195" s="394" t="s">
        <v>7939</v>
      </c>
      <c r="C195" s="394"/>
      <c r="D195" s="397" t="s">
        <v>7922</v>
      </c>
      <c r="E195" s="279" t="s">
        <v>7940</v>
      </c>
      <c r="F195" s="393" t="s">
        <v>1592</v>
      </c>
      <c r="G195" s="394" t="s">
        <v>1592</v>
      </c>
      <c r="H195" s="395" t="s">
        <v>1592</v>
      </c>
      <c r="I195" s="395" t="s">
        <v>1592</v>
      </c>
      <c r="J195" s="280" t="s">
        <v>7941</v>
      </c>
    </row>
    <row r="196" spans="1:10" ht="60">
      <c r="A196" s="396" t="s">
        <v>7942</v>
      </c>
      <c r="B196" s="394" t="s">
        <v>7943</v>
      </c>
      <c r="C196" s="394"/>
      <c r="D196" s="397" t="s">
        <v>7944</v>
      </c>
      <c r="E196" s="279" t="s">
        <v>7945</v>
      </c>
      <c r="F196" s="393" t="s">
        <v>7915</v>
      </c>
      <c r="G196" s="394" t="s">
        <v>7305</v>
      </c>
      <c r="H196" s="395">
        <v>43952</v>
      </c>
      <c r="I196" s="395">
        <v>44012</v>
      </c>
      <c r="J196" s="280" t="s">
        <v>7887</v>
      </c>
    </row>
    <row r="197" spans="1:10" ht="48">
      <c r="A197" s="396" t="s">
        <v>7946</v>
      </c>
      <c r="B197" s="394" t="s">
        <v>7943</v>
      </c>
      <c r="C197" s="394"/>
      <c r="D197" s="397" t="s">
        <v>7947</v>
      </c>
      <c r="E197" s="279" t="s">
        <v>7948</v>
      </c>
      <c r="F197" s="393" t="s">
        <v>7915</v>
      </c>
      <c r="G197" s="394" t="s">
        <v>7892</v>
      </c>
      <c r="H197" s="395">
        <v>44013</v>
      </c>
      <c r="I197" s="395">
        <v>44196</v>
      </c>
      <c r="J197" s="280" t="s">
        <v>7949</v>
      </c>
    </row>
    <row r="198" spans="1:10">
      <c r="A198" s="396" t="s">
        <v>7950</v>
      </c>
      <c r="B198" s="394"/>
      <c r="C198" s="394"/>
      <c r="D198" s="397"/>
      <c r="E198" s="279"/>
      <c r="F198" s="393"/>
      <c r="G198" s="394"/>
      <c r="H198" s="395"/>
      <c r="I198" s="395"/>
      <c r="J198" s="280"/>
    </row>
    <row r="199" spans="1:10" ht="36">
      <c r="A199" s="396" t="s">
        <v>7917</v>
      </c>
      <c r="B199" s="394" t="s">
        <v>7883</v>
      </c>
      <c r="C199" s="394"/>
      <c r="D199" s="397"/>
      <c r="E199" s="279" t="s">
        <v>7951</v>
      </c>
      <c r="F199" s="393"/>
      <c r="G199" s="394"/>
      <c r="H199" s="395"/>
      <c r="I199" s="395"/>
      <c r="J199" s="280" t="s">
        <v>7887</v>
      </c>
    </row>
    <row r="200" spans="1:10" ht="36">
      <c r="A200" s="396" t="s">
        <v>7921</v>
      </c>
      <c r="B200" s="394" t="s">
        <v>7883</v>
      </c>
      <c r="C200" s="394"/>
      <c r="D200" s="397"/>
      <c r="E200" s="279" t="s">
        <v>7952</v>
      </c>
      <c r="F200" s="393"/>
      <c r="G200" s="394"/>
      <c r="H200" s="395"/>
      <c r="I200" s="395"/>
      <c r="J200" s="280" t="s">
        <v>7887</v>
      </c>
    </row>
    <row r="201" spans="1:10" ht="24">
      <c r="A201" s="396" t="s">
        <v>7925</v>
      </c>
      <c r="B201" s="394" t="s">
        <v>7894</v>
      </c>
      <c r="C201" s="394"/>
      <c r="D201" s="397"/>
      <c r="E201" s="279" t="s">
        <v>7927</v>
      </c>
      <c r="F201" s="393"/>
      <c r="G201" s="394"/>
      <c r="H201" s="395"/>
      <c r="I201" s="395"/>
      <c r="J201" s="280" t="s">
        <v>7887</v>
      </c>
    </row>
    <row r="202" spans="1:10" ht="24">
      <c r="A202" s="396" t="s">
        <v>7928</v>
      </c>
      <c r="B202" s="394" t="s">
        <v>7929</v>
      </c>
      <c r="C202" s="394"/>
      <c r="D202" s="397"/>
      <c r="E202" s="279" t="s">
        <v>7930</v>
      </c>
      <c r="F202" s="393"/>
      <c r="G202" s="394"/>
      <c r="H202" s="395"/>
      <c r="I202" s="395"/>
      <c r="J202" s="280" t="s">
        <v>7887</v>
      </c>
    </row>
    <row r="203" spans="1:10" ht="48">
      <c r="A203" s="396" t="s">
        <v>7932</v>
      </c>
      <c r="B203" s="394" t="s">
        <v>7899</v>
      </c>
      <c r="C203" s="394"/>
      <c r="D203" s="397"/>
      <c r="E203" s="279" t="s">
        <v>7933</v>
      </c>
      <c r="F203" s="393"/>
      <c r="G203" s="394"/>
      <c r="H203" s="395"/>
      <c r="I203" s="395"/>
      <c r="J203" s="280" t="s">
        <v>7887</v>
      </c>
    </row>
    <row r="204" spans="1:10" ht="24">
      <c r="A204" s="396" t="s">
        <v>7934</v>
      </c>
      <c r="B204" s="394" t="s">
        <v>7894</v>
      </c>
      <c r="C204" s="394"/>
      <c r="D204" s="397"/>
      <c r="E204" s="279" t="s">
        <v>7936</v>
      </c>
      <c r="F204" s="393"/>
      <c r="G204" s="394"/>
      <c r="H204" s="395"/>
      <c r="I204" s="395"/>
      <c r="J204" s="280" t="s">
        <v>7887</v>
      </c>
    </row>
    <row r="205" spans="1:10" ht="36.75" thickBot="1">
      <c r="A205" s="396" t="s">
        <v>7938</v>
      </c>
      <c r="B205" s="394" t="s">
        <v>7939</v>
      </c>
      <c r="C205" s="394"/>
      <c r="D205" s="397"/>
      <c r="E205" s="279" t="s">
        <v>7940</v>
      </c>
      <c r="F205" s="393"/>
      <c r="G205" s="394"/>
      <c r="H205" s="395"/>
      <c r="I205" s="395"/>
      <c r="J205" s="280" t="s">
        <v>7887</v>
      </c>
    </row>
    <row r="206" spans="1:10" ht="12.75" thickBot="1">
      <c r="A206" s="2051" t="s">
        <v>8107</v>
      </c>
      <c r="B206" s="2052"/>
      <c r="C206" s="2052"/>
      <c r="D206" s="2052"/>
      <c r="E206" s="2052"/>
      <c r="F206" s="2052"/>
      <c r="G206" s="2052"/>
      <c r="H206" s="2052"/>
      <c r="I206" s="2052"/>
      <c r="J206" s="2053"/>
    </row>
    <row r="207" spans="1:10" ht="24">
      <c r="A207" s="396" t="s">
        <v>8134</v>
      </c>
      <c r="B207" s="394" t="s">
        <v>8135</v>
      </c>
      <c r="C207" s="394" t="s">
        <v>7302</v>
      </c>
      <c r="D207" s="394">
        <v>6</v>
      </c>
      <c r="E207" s="279">
        <v>1333671</v>
      </c>
      <c r="F207" s="393" t="s">
        <v>8136</v>
      </c>
      <c r="G207" s="394" t="s">
        <v>284</v>
      </c>
      <c r="H207" s="395">
        <v>43579</v>
      </c>
      <c r="I207" s="395" t="s">
        <v>8137</v>
      </c>
      <c r="J207" s="280"/>
    </row>
    <row r="208" spans="1:10" ht="24">
      <c r="A208" s="396" t="s">
        <v>8138</v>
      </c>
      <c r="B208" s="394" t="s">
        <v>7414</v>
      </c>
      <c r="C208" s="394" t="s">
        <v>7302</v>
      </c>
      <c r="D208" s="281">
        <v>31</v>
      </c>
      <c r="E208" s="279">
        <v>572064</v>
      </c>
      <c r="F208" s="393" t="s">
        <v>8139</v>
      </c>
      <c r="G208" s="394" t="s">
        <v>284</v>
      </c>
      <c r="H208" s="395">
        <v>43682</v>
      </c>
      <c r="I208" s="395" t="s">
        <v>8140</v>
      </c>
      <c r="J208" s="280"/>
    </row>
    <row r="209" spans="1:10" ht="24">
      <c r="A209" s="396" t="s">
        <v>8141</v>
      </c>
      <c r="B209" s="394" t="s">
        <v>7414</v>
      </c>
      <c r="C209" s="394" t="s">
        <v>7302</v>
      </c>
      <c r="D209" s="281">
        <v>33</v>
      </c>
      <c r="E209" s="279">
        <v>2879520</v>
      </c>
      <c r="F209" s="393" t="s">
        <v>8142</v>
      </c>
      <c r="G209" s="394" t="s">
        <v>284</v>
      </c>
      <c r="H209" s="395">
        <v>43599</v>
      </c>
      <c r="I209" s="395" t="s">
        <v>8137</v>
      </c>
      <c r="J209" s="280"/>
    </row>
    <row r="210" spans="1:10" ht="24">
      <c r="A210" s="396" t="s">
        <v>8143</v>
      </c>
      <c r="B210" s="394" t="s">
        <v>8135</v>
      </c>
      <c r="C210" s="394" t="s">
        <v>7302</v>
      </c>
      <c r="D210" s="281">
        <v>47</v>
      </c>
      <c r="E210" s="279">
        <v>439995</v>
      </c>
      <c r="F210" s="393" t="s">
        <v>8144</v>
      </c>
      <c r="G210" s="394" t="s">
        <v>284</v>
      </c>
      <c r="H210" s="395">
        <v>43805</v>
      </c>
      <c r="I210" s="395" t="s">
        <v>8137</v>
      </c>
      <c r="J210" s="280"/>
    </row>
    <row r="211" spans="1:10" ht="60">
      <c r="A211" s="396" t="s">
        <v>8145</v>
      </c>
      <c r="B211" s="394" t="s">
        <v>8135</v>
      </c>
      <c r="C211" s="394" t="s">
        <v>7302</v>
      </c>
      <c r="D211" s="394">
        <v>50</v>
      </c>
      <c r="E211" s="279">
        <v>419999.87</v>
      </c>
      <c r="F211" s="393" t="s">
        <v>8146</v>
      </c>
      <c r="G211" s="394" t="s">
        <v>284</v>
      </c>
      <c r="H211" s="395">
        <v>43700</v>
      </c>
      <c r="I211" s="395" t="s">
        <v>8140</v>
      </c>
      <c r="J211" s="280"/>
    </row>
    <row r="212" spans="1:10" ht="24">
      <c r="A212" s="396" t="s">
        <v>8147</v>
      </c>
      <c r="B212" s="394" t="s">
        <v>7414</v>
      </c>
      <c r="C212" s="394" t="s">
        <v>7302</v>
      </c>
      <c r="D212" s="394">
        <v>59</v>
      </c>
      <c r="E212" s="279">
        <v>860200</v>
      </c>
      <c r="F212" s="393" t="s">
        <v>8148</v>
      </c>
      <c r="G212" s="394" t="s">
        <v>284</v>
      </c>
      <c r="H212" s="395">
        <v>43713</v>
      </c>
      <c r="I212" s="395" t="s">
        <v>8137</v>
      </c>
      <c r="J212" s="280"/>
    </row>
    <row r="213" spans="1:10" ht="24">
      <c r="A213" s="396" t="s">
        <v>8149</v>
      </c>
      <c r="B213" s="394" t="s">
        <v>8135</v>
      </c>
      <c r="C213" s="394" t="s">
        <v>7302</v>
      </c>
      <c r="D213" s="281">
        <v>91</v>
      </c>
      <c r="E213" s="279">
        <v>850000</v>
      </c>
      <c r="F213" s="393" t="s">
        <v>8150</v>
      </c>
      <c r="G213" s="394" t="s">
        <v>8150</v>
      </c>
      <c r="H213" s="395"/>
      <c r="I213" s="395"/>
      <c r="J213" s="280"/>
    </row>
    <row r="214" spans="1:10" ht="24">
      <c r="A214" s="396" t="s">
        <v>8151</v>
      </c>
      <c r="B214" s="394" t="s">
        <v>8135</v>
      </c>
      <c r="C214" s="394" t="s">
        <v>7302</v>
      </c>
      <c r="D214" s="281">
        <v>94</v>
      </c>
      <c r="E214" s="279">
        <v>1222500.3999999999</v>
      </c>
      <c r="F214" s="393" t="s">
        <v>8152</v>
      </c>
      <c r="G214" s="394" t="s">
        <v>284</v>
      </c>
      <c r="H214" s="395">
        <v>43719</v>
      </c>
      <c r="I214" s="395" t="s">
        <v>8137</v>
      </c>
      <c r="J214" s="280"/>
    </row>
    <row r="215" spans="1:10" ht="84">
      <c r="A215" s="396" t="s">
        <v>8153</v>
      </c>
      <c r="B215" s="394" t="s">
        <v>8135</v>
      </c>
      <c r="C215" s="394" t="s">
        <v>7302</v>
      </c>
      <c r="D215" s="281">
        <v>138</v>
      </c>
      <c r="E215" s="279">
        <v>998505</v>
      </c>
      <c r="F215" s="393" t="s">
        <v>8154</v>
      </c>
      <c r="G215" s="394" t="s">
        <v>284</v>
      </c>
      <c r="H215" s="395">
        <v>43805</v>
      </c>
      <c r="I215" s="395" t="s">
        <v>8140</v>
      </c>
      <c r="J215" s="280"/>
    </row>
    <row r="216" spans="1:10" ht="24">
      <c r="A216" s="396" t="s">
        <v>8155</v>
      </c>
      <c r="B216" s="394" t="s">
        <v>7414</v>
      </c>
      <c r="C216" s="394" t="s">
        <v>7302</v>
      </c>
      <c r="D216" s="281">
        <v>143</v>
      </c>
      <c r="E216" s="279">
        <v>1120000</v>
      </c>
      <c r="F216" s="394" t="s">
        <v>8156</v>
      </c>
      <c r="G216" s="394" t="s">
        <v>284</v>
      </c>
      <c r="H216" s="395">
        <v>43867</v>
      </c>
      <c r="I216" s="395" t="s">
        <v>8137</v>
      </c>
      <c r="J216" s="280"/>
    </row>
    <row r="217" spans="1:10" ht="24">
      <c r="A217" s="396" t="s">
        <v>8157</v>
      </c>
      <c r="B217" s="394" t="s">
        <v>8135</v>
      </c>
      <c r="C217" s="394" t="s">
        <v>7302</v>
      </c>
      <c r="D217" s="281">
        <v>162</v>
      </c>
      <c r="E217" s="279">
        <v>600000</v>
      </c>
      <c r="F217" s="393" t="s">
        <v>8158</v>
      </c>
      <c r="G217" s="394" t="s">
        <v>284</v>
      </c>
      <c r="H217" s="395">
        <v>43606</v>
      </c>
      <c r="I217" s="395" t="s">
        <v>8137</v>
      </c>
      <c r="J217" s="280"/>
    </row>
    <row r="218" spans="1:10" ht="36">
      <c r="A218" s="396" t="s">
        <v>8159</v>
      </c>
      <c r="B218" s="394" t="s">
        <v>8135</v>
      </c>
      <c r="C218" s="394" t="s">
        <v>7302</v>
      </c>
      <c r="D218" s="281">
        <v>181</v>
      </c>
      <c r="E218" s="279">
        <v>720000</v>
      </c>
      <c r="F218" s="393" t="s">
        <v>8160</v>
      </c>
      <c r="G218" s="394" t="s">
        <v>284</v>
      </c>
      <c r="H218" s="395">
        <v>43678</v>
      </c>
      <c r="I218" s="395" t="s">
        <v>8137</v>
      </c>
      <c r="J218" s="280"/>
    </row>
    <row r="219" spans="1:10" ht="24">
      <c r="A219" s="396" t="s">
        <v>8161</v>
      </c>
      <c r="B219" s="394" t="s">
        <v>7414</v>
      </c>
      <c r="C219" s="394" t="s">
        <v>7302</v>
      </c>
      <c r="D219" s="281">
        <v>189</v>
      </c>
      <c r="E219" s="279">
        <v>1227497.07</v>
      </c>
      <c r="F219" s="393" t="s">
        <v>8156</v>
      </c>
      <c r="G219" s="394" t="s">
        <v>284</v>
      </c>
      <c r="H219" s="395">
        <v>43867</v>
      </c>
      <c r="I219" s="395" t="s">
        <v>8137</v>
      </c>
      <c r="J219" s="280"/>
    </row>
    <row r="220" spans="1:10" ht="24">
      <c r="A220" s="396" t="s">
        <v>8162</v>
      </c>
      <c r="B220" s="394" t="s">
        <v>8135</v>
      </c>
      <c r="C220" s="394" t="s">
        <v>7302</v>
      </c>
      <c r="D220" s="394">
        <v>192</v>
      </c>
      <c r="E220" s="279">
        <v>989500</v>
      </c>
      <c r="F220" s="393" t="s">
        <v>8163</v>
      </c>
      <c r="G220" s="394" t="s">
        <v>284</v>
      </c>
      <c r="H220" s="395">
        <v>43559</v>
      </c>
      <c r="I220" s="395" t="s">
        <v>8137</v>
      </c>
      <c r="J220" s="280"/>
    </row>
    <row r="221" spans="1:10" ht="24">
      <c r="A221" s="396" t="s">
        <v>8164</v>
      </c>
      <c r="B221" s="394" t="s">
        <v>7414</v>
      </c>
      <c r="C221" s="394" t="s">
        <v>7302</v>
      </c>
      <c r="D221" s="281">
        <v>215</v>
      </c>
      <c r="E221" s="279">
        <v>839894.5</v>
      </c>
      <c r="F221" s="393" t="s">
        <v>8165</v>
      </c>
      <c r="G221" s="394" t="s">
        <v>284</v>
      </c>
      <c r="H221" s="395">
        <v>43732</v>
      </c>
      <c r="I221" s="395" t="s">
        <v>8140</v>
      </c>
      <c r="J221" s="280"/>
    </row>
    <row r="222" spans="1:10" ht="60">
      <c r="A222" s="396" t="s">
        <v>8166</v>
      </c>
      <c r="B222" s="394" t="s">
        <v>8135</v>
      </c>
      <c r="C222" s="394" t="s">
        <v>7302</v>
      </c>
      <c r="D222" s="281">
        <v>216</v>
      </c>
      <c r="E222" s="279">
        <v>2500000</v>
      </c>
      <c r="F222" s="393" t="s">
        <v>8167</v>
      </c>
      <c r="G222" s="394" t="s">
        <v>284</v>
      </c>
      <c r="H222" s="395">
        <v>43661</v>
      </c>
      <c r="I222" s="395" t="s">
        <v>8137</v>
      </c>
      <c r="J222" s="280"/>
    </row>
    <row r="223" spans="1:10" ht="48">
      <c r="A223" s="396" t="s">
        <v>8168</v>
      </c>
      <c r="B223" s="394" t="s">
        <v>7414</v>
      </c>
      <c r="C223" s="394" t="s">
        <v>7302</v>
      </c>
      <c r="D223" s="281">
        <v>229</v>
      </c>
      <c r="E223" s="279">
        <v>1000000</v>
      </c>
      <c r="F223" s="393" t="s">
        <v>8169</v>
      </c>
      <c r="G223" s="394" t="s">
        <v>284</v>
      </c>
      <c r="H223" s="395">
        <v>43619</v>
      </c>
      <c r="I223" s="395" t="s">
        <v>8140</v>
      </c>
      <c r="J223" s="280"/>
    </row>
    <row r="224" spans="1:10" ht="36">
      <c r="A224" s="396" t="s">
        <v>8170</v>
      </c>
      <c r="B224" s="394" t="s">
        <v>8135</v>
      </c>
      <c r="C224" s="394" t="s">
        <v>7302</v>
      </c>
      <c r="D224" s="394">
        <v>239</v>
      </c>
      <c r="E224" s="279">
        <v>450000</v>
      </c>
      <c r="F224" s="393" t="s">
        <v>8171</v>
      </c>
      <c r="G224" s="394" t="s">
        <v>284</v>
      </c>
      <c r="H224" s="395">
        <v>43612</v>
      </c>
      <c r="I224" s="395" t="s">
        <v>8140</v>
      </c>
      <c r="J224" s="280"/>
    </row>
    <row r="225" spans="1:10" ht="36">
      <c r="A225" s="396" t="s">
        <v>8172</v>
      </c>
      <c r="B225" s="394" t="s">
        <v>8135</v>
      </c>
      <c r="C225" s="394" t="s">
        <v>7302</v>
      </c>
      <c r="D225" s="281">
        <v>287</v>
      </c>
      <c r="E225" s="279">
        <v>731500</v>
      </c>
      <c r="F225" s="393" t="s">
        <v>8173</v>
      </c>
      <c r="G225" s="394" t="s">
        <v>284</v>
      </c>
      <c r="H225" s="395">
        <v>43788</v>
      </c>
      <c r="I225" s="395" t="s">
        <v>8137</v>
      </c>
      <c r="J225" s="280"/>
    </row>
    <row r="226" spans="1:10" ht="24">
      <c r="A226" s="396" t="s">
        <v>8174</v>
      </c>
      <c r="B226" s="394" t="s">
        <v>7414</v>
      </c>
      <c r="C226" s="394" t="s">
        <v>7302</v>
      </c>
      <c r="D226" s="281">
        <v>290</v>
      </c>
      <c r="E226" s="279">
        <v>1257000</v>
      </c>
      <c r="F226" s="393" t="s">
        <v>8175</v>
      </c>
      <c r="G226" s="394" t="s">
        <v>284</v>
      </c>
      <c r="H226" s="395">
        <v>43662</v>
      </c>
      <c r="I226" s="395" t="s">
        <v>8137</v>
      </c>
      <c r="J226" s="280"/>
    </row>
    <row r="227" spans="1:10" ht="24">
      <c r="A227" s="396" t="s">
        <v>8176</v>
      </c>
      <c r="B227" s="394" t="s">
        <v>8135</v>
      </c>
      <c r="C227" s="394" t="s">
        <v>7302</v>
      </c>
      <c r="D227" s="281">
        <v>328</v>
      </c>
      <c r="E227" s="279">
        <v>9089188.8000000007</v>
      </c>
      <c r="F227" s="393" t="s">
        <v>8177</v>
      </c>
      <c r="G227" s="394" t="s">
        <v>284</v>
      </c>
      <c r="H227" s="395">
        <v>43818</v>
      </c>
      <c r="I227" s="395" t="s">
        <v>8140</v>
      </c>
      <c r="J227" s="280"/>
    </row>
    <row r="228" spans="1:10" ht="96">
      <c r="A228" s="396" t="s">
        <v>8178</v>
      </c>
      <c r="B228" s="394" t="s">
        <v>8135</v>
      </c>
      <c r="C228" s="394" t="s">
        <v>7302</v>
      </c>
      <c r="D228" s="394">
        <v>329</v>
      </c>
      <c r="E228" s="279">
        <v>7831739</v>
      </c>
      <c r="F228" s="393" t="s">
        <v>8179</v>
      </c>
      <c r="G228" s="394" t="s">
        <v>284</v>
      </c>
      <c r="H228" s="395">
        <v>43816</v>
      </c>
      <c r="I228" s="395" t="s">
        <v>8140</v>
      </c>
      <c r="J228" s="280"/>
    </row>
    <row r="229" spans="1:10" ht="36">
      <c r="A229" s="396" t="s">
        <v>8180</v>
      </c>
      <c r="B229" s="394" t="s">
        <v>8135</v>
      </c>
      <c r="C229" s="394" t="s">
        <v>7302</v>
      </c>
      <c r="D229" s="281">
        <v>337</v>
      </c>
      <c r="E229" s="279">
        <v>3030790.85</v>
      </c>
      <c r="F229" s="393" t="s">
        <v>7351</v>
      </c>
      <c r="G229" s="394" t="s">
        <v>7351</v>
      </c>
      <c r="H229" s="395">
        <v>43830</v>
      </c>
      <c r="I229" s="395"/>
      <c r="J229" s="280"/>
    </row>
    <row r="230" spans="1:10" ht="36">
      <c r="A230" s="396" t="s">
        <v>8181</v>
      </c>
      <c r="B230" s="394" t="s">
        <v>7414</v>
      </c>
      <c r="C230" s="394" t="s">
        <v>7302</v>
      </c>
      <c r="D230" s="281">
        <v>340</v>
      </c>
      <c r="E230" s="279">
        <v>421128</v>
      </c>
      <c r="F230" s="393" t="s">
        <v>8182</v>
      </c>
      <c r="G230" s="394" t="s">
        <v>8183</v>
      </c>
      <c r="H230" s="395"/>
      <c r="I230" s="395" t="s">
        <v>8140</v>
      </c>
      <c r="J230" s="280"/>
    </row>
    <row r="231" spans="1:10" ht="24">
      <c r="A231" s="396" t="s">
        <v>8184</v>
      </c>
      <c r="B231" s="394" t="s">
        <v>8135</v>
      </c>
      <c r="C231" s="394" t="s">
        <v>7302</v>
      </c>
      <c r="D231" s="281">
        <v>355</v>
      </c>
      <c r="E231" s="279">
        <v>1025984</v>
      </c>
      <c r="F231" s="393" t="s">
        <v>7351</v>
      </c>
      <c r="G231" s="394" t="s">
        <v>7351</v>
      </c>
      <c r="H231" s="395">
        <v>43826</v>
      </c>
      <c r="I231" s="395"/>
      <c r="J231" s="280"/>
    </row>
    <row r="232" spans="1:10" ht="36">
      <c r="A232" s="396" t="s">
        <v>8185</v>
      </c>
      <c r="B232" s="394" t="s">
        <v>7414</v>
      </c>
      <c r="C232" s="394" t="s">
        <v>7302</v>
      </c>
      <c r="D232" s="394">
        <v>373</v>
      </c>
      <c r="E232" s="279">
        <v>550000</v>
      </c>
      <c r="F232" s="393" t="s">
        <v>7351</v>
      </c>
      <c r="G232" s="394" t="s">
        <v>7351</v>
      </c>
      <c r="H232" s="395">
        <v>43644</v>
      </c>
      <c r="I232" s="395"/>
      <c r="J232" s="280"/>
    </row>
    <row r="233" spans="1:10" ht="24">
      <c r="A233" s="396" t="s">
        <v>8186</v>
      </c>
      <c r="B233" s="394" t="s">
        <v>8135</v>
      </c>
      <c r="C233" s="394" t="s">
        <v>7302</v>
      </c>
      <c r="D233" s="281">
        <v>383</v>
      </c>
      <c r="E233" s="279">
        <v>5093092</v>
      </c>
      <c r="F233" s="393" t="s">
        <v>8187</v>
      </c>
      <c r="G233" s="394" t="s">
        <v>284</v>
      </c>
      <c r="H233" s="395">
        <v>43755</v>
      </c>
      <c r="I233" s="395" t="s">
        <v>8137</v>
      </c>
      <c r="J233" s="280"/>
    </row>
    <row r="234" spans="1:10" ht="36">
      <c r="A234" s="396" t="s">
        <v>8188</v>
      </c>
      <c r="B234" s="394" t="s">
        <v>8135</v>
      </c>
      <c r="C234" s="394" t="s">
        <v>7302</v>
      </c>
      <c r="D234" s="281">
        <v>431</v>
      </c>
      <c r="E234" s="279">
        <v>810560</v>
      </c>
      <c r="F234" s="393" t="s">
        <v>8189</v>
      </c>
      <c r="G234" s="394" t="s">
        <v>284</v>
      </c>
      <c r="H234" s="395">
        <v>43734</v>
      </c>
      <c r="I234" s="395" t="s">
        <v>8140</v>
      </c>
      <c r="J234" s="280"/>
    </row>
    <row r="235" spans="1:10" ht="60">
      <c r="A235" s="396" t="s">
        <v>8190</v>
      </c>
      <c r="B235" s="394" t="s">
        <v>8135</v>
      </c>
      <c r="C235" s="394" t="s">
        <v>7302</v>
      </c>
      <c r="D235" s="281">
        <v>464</v>
      </c>
      <c r="E235" s="279">
        <v>1576186.99</v>
      </c>
      <c r="F235" s="393" t="s">
        <v>8191</v>
      </c>
      <c r="G235" s="394" t="s">
        <v>284</v>
      </c>
      <c r="H235" s="395">
        <v>43815</v>
      </c>
      <c r="I235" s="395" t="s">
        <v>8140</v>
      </c>
      <c r="J235" s="280"/>
    </row>
    <row r="236" spans="1:10" ht="36">
      <c r="A236" s="396" t="s">
        <v>8192</v>
      </c>
      <c r="B236" s="394" t="s">
        <v>8135</v>
      </c>
      <c r="C236" s="394" t="s">
        <v>7302</v>
      </c>
      <c r="D236" s="394">
        <v>466</v>
      </c>
      <c r="E236" s="279">
        <v>3231223.97</v>
      </c>
      <c r="F236" s="393" t="s">
        <v>8193</v>
      </c>
      <c r="G236" s="394" t="s">
        <v>284</v>
      </c>
      <c r="H236" s="395">
        <v>43724</v>
      </c>
      <c r="I236" s="395" t="s">
        <v>8140</v>
      </c>
      <c r="J236" s="280"/>
    </row>
    <row r="237" spans="1:10" ht="24">
      <c r="A237" s="396" t="s">
        <v>8194</v>
      </c>
      <c r="B237" s="394" t="s">
        <v>8135</v>
      </c>
      <c r="C237" s="394" t="s">
        <v>7302</v>
      </c>
      <c r="D237" s="281">
        <v>467</v>
      </c>
      <c r="E237" s="279">
        <v>1002237</v>
      </c>
      <c r="F237" s="393" t="s">
        <v>8195</v>
      </c>
      <c r="G237" s="394" t="s">
        <v>284</v>
      </c>
      <c r="H237" s="395">
        <v>43788</v>
      </c>
      <c r="I237" s="395" t="s">
        <v>8137</v>
      </c>
      <c r="J237" s="280"/>
    </row>
    <row r="238" spans="1:10" ht="48">
      <c r="A238" s="396" t="s">
        <v>8196</v>
      </c>
      <c r="B238" s="394" t="s">
        <v>8135</v>
      </c>
      <c r="C238" s="394" t="s">
        <v>7302</v>
      </c>
      <c r="D238" s="281">
        <v>470</v>
      </c>
      <c r="E238" s="279">
        <v>2399245.4</v>
      </c>
      <c r="F238" s="393" t="s">
        <v>7351</v>
      </c>
      <c r="G238" s="394" t="s">
        <v>7351</v>
      </c>
      <c r="H238" s="395">
        <v>43818</v>
      </c>
      <c r="I238" s="395"/>
      <c r="J238" s="280"/>
    </row>
    <row r="239" spans="1:10" ht="48">
      <c r="A239" s="396" t="s">
        <v>8197</v>
      </c>
      <c r="B239" s="394" t="s">
        <v>8135</v>
      </c>
      <c r="C239" s="394" t="s">
        <v>7302</v>
      </c>
      <c r="D239" s="281">
        <v>479</v>
      </c>
      <c r="E239" s="279">
        <v>1922364.08</v>
      </c>
      <c r="F239" s="393" t="s">
        <v>8198</v>
      </c>
      <c r="G239" s="394" t="s">
        <v>284</v>
      </c>
      <c r="H239" s="395">
        <v>43761</v>
      </c>
      <c r="I239" s="395" t="s">
        <v>8137</v>
      </c>
      <c r="J239" s="280"/>
    </row>
    <row r="240" spans="1:10" ht="24">
      <c r="A240" s="396" t="s">
        <v>8199</v>
      </c>
      <c r="B240" s="394" t="s">
        <v>8135</v>
      </c>
      <c r="C240" s="394" t="s">
        <v>7302</v>
      </c>
      <c r="D240" s="394">
        <v>481</v>
      </c>
      <c r="E240" s="279">
        <v>704910.95</v>
      </c>
      <c r="F240" s="393" t="s">
        <v>8200</v>
      </c>
      <c r="G240" s="394" t="s">
        <v>284</v>
      </c>
      <c r="H240" s="395">
        <v>43773</v>
      </c>
      <c r="I240" s="395" t="s">
        <v>8137</v>
      </c>
      <c r="J240" s="280"/>
    </row>
    <row r="241" spans="1:10" ht="108">
      <c r="A241" s="396" t="s">
        <v>8201</v>
      </c>
      <c r="B241" s="394" t="s">
        <v>8135</v>
      </c>
      <c r="C241" s="394" t="s">
        <v>7302</v>
      </c>
      <c r="D241" s="281">
        <v>491</v>
      </c>
      <c r="E241" s="279">
        <v>7183686.9000000004</v>
      </c>
      <c r="F241" s="393" t="s">
        <v>8202</v>
      </c>
      <c r="G241" s="394" t="s">
        <v>284</v>
      </c>
      <c r="H241" s="395">
        <v>43752</v>
      </c>
      <c r="I241" s="395" t="s">
        <v>8140</v>
      </c>
      <c r="J241" s="280"/>
    </row>
    <row r="242" spans="1:10" ht="96">
      <c r="A242" s="396" t="s">
        <v>8203</v>
      </c>
      <c r="B242" s="394" t="s">
        <v>8135</v>
      </c>
      <c r="C242" s="394" t="s">
        <v>7302</v>
      </c>
      <c r="D242" s="281">
        <v>497</v>
      </c>
      <c r="E242" s="279">
        <v>999774.2</v>
      </c>
      <c r="F242" s="393" t="s">
        <v>8204</v>
      </c>
      <c r="G242" s="394" t="s">
        <v>284</v>
      </c>
      <c r="H242" s="395">
        <v>43819</v>
      </c>
      <c r="I242" s="395" t="s">
        <v>8137</v>
      </c>
      <c r="J242" s="280"/>
    </row>
    <row r="243" spans="1:10" ht="24">
      <c r="A243" s="396" t="s">
        <v>8205</v>
      </c>
      <c r="B243" s="394" t="s">
        <v>8135</v>
      </c>
      <c r="C243" s="394" t="s">
        <v>7302</v>
      </c>
      <c r="D243" s="281">
        <v>503</v>
      </c>
      <c r="E243" s="279">
        <v>5480000</v>
      </c>
      <c r="F243" s="393" t="s">
        <v>8206</v>
      </c>
      <c r="G243" s="394" t="s">
        <v>284</v>
      </c>
      <c r="H243" s="395">
        <v>43837</v>
      </c>
      <c r="I243" s="395" t="s">
        <v>8137</v>
      </c>
      <c r="J243" s="280"/>
    </row>
    <row r="244" spans="1:10" ht="72">
      <c r="A244" s="396" t="s">
        <v>8207</v>
      </c>
      <c r="B244" s="394" t="s">
        <v>7414</v>
      </c>
      <c r="C244" s="394" t="s">
        <v>7302</v>
      </c>
      <c r="D244" s="394">
        <v>505</v>
      </c>
      <c r="E244" s="279">
        <v>700000</v>
      </c>
      <c r="F244" s="393" t="s">
        <v>8208</v>
      </c>
      <c r="G244" s="394" t="s">
        <v>284</v>
      </c>
      <c r="H244" s="395">
        <v>43791</v>
      </c>
      <c r="I244" s="395" t="s">
        <v>8140</v>
      </c>
      <c r="J244" s="280"/>
    </row>
    <row r="245" spans="1:10" ht="36">
      <c r="A245" s="396" t="s">
        <v>8209</v>
      </c>
      <c r="B245" s="394" t="s">
        <v>8210</v>
      </c>
      <c r="C245" s="394" t="s">
        <v>7302</v>
      </c>
      <c r="D245" s="281">
        <v>41</v>
      </c>
      <c r="E245" s="279">
        <v>1729411.76</v>
      </c>
      <c r="F245" s="393" t="s">
        <v>8211</v>
      </c>
      <c r="G245" s="394" t="s">
        <v>284</v>
      </c>
      <c r="H245" s="395">
        <v>43697</v>
      </c>
      <c r="I245" s="395" t="s">
        <v>8137</v>
      </c>
      <c r="J245" s="280"/>
    </row>
    <row r="246" spans="1:10" ht="24">
      <c r="A246" s="396" t="s">
        <v>8212</v>
      </c>
      <c r="B246" s="394" t="s">
        <v>8210</v>
      </c>
      <c r="C246" s="394" t="s">
        <v>7302</v>
      </c>
      <c r="D246" s="281">
        <v>69</v>
      </c>
      <c r="E246" s="279">
        <v>850000</v>
      </c>
      <c r="F246" s="393" t="s">
        <v>8213</v>
      </c>
      <c r="G246" s="394" t="s">
        <v>284</v>
      </c>
      <c r="H246" s="395">
        <v>43829</v>
      </c>
      <c r="I246" s="395" t="s">
        <v>8137</v>
      </c>
      <c r="J246" s="280"/>
    </row>
    <row r="247" spans="1:10" ht="24">
      <c r="A247" s="396" t="s">
        <v>8214</v>
      </c>
      <c r="B247" s="394" t="s">
        <v>8210</v>
      </c>
      <c r="C247" s="394" t="s">
        <v>7302</v>
      </c>
      <c r="D247" s="281">
        <v>88</v>
      </c>
      <c r="E247" s="279">
        <v>800000</v>
      </c>
      <c r="F247" s="393" t="s">
        <v>8215</v>
      </c>
      <c r="G247" s="394" t="s">
        <v>284</v>
      </c>
      <c r="H247" s="395">
        <v>43745</v>
      </c>
      <c r="I247" s="395" t="s">
        <v>8137</v>
      </c>
      <c r="J247" s="280"/>
    </row>
    <row r="248" spans="1:10" ht="24">
      <c r="A248" s="396" t="s">
        <v>8216</v>
      </c>
      <c r="B248" s="394" t="s">
        <v>8210</v>
      </c>
      <c r="C248" s="394" t="s">
        <v>7302</v>
      </c>
      <c r="D248" s="394">
        <v>139</v>
      </c>
      <c r="E248" s="279">
        <v>2279176.4</v>
      </c>
      <c r="F248" s="393" t="s">
        <v>8217</v>
      </c>
      <c r="G248" s="394" t="s">
        <v>8183</v>
      </c>
      <c r="H248" s="395"/>
      <c r="I248" s="395" t="s">
        <v>8137</v>
      </c>
      <c r="J248" s="280"/>
    </row>
    <row r="249" spans="1:10" ht="24">
      <c r="A249" s="396" t="s">
        <v>8218</v>
      </c>
      <c r="B249" s="394" t="s">
        <v>8210</v>
      </c>
      <c r="C249" s="394" t="s">
        <v>7302</v>
      </c>
      <c r="D249" s="281">
        <v>168</v>
      </c>
      <c r="E249" s="279">
        <v>592941.18000000005</v>
      </c>
      <c r="F249" s="393" t="s">
        <v>8219</v>
      </c>
      <c r="G249" s="394" t="s">
        <v>284</v>
      </c>
      <c r="H249" s="395">
        <v>43686</v>
      </c>
      <c r="I249" s="395" t="s">
        <v>8140</v>
      </c>
      <c r="J249" s="280"/>
    </row>
    <row r="250" spans="1:10" ht="24">
      <c r="A250" s="396" t="s">
        <v>8220</v>
      </c>
      <c r="B250" s="394" t="s">
        <v>8210</v>
      </c>
      <c r="C250" s="394" t="s">
        <v>7302</v>
      </c>
      <c r="D250" s="281">
        <v>313</v>
      </c>
      <c r="E250" s="279">
        <v>930000</v>
      </c>
      <c r="F250" s="393" t="s">
        <v>8221</v>
      </c>
      <c r="G250" s="394" t="s">
        <v>284</v>
      </c>
      <c r="H250" s="395">
        <v>43794</v>
      </c>
      <c r="I250" s="395" t="s">
        <v>8140</v>
      </c>
      <c r="J250" s="280"/>
    </row>
    <row r="251" spans="1:10" ht="24">
      <c r="A251" s="396" t="s">
        <v>8222</v>
      </c>
      <c r="B251" s="394" t="s">
        <v>8210</v>
      </c>
      <c r="C251" s="394" t="s">
        <v>7302</v>
      </c>
      <c r="D251" s="281">
        <v>314</v>
      </c>
      <c r="E251" s="279">
        <v>960000</v>
      </c>
      <c r="F251" s="393" t="s">
        <v>8223</v>
      </c>
      <c r="G251" s="394" t="s">
        <v>284</v>
      </c>
      <c r="H251" s="395">
        <v>43717</v>
      </c>
      <c r="I251" s="395" t="s">
        <v>8137</v>
      </c>
      <c r="J251" s="280"/>
    </row>
    <row r="252" spans="1:10" ht="36">
      <c r="A252" s="396" t="s">
        <v>8224</v>
      </c>
      <c r="B252" s="394" t="s">
        <v>8210</v>
      </c>
      <c r="C252" s="394" t="s">
        <v>7302</v>
      </c>
      <c r="D252" s="394">
        <v>321</v>
      </c>
      <c r="E252" s="279">
        <v>822154.34</v>
      </c>
      <c r="F252" s="393" t="s">
        <v>8225</v>
      </c>
      <c r="G252" s="394" t="s">
        <v>8225</v>
      </c>
      <c r="H252" s="395"/>
      <c r="I252" s="395"/>
      <c r="J252" s="280"/>
    </row>
    <row r="253" spans="1:10" ht="36">
      <c r="A253" s="396" t="s">
        <v>8226</v>
      </c>
      <c r="B253" s="394" t="s">
        <v>8210</v>
      </c>
      <c r="C253" s="394" t="s">
        <v>7302</v>
      </c>
      <c r="D253" s="281">
        <v>326</v>
      </c>
      <c r="E253" s="279">
        <v>4275841.92</v>
      </c>
      <c r="F253" s="393" t="s">
        <v>8227</v>
      </c>
      <c r="G253" s="394" t="s">
        <v>284</v>
      </c>
      <c r="H253" s="395">
        <v>43893</v>
      </c>
      <c r="I253" s="395" t="s">
        <v>8137</v>
      </c>
      <c r="J253" s="280"/>
    </row>
    <row r="254" spans="1:10" ht="24">
      <c r="A254" s="396" t="s">
        <v>8228</v>
      </c>
      <c r="B254" s="394" t="s">
        <v>8210</v>
      </c>
      <c r="C254" s="394" t="s">
        <v>7302</v>
      </c>
      <c r="D254" s="281">
        <v>349</v>
      </c>
      <c r="E254" s="279">
        <v>540000</v>
      </c>
      <c r="F254" s="393" t="s">
        <v>8229</v>
      </c>
      <c r="G254" s="394" t="s">
        <v>284</v>
      </c>
      <c r="H254" s="395">
        <v>43760</v>
      </c>
      <c r="I254" s="395" t="s">
        <v>8137</v>
      </c>
      <c r="J254" s="280"/>
    </row>
    <row r="255" spans="1:10" ht="24">
      <c r="A255" s="396" t="s">
        <v>8230</v>
      </c>
      <c r="B255" s="394" t="s">
        <v>8210</v>
      </c>
      <c r="C255" s="394" t="s">
        <v>7302</v>
      </c>
      <c r="D255" s="281">
        <v>374</v>
      </c>
      <c r="E255" s="279">
        <v>10608000</v>
      </c>
      <c r="F255" s="393" t="s">
        <v>8231</v>
      </c>
      <c r="G255" s="394" t="s">
        <v>284</v>
      </c>
      <c r="H255" s="395">
        <v>43797</v>
      </c>
      <c r="I255" s="395" t="s">
        <v>8137</v>
      </c>
      <c r="J255" s="280"/>
    </row>
    <row r="256" spans="1:10" ht="36">
      <c r="A256" s="396" t="s">
        <v>8232</v>
      </c>
      <c r="B256" s="394" t="s">
        <v>8210</v>
      </c>
      <c r="C256" s="394" t="s">
        <v>7302</v>
      </c>
      <c r="D256" s="394">
        <v>379</v>
      </c>
      <c r="E256" s="279">
        <v>627851.99</v>
      </c>
      <c r="F256" s="393" t="s">
        <v>8233</v>
      </c>
      <c r="G256" s="394" t="s">
        <v>284</v>
      </c>
      <c r="H256" s="395">
        <v>43717</v>
      </c>
      <c r="I256" s="395" t="s">
        <v>8137</v>
      </c>
      <c r="J256" s="280"/>
    </row>
    <row r="257" spans="1:10" ht="36">
      <c r="A257" s="396" t="s">
        <v>8234</v>
      </c>
      <c r="B257" s="394" t="s">
        <v>8210</v>
      </c>
      <c r="C257" s="394" t="s">
        <v>7302</v>
      </c>
      <c r="D257" s="281">
        <v>380</v>
      </c>
      <c r="E257" s="279">
        <v>829600</v>
      </c>
      <c r="F257" s="393" t="s">
        <v>8235</v>
      </c>
      <c r="G257" s="394" t="s">
        <v>284</v>
      </c>
      <c r="H257" s="395">
        <v>43760</v>
      </c>
      <c r="I257" s="395" t="s">
        <v>8137</v>
      </c>
      <c r="J257" s="280"/>
    </row>
    <row r="258" spans="1:10" ht="24">
      <c r="A258" s="396" t="s">
        <v>8236</v>
      </c>
      <c r="B258" s="394" t="s">
        <v>8210</v>
      </c>
      <c r="C258" s="394" t="s">
        <v>7302</v>
      </c>
      <c r="D258" s="281">
        <v>385</v>
      </c>
      <c r="E258" s="279">
        <v>3467893.41</v>
      </c>
      <c r="F258" s="393" t="s">
        <v>8237</v>
      </c>
      <c r="G258" s="394" t="s">
        <v>284</v>
      </c>
      <c r="H258" s="395">
        <v>43804</v>
      </c>
      <c r="I258" s="395" t="s">
        <v>8137</v>
      </c>
      <c r="J258" s="280"/>
    </row>
    <row r="259" spans="1:10" ht="36">
      <c r="A259" s="396" t="s">
        <v>8238</v>
      </c>
      <c r="B259" s="394" t="s">
        <v>8210</v>
      </c>
      <c r="C259" s="394" t="s">
        <v>7302</v>
      </c>
      <c r="D259" s="281">
        <v>389</v>
      </c>
      <c r="E259" s="279">
        <v>606712.35399999993</v>
      </c>
      <c r="F259" s="393" t="s">
        <v>8235</v>
      </c>
      <c r="G259" s="394" t="s">
        <v>284</v>
      </c>
      <c r="H259" s="395">
        <v>43733</v>
      </c>
      <c r="I259" s="395" t="s">
        <v>8137</v>
      </c>
      <c r="J259" s="280"/>
    </row>
    <row r="260" spans="1:10" ht="24">
      <c r="A260" s="396" t="s">
        <v>8239</v>
      </c>
      <c r="B260" s="394" t="s">
        <v>8210</v>
      </c>
      <c r="C260" s="394" t="s">
        <v>7302</v>
      </c>
      <c r="D260" s="394">
        <v>390</v>
      </c>
      <c r="E260" s="279">
        <v>603418.4</v>
      </c>
      <c r="F260" s="393" t="s">
        <v>8235</v>
      </c>
      <c r="G260" s="394" t="s">
        <v>284</v>
      </c>
      <c r="H260" s="395">
        <v>43780</v>
      </c>
      <c r="I260" s="395" t="s">
        <v>8137</v>
      </c>
      <c r="J260" s="280"/>
    </row>
    <row r="261" spans="1:10" ht="24">
      <c r="A261" s="396" t="s">
        <v>8240</v>
      </c>
      <c r="B261" s="394" t="s">
        <v>8210</v>
      </c>
      <c r="C261" s="394" t="s">
        <v>7302</v>
      </c>
      <c r="D261" s="281">
        <v>395</v>
      </c>
      <c r="E261" s="279">
        <v>1288560</v>
      </c>
      <c r="F261" s="393" t="s">
        <v>8241</v>
      </c>
      <c r="G261" s="394" t="s">
        <v>284</v>
      </c>
      <c r="H261" s="395">
        <v>43819</v>
      </c>
      <c r="I261" s="395" t="s">
        <v>8137</v>
      </c>
      <c r="J261" s="280"/>
    </row>
    <row r="262" spans="1:10" ht="24">
      <c r="A262" s="396" t="s">
        <v>8242</v>
      </c>
      <c r="B262" s="394" t="s">
        <v>8210</v>
      </c>
      <c r="C262" s="394" t="s">
        <v>7302</v>
      </c>
      <c r="D262" s="281">
        <v>405</v>
      </c>
      <c r="E262" s="279">
        <v>1511984</v>
      </c>
      <c r="F262" s="393" t="s">
        <v>8225</v>
      </c>
      <c r="G262" s="394" t="s">
        <v>8225</v>
      </c>
      <c r="H262" s="395"/>
      <c r="I262" s="395"/>
      <c r="J262" s="280"/>
    </row>
    <row r="263" spans="1:10" ht="24">
      <c r="A263" s="396" t="s">
        <v>8243</v>
      </c>
      <c r="B263" s="394" t="s">
        <v>8210</v>
      </c>
      <c r="C263" s="394" t="s">
        <v>7302</v>
      </c>
      <c r="D263" s="281">
        <v>423</v>
      </c>
      <c r="E263" s="279">
        <v>3086210.4</v>
      </c>
      <c r="F263" s="393" t="s">
        <v>8225</v>
      </c>
      <c r="G263" s="394" t="s">
        <v>8225</v>
      </c>
      <c r="H263" s="395"/>
      <c r="I263" s="395"/>
      <c r="J263" s="280"/>
    </row>
    <row r="264" spans="1:10" ht="24">
      <c r="A264" s="396" t="s">
        <v>8244</v>
      </c>
      <c r="B264" s="394" t="s">
        <v>8210</v>
      </c>
      <c r="C264" s="394" t="s">
        <v>7302</v>
      </c>
      <c r="D264" s="394">
        <v>458</v>
      </c>
      <c r="E264" s="279">
        <v>1025984</v>
      </c>
      <c r="F264" s="393" t="s">
        <v>8245</v>
      </c>
      <c r="G264" s="394" t="s">
        <v>284</v>
      </c>
      <c r="H264" s="395">
        <v>44057</v>
      </c>
      <c r="I264" s="395" t="s">
        <v>8137</v>
      </c>
      <c r="J264" s="280"/>
    </row>
    <row r="265" spans="1:10">
      <c r="A265" s="396"/>
      <c r="B265" s="394"/>
      <c r="C265" s="394"/>
      <c r="D265" s="281"/>
      <c r="E265" s="279"/>
      <c r="F265" s="393"/>
      <c r="G265" s="394"/>
      <c r="H265" s="395"/>
      <c r="I265" s="395"/>
      <c r="J265" s="280"/>
    </row>
    <row r="266" spans="1:10" ht="72">
      <c r="A266" s="396" t="s">
        <v>8246</v>
      </c>
      <c r="B266" s="394" t="s">
        <v>8135</v>
      </c>
      <c r="C266" s="394" t="s">
        <v>7302</v>
      </c>
      <c r="D266" s="281">
        <v>10</v>
      </c>
      <c r="E266" s="279">
        <v>512958</v>
      </c>
      <c r="F266" s="393" t="s">
        <v>8247</v>
      </c>
      <c r="G266" s="394" t="s">
        <v>284</v>
      </c>
      <c r="H266" s="395">
        <v>44019</v>
      </c>
      <c r="I266" s="395" t="s">
        <v>8140</v>
      </c>
      <c r="J266" s="280"/>
    </row>
    <row r="267" spans="1:10" ht="36">
      <c r="A267" s="396" t="s">
        <v>8248</v>
      </c>
      <c r="B267" s="394" t="s">
        <v>8135</v>
      </c>
      <c r="C267" s="394" t="s">
        <v>7302</v>
      </c>
      <c r="D267" s="281">
        <v>24</v>
      </c>
      <c r="E267" s="279">
        <v>467161</v>
      </c>
      <c r="F267" s="393" t="s">
        <v>8200</v>
      </c>
      <c r="G267" s="394" t="s">
        <v>8249</v>
      </c>
      <c r="H267" s="395"/>
      <c r="I267" s="395" t="s">
        <v>8137</v>
      </c>
      <c r="J267" s="280"/>
    </row>
    <row r="268" spans="1:10" ht="24">
      <c r="A268" s="396" t="s">
        <v>8250</v>
      </c>
      <c r="B268" s="394" t="s">
        <v>8135</v>
      </c>
      <c r="C268" s="394" t="s">
        <v>7302</v>
      </c>
      <c r="D268" s="394">
        <v>47</v>
      </c>
      <c r="E268" s="279">
        <v>5171407.6399999997</v>
      </c>
      <c r="F268" s="393"/>
      <c r="G268" s="394" t="s">
        <v>8251</v>
      </c>
      <c r="H268" s="395"/>
      <c r="I268" s="395" t="s">
        <v>8137</v>
      </c>
      <c r="J268" s="280"/>
    </row>
    <row r="269" spans="1:10" ht="48">
      <c r="A269" s="396" t="s">
        <v>8252</v>
      </c>
      <c r="B269" s="394" t="s">
        <v>8135</v>
      </c>
      <c r="C269" s="394" t="s">
        <v>7302</v>
      </c>
      <c r="D269" s="281">
        <v>51</v>
      </c>
      <c r="E269" s="279">
        <v>1922364.08</v>
      </c>
      <c r="F269" s="393" t="s">
        <v>8253</v>
      </c>
      <c r="G269" s="394" t="s">
        <v>8249</v>
      </c>
      <c r="H269" s="395"/>
      <c r="I269" s="395" t="s">
        <v>8137</v>
      </c>
      <c r="J269" s="280"/>
    </row>
    <row r="270" spans="1:10" ht="24">
      <c r="A270" s="396" t="s">
        <v>8254</v>
      </c>
      <c r="B270" s="394" t="s">
        <v>8135</v>
      </c>
      <c r="C270" s="394" t="s">
        <v>7302</v>
      </c>
      <c r="D270" s="281">
        <v>56</v>
      </c>
      <c r="E270" s="279">
        <v>600000</v>
      </c>
      <c r="F270" s="393" t="s">
        <v>8158</v>
      </c>
      <c r="G270" s="394" t="s">
        <v>284</v>
      </c>
      <c r="H270" s="395">
        <v>44005</v>
      </c>
      <c r="I270" s="395" t="s">
        <v>8137</v>
      </c>
      <c r="J270" s="280"/>
    </row>
    <row r="271" spans="1:10" ht="24">
      <c r="A271" s="396" t="s">
        <v>8255</v>
      </c>
      <c r="B271" s="394" t="s">
        <v>8256</v>
      </c>
      <c r="C271" s="394" t="s">
        <v>7302</v>
      </c>
      <c r="D271" s="281">
        <v>78</v>
      </c>
      <c r="E271" s="279">
        <v>943662.14</v>
      </c>
      <c r="F271" s="393" t="s">
        <v>8175</v>
      </c>
      <c r="G271" s="394" t="s">
        <v>284</v>
      </c>
      <c r="H271" s="395">
        <v>43990</v>
      </c>
      <c r="I271" s="395" t="s">
        <v>8137</v>
      </c>
      <c r="J271" s="280"/>
    </row>
    <row r="272" spans="1:10" ht="36">
      <c r="A272" s="396" t="s">
        <v>8257</v>
      </c>
      <c r="B272" s="394" t="s">
        <v>8135</v>
      </c>
      <c r="C272" s="394" t="s">
        <v>7302</v>
      </c>
      <c r="D272" s="394">
        <v>93</v>
      </c>
      <c r="E272" s="279">
        <v>431750</v>
      </c>
      <c r="F272" s="393"/>
      <c r="G272" s="394" t="s">
        <v>8150</v>
      </c>
      <c r="H272" s="395"/>
      <c r="I272" s="395" t="s">
        <v>8137</v>
      </c>
      <c r="J272" s="280"/>
    </row>
    <row r="273" spans="1:10" ht="108">
      <c r="A273" s="396" t="s">
        <v>8258</v>
      </c>
      <c r="B273" s="394" t="s">
        <v>8135</v>
      </c>
      <c r="C273" s="394" t="s">
        <v>7302</v>
      </c>
      <c r="D273" s="281">
        <v>106</v>
      </c>
      <c r="E273" s="279">
        <v>2422601.4</v>
      </c>
      <c r="F273" s="393" t="s">
        <v>8259</v>
      </c>
      <c r="G273" s="394" t="s">
        <v>284</v>
      </c>
      <c r="H273" s="395">
        <v>44031</v>
      </c>
      <c r="I273" s="395" t="s">
        <v>8140</v>
      </c>
      <c r="J273" s="280"/>
    </row>
    <row r="274" spans="1:10" ht="36">
      <c r="A274" s="396" t="s">
        <v>8166</v>
      </c>
      <c r="B274" s="394" t="s">
        <v>8135</v>
      </c>
      <c r="C274" s="394" t="s">
        <v>7302</v>
      </c>
      <c r="D274" s="281">
        <v>116</v>
      </c>
      <c r="E274" s="279">
        <v>1275000</v>
      </c>
      <c r="F274" s="393" t="s">
        <v>8260</v>
      </c>
      <c r="G274" s="394" t="s">
        <v>284</v>
      </c>
      <c r="H274" s="395">
        <v>44047</v>
      </c>
      <c r="I274" s="395" t="s">
        <v>8137</v>
      </c>
      <c r="J274" s="280"/>
    </row>
    <row r="275" spans="1:10" ht="60">
      <c r="A275" s="396" t="s">
        <v>8261</v>
      </c>
      <c r="B275" s="394" t="s">
        <v>8256</v>
      </c>
      <c r="C275" s="394" t="s">
        <v>7302</v>
      </c>
      <c r="D275" s="281">
        <v>122</v>
      </c>
      <c r="E275" s="279">
        <v>761000</v>
      </c>
      <c r="F275" s="393"/>
      <c r="G275" s="394" t="s">
        <v>8150</v>
      </c>
      <c r="H275" s="395"/>
      <c r="I275" s="395" t="s">
        <v>8137</v>
      </c>
      <c r="J275" s="280"/>
    </row>
    <row r="276" spans="1:10" ht="36">
      <c r="A276" s="396" t="s">
        <v>8159</v>
      </c>
      <c r="B276" s="394" t="s">
        <v>8135</v>
      </c>
      <c r="C276" s="394" t="s">
        <v>7302</v>
      </c>
      <c r="D276" s="394">
        <v>124</v>
      </c>
      <c r="E276" s="279">
        <v>720000</v>
      </c>
      <c r="F276" s="393" t="s">
        <v>8262</v>
      </c>
      <c r="G276" s="394" t="s">
        <v>284</v>
      </c>
      <c r="H276" s="395">
        <v>44027</v>
      </c>
      <c r="I276" s="395" t="s">
        <v>8137</v>
      </c>
      <c r="J276" s="280"/>
    </row>
    <row r="277" spans="1:10" ht="24">
      <c r="A277" s="396" t="s">
        <v>8263</v>
      </c>
      <c r="B277" s="394" t="s">
        <v>8135</v>
      </c>
      <c r="C277" s="394" t="s">
        <v>7302</v>
      </c>
      <c r="D277" s="281">
        <v>134</v>
      </c>
      <c r="E277" s="279">
        <v>550000</v>
      </c>
      <c r="F277" s="393"/>
      <c r="G277" s="394" t="s">
        <v>8150</v>
      </c>
      <c r="H277" s="395"/>
      <c r="I277" s="395" t="s">
        <v>8137</v>
      </c>
      <c r="J277" s="280"/>
    </row>
    <row r="278" spans="1:10" ht="36">
      <c r="A278" s="396" t="s">
        <v>8264</v>
      </c>
      <c r="B278" s="394" t="s">
        <v>8135</v>
      </c>
      <c r="C278" s="394" t="s">
        <v>7302</v>
      </c>
      <c r="D278" s="281">
        <v>164</v>
      </c>
      <c r="E278" s="279">
        <v>1200000</v>
      </c>
      <c r="F278" s="393"/>
      <c r="G278" s="394" t="s">
        <v>8150</v>
      </c>
      <c r="H278" s="395"/>
      <c r="I278" s="395" t="s">
        <v>8137</v>
      </c>
      <c r="J278" s="280"/>
    </row>
    <row r="279" spans="1:10" ht="36">
      <c r="A279" s="396" t="s">
        <v>8265</v>
      </c>
      <c r="B279" s="394" t="s">
        <v>8135</v>
      </c>
      <c r="C279" s="394" t="s">
        <v>7302</v>
      </c>
      <c r="D279" s="281">
        <v>167</v>
      </c>
      <c r="E279" s="279">
        <v>400000</v>
      </c>
      <c r="F279" s="393"/>
      <c r="G279" s="394" t="s">
        <v>8150</v>
      </c>
      <c r="H279" s="395"/>
      <c r="I279" s="395" t="s">
        <v>8137</v>
      </c>
      <c r="J279" s="280"/>
    </row>
    <row r="280" spans="1:10" ht="36">
      <c r="A280" s="396" t="s">
        <v>8266</v>
      </c>
      <c r="B280" s="394" t="s">
        <v>8256</v>
      </c>
      <c r="C280" s="394" t="s">
        <v>7302</v>
      </c>
      <c r="D280" s="394">
        <v>191</v>
      </c>
      <c r="E280" s="279">
        <v>5384000</v>
      </c>
      <c r="F280" s="393"/>
      <c r="G280" s="394" t="s">
        <v>8150</v>
      </c>
      <c r="H280" s="395"/>
      <c r="I280" s="395" t="s">
        <v>8140</v>
      </c>
      <c r="J280" s="280"/>
    </row>
    <row r="281" spans="1:10" ht="24">
      <c r="A281" s="396" t="s">
        <v>8267</v>
      </c>
      <c r="B281" s="394" t="s">
        <v>8256</v>
      </c>
      <c r="C281" s="394" t="s">
        <v>7302</v>
      </c>
      <c r="D281" s="281">
        <v>198</v>
      </c>
      <c r="E281" s="279">
        <v>2102401.9339999999</v>
      </c>
      <c r="F281" s="393"/>
      <c r="G281" s="394" t="s">
        <v>8150</v>
      </c>
      <c r="H281" s="395"/>
      <c r="I281" s="395" t="s">
        <v>8137</v>
      </c>
      <c r="J281" s="280"/>
    </row>
    <row r="282" spans="1:10" ht="24">
      <c r="A282" s="396" t="s">
        <v>8268</v>
      </c>
      <c r="B282" s="394" t="s">
        <v>8256</v>
      </c>
      <c r="C282" s="394" t="s">
        <v>7302</v>
      </c>
      <c r="D282" s="281">
        <v>207</v>
      </c>
      <c r="E282" s="279">
        <v>580770.15</v>
      </c>
      <c r="F282" s="393" t="s">
        <v>8156</v>
      </c>
      <c r="G282" s="394" t="s">
        <v>284</v>
      </c>
      <c r="H282" s="395">
        <v>44081</v>
      </c>
      <c r="I282" s="395" t="s">
        <v>8137</v>
      </c>
      <c r="J282" s="280"/>
    </row>
    <row r="283" spans="1:10" ht="48">
      <c r="A283" s="396" t="s">
        <v>8269</v>
      </c>
      <c r="B283" s="394" t="s">
        <v>8256</v>
      </c>
      <c r="C283" s="394" t="s">
        <v>7302</v>
      </c>
      <c r="D283" s="281">
        <v>219</v>
      </c>
      <c r="E283" s="279">
        <v>550000</v>
      </c>
      <c r="F283" s="393" t="s">
        <v>8270</v>
      </c>
      <c r="G283" s="394" t="s">
        <v>284</v>
      </c>
      <c r="H283" s="395">
        <v>44050</v>
      </c>
      <c r="I283" s="395" t="s">
        <v>8137</v>
      </c>
      <c r="J283" s="280"/>
    </row>
    <row r="284" spans="1:10" ht="24">
      <c r="A284" s="396" t="s">
        <v>8271</v>
      </c>
      <c r="B284" s="394" t="s">
        <v>8272</v>
      </c>
      <c r="C284" s="394" t="s">
        <v>7302</v>
      </c>
      <c r="D284" s="394">
        <v>225</v>
      </c>
      <c r="E284" s="279">
        <v>483267.4</v>
      </c>
      <c r="F284" s="393"/>
      <c r="G284" s="394" t="s">
        <v>8249</v>
      </c>
      <c r="H284" s="395"/>
      <c r="I284" s="395" t="s">
        <v>8140</v>
      </c>
      <c r="J284" s="280"/>
    </row>
    <row r="285" spans="1:10" ht="24">
      <c r="A285" s="396" t="s">
        <v>8273</v>
      </c>
      <c r="B285" s="394" t="s">
        <v>8274</v>
      </c>
      <c r="C285" s="394" t="s">
        <v>7302</v>
      </c>
      <c r="D285" s="281">
        <v>249</v>
      </c>
      <c r="E285" s="279">
        <v>2720000</v>
      </c>
      <c r="F285" s="393" t="s">
        <v>8275</v>
      </c>
      <c r="G285" s="394" t="s">
        <v>284</v>
      </c>
      <c r="H285" s="395">
        <v>44050</v>
      </c>
      <c r="I285" s="395" t="s">
        <v>8137</v>
      </c>
      <c r="J285" s="280"/>
    </row>
    <row r="286" spans="1:10" ht="24">
      <c r="A286" s="396" t="s">
        <v>8276</v>
      </c>
      <c r="B286" s="394" t="s">
        <v>8274</v>
      </c>
      <c r="C286" s="394" t="s">
        <v>7302</v>
      </c>
      <c r="D286" s="281">
        <v>260</v>
      </c>
      <c r="E286" s="279">
        <v>2038176</v>
      </c>
      <c r="F286" s="393"/>
      <c r="G286" s="394" t="s">
        <v>8251</v>
      </c>
      <c r="H286" s="395"/>
      <c r="I286" s="395" t="s">
        <v>8137</v>
      </c>
      <c r="J286" s="280"/>
    </row>
    <row r="287" spans="1:10" ht="24">
      <c r="A287" s="396" t="s">
        <v>8277</v>
      </c>
      <c r="B287" s="394" t="s">
        <v>8272</v>
      </c>
      <c r="C287" s="394" t="s">
        <v>7302</v>
      </c>
      <c r="D287" s="281">
        <v>262</v>
      </c>
      <c r="E287" s="279">
        <v>1583795</v>
      </c>
      <c r="F287" s="393"/>
      <c r="G287" s="394" t="s">
        <v>8251</v>
      </c>
      <c r="H287" s="395"/>
      <c r="I287" s="395" t="s">
        <v>8137</v>
      </c>
      <c r="J287" s="280"/>
    </row>
    <row r="288" spans="1:10" ht="36">
      <c r="A288" s="396" t="s">
        <v>8278</v>
      </c>
      <c r="B288" s="394" t="s">
        <v>8272</v>
      </c>
      <c r="C288" s="394" t="s">
        <v>7302</v>
      </c>
      <c r="D288" s="394">
        <v>285</v>
      </c>
      <c r="E288" s="279">
        <v>1123360</v>
      </c>
      <c r="F288" s="393" t="s">
        <v>8279</v>
      </c>
      <c r="G288" s="394" t="s">
        <v>284</v>
      </c>
      <c r="H288" s="395">
        <v>44062</v>
      </c>
      <c r="I288" s="395" t="s">
        <v>8137</v>
      </c>
      <c r="J288" s="280"/>
    </row>
    <row r="289" spans="1:10" ht="36">
      <c r="A289" s="396" t="s">
        <v>8280</v>
      </c>
      <c r="B289" s="394" t="s">
        <v>8256</v>
      </c>
      <c r="C289" s="394" t="s">
        <v>7302</v>
      </c>
      <c r="D289" s="281">
        <v>292</v>
      </c>
      <c r="E289" s="279">
        <v>1162864.46</v>
      </c>
      <c r="F289" s="393" t="s">
        <v>8281</v>
      </c>
      <c r="G289" s="394" t="s">
        <v>284</v>
      </c>
      <c r="H289" s="395">
        <v>44070</v>
      </c>
      <c r="I289" s="395" t="s">
        <v>8137</v>
      </c>
      <c r="J289" s="280"/>
    </row>
    <row r="290" spans="1:10" ht="60">
      <c r="A290" s="396" t="s">
        <v>8282</v>
      </c>
      <c r="B290" s="394" t="s">
        <v>8272</v>
      </c>
      <c r="C290" s="394" t="s">
        <v>7302</v>
      </c>
      <c r="D290" s="281">
        <v>294</v>
      </c>
      <c r="E290" s="279">
        <v>1000000</v>
      </c>
      <c r="F290" s="393" t="s">
        <v>8283</v>
      </c>
      <c r="G290" s="394" t="s">
        <v>284</v>
      </c>
      <c r="H290" s="395">
        <v>44048</v>
      </c>
      <c r="I290" s="395" t="s">
        <v>8137</v>
      </c>
      <c r="J290" s="280"/>
    </row>
    <row r="291" spans="1:10" ht="36">
      <c r="A291" s="396" t="s">
        <v>8284</v>
      </c>
      <c r="B291" s="394" t="s">
        <v>8274</v>
      </c>
      <c r="C291" s="394" t="s">
        <v>7302</v>
      </c>
      <c r="D291" s="281">
        <v>316</v>
      </c>
      <c r="E291" s="279">
        <v>9241200</v>
      </c>
      <c r="F291" s="393"/>
      <c r="G291" s="394" t="s">
        <v>8150</v>
      </c>
      <c r="H291" s="395"/>
      <c r="I291" s="395" t="s">
        <v>8140</v>
      </c>
      <c r="J291" s="280"/>
    </row>
    <row r="292" spans="1:10" ht="48">
      <c r="A292" s="396" t="s">
        <v>8285</v>
      </c>
      <c r="B292" s="394" t="s">
        <v>8256</v>
      </c>
      <c r="C292" s="394" t="s">
        <v>7302</v>
      </c>
      <c r="D292" s="394">
        <v>329</v>
      </c>
      <c r="E292" s="279">
        <v>900000</v>
      </c>
      <c r="F292" s="393" t="s">
        <v>8286</v>
      </c>
      <c r="G292" s="394" t="s">
        <v>284</v>
      </c>
      <c r="H292" s="395">
        <v>44019</v>
      </c>
      <c r="I292" s="395" t="s">
        <v>8137</v>
      </c>
      <c r="J292" s="280"/>
    </row>
    <row r="293" spans="1:10" ht="36">
      <c r="A293" s="396" t="s">
        <v>8287</v>
      </c>
      <c r="B293" s="394" t="s">
        <v>8256</v>
      </c>
      <c r="C293" s="394" t="s">
        <v>7302</v>
      </c>
      <c r="D293" s="281">
        <v>331</v>
      </c>
      <c r="E293" s="279">
        <v>560653.75</v>
      </c>
      <c r="F293" s="393"/>
      <c r="G293" s="394" t="s">
        <v>8183</v>
      </c>
      <c r="H293" s="395"/>
      <c r="I293" s="395" t="s">
        <v>8137</v>
      </c>
      <c r="J293" s="280"/>
    </row>
    <row r="294" spans="1:10" ht="24">
      <c r="A294" s="396" t="s">
        <v>8288</v>
      </c>
      <c r="B294" s="394" t="s">
        <v>8274</v>
      </c>
      <c r="C294" s="394" t="s">
        <v>7302</v>
      </c>
      <c r="D294" s="281">
        <v>353</v>
      </c>
      <c r="E294" s="279">
        <v>2802114</v>
      </c>
      <c r="F294" s="393"/>
      <c r="G294" s="394" t="s">
        <v>8150</v>
      </c>
      <c r="H294" s="395"/>
      <c r="I294" s="395" t="s">
        <v>8137</v>
      </c>
      <c r="J294" s="280"/>
    </row>
    <row r="295" spans="1:10" ht="48">
      <c r="A295" s="396" t="s">
        <v>8289</v>
      </c>
      <c r="B295" s="394" t="s">
        <v>8272</v>
      </c>
      <c r="C295" s="394" t="s">
        <v>7302</v>
      </c>
      <c r="D295" s="281">
        <v>384</v>
      </c>
      <c r="E295" s="279">
        <v>4836803.5</v>
      </c>
      <c r="F295" s="393"/>
      <c r="G295" s="394" t="s">
        <v>8150</v>
      </c>
      <c r="H295" s="395"/>
      <c r="I295" s="395" t="s">
        <v>8140</v>
      </c>
      <c r="J295" s="280"/>
    </row>
    <row r="296" spans="1:10" ht="36">
      <c r="A296" s="396" t="s">
        <v>8290</v>
      </c>
      <c r="B296" s="394" t="s">
        <v>8272</v>
      </c>
      <c r="C296" s="394" t="s">
        <v>7302</v>
      </c>
      <c r="D296" s="394">
        <v>397</v>
      </c>
      <c r="E296" s="279">
        <v>590944.07999999996</v>
      </c>
      <c r="F296" s="393"/>
      <c r="G296" s="394" t="s">
        <v>8150</v>
      </c>
      <c r="H296" s="395"/>
      <c r="I296" s="395" t="s">
        <v>8140</v>
      </c>
      <c r="J296" s="280"/>
    </row>
    <row r="297" spans="1:10" ht="60">
      <c r="A297" s="396" t="s">
        <v>8291</v>
      </c>
      <c r="B297" s="394" t="s">
        <v>8135</v>
      </c>
      <c r="C297" s="394" t="s">
        <v>7302</v>
      </c>
      <c r="D297" s="281">
        <v>426</v>
      </c>
      <c r="E297" s="279">
        <v>3286147.97</v>
      </c>
      <c r="F297" s="393"/>
      <c r="G297" s="394" t="s">
        <v>8183</v>
      </c>
      <c r="H297" s="395"/>
      <c r="I297" s="395" t="s">
        <v>8140</v>
      </c>
      <c r="J297" s="280"/>
    </row>
    <row r="298" spans="1:10" ht="48">
      <c r="A298" s="396" t="s">
        <v>8292</v>
      </c>
      <c r="B298" s="394" t="s">
        <v>8272</v>
      </c>
      <c r="C298" s="394" t="s">
        <v>7302</v>
      </c>
      <c r="D298" s="281">
        <v>427</v>
      </c>
      <c r="E298" s="279">
        <v>52988696.100000001</v>
      </c>
      <c r="F298" s="393"/>
      <c r="G298" s="394" t="s">
        <v>8251</v>
      </c>
      <c r="H298" s="395"/>
      <c r="I298" s="395" t="s">
        <v>8140</v>
      </c>
      <c r="J298" s="280"/>
    </row>
    <row r="299" spans="1:10" ht="84">
      <c r="A299" s="396" t="s">
        <v>8293</v>
      </c>
      <c r="B299" s="394" t="s">
        <v>8272</v>
      </c>
      <c r="C299" s="394" t="s">
        <v>7302</v>
      </c>
      <c r="D299" s="281">
        <v>430</v>
      </c>
      <c r="E299" s="279">
        <v>30466836</v>
      </c>
      <c r="F299" s="393"/>
      <c r="G299" s="394" t="s">
        <v>8150</v>
      </c>
      <c r="H299" s="395"/>
      <c r="I299" s="395" t="s">
        <v>8140</v>
      </c>
      <c r="J299" s="280"/>
    </row>
    <row r="300" spans="1:10" ht="60">
      <c r="A300" s="396" t="s">
        <v>8294</v>
      </c>
      <c r="B300" s="394" t="s">
        <v>8272</v>
      </c>
      <c r="C300" s="394" t="s">
        <v>7302</v>
      </c>
      <c r="D300" s="394">
        <v>431</v>
      </c>
      <c r="E300" s="279">
        <v>3809767.5</v>
      </c>
      <c r="F300" s="393"/>
      <c r="G300" s="394" t="s">
        <v>8150</v>
      </c>
      <c r="H300" s="395"/>
      <c r="I300" s="395" t="s">
        <v>8140</v>
      </c>
      <c r="J300" s="280"/>
    </row>
    <row r="301" spans="1:10" ht="72">
      <c r="A301" s="396" t="s">
        <v>8295</v>
      </c>
      <c r="B301" s="394" t="s">
        <v>8272</v>
      </c>
      <c r="C301" s="394" t="s">
        <v>7302</v>
      </c>
      <c r="D301" s="281">
        <v>432</v>
      </c>
      <c r="E301" s="279">
        <v>5241795.9000000004</v>
      </c>
      <c r="F301" s="393"/>
      <c r="G301" s="394" t="s">
        <v>8150</v>
      </c>
      <c r="H301" s="395"/>
      <c r="I301" s="395" t="s">
        <v>8140</v>
      </c>
      <c r="J301" s="280"/>
    </row>
    <row r="302" spans="1:10" ht="48">
      <c r="A302" s="396" t="s">
        <v>8296</v>
      </c>
      <c r="B302" s="394" t="s">
        <v>8272</v>
      </c>
      <c r="C302" s="394" t="s">
        <v>7302</v>
      </c>
      <c r="D302" s="281">
        <v>433</v>
      </c>
      <c r="E302" s="279">
        <v>757174.5</v>
      </c>
      <c r="F302" s="393"/>
      <c r="G302" s="394" t="s">
        <v>8183</v>
      </c>
      <c r="H302" s="395"/>
      <c r="I302" s="395" t="s">
        <v>8137</v>
      </c>
      <c r="J302" s="280"/>
    </row>
    <row r="303" spans="1:10" ht="72">
      <c r="A303" s="396" t="s">
        <v>8297</v>
      </c>
      <c r="B303" s="394" t="s">
        <v>8272</v>
      </c>
      <c r="C303" s="394" t="s">
        <v>7302</v>
      </c>
      <c r="D303" s="281">
        <v>435</v>
      </c>
      <c r="E303" s="279">
        <v>1092400</v>
      </c>
      <c r="F303" s="393" t="s">
        <v>8298</v>
      </c>
      <c r="G303" s="394" t="s">
        <v>284</v>
      </c>
      <c r="H303" s="395">
        <v>44077</v>
      </c>
      <c r="I303" s="395" t="s">
        <v>8137</v>
      </c>
      <c r="J303" s="280"/>
    </row>
    <row r="304" spans="1:10" ht="36">
      <c r="A304" s="396" t="s">
        <v>8299</v>
      </c>
      <c r="B304" s="394" t="s">
        <v>8256</v>
      </c>
      <c r="C304" s="394" t="s">
        <v>7302</v>
      </c>
      <c r="D304" s="394">
        <v>461</v>
      </c>
      <c r="E304" s="279">
        <v>500000</v>
      </c>
      <c r="F304" s="393" t="s">
        <v>8300</v>
      </c>
      <c r="G304" s="394" t="s">
        <v>284</v>
      </c>
      <c r="H304" s="395">
        <v>44052</v>
      </c>
      <c r="I304" s="395" t="s">
        <v>8137</v>
      </c>
      <c r="J304" s="280"/>
    </row>
    <row r="305" spans="1:10" ht="48">
      <c r="A305" s="396" t="s">
        <v>8301</v>
      </c>
      <c r="B305" s="394" t="s">
        <v>8256</v>
      </c>
      <c r="C305" s="394" t="s">
        <v>7302</v>
      </c>
      <c r="D305" s="281">
        <v>472</v>
      </c>
      <c r="E305" s="279">
        <v>4547630.41</v>
      </c>
      <c r="F305" s="393"/>
      <c r="G305" s="394" t="s">
        <v>8183</v>
      </c>
      <c r="H305" s="395"/>
      <c r="I305" s="395" t="s">
        <v>8137</v>
      </c>
      <c r="J305" s="280"/>
    </row>
    <row r="306" spans="1:10" ht="36">
      <c r="A306" s="396" t="s">
        <v>8302</v>
      </c>
      <c r="B306" s="394" t="s">
        <v>8256</v>
      </c>
      <c r="C306" s="394" t="s">
        <v>7302</v>
      </c>
      <c r="D306" s="281">
        <v>473</v>
      </c>
      <c r="E306" s="279">
        <v>1998009.98</v>
      </c>
      <c r="F306" s="393"/>
      <c r="G306" s="394" t="s">
        <v>8249</v>
      </c>
      <c r="H306" s="395"/>
      <c r="I306" s="395" t="s">
        <v>8137</v>
      </c>
      <c r="J306" s="280"/>
    </row>
    <row r="307" spans="1:10" ht="36">
      <c r="A307" s="396" t="s">
        <v>8303</v>
      </c>
      <c r="B307" s="394" t="s">
        <v>8272</v>
      </c>
      <c r="C307" s="394" t="s">
        <v>7302</v>
      </c>
      <c r="D307" s="281">
        <v>494</v>
      </c>
      <c r="E307" s="279">
        <v>6908210</v>
      </c>
      <c r="F307" s="393"/>
      <c r="G307" s="394" t="s">
        <v>8183</v>
      </c>
      <c r="H307" s="395"/>
      <c r="I307" s="395" t="s">
        <v>8137</v>
      </c>
      <c r="J307" s="280"/>
    </row>
    <row r="308" spans="1:10" ht="36">
      <c r="A308" s="396" t="s">
        <v>8304</v>
      </c>
      <c r="B308" s="394" t="s">
        <v>8272</v>
      </c>
      <c r="C308" s="394" t="s">
        <v>7302</v>
      </c>
      <c r="D308" s="394">
        <v>527</v>
      </c>
      <c r="E308" s="279">
        <v>2504942</v>
      </c>
      <c r="F308" s="393"/>
      <c r="G308" s="394" t="s">
        <v>8183</v>
      </c>
      <c r="H308" s="395"/>
      <c r="I308" s="395" t="s">
        <v>8137</v>
      </c>
      <c r="J308" s="280"/>
    </row>
    <row r="309" spans="1:10" ht="48">
      <c r="A309" s="396" t="s">
        <v>8305</v>
      </c>
      <c r="B309" s="394" t="s">
        <v>8272</v>
      </c>
      <c r="C309" s="394" t="s">
        <v>7302</v>
      </c>
      <c r="D309" s="281">
        <v>530</v>
      </c>
      <c r="E309" s="279">
        <v>1111624.3600000001</v>
      </c>
      <c r="F309" s="393"/>
      <c r="G309" s="394" t="s">
        <v>8249</v>
      </c>
      <c r="H309" s="395"/>
      <c r="I309" s="395" t="s">
        <v>8137</v>
      </c>
      <c r="J309" s="280"/>
    </row>
    <row r="310" spans="1:10" ht="60">
      <c r="A310" s="396" t="s">
        <v>8306</v>
      </c>
      <c r="B310" s="394" t="s">
        <v>8272</v>
      </c>
      <c r="C310" s="394" t="s">
        <v>7302</v>
      </c>
      <c r="D310" s="281">
        <v>538</v>
      </c>
      <c r="E310" s="279">
        <v>4280000</v>
      </c>
      <c r="F310" s="393"/>
      <c r="G310" s="394" t="s">
        <v>8251</v>
      </c>
      <c r="H310" s="395"/>
      <c r="I310" s="395" t="s">
        <v>8137</v>
      </c>
      <c r="J310" s="280"/>
    </row>
    <row r="311" spans="1:10" ht="60">
      <c r="A311" s="396" t="s">
        <v>8307</v>
      </c>
      <c r="B311" s="394" t="s">
        <v>8272</v>
      </c>
      <c r="C311" s="394" t="s">
        <v>7302</v>
      </c>
      <c r="D311" s="281">
        <v>540</v>
      </c>
      <c r="E311" s="279">
        <v>7289356.5099999998</v>
      </c>
      <c r="F311" s="393"/>
      <c r="G311" s="394" t="s">
        <v>8251</v>
      </c>
      <c r="H311" s="395"/>
      <c r="I311" s="395" t="s">
        <v>8140</v>
      </c>
      <c r="J311" s="280"/>
    </row>
    <row r="312" spans="1:10" ht="60">
      <c r="A312" s="396" t="s">
        <v>8308</v>
      </c>
      <c r="B312" s="394" t="s">
        <v>8272</v>
      </c>
      <c r="C312" s="394" t="s">
        <v>7302</v>
      </c>
      <c r="D312" s="394">
        <v>541</v>
      </c>
      <c r="E312" s="279">
        <v>4891629.0999999996</v>
      </c>
      <c r="F312" s="393"/>
      <c r="G312" s="394" t="s">
        <v>8251</v>
      </c>
      <c r="H312" s="395"/>
      <c r="I312" s="395" t="s">
        <v>8140</v>
      </c>
      <c r="J312" s="280"/>
    </row>
    <row r="313" spans="1:10" ht="36">
      <c r="A313" s="396" t="s">
        <v>8309</v>
      </c>
      <c r="B313" s="394" t="s">
        <v>8274</v>
      </c>
      <c r="C313" s="394" t="s">
        <v>7302</v>
      </c>
      <c r="D313" s="281">
        <v>546</v>
      </c>
      <c r="E313" s="279">
        <v>1437360</v>
      </c>
      <c r="F313" s="393"/>
      <c r="G313" s="394" t="s">
        <v>8150</v>
      </c>
      <c r="H313" s="395"/>
      <c r="I313" s="395" t="s">
        <v>8137</v>
      </c>
      <c r="J313" s="280"/>
    </row>
    <row r="314" spans="1:10" ht="36">
      <c r="A314" s="396" t="s">
        <v>8310</v>
      </c>
      <c r="B314" s="394" t="s">
        <v>8256</v>
      </c>
      <c r="C314" s="394" t="s">
        <v>7302</v>
      </c>
      <c r="D314" s="281">
        <v>573</v>
      </c>
      <c r="E314" s="279">
        <v>1668375</v>
      </c>
      <c r="F314" s="393"/>
      <c r="G314" s="394" t="s">
        <v>8251</v>
      </c>
      <c r="H314" s="395"/>
      <c r="I314" s="395" t="s">
        <v>8137</v>
      </c>
      <c r="J314" s="280"/>
    </row>
    <row r="315" spans="1:10" ht="36">
      <c r="A315" s="396" t="s">
        <v>8311</v>
      </c>
      <c r="B315" s="394" t="s">
        <v>8256</v>
      </c>
      <c r="C315" s="394" t="s">
        <v>7302</v>
      </c>
      <c r="D315" s="281">
        <v>574</v>
      </c>
      <c r="E315" s="279">
        <v>1705673.95</v>
      </c>
      <c r="F315" s="393"/>
      <c r="G315" s="394" t="s">
        <v>8251</v>
      </c>
      <c r="H315" s="395"/>
      <c r="I315" s="395" t="s">
        <v>8137</v>
      </c>
      <c r="J315" s="280"/>
    </row>
    <row r="316" spans="1:10" ht="48">
      <c r="A316" s="396" t="s">
        <v>8312</v>
      </c>
      <c r="B316" s="394" t="s">
        <v>8274</v>
      </c>
      <c r="C316" s="394" t="s">
        <v>7302</v>
      </c>
      <c r="D316" s="394">
        <v>586</v>
      </c>
      <c r="E316" s="279">
        <v>11784540</v>
      </c>
      <c r="F316" s="393"/>
      <c r="G316" s="394" t="s">
        <v>8251</v>
      </c>
      <c r="H316" s="395"/>
      <c r="I316" s="395" t="s">
        <v>8137</v>
      </c>
      <c r="J316" s="280"/>
    </row>
    <row r="317" spans="1:10" ht="24">
      <c r="A317" s="396" t="s">
        <v>8313</v>
      </c>
      <c r="B317" s="394" t="s">
        <v>8272</v>
      </c>
      <c r="C317" s="394" t="s">
        <v>7302</v>
      </c>
      <c r="D317" s="281">
        <v>595</v>
      </c>
      <c r="E317" s="279">
        <v>638318.06000000006</v>
      </c>
      <c r="F317" s="393"/>
      <c r="G317" s="394" t="s">
        <v>8251</v>
      </c>
      <c r="H317" s="395"/>
      <c r="I317" s="395" t="s">
        <v>8137</v>
      </c>
      <c r="J317" s="280"/>
    </row>
    <row r="318" spans="1:10" ht="24">
      <c r="A318" s="396" t="s">
        <v>8314</v>
      </c>
      <c r="B318" s="394" t="s">
        <v>8135</v>
      </c>
      <c r="C318" s="394" t="s">
        <v>7302</v>
      </c>
      <c r="D318" s="281" t="s">
        <v>8315</v>
      </c>
      <c r="E318" s="279">
        <v>512958</v>
      </c>
      <c r="F318" s="393"/>
      <c r="G318" s="394"/>
      <c r="H318" s="395"/>
      <c r="I318" s="395"/>
      <c r="J318" s="280"/>
    </row>
    <row r="319" spans="1:10" ht="36">
      <c r="A319" s="396" t="s">
        <v>8316</v>
      </c>
      <c r="B319" s="394" t="s">
        <v>8135</v>
      </c>
      <c r="C319" s="394" t="s">
        <v>7302</v>
      </c>
      <c r="D319" s="281" t="s">
        <v>8315</v>
      </c>
      <c r="E319" s="279">
        <v>467161</v>
      </c>
      <c r="F319" s="393"/>
      <c r="G319" s="394"/>
      <c r="H319" s="395"/>
      <c r="I319" s="395"/>
      <c r="J319" s="280"/>
    </row>
    <row r="320" spans="1:10" ht="24">
      <c r="A320" s="396" t="s">
        <v>8250</v>
      </c>
      <c r="B320" s="394" t="s">
        <v>8135</v>
      </c>
      <c r="C320" s="394" t="s">
        <v>7302</v>
      </c>
      <c r="D320" s="394" t="s">
        <v>8315</v>
      </c>
      <c r="E320" s="279">
        <v>5171407.6399999997</v>
      </c>
      <c r="F320" s="393"/>
      <c r="G320" s="394"/>
      <c r="H320" s="395"/>
      <c r="I320" s="395"/>
      <c r="J320" s="280"/>
    </row>
    <row r="321" spans="1:10" ht="48">
      <c r="A321" s="396" t="s">
        <v>8317</v>
      </c>
      <c r="B321" s="394" t="s">
        <v>8135</v>
      </c>
      <c r="C321" s="394" t="s">
        <v>7302</v>
      </c>
      <c r="D321" s="281" t="s">
        <v>8315</v>
      </c>
      <c r="E321" s="279">
        <v>1922364.08</v>
      </c>
      <c r="F321" s="393"/>
      <c r="G321" s="394"/>
      <c r="H321" s="395"/>
      <c r="I321" s="395"/>
      <c r="J321" s="280"/>
    </row>
    <row r="322" spans="1:10" ht="24">
      <c r="A322" s="396" t="s">
        <v>8254</v>
      </c>
      <c r="B322" s="394" t="s">
        <v>8135</v>
      </c>
      <c r="C322" s="394" t="s">
        <v>7302</v>
      </c>
      <c r="D322" s="281" t="s">
        <v>8315</v>
      </c>
      <c r="E322" s="279">
        <v>600000</v>
      </c>
      <c r="F322" s="393"/>
      <c r="G322" s="394"/>
      <c r="H322" s="395"/>
      <c r="I322" s="395"/>
      <c r="J322" s="280"/>
    </row>
    <row r="323" spans="1:10" ht="24">
      <c r="A323" s="396" t="s">
        <v>8255</v>
      </c>
      <c r="B323" s="394" t="s">
        <v>8256</v>
      </c>
      <c r="C323" s="394" t="s">
        <v>7302</v>
      </c>
      <c r="D323" s="281" t="s">
        <v>8315</v>
      </c>
      <c r="E323" s="279">
        <v>943662.14</v>
      </c>
      <c r="F323" s="393"/>
      <c r="G323" s="394"/>
      <c r="H323" s="395"/>
      <c r="I323" s="395"/>
      <c r="J323" s="280"/>
    </row>
    <row r="324" spans="1:10" ht="36">
      <c r="A324" s="396" t="s">
        <v>8318</v>
      </c>
      <c r="B324" s="394" t="s">
        <v>8135</v>
      </c>
      <c r="C324" s="394" t="s">
        <v>7302</v>
      </c>
      <c r="D324" s="394" t="s">
        <v>8315</v>
      </c>
      <c r="E324" s="279">
        <v>431750</v>
      </c>
      <c r="F324" s="393"/>
      <c r="G324" s="394"/>
      <c r="H324" s="395"/>
      <c r="I324" s="395"/>
      <c r="J324" s="280"/>
    </row>
    <row r="325" spans="1:10" ht="36">
      <c r="A325" s="396" t="s">
        <v>8258</v>
      </c>
      <c r="B325" s="394" t="s">
        <v>8135</v>
      </c>
      <c r="C325" s="394" t="s">
        <v>7302</v>
      </c>
      <c r="D325" s="281" t="s">
        <v>8315</v>
      </c>
      <c r="E325" s="279">
        <v>2422601.4</v>
      </c>
      <c r="F325" s="393"/>
      <c r="G325" s="394"/>
      <c r="H325" s="395"/>
      <c r="I325" s="395"/>
      <c r="J325" s="280"/>
    </row>
    <row r="326" spans="1:10" ht="36">
      <c r="A326" s="396" t="s">
        <v>8166</v>
      </c>
      <c r="B326" s="394" t="s">
        <v>8135</v>
      </c>
      <c r="C326" s="394" t="s">
        <v>7302</v>
      </c>
      <c r="D326" s="281" t="s">
        <v>8315</v>
      </c>
      <c r="E326" s="279">
        <v>1275000</v>
      </c>
      <c r="F326" s="393"/>
      <c r="G326" s="394"/>
      <c r="H326" s="395"/>
      <c r="I326" s="395"/>
      <c r="J326" s="280"/>
    </row>
    <row r="327" spans="1:10" ht="60">
      <c r="A327" s="396" t="s">
        <v>8261</v>
      </c>
      <c r="B327" s="394" t="s">
        <v>8256</v>
      </c>
      <c r="C327" s="394" t="s">
        <v>7302</v>
      </c>
      <c r="D327" s="281" t="s">
        <v>8315</v>
      </c>
      <c r="E327" s="279">
        <v>761000</v>
      </c>
      <c r="F327" s="393"/>
      <c r="G327" s="394"/>
      <c r="H327" s="395"/>
      <c r="I327" s="395"/>
      <c r="J327" s="280"/>
    </row>
    <row r="328" spans="1:10" ht="36">
      <c r="A328" s="396" t="s">
        <v>8159</v>
      </c>
      <c r="B328" s="394" t="s">
        <v>8135</v>
      </c>
      <c r="C328" s="394" t="s">
        <v>7302</v>
      </c>
      <c r="D328" s="394" t="s">
        <v>8315</v>
      </c>
      <c r="E328" s="279">
        <v>720000</v>
      </c>
      <c r="F328" s="393"/>
      <c r="G328" s="394"/>
      <c r="H328" s="395"/>
      <c r="I328" s="395"/>
      <c r="J328" s="280"/>
    </row>
    <row r="329" spans="1:10" ht="24">
      <c r="A329" s="396" t="s">
        <v>8263</v>
      </c>
      <c r="B329" s="394" t="s">
        <v>8135</v>
      </c>
      <c r="C329" s="394" t="s">
        <v>7302</v>
      </c>
      <c r="D329" s="281" t="s">
        <v>8315</v>
      </c>
      <c r="E329" s="279">
        <v>550000</v>
      </c>
      <c r="F329" s="393"/>
      <c r="G329" s="394"/>
      <c r="H329" s="395"/>
      <c r="I329" s="395"/>
      <c r="J329" s="280"/>
    </row>
    <row r="330" spans="1:10" ht="36">
      <c r="A330" s="396" t="s">
        <v>8264</v>
      </c>
      <c r="B330" s="394" t="s">
        <v>8135</v>
      </c>
      <c r="C330" s="394" t="s">
        <v>7302</v>
      </c>
      <c r="D330" s="281" t="s">
        <v>8315</v>
      </c>
      <c r="E330" s="279">
        <v>1200000</v>
      </c>
      <c r="F330" s="393"/>
      <c r="G330" s="394"/>
      <c r="H330" s="395"/>
      <c r="I330" s="395"/>
      <c r="J330" s="280"/>
    </row>
    <row r="331" spans="1:10" ht="36">
      <c r="A331" s="396" t="s">
        <v>8265</v>
      </c>
      <c r="B331" s="394" t="s">
        <v>8135</v>
      </c>
      <c r="C331" s="394" t="s">
        <v>7302</v>
      </c>
      <c r="D331" s="281" t="s">
        <v>8315</v>
      </c>
      <c r="E331" s="279">
        <v>400000</v>
      </c>
      <c r="F331" s="393"/>
      <c r="G331" s="394"/>
      <c r="H331" s="395"/>
      <c r="I331" s="395"/>
      <c r="J331" s="280"/>
    </row>
    <row r="332" spans="1:10" ht="36">
      <c r="A332" s="396" t="s">
        <v>8266</v>
      </c>
      <c r="B332" s="394" t="s">
        <v>8256</v>
      </c>
      <c r="C332" s="394" t="s">
        <v>7302</v>
      </c>
      <c r="D332" s="394" t="s">
        <v>8315</v>
      </c>
      <c r="E332" s="279">
        <v>5384000</v>
      </c>
      <c r="F332" s="393"/>
      <c r="G332" s="394"/>
      <c r="H332" s="395"/>
      <c r="I332" s="395"/>
      <c r="J332" s="280"/>
    </row>
    <row r="333" spans="1:10" ht="24">
      <c r="A333" s="396" t="s">
        <v>8319</v>
      </c>
      <c r="B333" s="394" t="s">
        <v>8256</v>
      </c>
      <c r="C333" s="394" t="s">
        <v>7302</v>
      </c>
      <c r="D333" s="281" t="s">
        <v>8315</v>
      </c>
      <c r="E333" s="279">
        <v>2102401.9339999999</v>
      </c>
      <c r="F333" s="393"/>
      <c r="G333" s="394"/>
      <c r="H333" s="395"/>
      <c r="I333" s="395"/>
      <c r="J333" s="280"/>
    </row>
    <row r="334" spans="1:10" ht="24">
      <c r="A334" s="396" t="s">
        <v>8268</v>
      </c>
      <c r="B334" s="394" t="s">
        <v>8256</v>
      </c>
      <c r="C334" s="394" t="s">
        <v>7302</v>
      </c>
      <c r="D334" s="281" t="s">
        <v>8315</v>
      </c>
      <c r="E334" s="279">
        <v>580770.15</v>
      </c>
      <c r="F334" s="393"/>
      <c r="G334" s="394"/>
      <c r="H334" s="395"/>
      <c r="I334" s="395"/>
      <c r="J334" s="280"/>
    </row>
    <row r="335" spans="1:10" ht="36">
      <c r="A335" s="396" t="s">
        <v>8320</v>
      </c>
      <c r="B335" s="394" t="s">
        <v>8256</v>
      </c>
      <c r="C335" s="394" t="s">
        <v>7302</v>
      </c>
      <c r="D335" s="281" t="s">
        <v>8315</v>
      </c>
      <c r="E335" s="279">
        <v>550000</v>
      </c>
      <c r="F335" s="393"/>
      <c r="G335" s="394"/>
      <c r="H335" s="395"/>
      <c r="I335" s="395"/>
      <c r="J335" s="280"/>
    </row>
    <row r="336" spans="1:10" ht="24">
      <c r="A336" s="396" t="s">
        <v>8271</v>
      </c>
      <c r="B336" s="394" t="s">
        <v>8272</v>
      </c>
      <c r="C336" s="394" t="s">
        <v>7302</v>
      </c>
      <c r="D336" s="394" t="s">
        <v>8315</v>
      </c>
      <c r="E336" s="279">
        <v>483267.4</v>
      </c>
      <c r="F336" s="393"/>
      <c r="G336" s="394"/>
      <c r="H336" s="395"/>
      <c r="I336" s="395"/>
      <c r="J336" s="280"/>
    </row>
    <row r="337" spans="1:10" ht="24">
      <c r="A337" s="396" t="s">
        <v>8277</v>
      </c>
      <c r="B337" s="394" t="s">
        <v>8272</v>
      </c>
      <c r="C337" s="394" t="s">
        <v>7302</v>
      </c>
      <c r="D337" s="281" t="s">
        <v>8315</v>
      </c>
      <c r="E337" s="279">
        <v>1583795</v>
      </c>
      <c r="F337" s="393"/>
      <c r="G337" s="394"/>
      <c r="H337" s="395"/>
      <c r="I337" s="395"/>
      <c r="J337" s="280"/>
    </row>
    <row r="338" spans="1:10" ht="36">
      <c r="A338" s="396" t="s">
        <v>8278</v>
      </c>
      <c r="B338" s="394" t="s">
        <v>8272</v>
      </c>
      <c r="C338" s="394" t="s">
        <v>7302</v>
      </c>
      <c r="D338" s="281" t="s">
        <v>8315</v>
      </c>
      <c r="E338" s="279">
        <v>1123360</v>
      </c>
      <c r="F338" s="393"/>
      <c r="G338" s="394"/>
      <c r="H338" s="395"/>
      <c r="I338" s="395"/>
      <c r="J338" s="280"/>
    </row>
    <row r="339" spans="1:10" ht="36">
      <c r="A339" s="396" t="s">
        <v>8280</v>
      </c>
      <c r="B339" s="394" t="s">
        <v>8256</v>
      </c>
      <c r="C339" s="394" t="s">
        <v>7302</v>
      </c>
      <c r="D339" s="281" t="s">
        <v>8315</v>
      </c>
      <c r="E339" s="279">
        <v>1162864.46</v>
      </c>
      <c r="F339" s="393"/>
      <c r="G339" s="394"/>
      <c r="H339" s="395"/>
      <c r="I339" s="395"/>
      <c r="J339" s="280"/>
    </row>
    <row r="340" spans="1:10" ht="60">
      <c r="A340" s="396" t="s">
        <v>8282</v>
      </c>
      <c r="B340" s="394" t="s">
        <v>8272</v>
      </c>
      <c r="C340" s="394" t="s">
        <v>7302</v>
      </c>
      <c r="D340" s="394" t="s">
        <v>8315</v>
      </c>
      <c r="E340" s="279">
        <v>1000000</v>
      </c>
      <c r="F340" s="393"/>
      <c r="G340" s="394"/>
      <c r="H340" s="395"/>
      <c r="I340" s="395"/>
      <c r="J340" s="280"/>
    </row>
    <row r="341" spans="1:10" ht="48">
      <c r="A341" s="396" t="s">
        <v>8285</v>
      </c>
      <c r="B341" s="394" t="s">
        <v>8256</v>
      </c>
      <c r="C341" s="394" t="s">
        <v>7302</v>
      </c>
      <c r="D341" s="281" t="s">
        <v>8315</v>
      </c>
      <c r="E341" s="279">
        <v>900000</v>
      </c>
      <c r="F341" s="393"/>
      <c r="G341" s="394"/>
      <c r="H341" s="395"/>
      <c r="I341" s="395"/>
      <c r="J341" s="280"/>
    </row>
    <row r="342" spans="1:10" ht="36">
      <c r="A342" s="396" t="s">
        <v>8287</v>
      </c>
      <c r="B342" s="394" t="s">
        <v>8256</v>
      </c>
      <c r="C342" s="394" t="s">
        <v>7302</v>
      </c>
      <c r="D342" s="281" t="s">
        <v>8315</v>
      </c>
      <c r="E342" s="279">
        <v>560653.75</v>
      </c>
      <c r="F342" s="393"/>
      <c r="G342" s="394"/>
      <c r="H342" s="395"/>
      <c r="I342" s="395"/>
      <c r="J342" s="280"/>
    </row>
    <row r="343" spans="1:10" ht="48">
      <c r="A343" s="396" t="s">
        <v>8289</v>
      </c>
      <c r="B343" s="394" t="s">
        <v>8272</v>
      </c>
      <c r="C343" s="394" t="s">
        <v>7302</v>
      </c>
      <c r="D343" s="281" t="s">
        <v>8315</v>
      </c>
      <c r="E343" s="279">
        <v>4836803.5</v>
      </c>
      <c r="F343" s="393"/>
      <c r="G343" s="394"/>
      <c r="H343" s="395"/>
      <c r="I343" s="395"/>
      <c r="J343" s="280"/>
    </row>
    <row r="344" spans="1:10" ht="36">
      <c r="A344" s="396" t="s">
        <v>8290</v>
      </c>
      <c r="B344" s="394" t="s">
        <v>8272</v>
      </c>
      <c r="C344" s="394" t="s">
        <v>7302</v>
      </c>
      <c r="D344" s="394" t="s">
        <v>8315</v>
      </c>
      <c r="E344" s="279">
        <v>590944.07999999996</v>
      </c>
      <c r="F344" s="393"/>
      <c r="G344" s="394"/>
      <c r="H344" s="395"/>
      <c r="I344" s="395"/>
      <c r="J344" s="280"/>
    </row>
    <row r="345" spans="1:10" ht="36">
      <c r="A345" s="396" t="s">
        <v>8297</v>
      </c>
      <c r="B345" s="394" t="s">
        <v>8272</v>
      </c>
      <c r="C345" s="394" t="s">
        <v>7302</v>
      </c>
      <c r="D345" s="281" t="s">
        <v>8315</v>
      </c>
      <c r="E345" s="279">
        <v>1092400</v>
      </c>
      <c r="F345" s="393"/>
      <c r="G345" s="394"/>
      <c r="H345" s="395"/>
      <c r="I345" s="395"/>
      <c r="J345" s="280"/>
    </row>
    <row r="346" spans="1:10" ht="36">
      <c r="A346" s="396" t="s">
        <v>8299</v>
      </c>
      <c r="B346" s="394" t="s">
        <v>8256</v>
      </c>
      <c r="C346" s="394" t="s">
        <v>7302</v>
      </c>
      <c r="D346" s="281" t="s">
        <v>8315</v>
      </c>
      <c r="E346" s="279">
        <v>500000</v>
      </c>
      <c r="F346" s="393"/>
      <c r="G346" s="394"/>
      <c r="H346" s="395"/>
      <c r="I346" s="395"/>
      <c r="J346" s="280"/>
    </row>
    <row r="347" spans="1:10" ht="48">
      <c r="A347" s="396" t="s">
        <v>8301</v>
      </c>
      <c r="B347" s="394" t="s">
        <v>8256</v>
      </c>
      <c r="C347" s="394" t="s">
        <v>7302</v>
      </c>
      <c r="D347" s="281" t="s">
        <v>8315</v>
      </c>
      <c r="E347" s="279">
        <v>4547630.41</v>
      </c>
      <c r="F347" s="393"/>
      <c r="G347" s="394"/>
      <c r="H347" s="395"/>
      <c r="I347" s="395"/>
      <c r="J347" s="280"/>
    </row>
    <row r="348" spans="1:10" ht="36">
      <c r="A348" s="396" t="s">
        <v>8302</v>
      </c>
      <c r="B348" s="394" t="s">
        <v>8256</v>
      </c>
      <c r="C348" s="394" t="s">
        <v>7302</v>
      </c>
      <c r="D348" s="394" t="s">
        <v>8315</v>
      </c>
      <c r="E348" s="279">
        <v>1998009.98</v>
      </c>
      <c r="F348" s="393"/>
      <c r="G348" s="394"/>
      <c r="H348" s="395"/>
      <c r="I348" s="395"/>
      <c r="J348" s="280"/>
    </row>
    <row r="349" spans="1:10" ht="36">
      <c r="A349" s="396" t="s">
        <v>8303</v>
      </c>
      <c r="B349" s="394" t="s">
        <v>8272</v>
      </c>
      <c r="C349" s="394" t="s">
        <v>7302</v>
      </c>
      <c r="D349" s="281" t="s">
        <v>8315</v>
      </c>
      <c r="E349" s="279">
        <v>6908210</v>
      </c>
      <c r="F349" s="393"/>
      <c r="G349" s="394"/>
      <c r="H349" s="395"/>
      <c r="I349" s="395"/>
      <c r="J349" s="280"/>
    </row>
    <row r="350" spans="1:10" ht="36">
      <c r="A350" s="396" t="s">
        <v>8304</v>
      </c>
      <c r="B350" s="394" t="s">
        <v>8272</v>
      </c>
      <c r="C350" s="394" t="s">
        <v>7302</v>
      </c>
      <c r="D350" s="281" t="s">
        <v>8315</v>
      </c>
      <c r="E350" s="279">
        <v>2504942</v>
      </c>
      <c r="F350" s="393"/>
      <c r="G350" s="394"/>
      <c r="H350" s="395"/>
      <c r="I350" s="395"/>
      <c r="J350" s="280"/>
    </row>
    <row r="351" spans="1:10" ht="48">
      <c r="A351" s="396" t="s">
        <v>8305</v>
      </c>
      <c r="B351" s="394" t="s">
        <v>8272</v>
      </c>
      <c r="C351" s="394" t="s">
        <v>7302</v>
      </c>
      <c r="D351" s="281" t="s">
        <v>8315</v>
      </c>
      <c r="E351" s="279">
        <v>1111624.3600000001</v>
      </c>
      <c r="F351" s="393"/>
      <c r="G351" s="394"/>
      <c r="H351" s="395"/>
      <c r="I351" s="395"/>
      <c r="J351" s="280"/>
    </row>
    <row r="352" spans="1:10" ht="36">
      <c r="A352" s="396" t="s">
        <v>8310</v>
      </c>
      <c r="B352" s="394" t="s">
        <v>8256</v>
      </c>
      <c r="C352" s="394" t="s">
        <v>7302</v>
      </c>
      <c r="D352" s="394" t="s">
        <v>8315</v>
      </c>
      <c r="E352" s="279">
        <v>1668375</v>
      </c>
      <c r="F352" s="393"/>
      <c r="G352" s="394"/>
      <c r="H352" s="395"/>
      <c r="I352" s="395"/>
      <c r="J352" s="280"/>
    </row>
    <row r="353" spans="1:10" ht="36">
      <c r="A353" s="396" t="s">
        <v>8311</v>
      </c>
      <c r="B353" s="394" t="s">
        <v>8256</v>
      </c>
      <c r="C353" s="394" t="s">
        <v>7302</v>
      </c>
      <c r="D353" s="281" t="s">
        <v>8315</v>
      </c>
      <c r="E353" s="279">
        <v>1705673.95</v>
      </c>
      <c r="F353" s="393"/>
      <c r="G353" s="394"/>
      <c r="H353" s="395"/>
      <c r="I353" s="395"/>
      <c r="J353" s="280"/>
    </row>
    <row r="354" spans="1:10" ht="24">
      <c r="A354" s="396" t="s">
        <v>8321</v>
      </c>
      <c r="B354" s="394" t="s">
        <v>8210</v>
      </c>
      <c r="C354" s="394" t="s">
        <v>7302</v>
      </c>
      <c r="D354" s="281" t="s">
        <v>8315</v>
      </c>
      <c r="E354" s="279">
        <v>293209.77</v>
      </c>
      <c r="F354" s="393"/>
      <c r="G354" s="394"/>
      <c r="H354" s="395"/>
      <c r="I354" s="395"/>
      <c r="J354" s="280"/>
    </row>
    <row r="355" spans="1:10" ht="36">
      <c r="A355" s="396" t="s">
        <v>8322</v>
      </c>
      <c r="B355" s="394" t="s">
        <v>8210</v>
      </c>
      <c r="C355" s="394" t="s">
        <v>7302</v>
      </c>
      <c r="D355" s="281" t="s">
        <v>8315</v>
      </c>
      <c r="E355" s="279">
        <v>1004737.5</v>
      </c>
      <c r="F355" s="393"/>
      <c r="G355" s="394"/>
      <c r="H355" s="395"/>
      <c r="I355" s="395"/>
      <c r="J355" s="280"/>
    </row>
    <row r="356" spans="1:10" ht="36">
      <c r="A356" s="396" t="s">
        <v>8323</v>
      </c>
      <c r="B356" s="394" t="s">
        <v>8274</v>
      </c>
      <c r="C356" s="394" t="s">
        <v>7302</v>
      </c>
      <c r="D356" s="394" t="s">
        <v>8315</v>
      </c>
      <c r="E356" s="279">
        <v>370600</v>
      </c>
      <c r="F356" s="393"/>
      <c r="G356" s="394"/>
      <c r="H356" s="395"/>
      <c r="I356" s="395"/>
      <c r="J356" s="280"/>
    </row>
    <row r="357" spans="1:10" ht="36">
      <c r="A357" s="396" t="s">
        <v>8324</v>
      </c>
      <c r="B357" s="394" t="s">
        <v>8274</v>
      </c>
      <c r="C357" s="394" t="s">
        <v>7302</v>
      </c>
      <c r="D357" s="281" t="s">
        <v>8315</v>
      </c>
      <c r="E357" s="279">
        <v>705105.43</v>
      </c>
      <c r="F357" s="393"/>
      <c r="G357" s="394"/>
      <c r="H357" s="395"/>
      <c r="I357" s="395"/>
      <c r="J357" s="280"/>
    </row>
    <row r="358" spans="1:10" ht="24">
      <c r="A358" s="396" t="s">
        <v>8325</v>
      </c>
      <c r="B358" s="394" t="s">
        <v>8274</v>
      </c>
      <c r="C358" s="394" t="s">
        <v>7302</v>
      </c>
      <c r="D358" s="281" t="s">
        <v>8315</v>
      </c>
      <c r="E358" s="279">
        <v>585000</v>
      </c>
      <c r="F358" s="393"/>
      <c r="G358" s="394"/>
      <c r="H358" s="395"/>
      <c r="I358" s="395"/>
      <c r="J358" s="280"/>
    </row>
    <row r="359" spans="1:10" ht="48">
      <c r="A359" s="396" t="s">
        <v>8326</v>
      </c>
      <c r="B359" s="394" t="s">
        <v>8274</v>
      </c>
      <c r="C359" s="394" t="s">
        <v>7302</v>
      </c>
      <c r="D359" s="281" t="s">
        <v>8315</v>
      </c>
      <c r="E359" s="279">
        <v>284999.93399999995</v>
      </c>
      <c r="F359" s="393"/>
      <c r="G359" s="394"/>
      <c r="H359" s="395"/>
      <c r="I359" s="395"/>
      <c r="J359" s="280"/>
    </row>
    <row r="360" spans="1:10" ht="48">
      <c r="A360" s="396" t="s">
        <v>8327</v>
      </c>
      <c r="B360" s="394" t="s">
        <v>8274</v>
      </c>
      <c r="C360" s="394" t="s">
        <v>7302</v>
      </c>
      <c r="D360" s="394" t="s">
        <v>8315</v>
      </c>
      <c r="E360" s="279">
        <v>385706.02999999997</v>
      </c>
      <c r="F360" s="393"/>
      <c r="G360" s="394"/>
      <c r="H360" s="395"/>
      <c r="I360" s="395"/>
      <c r="J360" s="280"/>
    </row>
    <row r="361" spans="1:10" ht="36">
      <c r="A361" s="396" t="s">
        <v>8328</v>
      </c>
      <c r="B361" s="394" t="s">
        <v>8274</v>
      </c>
      <c r="C361" s="394" t="s">
        <v>7302</v>
      </c>
      <c r="D361" s="281" t="s">
        <v>8315</v>
      </c>
      <c r="E361" s="279">
        <v>99999.983999999997</v>
      </c>
      <c r="F361" s="393"/>
      <c r="G361" s="394"/>
      <c r="H361" s="395"/>
      <c r="I361" s="395"/>
      <c r="J361" s="280"/>
    </row>
    <row r="362" spans="1:10" ht="24">
      <c r="A362" s="396" t="s">
        <v>8329</v>
      </c>
      <c r="B362" s="394" t="s">
        <v>8274</v>
      </c>
      <c r="C362" s="394" t="s">
        <v>7302</v>
      </c>
      <c r="D362" s="281" t="s">
        <v>8315</v>
      </c>
      <c r="E362" s="279">
        <v>537999.98600000003</v>
      </c>
      <c r="F362" s="393"/>
      <c r="G362" s="394"/>
      <c r="H362" s="395"/>
      <c r="I362" s="395"/>
      <c r="J362" s="280"/>
    </row>
    <row r="363" spans="1:10" ht="24">
      <c r="A363" s="396" t="s">
        <v>8330</v>
      </c>
      <c r="B363" s="394" t="s">
        <v>8274</v>
      </c>
      <c r="C363" s="394" t="s">
        <v>7302</v>
      </c>
      <c r="D363" s="281" t="s">
        <v>8315</v>
      </c>
      <c r="E363" s="279">
        <v>388999.984</v>
      </c>
      <c r="F363" s="393"/>
      <c r="G363" s="394"/>
      <c r="H363" s="395"/>
      <c r="I363" s="395"/>
      <c r="J363" s="280"/>
    </row>
    <row r="364" spans="1:10" ht="36">
      <c r="A364" s="396" t="s">
        <v>8331</v>
      </c>
      <c r="B364" s="394" t="s">
        <v>8274</v>
      </c>
      <c r="C364" s="394" t="s">
        <v>7302</v>
      </c>
      <c r="D364" s="394" t="s">
        <v>8315</v>
      </c>
      <c r="E364" s="279">
        <v>136905.48799999998</v>
      </c>
      <c r="F364" s="393"/>
      <c r="G364" s="394"/>
      <c r="H364" s="395"/>
      <c r="I364" s="395"/>
      <c r="J364" s="280"/>
    </row>
    <row r="365" spans="1:10" ht="36">
      <c r="A365" s="396" t="s">
        <v>8332</v>
      </c>
      <c r="B365" s="394" t="s">
        <v>8274</v>
      </c>
      <c r="C365" s="394" t="s">
        <v>7302</v>
      </c>
      <c r="D365" s="281" t="s">
        <v>8315</v>
      </c>
      <c r="E365" s="279">
        <v>334999.99400000001</v>
      </c>
      <c r="F365" s="393"/>
      <c r="G365" s="394"/>
      <c r="H365" s="395"/>
      <c r="I365" s="395"/>
      <c r="J365" s="280"/>
    </row>
    <row r="366" spans="1:10" ht="36">
      <c r="A366" s="396" t="s">
        <v>8333</v>
      </c>
      <c r="B366" s="394" t="s">
        <v>8274</v>
      </c>
      <c r="C366" s="394" t="s">
        <v>7302</v>
      </c>
      <c r="D366" s="281" t="s">
        <v>8315</v>
      </c>
      <c r="E366" s="279">
        <v>1513545.8359999999</v>
      </c>
      <c r="F366" s="393"/>
      <c r="G366" s="394"/>
      <c r="H366" s="395"/>
      <c r="I366" s="395"/>
      <c r="J366" s="280"/>
    </row>
    <row r="367" spans="1:10" ht="24">
      <c r="A367" s="396" t="s">
        <v>8273</v>
      </c>
      <c r="B367" s="394" t="s">
        <v>8274</v>
      </c>
      <c r="C367" s="394" t="s">
        <v>7302</v>
      </c>
      <c r="D367" s="281" t="s">
        <v>8315</v>
      </c>
      <c r="E367" s="279">
        <v>2720000</v>
      </c>
      <c r="F367" s="393"/>
      <c r="G367" s="394"/>
      <c r="H367" s="395"/>
      <c r="I367" s="395"/>
      <c r="J367" s="280"/>
    </row>
    <row r="368" spans="1:10" ht="36">
      <c r="A368" s="396" t="s">
        <v>8334</v>
      </c>
      <c r="B368" s="394" t="s">
        <v>8274</v>
      </c>
      <c r="C368" s="394" t="s">
        <v>7302</v>
      </c>
      <c r="D368" s="394" t="s">
        <v>8315</v>
      </c>
      <c r="E368" s="279">
        <v>371543.60200000001</v>
      </c>
      <c r="F368" s="393"/>
      <c r="G368" s="394"/>
      <c r="H368" s="395"/>
      <c r="I368" s="395"/>
      <c r="J368" s="280"/>
    </row>
    <row r="369" spans="1:10" ht="36">
      <c r="A369" s="396" t="s">
        <v>8335</v>
      </c>
      <c r="B369" s="394" t="s">
        <v>8274</v>
      </c>
      <c r="C369" s="394" t="s">
        <v>7302</v>
      </c>
      <c r="D369" s="281" t="s">
        <v>8315</v>
      </c>
      <c r="E369" s="279">
        <v>260769.052</v>
      </c>
      <c r="F369" s="393"/>
      <c r="G369" s="394"/>
      <c r="H369" s="395"/>
      <c r="I369" s="395"/>
      <c r="J369" s="280"/>
    </row>
    <row r="370" spans="1:10" ht="24">
      <c r="A370" s="396" t="s">
        <v>8276</v>
      </c>
      <c r="B370" s="394" t="s">
        <v>8274</v>
      </c>
      <c r="C370" s="394" t="s">
        <v>7302</v>
      </c>
      <c r="D370" s="281" t="s">
        <v>8315</v>
      </c>
      <c r="E370" s="279">
        <v>2038176</v>
      </c>
      <c r="F370" s="393"/>
      <c r="G370" s="394"/>
      <c r="H370" s="395"/>
      <c r="I370" s="395"/>
      <c r="J370" s="280"/>
    </row>
    <row r="371" spans="1:10" ht="24">
      <c r="A371" s="396" t="s">
        <v>8336</v>
      </c>
      <c r="B371" s="394" t="s">
        <v>8274</v>
      </c>
      <c r="C371" s="394" t="s">
        <v>7302</v>
      </c>
      <c r="D371" s="281" t="s">
        <v>8315</v>
      </c>
      <c r="E371" s="279">
        <v>1284899.9839999999</v>
      </c>
      <c r="F371" s="393"/>
      <c r="G371" s="394"/>
      <c r="H371" s="395"/>
      <c r="I371" s="395"/>
      <c r="J371" s="280"/>
    </row>
    <row r="372" spans="1:10" ht="48">
      <c r="A372" s="396" t="s">
        <v>8337</v>
      </c>
      <c r="B372" s="394" t="s">
        <v>8274</v>
      </c>
      <c r="C372" s="394" t="s">
        <v>7302</v>
      </c>
      <c r="D372" s="394" t="s">
        <v>8315</v>
      </c>
      <c r="E372" s="279">
        <v>197999.986</v>
      </c>
      <c r="F372" s="393"/>
      <c r="G372" s="394"/>
      <c r="H372" s="395"/>
      <c r="I372" s="395"/>
      <c r="J372" s="280"/>
    </row>
    <row r="373" spans="1:10" ht="36">
      <c r="A373" s="396" t="s">
        <v>8338</v>
      </c>
      <c r="B373" s="394" t="s">
        <v>8274</v>
      </c>
      <c r="C373" s="394" t="s">
        <v>7302</v>
      </c>
      <c r="D373" s="281" t="s">
        <v>8315</v>
      </c>
      <c r="E373" s="279">
        <v>557388.41799999995</v>
      </c>
      <c r="F373" s="393"/>
      <c r="G373" s="394"/>
      <c r="H373" s="395"/>
      <c r="I373" s="395"/>
      <c r="J373" s="280"/>
    </row>
    <row r="374" spans="1:10" ht="36">
      <c r="A374" s="396" t="s">
        <v>8339</v>
      </c>
      <c r="B374" s="394" t="s">
        <v>8274</v>
      </c>
      <c r="C374" s="394" t="s">
        <v>7302</v>
      </c>
      <c r="D374" s="281" t="s">
        <v>8315</v>
      </c>
      <c r="E374" s="279">
        <v>1091019.676</v>
      </c>
      <c r="F374" s="393"/>
      <c r="G374" s="394"/>
      <c r="H374" s="395"/>
      <c r="I374" s="395"/>
      <c r="J374" s="280"/>
    </row>
    <row r="375" spans="1:10" ht="24">
      <c r="A375" s="396" t="s">
        <v>8340</v>
      </c>
      <c r="B375" s="394" t="s">
        <v>8274</v>
      </c>
      <c r="C375" s="394" t="s">
        <v>7302</v>
      </c>
      <c r="D375" s="281" t="s">
        <v>8315</v>
      </c>
      <c r="E375" s="279">
        <v>1285700.004</v>
      </c>
      <c r="F375" s="393"/>
      <c r="G375" s="394"/>
      <c r="H375" s="395"/>
      <c r="I375" s="395"/>
      <c r="J375" s="280"/>
    </row>
    <row r="376" spans="1:10" ht="36">
      <c r="A376" s="396" t="s">
        <v>8341</v>
      </c>
      <c r="B376" s="394" t="s">
        <v>8274</v>
      </c>
      <c r="C376" s="394" t="s">
        <v>7302</v>
      </c>
      <c r="D376" s="394" t="s">
        <v>8315</v>
      </c>
      <c r="E376" s="279">
        <v>100436</v>
      </c>
      <c r="F376" s="393"/>
      <c r="G376" s="394"/>
      <c r="H376" s="395"/>
      <c r="I376" s="395"/>
      <c r="J376" s="280"/>
    </row>
    <row r="377" spans="1:10" ht="36">
      <c r="A377" s="396" t="s">
        <v>8342</v>
      </c>
      <c r="B377" s="394" t="s">
        <v>8274</v>
      </c>
      <c r="C377" s="394" t="s">
        <v>7302</v>
      </c>
      <c r="D377" s="281" t="s">
        <v>8315</v>
      </c>
      <c r="E377" s="279">
        <v>1538576.5</v>
      </c>
      <c r="F377" s="393"/>
      <c r="G377" s="394"/>
      <c r="H377" s="395"/>
      <c r="I377" s="395"/>
      <c r="J377" s="280"/>
    </row>
    <row r="378" spans="1:10" ht="36">
      <c r="A378" s="396" t="s">
        <v>8343</v>
      </c>
      <c r="B378" s="394" t="s">
        <v>8274</v>
      </c>
      <c r="C378" s="394" t="s">
        <v>7302</v>
      </c>
      <c r="D378" s="281" t="s">
        <v>8315</v>
      </c>
      <c r="E378" s="279">
        <v>435999.98599999998</v>
      </c>
      <c r="F378" s="393"/>
      <c r="G378" s="394"/>
      <c r="H378" s="395"/>
      <c r="I378" s="395"/>
      <c r="J378" s="280"/>
    </row>
    <row r="379" spans="1:10" ht="24">
      <c r="A379" s="396" t="s">
        <v>8344</v>
      </c>
      <c r="B379" s="394" t="s">
        <v>8274</v>
      </c>
      <c r="C379" s="394" t="s">
        <v>7302</v>
      </c>
      <c r="D379" s="281" t="s">
        <v>8315</v>
      </c>
      <c r="E379" s="279">
        <v>102000</v>
      </c>
      <c r="F379" s="393"/>
      <c r="G379" s="394"/>
      <c r="H379" s="395"/>
      <c r="I379" s="395"/>
      <c r="J379" s="280"/>
    </row>
    <row r="380" spans="1:10" ht="36">
      <c r="A380" s="396" t="s">
        <v>8345</v>
      </c>
      <c r="B380" s="394" t="s">
        <v>8274</v>
      </c>
      <c r="C380" s="394" t="s">
        <v>7302</v>
      </c>
      <c r="D380" s="394" t="s">
        <v>8315</v>
      </c>
      <c r="E380" s="279">
        <v>226187.992</v>
      </c>
      <c r="F380" s="393"/>
      <c r="G380" s="394"/>
      <c r="H380" s="395"/>
      <c r="I380" s="395"/>
      <c r="J380" s="280"/>
    </row>
    <row r="381" spans="1:10" ht="36">
      <c r="A381" s="396" t="s">
        <v>8346</v>
      </c>
      <c r="B381" s="394" t="s">
        <v>8274</v>
      </c>
      <c r="C381" s="394" t="s">
        <v>7302</v>
      </c>
      <c r="D381" s="281" t="s">
        <v>8315</v>
      </c>
      <c r="E381" s="279">
        <v>497902.01799999992</v>
      </c>
      <c r="F381" s="393"/>
      <c r="G381" s="394"/>
      <c r="H381" s="395"/>
      <c r="I381" s="395"/>
      <c r="J381" s="280"/>
    </row>
    <row r="382" spans="1:10" ht="36">
      <c r="A382" s="396" t="s">
        <v>8284</v>
      </c>
      <c r="B382" s="394" t="s">
        <v>8274</v>
      </c>
      <c r="C382" s="394" t="s">
        <v>7302</v>
      </c>
      <c r="D382" s="281" t="s">
        <v>8315</v>
      </c>
      <c r="E382" s="279">
        <v>9241200</v>
      </c>
      <c r="F382" s="393"/>
      <c r="G382" s="394"/>
      <c r="H382" s="395"/>
      <c r="I382" s="395"/>
      <c r="J382" s="280"/>
    </row>
    <row r="383" spans="1:10" ht="36">
      <c r="A383" s="396" t="s">
        <v>8347</v>
      </c>
      <c r="B383" s="394" t="s">
        <v>8274</v>
      </c>
      <c r="C383" s="394" t="s">
        <v>7302</v>
      </c>
      <c r="D383" s="281" t="s">
        <v>8315</v>
      </c>
      <c r="E383" s="279">
        <v>385329.99</v>
      </c>
      <c r="F383" s="393"/>
      <c r="G383" s="394"/>
      <c r="H383" s="395"/>
      <c r="I383" s="395"/>
      <c r="J383" s="280"/>
    </row>
    <row r="384" spans="1:10" ht="36">
      <c r="A384" s="396" t="s">
        <v>8348</v>
      </c>
      <c r="B384" s="394" t="s">
        <v>8274</v>
      </c>
      <c r="C384" s="394" t="s">
        <v>7302</v>
      </c>
      <c r="D384" s="394" t="s">
        <v>8315</v>
      </c>
      <c r="E384" s="279">
        <v>224968.38</v>
      </c>
      <c r="F384" s="393"/>
      <c r="G384" s="394"/>
      <c r="H384" s="395"/>
      <c r="I384" s="395"/>
      <c r="J384" s="280"/>
    </row>
    <row r="385" spans="1:10" ht="24">
      <c r="A385" s="396" t="s">
        <v>8288</v>
      </c>
      <c r="B385" s="394" t="s">
        <v>8274</v>
      </c>
      <c r="C385" s="394" t="s">
        <v>7302</v>
      </c>
      <c r="D385" s="281" t="s">
        <v>8315</v>
      </c>
      <c r="E385" s="279">
        <v>2802114</v>
      </c>
      <c r="F385" s="393"/>
      <c r="G385" s="394"/>
      <c r="H385" s="395"/>
      <c r="I385" s="395"/>
      <c r="J385" s="280"/>
    </row>
    <row r="386" spans="1:10" ht="48">
      <c r="A386" s="396" t="s">
        <v>8349</v>
      </c>
      <c r="B386" s="394" t="s">
        <v>8274</v>
      </c>
      <c r="C386" s="394" t="s">
        <v>7302</v>
      </c>
      <c r="D386" s="281" t="s">
        <v>8315</v>
      </c>
      <c r="E386" s="279">
        <v>659799.99</v>
      </c>
      <c r="F386" s="393"/>
      <c r="G386" s="394"/>
      <c r="H386" s="395"/>
      <c r="I386" s="395"/>
      <c r="J386" s="280"/>
    </row>
    <row r="387" spans="1:10" ht="36">
      <c r="A387" s="396" t="s">
        <v>8350</v>
      </c>
      <c r="B387" s="394" t="s">
        <v>8274</v>
      </c>
      <c r="C387" s="394" t="s">
        <v>7302</v>
      </c>
      <c r="D387" s="281" t="s">
        <v>8315</v>
      </c>
      <c r="E387" s="279">
        <v>195000</v>
      </c>
      <c r="F387" s="393"/>
      <c r="G387" s="394"/>
      <c r="H387" s="395"/>
      <c r="I387" s="395"/>
      <c r="J387" s="280"/>
    </row>
    <row r="388" spans="1:10" ht="48">
      <c r="A388" s="396" t="s">
        <v>8351</v>
      </c>
      <c r="B388" s="394" t="s">
        <v>8274</v>
      </c>
      <c r="C388" s="394" t="s">
        <v>7302</v>
      </c>
      <c r="D388" s="394" t="s">
        <v>8315</v>
      </c>
      <c r="E388" s="279">
        <v>993199.98</v>
      </c>
      <c r="F388" s="393"/>
      <c r="G388" s="394"/>
      <c r="H388" s="395"/>
      <c r="I388" s="395"/>
      <c r="J388" s="280"/>
    </row>
    <row r="389" spans="1:10" ht="48">
      <c r="A389" s="396" t="s">
        <v>8352</v>
      </c>
      <c r="B389" s="394" t="s">
        <v>8274</v>
      </c>
      <c r="C389" s="394" t="s">
        <v>7302</v>
      </c>
      <c r="D389" s="281" t="s">
        <v>8315</v>
      </c>
      <c r="E389" s="279">
        <v>1139800.97</v>
      </c>
      <c r="F389" s="393"/>
      <c r="G389" s="394"/>
      <c r="H389" s="395"/>
      <c r="I389" s="395"/>
      <c r="J389" s="280"/>
    </row>
    <row r="390" spans="1:10" ht="60">
      <c r="A390" s="396" t="s">
        <v>8353</v>
      </c>
      <c r="B390" s="394" t="s">
        <v>8274</v>
      </c>
      <c r="C390" s="394" t="s">
        <v>7302</v>
      </c>
      <c r="D390" s="281" t="s">
        <v>8315</v>
      </c>
      <c r="E390" s="279">
        <v>1260754</v>
      </c>
      <c r="F390" s="393"/>
      <c r="G390" s="394"/>
      <c r="H390" s="395"/>
      <c r="I390" s="395"/>
      <c r="J390" s="280"/>
    </row>
    <row r="391" spans="1:10" ht="36">
      <c r="A391" s="396" t="s">
        <v>8354</v>
      </c>
      <c r="B391" s="394" t="s">
        <v>8274</v>
      </c>
      <c r="C391" s="394" t="s">
        <v>7302</v>
      </c>
      <c r="D391" s="281" t="s">
        <v>8315</v>
      </c>
      <c r="E391" s="279">
        <v>79999.960000000006</v>
      </c>
      <c r="F391" s="393"/>
      <c r="G391" s="394"/>
      <c r="H391" s="395"/>
      <c r="I391" s="395"/>
      <c r="J391" s="280"/>
    </row>
    <row r="392" spans="1:10" ht="36">
      <c r="A392" s="396" t="s">
        <v>8355</v>
      </c>
      <c r="B392" s="394" t="s">
        <v>8274</v>
      </c>
      <c r="C392" s="394" t="s">
        <v>7302</v>
      </c>
      <c r="D392" s="394" t="s">
        <v>8315</v>
      </c>
      <c r="E392" s="279">
        <v>733558.98</v>
      </c>
      <c r="F392" s="393"/>
      <c r="G392" s="394"/>
      <c r="H392" s="395"/>
      <c r="I392" s="395"/>
      <c r="J392" s="280"/>
    </row>
    <row r="393" spans="1:10" ht="48">
      <c r="A393" s="396" t="s">
        <v>8356</v>
      </c>
      <c r="B393" s="394" t="s">
        <v>8274</v>
      </c>
      <c r="C393" s="394" t="s">
        <v>7302</v>
      </c>
      <c r="D393" s="281" t="s">
        <v>8315</v>
      </c>
      <c r="E393" s="279">
        <v>171229</v>
      </c>
      <c r="F393" s="393"/>
      <c r="G393" s="394"/>
      <c r="H393" s="395"/>
      <c r="I393" s="395"/>
      <c r="J393" s="280"/>
    </row>
    <row r="394" spans="1:10" ht="36">
      <c r="A394" s="396" t="s">
        <v>8357</v>
      </c>
      <c r="B394" s="394" t="s">
        <v>8274</v>
      </c>
      <c r="C394" s="394" t="s">
        <v>7302</v>
      </c>
      <c r="D394" s="281" t="s">
        <v>8315</v>
      </c>
      <c r="E394" s="279">
        <v>748000</v>
      </c>
      <c r="F394" s="393"/>
      <c r="G394" s="394"/>
      <c r="H394" s="395"/>
      <c r="I394" s="395"/>
      <c r="J394" s="280"/>
    </row>
    <row r="395" spans="1:10" ht="36">
      <c r="A395" s="396" t="s">
        <v>8358</v>
      </c>
      <c r="B395" s="394" t="s">
        <v>8274</v>
      </c>
      <c r="C395" s="394" t="s">
        <v>7302</v>
      </c>
      <c r="D395" s="281" t="s">
        <v>8315</v>
      </c>
      <c r="E395" s="279">
        <v>1457766.7959999999</v>
      </c>
      <c r="F395" s="393"/>
      <c r="G395" s="394"/>
      <c r="H395" s="395"/>
      <c r="I395" s="395"/>
      <c r="J395" s="280"/>
    </row>
    <row r="396" spans="1:10" ht="48">
      <c r="A396" s="396" t="s">
        <v>8359</v>
      </c>
      <c r="B396" s="394" t="s">
        <v>8274</v>
      </c>
      <c r="C396" s="394" t="s">
        <v>7302</v>
      </c>
      <c r="D396" s="394" t="s">
        <v>8315</v>
      </c>
      <c r="E396" s="279">
        <v>104914.004</v>
      </c>
      <c r="F396" s="393"/>
      <c r="G396" s="394"/>
      <c r="H396" s="395"/>
      <c r="I396" s="395"/>
      <c r="J396" s="280"/>
    </row>
    <row r="397" spans="1:10" ht="24">
      <c r="A397" s="396" t="s">
        <v>8360</v>
      </c>
      <c r="B397" s="394" t="s">
        <v>8274</v>
      </c>
      <c r="C397" s="394" t="s">
        <v>7302</v>
      </c>
      <c r="D397" s="281" t="s">
        <v>8315</v>
      </c>
      <c r="E397" s="279">
        <v>155996.59</v>
      </c>
      <c r="F397" s="393"/>
      <c r="G397" s="394"/>
      <c r="H397" s="395"/>
      <c r="I397" s="395"/>
      <c r="J397" s="280"/>
    </row>
    <row r="398" spans="1:10" ht="36">
      <c r="A398" s="396" t="s">
        <v>8361</v>
      </c>
      <c r="B398" s="394" t="s">
        <v>8274</v>
      </c>
      <c r="C398" s="394" t="s">
        <v>7302</v>
      </c>
      <c r="D398" s="281" t="s">
        <v>8315</v>
      </c>
      <c r="E398" s="279">
        <v>196090.98799999998</v>
      </c>
      <c r="F398" s="393"/>
      <c r="G398" s="394"/>
      <c r="H398" s="395"/>
      <c r="I398" s="395"/>
      <c r="J398" s="280"/>
    </row>
    <row r="399" spans="1:10" ht="36">
      <c r="A399" s="396" t="s">
        <v>8362</v>
      </c>
      <c r="B399" s="394" t="s">
        <v>8274</v>
      </c>
      <c r="C399" s="394" t="s">
        <v>7302</v>
      </c>
      <c r="D399" s="281" t="s">
        <v>8315</v>
      </c>
      <c r="E399" s="279">
        <v>120000</v>
      </c>
      <c r="F399" s="393"/>
      <c r="G399" s="394"/>
      <c r="H399" s="395"/>
      <c r="I399" s="395"/>
      <c r="J399" s="280"/>
    </row>
    <row r="400" spans="1:10" ht="36">
      <c r="A400" s="396" t="s">
        <v>8363</v>
      </c>
      <c r="B400" s="394" t="s">
        <v>8274</v>
      </c>
      <c r="C400" s="394" t="s">
        <v>7302</v>
      </c>
      <c r="D400" s="394" t="s">
        <v>8315</v>
      </c>
      <c r="E400" s="279">
        <v>822154.98600000003</v>
      </c>
      <c r="F400" s="393"/>
      <c r="G400" s="394"/>
      <c r="H400" s="395"/>
      <c r="I400" s="395"/>
      <c r="J400" s="280"/>
    </row>
    <row r="401" spans="1:10" ht="36">
      <c r="A401" s="396" t="s">
        <v>8309</v>
      </c>
      <c r="B401" s="394" t="s">
        <v>8274</v>
      </c>
      <c r="C401" s="394" t="s">
        <v>7302</v>
      </c>
      <c r="D401" s="281" t="s">
        <v>8315</v>
      </c>
      <c r="E401" s="279">
        <v>1437360</v>
      </c>
      <c r="F401" s="393"/>
      <c r="G401" s="394"/>
      <c r="H401" s="395"/>
      <c r="I401" s="395"/>
      <c r="J401" s="280"/>
    </row>
    <row r="402" spans="1:10" ht="36">
      <c r="A402" s="396" t="s">
        <v>8364</v>
      </c>
      <c r="B402" s="394" t="s">
        <v>8274</v>
      </c>
      <c r="C402" s="394" t="s">
        <v>7302</v>
      </c>
      <c r="D402" s="281" t="s">
        <v>8315</v>
      </c>
      <c r="E402" s="279">
        <v>389999.99200000003</v>
      </c>
      <c r="F402" s="393"/>
      <c r="G402" s="394"/>
      <c r="H402" s="395"/>
      <c r="I402" s="395"/>
      <c r="J402" s="280"/>
    </row>
    <row r="403" spans="1:10" ht="36">
      <c r="A403" s="396" t="s">
        <v>8365</v>
      </c>
      <c r="B403" s="394" t="s">
        <v>8274</v>
      </c>
      <c r="C403" s="394" t="s">
        <v>7302</v>
      </c>
      <c r="D403" s="281" t="s">
        <v>8315</v>
      </c>
      <c r="E403" s="279">
        <v>210000.014</v>
      </c>
      <c r="F403" s="393"/>
      <c r="G403" s="394"/>
      <c r="H403" s="395"/>
      <c r="I403" s="395"/>
      <c r="J403" s="280"/>
    </row>
    <row r="404" spans="1:10" ht="48">
      <c r="A404" s="396" t="s">
        <v>8366</v>
      </c>
      <c r="B404" s="394" t="s">
        <v>8274</v>
      </c>
      <c r="C404" s="394" t="s">
        <v>7302</v>
      </c>
      <c r="D404" s="394" t="s">
        <v>8315</v>
      </c>
      <c r="E404" s="279">
        <v>510000</v>
      </c>
      <c r="F404" s="393"/>
      <c r="G404" s="394"/>
      <c r="H404" s="395"/>
      <c r="I404" s="395"/>
      <c r="J404" s="280"/>
    </row>
    <row r="405" spans="1:10" ht="36">
      <c r="A405" s="396" t="s">
        <v>8367</v>
      </c>
      <c r="B405" s="394" t="s">
        <v>8274</v>
      </c>
      <c r="C405" s="394" t="s">
        <v>7302</v>
      </c>
      <c r="D405" s="281" t="s">
        <v>8315</v>
      </c>
      <c r="E405" s="279">
        <v>389999.99200000003</v>
      </c>
      <c r="F405" s="393"/>
      <c r="G405" s="394"/>
      <c r="H405" s="395"/>
      <c r="I405" s="395"/>
      <c r="J405" s="280"/>
    </row>
    <row r="406" spans="1:10" ht="24">
      <c r="A406" s="396" t="s">
        <v>8368</v>
      </c>
      <c r="B406" s="394" t="s">
        <v>8369</v>
      </c>
      <c r="C406" s="394" t="s">
        <v>7302</v>
      </c>
      <c r="D406" s="281" t="s">
        <v>8315</v>
      </c>
      <c r="E406" s="279">
        <v>284122.56400000001</v>
      </c>
      <c r="F406" s="393"/>
      <c r="G406" s="394"/>
      <c r="H406" s="395"/>
      <c r="I406" s="395"/>
      <c r="J406" s="280"/>
    </row>
    <row r="407" spans="1:10" ht="24">
      <c r="A407" s="396" t="s">
        <v>8370</v>
      </c>
      <c r="B407" s="394" t="s">
        <v>8369</v>
      </c>
      <c r="C407" s="394" t="s">
        <v>7302</v>
      </c>
      <c r="D407" s="281" t="s">
        <v>8315</v>
      </c>
      <c r="E407" s="279">
        <v>85000</v>
      </c>
      <c r="F407" s="393"/>
      <c r="G407" s="394"/>
      <c r="H407" s="395"/>
      <c r="I407" s="395"/>
      <c r="J407" s="280"/>
    </row>
    <row r="408" spans="1:10" ht="36">
      <c r="A408" s="396" t="s">
        <v>8371</v>
      </c>
      <c r="B408" s="394" t="s">
        <v>8372</v>
      </c>
      <c r="C408" s="394" t="s">
        <v>7302</v>
      </c>
      <c r="D408" s="394" t="s">
        <v>8315</v>
      </c>
      <c r="E408" s="279">
        <v>29999.899999999998</v>
      </c>
      <c r="F408" s="393"/>
      <c r="G408" s="394"/>
      <c r="H408" s="395"/>
      <c r="I408" s="395"/>
      <c r="J408" s="280"/>
    </row>
    <row r="409" spans="1:10" ht="36.75" thickBot="1">
      <c r="A409" s="396" t="s">
        <v>8373</v>
      </c>
      <c r="B409" s="394" t="s">
        <v>8372</v>
      </c>
      <c r="C409" s="394" t="s">
        <v>7302</v>
      </c>
      <c r="D409" s="281" t="s">
        <v>8315</v>
      </c>
      <c r="E409" s="279">
        <v>234499.97200000001</v>
      </c>
      <c r="F409" s="393"/>
      <c r="G409" s="394"/>
      <c r="H409" s="395"/>
      <c r="I409" s="395"/>
      <c r="J409" s="280"/>
    </row>
    <row r="410" spans="1:10" ht="12.75" thickBot="1">
      <c r="A410" s="2051" t="s">
        <v>8374</v>
      </c>
      <c r="B410" s="2052"/>
      <c r="C410" s="2052"/>
      <c r="D410" s="2052"/>
      <c r="E410" s="2052"/>
      <c r="F410" s="2052"/>
      <c r="G410" s="2052"/>
      <c r="H410" s="2052"/>
      <c r="I410" s="2052"/>
      <c r="J410" s="2053"/>
    </row>
    <row r="411" spans="1:10">
      <c r="A411" s="396"/>
      <c r="B411" s="394"/>
      <c r="C411" s="394"/>
      <c r="D411" s="281"/>
      <c r="E411" s="279"/>
      <c r="F411" s="393"/>
      <c r="G411" s="394"/>
      <c r="H411" s="395"/>
      <c r="I411" s="395"/>
      <c r="J411" s="280"/>
    </row>
    <row r="412" spans="1:10">
      <c r="A412" s="396"/>
      <c r="B412" s="394"/>
      <c r="C412" s="394"/>
      <c r="D412" s="281"/>
      <c r="E412" s="279"/>
      <c r="F412" s="393"/>
      <c r="G412" s="394"/>
      <c r="H412" s="395"/>
      <c r="I412" s="395"/>
      <c r="J412" s="280"/>
    </row>
    <row r="413" spans="1:10">
      <c r="A413" s="396"/>
      <c r="B413" s="394"/>
      <c r="C413" s="394"/>
      <c r="D413" s="281"/>
      <c r="E413" s="279"/>
      <c r="F413" s="393"/>
      <c r="G413" s="394"/>
      <c r="H413" s="395"/>
      <c r="I413" s="395"/>
      <c r="J413" s="280"/>
    </row>
    <row r="414" spans="1:10">
      <c r="A414" s="396"/>
      <c r="B414" s="394"/>
      <c r="C414" s="394"/>
      <c r="D414" s="281"/>
      <c r="E414" s="279"/>
      <c r="F414" s="393"/>
      <c r="G414" s="394"/>
      <c r="H414" s="395"/>
      <c r="I414" s="395"/>
      <c r="J414" s="280"/>
    </row>
    <row r="415" spans="1:10" ht="12.75" thickBot="1">
      <c r="A415" s="396"/>
      <c r="B415" s="394"/>
      <c r="C415" s="394"/>
      <c r="D415" s="281"/>
      <c r="E415" s="279"/>
      <c r="F415" s="393"/>
      <c r="G415" s="394"/>
      <c r="H415" s="395"/>
      <c r="I415" s="395"/>
      <c r="J415" s="280"/>
    </row>
    <row r="416" spans="1:10" ht="12.75" thickBot="1">
      <c r="A416" s="2051" t="s">
        <v>8942</v>
      </c>
      <c r="B416" s="2052"/>
      <c r="C416" s="2052"/>
      <c r="D416" s="2052"/>
      <c r="E416" s="2052"/>
      <c r="F416" s="2052"/>
      <c r="G416" s="2052"/>
      <c r="H416" s="2052"/>
      <c r="I416" s="2052"/>
      <c r="J416" s="2053"/>
    </row>
    <row r="417" spans="1:10">
      <c r="A417" s="396"/>
      <c r="B417" s="394"/>
      <c r="C417" s="394"/>
      <c r="D417" s="281"/>
      <c r="E417" s="279"/>
      <c r="F417" s="393"/>
      <c r="G417" s="394"/>
      <c r="H417" s="395"/>
      <c r="I417" s="395"/>
      <c r="J417" s="280"/>
    </row>
    <row r="418" spans="1:10">
      <c r="A418" s="396"/>
      <c r="B418" s="394"/>
      <c r="C418" s="394"/>
      <c r="D418" s="281"/>
      <c r="E418" s="279"/>
      <c r="F418" s="393"/>
      <c r="G418" s="394"/>
      <c r="H418" s="395"/>
      <c r="I418" s="395"/>
      <c r="J418" s="280"/>
    </row>
    <row r="419" spans="1:10">
      <c r="A419" s="396"/>
      <c r="B419" s="394"/>
      <c r="C419" s="394"/>
      <c r="D419" s="281"/>
      <c r="E419" s="279"/>
      <c r="F419" s="393"/>
      <c r="G419" s="394"/>
      <c r="H419" s="395"/>
      <c r="I419" s="395"/>
      <c r="J419" s="280"/>
    </row>
    <row r="420" spans="1:10">
      <c r="A420" s="396"/>
      <c r="B420" s="394"/>
      <c r="C420" s="394"/>
      <c r="D420" s="281"/>
      <c r="E420" s="279"/>
      <c r="F420" s="393"/>
      <c r="G420" s="394"/>
      <c r="H420" s="395"/>
      <c r="I420" s="395"/>
      <c r="J420" s="280"/>
    </row>
    <row r="421" spans="1:10" ht="12.75" thickBot="1">
      <c r="A421" s="396"/>
      <c r="B421" s="394"/>
      <c r="C421" s="394"/>
      <c r="D421" s="281"/>
      <c r="E421" s="279"/>
      <c r="F421" s="393"/>
      <c r="G421" s="394"/>
      <c r="H421" s="395"/>
      <c r="I421" s="395"/>
      <c r="J421" s="280"/>
    </row>
    <row r="422" spans="1:10" ht="12.75" thickBot="1">
      <c r="A422" s="2051" t="s">
        <v>9078</v>
      </c>
      <c r="B422" s="2052"/>
      <c r="C422" s="2052"/>
      <c r="D422" s="2052"/>
      <c r="E422" s="2052"/>
      <c r="F422" s="2052"/>
      <c r="G422" s="2052"/>
      <c r="H422" s="2052"/>
      <c r="I422" s="2052"/>
      <c r="J422" s="2053"/>
    </row>
    <row r="423" spans="1:10" ht="36">
      <c r="A423" s="25" t="s">
        <v>8960</v>
      </c>
      <c r="B423" s="1657" t="s">
        <v>7939</v>
      </c>
      <c r="C423" s="25" t="s">
        <v>8961</v>
      </c>
      <c r="D423" s="1" t="s">
        <v>8962</v>
      </c>
      <c r="E423" s="1772">
        <v>79470</v>
      </c>
      <c r="F423" s="1773" t="s">
        <v>8963</v>
      </c>
      <c r="G423" s="1659" t="s">
        <v>7741</v>
      </c>
      <c r="H423" s="1774" t="s">
        <v>8964</v>
      </c>
      <c r="I423" s="1774" t="s">
        <v>8965</v>
      </c>
      <c r="J423" s="1775" t="s">
        <v>7741</v>
      </c>
    </row>
    <row r="424" spans="1:10" ht="36">
      <c r="A424" s="25" t="s">
        <v>8966</v>
      </c>
      <c r="B424" s="1657" t="s">
        <v>7939</v>
      </c>
      <c r="C424" s="25" t="s">
        <v>8961</v>
      </c>
      <c r="D424" s="1" t="s">
        <v>8967</v>
      </c>
      <c r="E424" s="1772">
        <v>380750</v>
      </c>
      <c r="F424" s="1773" t="s">
        <v>8968</v>
      </c>
      <c r="G424" s="1659" t="s">
        <v>7741</v>
      </c>
      <c r="H424" s="1774" t="s">
        <v>8969</v>
      </c>
      <c r="I424" s="1774" t="s">
        <v>8970</v>
      </c>
      <c r="J424" s="1775" t="s">
        <v>7741</v>
      </c>
    </row>
    <row r="425" spans="1:10" ht="96">
      <c r="A425" s="25" t="s">
        <v>8971</v>
      </c>
      <c r="B425" s="1657" t="s">
        <v>8972</v>
      </c>
      <c r="C425" s="25" t="s">
        <v>8961</v>
      </c>
      <c r="D425" s="1" t="s">
        <v>8973</v>
      </c>
      <c r="E425" s="1772">
        <v>47870</v>
      </c>
      <c r="F425" s="1773" t="s">
        <v>8974</v>
      </c>
      <c r="G425" s="1659" t="s">
        <v>7741</v>
      </c>
      <c r="H425" s="1774" t="s">
        <v>8975</v>
      </c>
      <c r="I425" s="1774" t="s">
        <v>8965</v>
      </c>
      <c r="J425" s="1775" t="s">
        <v>7741</v>
      </c>
    </row>
    <row r="426" spans="1:10" ht="24">
      <c r="A426" s="25" t="s">
        <v>8976</v>
      </c>
      <c r="B426" s="1657" t="s">
        <v>8977</v>
      </c>
      <c r="C426" s="25" t="s">
        <v>8977</v>
      </c>
      <c r="D426" s="1" t="s">
        <v>8967</v>
      </c>
      <c r="E426" s="1772">
        <v>19860.89</v>
      </c>
      <c r="F426" s="1773" t="s">
        <v>8978</v>
      </c>
      <c r="G426" s="1659" t="s">
        <v>7741</v>
      </c>
      <c r="H426" s="1774" t="s">
        <v>8979</v>
      </c>
      <c r="I426" s="1774" t="s">
        <v>8980</v>
      </c>
      <c r="J426" s="1775" t="s">
        <v>7741</v>
      </c>
    </row>
    <row r="427" spans="1:10" ht="24">
      <c r="A427" s="25" t="s">
        <v>8981</v>
      </c>
      <c r="B427" s="1657" t="s">
        <v>8977</v>
      </c>
      <c r="C427" s="25" t="s">
        <v>8977</v>
      </c>
      <c r="D427" s="1" t="s">
        <v>8982</v>
      </c>
      <c r="E427" s="1772">
        <v>26010.27</v>
      </c>
      <c r="F427" s="1773" t="s">
        <v>8983</v>
      </c>
      <c r="G427" s="1659" t="s">
        <v>7741</v>
      </c>
      <c r="H427" s="1774" t="s">
        <v>8984</v>
      </c>
      <c r="I427" s="1774" t="s">
        <v>8980</v>
      </c>
      <c r="J427" s="1775" t="s">
        <v>7741</v>
      </c>
    </row>
    <row r="428" spans="1:10" ht="36">
      <c r="A428" s="25" t="s">
        <v>8985</v>
      </c>
      <c r="B428" s="1657" t="s">
        <v>7939</v>
      </c>
      <c r="C428" s="25" t="s">
        <v>8961</v>
      </c>
      <c r="D428" s="1" t="s">
        <v>8986</v>
      </c>
      <c r="E428" s="1772">
        <v>324883.59999999998</v>
      </c>
      <c r="F428" s="1773" t="s">
        <v>8987</v>
      </c>
      <c r="G428" s="1659" t="s">
        <v>7741</v>
      </c>
      <c r="H428" s="1774" t="s">
        <v>8988</v>
      </c>
      <c r="I428" s="1774" t="s">
        <v>8989</v>
      </c>
      <c r="J428" s="1775" t="s">
        <v>7741</v>
      </c>
    </row>
    <row r="429" spans="1:10" ht="36">
      <c r="A429" s="25" t="s">
        <v>8990</v>
      </c>
      <c r="B429" s="1657" t="s">
        <v>7939</v>
      </c>
      <c r="C429" s="25" t="s">
        <v>8961</v>
      </c>
      <c r="D429" s="545" t="s">
        <v>8991</v>
      </c>
      <c r="E429" s="1772">
        <v>34100</v>
      </c>
      <c r="F429" s="1776" t="s">
        <v>8992</v>
      </c>
      <c r="G429" s="1659" t="s">
        <v>7741</v>
      </c>
      <c r="H429" s="1774" t="s">
        <v>8993</v>
      </c>
      <c r="I429" s="1774" t="s">
        <v>8970</v>
      </c>
      <c r="J429" s="1775" t="s">
        <v>7741</v>
      </c>
    </row>
    <row r="430" spans="1:10" ht="48">
      <c r="A430" s="25" t="s">
        <v>8994</v>
      </c>
      <c r="B430" s="1657" t="s">
        <v>8995</v>
      </c>
      <c r="C430" s="25" t="s">
        <v>8961</v>
      </c>
      <c r="D430" s="1" t="s">
        <v>8982</v>
      </c>
      <c r="E430" s="1772">
        <v>153800</v>
      </c>
      <c r="F430" s="1773" t="s">
        <v>8987</v>
      </c>
      <c r="G430" s="1659" t="s">
        <v>7741</v>
      </c>
      <c r="H430" s="1774" t="s">
        <v>8996</v>
      </c>
      <c r="I430" s="1774" t="s">
        <v>8965</v>
      </c>
      <c r="J430" s="1775" t="s">
        <v>7741</v>
      </c>
    </row>
    <row r="431" spans="1:10" ht="48">
      <c r="A431" s="25" t="s">
        <v>8997</v>
      </c>
      <c r="B431" s="1657" t="s">
        <v>8995</v>
      </c>
      <c r="C431" s="25" t="s">
        <v>8961</v>
      </c>
      <c r="D431" s="1" t="s">
        <v>8998</v>
      </c>
      <c r="E431" s="1772">
        <v>96000</v>
      </c>
      <c r="F431" s="1773" t="s">
        <v>8999</v>
      </c>
      <c r="G431" s="1659" t="s">
        <v>7741</v>
      </c>
      <c r="H431" s="1774" t="s">
        <v>9000</v>
      </c>
      <c r="I431" s="1774" t="s">
        <v>8965</v>
      </c>
      <c r="J431" s="1775" t="s">
        <v>7741</v>
      </c>
    </row>
    <row r="432" spans="1:10" ht="36">
      <c r="A432" s="25" t="s">
        <v>9001</v>
      </c>
      <c r="B432" s="1657" t="s">
        <v>7939</v>
      </c>
      <c r="C432" s="25" t="s">
        <v>8961</v>
      </c>
      <c r="D432" s="1" t="s">
        <v>9002</v>
      </c>
      <c r="E432" s="1772">
        <v>48498.2</v>
      </c>
      <c r="F432" s="1773" t="s">
        <v>8987</v>
      </c>
      <c r="G432" s="1659" t="s">
        <v>7741</v>
      </c>
      <c r="H432" s="1774" t="s">
        <v>9003</v>
      </c>
      <c r="I432" s="1774" t="s">
        <v>8965</v>
      </c>
      <c r="J432" s="1775" t="s">
        <v>7741</v>
      </c>
    </row>
    <row r="433" spans="1:10" ht="36">
      <c r="A433" s="25" t="s">
        <v>9004</v>
      </c>
      <c r="B433" s="1657" t="s">
        <v>7939</v>
      </c>
      <c r="C433" s="25" t="s">
        <v>8961</v>
      </c>
      <c r="D433" s="1" t="s">
        <v>9005</v>
      </c>
      <c r="E433" s="1772">
        <v>39998</v>
      </c>
      <c r="F433" s="1773" t="s">
        <v>9006</v>
      </c>
      <c r="G433" s="1659" t="s">
        <v>7741</v>
      </c>
      <c r="H433" s="1774" t="s">
        <v>9007</v>
      </c>
      <c r="I433" s="1774" t="s">
        <v>9008</v>
      </c>
      <c r="J433" s="1775" t="s">
        <v>7741</v>
      </c>
    </row>
    <row r="434" spans="1:10" ht="48">
      <c r="A434" s="25" t="s">
        <v>9009</v>
      </c>
      <c r="B434" s="1657" t="s">
        <v>8995</v>
      </c>
      <c r="C434" s="25" t="s">
        <v>8961</v>
      </c>
      <c r="D434" s="1" t="s">
        <v>8991</v>
      </c>
      <c r="E434" s="1772">
        <v>36000</v>
      </c>
      <c r="F434" s="1773" t="s">
        <v>9010</v>
      </c>
      <c r="G434" s="1659" t="s">
        <v>7741</v>
      </c>
      <c r="H434" s="1774" t="s">
        <v>9011</v>
      </c>
      <c r="I434" s="1774" t="s">
        <v>9012</v>
      </c>
      <c r="J434" s="1775" t="s">
        <v>7741</v>
      </c>
    </row>
    <row r="435" spans="1:10" ht="36">
      <c r="A435" s="25" t="s">
        <v>9013</v>
      </c>
      <c r="B435" s="1657" t="s">
        <v>7939</v>
      </c>
      <c r="C435" s="25" t="s">
        <v>8961</v>
      </c>
      <c r="D435" s="1" t="s">
        <v>9014</v>
      </c>
      <c r="E435" s="1772">
        <v>44685.82</v>
      </c>
      <c r="F435" s="1773" t="s">
        <v>9015</v>
      </c>
      <c r="G435" s="1659" t="s">
        <v>7741</v>
      </c>
      <c r="H435" s="1774" t="s">
        <v>9016</v>
      </c>
      <c r="I435" s="1774" t="s">
        <v>9017</v>
      </c>
      <c r="J435" s="1775" t="s">
        <v>7741</v>
      </c>
    </row>
    <row r="436" spans="1:10" ht="36">
      <c r="A436" s="25" t="s">
        <v>9018</v>
      </c>
      <c r="B436" s="1657" t="s">
        <v>7939</v>
      </c>
      <c r="C436" s="25" t="s">
        <v>8961</v>
      </c>
      <c r="D436" s="1" t="s">
        <v>8998</v>
      </c>
      <c r="E436" s="1772">
        <v>93000</v>
      </c>
      <c r="F436" s="1773" t="s">
        <v>9019</v>
      </c>
      <c r="G436" s="1659" t="s">
        <v>7351</v>
      </c>
      <c r="H436" s="1774" t="s">
        <v>1592</v>
      </c>
      <c r="I436" s="1774" t="s">
        <v>1592</v>
      </c>
      <c r="J436" s="1775" t="s">
        <v>9020</v>
      </c>
    </row>
    <row r="437" spans="1:10" ht="36">
      <c r="A437" s="25" t="s">
        <v>9021</v>
      </c>
      <c r="B437" s="1657" t="s">
        <v>7939</v>
      </c>
      <c r="C437" s="25" t="s">
        <v>8961</v>
      </c>
      <c r="D437" s="1" t="s">
        <v>9022</v>
      </c>
      <c r="E437" s="1772">
        <v>52050</v>
      </c>
      <c r="F437" s="1773" t="s">
        <v>9023</v>
      </c>
      <c r="G437" s="1659" t="s">
        <v>9024</v>
      </c>
      <c r="H437" s="1774" t="s">
        <v>9025</v>
      </c>
      <c r="I437" s="1774" t="s">
        <v>9026</v>
      </c>
      <c r="J437" s="1775" t="s">
        <v>9024</v>
      </c>
    </row>
    <row r="438" spans="1:10" ht="36">
      <c r="A438" s="25" t="s">
        <v>9027</v>
      </c>
      <c r="B438" s="1657" t="s">
        <v>7939</v>
      </c>
      <c r="C438" s="25" t="s">
        <v>8961</v>
      </c>
      <c r="D438" s="1" t="s">
        <v>9028</v>
      </c>
      <c r="E438" s="1772">
        <v>0</v>
      </c>
      <c r="F438" s="1773" t="s">
        <v>1592</v>
      </c>
      <c r="G438" s="1659" t="s">
        <v>8225</v>
      </c>
      <c r="H438" s="1774" t="s">
        <v>1592</v>
      </c>
      <c r="I438" s="1774" t="s">
        <v>1592</v>
      </c>
      <c r="J438" s="1775" t="s">
        <v>9029</v>
      </c>
    </row>
    <row r="439" spans="1:10" ht="48">
      <c r="A439" s="25" t="s">
        <v>9030</v>
      </c>
      <c r="B439" s="1657" t="s">
        <v>8995</v>
      </c>
      <c r="C439" s="25" t="s">
        <v>8961</v>
      </c>
      <c r="D439" s="1" t="s">
        <v>9031</v>
      </c>
      <c r="E439" s="1772">
        <v>43689.2</v>
      </c>
      <c r="F439" s="1773" t="s">
        <v>8963</v>
      </c>
      <c r="G439" s="1659" t="s">
        <v>9024</v>
      </c>
      <c r="H439" s="1774" t="s">
        <v>9032</v>
      </c>
      <c r="I439" s="1774" t="s">
        <v>9026</v>
      </c>
      <c r="J439" s="1775" t="s">
        <v>9024</v>
      </c>
    </row>
    <row r="440" spans="1:10" ht="24">
      <c r="A440" s="25" t="s">
        <v>9033</v>
      </c>
      <c r="B440" s="1657" t="s">
        <v>9034</v>
      </c>
      <c r="C440" s="25" t="s">
        <v>8961</v>
      </c>
      <c r="D440" s="1" t="s">
        <v>9035</v>
      </c>
      <c r="E440" s="1772">
        <v>199496.6</v>
      </c>
      <c r="F440" s="1773" t="s">
        <v>9036</v>
      </c>
      <c r="G440" s="1659" t="s">
        <v>7741</v>
      </c>
      <c r="H440" s="1774" t="s">
        <v>9037</v>
      </c>
      <c r="I440" s="1774" t="s">
        <v>8980</v>
      </c>
      <c r="J440" s="1775" t="s">
        <v>7741</v>
      </c>
    </row>
    <row r="441" spans="1:10" ht="36">
      <c r="A441" s="25" t="s">
        <v>9038</v>
      </c>
      <c r="B441" s="1657" t="s">
        <v>7939</v>
      </c>
      <c r="C441" s="25" t="s">
        <v>8961</v>
      </c>
      <c r="D441" s="1" t="s">
        <v>9039</v>
      </c>
      <c r="E441" s="1772">
        <v>147660</v>
      </c>
      <c r="F441" s="1773" t="s">
        <v>8963</v>
      </c>
      <c r="G441" s="1659" t="s">
        <v>9040</v>
      </c>
      <c r="H441" s="1774" t="s">
        <v>1592</v>
      </c>
      <c r="I441" s="1774" t="s">
        <v>9008</v>
      </c>
      <c r="J441" s="1775" t="s">
        <v>9041</v>
      </c>
    </row>
    <row r="442" spans="1:10" ht="36">
      <c r="A442" s="25" t="s">
        <v>9042</v>
      </c>
      <c r="B442" s="1657" t="s">
        <v>7939</v>
      </c>
      <c r="C442" s="25" t="s">
        <v>8961</v>
      </c>
      <c r="D442" s="1" t="s">
        <v>9035</v>
      </c>
      <c r="E442" s="1772">
        <v>337960</v>
      </c>
      <c r="F442" s="1773" t="s">
        <v>9043</v>
      </c>
      <c r="G442" s="1659" t="s">
        <v>9040</v>
      </c>
      <c r="H442" s="1774" t="s">
        <v>1592</v>
      </c>
      <c r="I442" s="1774" t="s">
        <v>1592</v>
      </c>
      <c r="J442" s="1775" t="s">
        <v>9044</v>
      </c>
    </row>
    <row r="443" spans="1:10" ht="48">
      <c r="A443" s="25" t="s">
        <v>9045</v>
      </c>
      <c r="B443" s="1657" t="s">
        <v>8995</v>
      </c>
      <c r="C443" s="25" t="s">
        <v>8961</v>
      </c>
      <c r="D443" s="1" t="s">
        <v>9035</v>
      </c>
      <c r="E443" s="1772">
        <v>0</v>
      </c>
      <c r="F443" s="1773" t="s">
        <v>1592</v>
      </c>
      <c r="G443" s="1659" t="s">
        <v>9040</v>
      </c>
      <c r="H443" s="1774" t="s">
        <v>1592</v>
      </c>
      <c r="I443" s="1774" t="s">
        <v>1592</v>
      </c>
      <c r="J443" s="1775" t="s">
        <v>9046</v>
      </c>
    </row>
    <row r="444" spans="1:10" ht="24">
      <c r="A444" s="25" t="s">
        <v>9047</v>
      </c>
      <c r="B444" s="1657" t="s">
        <v>8977</v>
      </c>
      <c r="C444" s="25" t="s">
        <v>8977</v>
      </c>
      <c r="D444" s="1" t="s">
        <v>1592</v>
      </c>
      <c r="E444" s="1772">
        <v>0</v>
      </c>
      <c r="F444" s="1773" t="s">
        <v>1592</v>
      </c>
      <c r="G444" s="1659" t="s">
        <v>9040</v>
      </c>
      <c r="H444" s="1774" t="s">
        <v>1592</v>
      </c>
      <c r="I444" s="1774" t="s">
        <v>1592</v>
      </c>
      <c r="J444" s="1775" t="s">
        <v>9040</v>
      </c>
    </row>
    <row r="445" spans="1:10" ht="48">
      <c r="A445" s="25" t="s">
        <v>9048</v>
      </c>
      <c r="B445" s="1657" t="s">
        <v>8995</v>
      </c>
      <c r="C445" s="25" t="s">
        <v>8961</v>
      </c>
      <c r="D445" s="1" t="s">
        <v>9049</v>
      </c>
      <c r="E445" s="1772">
        <v>0</v>
      </c>
      <c r="F445" s="1773" t="s">
        <v>1592</v>
      </c>
      <c r="G445" s="1659" t="s">
        <v>9040</v>
      </c>
      <c r="H445" s="1774" t="s">
        <v>1592</v>
      </c>
      <c r="I445" s="1774" t="s">
        <v>1592</v>
      </c>
      <c r="J445" s="1775" t="s">
        <v>9046</v>
      </c>
    </row>
    <row r="446" spans="1:10" ht="24">
      <c r="A446" s="25" t="s">
        <v>9050</v>
      </c>
      <c r="B446" s="1657" t="s">
        <v>8977</v>
      </c>
      <c r="C446" s="25" t="s">
        <v>8977</v>
      </c>
      <c r="D446" s="1" t="s">
        <v>9035</v>
      </c>
      <c r="E446" s="1772">
        <v>13123.93</v>
      </c>
      <c r="F446" s="1773" t="s">
        <v>9051</v>
      </c>
      <c r="G446" s="1659" t="s">
        <v>7741</v>
      </c>
      <c r="H446" s="1774" t="s">
        <v>9052</v>
      </c>
      <c r="I446" s="1774" t="s">
        <v>8980</v>
      </c>
      <c r="J446" s="1775" t="s">
        <v>7741</v>
      </c>
    </row>
    <row r="447" spans="1:10" ht="36">
      <c r="A447" s="25" t="s">
        <v>9053</v>
      </c>
      <c r="B447" s="1657" t="s">
        <v>7939</v>
      </c>
      <c r="C447" s="25" t="s">
        <v>8961</v>
      </c>
      <c r="D447" s="1" t="s">
        <v>1592</v>
      </c>
      <c r="E447" s="1772">
        <v>0</v>
      </c>
      <c r="F447" s="1773" t="s">
        <v>1592</v>
      </c>
      <c r="G447" s="1659" t="s">
        <v>9040</v>
      </c>
      <c r="H447" s="1774" t="s">
        <v>1592</v>
      </c>
      <c r="I447" s="1774" t="s">
        <v>1592</v>
      </c>
      <c r="J447" s="1775" t="s">
        <v>9054</v>
      </c>
    </row>
    <row r="448" spans="1:10" ht="36">
      <c r="A448" s="25" t="s">
        <v>9055</v>
      </c>
      <c r="B448" s="1657" t="s">
        <v>7939</v>
      </c>
      <c r="C448" s="25" t="s">
        <v>8961</v>
      </c>
      <c r="D448" s="1" t="s">
        <v>1592</v>
      </c>
      <c r="E448" s="1772">
        <v>0</v>
      </c>
      <c r="F448" s="1773" t="s">
        <v>1592</v>
      </c>
      <c r="G448" s="1659" t="s">
        <v>9040</v>
      </c>
      <c r="H448" s="1774" t="s">
        <v>1592</v>
      </c>
      <c r="I448" s="1774" t="s">
        <v>1592</v>
      </c>
      <c r="J448" s="1775" t="s">
        <v>9054</v>
      </c>
    </row>
    <row r="449" spans="1:10" ht="36">
      <c r="A449" s="25" t="s">
        <v>9056</v>
      </c>
      <c r="B449" s="1657" t="s">
        <v>7939</v>
      </c>
      <c r="C449" s="25" t="s">
        <v>8961</v>
      </c>
      <c r="D449" s="1" t="s">
        <v>1592</v>
      </c>
      <c r="E449" s="1772">
        <v>0</v>
      </c>
      <c r="F449" s="1773" t="s">
        <v>1592</v>
      </c>
      <c r="G449" s="1659" t="s">
        <v>9040</v>
      </c>
      <c r="H449" s="1774" t="s">
        <v>1592</v>
      </c>
      <c r="I449" s="1774" t="s">
        <v>1592</v>
      </c>
      <c r="J449" s="1775" t="s">
        <v>9054</v>
      </c>
    </row>
    <row r="450" spans="1:10" ht="36">
      <c r="A450" s="25" t="s">
        <v>9004</v>
      </c>
      <c r="B450" s="1657" t="s">
        <v>7939</v>
      </c>
      <c r="C450" s="25" t="s">
        <v>8961</v>
      </c>
      <c r="D450" s="1" t="s">
        <v>1592</v>
      </c>
      <c r="E450" s="1772">
        <v>0</v>
      </c>
      <c r="F450" s="1773" t="s">
        <v>1592</v>
      </c>
      <c r="G450" s="1659" t="s">
        <v>9040</v>
      </c>
      <c r="H450" s="1774" t="s">
        <v>1592</v>
      </c>
      <c r="I450" s="1774" t="s">
        <v>1592</v>
      </c>
      <c r="J450" s="1775" t="s">
        <v>9054</v>
      </c>
    </row>
    <row r="451" spans="1:10" ht="48">
      <c r="A451" s="25" t="s">
        <v>9057</v>
      </c>
      <c r="B451" s="1657" t="s">
        <v>8995</v>
      </c>
      <c r="C451" s="25" t="s">
        <v>8961</v>
      </c>
      <c r="D451" s="1" t="s">
        <v>1592</v>
      </c>
      <c r="E451" s="1772">
        <v>0</v>
      </c>
      <c r="F451" s="1773" t="s">
        <v>1592</v>
      </c>
      <c r="G451" s="1659" t="s">
        <v>9040</v>
      </c>
      <c r="H451" s="1774" t="s">
        <v>1592</v>
      </c>
      <c r="I451" s="1774" t="s">
        <v>1592</v>
      </c>
      <c r="J451" s="1775" t="s">
        <v>9054</v>
      </c>
    </row>
    <row r="452" spans="1:10" ht="48">
      <c r="A452" s="25" t="s">
        <v>9058</v>
      </c>
      <c r="B452" s="1657" t="s">
        <v>8995</v>
      </c>
      <c r="C452" s="25" t="s">
        <v>8961</v>
      </c>
      <c r="D452" s="1" t="s">
        <v>1592</v>
      </c>
      <c r="E452" s="1772">
        <v>0</v>
      </c>
      <c r="F452" s="1773" t="s">
        <v>1592</v>
      </c>
      <c r="G452" s="1659" t="s">
        <v>9040</v>
      </c>
      <c r="H452" s="1774" t="s">
        <v>1592</v>
      </c>
      <c r="I452" s="1774" t="s">
        <v>1592</v>
      </c>
      <c r="J452" s="1775" t="s">
        <v>9054</v>
      </c>
    </row>
    <row r="453" spans="1:10" ht="36">
      <c r="A453" s="25" t="s">
        <v>9059</v>
      </c>
      <c r="B453" s="1657" t="s">
        <v>7939</v>
      </c>
      <c r="C453" s="25" t="s">
        <v>8961</v>
      </c>
      <c r="D453" s="1" t="s">
        <v>1592</v>
      </c>
      <c r="E453" s="1772">
        <v>0</v>
      </c>
      <c r="F453" s="1773" t="s">
        <v>1592</v>
      </c>
      <c r="G453" s="1659" t="s">
        <v>9040</v>
      </c>
      <c r="H453" s="1774" t="s">
        <v>1592</v>
      </c>
      <c r="I453" s="1774" t="s">
        <v>1592</v>
      </c>
      <c r="J453" s="1775" t="s">
        <v>9054</v>
      </c>
    </row>
    <row r="454" spans="1:10" ht="24">
      <c r="A454" s="25" t="s">
        <v>9060</v>
      </c>
      <c r="B454" s="1657" t="s">
        <v>8977</v>
      </c>
      <c r="C454" s="25" t="s">
        <v>8977</v>
      </c>
      <c r="D454" s="1" t="s">
        <v>1592</v>
      </c>
      <c r="E454" s="1772">
        <v>0</v>
      </c>
      <c r="F454" s="1773" t="s">
        <v>1592</v>
      </c>
      <c r="G454" s="1659" t="s">
        <v>9040</v>
      </c>
      <c r="H454" s="1774" t="s">
        <v>1592</v>
      </c>
      <c r="I454" s="1774" t="s">
        <v>1592</v>
      </c>
      <c r="J454" s="1775" t="s">
        <v>9040</v>
      </c>
    </row>
    <row r="455" spans="1:10" ht="36">
      <c r="A455" s="25" t="s">
        <v>9061</v>
      </c>
      <c r="B455" s="1657" t="s">
        <v>7939</v>
      </c>
      <c r="C455" s="25" t="s">
        <v>8961</v>
      </c>
      <c r="D455" s="1" t="s">
        <v>1592</v>
      </c>
      <c r="E455" s="1772">
        <v>0</v>
      </c>
      <c r="F455" s="1773" t="s">
        <v>1592</v>
      </c>
      <c r="G455" s="1659" t="s">
        <v>9040</v>
      </c>
      <c r="H455" s="1774" t="s">
        <v>1592</v>
      </c>
      <c r="I455" s="1774" t="s">
        <v>1592</v>
      </c>
      <c r="J455" s="1775" t="s">
        <v>9040</v>
      </c>
    </row>
    <row r="456" spans="1:10" ht="36">
      <c r="A456" s="25" t="s">
        <v>9062</v>
      </c>
      <c r="B456" s="1657" t="s">
        <v>7939</v>
      </c>
      <c r="C456" s="25" t="s">
        <v>8961</v>
      </c>
      <c r="D456" s="1" t="s">
        <v>1592</v>
      </c>
      <c r="E456" s="1772">
        <v>0</v>
      </c>
      <c r="F456" s="1773" t="s">
        <v>1592</v>
      </c>
      <c r="G456" s="1659" t="s">
        <v>9040</v>
      </c>
      <c r="H456" s="1774" t="s">
        <v>1592</v>
      </c>
      <c r="I456" s="1774" t="s">
        <v>1592</v>
      </c>
      <c r="J456" s="1775" t="s">
        <v>9040</v>
      </c>
    </row>
    <row r="457" spans="1:10" ht="36">
      <c r="A457" s="25" t="s">
        <v>9063</v>
      </c>
      <c r="B457" s="1657" t="s">
        <v>7939</v>
      </c>
      <c r="C457" s="25" t="s">
        <v>8961</v>
      </c>
      <c r="D457" s="1" t="s">
        <v>1592</v>
      </c>
      <c r="E457" s="1772">
        <v>0</v>
      </c>
      <c r="F457" s="1773" t="s">
        <v>1592</v>
      </c>
      <c r="G457" s="1659" t="s">
        <v>9040</v>
      </c>
      <c r="H457" s="1774" t="s">
        <v>1592</v>
      </c>
      <c r="I457" s="1774" t="s">
        <v>1592</v>
      </c>
      <c r="J457" s="1775" t="s">
        <v>9040</v>
      </c>
    </row>
    <row r="458" spans="1:10" ht="48">
      <c r="A458" s="25" t="s">
        <v>9064</v>
      </c>
      <c r="B458" s="1657" t="s">
        <v>8995</v>
      </c>
      <c r="C458" s="25" t="s">
        <v>8961</v>
      </c>
      <c r="D458" s="1" t="s">
        <v>1592</v>
      </c>
      <c r="E458" s="1772">
        <v>0</v>
      </c>
      <c r="F458" s="1773" t="s">
        <v>1592</v>
      </c>
      <c r="G458" s="1659" t="s">
        <v>9040</v>
      </c>
      <c r="H458" s="1774" t="s">
        <v>1592</v>
      </c>
      <c r="I458" s="1774" t="s">
        <v>1592</v>
      </c>
      <c r="J458" s="1775" t="s">
        <v>9040</v>
      </c>
    </row>
    <row r="459" spans="1:10" ht="12.75" thickBot="1">
      <c r="A459" s="38"/>
      <c r="B459" s="35"/>
      <c r="C459" s="15"/>
      <c r="D459" s="32"/>
      <c r="E459" s="1777"/>
      <c r="F459" s="22"/>
      <c r="G459" s="339"/>
      <c r="H459" s="16"/>
      <c r="I459" s="16"/>
      <c r="J459" s="23"/>
    </row>
    <row r="460" spans="1:10" ht="12.75" thickBot="1">
      <c r="A460" s="50" t="s">
        <v>0</v>
      </c>
      <c r="B460" s="27"/>
      <c r="C460" s="17"/>
      <c r="D460" s="48"/>
      <c r="E460" s="1778">
        <f>SUM(E423:E459)</f>
        <v>2218906.5100000002</v>
      </c>
      <c r="F460" s="46"/>
      <c r="G460" s="24"/>
      <c r="H460" s="20"/>
      <c r="I460" s="20"/>
      <c r="J460" s="24"/>
    </row>
    <row r="461" spans="1:10" ht="12.75" thickBot="1">
      <c r="A461" s="2051" t="s">
        <v>9080</v>
      </c>
      <c r="B461" s="2052"/>
      <c r="C461" s="2052"/>
      <c r="D461" s="2052"/>
      <c r="E461" s="2052"/>
      <c r="F461" s="2052"/>
      <c r="G461" s="2052"/>
      <c r="H461" s="2052"/>
      <c r="I461" s="2052"/>
      <c r="J461" s="2053"/>
    </row>
    <row r="462" spans="1:10">
      <c r="A462" s="396"/>
      <c r="B462" s="394"/>
      <c r="C462" s="394"/>
      <c r="D462" s="281"/>
      <c r="E462" s="279"/>
      <c r="F462" s="393"/>
      <c r="G462" s="394"/>
      <c r="H462" s="395"/>
      <c r="I462" s="395"/>
      <c r="J462" s="280"/>
    </row>
    <row r="463" spans="1:10">
      <c r="A463" s="396"/>
      <c r="B463" s="394"/>
      <c r="C463" s="394"/>
      <c r="D463" s="281"/>
      <c r="E463" s="279"/>
      <c r="F463" s="393"/>
      <c r="G463" s="394"/>
      <c r="H463" s="395"/>
      <c r="I463" s="395"/>
      <c r="J463" s="280"/>
    </row>
    <row r="464" spans="1:10">
      <c r="A464" s="396"/>
      <c r="B464" s="394"/>
      <c r="C464" s="394"/>
      <c r="D464" s="281"/>
      <c r="E464" s="279"/>
      <c r="F464" s="393"/>
      <c r="G464" s="394"/>
      <c r="H464" s="395"/>
      <c r="I464" s="395"/>
      <c r="J464" s="280"/>
    </row>
    <row r="465" spans="1:10">
      <c r="A465" s="396"/>
      <c r="B465" s="394"/>
      <c r="C465" s="394"/>
      <c r="D465" s="281"/>
      <c r="E465" s="279"/>
      <c r="F465" s="393"/>
      <c r="G465" s="394"/>
      <c r="H465" s="395"/>
      <c r="I465" s="395"/>
      <c r="J465" s="280"/>
    </row>
    <row r="466" spans="1:10" ht="12.75" thickBot="1">
      <c r="A466" s="396"/>
      <c r="B466" s="394"/>
      <c r="C466" s="394"/>
      <c r="D466" s="281"/>
      <c r="E466" s="279"/>
      <c r="F466" s="393"/>
      <c r="G466" s="394"/>
      <c r="H466" s="395"/>
      <c r="I466" s="395"/>
      <c r="J466" s="280"/>
    </row>
    <row r="467" spans="1:10" ht="12.75" thickBot="1">
      <c r="A467" s="2043" t="s">
        <v>9088</v>
      </c>
      <c r="B467" s="2044"/>
      <c r="C467" s="2044"/>
      <c r="D467" s="2044"/>
      <c r="E467" s="2044"/>
      <c r="F467" s="2044"/>
      <c r="G467" s="2044"/>
      <c r="H467" s="2044"/>
      <c r="I467" s="2044"/>
      <c r="J467" s="2054"/>
    </row>
    <row r="468" spans="1:10" ht="48">
      <c r="A468" s="396" t="s">
        <v>9104</v>
      </c>
      <c r="B468" s="394" t="s">
        <v>9105</v>
      </c>
      <c r="C468" s="394" t="s">
        <v>9091</v>
      </c>
      <c r="D468" s="281" t="s">
        <v>9106</v>
      </c>
      <c r="E468" s="279">
        <v>139999</v>
      </c>
      <c r="F468" s="393">
        <v>20563725126</v>
      </c>
      <c r="G468" s="394" t="s">
        <v>7741</v>
      </c>
      <c r="H468" s="395">
        <v>43550</v>
      </c>
      <c r="I468" s="395">
        <v>43559</v>
      </c>
      <c r="J468" s="280"/>
    </row>
    <row r="469" spans="1:10" ht="48">
      <c r="A469" s="396" t="s">
        <v>9107</v>
      </c>
      <c r="B469" s="394" t="s">
        <v>9105</v>
      </c>
      <c r="C469" s="394" t="s">
        <v>9091</v>
      </c>
      <c r="D469" s="281" t="s">
        <v>9108</v>
      </c>
      <c r="E469" s="279">
        <v>80000</v>
      </c>
      <c r="F469" s="393">
        <v>20601825016</v>
      </c>
      <c r="G469" s="394" t="s">
        <v>7741</v>
      </c>
      <c r="H469" s="395">
        <v>43592</v>
      </c>
      <c r="I469" s="395">
        <v>43607</v>
      </c>
      <c r="J469" s="280"/>
    </row>
    <row r="470" spans="1:10" ht="48">
      <c r="A470" s="396" t="s">
        <v>9109</v>
      </c>
      <c r="B470" s="394" t="s">
        <v>9105</v>
      </c>
      <c r="C470" s="394" t="s">
        <v>9091</v>
      </c>
      <c r="D470" s="281" t="s">
        <v>9108</v>
      </c>
      <c r="E470" s="279">
        <v>109000</v>
      </c>
      <c r="F470" s="393">
        <v>20514713694</v>
      </c>
      <c r="G470" s="394" t="s">
        <v>7741</v>
      </c>
      <c r="H470" s="395">
        <v>43592</v>
      </c>
      <c r="I470" s="395">
        <v>43607</v>
      </c>
      <c r="J470" s="280"/>
    </row>
    <row r="471" spans="1:10" ht="48">
      <c r="A471" s="396" t="s">
        <v>9110</v>
      </c>
      <c r="B471" s="394" t="s">
        <v>9105</v>
      </c>
      <c r="C471" s="394" t="s">
        <v>9091</v>
      </c>
      <c r="D471" s="281" t="s">
        <v>9108</v>
      </c>
      <c r="E471" s="279">
        <v>110000</v>
      </c>
      <c r="F471" s="393">
        <v>20514713694</v>
      </c>
      <c r="G471" s="394" t="s">
        <v>7741</v>
      </c>
      <c r="H471" s="395">
        <v>43592</v>
      </c>
      <c r="I471" s="395">
        <v>43607</v>
      </c>
      <c r="J471" s="280"/>
    </row>
    <row r="472" spans="1:10" ht="48">
      <c r="A472" s="396" t="s">
        <v>9111</v>
      </c>
      <c r="B472" s="394" t="s">
        <v>9105</v>
      </c>
      <c r="C472" s="394" t="s">
        <v>9091</v>
      </c>
      <c r="D472" s="281" t="s">
        <v>9108</v>
      </c>
      <c r="E472" s="279">
        <v>80000</v>
      </c>
      <c r="F472" s="393">
        <v>20602036848</v>
      </c>
      <c r="G472" s="394" t="s">
        <v>7741</v>
      </c>
      <c r="H472" s="395">
        <v>43592</v>
      </c>
      <c r="I472" s="395">
        <v>43607</v>
      </c>
      <c r="J472" s="280"/>
    </row>
    <row r="473" spans="1:10" ht="48">
      <c r="A473" s="396" t="s">
        <v>9112</v>
      </c>
      <c r="B473" s="394" t="s">
        <v>9105</v>
      </c>
      <c r="C473" s="394" t="s">
        <v>9091</v>
      </c>
      <c r="D473" s="281" t="s">
        <v>9108</v>
      </c>
      <c r="E473" s="279">
        <v>211600</v>
      </c>
      <c r="F473" s="393">
        <v>20514713694</v>
      </c>
      <c r="G473" s="394" t="s">
        <v>7741</v>
      </c>
      <c r="H473" s="395">
        <v>43592</v>
      </c>
      <c r="I473" s="395">
        <v>43607</v>
      </c>
      <c r="J473" s="280"/>
    </row>
    <row r="474" spans="1:10" ht="36">
      <c r="A474" s="396" t="s">
        <v>9113</v>
      </c>
      <c r="B474" s="394" t="s">
        <v>9090</v>
      </c>
      <c r="C474" s="394" t="s">
        <v>9091</v>
      </c>
      <c r="D474" s="281" t="s">
        <v>9114</v>
      </c>
      <c r="E474" s="279">
        <v>102859.9</v>
      </c>
      <c r="F474" s="393">
        <v>20521169967</v>
      </c>
      <c r="G474" s="394" t="s">
        <v>7741</v>
      </c>
      <c r="H474" s="395">
        <v>43594</v>
      </c>
      <c r="I474" s="395">
        <v>43612</v>
      </c>
      <c r="J474" s="280"/>
    </row>
    <row r="475" spans="1:10" ht="36">
      <c r="A475" s="396" t="s">
        <v>9115</v>
      </c>
      <c r="B475" s="394" t="s">
        <v>9090</v>
      </c>
      <c r="C475" s="394" t="s">
        <v>9091</v>
      </c>
      <c r="D475" s="281" t="s">
        <v>9098</v>
      </c>
      <c r="E475" s="279">
        <v>392182</v>
      </c>
      <c r="F475" s="393">
        <v>20518610784</v>
      </c>
      <c r="G475" s="394" t="s">
        <v>7741</v>
      </c>
      <c r="H475" s="395">
        <v>43601</v>
      </c>
      <c r="I475" s="395">
        <v>43662</v>
      </c>
      <c r="J475" s="280"/>
    </row>
    <row r="476" spans="1:10" ht="36">
      <c r="A476" s="396" t="s">
        <v>9116</v>
      </c>
      <c r="B476" s="394" t="s">
        <v>9090</v>
      </c>
      <c r="C476" s="394" t="s">
        <v>9091</v>
      </c>
      <c r="D476" s="281" t="s">
        <v>9117</v>
      </c>
      <c r="E476" s="279">
        <v>278738.87</v>
      </c>
      <c r="F476" s="393">
        <v>20545792177</v>
      </c>
      <c r="G476" s="394" t="s">
        <v>7741</v>
      </c>
      <c r="H476" s="395">
        <v>43600</v>
      </c>
      <c r="I476" s="395">
        <v>43648</v>
      </c>
      <c r="J476" s="280"/>
    </row>
    <row r="477" spans="1:10" ht="36">
      <c r="A477" s="396" t="s">
        <v>9118</v>
      </c>
      <c r="B477" s="394" t="s">
        <v>9090</v>
      </c>
      <c r="C477" s="394" t="s">
        <v>9091</v>
      </c>
      <c r="D477" s="281" t="s">
        <v>9119</v>
      </c>
      <c r="E477" s="279">
        <v>7126900</v>
      </c>
      <c r="F477" s="393">
        <v>20511751404</v>
      </c>
      <c r="G477" s="394" t="s">
        <v>7741</v>
      </c>
      <c r="H477" s="395">
        <v>43670</v>
      </c>
      <c r="I477" s="395">
        <v>43730</v>
      </c>
      <c r="J477" s="280"/>
    </row>
    <row r="478" spans="1:10" ht="36">
      <c r="A478" s="396" t="s">
        <v>9120</v>
      </c>
      <c r="B478" s="394" t="s">
        <v>9090</v>
      </c>
      <c r="C478" s="394" t="s">
        <v>9091</v>
      </c>
      <c r="D478" s="281" t="s">
        <v>9119</v>
      </c>
      <c r="E478" s="279">
        <v>2695500</v>
      </c>
      <c r="F478" s="393">
        <v>20511751404</v>
      </c>
      <c r="G478" s="394" t="s">
        <v>7741</v>
      </c>
      <c r="H478" s="395">
        <v>43670</v>
      </c>
      <c r="I478" s="395">
        <v>43700</v>
      </c>
      <c r="J478" s="280"/>
    </row>
    <row r="479" spans="1:10" ht="36">
      <c r="A479" s="396" t="s">
        <v>9121</v>
      </c>
      <c r="B479" s="394" t="s">
        <v>9090</v>
      </c>
      <c r="C479" s="394" t="s">
        <v>9091</v>
      </c>
      <c r="D479" s="281" t="s">
        <v>9122</v>
      </c>
      <c r="E479" s="279">
        <v>90000</v>
      </c>
      <c r="F479" s="393">
        <v>20295593840</v>
      </c>
      <c r="G479" s="394" t="s">
        <v>7741</v>
      </c>
      <c r="H479" s="395">
        <v>43664</v>
      </c>
      <c r="I479" s="395">
        <v>43673</v>
      </c>
      <c r="J479" s="280"/>
    </row>
    <row r="480" spans="1:10" ht="36">
      <c r="A480" s="396" t="s">
        <v>9123</v>
      </c>
      <c r="B480" s="394" t="s">
        <v>9090</v>
      </c>
      <c r="C480" s="394" t="s">
        <v>9091</v>
      </c>
      <c r="D480" s="281" t="s">
        <v>9122</v>
      </c>
      <c r="E480" s="279">
        <v>60000</v>
      </c>
      <c r="F480" s="393">
        <v>20295593840</v>
      </c>
      <c r="G480" s="394" t="s">
        <v>7741</v>
      </c>
      <c r="H480" s="395">
        <v>43664</v>
      </c>
      <c r="I480" s="395">
        <v>43673</v>
      </c>
      <c r="J480" s="280"/>
    </row>
    <row r="481" spans="1:10" ht="36">
      <c r="A481" s="396" t="s">
        <v>9124</v>
      </c>
      <c r="B481" s="394" t="s">
        <v>9090</v>
      </c>
      <c r="C481" s="394" t="s">
        <v>9091</v>
      </c>
      <c r="D481" s="281" t="s">
        <v>9125</v>
      </c>
      <c r="E481" s="279">
        <v>116543</v>
      </c>
      <c r="F481" s="393">
        <v>20101984291</v>
      </c>
      <c r="G481" s="394" t="s">
        <v>7741</v>
      </c>
      <c r="H481" s="395">
        <v>43719</v>
      </c>
      <c r="I481" s="395">
        <v>43736</v>
      </c>
      <c r="J481" s="280"/>
    </row>
    <row r="482" spans="1:10" ht="36">
      <c r="A482" s="396" t="s">
        <v>9126</v>
      </c>
      <c r="B482" s="394" t="s">
        <v>9090</v>
      </c>
      <c r="C482" s="394" t="s">
        <v>9091</v>
      </c>
      <c r="D482" s="281" t="s">
        <v>9125</v>
      </c>
      <c r="E482" s="279">
        <v>65730</v>
      </c>
      <c r="F482" s="393">
        <v>20101984291</v>
      </c>
      <c r="G482" s="394" t="s">
        <v>7741</v>
      </c>
      <c r="H482" s="395">
        <v>43719</v>
      </c>
      <c r="I482" s="395">
        <v>43736</v>
      </c>
      <c r="J482" s="280"/>
    </row>
    <row r="483" spans="1:10" ht="36">
      <c r="A483" s="396" t="s">
        <v>9127</v>
      </c>
      <c r="B483" s="394" t="s">
        <v>9090</v>
      </c>
      <c r="C483" s="394" t="s">
        <v>9091</v>
      </c>
      <c r="D483" s="281" t="s">
        <v>9125</v>
      </c>
      <c r="E483" s="279">
        <v>79716</v>
      </c>
      <c r="F483" s="393">
        <v>20101984291</v>
      </c>
      <c r="G483" s="394" t="s">
        <v>7741</v>
      </c>
      <c r="H483" s="395">
        <v>43719</v>
      </c>
      <c r="I483" s="395">
        <v>43736</v>
      </c>
      <c r="J483" s="280"/>
    </row>
    <row r="484" spans="1:10" ht="24">
      <c r="A484" s="396" t="s">
        <v>9128</v>
      </c>
      <c r="B484" s="394" t="s">
        <v>7871</v>
      </c>
      <c r="C484" s="394" t="s">
        <v>9091</v>
      </c>
      <c r="D484" s="281" t="s">
        <v>9129</v>
      </c>
      <c r="E484" s="279">
        <v>144000</v>
      </c>
      <c r="F484" s="393">
        <v>20131529181</v>
      </c>
      <c r="G484" s="394" t="s">
        <v>7741</v>
      </c>
      <c r="H484" s="395">
        <v>43700</v>
      </c>
      <c r="I484" s="395">
        <v>43685</v>
      </c>
      <c r="J484" s="280"/>
    </row>
    <row r="485" spans="1:10" ht="24">
      <c r="A485" s="396" t="s">
        <v>9130</v>
      </c>
      <c r="B485" s="394" t="s">
        <v>8128</v>
      </c>
      <c r="C485" s="394" t="s">
        <v>9091</v>
      </c>
      <c r="D485" s="281" t="s">
        <v>9131</v>
      </c>
      <c r="E485" s="279">
        <v>386400</v>
      </c>
      <c r="F485" s="393">
        <v>20603470622</v>
      </c>
      <c r="G485" s="394" t="s">
        <v>7741</v>
      </c>
      <c r="H485" s="395">
        <v>43739</v>
      </c>
      <c r="I485" s="395">
        <v>43770</v>
      </c>
      <c r="J485" s="280"/>
    </row>
    <row r="486" spans="1:10" ht="48">
      <c r="A486" s="396" t="s">
        <v>9132</v>
      </c>
      <c r="B486" s="394" t="s">
        <v>9105</v>
      </c>
      <c r="C486" s="394" t="s">
        <v>9091</v>
      </c>
      <c r="D486" s="281" t="s">
        <v>9133</v>
      </c>
      <c r="E486" s="279">
        <v>1224999.79</v>
      </c>
      <c r="F486" s="393">
        <v>20502510470</v>
      </c>
      <c r="G486" s="394" t="s">
        <v>7741</v>
      </c>
      <c r="H486" s="395">
        <v>43749</v>
      </c>
      <c r="I486" s="395">
        <v>43759</v>
      </c>
      <c r="J486" s="280"/>
    </row>
    <row r="487" spans="1:10" ht="36">
      <c r="A487" s="396" t="s">
        <v>9134</v>
      </c>
      <c r="B487" s="394" t="s">
        <v>9090</v>
      </c>
      <c r="C487" s="394" t="s">
        <v>9091</v>
      </c>
      <c r="D487" s="281" t="s">
        <v>9135</v>
      </c>
      <c r="E487" s="279">
        <v>398000</v>
      </c>
      <c r="F487" s="393">
        <v>20307291968</v>
      </c>
      <c r="G487" s="394" t="s">
        <v>7741</v>
      </c>
      <c r="H487" s="395">
        <v>43775</v>
      </c>
      <c r="I487" s="395">
        <v>43836</v>
      </c>
      <c r="J487" s="280"/>
    </row>
    <row r="488" spans="1:10" ht="36">
      <c r="A488" s="396" t="s">
        <v>9136</v>
      </c>
      <c r="B488" s="394" t="s">
        <v>9090</v>
      </c>
      <c r="C488" s="394" t="s">
        <v>9091</v>
      </c>
      <c r="D488" s="281" t="s">
        <v>9137</v>
      </c>
      <c r="E488" s="279">
        <v>97900</v>
      </c>
      <c r="F488" s="393">
        <v>20307291968</v>
      </c>
      <c r="G488" s="394" t="s">
        <v>7741</v>
      </c>
      <c r="H488" s="395">
        <v>43787</v>
      </c>
      <c r="I488" s="395">
        <v>43879</v>
      </c>
      <c r="J488" s="280"/>
    </row>
    <row r="489" spans="1:10" ht="48">
      <c r="A489" s="396" t="s">
        <v>9138</v>
      </c>
      <c r="B489" s="394" t="s">
        <v>9105</v>
      </c>
      <c r="C489" s="394" t="s">
        <v>9091</v>
      </c>
      <c r="D489" s="281" t="s">
        <v>9108</v>
      </c>
      <c r="E489" s="279">
        <v>588800</v>
      </c>
      <c r="F489" s="393">
        <v>20130471464</v>
      </c>
      <c r="G489" s="394" t="s">
        <v>7741</v>
      </c>
      <c r="H489" s="395">
        <v>43805</v>
      </c>
      <c r="I489" s="395">
        <v>43815</v>
      </c>
      <c r="J489" s="280"/>
    </row>
    <row r="490" spans="1:10" ht="48">
      <c r="A490" s="396" t="s">
        <v>9139</v>
      </c>
      <c r="B490" s="394" t="s">
        <v>9105</v>
      </c>
      <c r="C490" s="394" t="s">
        <v>9091</v>
      </c>
      <c r="D490" s="281" t="s">
        <v>9108</v>
      </c>
      <c r="E490" s="279">
        <v>215000</v>
      </c>
      <c r="F490" s="393">
        <v>10407558095</v>
      </c>
      <c r="G490" s="394" t="s">
        <v>7741</v>
      </c>
      <c r="H490" s="395">
        <v>43802</v>
      </c>
      <c r="I490" s="395">
        <v>43819</v>
      </c>
      <c r="J490" s="280"/>
    </row>
    <row r="491" spans="1:10" ht="36">
      <c r="A491" s="396" t="s">
        <v>9140</v>
      </c>
      <c r="B491" s="394" t="s">
        <v>9090</v>
      </c>
      <c r="C491" s="394" t="s">
        <v>9091</v>
      </c>
      <c r="D491" s="281" t="s">
        <v>9141</v>
      </c>
      <c r="E491" s="279">
        <v>180000</v>
      </c>
      <c r="F491" s="393">
        <v>20601301378</v>
      </c>
      <c r="G491" s="394" t="s">
        <v>7741</v>
      </c>
      <c r="H491" s="395">
        <v>43812</v>
      </c>
      <c r="I491" s="395">
        <v>43894</v>
      </c>
      <c r="J491" s="280"/>
    </row>
    <row r="492" spans="1:10" ht="24">
      <c r="A492" s="396" t="s">
        <v>9142</v>
      </c>
      <c r="B492" s="394" t="s">
        <v>8128</v>
      </c>
      <c r="C492" s="394" t="s">
        <v>9091</v>
      </c>
      <c r="D492" s="281" t="s">
        <v>9133</v>
      </c>
      <c r="E492" s="279">
        <v>92996.39</v>
      </c>
      <c r="F492" s="393">
        <v>20125508716</v>
      </c>
      <c r="G492" s="394" t="s">
        <v>7741</v>
      </c>
      <c r="H492" s="395">
        <v>43825</v>
      </c>
      <c r="I492" s="395">
        <v>43868</v>
      </c>
      <c r="J492" s="280"/>
    </row>
    <row r="493" spans="1:10" ht="36">
      <c r="A493" s="396" t="s">
        <v>9143</v>
      </c>
      <c r="B493" s="394" t="s">
        <v>9090</v>
      </c>
      <c r="C493" s="394" t="s">
        <v>9091</v>
      </c>
      <c r="D493" s="281" t="s">
        <v>9144</v>
      </c>
      <c r="E493" s="279">
        <v>85986</v>
      </c>
      <c r="F493" s="393">
        <v>20557029851</v>
      </c>
      <c r="G493" s="394" t="s">
        <v>7741</v>
      </c>
      <c r="H493" s="395">
        <v>43825</v>
      </c>
      <c r="I493" s="395">
        <v>43856</v>
      </c>
      <c r="J493" s="280"/>
    </row>
    <row r="494" spans="1:10" ht="24">
      <c r="A494" s="396" t="s">
        <v>9115</v>
      </c>
      <c r="B494" s="394" t="s">
        <v>8128</v>
      </c>
      <c r="C494" s="394" t="s">
        <v>9091</v>
      </c>
      <c r="D494" s="281" t="s">
        <v>9133</v>
      </c>
      <c r="E494" s="279">
        <v>515180</v>
      </c>
      <c r="F494" s="393">
        <v>20518610784</v>
      </c>
      <c r="G494" s="394" t="s">
        <v>7741</v>
      </c>
      <c r="H494" s="395">
        <v>43826</v>
      </c>
      <c r="I494" s="395">
        <v>43857</v>
      </c>
      <c r="J494" s="280"/>
    </row>
    <row r="495" spans="1:10" ht="36">
      <c r="A495" s="396" t="s">
        <v>9145</v>
      </c>
      <c r="B495" s="394" t="s">
        <v>9090</v>
      </c>
      <c r="C495" s="394" t="s">
        <v>9091</v>
      </c>
      <c r="D495" s="281" t="s">
        <v>9146</v>
      </c>
      <c r="E495" s="279">
        <v>84612.95</v>
      </c>
      <c r="F495" s="393">
        <v>20520524836</v>
      </c>
      <c r="G495" s="394" t="s">
        <v>7741</v>
      </c>
      <c r="H495" s="395">
        <v>43830</v>
      </c>
      <c r="I495" s="395">
        <v>43960</v>
      </c>
      <c r="J495" s="280"/>
    </row>
    <row r="496" spans="1:10" ht="48">
      <c r="A496" s="396" t="s">
        <v>9147</v>
      </c>
      <c r="B496" s="394" t="s">
        <v>9105</v>
      </c>
      <c r="C496" s="394" t="s">
        <v>9091</v>
      </c>
      <c r="D496" s="281" t="s">
        <v>9148</v>
      </c>
      <c r="E496" s="279">
        <v>92800</v>
      </c>
      <c r="F496" s="393">
        <v>20514713694</v>
      </c>
      <c r="G496" s="394" t="s">
        <v>7741</v>
      </c>
      <c r="H496" s="395">
        <v>43829</v>
      </c>
      <c r="I496" s="395">
        <v>43839</v>
      </c>
      <c r="J496" s="280"/>
    </row>
    <row r="497" spans="1:10" ht="24">
      <c r="A497" s="396" t="s">
        <v>9149</v>
      </c>
      <c r="B497" s="394" t="s">
        <v>8128</v>
      </c>
      <c r="C497" s="394" t="s">
        <v>9091</v>
      </c>
      <c r="D497" s="281" t="s">
        <v>9133</v>
      </c>
      <c r="E497" s="279">
        <v>530104</v>
      </c>
      <c r="F497" s="393">
        <v>20603420501</v>
      </c>
      <c r="G497" s="394" t="s">
        <v>7741</v>
      </c>
      <c r="H497" s="395">
        <v>43826</v>
      </c>
      <c r="I497" s="395">
        <v>43861</v>
      </c>
      <c r="J497" s="280"/>
    </row>
    <row r="498" spans="1:10" ht="24">
      <c r="A498" s="396" t="s">
        <v>9150</v>
      </c>
      <c r="B498" s="394" t="s">
        <v>8128</v>
      </c>
      <c r="C498" s="394" t="s">
        <v>9091</v>
      </c>
      <c r="D498" s="281" t="s">
        <v>9129</v>
      </c>
      <c r="E498" s="279">
        <v>78384</v>
      </c>
      <c r="F498" s="393">
        <v>20462768762</v>
      </c>
      <c r="G498" s="394" t="s">
        <v>7741</v>
      </c>
      <c r="H498" s="395">
        <v>43830</v>
      </c>
      <c r="I498" s="395">
        <v>43851</v>
      </c>
      <c r="J498" s="280"/>
    </row>
    <row r="499" spans="1:10" ht="24">
      <c r="A499" s="396" t="s">
        <v>9151</v>
      </c>
      <c r="B499" s="394" t="s">
        <v>7929</v>
      </c>
      <c r="C499" s="394" t="s">
        <v>9091</v>
      </c>
      <c r="D499" s="281" t="s">
        <v>9152</v>
      </c>
      <c r="E499" s="279">
        <v>1750000.08</v>
      </c>
      <c r="F499" s="393">
        <v>20160267861</v>
      </c>
      <c r="G499" s="394" t="s">
        <v>7741</v>
      </c>
      <c r="H499" s="395">
        <v>42832</v>
      </c>
      <c r="I499" s="395">
        <v>43927</v>
      </c>
      <c r="J499" s="280"/>
    </row>
    <row r="500" spans="1:10" ht="36">
      <c r="A500" s="396" t="s">
        <v>9153</v>
      </c>
      <c r="B500" s="394" t="s">
        <v>9090</v>
      </c>
      <c r="C500" s="394" t="s">
        <v>9091</v>
      </c>
      <c r="D500" s="281" t="s">
        <v>9108</v>
      </c>
      <c r="E500" s="279">
        <v>142900</v>
      </c>
      <c r="F500" s="393">
        <v>10104247968</v>
      </c>
      <c r="G500" s="394" t="s">
        <v>7741</v>
      </c>
      <c r="H500" s="395">
        <v>43553</v>
      </c>
      <c r="I500" s="395">
        <v>43918</v>
      </c>
      <c r="J500" s="280"/>
    </row>
    <row r="501" spans="1:10" ht="36">
      <c r="A501" s="396" t="s">
        <v>9154</v>
      </c>
      <c r="B501" s="394" t="s">
        <v>9090</v>
      </c>
      <c r="C501" s="394" t="s">
        <v>9091</v>
      </c>
      <c r="D501" s="281" t="s">
        <v>9148</v>
      </c>
      <c r="E501" s="279">
        <v>244100</v>
      </c>
      <c r="F501" s="393">
        <v>20552504641</v>
      </c>
      <c r="G501" s="394" t="s">
        <v>7741</v>
      </c>
      <c r="H501" s="395">
        <v>43602</v>
      </c>
      <c r="I501" s="395">
        <v>43982</v>
      </c>
      <c r="J501" s="280"/>
    </row>
    <row r="502" spans="1:10" ht="36">
      <c r="A502" s="396" t="s">
        <v>9155</v>
      </c>
      <c r="B502" s="394" t="s">
        <v>9090</v>
      </c>
      <c r="C502" s="394" t="s">
        <v>9091</v>
      </c>
      <c r="D502" s="281" t="s">
        <v>9131</v>
      </c>
      <c r="E502" s="279">
        <v>39600</v>
      </c>
      <c r="F502" s="393">
        <v>20306102967</v>
      </c>
      <c r="G502" s="394" t="s">
        <v>7741</v>
      </c>
      <c r="H502" s="395">
        <v>43567</v>
      </c>
      <c r="I502" s="395">
        <v>43943</v>
      </c>
      <c r="J502" s="280"/>
    </row>
    <row r="503" spans="1:10" ht="36">
      <c r="A503" s="396" t="s">
        <v>9156</v>
      </c>
      <c r="B503" s="394" t="s">
        <v>9090</v>
      </c>
      <c r="C503" s="394" t="s">
        <v>9091</v>
      </c>
      <c r="D503" s="281" t="s">
        <v>9157</v>
      </c>
      <c r="E503" s="279">
        <v>359702.28</v>
      </c>
      <c r="F503" s="393">
        <v>20467534026</v>
      </c>
      <c r="G503" s="394" t="s">
        <v>7741</v>
      </c>
      <c r="H503" s="395">
        <v>43720</v>
      </c>
      <c r="I503" s="395">
        <v>44093</v>
      </c>
      <c r="J503" s="280"/>
    </row>
    <row r="504" spans="1:10" ht="24">
      <c r="A504" s="396" t="s">
        <v>9158</v>
      </c>
      <c r="B504" s="394" t="s">
        <v>7929</v>
      </c>
      <c r="C504" s="394" t="s">
        <v>9091</v>
      </c>
      <c r="D504" s="281" t="s">
        <v>9108</v>
      </c>
      <c r="E504" s="279">
        <v>2062201.03</v>
      </c>
      <c r="F504" s="393">
        <v>20601978572</v>
      </c>
      <c r="G504" s="394" t="s">
        <v>7741</v>
      </c>
      <c r="H504" s="395">
        <v>43552</v>
      </c>
      <c r="I504" s="395">
        <v>43918</v>
      </c>
      <c r="J504" s="280"/>
    </row>
    <row r="505" spans="1:10" ht="36">
      <c r="A505" s="396" t="s">
        <v>9159</v>
      </c>
      <c r="B505" s="394" t="s">
        <v>9090</v>
      </c>
      <c r="C505" s="394" t="s">
        <v>9091</v>
      </c>
      <c r="D505" s="281" t="s">
        <v>9133</v>
      </c>
      <c r="E505" s="279">
        <v>56170</v>
      </c>
      <c r="F505" s="393">
        <v>20100686814</v>
      </c>
      <c r="G505" s="394" t="s">
        <v>7741</v>
      </c>
      <c r="H505" s="395">
        <v>43566</v>
      </c>
      <c r="I505" s="395">
        <v>43932</v>
      </c>
      <c r="J505" s="280"/>
    </row>
    <row r="506" spans="1:10" ht="48">
      <c r="A506" s="396" t="s">
        <v>9160</v>
      </c>
      <c r="B506" s="394" t="s">
        <v>9105</v>
      </c>
      <c r="C506" s="394" t="s">
        <v>9091</v>
      </c>
      <c r="D506" s="281" t="s">
        <v>9131</v>
      </c>
      <c r="E506" s="279">
        <v>94274.28</v>
      </c>
      <c r="F506" s="393">
        <v>20514606774</v>
      </c>
      <c r="G506" s="394" t="s">
        <v>8133</v>
      </c>
      <c r="H506" s="395">
        <v>43755</v>
      </c>
      <c r="I506" s="395">
        <v>44122</v>
      </c>
      <c r="J506" s="280"/>
    </row>
    <row r="507" spans="1:10" ht="48">
      <c r="A507" s="396" t="s">
        <v>9161</v>
      </c>
      <c r="B507" s="394" t="s">
        <v>9105</v>
      </c>
      <c r="C507" s="394" t="s">
        <v>9091</v>
      </c>
      <c r="D507" s="281" t="s">
        <v>9131</v>
      </c>
      <c r="E507" s="279">
        <v>121717.93</v>
      </c>
      <c r="F507" s="393">
        <v>20514606774</v>
      </c>
      <c r="G507" s="394" t="s">
        <v>8133</v>
      </c>
      <c r="H507" s="395">
        <v>43755</v>
      </c>
      <c r="I507" s="395">
        <v>44122</v>
      </c>
      <c r="J507" s="280"/>
    </row>
    <row r="508" spans="1:10" ht="36">
      <c r="A508" s="396" t="s">
        <v>9162</v>
      </c>
      <c r="B508" s="394" t="s">
        <v>9090</v>
      </c>
      <c r="C508" s="394" t="s">
        <v>9091</v>
      </c>
      <c r="D508" s="281" t="s">
        <v>9163</v>
      </c>
      <c r="E508" s="279">
        <v>77130</v>
      </c>
      <c r="F508" s="393">
        <v>20101320295</v>
      </c>
      <c r="G508" s="394" t="s">
        <v>7741</v>
      </c>
      <c r="H508" s="395">
        <v>43500</v>
      </c>
      <c r="I508" s="395">
        <v>43865</v>
      </c>
      <c r="J508" s="280"/>
    </row>
    <row r="509" spans="1:10" ht="36">
      <c r="A509" s="396" t="s">
        <v>9164</v>
      </c>
      <c r="B509" s="394" t="s">
        <v>9090</v>
      </c>
      <c r="C509" s="394" t="s">
        <v>9091</v>
      </c>
      <c r="D509" s="281" t="s">
        <v>9129</v>
      </c>
      <c r="E509" s="279">
        <v>1688107.5</v>
      </c>
      <c r="F509" s="393">
        <v>20524879191</v>
      </c>
      <c r="G509" s="394" t="s">
        <v>7741</v>
      </c>
      <c r="H509" s="395">
        <v>43559</v>
      </c>
      <c r="I509" s="395">
        <v>43924</v>
      </c>
      <c r="J509" s="280"/>
    </row>
    <row r="510" spans="1:10" ht="24">
      <c r="A510" s="396" t="s">
        <v>9165</v>
      </c>
      <c r="B510" s="394" t="s">
        <v>7929</v>
      </c>
      <c r="C510" s="394" t="s">
        <v>9091</v>
      </c>
      <c r="D510" s="281" t="s">
        <v>9166</v>
      </c>
      <c r="E510" s="279">
        <v>110000</v>
      </c>
      <c r="F510" s="393">
        <v>20487753573</v>
      </c>
      <c r="G510" s="394" t="s">
        <v>7741</v>
      </c>
      <c r="H510" s="395">
        <v>43231</v>
      </c>
      <c r="I510" s="395">
        <v>43596</v>
      </c>
      <c r="J510" s="280"/>
    </row>
    <row r="511" spans="1:10" ht="24">
      <c r="A511" s="396" t="s">
        <v>9167</v>
      </c>
      <c r="B511" s="394" t="s">
        <v>7929</v>
      </c>
      <c r="C511" s="394" t="s">
        <v>9091</v>
      </c>
      <c r="D511" s="281" t="s">
        <v>9166</v>
      </c>
      <c r="E511" s="279">
        <v>128368.08</v>
      </c>
      <c r="F511" s="393">
        <v>20559738493</v>
      </c>
      <c r="G511" s="394" t="s">
        <v>7741</v>
      </c>
      <c r="H511" s="395">
        <v>43231</v>
      </c>
      <c r="I511" s="395">
        <v>43596</v>
      </c>
      <c r="J511" s="280"/>
    </row>
    <row r="512" spans="1:10" ht="24">
      <c r="A512" s="396" t="s">
        <v>9168</v>
      </c>
      <c r="B512" s="394" t="s">
        <v>7929</v>
      </c>
      <c r="C512" s="394" t="s">
        <v>9091</v>
      </c>
      <c r="D512" s="281" t="s">
        <v>9166</v>
      </c>
      <c r="E512" s="279">
        <v>67200</v>
      </c>
      <c r="F512" s="393">
        <v>20529115246</v>
      </c>
      <c r="G512" s="394" t="s">
        <v>7741</v>
      </c>
      <c r="H512" s="395">
        <v>43231</v>
      </c>
      <c r="I512" s="395">
        <v>43596</v>
      </c>
      <c r="J512" s="280"/>
    </row>
    <row r="513" spans="1:10" ht="24">
      <c r="A513" s="396" t="s">
        <v>9169</v>
      </c>
      <c r="B513" s="394" t="s">
        <v>7929</v>
      </c>
      <c r="C513" s="394" t="s">
        <v>9091</v>
      </c>
      <c r="D513" s="281" t="s">
        <v>9166</v>
      </c>
      <c r="E513" s="279">
        <v>147000</v>
      </c>
      <c r="F513" s="393">
        <v>20600580583</v>
      </c>
      <c r="G513" s="394" t="s">
        <v>7741</v>
      </c>
      <c r="H513" s="395">
        <v>43231</v>
      </c>
      <c r="I513" s="395">
        <v>43596</v>
      </c>
      <c r="J513" s="280"/>
    </row>
    <row r="514" spans="1:10" ht="24">
      <c r="A514" s="396" t="s">
        <v>9170</v>
      </c>
      <c r="B514" s="394" t="s">
        <v>7929</v>
      </c>
      <c r="C514" s="394" t="s">
        <v>9091</v>
      </c>
      <c r="D514" s="281" t="s">
        <v>9166</v>
      </c>
      <c r="E514" s="279">
        <v>31800</v>
      </c>
      <c r="F514" s="393">
        <v>20529115246</v>
      </c>
      <c r="G514" s="394" t="s">
        <v>7741</v>
      </c>
      <c r="H514" s="395">
        <v>43231</v>
      </c>
      <c r="I514" s="395">
        <v>43596</v>
      </c>
      <c r="J514" s="280"/>
    </row>
    <row r="515" spans="1:10" ht="36">
      <c r="A515" s="396" t="s">
        <v>9171</v>
      </c>
      <c r="B515" s="394" t="s">
        <v>9090</v>
      </c>
      <c r="C515" s="394" t="s">
        <v>9091</v>
      </c>
      <c r="D515" s="281" t="s">
        <v>9172</v>
      </c>
      <c r="E515" s="279">
        <v>194700</v>
      </c>
      <c r="F515" s="393">
        <v>20600847563</v>
      </c>
      <c r="G515" s="394" t="s">
        <v>7741</v>
      </c>
      <c r="H515" s="395">
        <v>43329</v>
      </c>
      <c r="I515" s="395">
        <v>43693</v>
      </c>
      <c r="J515" s="280"/>
    </row>
    <row r="516" spans="1:10" ht="24">
      <c r="A516" s="396" t="s">
        <v>9173</v>
      </c>
      <c r="B516" s="394" t="s">
        <v>7929</v>
      </c>
      <c r="C516" s="394" t="s">
        <v>9091</v>
      </c>
      <c r="D516" s="281" t="s">
        <v>9166</v>
      </c>
      <c r="E516" s="279">
        <v>281999.23</v>
      </c>
      <c r="F516" s="393">
        <v>20452467284</v>
      </c>
      <c r="G516" s="394" t="s">
        <v>7741</v>
      </c>
      <c r="H516" s="395">
        <v>43258</v>
      </c>
      <c r="I516" s="395">
        <v>43622</v>
      </c>
      <c r="J516" s="280"/>
    </row>
    <row r="517" spans="1:10" ht="24">
      <c r="A517" s="396" t="s">
        <v>9174</v>
      </c>
      <c r="B517" s="394" t="s">
        <v>7929</v>
      </c>
      <c r="C517" s="394" t="s">
        <v>9091</v>
      </c>
      <c r="D517" s="281" t="s">
        <v>9166</v>
      </c>
      <c r="E517" s="279">
        <v>281999.23</v>
      </c>
      <c r="F517" s="393">
        <v>20529221518</v>
      </c>
      <c r="G517" s="394" t="s">
        <v>7741</v>
      </c>
      <c r="H517" s="395">
        <v>43238</v>
      </c>
      <c r="I517" s="395">
        <v>43602</v>
      </c>
      <c r="J517" s="280"/>
    </row>
    <row r="518" spans="1:10" ht="24">
      <c r="A518" s="396" t="s">
        <v>9175</v>
      </c>
      <c r="B518" s="394" t="s">
        <v>7929</v>
      </c>
      <c r="C518" s="394" t="s">
        <v>9091</v>
      </c>
      <c r="D518" s="281" t="s">
        <v>9166</v>
      </c>
      <c r="E518" s="279">
        <v>121068</v>
      </c>
      <c r="F518" s="393">
        <v>20495093329</v>
      </c>
      <c r="G518" s="394" t="s">
        <v>7741</v>
      </c>
      <c r="H518" s="395">
        <v>43231</v>
      </c>
      <c r="I518" s="395">
        <v>43596</v>
      </c>
      <c r="J518" s="280"/>
    </row>
    <row r="519" spans="1:10" ht="24">
      <c r="A519" s="396" t="s">
        <v>9176</v>
      </c>
      <c r="B519" s="394" t="s">
        <v>7929</v>
      </c>
      <c r="C519" s="394" t="s">
        <v>9091</v>
      </c>
      <c r="D519" s="281" t="s">
        <v>9166</v>
      </c>
      <c r="E519" s="279">
        <v>194800</v>
      </c>
      <c r="F519" s="393">
        <v>20487753573</v>
      </c>
      <c r="G519" s="394" t="s">
        <v>7741</v>
      </c>
      <c r="H519" s="395">
        <v>43231</v>
      </c>
      <c r="I519" s="395">
        <v>43596</v>
      </c>
      <c r="J519" s="280"/>
    </row>
    <row r="520" spans="1:10" ht="24">
      <c r="A520" s="396" t="s">
        <v>9177</v>
      </c>
      <c r="B520" s="394" t="s">
        <v>7929</v>
      </c>
      <c r="C520" s="394" t="s">
        <v>9091</v>
      </c>
      <c r="D520" s="281" t="s">
        <v>9166</v>
      </c>
      <c r="E520" s="279">
        <v>139200</v>
      </c>
      <c r="F520" s="393">
        <v>20560001861</v>
      </c>
      <c r="G520" s="394" t="s">
        <v>7741</v>
      </c>
      <c r="H520" s="395">
        <v>43231</v>
      </c>
      <c r="I520" s="395">
        <v>43596</v>
      </c>
      <c r="J520" s="280"/>
    </row>
    <row r="521" spans="1:10" ht="24">
      <c r="A521" s="396" t="s">
        <v>9178</v>
      </c>
      <c r="B521" s="394" t="s">
        <v>7929</v>
      </c>
      <c r="C521" s="394" t="s">
        <v>9091</v>
      </c>
      <c r="D521" s="281" t="s">
        <v>9166</v>
      </c>
      <c r="E521" s="279">
        <v>69600</v>
      </c>
      <c r="F521" s="393">
        <v>20564491595</v>
      </c>
      <c r="G521" s="394" t="s">
        <v>7741</v>
      </c>
      <c r="H521" s="395">
        <v>43238</v>
      </c>
      <c r="I521" s="395">
        <v>43602</v>
      </c>
      <c r="J521" s="280"/>
    </row>
    <row r="522" spans="1:10" ht="24">
      <c r="A522" s="396" t="s">
        <v>9179</v>
      </c>
      <c r="B522" s="394" t="s">
        <v>7929</v>
      </c>
      <c r="C522" s="394" t="s">
        <v>9091</v>
      </c>
      <c r="D522" s="281" t="s">
        <v>9166</v>
      </c>
      <c r="E522" s="279">
        <v>71880</v>
      </c>
      <c r="F522" s="393">
        <v>20101192190</v>
      </c>
      <c r="G522" s="394" t="s">
        <v>7741</v>
      </c>
      <c r="H522" s="395">
        <v>43238</v>
      </c>
      <c r="I522" s="395">
        <v>43610</v>
      </c>
      <c r="J522" s="280"/>
    </row>
    <row r="523" spans="1:10" ht="24">
      <c r="A523" s="396" t="s">
        <v>9180</v>
      </c>
      <c r="B523" s="394" t="s">
        <v>7929</v>
      </c>
      <c r="C523" s="394" t="s">
        <v>9091</v>
      </c>
      <c r="D523" s="281" t="s">
        <v>9166</v>
      </c>
      <c r="E523" s="279">
        <v>108000</v>
      </c>
      <c r="F523" s="393">
        <v>20602276890</v>
      </c>
      <c r="G523" s="394" t="s">
        <v>7741</v>
      </c>
      <c r="H523" s="395">
        <v>43231</v>
      </c>
      <c r="I523" s="395">
        <v>43596</v>
      </c>
      <c r="J523" s="280"/>
    </row>
    <row r="524" spans="1:10" ht="24">
      <c r="A524" s="396" t="s">
        <v>9181</v>
      </c>
      <c r="B524" s="394" t="s">
        <v>7929</v>
      </c>
      <c r="C524" s="394" t="s">
        <v>9091</v>
      </c>
      <c r="D524" s="281" t="s">
        <v>9166</v>
      </c>
      <c r="E524" s="279">
        <v>107990.39999999999</v>
      </c>
      <c r="F524" s="393">
        <v>20601909091</v>
      </c>
      <c r="G524" s="394" t="s">
        <v>7741</v>
      </c>
      <c r="H524" s="395">
        <v>43231</v>
      </c>
      <c r="I524" s="395">
        <v>43600</v>
      </c>
      <c r="J524" s="280"/>
    </row>
    <row r="525" spans="1:10" ht="24">
      <c r="A525" s="396" t="s">
        <v>9182</v>
      </c>
      <c r="B525" s="394" t="s">
        <v>7929</v>
      </c>
      <c r="C525" s="394" t="s">
        <v>9091</v>
      </c>
      <c r="D525" s="281" t="s">
        <v>9166</v>
      </c>
      <c r="E525" s="279">
        <v>124800</v>
      </c>
      <c r="F525" s="393">
        <v>20529115246</v>
      </c>
      <c r="G525" s="394" t="s">
        <v>7741</v>
      </c>
      <c r="H525" s="395">
        <v>43231</v>
      </c>
      <c r="I525" s="395">
        <v>43596</v>
      </c>
      <c r="J525" s="280"/>
    </row>
    <row r="526" spans="1:10" ht="24">
      <c r="A526" s="396" t="s">
        <v>9183</v>
      </c>
      <c r="B526" s="394" t="s">
        <v>7929</v>
      </c>
      <c r="C526" s="394" t="s">
        <v>9091</v>
      </c>
      <c r="D526" s="281" t="s">
        <v>9166</v>
      </c>
      <c r="E526" s="279">
        <v>79200</v>
      </c>
      <c r="F526" s="393">
        <v>20574616086</v>
      </c>
      <c r="G526" s="394" t="s">
        <v>7741</v>
      </c>
      <c r="H526" s="395">
        <v>43231</v>
      </c>
      <c r="I526" s="395">
        <v>43596</v>
      </c>
      <c r="J526" s="280"/>
    </row>
    <row r="527" spans="1:10" ht="24">
      <c r="A527" s="396" t="s">
        <v>9184</v>
      </c>
      <c r="B527" s="394" t="s">
        <v>7929</v>
      </c>
      <c r="C527" s="394" t="s">
        <v>9091</v>
      </c>
      <c r="D527" s="281" t="s">
        <v>9166</v>
      </c>
      <c r="E527" s="279">
        <v>33600</v>
      </c>
      <c r="F527" s="393">
        <v>20534502533</v>
      </c>
      <c r="G527" s="394" t="s">
        <v>7741</v>
      </c>
      <c r="H527" s="395">
        <v>43231</v>
      </c>
      <c r="I527" s="395">
        <v>43596</v>
      </c>
      <c r="J527" s="280"/>
    </row>
    <row r="528" spans="1:10" ht="24">
      <c r="A528" s="396" t="s">
        <v>9185</v>
      </c>
      <c r="B528" s="394" t="s">
        <v>7929</v>
      </c>
      <c r="C528" s="394" t="s">
        <v>9091</v>
      </c>
      <c r="D528" s="281" t="s">
        <v>9166</v>
      </c>
      <c r="E528" s="279">
        <v>58567.92</v>
      </c>
      <c r="F528" s="393">
        <v>20529503688</v>
      </c>
      <c r="G528" s="394" t="s">
        <v>7741</v>
      </c>
      <c r="H528" s="395">
        <v>43231</v>
      </c>
      <c r="I528" s="395">
        <v>43596</v>
      </c>
      <c r="J528" s="280"/>
    </row>
    <row r="529" spans="1:10" ht="24">
      <c r="A529" s="396" t="s">
        <v>9186</v>
      </c>
      <c r="B529" s="394" t="s">
        <v>7929</v>
      </c>
      <c r="C529" s="394" t="s">
        <v>9091</v>
      </c>
      <c r="D529" s="281" t="s">
        <v>9166</v>
      </c>
      <c r="E529" s="279">
        <v>120000</v>
      </c>
      <c r="F529" s="393">
        <v>20393888041</v>
      </c>
      <c r="G529" s="394" t="s">
        <v>7741</v>
      </c>
      <c r="H529" s="395">
        <v>43231</v>
      </c>
      <c r="I529" s="395">
        <v>43616</v>
      </c>
      <c r="J529" s="280"/>
    </row>
    <row r="530" spans="1:10" ht="24">
      <c r="A530" s="396" t="s">
        <v>9187</v>
      </c>
      <c r="B530" s="394" t="s">
        <v>7929</v>
      </c>
      <c r="C530" s="394" t="s">
        <v>9091</v>
      </c>
      <c r="D530" s="281" t="s">
        <v>9166</v>
      </c>
      <c r="E530" s="279">
        <v>64800</v>
      </c>
      <c r="F530" s="393">
        <v>20493433025</v>
      </c>
      <c r="G530" s="394" t="s">
        <v>7741</v>
      </c>
      <c r="H530" s="395">
        <v>43279</v>
      </c>
      <c r="I530" s="395">
        <v>43708</v>
      </c>
      <c r="J530" s="280"/>
    </row>
    <row r="531" spans="1:10" ht="24">
      <c r="A531" s="396" t="s">
        <v>9188</v>
      </c>
      <c r="B531" s="394" t="s">
        <v>7929</v>
      </c>
      <c r="C531" s="394" t="s">
        <v>9091</v>
      </c>
      <c r="D531" s="281" t="s">
        <v>9166</v>
      </c>
      <c r="E531" s="279">
        <v>73800</v>
      </c>
      <c r="F531" s="393">
        <v>20571207118</v>
      </c>
      <c r="G531" s="394" t="s">
        <v>7741</v>
      </c>
      <c r="H531" s="395">
        <v>43231</v>
      </c>
      <c r="I531" s="395">
        <v>43596</v>
      </c>
      <c r="J531" s="280"/>
    </row>
    <row r="532" spans="1:10" ht="24">
      <c r="A532" s="396" t="s">
        <v>9189</v>
      </c>
      <c r="B532" s="394" t="s">
        <v>7929</v>
      </c>
      <c r="C532" s="394" t="s">
        <v>9091</v>
      </c>
      <c r="D532" s="281" t="s">
        <v>9166</v>
      </c>
      <c r="E532" s="279">
        <v>78999</v>
      </c>
      <c r="F532" s="393">
        <v>20568928696</v>
      </c>
      <c r="G532" s="394" t="s">
        <v>7741</v>
      </c>
      <c r="H532" s="395">
        <v>43337</v>
      </c>
      <c r="I532" s="395">
        <v>43702</v>
      </c>
      <c r="J532" s="280"/>
    </row>
    <row r="533" spans="1:10" ht="24">
      <c r="A533" s="396" t="s">
        <v>9190</v>
      </c>
      <c r="B533" s="394" t="s">
        <v>7929</v>
      </c>
      <c r="C533" s="394" t="s">
        <v>9091</v>
      </c>
      <c r="D533" s="281" t="s">
        <v>9191</v>
      </c>
      <c r="E533" s="279">
        <v>1550000</v>
      </c>
      <c r="F533" s="393">
        <v>20552917210</v>
      </c>
      <c r="G533" s="394" t="s">
        <v>7741</v>
      </c>
      <c r="H533" s="395">
        <v>43538</v>
      </c>
      <c r="I533" s="395">
        <v>43904</v>
      </c>
      <c r="J533" s="280"/>
    </row>
    <row r="534" spans="1:10" ht="24">
      <c r="A534" s="396" t="s">
        <v>9192</v>
      </c>
      <c r="B534" s="394" t="s">
        <v>8128</v>
      </c>
      <c r="C534" s="394" t="s">
        <v>9091</v>
      </c>
      <c r="D534" s="281" t="s">
        <v>9129</v>
      </c>
      <c r="E534" s="279">
        <v>1135650</v>
      </c>
      <c r="F534" s="393">
        <v>20131529181</v>
      </c>
      <c r="G534" s="394" t="s">
        <v>7741</v>
      </c>
      <c r="H534" s="395">
        <v>44049</v>
      </c>
      <c r="I534" s="395">
        <v>44076</v>
      </c>
      <c r="J534" s="280"/>
    </row>
    <row r="535" spans="1:10" ht="24">
      <c r="A535" s="396" t="s">
        <v>9193</v>
      </c>
      <c r="B535" s="394" t="s">
        <v>8128</v>
      </c>
      <c r="C535" s="394" t="s">
        <v>9091</v>
      </c>
      <c r="D535" s="281" t="s">
        <v>9129</v>
      </c>
      <c r="E535" s="279">
        <v>454271.2</v>
      </c>
      <c r="F535" s="393">
        <v>20462768762</v>
      </c>
      <c r="G535" s="394" t="s">
        <v>8133</v>
      </c>
      <c r="H535" s="395">
        <v>44049</v>
      </c>
      <c r="I535" s="395">
        <v>44087</v>
      </c>
      <c r="J535" s="280"/>
    </row>
    <row r="536" spans="1:10" ht="24">
      <c r="A536" s="396" t="s">
        <v>9194</v>
      </c>
      <c r="B536" s="394" t="s">
        <v>8128</v>
      </c>
      <c r="C536" s="394" t="s">
        <v>9091</v>
      </c>
      <c r="D536" s="281" t="s">
        <v>9129</v>
      </c>
      <c r="E536" s="279">
        <v>594000</v>
      </c>
      <c r="F536" s="393">
        <v>20603420501</v>
      </c>
      <c r="G536" s="394" t="s">
        <v>8133</v>
      </c>
      <c r="H536" s="395">
        <v>44049</v>
      </c>
      <c r="I536" s="395">
        <v>44087</v>
      </c>
      <c r="J536" s="280"/>
    </row>
    <row r="537" spans="1:10" ht="24">
      <c r="A537" s="396" t="s">
        <v>9195</v>
      </c>
      <c r="B537" s="394" t="s">
        <v>8128</v>
      </c>
      <c r="C537" s="394" t="s">
        <v>9091</v>
      </c>
      <c r="D537" s="281" t="s">
        <v>9129</v>
      </c>
      <c r="E537" s="279">
        <v>168068.25</v>
      </c>
      <c r="F537" s="393">
        <v>20502891767</v>
      </c>
      <c r="G537" s="394" t="s">
        <v>8133</v>
      </c>
      <c r="H537" s="395">
        <v>44049</v>
      </c>
      <c r="I537" s="395">
        <v>44078</v>
      </c>
      <c r="J537" s="280"/>
    </row>
    <row r="538" spans="1:10" ht="24">
      <c r="A538" s="396" t="s">
        <v>9196</v>
      </c>
      <c r="B538" s="394" t="s">
        <v>8128</v>
      </c>
      <c r="C538" s="394" t="s">
        <v>9091</v>
      </c>
      <c r="D538" s="281" t="s">
        <v>9129</v>
      </c>
      <c r="E538" s="279">
        <v>245160</v>
      </c>
      <c r="F538" s="393">
        <v>20519272815</v>
      </c>
      <c r="G538" s="394" t="s">
        <v>7741</v>
      </c>
      <c r="H538" s="395">
        <v>44049</v>
      </c>
      <c r="I538" s="395">
        <v>44062</v>
      </c>
      <c r="J538" s="280"/>
    </row>
    <row r="539" spans="1:10" ht="24">
      <c r="A539" s="396" t="s">
        <v>9197</v>
      </c>
      <c r="B539" s="394" t="s">
        <v>8128</v>
      </c>
      <c r="C539" s="394" t="s">
        <v>9091</v>
      </c>
      <c r="D539" s="281" t="s">
        <v>9129</v>
      </c>
      <c r="E539" s="279">
        <v>165600</v>
      </c>
      <c r="F539" s="393">
        <v>20518610784</v>
      </c>
      <c r="G539" s="394" t="s">
        <v>8133</v>
      </c>
      <c r="H539" s="395">
        <v>44049</v>
      </c>
      <c r="I539" s="395">
        <v>44087</v>
      </c>
      <c r="J539" s="280"/>
    </row>
    <row r="540" spans="1:10" ht="24">
      <c r="A540" s="396" t="s">
        <v>9130</v>
      </c>
      <c r="B540" s="394" t="s">
        <v>8128</v>
      </c>
      <c r="C540" s="394" t="s">
        <v>9091</v>
      </c>
      <c r="D540" s="281" t="s">
        <v>9129</v>
      </c>
      <c r="E540" s="279">
        <v>172080</v>
      </c>
      <c r="F540" s="393">
        <v>10802174891</v>
      </c>
      <c r="G540" s="394" t="s">
        <v>8133</v>
      </c>
      <c r="H540" s="395">
        <v>44049</v>
      </c>
      <c r="I540" s="395">
        <v>44111</v>
      </c>
      <c r="J540" s="280"/>
    </row>
    <row r="541" spans="1:10" ht="48">
      <c r="A541" s="396" t="s">
        <v>9104</v>
      </c>
      <c r="B541" s="394" t="s">
        <v>9105</v>
      </c>
      <c r="C541" s="394"/>
      <c r="D541" s="281"/>
      <c r="E541" s="279">
        <v>139999</v>
      </c>
      <c r="F541" s="393"/>
      <c r="G541" s="394" t="s">
        <v>7397</v>
      </c>
      <c r="H541" s="395"/>
      <c r="I541" s="395"/>
      <c r="J541" s="280" t="s">
        <v>9198</v>
      </c>
    </row>
    <row r="542" spans="1:10" ht="48">
      <c r="A542" s="396" t="s">
        <v>9199</v>
      </c>
      <c r="B542" s="394" t="s">
        <v>9105</v>
      </c>
      <c r="C542" s="394"/>
      <c r="D542" s="281"/>
      <c r="E542" s="279">
        <v>80000</v>
      </c>
      <c r="F542" s="393"/>
      <c r="G542" s="394" t="s">
        <v>7397</v>
      </c>
      <c r="H542" s="395"/>
      <c r="I542" s="395"/>
      <c r="J542" s="280" t="s">
        <v>9198</v>
      </c>
    </row>
    <row r="543" spans="1:10" ht="48">
      <c r="A543" s="396" t="s">
        <v>9200</v>
      </c>
      <c r="B543" s="394" t="s">
        <v>9105</v>
      </c>
      <c r="C543" s="394"/>
      <c r="D543" s="281"/>
      <c r="E543" s="279">
        <v>109000</v>
      </c>
      <c r="F543" s="393"/>
      <c r="G543" s="394" t="s">
        <v>7397</v>
      </c>
      <c r="H543" s="395"/>
      <c r="I543" s="395"/>
      <c r="J543" s="280" t="s">
        <v>9198</v>
      </c>
    </row>
    <row r="544" spans="1:10" ht="48">
      <c r="A544" s="396" t="s">
        <v>9201</v>
      </c>
      <c r="B544" s="394" t="s">
        <v>9105</v>
      </c>
      <c r="C544" s="394"/>
      <c r="D544" s="281"/>
      <c r="E544" s="279">
        <v>110000</v>
      </c>
      <c r="F544" s="393"/>
      <c r="G544" s="394" t="s">
        <v>7397</v>
      </c>
      <c r="H544" s="395"/>
      <c r="I544" s="395"/>
      <c r="J544" s="280" t="s">
        <v>9198</v>
      </c>
    </row>
    <row r="545" spans="1:10" ht="48">
      <c r="A545" s="396" t="s">
        <v>9202</v>
      </c>
      <c r="B545" s="394" t="s">
        <v>9105</v>
      </c>
      <c r="C545" s="394"/>
      <c r="D545" s="281"/>
      <c r="E545" s="279">
        <v>80000</v>
      </c>
      <c r="F545" s="393"/>
      <c r="G545" s="394" t="s">
        <v>7397</v>
      </c>
      <c r="H545" s="395"/>
      <c r="I545" s="395"/>
      <c r="J545" s="280" t="s">
        <v>9198</v>
      </c>
    </row>
    <row r="546" spans="1:10" ht="48">
      <c r="A546" s="396" t="s">
        <v>9203</v>
      </c>
      <c r="B546" s="394" t="s">
        <v>9105</v>
      </c>
      <c r="C546" s="394"/>
      <c r="D546" s="281"/>
      <c r="E546" s="279">
        <v>211600</v>
      </c>
      <c r="F546" s="393"/>
      <c r="G546" s="394" t="s">
        <v>7397</v>
      </c>
      <c r="H546" s="395"/>
      <c r="I546" s="395"/>
      <c r="J546" s="280" t="s">
        <v>9198</v>
      </c>
    </row>
    <row r="547" spans="1:10" ht="36">
      <c r="A547" s="396" t="s">
        <v>9204</v>
      </c>
      <c r="B547" s="394" t="s">
        <v>9090</v>
      </c>
      <c r="C547" s="394"/>
      <c r="D547" s="281"/>
      <c r="E547" s="279">
        <v>102859.9</v>
      </c>
      <c r="F547" s="393"/>
      <c r="G547" s="394" t="s">
        <v>7397</v>
      </c>
      <c r="H547" s="395"/>
      <c r="I547" s="395"/>
      <c r="J547" s="280" t="s">
        <v>9205</v>
      </c>
    </row>
    <row r="548" spans="1:10" ht="48">
      <c r="A548" s="396" t="s">
        <v>9132</v>
      </c>
      <c r="B548" s="394" t="s">
        <v>9105</v>
      </c>
      <c r="C548" s="394"/>
      <c r="D548" s="281"/>
      <c r="E548" s="279">
        <v>1224999.79</v>
      </c>
      <c r="F548" s="393"/>
      <c r="G548" s="394" t="s">
        <v>7397</v>
      </c>
      <c r="H548" s="395"/>
      <c r="I548" s="395"/>
      <c r="J548" s="280" t="s">
        <v>9198</v>
      </c>
    </row>
    <row r="549" spans="1:10" ht="48">
      <c r="A549" s="396" t="s">
        <v>9138</v>
      </c>
      <c r="B549" s="394" t="s">
        <v>9105</v>
      </c>
      <c r="C549" s="394"/>
      <c r="D549" s="281"/>
      <c r="E549" s="279">
        <v>588800</v>
      </c>
      <c r="F549" s="393"/>
      <c r="G549" s="394" t="s">
        <v>7397</v>
      </c>
      <c r="H549" s="395"/>
      <c r="I549" s="395"/>
      <c r="J549" s="280" t="s">
        <v>9198</v>
      </c>
    </row>
    <row r="550" spans="1:10" ht="48">
      <c r="A550" s="396" t="s">
        <v>9139</v>
      </c>
      <c r="B550" s="394" t="s">
        <v>9105</v>
      </c>
      <c r="C550" s="394"/>
      <c r="D550" s="281"/>
      <c r="E550" s="279">
        <v>215000</v>
      </c>
      <c r="F550" s="393"/>
      <c r="G550" s="394" t="s">
        <v>7397</v>
      </c>
      <c r="H550" s="395"/>
      <c r="I550" s="395"/>
      <c r="J550" s="280" t="s">
        <v>9198</v>
      </c>
    </row>
    <row r="551" spans="1:10" ht="24">
      <c r="A551" s="396" t="s">
        <v>9206</v>
      </c>
      <c r="B551" s="394" t="s">
        <v>7871</v>
      </c>
      <c r="C551" s="394" t="s">
        <v>9091</v>
      </c>
      <c r="D551" s="281" t="s">
        <v>9207</v>
      </c>
      <c r="E551" s="279">
        <v>9915155.6999999993</v>
      </c>
      <c r="F551" s="393">
        <v>20511751404</v>
      </c>
      <c r="G551" s="394" t="s">
        <v>7741</v>
      </c>
      <c r="H551" s="395">
        <v>44041</v>
      </c>
      <c r="I551" s="395">
        <v>44082</v>
      </c>
      <c r="J551" s="280"/>
    </row>
    <row r="552" spans="1:10" ht="24">
      <c r="A552" s="396" t="s">
        <v>9208</v>
      </c>
      <c r="B552" s="394" t="s">
        <v>7929</v>
      </c>
      <c r="C552" s="394" t="s">
        <v>9091</v>
      </c>
      <c r="D552" s="281" t="s">
        <v>9152</v>
      </c>
      <c r="E552" s="279">
        <v>1750000.08</v>
      </c>
      <c r="F552" s="393">
        <v>20160267861</v>
      </c>
      <c r="G552" s="394" t="s">
        <v>7741</v>
      </c>
      <c r="H552" s="395">
        <v>42832</v>
      </c>
      <c r="I552" s="395">
        <v>43927</v>
      </c>
      <c r="J552" s="280"/>
    </row>
    <row r="553" spans="1:10" ht="36">
      <c r="A553" s="396" t="s">
        <v>9153</v>
      </c>
      <c r="B553" s="394" t="s">
        <v>9090</v>
      </c>
      <c r="C553" s="394" t="s">
        <v>9091</v>
      </c>
      <c r="D553" s="281" t="s">
        <v>9108</v>
      </c>
      <c r="E553" s="279">
        <v>142900</v>
      </c>
      <c r="F553" s="393">
        <v>10104247968</v>
      </c>
      <c r="G553" s="394" t="s">
        <v>7741</v>
      </c>
      <c r="H553" s="395">
        <v>43553</v>
      </c>
      <c r="I553" s="395">
        <v>43918</v>
      </c>
      <c r="J553" s="280"/>
    </row>
    <row r="554" spans="1:10" ht="36">
      <c r="A554" s="396" t="s">
        <v>9209</v>
      </c>
      <c r="B554" s="394" t="s">
        <v>9090</v>
      </c>
      <c r="C554" s="394" t="s">
        <v>9091</v>
      </c>
      <c r="D554" s="281" t="s">
        <v>9148</v>
      </c>
      <c r="E554" s="279">
        <v>244100</v>
      </c>
      <c r="F554" s="393">
        <v>20552504641</v>
      </c>
      <c r="G554" s="394" t="s">
        <v>7741</v>
      </c>
      <c r="H554" s="395">
        <v>43602</v>
      </c>
      <c r="I554" s="395">
        <v>43982</v>
      </c>
      <c r="J554" s="280"/>
    </row>
    <row r="555" spans="1:10" ht="36">
      <c r="A555" s="396" t="s">
        <v>9210</v>
      </c>
      <c r="B555" s="394" t="s">
        <v>9090</v>
      </c>
      <c r="C555" s="394" t="s">
        <v>9091</v>
      </c>
      <c r="D555" s="281" t="s">
        <v>9131</v>
      </c>
      <c r="E555" s="279">
        <v>39600</v>
      </c>
      <c r="F555" s="393">
        <v>20306102967</v>
      </c>
      <c r="G555" s="394" t="s">
        <v>7741</v>
      </c>
      <c r="H555" s="395">
        <v>43567</v>
      </c>
      <c r="I555" s="395">
        <v>43943</v>
      </c>
      <c r="J555" s="280"/>
    </row>
    <row r="556" spans="1:10" ht="36">
      <c r="A556" s="396" t="s">
        <v>9156</v>
      </c>
      <c r="B556" s="394" t="s">
        <v>9090</v>
      </c>
      <c r="C556" s="394" t="s">
        <v>9091</v>
      </c>
      <c r="D556" s="281" t="s">
        <v>9157</v>
      </c>
      <c r="E556" s="279">
        <v>359702.28</v>
      </c>
      <c r="F556" s="393">
        <v>20467534026</v>
      </c>
      <c r="G556" s="394" t="s">
        <v>7741</v>
      </c>
      <c r="H556" s="395">
        <v>44086</v>
      </c>
      <c r="I556" s="395">
        <v>44093</v>
      </c>
      <c r="J556" s="280"/>
    </row>
    <row r="557" spans="1:10" ht="24">
      <c r="A557" s="396" t="s">
        <v>9211</v>
      </c>
      <c r="B557" s="394" t="s">
        <v>7929</v>
      </c>
      <c r="C557" s="394" t="s">
        <v>9091</v>
      </c>
      <c r="D557" s="281" t="s">
        <v>9108</v>
      </c>
      <c r="E557" s="279">
        <v>2062201.03</v>
      </c>
      <c r="F557" s="393">
        <v>20601978572</v>
      </c>
      <c r="G557" s="394" t="s">
        <v>7741</v>
      </c>
      <c r="H557" s="395">
        <v>43552</v>
      </c>
      <c r="I557" s="395">
        <v>43918</v>
      </c>
      <c r="J557" s="280"/>
    </row>
    <row r="558" spans="1:10" ht="36">
      <c r="A558" s="396" t="s">
        <v>9159</v>
      </c>
      <c r="B558" s="394" t="s">
        <v>9090</v>
      </c>
      <c r="C558" s="394" t="s">
        <v>9091</v>
      </c>
      <c r="D558" s="281" t="s">
        <v>9133</v>
      </c>
      <c r="E558" s="279">
        <v>56170</v>
      </c>
      <c r="F558" s="393">
        <v>20100686814</v>
      </c>
      <c r="G558" s="394" t="s">
        <v>7741</v>
      </c>
      <c r="H558" s="395">
        <v>43566</v>
      </c>
      <c r="I558" s="395">
        <v>43932</v>
      </c>
      <c r="J558" s="280"/>
    </row>
    <row r="559" spans="1:10" ht="48">
      <c r="A559" s="396" t="s">
        <v>9212</v>
      </c>
      <c r="B559" s="394" t="s">
        <v>9105</v>
      </c>
      <c r="C559" s="394" t="s">
        <v>9091</v>
      </c>
      <c r="D559" s="281" t="s">
        <v>9131</v>
      </c>
      <c r="E559" s="279">
        <v>94274.28</v>
      </c>
      <c r="F559" s="393">
        <v>20514606774</v>
      </c>
      <c r="G559" s="394" t="s">
        <v>8133</v>
      </c>
      <c r="H559" s="395">
        <v>44121</v>
      </c>
      <c r="I559" s="395">
        <v>44122</v>
      </c>
      <c r="J559" s="280"/>
    </row>
    <row r="560" spans="1:10" ht="48">
      <c r="A560" s="396" t="s">
        <v>9213</v>
      </c>
      <c r="B560" s="394" t="s">
        <v>9105</v>
      </c>
      <c r="C560" s="394" t="s">
        <v>9091</v>
      </c>
      <c r="D560" s="281" t="s">
        <v>9131</v>
      </c>
      <c r="E560" s="279">
        <v>121717.93</v>
      </c>
      <c r="F560" s="393">
        <v>20514606774</v>
      </c>
      <c r="G560" s="394" t="s">
        <v>8133</v>
      </c>
      <c r="H560" s="395">
        <v>44121</v>
      </c>
      <c r="I560" s="395">
        <v>44122</v>
      </c>
      <c r="J560" s="280"/>
    </row>
    <row r="561" spans="1:10" ht="36">
      <c r="A561" s="396" t="s">
        <v>9162</v>
      </c>
      <c r="B561" s="394" t="s">
        <v>9090</v>
      </c>
      <c r="C561" s="394" t="s">
        <v>9091</v>
      </c>
      <c r="D561" s="281" t="s">
        <v>9163</v>
      </c>
      <c r="E561" s="279">
        <v>77130</v>
      </c>
      <c r="F561" s="393">
        <v>20101320295</v>
      </c>
      <c r="G561" s="394" t="s">
        <v>7741</v>
      </c>
      <c r="H561" s="395">
        <v>43500</v>
      </c>
      <c r="I561" s="395">
        <v>43865</v>
      </c>
      <c r="J561" s="280"/>
    </row>
    <row r="562" spans="1:10" ht="48">
      <c r="A562" s="396" t="s">
        <v>9206</v>
      </c>
      <c r="B562" s="394" t="s">
        <v>8128</v>
      </c>
      <c r="C562" s="394" t="s">
        <v>9091</v>
      </c>
      <c r="D562" s="281" t="s">
        <v>9148</v>
      </c>
      <c r="E562" s="279">
        <v>9000000</v>
      </c>
      <c r="F562" s="393">
        <v>20511751404</v>
      </c>
      <c r="G562" s="394" t="s">
        <v>7397</v>
      </c>
      <c r="H562" s="395"/>
      <c r="I562" s="395"/>
      <c r="J562" s="280" t="s">
        <v>9214</v>
      </c>
    </row>
    <row r="563" spans="1:10" ht="36">
      <c r="A563" s="396" t="s">
        <v>9215</v>
      </c>
      <c r="B563" s="394" t="s">
        <v>9090</v>
      </c>
      <c r="C563" s="394" t="s">
        <v>9091</v>
      </c>
      <c r="D563" s="281" t="s">
        <v>9129</v>
      </c>
      <c r="E563" s="279">
        <v>1688107.5</v>
      </c>
      <c r="F563" s="393">
        <v>20524879191</v>
      </c>
      <c r="G563" s="394" t="s">
        <v>7741</v>
      </c>
      <c r="H563" s="395">
        <v>43925</v>
      </c>
      <c r="I563" s="395">
        <v>43924</v>
      </c>
      <c r="J563" s="280"/>
    </row>
    <row r="564" spans="1:10" ht="24">
      <c r="A564" s="396" t="s">
        <v>9165</v>
      </c>
      <c r="B564" s="394" t="s">
        <v>7929</v>
      </c>
      <c r="C564" s="394" t="s">
        <v>9091</v>
      </c>
      <c r="D564" s="281" t="s">
        <v>9131</v>
      </c>
      <c r="E564" s="279">
        <v>85654.52</v>
      </c>
      <c r="F564" s="393">
        <v>20480402929</v>
      </c>
      <c r="G564" s="394" t="s">
        <v>8133</v>
      </c>
      <c r="H564" s="395">
        <v>43899</v>
      </c>
      <c r="I564" s="395">
        <v>44113</v>
      </c>
      <c r="J564" s="280"/>
    </row>
    <row r="565" spans="1:10" ht="24">
      <c r="A565" s="396" t="s">
        <v>9167</v>
      </c>
      <c r="B565" s="394" t="s">
        <v>7929</v>
      </c>
      <c r="C565" s="394" t="s">
        <v>9091</v>
      </c>
      <c r="D565" s="281" t="s">
        <v>9131</v>
      </c>
      <c r="E565" s="279">
        <v>107380</v>
      </c>
      <c r="F565" s="393">
        <v>20600430476</v>
      </c>
      <c r="G565" s="394" t="s">
        <v>8133</v>
      </c>
      <c r="H565" s="395">
        <v>43896</v>
      </c>
      <c r="I565" s="395">
        <v>44110</v>
      </c>
      <c r="J565" s="280"/>
    </row>
    <row r="566" spans="1:10" ht="24">
      <c r="A566" s="396" t="s">
        <v>9170</v>
      </c>
      <c r="B566" s="394" t="s">
        <v>7929</v>
      </c>
      <c r="C566" s="394" t="s">
        <v>9091</v>
      </c>
      <c r="D566" s="281" t="s">
        <v>9131</v>
      </c>
      <c r="E566" s="279">
        <v>24000</v>
      </c>
      <c r="F566" s="393">
        <v>20600847563</v>
      </c>
      <c r="G566" s="394" t="s">
        <v>8133</v>
      </c>
      <c r="H566" s="395">
        <v>43895</v>
      </c>
      <c r="I566" s="395">
        <v>44109</v>
      </c>
      <c r="J566" s="280"/>
    </row>
    <row r="567" spans="1:10" ht="24">
      <c r="A567" s="396" t="s">
        <v>9171</v>
      </c>
      <c r="B567" s="394" t="s">
        <v>7929</v>
      </c>
      <c r="C567" s="394" t="s">
        <v>9091</v>
      </c>
      <c r="D567" s="281" t="s">
        <v>9131</v>
      </c>
      <c r="E567" s="279">
        <v>125000</v>
      </c>
      <c r="F567" s="393">
        <v>20600847563</v>
      </c>
      <c r="G567" s="394" t="s">
        <v>8133</v>
      </c>
      <c r="H567" s="395">
        <v>43895</v>
      </c>
      <c r="I567" s="395">
        <v>44109</v>
      </c>
      <c r="J567" s="280"/>
    </row>
    <row r="568" spans="1:10" ht="24">
      <c r="A568" s="396" t="s">
        <v>9174</v>
      </c>
      <c r="B568" s="394" t="s">
        <v>7929</v>
      </c>
      <c r="C568" s="394" t="s">
        <v>9091</v>
      </c>
      <c r="D568" s="281" t="s">
        <v>9131</v>
      </c>
      <c r="E568" s="279">
        <v>191433.76</v>
      </c>
      <c r="F568" s="393">
        <v>20452467284</v>
      </c>
      <c r="G568" s="394" t="s">
        <v>8133</v>
      </c>
      <c r="H568" s="395">
        <v>43899</v>
      </c>
      <c r="I568" s="395">
        <v>44113</v>
      </c>
      <c r="J568" s="280"/>
    </row>
    <row r="569" spans="1:10" ht="24">
      <c r="A569" s="396" t="s">
        <v>9177</v>
      </c>
      <c r="B569" s="394" t="s">
        <v>7929</v>
      </c>
      <c r="C569" s="394" t="s">
        <v>9091</v>
      </c>
      <c r="D569" s="281" t="s">
        <v>9131</v>
      </c>
      <c r="E569" s="279">
        <v>95716.88</v>
      </c>
      <c r="F569" s="393">
        <v>20601138621</v>
      </c>
      <c r="G569" s="394" t="s">
        <v>8133</v>
      </c>
      <c r="H569" s="395">
        <v>43899</v>
      </c>
      <c r="I569" s="395">
        <v>44113</v>
      </c>
      <c r="J569" s="280"/>
    </row>
    <row r="570" spans="1:10" ht="24">
      <c r="A570" s="396" t="s">
        <v>9178</v>
      </c>
      <c r="B570" s="394" t="s">
        <v>7929</v>
      </c>
      <c r="C570" s="394" t="s">
        <v>9091</v>
      </c>
      <c r="D570" s="281" t="s">
        <v>9131</v>
      </c>
      <c r="E570" s="279">
        <v>50750</v>
      </c>
      <c r="F570" s="393">
        <v>20558611881</v>
      </c>
      <c r="G570" s="394" t="s">
        <v>8133</v>
      </c>
      <c r="H570" s="395">
        <v>43895</v>
      </c>
      <c r="I570" s="395">
        <v>43895</v>
      </c>
      <c r="J570" s="280"/>
    </row>
    <row r="571" spans="1:10" ht="24">
      <c r="A571" s="396" t="s">
        <v>9179</v>
      </c>
      <c r="B571" s="394" t="s">
        <v>7929</v>
      </c>
      <c r="C571" s="394" t="s">
        <v>9091</v>
      </c>
      <c r="D571" s="281" t="s">
        <v>9131</v>
      </c>
      <c r="E571" s="279">
        <v>41790</v>
      </c>
      <c r="F571" s="393">
        <v>20602276890</v>
      </c>
      <c r="G571" s="394" t="s">
        <v>8133</v>
      </c>
      <c r="H571" s="395">
        <v>43899</v>
      </c>
      <c r="I571" s="395">
        <v>44113</v>
      </c>
      <c r="J571" s="280"/>
    </row>
    <row r="572" spans="1:10" ht="24">
      <c r="A572" s="396" t="s">
        <v>9180</v>
      </c>
      <c r="B572" s="394" t="s">
        <v>7929</v>
      </c>
      <c r="C572" s="394" t="s">
        <v>9091</v>
      </c>
      <c r="D572" s="281" t="s">
        <v>9131</v>
      </c>
      <c r="E572" s="279">
        <v>101310.94</v>
      </c>
      <c r="F572" s="393">
        <v>20511772312</v>
      </c>
      <c r="G572" s="394" t="s">
        <v>8133</v>
      </c>
      <c r="H572" s="395">
        <v>43896</v>
      </c>
      <c r="I572" s="395">
        <v>43896</v>
      </c>
      <c r="J572" s="280"/>
    </row>
    <row r="573" spans="1:10" ht="24">
      <c r="A573" s="396" t="s">
        <v>9181</v>
      </c>
      <c r="B573" s="394" t="s">
        <v>7929</v>
      </c>
      <c r="C573" s="394" t="s">
        <v>9091</v>
      </c>
      <c r="D573" s="281" t="s">
        <v>9131</v>
      </c>
      <c r="E573" s="279">
        <v>100000</v>
      </c>
      <c r="F573" s="393">
        <v>20600847563</v>
      </c>
      <c r="G573" s="394" t="s">
        <v>8133</v>
      </c>
      <c r="H573" s="395">
        <v>43895</v>
      </c>
      <c r="I573" s="395">
        <v>44109</v>
      </c>
      <c r="J573" s="280"/>
    </row>
    <row r="574" spans="1:10" ht="24">
      <c r="A574" s="396" t="s">
        <v>9183</v>
      </c>
      <c r="B574" s="394" t="s">
        <v>7929</v>
      </c>
      <c r="C574" s="394" t="s">
        <v>9091</v>
      </c>
      <c r="D574" s="281" t="s">
        <v>9131</v>
      </c>
      <c r="E574" s="279">
        <v>53690</v>
      </c>
      <c r="F574" s="393">
        <v>20600430476</v>
      </c>
      <c r="G574" s="394" t="s">
        <v>8133</v>
      </c>
      <c r="H574" s="395">
        <v>43896</v>
      </c>
      <c r="I574" s="395">
        <v>44110</v>
      </c>
      <c r="J574" s="280"/>
    </row>
    <row r="575" spans="1:10" ht="24">
      <c r="A575" s="396" t="s">
        <v>9184</v>
      </c>
      <c r="B575" s="394" t="s">
        <v>7929</v>
      </c>
      <c r="C575" s="394" t="s">
        <v>9091</v>
      </c>
      <c r="D575" s="281" t="s">
        <v>9131</v>
      </c>
      <c r="E575" s="279">
        <v>22050</v>
      </c>
      <c r="F575" s="393">
        <v>20494887267</v>
      </c>
      <c r="G575" s="394" t="s">
        <v>8133</v>
      </c>
      <c r="H575" s="395">
        <v>43896</v>
      </c>
      <c r="I575" s="395">
        <v>44110</v>
      </c>
      <c r="J575" s="280"/>
    </row>
    <row r="576" spans="1:10" ht="24">
      <c r="A576" s="396" t="s">
        <v>9185</v>
      </c>
      <c r="B576" s="394" t="s">
        <v>7929</v>
      </c>
      <c r="C576" s="394" t="s">
        <v>9091</v>
      </c>
      <c r="D576" s="281" t="s">
        <v>9131</v>
      </c>
      <c r="E576" s="279">
        <v>48699.839999999997</v>
      </c>
      <c r="F576" s="393">
        <v>20601138621</v>
      </c>
      <c r="G576" s="394" t="s">
        <v>8133</v>
      </c>
      <c r="H576" s="395">
        <v>43899</v>
      </c>
      <c r="I576" s="395">
        <v>44113</v>
      </c>
      <c r="J576" s="280"/>
    </row>
    <row r="577" spans="1:10" ht="24">
      <c r="A577" s="396" t="s">
        <v>9186</v>
      </c>
      <c r="B577" s="394" t="s">
        <v>7929</v>
      </c>
      <c r="C577" s="394" t="s">
        <v>9091</v>
      </c>
      <c r="D577" s="281" t="s">
        <v>9131</v>
      </c>
      <c r="E577" s="279">
        <v>67200</v>
      </c>
      <c r="F577" s="393">
        <v>20452467284</v>
      </c>
      <c r="G577" s="394" t="s">
        <v>8133</v>
      </c>
      <c r="H577" s="395">
        <v>43899</v>
      </c>
      <c r="I577" s="395">
        <v>44113</v>
      </c>
      <c r="J577" s="280"/>
    </row>
    <row r="578" spans="1:10" ht="24">
      <c r="A578" s="396" t="s">
        <v>9187</v>
      </c>
      <c r="B578" s="394" t="s">
        <v>7929</v>
      </c>
      <c r="C578" s="394" t="s">
        <v>9091</v>
      </c>
      <c r="D578" s="281" t="s">
        <v>9131</v>
      </c>
      <c r="E578" s="279">
        <v>53690</v>
      </c>
      <c r="F578" s="393">
        <v>20600430476</v>
      </c>
      <c r="G578" s="394" t="s">
        <v>8133</v>
      </c>
      <c r="H578" s="395">
        <v>43896</v>
      </c>
      <c r="I578" s="395">
        <v>44110</v>
      </c>
      <c r="J578" s="280"/>
    </row>
    <row r="579" spans="1:10" ht="24">
      <c r="A579" s="396" t="s">
        <v>9168</v>
      </c>
      <c r="B579" s="394" t="s">
        <v>7929</v>
      </c>
      <c r="C579" s="394" t="s">
        <v>9091</v>
      </c>
      <c r="D579" s="281" t="s">
        <v>9131</v>
      </c>
      <c r="E579" s="279">
        <v>53690</v>
      </c>
      <c r="F579" s="393">
        <v>20600430476</v>
      </c>
      <c r="G579" s="394" t="s">
        <v>8133</v>
      </c>
      <c r="H579" s="395">
        <v>43896</v>
      </c>
      <c r="I579" s="395">
        <v>44110</v>
      </c>
      <c r="J579" s="280"/>
    </row>
    <row r="580" spans="1:10" ht="24">
      <c r="A580" s="396" t="s">
        <v>9188</v>
      </c>
      <c r="B580" s="394" t="s">
        <v>7929</v>
      </c>
      <c r="C580" s="394" t="s">
        <v>9091</v>
      </c>
      <c r="D580" s="281" t="s">
        <v>9131</v>
      </c>
      <c r="E580" s="279">
        <v>47600</v>
      </c>
      <c r="F580" s="393">
        <v>20487753573</v>
      </c>
      <c r="G580" s="394" t="s">
        <v>8133</v>
      </c>
      <c r="H580" s="395">
        <v>43899</v>
      </c>
      <c r="I580" s="395">
        <v>44113</v>
      </c>
      <c r="J580" s="280"/>
    </row>
    <row r="581" spans="1:10" ht="24">
      <c r="A581" s="396" t="s">
        <v>9190</v>
      </c>
      <c r="B581" s="394" t="s">
        <v>7929</v>
      </c>
      <c r="C581" s="394" t="s">
        <v>9091</v>
      </c>
      <c r="D581" s="281" t="s">
        <v>9191</v>
      </c>
      <c r="E581" s="279">
        <v>1550000</v>
      </c>
      <c r="F581" s="393">
        <v>20552917210</v>
      </c>
      <c r="G581" s="394" t="s">
        <v>7741</v>
      </c>
      <c r="H581" s="395">
        <v>43538</v>
      </c>
      <c r="I581" s="395">
        <v>43904</v>
      </c>
      <c r="J581" s="280"/>
    </row>
    <row r="582" spans="1:10" ht="24">
      <c r="A582" s="396" t="s">
        <v>9192</v>
      </c>
      <c r="B582" s="394" t="s">
        <v>8128</v>
      </c>
      <c r="C582" s="394"/>
      <c r="D582" s="281"/>
      <c r="E582" s="279">
        <v>1135650</v>
      </c>
      <c r="F582" s="393"/>
      <c r="G582" s="394" t="s">
        <v>9216</v>
      </c>
      <c r="H582" s="395"/>
      <c r="I582" s="395"/>
      <c r="J582" s="280" t="s">
        <v>9217</v>
      </c>
    </row>
    <row r="583" spans="1:10" ht="24">
      <c r="A583" s="396" t="s">
        <v>9193</v>
      </c>
      <c r="B583" s="394" t="s">
        <v>8128</v>
      </c>
      <c r="C583" s="394"/>
      <c r="D583" s="281"/>
      <c r="E583" s="279">
        <v>454271.2</v>
      </c>
      <c r="F583" s="393"/>
      <c r="G583" s="394" t="s">
        <v>9216</v>
      </c>
      <c r="H583" s="395"/>
      <c r="I583" s="395"/>
      <c r="J583" s="280" t="s">
        <v>9217</v>
      </c>
    </row>
    <row r="584" spans="1:10" ht="24">
      <c r="A584" s="396" t="s">
        <v>9194</v>
      </c>
      <c r="B584" s="394" t="s">
        <v>8128</v>
      </c>
      <c r="C584" s="394"/>
      <c r="D584" s="281"/>
      <c r="E584" s="279">
        <v>594000</v>
      </c>
      <c r="F584" s="393"/>
      <c r="G584" s="394" t="s">
        <v>9216</v>
      </c>
      <c r="H584" s="395"/>
      <c r="I584" s="395"/>
      <c r="J584" s="280" t="s">
        <v>9217</v>
      </c>
    </row>
    <row r="585" spans="1:10" ht="24">
      <c r="A585" s="396" t="s">
        <v>9195</v>
      </c>
      <c r="B585" s="394" t="s">
        <v>8128</v>
      </c>
      <c r="C585" s="394"/>
      <c r="D585" s="281"/>
      <c r="E585" s="279">
        <v>168068.25</v>
      </c>
      <c r="F585" s="393"/>
      <c r="G585" s="394" t="s">
        <v>9216</v>
      </c>
      <c r="H585" s="395"/>
      <c r="I585" s="395"/>
      <c r="J585" s="280" t="s">
        <v>9217</v>
      </c>
    </row>
    <row r="586" spans="1:10" ht="24">
      <c r="A586" s="396" t="s">
        <v>9196</v>
      </c>
      <c r="B586" s="394" t="s">
        <v>8128</v>
      </c>
      <c r="C586" s="394"/>
      <c r="D586" s="281"/>
      <c r="E586" s="279">
        <v>245160</v>
      </c>
      <c r="F586" s="393"/>
      <c r="G586" s="394" t="s">
        <v>9216</v>
      </c>
      <c r="H586" s="395"/>
      <c r="I586" s="395"/>
      <c r="J586" s="280" t="s">
        <v>9217</v>
      </c>
    </row>
    <row r="587" spans="1:10" ht="24">
      <c r="A587" s="396" t="s">
        <v>9197</v>
      </c>
      <c r="B587" s="394" t="s">
        <v>8128</v>
      </c>
      <c r="C587" s="394"/>
      <c r="D587" s="281"/>
      <c r="E587" s="279">
        <v>165600</v>
      </c>
      <c r="F587" s="393"/>
      <c r="G587" s="394" t="s">
        <v>9216</v>
      </c>
      <c r="H587" s="395"/>
      <c r="I587" s="395"/>
      <c r="J587" s="280" t="s">
        <v>9217</v>
      </c>
    </row>
    <row r="588" spans="1:10" ht="24">
      <c r="A588" s="396" t="s">
        <v>9130</v>
      </c>
      <c r="B588" s="394" t="s">
        <v>8128</v>
      </c>
      <c r="C588" s="394"/>
      <c r="D588" s="281"/>
      <c r="E588" s="279">
        <v>172080</v>
      </c>
      <c r="F588" s="393"/>
      <c r="G588" s="394" t="s">
        <v>9216</v>
      </c>
      <c r="H588" s="395"/>
      <c r="I588" s="395"/>
      <c r="J588" s="280" t="s">
        <v>9217</v>
      </c>
    </row>
    <row r="589" spans="1:10" ht="24">
      <c r="A589" s="396" t="s">
        <v>9142</v>
      </c>
      <c r="B589" s="394" t="s">
        <v>8128</v>
      </c>
      <c r="C589" s="394"/>
      <c r="D589" s="281"/>
      <c r="E589" s="279">
        <v>92996.39</v>
      </c>
      <c r="F589" s="393"/>
      <c r="G589" s="394" t="s">
        <v>9216</v>
      </c>
      <c r="H589" s="395"/>
      <c r="I589" s="395"/>
      <c r="J589" s="280" t="s">
        <v>9217</v>
      </c>
    </row>
    <row r="590" spans="1:10" ht="24">
      <c r="A590" s="396" t="s">
        <v>9150</v>
      </c>
      <c r="B590" s="394" t="s">
        <v>8128</v>
      </c>
      <c r="C590" s="394"/>
      <c r="D590" s="281"/>
      <c r="E590" s="279">
        <v>78384</v>
      </c>
      <c r="F590" s="393"/>
      <c r="G590" s="394" t="s">
        <v>9216</v>
      </c>
      <c r="H590" s="395"/>
      <c r="I590" s="395"/>
      <c r="J590" s="280" t="s">
        <v>9217</v>
      </c>
    </row>
    <row r="591" spans="1:10" ht="48">
      <c r="A591" s="396" t="s">
        <v>9104</v>
      </c>
      <c r="B591" s="394" t="s">
        <v>9105</v>
      </c>
      <c r="C591" s="394"/>
      <c r="D591" s="281"/>
      <c r="E591" s="279">
        <v>139999</v>
      </c>
      <c r="F591" s="393"/>
      <c r="G591" s="394" t="s">
        <v>9216</v>
      </c>
      <c r="H591" s="395"/>
      <c r="I591" s="395"/>
      <c r="J591" s="280" t="s">
        <v>9217</v>
      </c>
    </row>
    <row r="592" spans="1:10" ht="48">
      <c r="A592" s="396" t="s">
        <v>9199</v>
      </c>
      <c r="B592" s="394" t="s">
        <v>9105</v>
      </c>
      <c r="C592" s="394"/>
      <c r="D592" s="281"/>
      <c r="E592" s="279">
        <v>80000</v>
      </c>
      <c r="F592" s="393"/>
      <c r="G592" s="394" t="s">
        <v>9216</v>
      </c>
      <c r="H592" s="395"/>
      <c r="I592" s="395"/>
      <c r="J592" s="280" t="s">
        <v>9217</v>
      </c>
    </row>
    <row r="593" spans="1:10" ht="48">
      <c r="A593" s="396" t="s">
        <v>9200</v>
      </c>
      <c r="B593" s="394" t="s">
        <v>9105</v>
      </c>
      <c r="C593" s="394"/>
      <c r="D593" s="281"/>
      <c r="E593" s="279">
        <v>109000</v>
      </c>
      <c r="F593" s="393"/>
      <c r="G593" s="394" t="s">
        <v>9216</v>
      </c>
      <c r="H593" s="395"/>
      <c r="I593" s="395"/>
      <c r="J593" s="280" t="s">
        <v>9217</v>
      </c>
    </row>
    <row r="594" spans="1:10" ht="48">
      <c r="A594" s="396" t="s">
        <v>9201</v>
      </c>
      <c r="B594" s="394" t="s">
        <v>9105</v>
      </c>
      <c r="C594" s="394"/>
      <c r="D594" s="281"/>
      <c r="E594" s="279">
        <v>110000</v>
      </c>
      <c r="F594" s="393"/>
      <c r="G594" s="394" t="s">
        <v>9216</v>
      </c>
      <c r="H594" s="395"/>
      <c r="I594" s="395"/>
      <c r="J594" s="280" t="s">
        <v>9217</v>
      </c>
    </row>
    <row r="595" spans="1:10" ht="48">
      <c r="A595" s="396" t="s">
        <v>9202</v>
      </c>
      <c r="B595" s="394" t="s">
        <v>9105</v>
      </c>
      <c r="C595" s="394"/>
      <c r="D595" s="281"/>
      <c r="E595" s="279">
        <v>80000</v>
      </c>
      <c r="F595" s="393"/>
      <c r="G595" s="394" t="s">
        <v>9216</v>
      </c>
      <c r="H595" s="395"/>
      <c r="I595" s="395"/>
      <c r="J595" s="280" t="s">
        <v>9217</v>
      </c>
    </row>
    <row r="596" spans="1:10" ht="48">
      <c r="A596" s="396" t="s">
        <v>9203</v>
      </c>
      <c r="B596" s="394" t="s">
        <v>9105</v>
      </c>
      <c r="C596" s="394"/>
      <c r="D596" s="281"/>
      <c r="E596" s="279">
        <v>211600</v>
      </c>
      <c r="F596" s="393"/>
      <c r="G596" s="394" t="s">
        <v>9216</v>
      </c>
      <c r="H596" s="395"/>
      <c r="I596" s="395"/>
      <c r="J596" s="280" t="s">
        <v>9217</v>
      </c>
    </row>
    <row r="597" spans="1:10" ht="36">
      <c r="A597" s="396" t="s">
        <v>9204</v>
      </c>
      <c r="B597" s="394" t="s">
        <v>9090</v>
      </c>
      <c r="C597" s="394"/>
      <c r="D597" s="281"/>
      <c r="E597" s="279">
        <v>102859.9</v>
      </c>
      <c r="F597" s="393"/>
      <c r="G597" s="394" t="s">
        <v>9216</v>
      </c>
      <c r="H597" s="395"/>
      <c r="I597" s="395"/>
      <c r="J597" s="280" t="s">
        <v>9217</v>
      </c>
    </row>
    <row r="598" spans="1:10" ht="48">
      <c r="A598" s="396" t="s">
        <v>9132</v>
      </c>
      <c r="B598" s="394" t="s">
        <v>9105</v>
      </c>
      <c r="C598" s="394"/>
      <c r="D598" s="281"/>
      <c r="E598" s="279">
        <v>1224999.79</v>
      </c>
      <c r="F598" s="393"/>
      <c r="G598" s="394" t="s">
        <v>9216</v>
      </c>
      <c r="H598" s="395"/>
      <c r="I598" s="395"/>
      <c r="J598" s="280" t="s">
        <v>9217</v>
      </c>
    </row>
    <row r="599" spans="1:10" ht="48">
      <c r="A599" s="396" t="s">
        <v>9138</v>
      </c>
      <c r="B599" s="394" t="s">
        <v>9105</v>
      </c>
      <c r="C599" s="394"/>
      <c r="D599" s="281"/>
      <c r="E599" s="279">
        <v>588800</v>
      </c>
      <c r="F599" s="393"/>
      <c r="G599" s="394" t="s">
        <v>9216</v>
      </c>
      <c r="H599" s="395"/>
      <c r="I599" s="395"/>
      <c r="J599" s="280" t="s">
        <v>9217</v>
      </c>
    </row>
    <row r="600" spans="1:10" ht="48">
      <c r="A600" s="396" t="s">
        <v>9139</v>
      </c>
      <c r="B600" s="394" t="s">
        <v>9105</v>
      </c>
      <c r="C600" s="394"/>
      <c r="D600" s="281"/>
      <c r="E600" s="279">
        <v>215000</v>
      </c>
      <c r="F600" s="393"/>
      <c r="G600" s="394" t="s">
        <v>9216</v>
      </c>
      <c r="H600" s="395"/>
      <c r="I600" s="395"/>
      <c r="J600" s="280" t="s">
        <v>9217</v>
      </c>
    </row>
    <row r="601" spans="1:10" ht="24">
      <c r="A601" s="396" t="s">
        <v>9206</v>
      </c>
      <c r="B601" s="394" t="s">
        <v>8128</v>
      </c>
      <c r="C601" s="394"/>
      <c r="D601" s="281"/>
      <c r="E601" s="279">
        <v>9915155.6999999993</v>
      </c>
      <c r="F601" s="393"/>
      <c r="G601" s="394" t="s">
        <v>9216</v>
      </c>
      <c r="H601" s="395"/>
      <c r="I601" s="395"/>
      <c r="J601" s="280" t="s">
        <v>9217</v>
      </c>
    </row>
    <row r="602" spans="1:10" ht="24">
      <c r="A602" s="396" t="s">
        <v>9208</v>
      </c>
      <c r="B602" s="394" t="s">
        <v>7929</v>
      </c>
      <c r="C602" s="394"/>
      <c r="D602" s="281"/>
      <c r="E602" s="279">
        <v>1750000.08</v>
      </c>
      <c r="F602" s="393"/>
      <c r="G602" s="394" t="s">
        <v>9216</v>
      </c>
      <c r="H602" s="395"/>
      <c r="I602" s="395"/>
      <c r="J602" s="280" t="s">
        <v>9217</v>
      </c>
    </row>
    <row r="603" spans="1:10" ht="36">
      <c r="A603" s="396" t="s">
        <v>9153</v>
      </c>
      <c r="B603" s="394" t="s">
        <v>9090</v>
      </c>
      <c r="C603" s="394"/>
      <c r="D603" s="281"/>
      <c r="E603" s="279">
        <v>142900</v>
      </c>
      <c r="F603" s="393"/>
      <c r="G603" s="394" t="s">
        <v>9216</v>
      </c>
      <c r="H603" s="395"/>
      <c r="I603" s="395"/>
      <c r="J603" s="280" t="s">
        <v>9217</v>
      </c>
    </row>
    <row r="604" spans="1:10" ht="36">
      <c r="A604" s="396" t="s">
        <v>9209</v>
      </c>
      <c r="B604" s="394" t="s">
        <v>9090</v>
      </c>
      <c r="C604" s="394"/>
      <c r="D604" s="281"/>
      <c r="E604" s="279">
        <v>244100</v>
      </c>
      <c r="F604" s="393"/>
      <c r="G604" s="394" t="s">
        <v>9216</v>
      </c>
      <c r="H604" s="395"/>
      <c r="I604" s="395"/>
      <c r="J604" s="280" t="s">
        <v>9217</v>
      </c>
    </row>
    <row r="605" spans="1:10" ht="36">
      <c r="A605" s="396" t="s">
        <v>9210</v>
      </c>
      <c r="B605" s="394" t="s">
        <v>9090</v>
      </c>
      <c r="C605" s="394"/>
      <c r="D605" s="281"/>
      <c r="E605" s="279">
        <v>39600</v>
      </c>
      <c r="F605" s="393"/>
      <c r="G605" s="394" t="s">
        <v>9216</v>
      </c>
      <c r="H605" s="395"/>
      <c r="I605" s="395"/>
      <c r="J605" s="280" t="s">
        <v>9217</v>
      </c>
    </row>
    <row r="606" spans="1:10" ht="36">
      <c r="A606" s="396" t="s">
        <v>9156</v>
      </c>
      <c r="B606" s="394" t="s">
        <v>9090</v>
      </c>
      <c r="C606" s="394"/>
      <c r="D606" s="281"/>
      <c r="E606" s="279">
        <v>359702.28</v>
      </c>
      <c r="F606" s="393"/>
      <c r="G606" s="394" t="s">
        <v>9216</v>
      </c>
      <c r="H606" s="395"/>
      <c r="I606" s="395"/>
      <c r="J606" s="280" t="s">
        <v>9217</v>
      </c>
    </row>
    <row r="607" spans="1:10" ht="24">
      <c r="A607" s="396" t="s">
        <v>9211</v>
      </c>
      <c r="B607" s="394" t="s">
        <v>7929</v>
      </c>
      <c r="C607" s="394"/>
      <c r="D607" s="281"/>
      <c r="E607" s="279">
        <v>2062201.03</v>
      </c>
      <c r="F607" s="393"/>
      <c r="G607" s="394" t="s">
        <v>9216</v>
      </c>
      <c r="H607" s="395"/>
      <c r="I607" s="395"/>
      <c r="J607" s="280" t="s">
        <v>9217</v>
      </c>
    </row>
    <row r="608" spans="1:10" ht="36">
      <c r="A608" s="396" t="s">
        <v>9159</v>
      </c>
      <c r="B608" s="394" t="s">
        <v>9090</v>
      </c>
      <c r="C608" s="394"/>
      <c r="D608" s="281"/>
      <c r="E608" s="279">
        <v>56170</v>
      </c>
      <c r="F608" s="393"/>
      <c r="G608" s="394" t="s">
        <v>9216</v>
      </c>
      <c r="H608" s="395"/>
      <c r="I608" s="395"/>
      <c r="J608" s="280" t="s">
        <v>9217</v>
      </c>
    </row>
    <row r="609" spans="1:10" ht="48">
      <c r="A609" s="396" t="s">
        <v>9212</v>
      </c>
      <c r="B609" s="394" t="s">
        <v>9105</v>
      </c>
      <c r="C609" s="394"/>
      <c r="D609" s="281"/>
      <c r="E609" s="279">
        <v>94274.28</v>
      </c>
      <c r="F609" s="393"/>
      <c r="G609" s="394" t="s">
        <v>9216</v>
      </c>
      <c r="H609" s="395"/>
      <c r="I609" s="395"/>
      <c r="J609" s="280" t="s">
        <v>9217</v>
      </c>
    </row>
    <row r="610" spans="1:10" ht="48">
      <c r="A610" s="396" t="s">
        <v>9213</v>
      </c>
      <c r="B610" s="394" t="s">
        <v>9105</v>
      </c>
      <c r="C610" s="394"/>
      <c r="D610" s="281"/>
      <c r="E610" s="279">
        <v>121717.93</v>
      </c>
      <c r="F610" s="393"/>
      <c r="G610" s="394" t="s">
        <v>9216</v>
      </c>
      <c r="H610" s="395"/>
      <c r="I610" s="395"/>
      <c r="J610" s="280" t="s">
        <v>9217</v>
      </c>
    </row>
    <row r="611" spans="1:10" ht="36">
      <c r="A611" s="396" t="s">
        <v>9162</v>
      </c>
      <c r="B611" s="394" t="s">
        <v>9090</v>
      </c>
      <c r="C611" s="394"/>
      <c r="D611" s="281"/>
      <c r="E611" s="279">
        <v>77130</v>
      </c>
      <c r="F611" s="393"/>
      <c r="G611" s="394" t="s">
        <v>9216</v>
      </c>
      <c r="H611" s="395"/>
      <c r="I611" s="395"/>
      <c r="J611" s="280" t="s">
        <v>9217</v>
      </c>
    </row>
    <row r="612" spans="1:10" ht="24">
      <c r="A612" s="396" t="s">
        <v>9208</v>
      </c>
      <c r="B612" s="394" t="s">
        <v>7929</v>
      </c>
      <c r="C612" s="394"/>
      <c r="D612" s="281"/>
      <c r="E612" s="279">
        <v>1750000.08</v>
      </c>
      <c r="F612" s="393"/>
      <c r="G612" s="394" t="s">
        <v>9216</v>
      </c>
      <c r="H612" s="395"/>
      <c r="I612" s="395"/>
      <c r="J612" s="280" t="s">
        <v>9217</v>
      </c>
    </row>
    <row r="613" spans="1:10" ht="36">
      <c r="A613" s="396" t="s">
        <v>9153</v>
      </c>
      <c r="B613" s="394" t="s">
        <v>9090</v>
      </c>
      <c r="C613" s="394"/>
      <c r="D613" s="281"/>
      <c r="E613" s="279">
        <v>142900</v>
      </c>
      <c r="F613" s="393"/>
      <c r="G613" s="394" t="s">
        <v>9216</v>
      </c>
      <c r="H613" s="395"/>
      <c r="I613" s="395"/>
      <c r="J613" s="280" t="s">
        <v>9217</v>
      </c>
    </row>
    <row r="614" spans="1:10" ht="36">
      <c r="A614" s="396" t="s">
        <v>9209</v>
      </c>
      <c r="B614" s="394" t="s">
        <v>9090</v>
      </c>
      <c r="C614" s="394"/>
      <c r="D614" s="281"/>
      <c r="E614" s="279">
        <v>244100</v>
      </c>
      <c r="F614" s="393"/>
      <c r="G614" s="394" t="s">
        <v>9216</v>
      </c>
      <c r="H614" s="395"/>
      <c r="I614" s="395"/>
      <c r="J614" s="280" t="s">
        <v>9217</v>
      </c>
    </row>
    <row r="615" spans="1:10" ht="36">
      <c r="A615" s="396" t="s">
        <v>9210</v>
      </c>
      <c r="B615" s="394" t="s">
        <v>9090</v>
      </c>
      <c r="C615" s="394"/>
      <c r="D615" s="281"/>
      <c r="E615" s="279">
        <v>39600</v>
      </c>
      <c r="F615" s="393"/>
      <c r="G615" s="394" t="s">
        <v>9216</v>
      </c>
      <c r="H615" s="395"/>
      <c r="I615" s="395"/>
      <c r="J615" s="280" t="s">
        <v>9217</v>
      </c>
    </row>
    <row r="616" spans="1:10" ht="36">
      <c r="A616" s="396" t="s">
        <v>9156</v>
      </c>
      <c r="B616" s="394" t="s">
        <v>9090</v>
      </c>
      <c r="C616" s="394"/>
      <c r="D616" s="281"/>
      <c r="E616" s="279">
        <v>359702.28</v>
      </c>
      <c r="F616" s="393"/>
      <c r="G616" s="394" t="s">
        <v>9216</v>
      </c>
      <c r="H616" s="395"/>
      <c r="I616" s="395"/>
      <c r="J616" s="280" t="s">
        <v>9217</v>
      </c>
    </row>
    <row r="617" spans="1:10" ht="24">
      <c r="A617" s="396" t="s">
        <v>9211</v>
      </c>
      <c r="B617" s="394" t="s">
        <v>7929</v>
      </c>
      <c r="C617" s="394"/>
      <c r="D617" s="281"/>
      <c r="E617" s="279">
        <v>2062201.03</v>
      </c>
      <c r="F617" s="393"/>
      <c r="G617" s="394" t="s">
        <v>9216</v>
      </c>
      <c r="H617" s="395"/>
      <c r="I617" s="395"/>
      <c r="J617" s="280" t="s">
        <v>9217</v>
      </c>
    </row>
    <row r="618" spans="1:10" ht="36">
      <c r="A618" s="396" t="s">
        <v>9159</v>
      </c>
      <c r="B618" s="394" t="s">
        <v>9090</v>
      </c>
      <c r="C618" s="394"/>
      <c r="D618" s="281"/>
      <c r="E618" s="279">
        <v>56170</v>
      </c>
      <c r="F618" s="393"/>
      <c r="G618" s="394" t="s">
        <v>9216</v>
      </c>
      <c r="H618" s="395"/>
      <c r="I618" s="395"/>
      <c r="J618" s="280" t="s">
        <v>9217</v>
      </c>
    </row>
    <row r="619" spans="1:10" ht="48">
      <c r="A619" s="396" t="s">
        <v>9212</v>
      </c>
      <c r="B619" s="394" t="s">
        <v>9105</v>
      </c>
      <c r="C619" s="394"/>
      <c r="D619" s="281"/>
      <c r="E619" s="279">
        <v>94274.28</v>
      </c>
      <c r="F619" s="393"/>
      <c r="G619" s="394" t="s">
        <v>9216</v>
      </c>
      <c r="H619" s="395"/>
      <c r="I619" s="395"/>
      <c r="J619" s="280" t="s">
        <v>9217</v>
      </c>
    </row>
    <row r="620" spans="1:10" ht="48">
      <c r="A620" s="396" t="s">
        <v>9213</v>
      </c>
      <c r="B620" s="394" t="s">
        <v>9105</v>
      </c>
      <c r="C620" s="394"/>
      <c r="D620" s="281"/>
      <c r="E620" s="279">
        <v>121717.93</v>
      </c>
      <c r="F620" s="393"/>
      <c r="G620" s="394" t="s">
        <v>9216</v>
      </c>
      <c r="H620" s="395"/>
      <c r="I620" s="395"/>
      <c r="J620" s="280" t="s">
        <v>9217</v>
      </c>
    </row>
    <row r="621" spans="1:10" ht="36">
      <c r="A621" s="396" t="s">
        <v>9162</v>
      </c>
      <c r="B621" s="394" t="s">
        <v>9090</v>
      </c>
      <c r="C621" s="394"/>
      <c r="D621" s="394"/>
      <c r="E621" s="279">
        <v>77130</v>
      </c>
      <c r="F621" s="393"/>
      <c r="G621" s="394" t="s">
        <v>9216</v>
      </c>
      <c r="H621" s="395"/>
      <c r="I621" s="395"/>
      <c r="J621" s="280" t="s">
        <v>9217</v>
      </c>
    </row>
    <row r="622" spans="1:10" ht="36">
      <c r="A622" s="396" t="s">
        <v>9215</v>
      </c>
      <c r="B622" s="394" t="s">
        <v>9090</v>
      </c>
      <c r="C622" s="394"/>
      <c r="D622" s="281"/>
      <c r="E622" s="279">
        <v>1688107.5</v>
      </c>
      <c r="F622" s="393"/>
      <c r="G622" s="394" t="s">
        <v>9216</v>
      </c>
      <c r="H622" s="395"/>
      <c r="I622" s="395"/>
      <c r="J622" s="280" t="s">
        <v>9217</v>
      </c>
    </row>
    <row r="623" spans="1:10" ht="24">
      <c r="A623" s="396" t="s">
        <v>9165</v>
      </c>
      <c r="B623" s="394" t="s">
        <v>7929</v>
      </c>
      <c r="C623" s="394"/>
      <c r="D623" s="281"/>
      <c r="E623" s="279">
        <v>85654.52</v>
      </c>
      <c r="F623" s="393"/>
      <c r="G623" s="394" t="s">
        <v>9216</v>
      </c>
      <c r="H623" s="395"/>
      <c r="I623" s="395"/>
      <c r="J623" s="280" t="s">
        <v>9217</v>
      </c>
    </row>
    <row r="624" spans="1:10" ht="24">
      <c r="A624" s="396" t="s">
        <v>9167</v>
      </c>
      <c r="B624" s="394" t="s">
        <v>7929</v>
      </c>
      <c r="C624" s="394"/>
      <c r="D624" s="281"/>
      <c r="E624" s="279">
        <v>107380</v>
      </c>
      <c r="F624" s="393"/>
      <c r="G624" s="394" t="s">
        <v>9216</v>
      </c>
      <c r="H624" s="395"/>
      <c r="I624" s="395"/>
      <c r="J624" s="280" t="s">
        <v>9217</v>
      </c>
    </row>
    <row r="625" spans="1:10" ht="24">
      <c r="A625" s="396" t="s">
        <v>9170</v>
      </c>
      <c r="B625" s="394" t="s">
        <v>7929</v>
      </c>
      <c r="C625" s="394"/>
      <c r="D625" s="394"/>
      <c r="E625" s="279">
        <v>24000</v>
      </c>
      <c r="F625" s="393"/>
      <c r="G625" s="394" t="s">
        <v>9216</v>
      </c>
      <c r="H625" s="395"/>
      <c r="I625" s="395"/>
      <c r="J625" s="280" t="s">
        <v>9217</v>
      </c>
    </row>
    <row r="626" spans="1:10" ht="24">
      <c r="A626" s="396" t="s">
        <v>9171</v>
      </c>
      <c r="B626" s="394" t="s">
        <v>7929</v>
      </c>
      <c r="C626" s="394"/>
      <c r="D626" s="281"/>
      <c r="E626" s="279">
        <v>125000</v>
      </c>
      <c r="F626" s="393"/>
      <c r="G626" s="394" t="s">
        <v>9216</v>
      </c>
      <c r="H626" s="395"/>
      <c r="I626" s="395"/>
      <c r="J626" s="280" t="s">
        <v>9217</v>
      </c>
    </row>
    <row r="627" spans="1:10" ht="24">
      <c r="A627" s="396" t="s">
        <v>9174</v>
      </c>
      <c r="B627" s="394" t="s">
        <v>7929</v>
      </c>
      <c r="C627" s="394"/>
      <c r="D627" s="281"/>
      <c r="E627" s="279">
        <v>191433.76</v>
      </c>
      <c r="F627" s="393"/>
      <c r="G627" s="394" t="s">
        <v>9216</v>
      </c>
      <c r="H627" s="395"/>
      <c r="I627" s="395"/>
      <c r="J627" s="280" t="s">
        <v>9217</v>
      </c>
    </row>
    <row r="628" spans="1:10" ht="24">
      <c r="A628" s="396" t="s">
        <v>9177</v>
      </c>
      <c r="B628" s="394" t="s">
        <v>7929</v>
      </c>
      <c r="C628" s="394"/>
      <c r="D628" s="281"/>
      <c r="E628" s="279">
        <v>95716.88</v>
      </c>
      <c r="F628" s="393"/>
      <c r="G628" s="394" t="s">
        <v>9216</v>
      </c>
      <c r="H628" s="395"/>
      <c r="I628" s="395"/>
      <c r="J628" s="280" t="s">
        <v>9217</v>
      </c>
    </row>
    <row r="629" spans="1:10" ht="24">
      <c r="A629" s="396" t="s">
        <v>9178</v>
      </c>
      <c r="B629" s="394" t="s">
        <v>7929</v>
      </c>
      <c r="C629" s="394"/>
      <c r="D629" s="394"/>
      <c r="E629" s="279">
        <v>50750</v>
      </c>
      <c r="F629" s="393"/>
      <c r="G629" s="394" t="s">
        <v>9216</v>
      </c>
      <c r="H629" s="395"/>
      <c r="I629" s="395"/>
      <c r="J629" s="280" t="s">
        <v>9217</v>
      </c>
    </row>
    <row r="630" spans="1:10" ht="24">
      <c r="A630" s="396" t="s">
        <v>9179</v>
      </c>
      <c r="B630" s="394" t="s">
        <v>7929</v>
      </c>
      <c r="C630" s="394"/>
      <c r="D630" s="281"/>
      <c r="E630" s="279">
        <v>41790</v>
      </c>
      <c r="F630" s="393"/>
      <c r="G630" s="394" t="s">
        <v>9216</v>
      </c>
      <c r="H630" s="395"/>
      <c r="I630" s="395"/>
      <c r="J630" s="280" t="s">
        <v>9217</v>
      </c>
    </row>
    <row r="631" spans="1:10" ht="24">
      <c r="A631" s="396" t="s">
        <v>9180</v>
      </c>
      <c r="B631" s="394" t="s">
        <v>7929</v>
      </c>
      <c r="C631" s="394"/>
      <c r="D631" s="281"/>
      <c r="E631" s="279">
        <v>101310.94</v>
      </c>
      <c r="F631" s="393"/>
      <c r="G631" s="394" t="s">
        <v>9216</v>
      </c>
      <c r="H631" s="395"/>
      <c r="I631" s="395"/>
      <c r="J631" s="280" t="s">
        <v>9217</v>
      </c>
    </row>
    <row r="632" spans="1:10" ht="24">
      <c r="A632" s="396" t="s">
        <v>9181</v>
      </c>
      <c r="B632" s="394" t="s">
        <v>7929</v>
      </c>
      <c r="C632" s="394"/>
      <c r="D632" s="281"/>
      <c r="E632" s="279">
        <v>100000</v>
      </c>
      <c r="F632" s="393"/>
      <c r="G632" s="394" t="s">
        <v>9216</v>
      </c>
      <c r="H632" s="395"/>
      <c r="I632" s="395"/>
      <c r="J632" s="280" t="s">
        <v>9217</v>
      </c>
    </row>
    <row r="633" spans="1:10" ht="24">
      <c r="A633" s="396" t="s">
        <v>9183</v>
      </c>
      <c r="B633" s="394" t="s">
        <v>7929</v>
      </c>
      <c r="C633" s="394"/>
      <c r="D633" s="394"/>
      <c r="E633" s="279">
        <v>53690</v>
      </c>
      <c r="F633" s="393"/>
      <c r="G633" s="394" t="s">
        <v>9216</v>
      </c>
      <c r="H633" s="395"/>
      <c r="I633" s="395"/>
      <c r="J633" s="280" t="s">
        <v>9217</v>
      </c>
    </row>
    <row r="634" spans="1:10" ht="24">
      <c r="A634" s="396" t="s">
        <v>9184</v>
      </c>
      <c r="B634" s="394" t="s">
        <v>7929</v>
      </c>
      <c r="C634" s="394"/>
      <c r="D634" s="281"/>
      <c r="E634" s="279">
        <v>22050</v>
      </c>
      <c r="F634" s="393"/>
      <c r="G634" s="394" t="s">
        <v>9216</v>
      </c>
      <c r="H634" s="395"/>
      <c r="I634" s="395"/>
      <c r="J634" s="280" t="s">
        <v>9217</v>
      </c>
    </row>
    <row r="635" spans="1:10" ht="24">
      <c r="A635" s="396" t="s">
        <v>9185</v>
      </c>
      <c r="B635" s="394" t="s">
        <v>7929</v>
      </c>
      <c r="C635" s="394"/>
      <c r="D635" s="281"/>
      <c r="E635" s="279">
        <v>48699.839999999997</v>
      </c>
      <c r="F635" s="393"/>
      <c r="G635" s="394" t="s">
        <v>9216</v>
      </c>
      <c r="H635" s="395"/>
      <c r="I635" s="395"/>
      <c r="J635" s="280" t="s">
        <v>9217</v>
      </c>
    </row>
    <row r="636" spans="1:10" ht="24">
      <c r="A636" s="396" t="s">
        <v>9186</v>
      </c>
      <c r="B636" s="394" t="s">
        <v>7929</v>
      </c>
      <c r="C636" s="394"/>
      <c r="D636" s="281"/>
      <c r="E636" s="279">
        <v>67200</v>
      </c>
      <c r="F636" s="393"/>
      <c r="G636" s="394" t="s">
        <v>9216</v>
      </c>
      <c r="H636" s="395"/>
      <c r="I636" s="395"/>
      <c r="J636" s="280" t="s">
        <v>9217</v>
      </c>
    </row>
    <row r="637" spans="1:10" ht="24">
      <c r="A637" s="396" t="s">
        <v>9187</v>
      </c>
      <c r="B637" s="394" t="s">
        <v>7929</v>
      </c>
      <c r="C637" s="394"/>
      <c r="D637" s="394"/>
      <c r="E637" s="279">
        <v>53690</v>
      </c>
      <c r="F637" s="393"/>
      <c r="G637" s="394" t="s">
        <v>9216</v>
      </c>
      <c r="H637" s="395"/>
      <c r="I637" s="395"/>
      <c r="J637" s="280" t="s">
        <v>9217</v>
      </c>
    </row>
    <row r="638" spans="1:10" ht="24">
      <c r="A638" s="396" t="s">
        <v>9168</v>
      </c>
      <c r="B638" s="394" t="s">
        <v>7929</v>
      </c>
      <c r="C638" s="394"/>
      <c r="D638" s="281"/>
      <c r="E638" s="279">
        <v>53690</v>
      </c>
      <c r="F638" s="393"/>
      <c r="G638" s="394" t="s">
        <v>9216</v>
      </c>
      <c r="H638" s="395"/>
      <c r="I638" s="395"/>
      <c r="J638" s="280" t="s">
        <v>9217</v>
      </c>
    </row>
    <row r="639" spans="1:10" ht="24">
      <c r="A639" s="396" t="s">
        <v>9188</v>
      </c>
      <c r="B639" s="394" t="s">
        <v>7929</v>
      </c>
      <c r="C639" s="394"/>
      <c r="D639" s="281"/>
      <c r="E639" s="279">
        <v>47600</v>
      </c>
      <c r="F639" s="393"/>
      <c r="G639" s="394" t="s">
        <v>9216</v>
      </c>
      <c r="H639" s="395"/>
      <c r="I639" s="395"/>
      <c r="J639" s="280" t="s">
        <v>9217</v>
      </c>
    </row>
    <row r="640" spans="1:10" ht="24">
      <c r="A640" s="396" t="s">
        <v>9218</v>
      </c>
      <c r="B640" s="394" t="s">
        <v>7929</v>
      </c>
      <c r="C640" s="394"/>
      <c r="D640" s="281"/>
      <c r="E640" s="279">
        <v>147000</v>
      </c>
      <c r="F640" s="393"/>
      <c r="G640" s="394" t="s">
        <v>9216</v>
      </c>
      <c r="H640" s="395"/>
      <c r="I640" s="395"/>
      <c r="J640" s="280" t="s">
        <v>9217</v>
      </c>
    </row>
    <row r="641" spans="1:10" ht="24">
      <c r="A641" s="396" t="s">
        <v>9219</v>
      </c>
      <c r="B641" s="394" t="s">
        <v>7929</v>
      </c>
      <c r="C641" s="394"/>
      <c r="D641" s="394"/>
      <c r="E641" s="279">
        <v>281999.23</v>
      </c>
      <c r="F641" s="393"/>
      <c r="G641" s="394" t="s">
        <v>9216</v>
      </c>
      <c r="H641" s="395"/>
      <c r="I641" s="395"/>
      <c r="J641" s="280" t="s">
        <v>9217</v>
      </c>
    </row>
    <row r="642" spans="1:10">
      <c r="A642" s="265" t="s">
        <v>9220</v>
      </c>
      <c r="B642" s="265" t="s">
        <v>7929</v>
      </c>
      <c r="E642" s="265">
        <v>121068</v>
      </c>
      <c r="G642" s="265" t="s">
        <v>9216</v>
      </c>
      <c r="J642" s="265" t="s">
        <v>9217</v>
      </c>
    </row>
    <row r="643" spans="1:10">
      <c r="A643" s="265" t="s">
        <v>9221</v>
      </c>
      <c r="B643" s="265" t="s">
        <v>7929</v>
      </c>
      <c r="E643" s="265">
        <v>194800</v>
      </c>
      <c r="G643" s="265" t="s">
        <v>9216</v>
      </c>
      <c r="J643" s="265" t="s">
        <v>9217</v>
      </c>
    </row>
    <row r="644" spans="1:10">
      <c r="A644" s="265" t="s">
        <v>9222</v>
      </c>
      <c r="B644" s="265" t="s">
        <v>7929</v>
      </c>
      <c r="E644" s="265">
        <v>124800</v>
      </c>
      <c r="G644" s="265" t="s">
        <v>9216</v>
      </c>
      <c r="J644" s="265" t="s">
        <v>9217</v>
      </c>
    </row>
    <row r="645" spans="1:10">
      <c r="A645" s="265" t="s">
        <v>9223</v>
      </c>
      <c r="B645" s="265" t="s">
        <v>7929</v>
      </c>
      <c r="E645" s="265">
        <v>78999</v>
      </c>
      <c r="G645" s="265" t="s">
        <v>9216</v>
      </c>
      <c r="J645" s="265" t="s">
        <v>9217</v>
      </c>
    </row>
    <row r="646" spans="1:10" ht="12.75" thickBot="1">
      <c r="A646" s="265" t="s">
        <v>9190</v>
      </c>
      <c r="B646" s="265" t="s">
        <v>7929</v>
      </c>
      <c r="E646" s="265">
        <v>1550000</v>
      </c>
      <c r="G646" s="265" t="s">
        <v>9216</v>
      </c>
      <c r="J646" s="265" t="s">
        <v>9217</v>
      </c>
    </row>
    <row r="647" spans="1:10" ht="12.75" thickBot="1">
      <c r="A647" s="2043" t="s">
        <v>9336</v>
      </c>
      <c r="B647" s="2044"/>
      <c r="C647" s="2044"/>
      <c r="D647" s="2044"/>
      <c r="E647" s="2044"/>
      <c r="F647" s="2044"/>
      <c r="G647" s="2044"/>
      <c r="H647" s="2044"/>
      <c r="I647" s="2044"/>
      <c r="J647" s="2054"/>
    </row>
    <row r="648" spans="1:10" ht="36">
      <c r="A648" s="260" t="s">
        <v>9337</v>
      </c>
      <c r="B648" s="1657" t="s">
        <v>7939</v>
      </c>
      <c r="C648" s="260" t="s">
        <v>9338</v>
      </c>
      <c r="D648" s="1803"/>
      <c r="E648" s="1804">
        <v>130000</v>
      </c>
      <c r="F648" s="1805"/>
      <c r="G648" s="1659" t="s">
        <v>9339</v>
      </c>
      <c r="H648" s="1806"/>
      <c r="I648" s="1806"/>
      <c r="J648" s="1659" t="s">
        <v>7950</v>
      </c>
    </row>
    <row r="649" spans="1:10" ht="36">
      <c r="A649" s="260" t="s">
        <v>9340</v>
      </c>
      <c r="B649" s="1657" t="s">
        <v>7939</v>
      </c>
      <c r="C649" s="260" t="s">
        <v>9338</v>
      </c>
      <c r="D649" s="1803"/>
      <c r="E649" s="1804">
        <v>87000</v>
      </c>
      <c r="F649" s="1805"/>
      <c r="G649" s="1659" t="s">
        <v>9341</v>
      </c>
      <c r="H649" s="1806"/>
      <c r="I649" s="1806"/>
      <c r="J649" s="1659" t="s">
        <v>7950</v>
      </c>
    </row>
    <row r="650" spans="1:10" ht="36">
      <c r="A650" s="260" t="s">
        <v>9342</v>
      </c>
      <c r="B650" s="1657" t="s">
        <v>7939</v>
      </c>
      <c r="C650" s="260" t="s">
        <v>9338</v>
      </c>
      <c r="D650" s="1803"/>
      <c r="E650" s="1804">
        <v>50000</v>
      </c>
      <c r="F650" s="1805"/>
      <c r="G650" s="1659" t="s">
        <v>9339</v>
      </c>
      <c r="H650" s="1806"/>
      <c r="I650" s="1806"/>
      <c r="J650" s="1659" t="s">
        <v>7950</v>
      </c>
    </row>
    <row r="651" spans="1:10" ht="24">
      <c r="A651" s="260" t="s">
        <v>9343</v>
      </c>
      <c r="B651" s="1657" t="s">
        <v>7943</v>
      </c>
      <c r="C651" s="260" t="s">
        <v>9338</v>
      </c>
      <c r="D651" s="1803" t="s">
        <v>9344</v>
      </c>
      <c r="E651" s="1804">
        <v>1710000</v>
      </c>
      <c r="F651" s="1805" t="s">
        <v>9345</v>
      </c>
      <c r="G651" s="1659" t="s">
        <v>9346</v>
      </c>
      <c r="H651" s="1806">
        <v>44086</v>
      </c>
      <c r="I651" s="1806">
        <v>45181</v>
      </c>
      <c r="J651" s="1659" t="s">
        <v>7950</v>
      </c>
    </row>
    <row r="652" spans="1:10" ht="36">
      <c r="A652" s="260" t="s">
        <v>9347</v>
      </c>
      <c r="B652" s="1657" t="s">
        <v>7939</v>
      </c>
      <c r="C652" s="260" t="s">
        <v>9338</v>
      </c>
      <c r="D652" s="1803" t="s">
        <v>9344</v>
      </c>
      <c r="E652" s="1804">
        <v>48813</v>
      </c>
      <c r="F652" s="1805" t="s">
        <v>9348</v>
      </c>
      <c r="G652" s="1659" t="s">
        <v>9349</v>
      </c>
      <c r="H652" s="1806">
        <v>44104</v>
      </c>
      <c r="I652" s="1806">
        <v>44469</v>
      </c>
      <c r="J652" s="1659" t="s">
        <v>7950</v>
      </c>
    </row>
    <row r="653" spans="1:10" ht="36">
      <c r="A653" s="260" t="s">
        <v>9350</v>
      </c>
      <c r="B653" s="1657" t="s">
        <v>7939</v>
      </c>
      <c r="C653" s="260" t="s">
        <v>9338</v>
      </c>
      <c r="D653" s="1803" t="s">
        <v>9351</v>
      </c>
      <c r="E653" s="1804">
        <v>110249.76</v>
      </c>
      <c r="F653" s="1805" t="s">
        <v>9352</v>
      </c>
      <c r="G653" s="1659" t="s">
        <v>9346</v>
      </c>
      <c r="H653" s="1806">
        <v>43753</v>
      </c>
      <c r="I653" s="1806">
        <v>44119</v>
      </c>
      <c r="J653" s="1659" t="s">
        <v>9346</v>
      </c>
    </row>
    <row r="654" spans="1:10" ht="36">
      <c r="A654" s="260" t="s">
        <v>9353</v>
      </c>
      <c r="B654" s="1657" t="s">
        <v>7939</v>
      </c>
      <c r="C654" s="260" t="s">
        <v>9338</v>
      </c>
      <c r="D654" s="1630" t="s">
        <v>9354</v>
      </c>
      <c r="E654" s="1804">
        <v>70000</v>
      </c>
      <c r="F654" s="1807" t="s">
        <v>9355</v>
      </c>
      <c r="G654" s="1659" t="s">
        <v>9346</v>
      </c>
      <c r="H654" s="1806">
        <v>43745</v>
      </c>
      <c r="I654" s="1806">
        <v>44111</v>
      </c>
      <c r="J654" s="1659" t="s">
        <v>9346</v>
      </c>
    </row>
    <row r="655" spans="1:10" ht="36">
      <c r="A655" s="260" t="s">
        <v>9356</v>
      </c>
      <c r="B655" s="1657" t="s">
        <v>7939</v>
      </c>
      <c r="C655" s="260" t="s">
        <v>9338</v>
      </c>
      <c r="D655" s="1803" t="s">
        <v>9357</v>
      </c>
      <c r="E655" s="1804">
        <v>49759.43</v>
      </c>
      <c r="F655" s="1805" t="s">
        <v>9358</v>
      </c>
      <c r="G655" s="1659" t="s">
        <v>9346</v>
      </c>
      <c r="H655" s="1806">
        <v>43778</v>
      </c>
      <c r="I655" s="1806">
        <v>44144</v>
      </c>
      <c r="J655" s="1659" t="s">
        <v>9346</v>
      </c>
    </row>
    <row r="656" spans="1:10" ht="24">
      <c r="A656" s="260" t="s">
        <v>9359</v>
      </c>
      <c r="B656" s="1657" t="s">
        <v>9360</v>
      </c>
      <c r="C656" s="260" t="s">
        <v>9338</v>
      </c>
      <c r="D656" s="1803" t="s">
        <v>9361</v>
      </c>
      <c r="E656" s="1804">
        <v>249782.39999999999</v>
      </c>
      <c r="F656" s="1805" t="s">
        <v>9362</v>
      </c>
      <c r="G656" s="1659" t="s">
        <v>9346</v>
      </c>
      <c r="H656" s="1806">
        <v>43186</v>
      </c>
      <c r="I656" s="1806">
        <v>44320</v>
      </c>
      <c r="J656" s="1659" t="s">
        <v>7950</v>
      </c>
    </row>
    <row r="657" spans="1:10" ht="48">
      <c r="A657" s="260" t="s">
        <v>9363</v>
      </c>
      <c r="B657" s="1657" t="s">
        <v>9364</v>
      </c>
      <c r="C657" s="260" t="s">
        <v>9338</v>
      </c>
      <c r="D657" s="1803" t="s">
        <v>9365</v>
      </c>
      <c r="E657" s="1804">
        <v>693000</v>
      </c>
      <c r="F657" s="1805" t="s">
        <v>9345</v>
      </c>
      <c r="G657" s="1659" t="s">
        <v>9346</v>
      </c>
      <c r="H657" s="1806">
        <v>43628</v>
      </c>
      <c r="I657" s="1806">
        <v>44085</v>
      </c>
      <c r="J657" s="1659" t="s">
        <v>9366</v>
      </c>
    </row>
    <row r="658" spans="1:10" ht="36">
      <c r="A658" s="260" t="s">
        <v>9367</v>
      </c>
      <c r="B658" s="1657" t="s">
        <v>7939</v>
      </c>
      <c r="C658" s="260" t="s">
        <v>9338</v>
      </c>
      <c r="D658" s="1803" t="s">
        <v>9368</v>
      </c>
      <c r="E658" s="1804">
        <v>51759</v>
      </c>
      <c r="F658" s="1805" t="s">
        <v>9369</v>
      </c>
      <c r="G658" s="1659" t="s">
        <v>7305</v>
      </c>
      <c r="H658" s="1806">
        <v>43591</v>
      </c>
      <c r="I658" s="1806">
        <v>43957</v>
      </c>
      <c r="J658" s="1659" t="s">
        <v>9370</v>
      </c>
    </row>
    <row r="659" spans="1:10" ht="12.75" thickBot="1">
      <c r="A659" s="336"/>
      <c r="B659" s="337"/>
      <c r="C659" s="703"/>
      <c r="D659" s="1808"/>
      <c r="E659" s="1809"/>
      <c r="F659" s="1809"/>
      <c r="G659" s="339"/>
      <c r="H659" s="338"/>
      <c r="I659" s="338"/>
      <c r="J659" s="339"/>
    </row>
    <row r="660" spans="1:10" ht="12.75" thickBot="1">
      <c r="A660" s="1810" t="s">
        <v>0</v>
      </c>
      <c r="B660" s="1811"/>
      <c r="C660" s="1812"/>
      <c r="D660" s="1813"/>
      <c r="E660" s="1814"/>
      <c r="F660" s="1814"/>
      <c r="G660" s="1815"/>
      <c r="H660" s="1816"/>
      <c r="I660" s="1816"/>
      <c r="J660" s="1815"/>
    </row>
    <row r="661" spans="1:10" ht="12.75" thickBot="1"/>
    <row r="662" spans="1:10" ht="12.75" thickBot="1">
      <c r="A662" s="2043" t="s">
        <v>9394</v>
      </c>
      <c r="B662" s="2044"/>
      <c r="C662" s="2044"/>
      <c r="D662" s="2044"/>
      <c r="E662" s="2044"/>
      <c r="F662" s="2044"/>
      <c r="G662" s="2044"/>
      <c r="H662" s="2044"/>
      <c r="I662" s="2044"/>
      <c r="J662" s="2054"/>
    </row>
    <row r="663" spans="1:10">
      <c r="A663" s="1402">
        <v>2019</v>
      </c>
      <c r="B663" s="1826"/>
      <c r="C663" s="1827"/>
      <c r="D663" s="1827"/>
      <c r="E663" s="1828"/>
      <c r="F663" s="1402"/>
      <c r="G663" s="1827"/>
      <c r="H663" s="1829"/>
      <c r="I663" s="1830"/>
      <c r="J663" s="1831"/>
    </row>
    <row r="664" spans="1:10" ht="48">
      <c r="A664" s="1402" t="s">
        <v>9395</v>
      </c>
      <c r="B664" s="1826" t="s">
        <v>9396</v>
      </c>
      <c r="C664" s="1827" t="s">
        <v>9397</v>
      </c>
      <c r="D664" s="1827" t="s">
        <v>9398</v>
      </c>
      <c r="E664" s="1828">
        <v>107000</v>
      </c>
      <c r="F664" s="1402" t="s">
        <v>9399</v>
      </c>
      <c r="G664" s="1827" t="s">
        <v>7305</v>
      </c>
      <c r="H664" s="1829" t="s">
        <v>1592</v>
      </c>
      <c r="I664" s="1830" t="s">
        <v>1592</v>
      </c>
      <c r="J664" s="1831" t="s">
        <v>9400</v>
      </c>
    </row>
    <row r="665" spans="1:10" ht="24">
      <c r="A665" s="1402" t="s">
        <v>9401</v>
      </c>
      <c r="B665" s="1826" t="s">
        <v>9402</v>
      </c>
      <c r="C665" s="1827" t="s">
        <v>9403</v>
      </c>
      <c r="D665" s="1827" t="s">
        <v>9404</v>
      </c>
      <c r="E665" s="1828">
        <v>79800</v>
      </c>
      <c r="F665" s="1402" t="s">
        <v>9405</v>
      </c>
      <c r="G665" s="1827" t="s">
        <v>7305</v>
      </c>
      <c r="H665" s="1832">
        <v>43691</v>
      </c>
      <c r="I665" s="1830">
        <v>43719</v>
      </c>
      <c r="J665" s="1831"/>
    </row>
    <row r="666" spans="1:10" ht="24">
      <c r="A666" s="1402" t="s">
        <v>9406</v>
      </c>
      <c r="B666" s="1826" t="s">
        <v>9407</v>
      </c>
      <c r="C666" s="1827" t="s">
        <v>9397</v>
      </c>
      <c r="D666" s="1827" t="s">
        <v>9408</v>
      </c>
      <c r="E666" s="1828">
        <v>118098.3</v>
      </c>
      <c r="F666" s="1402" t="s">
        <v>9409</v>
      </c>
      <c r="G666" s="1827" t="s">
        <v>7305</v>
      </c>
      <c r="H666" s="1829">
        <v>43733</v>
      </c>
      <c r="I666" s="1830" t="s">
        <v>1592</v>
      </c>
      <c r="J666" s="1831" t="s">
        <v>9410</v>
      </c>
    </row>
    <row r="667" spans="1:10" ht="24">
      <c r="A667" s="1402" t="s">
        <v>9411</v>
      </c>
      <c r="B667" s="1826" t="s">
        <v>9407</v>
      </c>
      <c r="C667" s="1827" t="s">
        <v>9397</v>
      </c>
      <c r="D667" s="1827" t="s">
        <v>9412</v>
      </c>
      <c r="E667" s="1828">
        <v>129900</v>
      </c>
      <c r="F667" s="1402" t="s">
        <v>9413</v>
      </c>
      <c r="G667" s="1827" t="s">
        <v>7305</v>
      </c>
      <c r="H667" s="1832">
        <v>43662</v>
      </c>
      <c r="I667" s="1830">
        <v>43682</v>
      </c>
      <c r="J667" s="1831"/>
    </row>
    <row r="668" spans="1:10" ht="24">
      <c r="A668" s="1402" t="s">
        <v>9414</v>
      </c>
      <c r="B668" s="1826" t="s">
        <v>9402</v>
      </c>
      <c r="C668" s="1827" t="s">
        <v>9403</v>
      </c>
      <c r="D668" s="1827" t="s">
        <v>9415</v>
      </c>
      <c r="E668" s="1828">
        <v>91250</v>
      </c>
      <c r="F668" s="1402" t="s">
        <v>9416</v>
      </c>
      <c r="G668" s="1827" t="s">
        <v>7305</v>
      </c>
      <c r="H668" s="1832">
        <v>43637</v>
      </c>
      <c r="I668" s="1830">
        <v>43651</v>
      </c>
      <c r="J668" s="1831"/>
    </row>
    <row r="669" spans="1:10" ht="24">
      <c r="A669" s="1402" t="s">
        <v>9417</v>
      </c>
      <c r="B669" s="1826" t="s">
        <v>9402</v>
      </c>
      <c r="C669" s="1827" t="s">
        <v>9403</v>
      </c>
      <c r="D669" s="1827" t="s">
        <v>9418</v>
      </c>
      <c r="E669" s="1833">
        <v>78990</v>
      </c>
      <c r="F669" s="1831" t="s">
        <v>9419</v>
      </c>
      <c r="G669" s="1827" t="s">
        <v>7305</v>
      </c>
      <c r="H669" s="1832">
        <v>43621</v>
      </c>
      <c r="I669" s="1830">
        <v>43655</v>
      </c>
      <c r="J669" s="1831"/>
    </row>
    <row r="670" spans="1:10" ht="24">
      <c r="A670" s="1402" t="s">
        <v>9420</v>
      </c>
      <c r="B670" s="1826" t="s">
        <v>9402</v>
      </c>
      <c r="C670" s="1827" t="s">
        <v>9397</v>
      </c>
      <c r="D670" s="1827" t="s">
        <v>9421</v>
      </c>
      <c r="E670" s="1828">
        <v>61999</v>
      </c>
      <c r="F670" s="1402" t="s">
        <v>9422</v>
      </c>
      <c r="G670" s="1827" t="s">
        <v>7305</v>
      </c>
      <c r="H670" s="1832">
        <v>43634</v>
      </c>
      <c r="I670" s="1830">
        <v>43637</v>
      </c>
      <c r="J670" s="1831"/>
    </row>
    <row r="671" spans="1:10" ht="48">
      <c r="A671" s="1402" t="s">
        <v>9423</v>
      </c>
      <c r="B671" s="1826" t="s">
        <v>9396</v>
      </c>
      <c r="C671" s="1827" t="s">
        <v>9397</v>
      </c>
      <c r="D671" s="1827" t="s">
        <v>9398</v>
      </c>
      <c r="E671" s="1828">
        <v>33937.339999999997</v>
      </c>
      <c r="F671" s="1831" t="s">
        <v>9399</v>
      </c>
      <c r="G671" s="1827" t="s">
        <v>7305</v>
      </c>
      <c r="H671" s="1829" t="s">
        <v>1592</v>
      </c>
      <c r="I671" s="1830" t="s">
        <v>1592</v>
      </c>
      <c r="J671" s="1831" t="s">
        <v>9400</v>
      </c>
    </row>
    <row r="672" spans="1:10" ht="48">
      <c r="A672" s="1402" t="s">
        <v>9424</v>
      </c>
      <c r="B672" s="1826" t="s">
        <v>9396</v>
      </c>
      <c r="C672" s="1827" t="s">
        <v>9397</v>
      </c>
      <c r="D672" s="1827" t="s">
        <v>9398</v>
      </c>
      <c r="E672" s="1828">
        <v>11923.21</v>
      </c>
      <c r="F672" s="1831" t="s">
        <v>9399</v>
      </c>
      <c r="G672" s="1827" t="s">
        <v>7305</v>
      </c>
      <c r="H672" s="1829" t="s">
        <v>1592</v>
      </c>
      <c r="I672" s="1830" t="s">
        <v>1592</v>
      </c>
      <c r="J672" s="1831" t="s">
        <v>9400</v>
      </c>
    </row>
    <row r="673" spans="1:10">
      <c r="A673" s="1834"/>
      <c r="B673" s="1835"/>
      <c r="C673" s="1835"/>
      <c r="D673" s="1835"/>
      <c r="E673" s="1836"/>
      <c r="F673" s="1835"/>
      <c r="G673" s="1835"/>
      <c r="H673" s="1837"/>
      <c r="I673" s="1838"/>
      <c r="J673" s="1839"/>
    </row>
    <row r="674" spans="1:10">
      <c r="A674" s="265">
        <v>2020</v>
      </c>
    </row>
    <row r="675" spans="1:10" ht="24">
      <c r="A675" s="1840" t="s">
        <v>9425</v>
      </c>
      <c r="B675" s="1841" t="s">
        <v>7939</v>
      </c>
      <c r="C675" s="1841" t="s">
        <v>9397</v>
      </c>
      <c r="D675" s="1841"/>
      <c r="E675" s="1842">
        <v>60420</v>
      </c>
      <c r="F675" s="1840"/>
      <c r="G675" s="1841"/>
      <c r="H675" s="1843"/>
      <c r="I675" s="1843"/>
      <c r="J675" s="1841" t="s">
        <v>9426</v>
      </c>
    </row>
    <row r="676" spans="1:10" ht="24">
      <c r="A676" s="1840" t="s">
        <v>9427</v>
      </c>
      <c r="B676" s="1841" t="s">
        <v>7939</v>
      </c>
      <c r="C676" s="1844" t="s">
        <v>9397</v>
      </c>
      <c r="D676" s="1844"/>
      <c r="E676" s="1845">
        <v>76464</v>
      </c>
      <c r="F676" s="1840"/>
      <c r="G676" s="1844"/>
      <c r="H676" s="1846"/>
      <c r="I676" s="1846"/>
      <c r="J676" s="1841" t="s">
        <v>9426</v>
      </c>
    </row>
    <row r="677" spans="1:10" ht="36">
      <c r="A677" s="1840" t="s">
        <v>9428</v>
      </c>
      <c r="B677" s="1841" t="s">
        <v>7939</v>
      </c>
      <c r="C677" s="1841" t="s">
        <v>9397</v>
      </c>
      <c r="D677" s="1841" t="s">
        <v>9429</v>
      </c>
      <c r="E677" s="1842">
        <v>145237</v>
      </c>
      <c r="F677" s="1840"/>
      <c r="G677" s="1841" t="s">
        <v>9430</v>
      </c>
      <c r="H677" s="1843"/>
      <c r="I677" s="1843"/>
      <c r="J677" s="1841" t="s">
        <v>9431</v>
      </c>
    </row>
    <row r="678" spans="1:10" ht="72">
      <c r="A678" s="1840" t="s">
        <v>9432</v>
      </c>
      <c r="B678" s="1841" t="s">
        <v>7939</v>
      </c>
      <c r="C678" s="1841" t="s">
        <v>9397</v>
      </c>
      <c r="D678" s="1841" t="s">
        <v>9433</v>
      </c>
      <c r="E678" s="1842">
        <v>33438.17</v>
      </c>
      <c r="F678" s="1840" t="s">
        <v>9434</v>
      </c>
      <c r="G678" s="1841" t="s">
        <v>7305</v>
      </c>
      <c r="H678" s="1843">
        <v>43894</v>
      </c>
      <c r="I678" s="1843">
        <v>44031</v>
      </c>
      <c r="J678" s="1841" t="s">
        <v>9435</v>
      </c>
    </row>
    <row r="679" spans="1:10" ht="60">
      <c r="A679" s="1840" t="s">
        <v>9436</v>
      </c>
      <c r="B679" s="1841" t="s">
        <v>7939</v>
      </c>
      <c r="C679" s="1844" t="s">
        <v>9397</v>
      </c>
      <c r="D679" s="1844" t="s">
        <v>9437</v>
      </c>
      <c r="E679" s="1845">
        <v>129800</v>
      </c>
      <c r="F679" s="1840" t="s">
        <v>9438</v>
      </c>
      <c r="G679" s="1844" t="s">
        <v>7305</v>
      </c>
      <c r="H679" s="1846">
        <v>44071</v>
      </c>
      <c r="I679" s="1846"/>
      <c r="J679" s="1841" t="s">
        <v>9439</v>
      </c>
    </row>
    <row r="680" spans="1:10" ht="48">
      <c r="A680" s="1840" t="s">
        <v>9440</v>
      </c>
      <c r="B680" s="1841" t="s">
        <v>9441</v>
      </c>
      <c r="C680" s="1841" t="s">
        <v>9397</v>
      </c>
      <c r="D680" s="1841" t="s">
        <v>9442</v>
      </c>
      <c r="E680" s="1842">
        <v>20000</v>
      </c>
      <c r="F680" s="1840" t="s">
        <v>9443</v>
      </c>
      <c r="G680" s="1841" t="s">
        <v>9430</v>
      </c>
      <c r="H680" s="1843"/>
      <c r="I680" s="1843"/>
      <c r="J680" s="1841"/>
    </row>
    <row r="681" spans="1:10" ht="48">
      <c r="A681" s="1840" t="s">
        <v>9444</v>
      </c>
      <c r="B681" s="1841" t="s">
        <v>9441</v>
      </c>
      <c r="C681" s="1841" t="s">
        <v>9397</v>
      </c>
      <c r="D681" s="1841" t="s">
        <v>9442</v>
      </c>
      <c r="E681" s="1842">
        <v>30000</v>
      </c>
      <c r="F681" s="1840" t="s">
        <v>9443</v>
      </c>
      <c r="G681" s="1841" t="s">
        <v>9430</v>
      </c>
      <c r="H681" s="1843"/>
      <c r="I681" s="1843"/>
      <c r="J681" s="1841"/>
    </row>
    <row r="682" spans="1:10" ht="48">
      <c r="A682" s="1840" t="s">
        <v>9445</v>
      </c>
      <c r="B682" s="1841" t="s">
        <v>9441</v>
      </c>
      <c r="C682" s="1841" t="s">
        <v>9397</v>
      </c>
      <c r="D682" s="1841" t="s">
        <v>9446</v>
      </c>
      <c r="E682" s="1842">
        <v>57200</v>
      </c>
      <c r="F682" s="1840" t="s">
        <v>9443</v>
      </c>
      <c r="G682" s="1841" t="s">
        <v>9430</v>
      </c>
      <c r="H682" s="1843"/>
      <c r="I682" s="1843"/>
      <c r="J682" s="1841"/>
    </row>
    <row r="683" spans="1:10" ht="60">
      <c r="A683" s="1840" t="s">
        <v>9447</v>
      </c>
      <c r="B683" s="1841" t="s">
        <v>9441</v>
      </c>
      <c r="C683" s="1841" t="s">
        <v>9397</v>
      </c>
      <c r="D683" s="1841" t="s">
        <v>9448</v>
      </c>
      <c r="E683" s="1842">
        <v>12691</v>
      </c>
      <c r="F683" s="1840" t="s">
        <v>9443</v>
      </c>
      <c r="G683" s="1841" t="s">
        <v>9430</v>
      </c>
      <c r="H683" s="1843"/>
      <c r="I683" s="1843"/>
      <c r="J683" s="1841"/>
    </row>
    <row r="684" spans="1:10" ht="84">
      <c r="A684" s="1840" t="s">
        <v>9449</v>
      </c>
      <c r="B684" s="1841" t="s">
        <v>9441</v>
      </c>
      <c r="C684" s="1841" t="s">
        <v>9397</v>
      </c>
      <c r="D684" s="1841" t="s">
        <v>9450</v>
      </c>
      <c r="E684" s="1842">
        <v>12000</v>
      </c>
      <c r="F684" s="1840" t="s">
        <v>9443</v>
      </c>
      <c r="G684" s="1841" t="s">
        <v>9430</v>
      </c>
      <c r="H684" s="1843"/>
      <c r="I684" s="1843"/>
      <c r="J684" s="1841"/>
    </row>
    <row r="685" spans="1:10" ht="48">
      <c r="A685" s="1840" t="s">
        <v>9451</v>
      </c>
      <c r="B685" s="1841" t="s">
        <v>9441</v>
      </c>
      <c r="C685" s="1841" t="s">
        <v>9397</v>
      </c>
      <c r="D685" s="1841" t="s">
        <v>9452</v>
      </c>
      <c r="E685" s="1842">
        <f>868+357</f>
        <v>1225</v>
      </c>
      <c r="F685" s="1840" t="s">
        <v>9443</v>
      </c>
      <c r="G685" s="1841" t="s">
        <v>9430</v>
      </c>
      <c r="H685" s="1843"/>
      <c r="I685" s="1843"/>
      <c r="J685" s="1841"/>
    </row>
    <row r="686" spans="1:10" ht="48">
      <c r="A686" s="1840" t="s">
        <v>9453</v>
      </c>
      <c r="B686" s="1841" t="s">
        <v>9441</v>
      </c>
      <c r="C686" s="1841" t="s">
        <v>9397</v>
      </c>
      <c r="D686" s="1841" t="s">
        <v>9454</v>
      </c>
      <c r="E686" s="1842">
        <f>2058+3943</f>
        <v>6001</v>
      </c>
      <c r="F686" s="1840" t="s">
        <v>9443</v>
      </c>
      <c r="G686" s="1841" t="s">
        <v>9430</v>
      </c>
      <c r="H686" s="1843"/>
      <c r="I686" s="1843"/>
      <c r="J686" s="1841"/>
    </row>
    <row r="687" spans="1:10" ht="48">
      <c r="A687" s="1840" t="s">
        <v>9455</v>
      </c>
      <c r="B687" s="1841" t="s">
        <v>9441</v>
      </c>
      <c r="C687" s="1841" t="s">
        <v>9397</v>
      </c>
      <c r="D687" s="1841" t="s">
        <v>9456</v>
      </c>
      <c r="E687" s="1842">
        <f>660.8+1442.2+4425</f>
        <v>6528</v>
      </c>
      <c r="F687" s="1840" t="s">
        <v>9443</v>
      </c>
      <c r="G687" s="1841" t="s">
        <v>9430</v>
      </c>
      <c r="H687" s="1843"/>
      <c r="I687" s="1843"/>
      <c r="J687" s="1841"/>
    </row>
    <row r="688" spans="1:10" ht="48">
      <c r="A688" s="1840" t="s">
        <v>9457</v>
      </c>
      <c r="B688" s="1841" t="s">
        <v>9441</v>
      </c>
      <c r="C688" s="1841" t="s">
        <v>9397</v>
      </c>
      <c r="D688" s="1841" t="s">
        <v>9458</v>
      </c>
      <c r="E688" s="1842">
        <f>1361.58+4723.71+6200.31+1522.19+6869.13</f>
        <v>20676.920000000002</v>
      </c>
      <c r="F688" s="1840" t="s">
        <v>9443</v>
      </c>
      <c r="G688" s="1841" t="s">
        <v>9430</v>
      </c>
      <c r="H688" s="1843"/>
      <c r="I688" s="1843"/>
      <c r="J688" s="1841"/>
    </row>
    <row r="689" spans="1:10" ht="48">
      <c r="A689" s="1840" t="s">
        <v>9459</v>
      </c>
      <c r="B689" s="1841" t="s">
        <v>9441</v>
      </c>
      <c r="C689" s="1841" t="s">
        <v>9397</v>
      </c>
      <c r="D689" s="1841" t="s">
        <v>9460</v>
      </c>
      <c r="E689" s="1842">
        <f>19888.9+19800</f>
        <v>39688.9</v>
      </c>
      <c r="F689" s="1840" t="s">
        <v>9443</v>
      </c>
      <c r="G689" s="1841" t="s">
        <v>9430</v>
      </c>
      <c r="H689" s="1843"/>
      <c r="I689" s="1843"/>
      <c r="J689" s="1841"/>
    </row>
    <row r="690" spans="1:10" ht="48">
      <c r="A690" s="1840" t="s">
        <v>9461</v>
      </c>
      <c r="B690" s="1841" t="s">
        <v>9441</v>
      </c>
      <c r="C690" s="1841" t="s">
        <v>9397</v>
      </c>
      <c r="D690" s="1841" t="s">
        <v>9462</v>
      </c>
      <c r="E690" s="1842">
        <f>284152+3727+8083</f>
        <v>295962</v>
      </c>
      <c r="F690" s="1840" t="s">
        <v>9443</v>
      </c>
      <c r="G690" s="1841" t="s">
        <v>9430</v>
      </c>
      <c r="H690" s="1843"/>
      <c r="I690" s="1843"/>
      <c r="J690" s="1841"/>
    </row>
    <row r="691" spans="1:10" ht="48">
      <c r="A691" s="1840" t="s">
        <v>9463</v>
      </c>
      <c r="B691" s="1841" t="s">
        <v>9441</v>
      </c>
      <c r="C691" s="1844" t="s">
        <v>9397</v>
      </c>
      <c r="D691" s="1841" t="s">
        <v>9464</v>
      </c>
      <c r="E691" s="1845">
        <f>1770+1024</f>
        <v>2794</v>
      </c>
      <c r="F691" s="1840" t="s">
        <v>9443</v>
      </c>
      <c r="G691" s="1844" t="s">
        <v>9430</v>
      </c>
      <c r="H691" s="1846"/>
      <c r="I691" s="1846"/>
      <c r="J691" s="1841"/>
    </row>
    <row r="692" spans="1:10" ht="24">
      <c r="A692" s="1840" t="s">
        <v>9465</v>
      </c>
      <c r="B692" s="1841" t="s">
        <v>7943</v>
      </c>
      <c r="C692" s="1841" t="s">
        <v>9397</v>
      </c>
      <c r="D692" s="1841" t="s">
        <v>9466</v>
      </c>
      <c r="E692" s="1842">
        <v>39530</v>
      </c>
      <c r="F692" s="1840" t="s">
        <v>9467</v>
      </c>
      <c r="G692" s="1841" t="s">
        <v>7305</v>
      </c>
      <c r="H692" s="1843">
        <v>43871</v>
      </c>
      <c r="I692" s="1843"/>
      <c r="J692" s="1841"/>
    </row>
    <row r="693" spans="1:10" ht="24">
      <c r="A693" s="1840" t="s">
        <v>9468</v>
      </c>
      <c r="B693" s="1841" t="s">
        <v>9469</v>
      </c>
      <c r="C693" s="1844" t="s">
        <v>9397</v>
      </c>
      <c r="D693" s="1841"/>
      <c r="E693" s="1845">
        <v>0</v>
      </c>
      <c r="F693" s="1840"/>
      <c r="G693" s="1844"/>
      <c r="H693" s="1846"/>
      <c r="I693" s="1846"/>
      <c r="J693" s="1841" t="s">
        <v>9470</v>
      </c>
    </row>
    <row r="694" spans="1:10">
      <c r="A694" s="265">
        <v>2021</v>
      </c>
    </row>
    <row r="695" spans="1:10" ht="48">
      <c r="A695" s="1840" t="s">
        <v>9471</v>
      </c>
      <c r="B695" s="1841" t="s">
        <v>9441</v>
      </c>
      <c r="C695" s="1844" t="s">
        <v>9397</v>
      </c>
      <c r="D695" s="1844"/>
      <c r="E695" s="1845">
        <v>154143.5</v>
      </c>
      <c r="F695" s="1840"/>
      <c r="G695" s="1844"/>
      <c r="H695" s="1847"/>
      <c r="I695" s="1848"/>
      <c r="J695" s="1849"/>
    </row>
    <row r="696" spans="1:10" ht="48">
      <c r="A696" s="1840" t="s">
        <v>9447</v>
      </c>
      <c r="B696" s="1841" t="s">
        <v>9441</v>
      </c>
      <c r="C696" s="1841" t="s">
        <v>9397</v>
      </c>
      <c r="D696" s="1850"/>
      <c r="E696" s="1845">
        <v>11954.5</v>
      </c>
      <c r="F696" s="1840"/>
      <c r="G696" s="1844"/>
      <c r="H696" s="1846"/>
      <c r="I696" s="1848"/>
      <c r="J696" s="1849"/>
    </row>
    <row r="697" spans="1:10" ht="48">
      <c r="A697" s="1849" t="s">
        <v>9472</v>
      </c>
      <c r="B697" s="1841" t="s">
        <v>9441</v>
      </c>
      <c r="C697" s="1841" t="s">
        <v>9397</v>
      </c>
      <c r="D697" s="1851"/>
      <c r="E697" s="1845">
        <f>15000+1800+19550</f>
        <v>36350</v>
      </c>
      <c r="F697" s="1840"/>
      <c r="G697" s="1844"/>
      <c r="H697" s="1846"/>
      <c r="I697" s="1846"/>
      <c r="J697" s="1849"/>
    </row>
    <row r="698" spans="1:10" ht="24">
      <c r="A698" s="1840" t="s">
        <v>9425</v>
      </c>
      <c r="B698" s="1841" t="s">
        <v>7939</v>
      </c>
      <c r="C698" s="1841" t="s">
        <v>9397</v>
      </c>
      <c r="D698" s="1844"/>
      <c r="E698" s="1845">
        <v>73200</v>
      </c>
      <c r="F698" s="1840"/>
      <c r="G698" s="1844"/>
      <c r="H698" s="1846"/>
      <c r="I698" s="1848"/>
      <c r="J698" s="1849"/>
    </row>
    <row r="699" spans="1:10" ht="12.75" thickBot="1"/>
    <row r="700" spans="1:10" ht="12.75" thickBot="1">
      <c r="A700" s="2043" t="s">
        <v>9486</v>
      </c>
      <c r="B700" s="2044"/>
      <c r="C700" s="2044"/>
      <c r="D700" s="2044"/>
      <c r="E700" s="2044"/>
      <c r="F700" s="2044"/>
      <c r="G700" s="2044"/>
      <c r="H700" s="2044"/>
      <c r="I700" s="2044"/>
      <c r="J700" s="2054"/>
    </row>
    <row r="701" spans="1:10" ht="36">
      <c r="A701" s="300" t="s">
        <v>9487</v>
      </c>
      <c r="B701" s="304" t="s">
        <v>9090</v>
      </c>
      <c r="C701" s="29" t="s">
        <v>9091</v>
      </c>
      <c r="D701" s="1871" t="s">
        <v>9488</v>
      </c>
      <c r="E701" s="1872">
        <v>150000</v>
      </c>
      <c r="F701" s="1873" t="s">
        <v>9489</v>
      </c>
      <c r="G701" s="1610" t="s">
        <v>8133</v>
      </c>
      <c r="H701" s="1874">
        <v>43826</v>
      </c>
      <c r="I701" s="299" t="s">
        <v>9490</v>
      </c>
      <c r="J701" s="301" t="s">
        <v>1592</v>
      </c>
    </row>
    <row r="702" spans="1:10" ht="48">
      <c r="A702" s="300" t="s">
        <v>9491</v>
      </c>
      <c r="B702" s="304" t="s">
        <v>9090</v>
      </c>
      <c r="C702" s="29" t="s">
        <v>9091</v>
      </c>
      <c r="D702" s="1871" t="s">
        <v>9492</v>
      </c>
      <c r="E702" s="1875">
        <v>150000</v>
      </c>
      <c r="F702" s="1873" t="s">
        <v>1592</v>
      </c>
      <c r="G702" s="1610" t="s">
        <v>9493</v>
      </c>
      <c r="H702" s="1876" t="s">
        <v>1592</v>
      </c>
      <c r="I702" s="299" t="s">
        <v>1592</v>
      </c>
      <c r="J702" s="301" t="s">
        <v>9494</v>
      </c>
    </row>
    <row r="703" spans="1:10" ht="60">
      <c r="A703" s="300" t="s">
        <v>9495</v>
      </c>
      <c r="B703" s="304" t="s">
        <v>9090</v>
      </c>
      <c r="C703" s="29" t="s">
        <v>9091</v>
      </c>
      <c r="D703" s="1871" t="s">
        <v>9496</v>
      </c>
      <c r="E703" s="1875">
        <v>83300</v>
      </c>
      <c r="F703" s="1873" t="s">
        <v>9497</v>
      </c>
      <c r="G703" s="1610" t="s">
        <v>8133</v>
      </c>
      <c r="H703" s="1874">
        <v>43679</v>
      </c>
      <c r="I703" s="299" t="s">
        <v>9498</v>
      </c>
      <c r="J703" s="301" t="s">
        <v>9499</v>
      </c>
    </row>
    <row r="704" spans="1:10" ht="36">
      <c r="A704" s="300" t="s">
        <v>9500</v>
      </c>
      <c r="B704" s="304" t="s">
        <v>9090</v>
      </c>
      <c r="C704" s="29" t="s">
        <v>9091</v>
      </c>
      <c r="D704" s="1871" t="s">
        <v>9492</v>
      </c>
      <c r="E704" s="1875">
        <v>83300</v>
      </c>
      <c r="F704" s="1873" t="s">
        <v>1592</v>
      </c>
      <c r="G704" s="1610" t="s">
        <v>9493</v>
      </c>
      <c r="H704" s="1876" t="s">
        <v>1592</v>
      </c>
      <c r="I704" s="299" t="s">
        <v>1592</v>
      </c>
      <c r="J704" s="301" t="s">
        <v>9501</v>
      </c>
    </row>
    <row r="705" spans="1:10" ht="36">
      <c r="A705" s="300" t="s">
        <v>9502</v>
      </c>
      <c r="B705" s="304" t="s">
        <v>9090</v>
      </c>
      <c r="C705" s="29" t="s">
        <v>9091</v>
      </c>
      <c r="D705" s="1871" t="s">
        <v>9503</v>
      </c>
      <c r="E705" s="1875">
        <v>186444</v>
      </c>
      <c r="F705" s="1873" t="s">
        <v>9504</v>
      </c>
      <c r="G705" s="1610" t="s">
        <v>8133</v>
      </c>
      <c r="H705" s="1874">
        <v>43711</v>
      </c>
      <c r="I705" s="299" t="s">
        <v>9505</v>
      </c>
      <c r="J705" s="301" t="s">
        <v>1592</v>
      </c>
    </row>
    <row r="706" spans="1:10" ht="96">
      <c r="A706" s="300" t="s">
        <v>9506</v>
      </c>
      <c r="B706" s="304" t="s">
        <v>9090</v>
      </c>
      <c r="C706" s="29" t="s">
        <v>9091</v>
      </c>
      <c r="D706" s="1871" t="s">
        <v>9049</v>
      </c>
      <c r="E706" s="1875">
        <v>140428.57999999999</v>
      </c>
      <c r="F706" s="1873" t="s">
        <v>1592</v>
      </c>
      <c r="G706" s="1610" t="s">
        <v>9507</v>
      </c>
      <c r="H706" s="1876" t="s">
        <v>1592</v>
      </c>
      <c r="I706" s="299" t="s">
        <v>1592</v>
      </c>
      <c r="J706" s="301" t="s">
        <v>9508</v>
      </c>
    </row>
    <row r="707" spans="1:10" ht="96">
      <c r="A707" s="300" t="s">
        <v>9509</v>
      </c>
      <c r="B707" s="304" t="s">
        <v>9090</v>
      </c>
      <c r="C707" s="29" t="s">
        <v>9091</v>
      </c>
      <c r="D707" s="1871" t="s">
        <v>9492</v>
      </c>
      <c r="E707" s="1875">
        <v>46809.53</v>
      </c>
      <c r="F707" s="1873" t="s">
        <v>1592</v>
      </c>
      <c r="G707" s="1610" t="s">
        <v>9510</v>
      </c>
      <c r="H707" s="1876" t="s">
        <v>1592</v>
      </c>
      <c r="I707" s="299" t="s">
        <v>1592</v>
      </c>
      <c r="J707" s="301" t="s">
        <v>9511</v>
      </c>
    </row>
    <row r="708" spans="1:10">
      <c r="A708" s="300" t="s">
        <v>9512</v>
      </c>
      <c r="B708" s="1782" t="s">
        <v>8977</v>
      </c>
      <c r="C708" s="29" t="s">
        <v>9091</v>
      </c>
      <c r="D708" s="1871" t="s">
        <v>2683</v>
      </c>
      <c r="E708" s="1875">
        <v>85270.399999999994</v>
      </c>
      <c r="F708" s="1871" t="s">
        <v>2683</v>
      </c>
      <c r="G708" s="1610" t="s">
        <v>7741</v>
      </c>
      <c r="H708" s="1876" t="s">
        <v>1592</v>
      </c>
      <c r="I708" s="299" t="s">
        <v>1592</v>
      </c>
      <c r="J708" s="301" t="s">
        <v>1592</v>
      </c>
    </row>
    <row r="709" spans="1:10">
      <c r="A709" s="300" t="s">
        <v>9513</v>
      </c>
      <c r="B709" s="1782" t="s">
        <v>8977</v>
      </c>
      <c r="C709" s="29" t="s">
        <v>9091</v>
      </c>
      <c r="D709" s="1871" t="s">
        <v>2683</v>
      </c>
      <c r="E709" s="1875">
        <v>56300</v>
      </c>
      <c r="F709" s="1871" t="s">
        <v>2683</v>
      </c>
      <c r="G709" s="1610" t="s">
        <v>8126</v>
      </c>
      <c r="H709" s="1876" t="s">
        <v>1592</v>
      </c>
      <c r="I709" s="299" t="s">
        <v>1592</v>
      </c>
      <c r="J709" s="301" t="s">
        <v>1592</v>
      </c>
    </row>
    <row r="710" spans="1:10" ht="24">
      <c r="A710" s="300" t="s">
        <v>9514</v>
      </c>
      <c r="B710" s="1782" t="s">
        <v>8977</v>
      </c>
      <c r="C710" s="29" t="s">
        <v>9091</v>
      </c>
      <c r="D710" s="1871" t="s">
        <v>2683</v>
      </c>
      <c r="E710" s="1875">
        <v>56300</v>
      </c>
      <c r="F710" s="1871" t="s">
        <v>2683</v>
      </c>
      <c r="G710" s="1610" t="s">
        <v>9510</v>
      </c>
      <c r="H710" s="1876" t="s">
        <v>1592</v>
      </c>
      <c r="I710" s="299" t="s">
        <v>1592</v>
      </c>
      <c r="J710" s="301" t="s">
        <v>1592</v>
      </c>
    </row>
    <row r="711" spans="1:10" ht="12.75" thickBot="1">
      <c r="A711" s="38"/>
      <c r="B711" s="35"/>
      <c r="C711" s="15"/>
      <c r="D711" s="32"/>
      <c r="E711" s="1636"/>
      <c r="F711" s="22"/>
      <c r="G711" s="23"/>
      <c r="H711" s="16"/>
      <c r="I711" s="16"/>
      <c r="J711" s="23"/>
    </row>
    <row r="712" spans="1:10" ht="12.75" thickBot="1">
      <c r="A712" s="50" t="s">
        <v>0</v>
      </c>
      <c r="B712" s="27"/>
      <c r="C712" s="17"/>
      <c r="D712" s="48"/>
      <c r="E712" s="1623">
        <f>+SUM(E701:E711)</f>
        <v>1038152.51</v>
      </c>
      <c r="F712" s="46"/>
      <c r="G712" s="24"/>
      <c r="H712" s="20"/>
      <c r="I712" s="20"/>
      <c r="J712" s="24"/>
    </row>
  </sheetData>
  <mergeCells count="13">
    <mergeCell ref="A700:J700"/>
    <mergeCell ref="A461:J461"/>
    <mergeCell ref="A422:J422"/>
    <mergeCell ref="A467:J467"/>
    <mergeCell ref="A647:J647"/>
    <mergeCell ref="A662:J662"/>
    <mergeCell ref="A410:J410"/>
    <mergeCell ref="A416:J416"/>
    <mergeCell ref="A206:J206"/>
    <mergeCell ref="A6:J6"/>
    <mergeCell ref="A7:J7"/>
    <mergeCell ref="A63:J63"/>
    <mergeCell ref="A178:J178"/>
  </mergeCells>
  <phoneticPr fontId="11" type="noConversion"/>
  <printOptions horizontalCentered="1"/>
  <pageMargins left="0.19685039370078741" right="0.19685039370078741" top="0.78740157480314965" bottom="0.78740157480314965" header="0.19685039370078741" footer="0.19685039370078741"/>
  <pageSetup paperSize="9" scale="80" fitToHeight="100" orientation="landscape" r:id="rId1"/>
  <headerFooter alignWithMargins="0">
    <oddHeader>&amp;C&amp;"Arial,Negrita"&amp;18FORMATOS DEL 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31">
    <tabColor rgb="FFC00000"/>
    <pageSetUpPr fitToPage="1"/>
  </sheetPr>
  <dimension ref="A1:V321"/>
  <sheetViews>
    <sheetView view="pageBreakPreview" zoomScaleNormal="100" zoomScaleSheetLayoutView="100" zoomScalePageLayoutView="85" workbookViewId="0">
      <pane ySplit="7" topLeftCell="A315" activePane="bottomLeft" state="frozen"/>
      <selection activeCell="B8" sqref="B8"/>
      <selection pane="bottomLeft" activeCell="B8" sqref="B8"/>
    </sheetView>
  </sheetViews>
  <sheetFormatPr baseColWidth="10" defaultRowHeight="12"/>
  <cols>
    <col min="1" max="1" width="55.42578125" style="285" customWidth="1"/>
    <col min="2" max="2" width="12.5703125" style="285" customWidth="1"/>
    <col min="3" max="3" width="11.85546875" style="285" customWidth="1"/>
    <col min="4" max="4" width="12.140625" style="289" customWidth="1"/>
    <col min="5" max="5" width="11.28515625" style="289" customWidth="1"/>
    <col min="6" max="6" width="12.28515625" style="289" bestFit="1" customWidth="1"/>
    <col min="7" max="7" width="12.28515625" style="285" customWidth="1"/>
    <col min="8" max="8" width="13" style="285" customWidth="1"/>
    <col min="9" max="16384" width="11.42578125" style="285"/>
  </cols>
  <sheetData>
    <row r="1" spans="1:22" s="287" customFormat="1">
      <c r="A1" s="352" t="s">
        <v>471</v>
      </c>
      <c r="B1" s="282"/>
      <c r="C1" s="282"/>
      <c r="D1" s="286"/>
      <c r="E1" s="286"/>
      <c r="F1" s="286"/>
      <c r="G1" s="282"/>
    </row>
    <row r="2" spans="1:22" s="287" customFormat="1">
      <c r="A2" s="352" t="s">
        <v>382</v>
      </c>
      <c r="B2" s="282"/>
      <c r="C2" s="282"/>
      <c r="D2" s="286"/>
      <c r="E2" s="286"/>
      <c r="F2" s="286"/>
      <c r="G2" s="282"/>
      <c r="H2" s="282"/>
      <c r="I2" s="282"/>
      <c r="J2" s="282"/>
      <c r="K2" s="282"/>
      <c r="L2" s="282"/>
      <c r="M2" s="282"/>
      <c r="N2" s="282"/>
      <c r="O2" s="282"/>
      <c r="P2" s="282"/>
      <c r="Q2" s="282"/>
      <c r="R2" s="282"/>
      <c r="S2" s="282"/>
      <c r="T2" s="282"/>
      <c r="U2" s="282"/>
      <c r="V2" s="282"/>
    </row>
    <row r="3" spans="1:22" ht="12.75" thickBot="1">
      <c r="A3" s="283"/>
      <c r="B3" s="283"/>
      <c r="C3" s="283"/>
      <c r="D3" s="288"/>
      <c r="E3" s="288"/>
      <c r="F3" s="288"/>
    </row>
    <row r="4" spans="1:22" s="277" customFormat="1" ht="24">
      <c r="A4" s="2060" t="s">
        <v>31</v>
      </c>
      <c r="B4" s="2060" t="s">
        <v>318</v>
      </c>
      <c r="C4" s="2060" t="s">
        <v>319</v>
      </c>
      <c r="D4" s="353" t="s">
        <v>491</v>
      </c>
      <c r="E4" s="353" t="s">
        <v>492</v>
      </c>
      <c r="F4" s="332" t="s">
        <v>493</v>
      </c>
      <c r="G4" s="2060" t="s">
        <v>495</v>
      </c>
      <c r="H4" s="2060" t="s">
        <v>496</v>
      </c>
    </row>
    <row r="5" spans="1:22" s="277" customFormat="1" ht="24.75" thickBot="1">
      <c r="A5" s="2061"/>
      <c r="B5" s="2061"/>
      <c r="C5" s="2061"/>
      <c r="D5" s="354" t="s">
        <v>494</v>
      </c>
      <c r="E5" s="354" t="s">
        <v>494</v>
      </c>
      <c r="F5" s="354" t="s">
        <v>494</v>
      </c>
      <c r="G5" s="2061"/>
      <c r="H5" s="2061"/>
    </row>
    <row r="6" spans="1:22" ht="12" customHeight="1" thickBot="1">
      <c r="A6" s="2043" t="s">
        <v>384</v>
      </c>
      <c r="B6" s="2044"/>
      <c r="C6" s="2044"/>
      <c r="D6" s="2044"/>
      <c r="E6" s="2044"/>
      <c r="F6" s="2044"/>
      <c r="G6" s="2044"/>
      <c r="H6" s="2054"/>
    </row>
    <row r="7" spans="1:22" ht="12" customHeight="1" thickBot="1">
      <c r="A7" s="2051" t="s">
        <v>420</v>
      </c>
      <c r="B7" s="2052"/>
      <c r="C7" s="2052"/>
      <c r="D7" s="2052"/>
      <c r="E7" s="2052"/>
      <c r="F7" s="2052"/>
      <c r="G7" s="2052"/>
      <c r="H7" s="2053"/>
    </row>
    <row r="8" spans="1:22" s="68" customFormat="1" ht="54.75" customHeight="1">
      <c r="A8" s="260" t="s">
        <v>7430</v>
      </c>
      <c r="B8" s="40"/>
      <c r="C8" s="1624">
        <v>7571335</v>
      </c>
      <c r="D8" s="1625"/>
      <c r="E8" s="1626">
        <v>5000</v>
      </c>
      <c r="F8" s="39"/>
      <c r="G8" s="1627"/>
      <c r="H8" s="1628" t="s">
        <v>7431</v>
      </c>
    </row>
    <row r="9" spans="1:22" s="68" customFormat="1" ht="36">
      <c r="A9" s="260" t="s">
        <v>7433</v>
      </c>
      <c r="B9" s="721" t="s">
        <v>7432</v>
      </c>
      <c r="C9" s="721"/>
      <c r="D9" s="1629">
        <f>+F9</f>
        <v>30000</v>
      </c>
      <c r="E9" s="1630"/>
      <c r="F9" s="1626">
        <v>30000</v>
      </c>
      <c r="G9" s="1631"/>
      <c r="H9" s="1628" t="s">
        <v>7431</v>
      </c>
    </row>
    <row r="10" spans="1:22" s="68" customFormat="1" ht="64.5" customHeight="1">
      <c r="A10" s="260" t="s">
        <v>7435</v>
      </c>
      <c r="B10" s="721" t="s">
        <v>7434</v>
      </c>
      <c r="C10" s="721"/>
      <c r="D10" s="1625"/>
      <c r="E10" s="1630"/>
      <c r="F10" s="1626">
        <v>15000</v>
      </c>
      <c r="G10" s="1631"/>
      <c r="H10" s="1628" t="s">
        <v>7431</v>
      </c>
    </row>
    <row r="11" spans="1:22" s="68" customFormat="1" ht="75" customHeight="1">
      <c r="A11" s="260" t="s">
        <v>7436</v>
      </c>
      <c r="B11" s="721"/>
      <c r="C11" s="721">
        <v>27734548</v>
      </c>
      <c r="D11" s="1625"/>
      <c r="E11" s="1630"/>
      <c r="F11" s="1626">
        <v>32500</v>
      </c>
      <c r="G11" s="1631"/>
      <c r="H11" s="1632" t="s">
        <v>7437</v>
      </c>
    </row>
    <row r="12" spans="1:22" s="68" customFormat="1" ht="79.5" customHeight="1">
      <c r="A12" s="260" t="s">
        <v>7438</v>
      </c>
      <c r="B12" s="721">
        <v>20555862254</v>
      </c>
      <c r="C12" s="721"/>
      <c r="D12" s="1625"/>
      <c r="E12" s="1630"/>
      <c r="F12" s="1626">
        <v>32800</v>
      </c>
      <c r="G12" s="1631"/>
      <c r="H12" s="1632" t="s">
        <v>7437</v>
      </c>
    </row>
    <row r="13" spans="1:22" s="68" customFormat="1" ht="72">
      <c r="A13" s="260" t="s">
        <v>7439</v>
      </c>
      <c r="B13" s="721"/>
      <c r="C13" s="721">
        <v>9082021</v>
      </c>
      <c r="D13" s="1625"/>
      <c r="E13" s="1630"/>
      <c r="F13" s="1626">
        <v>15000</v>
      </c>
      <c r="G13" s="1631"/>
      <c r="H13" s="1632" t="s">
        <v>7437</v>
      </c>
    </row>
    <row r="14" spans="1:22" s="68" customFormat="1" ht="74.25" customHeight="1">
      <c r="A14" s="260" t="s">
        <v>7440</v>
      </c>
      <c r="B14" s="721"/>
      <c r="C14" s="721">
        <v>10490567</v>
      </c>
      <c r="D14" s="1625"/>
      <c r="E14" s="1626">
        <v>336000</v>
      </c>
      <c r="F14" s="39"/>
      <c r="G14" s="1631"/>
      <c r="H14" s="1628" t="s">
        <v>7431</v>
      </c>
    </row>
    <row r="15" spans="1:22" s="68" customFormat="1" ht="36">
      <c r="A15" s="260" t="s">
        <v>7441</v>
      </c>
      <c r="B15" s="721"/>
      <c r="C15" s="721">
        <v>8143915</v>
      </c>
      <c r="D15" s="1629">
        <v>22800</v>
      </c>
      <c r="E15" s="1626">
        <v>16000</v>
      </c>
      <c r="F15" s="39"/>
      <c r="G15" s="1631"/>
      <c r="H15" s="1628" t="s">
        <v>7431</v>
      </c>
    </row>
    <row r="16" spans="1:22" s="68" customFormat="1" ht="24">
      <c r="A16" s="260" t="s">
        <v>7443</v>
      </c>
      <c r="B16" s="721"/>
      <c r="C16" s="721" t="s">
        <v>7442</v>
      </c>
      <c r="D16" s="1625"/>
      <c r="E16" s="1626">
        <v>5700</v>
      </c>
      <c r="F16" s="39"/>
      <c r="G16" s="1631"/>
      <c r="H16" s="1628" t="s">
        <v>7431</v>
      </c>
    </row>
    <row r="17" spans="1:8" s="68" customFormat="1" ht="24">
      <c r="A17" s="260" t="s">
        <v>7444</v>
      </c>
      <c r="B17" s="721"/>
      <c r="C17" s="721">
        <v>10200982</v>
      </c>
      <c r="D17" s="1625"/>
      <c r="E17" s="1630"/>
      <c r="F17" s="1626">
        <v>7000</v>
      </c>
      <c r="G17" s="1631"/>
      <c r="H17" s="1628" t="s">
        <v>7431</v>
      </c>
    </row>
    <row r="18" spans="1:8" s="68" customFormat="1" ht="36">
      <c r="A18" s="260" t="s">
        <v>7445</v>
      </c>
      <c r="B18" s="721"/>
      <c r="C18" s="721">
        <v>40422846</v>
      </c>
      <c r="D18" s="1625"/>
      <c r="E18" s="1630"/>
      <c r="F18" s="1626">
        <v>11700</v>
      </c>
      <c r="G18" s="1631"/>
      <c r="H18" s="1628" t="s">
        <v>7431</v>
      </c>
    </row>
    <row r="19" spans="1:8" s="68" customFormat="1" ht="24">
      <c r="A19" s="260" t="s">
        <v>7446</v>
      </c>
      <c r="B19" s="721"/>
      <c r="C19" s="721">
        <v>40714312</v>
      </c>
      <c r="D19" s="1629">
        <v>14750</v>
      </c>
      <c r="E19" s="1626">
        <v>7500</v>
      </c>
      <c r="F19" s="39"/>
      <c r="G19" s="1631"/>
      <c r="H19" s="1628" t="s">
        <v>7431</v>
      </c>
    </row>
    <row r="20" spans="1:8" s="68" customFormat="1" ht="24">
      <c r="A20" s="260" t="s">
        <v>7448</v>
      </c>
      <c r="B20" s="721"/>
      <c r="C20" s="721" t="s">
        <v>7447</v>
      </c>
      <c r="D20" s="1625"/>
      <c r="E20" s="1626">
        <v>15000</v>
      </c>
      <c r="F20" s="39"/>
      <c r="G20" s="1631"/>
      <c r="H20" s="1628" t="s">
        <v>7431</v>
      </c>
    </row>
    <row r="21" spans="1:8" s="68" customFormat="1" ht="24">
      <c r="A21" s="260" t="s">
        <v>7450</v>
      </c>
      <c r="B21" s="721"/>
      <c r="C21" s="721" t="s">
        <v>7449</v>
      </c>
      <c r="D21" s="1625"/>
      <c r="E21" s="1626">
        <v>28000</v>
      </c>
      <c r="F21" s="39"/>
      <c r="G21" s="1631"/>
      <c r="H21" s="1628" t="s">
        <v>7431</v>
      </c>
    </row>
    <row r="22" spans="1:8" s="68" customFormat="1" ht="36">
      <c r="A22" s="260" t="s">
        <v>7452</v>
      </c>
      <c r="B22" s="721"/>
      <c r="C22" s="721" t="s">
        <v>7451</v>
      </c>
      <c r="D22" s="1629">
        <v>19500</v>
      </c>
      <c r="E22" s="1630"/>
      <c r="F22" s="1626">
        <v>9750</v>
      </c>
      <c r="G22" s="1631"/>
      <c r="H22" s="1628" t="s">
        <v>7431</v>
      </c>
    </row>
    <row r="23" spans="1:8" s="68" customFormat="1" ht="60">
      <c r="A23" s="260" t="s">
        <v>7454</v>
      </c>
      <c r="B23" s="721"/>
      <c r="C23" s="721" t="s">
        <v>7453</v>
      </c>
      <c r="D23" s="1625"/>
      <c r="E23" s="1630"/>
      <c r="F23" s="1626">
        <v>12500</v>
      </c>
      <c r="G23" s="1631"/>
      <c r="H23" s="1628" t="s">
        <v>7431</v>
      </c>
    </row>
    <row r="24" spans="1:8" s="68" customFormat="1" ht="60">
      <c r="A24" s="260" t="s">
        <v>7455</v>
      </c>
      <c r="B24" s="721"/>
      <c r="C24" s="721">
        <v>43126268</v>
      </c>
      <c r="D24" s="1629">
        <v>29900</v>
      </c>
      <c r="E24" s="1630"/>
      <c r="F24" s="1626">
        <v>15000</v>
      </c>
      <c r="G24" s="1631"/>
      <c r="H24" s="1628" t="s">
        <v>7431</v>
      </c>
    </row>
    <row r="25" spans="1:8" s="68" customFormat="1" ht="72">
      <c r="A25" s="260" t="s">
        <v>7456</v>
      </c>
      <c r="B25" s="721">
        <v>20600793030</v>
      </c>
      <c r="C25" s="721"/>
      <c r="D25" s="1625"/>
      <c r="E25" s="1630"/>
      <c r="F25" s="1626">
        <v>36520</v>
      </c>
      <c r="G25" s="1632"/>
      <c r="H25" s="1632" t="s">
        <v>7437</v>
      </c>
    </row>
    <row r="26" spans="1:8" s="68" customFormat="1" ht="72">
      <c r="A26" s="260" t="s">
        <v>7458</v>
      </c>
      <c r="B26" s="721" t="s">
        <v>7457</v>
      </c>
      <c r="C26" s="721"/>
      <c r="D26" s="1625"/>
      <c r="E26" s="1630"/>
      <c r="F26" s="1626">
        <v>31500</v>
      </c>
      <c r="G26" s="1632"/>
      <c r="H26" s="1632" t="s">
        <v>7437</v>
      </c>
    </row>
    <row r="27" spans="1:8" s="68" customFormat="1" ht="72">
      <c r="A27" s="260" t="s">
        <v>7460</v>
      </c>
      <c r="B27" s="721" t="s">
        <v>7459</v>
      </c>
      <c r="C27" s="721"/>
      <c r="D27" s="1625"/>
      <c r="E27" s="1630"/>
      <c r="F27" s="1626">
        <v>29880</v>
      </c>
      <c r="G27" s="1632"/>
      <c r="H27" s="1632" t="s">
        <v>7437</v>
      </c>
    </row>
    <row r="28" spans="1:8" s="68" customFormat="1" ht="12" customHeight="1" thickBot="1">
      <c r="A28" s="260"/>
      <c r="B28" s="721"/>
      <c r="C28" s="721"/>
      <c r="D28" s="1625"/>
      <c r="E28" s="1630"/>
      <c r="F28" s="1626">
        <f>SUM(F8:F27)</f>
        <v>279150</v>
      </c>
      <c r="G28" s="1632"/>
      <c r="H28" s="1632"/>
    </row>
    <row r="29" spans="1:8" s="68" customFormat="1" ht="12.75" thickBot="1">
      <c r="A29" s="50" t="s">
        <v>4970</v>
      </c>
      <c r="B29" s="27"/>
      <c r="C29" s="27"/>
      <c r="D29" s="1614">
        <f>SUM(D8:D28)</f>
        <v>116950</v>
      </c>
      <c r="E29" s="1614">
        <f t="shared" ref="E29:F29" si="0">SUM(E8:E28)</f>
        <v>413200</v>
      </c>
      <c r="F29" s="1614">
        <f t="shared" si="0"/>
        <v>558300</v>
      </c>
      <c r="G29" s="21"/>
      <c r="H29" s="21"/>
    </row>
    <row r="30" spans="1:8" ht="12" customHeight="1" thickBot="1">
      <c r="A30" s="2051" t="s">
        <v>419</v>
      </c>
      <c r="B30" s="2052"/>
      <c r="C30" s="2052"/>
      <c r="D30" s="2052"/>
      <c r="E30" s="2052"/>
      <c r="F30" s="2052"/>
      <c r="G30" s="2052"/>
      <c r="H30" s="2053"/>
    </row>
    <row r="31" spans="1:8" s="68" customFormat="1" ht="55.9" customHeight="1">
      <c r="A31" s="300" t="s">
        <v>7837</v>
      </c>
      <c r="B31" s="29" t="s">
        <v>92</v>
      </c>
      <c r="C31" s="700">
        <v>23865535</v>
      </c>
      <c r="D31" s="1633">
        <v>6000</v>
      </c>
      <c r="E31" s="2"/>
      <c r="F31" s="1634"/>
      <c r="G31" s="1632" t="s">
        <v>7838</v>
      </c>
      <c r="H31" s="1635" t="s">
        <v>7839</v>
      </c>
    </row>
    <row r="32" spans="1:8" s="68" customFormat="1">
      <c r="A32" s="29"/>
      <c r="B32" s="29"/>
      <c r="C32" s="29"/>
      <c r="D32" s="1612"/>
      <c r="E32" s="2"/>
      <c r="F32" s="1634"/>
      <c r="G32" s="1613"/>
      <c r="H32" s="1613"/>
    </row>
    <row r="33" spans="1:8" s="68" customFormat="1" ht="12.75" thickBot="1">
      <c r="A33" s="1636"/>
      <c r="B33" s="1636"/>
      <c r="C33" s="1636"/>
      <c r="D33" s="1637"/>
      <c r="E33" s="13"/>
      <c r="F33" s="1638"/>
      <c r="G33" s="1639"/>
      <c r="H33" s="1639"/>
    </row>
    <row r="34" spans="1:8" s="68" customFormat="1" ht="12.75" thickBot="1">
      <c r="A34" s="50" t="s">
        <v>4970</v>
      </c>
      <c r="B34" s="27"/>
      <c r="C34" s="27"/>
      <c r="D34" s="18">
        <f>+D31</f>
        <v>6000</v>
      </c>
      <c r="E34" s="19"/>
      <c r="F34" s="1640"/>
      <c r="G34" s="21"/>
      <c r="H34" s="21"/>
    </row>
    <row r="35" spans="1:8" ht="12" customHeight="1" thickBot="1">
      <c r="A35" s="2051" t="s">
        <v>421</v>
      </c>
      <c r="B35" s="2052"/>
      <c r="C35" s="2052"/>
      <c r="D35" s="2052"/>
      <c r="E35" s="2052"/>
      <c r="F35" s="2052"/>
      <c r="G35" s="2052"/>
      <c r="H35" s="2053"/>
    </row>
    <row r="36" spans="1:8" s="68" customFormat="1" ht="48">
      <c r="A36" s="300" t="s">
        <v>7953</v>
      </c>
      <c r="B36" s="29"/>
      <c r="C36" s="29"/>
      <c r="D36" s="1660">
        <v>147810</v>
      </c>
      <c r="E36" s="1660">
        <v>25760</v>
      </c>
      <c r="F36" s="1660">
        <v>0</v>
      </c>
      <c r="G36" s="26" t="s">
        <v>7954</v>
      </c>
      <c r="H36" s="1610" t="s">
        <v>7955</v>
      </c>
    </row>
    <row r="37" spans="1:8" s="68" customFormat="1" ht="12.75" thickBot="1">
      <c r="A37" s="1636"/>
      <c r="B37" s="1636"/>
      <c r="C37" s="1636"/>
      <c r="D37" s="1661"/>
      <c r="E37" s="1661"/>
      <c r="F37" s="1661"/>
      <c r="G37" s="1661"/>
      <c r="H37" s="1661"/>
    </row>
    <row r="38" spans="1:8" s="68" customFormat="1" ht="12.75" thickBot="1">
      <c r="A38" s="50" t="s">
        <v>4970</v>
      </c>
      <c r="B38" s="27"/>
      <c r="C38" s="27"/>
      <c r="D38" s="18"/>
      <c r="E38" s="19"/>
      <c r="F38" s="1640"/>
      <c r="G38" s="21"/>
      <c r="H38" s="21"/>
    </row>
    <row r="39" spans="1:8" ht="12" customHeight="1" thickBot="1">
      <c r="A39" s="266"/>
      <c r="B39" s="266"/>
      <c r="C39" s="266"/>
      <c r="D39" s="291"/>
      <c r="E39" s="292"/>
      <c r="F39" s="293"/>
      <c r="G39" s="267"/>
    </row>
    <row r="40" spans="1:8" ht="12" customHeight="1" thickBot="1">
      <c r="A40" s="2051" t="s">
        <v>422</v>
      </c>
      <c r="B40" s="2052"/>
      <c r="C40" s="2052"/>
      <c r="D40" s="2052"/>
      <c r="E40" s="2052"/>
      <c r="F40" s="2052"/>
      <c r="G40" s="2052"/>
      <c r="H40" s="2053"/>
    </row>
    <row r="41" spans="1:8" ht="132">
      <c r="A41" s="1665" t="s">
        <v>8375</v>
      </c>
      <c r="B41" s="1666">
        <v>20337603611</v>
      </c>
      <c r="C41" s="1666"/>
      <c r="D41" s="1667">
        <v>3776</v>
      </c>
      <c r="E41" s="1667"/>
      <c r="F41" s="1667"/>
      <c r="G41" s="1666" t="s">
        <v>8376</v>
      </c>
      <c r="H41" s="1668" t="s">
        <v>8377</v>
      </c>
    </row>
    <row r="42" spans="1:8" ht="96">
      <c r="A42" s="1669" t="s">
        <v>8375</v>
      </c>
      <c r="B42" s="393">
        <v>20337603611</v>
      </c>
      <c r="C42" s="393"/>
      <c r="D42" s="1670">
        <v>4543</v>
      </c>
      <c r="E42" s="1670"/>
      <c r="F42" s="1670"/>
      <c r="G42" s="393" t="s">
        <v>8378</v>
      </c>
      <c r="H42" s="1671" t="s">
        <v>8377</v>
      </c>
    </row>
    <row r="43" spans="1:8" ht="108">
      <c r="A43" s="1669" t="s">
        <v>8379</v>
      </c>
      <c r="B43" s="393">
        <v>20342210814</v>
      </c>
      <c r="C43" s="393"/>
      <c r="D43" s="1670">
        <v>2900</v>
      </c>
      <c r="E43" s="1670"/>
      <c r="F43" s="1670"/>
      <c r="G43" s="393" t="s">
        <v>8380</v>
      </c>
      <c r="H43" s="1671" t="s">
        <v>8377</v>
      </c>
    </row>
    <row r="44" spans="1:8" ht="168">
      <c r="A44" s="1669" t="s">
        <v>8381</v>
      </c>
      <c r="B44" s="393">
        <v>20172627421</v>
      </c>
      <c r="C44" s="393"/>
      <c r="D44" s="1670">
        <v>33000</v>
      </c>
      <c r="E44" s="1670"/>
      <c r="F44" s="1670"/>
      <c r="G44" s="393" t="s">
        <v>8382</v>
      </c>
      <c r="H44" s="1671" t="s">
        <v>8377</v>
      </c>
    </row>
    <row r="45" spans="1:8" ht="180">
      <c r="A45" s="1669" t="s">
        <v>8379</v>
      </c>
      <c r="B45" s="393">
        <v>20342210814</v>
      </c>
      <c r="C45" s="393"/>
      <c r="D45" s="1670">
        <v>3200</v>
      </c>
      <c r="E45" s="1670"/>
      <c r="F45" s="1670"/>
      <c r="G45" s="393" t="s">
        <v>8383</v>
      </c>
      <c r="H45" s="1671" t="s">
        <v>8377</v>
      </c>
    </row>
    <row r="46" spans="1:8" ht="96">
      <c r="A46" s="1669" t="s">
        <v>8384</v>
      </c>
      <c r="B46" s="393">
        <v>20548136602</v>
      </c>
      <c r="C46" s="393"/>
      <c r="D46" s="1670">
        <v>4248</v>
      </c>
      <c r="E46" s="1670"/>
      <c r="F46" s="1670"/>
      <c r="G46" s="393" t="s">
        <v>8385</v>
      </c>
      <c r="H46" s="1671" t="s">
        <v>8377</v>
      </c>
    </row>
    <row r="47" spans="1:8" ht="120">
      <c r="A47" s="1669" t="s">
        <v>8375</v>
      </c>
      <c r="B47" s="393">
        <v>20337603611</v>
      </c>
      <c r="C47" s="393"/>
      <c r="D47" s="1670">
        <v>4130</v>
      </c>
      <c r="E47" s="1670"/>
      <c r="F47" s="1670"/>
      <c r="G47" s="393" t="s">
        <v>8386</v>
      </c>
      <c r="H47" s="1671" t="s">
        <v>8377</v>
      </c>
    </row>
    <row r="48" spans="1:8" ht="192">
      <c r="A48" s="1669" t="s">
        <v>8379</v>
      </c>
      <c r="B48" s="393">
        <v>20342210814</v>
      </c>
      <c r="C48" s="393"/>
      <c r="D48" s="1670">
        <v>5200</v>
      </c>
      <c r="E48" s="1670"/>
      <c r="F48" s="1670"/>
      <c r="G48" s="393" t="s">
        <v>8387</v>
      </c>
      <c r="H48" s="1671" t="s">
        <v>8377</v>
      </c>
    </row>
    <row r="49" spans="1:8" ht="252">
      <c r="A49" s="1669" t="s">
        <v>8388</v>
      </c>
      <c r="B49" s="393">
        <v>20536198190</v>
      </c>
      <c r="C49" s="393"/>
      <c r="D49" s="1670">
        <v>6600</v>
      </c>
      <c r="E49" s="1670"/>
      <c r="F49" s="1670"/>
      <c r="G49" s="393" t="s">
        <v>8389</v>
      </c>
      <c r="H49" s="1671" t="s">
        <v>8390</v>
      </c>
    </row>
    <row r="50" spans="1:8" ht="216">
      <c r="A50" s="1669" t="s">
        <v>8391</v>
      </c>
      <c r="B50" s="393">
        <v>20546918662</v>
      </c>
      <c r="C50" s="393"/>
      <c r="D50" s="1670">
        <v>7800</v>
      </c>
      <c r="E50" s="1670"/>
      <c r="F50" s="1670"/>
      <c r="G50" s="393" t="s">
        <v>8392</v>
      </c>
      <c r="H50" s="1671" t="s">
        <v>8377</v>
      </c>
    </row>
    <row r="51" spans="1:8" ht="156">
      <c r="A51" s="1669" t="s">
        <v>8375</v>
      </c>
      <c r="B51" s="393">
        <v>20337603611</v>
      </c>
      <c r="C51" s="393"/>
      <c r="D51" s="1670">
        <v>4130</v>
      </c>
      <c r="E51" s="1670"/>
      <c r="F51" s="1670"/>
      <c r="G51" s="393" t="s">
        <v>8393</v>
      </c>
      <c r="H51" s="1671" t="s">
        <v>8377</v>
      </c>
    </row>
    <row r="52" spans="1:8" ht="144">
      <c r="A52" s="1669" t="s">
        <v>8384</v>
      </c>
      <c r="B52" s="393">
        <v>20548136602</v>
      </c>
      <c r="C52" s="393"/>
      <c r="D52" s="1670">
        <v>4200</v>
      </c>
      <c r="E52" s="1670"/>
      <c r="F52" s="1670"/>
      <c r="G52" s="393" t="s">
        <v>8394</v>
      </c>
      <c r="H52" s="1671" t="s">
        <v>8377</v>
      </c>
    </row>
    <row r="53" spans="1:8" ht="216">
      <c r="A53" s="1669" t="s">
        <v>8391</v>
      </c>
      <c r="B53" s="393">
        <v>20546918662</v>
      </c>
      <c r="C53" s="393"/>
      <c r="D53" s="1670">
        <v>11700</v>
      </c>
      <c r="E53" s="1670"/>
      <c r="F53" s="1670"/>
      <c r="G53" s="393" t="s">
        <v>8392</v>
      </c>
      <c r="H53" s="1671" t="s">
        <v>8377</v>
      </c>
    </row>
    <row r="54" spans="1:8" ht="276">
      <c r="A54" s="1669" t="s">
        <v>8395</v>
      </c>
      <c r="B54" s="393">
        <v>20521926334</v>
      </c>
      <c r="C54" s="393"/>
      <c r="D54" s="1670">
        <v>15000</v>
      </c>
      <c r="E54" s="1670"/>
      <c r="F54" s="1670"/>
      <c r="G54" s="393" t="s">
        <v>8396</v>
      </c>
      <c r="H54" s="1671" t="s">
        <v>8377</v>
      </c>
    </row>
    <row r="55" spans="1:8" ht="264">
      <c r="A55" s="1669" t="s">
        <v>8397</v>
      </c>
      <c r="B55" s="393">
        <v>20262502423</v>
      </c>
      <c r="C55" s="393"/>
      <c r="D55" s="1670">
        <v>33499.75</v>
      </c>
      <c r="E55" s="1670"/>
      <c r="F55" s="1670"/>
      <c r="G55" s="393" t="s">
        <v>8398</v>
      </c>
      <c r="H55" s="1671" t="s">
        <v>8390</v>
      </c>
    </row>
    <row r="56" spans="1:8" ht="264">
      <c r="A56" s="1669" t="s">
        <v>8399</v>
      </c>
      <c r="B56" s="393">
        <v>20601383251</v>
      </c>
      <c r="C56" s="393"/>
      <c r="D56" s="1670">
        <v>29000</v>
      </c>
      <c r="E56" s="1670"/>
      <c r="F56" s="1670"/>
      <c r="G56" s="393" t="s">
        <v>8400</v>
      </c>
      <c r="H56" s="1671" t="s">
        <v>8377</v>
      </c>
    </row>
    <row r="57" spans="1:8" ht="108">
      <c r="A57" s="1669" t="s">
        <v>8375</v>
      </c>
      <c r="B57" s="393">
        <v>20337603611</v>
      </c>
      <c r="C57" s="393"/>
      <c r="D57" s="1670">
        <v>6150</v>
      </c>
      <c r="E57" s="1670"/>
      <c r="F57" s="1670"/>
      <c r="G57" s="393" t="s">
        <v>8401</v>
      </c>
      <c r="H57" s="1671" t="s">
        <v>8377</v>
      </c>
    </row>
    <row r="58" spans="1:8" ht="108">
      <c r="A58" s="1669" t="s">
        <v>8375</v>
      </c>
      <c r="B58" s="393">
        <v>20337603611</v>
      </c>
      <c r="C58" s="393"/>
      <c r="D58" s="1670">
        <v>5000</v>
      </c>
      <c r="E58" s="1670"/>
      <c r="F58" s="1670"/>
      <c r="G58" s="393" t="s">
        <v>8402</v>
      </c>
      <c r="H58" s="1671" t="s">
        <v>8377</v>
      </c>
    </row>
    <row r="59" spans="1:8" ht="96">
      <c r="A59" s="1669" t="s">
        <v>8375</v>
      </c>
      <c r="B59" s="393">
        <v>20337603611</v>
      </c>
      <c r="C59" s="393"/>
      <c r="D59" s="1670">
        <v>3500</v>
      </c>
      <c r="E59" s="1670"/>
      <c r="F59" s="1670"/>
      <c r="G59" s="393" t="s">
        <v>8403</v>
      </c>
      <c r="H59" s="1671" t="s">
        <v>8377</v>
      </c>
    </row>
    <row r="60" spans="1:8" ht="84">
      <c r="A60" s="1669" t="s">
        <v>8375</v>
      </c>
      <c r="B60" s="393">
        <v>20337603611</v>
      </c>
      <c r="C60" s="393"/>
      <c r="D60" s="1670">
        <v>4800</v>
      </c>
      <c r="E60" s="1670"/>
      <c r="F60" s="1670"/>
      <c r="G60" s="393" t="s">
        <v>8404</v>
      </c>
      <c r="H60" s="1671" t="s">
        <v>8377</v>
      </c>
    </row>
    <row r="61" spans="1:8" ht="168">
      <c r="A61" s="1669" t="s">
        <v>8405</v>
      </c>
      <c r="B61" s="393">
        <v>20349248132</v>
      </c>
      <c r="C61" s="393"/>
      <c r="D61" s="1670">
        <v>19800</v>
      </c>
      <c r="E61" s="1670"/>
      <c r="F61" s="1670"/>
      <c r="G61" s="393" t="s">
        <v>8406</v>
      </c>
      <c r="H61" s="1671" t="s">
        <v>8377</v>
      </c>
    </row>
    <row r="62" spans="1:8" ht="192">
      <c r="A62" s="1669" t="s">
        <v>8407</v>
      </c>
      <c r="B62" s="393">
        <v>20461763597</v>
      </c>
      <c r="C62" s="393"/>
      <c r="D62" s="1670">
        <v>23100</v>
      </c>
      <c r="E62" s="1670"/>
      <c r="F62" s="1670"/>
      <c r="G62" s="393" t="s">
        <v>8408</v>
      </c>
      <c r="H62" s="1671" t="s">
        <v>8377</v>
      </c>
    </row>
    <row r="63" spans="1:8" ht="96">
      <c r="A63" s="1669" t="s">
        <v>8379</v>
      </c>
      <c r="B63" s="393">
        <v>20342210814</v>
      </c>
      <c r="C63" s="393"/>
      <c r="D63" s="1670">
        <v>4138</v>
      </c>
      <c r="E63" s="1670"/>
      <c r="F63" s="1670"/>
      <c r="G63" s="393" t="s">
        <v>8409</v>
      </c>
      <c r="H63" s="1671" t="s">
        <v>8377</v>
      </c>
    </row>
    <row r="64" spans="1:8" ht="120">
      <c r="A64" s="1669" t="s">
        <v>8384</v>
      </c>
      <c r="B64" s="393">
        <v>20548136602</v>
      </c>
      <c r="C64" s="393"/>
      <c r="D64" s="1670">
        <v>4800</v>
      </c>
      <c r="E64" s="1670"/>
      <c r="F64" s="1670"/>
      <c r="G64" s="393" t="s">
        <v>8410</v>
      </c>
      <c r="H64" s="1671" t="s">
        <v>8377</v>
      </c>
    </row>
    <row r="65" spans="1:10" ht="384">
      <c r="A65" s="1669" t="s">
        <v>8388</v>
      </c>
      <c r="B65" s="393">
        <v>20536198190</v>
      </c>
      <c r="C65" s="393"/>
      <c r="D65" s="1670">
        <v>26400</v>
      </c>
      <c r="E65" s="1670"/>
      <c r="F65" s="1670"/>
      <c r="G65" s="393" t="s">
        <v>8411</v>
      </c>
      <c r="H65" s="1671" t="s">
        <v>8390</v>
      </c>
      <c r="J65" s="265"/>
    </row>
    <row r="66" spans="1:10" ht="409.5">
      <c r="A66" s="1669" t="s">
        <v>8412</v>
      </c>
      <c r="B66" s="393">
        <v>20544186125</v>
      </c>
      <c r="C66" s="393"/>
      <c r="D66" s="1670">
        <v>4800</v>
      </c>
      <c r="E66" s="1670"/>
      <c r="F66" s="1670"/>
      <c r="G66" s="393" t="s">
        <v>8413</v>
      </c>
      <c r="H66" s="1671" t="s">
        <v>8377</v>
      </c>
    </row>
    <row r="67" spans="1:10" ht="264">
      <c r="A67" s="1669" t="s">
        <v>8414</v>
      </c>
      <c r="B67" s="393">
        <v>20392562070</v>
      </c>
      <c r="C67" s="393"/>
      <c r="D67" s="1670">
        <v>5550</v>
      </c>
      <c r="E67" s="1670"/>
      <c r="F67" s="1670"/>
      <c r="G67" s="393" t="s">
        <v>8415</v>
      </c>
      <c r="H67" s="1671" t="s">
        <v>8377</v>
      </c>
    </row>
    <row r="68" spans="1:10" ht="180">
      <c r="A68" s="1669" t="s">
        <v>8416</v>
      </c>
      <c r="B68" s="393">
        <v>20603462662</v>
      </c>
      <c r="C68" s="393"/>
      <c r="D68" s="1670">
        <v>14000</v>
      </c>
      <c r="E68" s="1670"/>
      <c r="F68" s="1670"/>
      <c r="G68" s="393" t="s">
        <v>8417</v>
      </c>
      <c r="H68" s="1671" t="s">
        <v>8377</v>
      </c>
    </row>
    <row r="69" spans="1:10" ht="96">
      <c r="A69" s="1669" t="s">
        <v>8418</v>
      </c>
      <c r="B69" s="393">
        <v>20605321446</v>
      </c>
      <c r="C69" s="393"/>
      <c r="D69" s="1670">
        <v>12500</v>
      </c>
      <c r="E69" s="1670"/>
      <c r="F69" s="1670"/>
      <c r="G69" s="393" t="s">
        <v>8419</v>
      </c>
      <c r="H69" s="1671" t="s">
        <v>8377</v>
      </c>
    </row>
    <row r="70" spans="1:10" ht="168">
      <c r="A70" s="1669" t="s">
        <v>8405</v>
      </c>
      <c r="B70" s="393">
        <v>20349248132</v>
      </c>
      <c r="C70" s="393"/>
      <c r="D70" s="1670">
        <v>13200</v>
      </c>
      <c r="E70" s="1670"/>
      <c r="F70" s="1670"/>
      <c r="G70" s="393" t="s">
        <v>8406</v>
      </c>
      <c r="H70" s="1671" t="s">
        <v>8377</v>
      </c>
    </row>
    <row r="71" spans="1:10" ht="228">
      <c r="A71" s="1669" t="s">
        <v>8375</v>
      </c>
      <c r="B71" s="393">
        <v>20337603611</v>
      </c>
      <c r="C71" s="393"/>
      <c r="D71" s="1670">
        <v>4600</v>
      </c>
      <c r="E71" s="1670"/>
      <c r="F71" s="1670"/>
      <c r="G71" s="393" t="s">
        <v>8420</v>
      </c>
      <c r="H71" s="1671" t="s">
        <v>8377</v>
      </c>
    </row>
    <row r="72" spans="1:10" ht="180">
      <c r="A72" s="1669" t="s">
        <v>8416</v>
      </c>
      <c r="B72" s="393">
        <v>20603462662</v>
      </c>
      <c r="C72" s="393"/>
      <c r="D72" s="1670">
        <v>14000</v>
      </c>
      <c r="E72" s="1670"/>
      <c r="F72" s="1670"/>
      <c r="G72" s="393" t="s">
        <v>8421</v>
      </c>
      <c r="H72" s="1671" t="s">
        <v>8377</v>
      </c>
    </row>
    <row r="73" spans="1:10" ht="204">
      <c r="A73" s="1669" t="s">
        <v>8384</v>
      </c>
      <c r="B73" s="393">
        <v>20548136602</v>
      </c>
      <c r="C73" s="393"/>
      <c r="D73" s="1670">
        <v>4200</v>
      </c>
      <c r="E73" s="1670"/>
      <c r="F73" s="1670"/>
      <c r="G73" s="393" t="s">
        <v>8422</v>
      </c>
      <c r="H73" s="1671" t="s">
        <v>8377</v>
      </c>
    </row>
    <row r="74" spans="1:10" ht="168">
      <c r="A74" s="1669" t="s">
        <v>8418</v>
      </c>
      <c r="B74" s="393">
        <v>20605321446</v>
      </c>
      <c r="C74" s="393"/>
      <c r="D74" s="1670">
        <v>12500</v>
      </c>
      <c r="E74" s="1670"/>
      <c r="F74" s="1670"/>
      <c r="G74" s="393" t="s">
        <v>8423</v>
      </c>
      <c r="H74" s="1671" t="s">
        <v>8377</v>
      </c>
    </row>
    <row r="75" spans="1:10" ht="264">
      <c r="A75" s="1669" t="s">
        <v>8414</v>
      </c>
      <c r="B75" s="393">
        <v>20392562070</v>
      </c>
      <c r="C75" s="393"/>
      <c r="D75" s="1670">
        <v>12950</v>
      </c>
      <c r="E75" s="1670"/>
      <c r="F75" s="1670"/>
      <c r="G75" s="393" t="s">
        <v>8415</v>
      </c>
      <c r="H75" s="1671" t="s">
        <v>8377</v>
      </c>
    </row>
    <row r="76" spans="1:10" ht="60">
      <c r="A76" s="1669" t="s">
        <v>8424</v>
      </c>
      <c r="B76" s="393">
        <v>10000666614</v>
      </c>
      <c r="C76" s="393"/>
      <c r="D76" s="1670">
        <v>126759</v>
      </c>
      <c r="E76" s="1670"/>
      <c r="F76" s="1670"/>
      <c r="G76" s="393" t="s">
        <v>8425</v>
      </c>
      <c r="H76" s="1671" t="s">
        <v>8377</v>
      </c>
    </row>
    <row r="77" spans="1:10" ht="72">
      <c r="A77" s="1669" t="s">
        <v>8424</v>
      </c>
      <c r="B77" s="393">
        <v>10000666614</v>
      </c>
      <c r="C77" s="393"/>
      <c r="D77" s="1670">
        <v>108590</v>
      </c>
      <c r="E77" s="1670"/>
      <c r="F77" s="1670"/>
      <c r="G77" s="393" t="s">
        <v>8426</v>
      </c>
      <c r="H77" s="1671" t="s">
        <v>8377</v>
      </c>
    </row>
    <row r="78" spans="1:10" ht="60">
      <c r="A78" s="1669" t="s">
        <v>8424</v>
      </c>
      <c r="B78" s="393">
        <v>10000666614</v>
      </c>
      <c r="C78" s="393"/>
      <c r="D78" s="1670">
        <v>363734</v>
      </c>
      <c r="E78" s="1670"/>
      <c r="F78" s="1670"/>
      <c r="G78" s="393" t="s">
        <v>8425</v>
      </c>
      <c r="H78" s="1671" t="s">
        <v>8377</v>
      </c>
    </row>
    <row r="79" spans="1:10" ht="72">
      <c r="A79" s="1669" t="s">
        <v>8424</v>
      </c>
      <c r="B79" s="393">
        <v>10000666614</v>
      </c>
      <c r="C79" s="393"/>
      <c r="D79" s="1670">
        <v>311001</v>
      </c>
      <c r="E79" s="1670"/>
      <c r="F79" s="1670"/>
      <c r="G79" s="393" t="s">
        <v>8426</v>
      </c>
      <c r="H79" s="1671" t="s">
        <v>8377</v>
      </c>
    </row>
    <row r="80" spans="1:10" ht="60">
      <c r="A80" s="1669" t="s">
        <v>8424</v>
      </c>
      <c r="B80" s="393">
        <v>10000666614</v>
      </c>
      <c r="C80" s="393"/>
      <c r="D80" s="1670">
        <v>83142</v>
      </c>
      <c r="E80" s="1670"/>
      <c r="F80" s="1670"/>
      <c r="G80" s="393" t="s">
        <v>8425</v>
      </c>
      <c r="H80" s="1671" t="s">
        <v>8377</v>
      </c>
    </row>
    <row r="81" spans="1:8" ht="72">
      <c r="A81" s="1669" t="s">
        <v>8424</v>
      </c>
      <c r="B81" s="393">
        <v>10000666614</v>
      </c>
      <c r="C81" s="393"/>
      <c r="D81" s="1670">
        <v>71323</v>
      </c>
      <c r="E81" s="1670"/>
      <c r="F81" s="1670"/>
      <c r="G81" s="393" t="s">
        <v>8426</v>
      </c>
      <c r="H81" s="1671" t="s">
        <v>8377</v>
      </c>
    </row>
    <row r="82" spans="1:8" ht="60">
      <c r="A82" s="1669" t="s">
        <v>8424</v>
      </c>
      <c r="B82" s="393">
        <v>10000666614</v>
      </c>
      <c r="C82" s="393"/>
      <c r="D82" s="1670">
        <v>153009</v>
      </c>
      <c r="E82" s="1670"/>
      <c r="F82" s="1670"/>
      <c r="G82" s="393" t="s">
        <v>8425</v>
      </c>
      <c r="H82" s="1671" t="s">
        <v>8377</v>
      </c>
    </row>
    <row r="83" spans="1:8" ht="72">
      <c r="A83" s="1669" t="s">
        <v>8424</v>
      </c>
      <c r="B83" s="393">
        <v>10000666614</v>
      </c>
      <c r="C83" s="393"/>
      <c r="D83" s="1670">
        <v>79874</v>
      </c>
      <c r="E83" s="1670"/>
      <c r="F83" s="1670"/>
      <c r="G83" s="393" t="s">
        <v>8426</v>
      </c>
      <c r="H83" s="1671" t="s">
        <v>8377</v>
      </c>
    </row>
    <row r="84" spans="1:8" ht="72">
      <c r="A84" s="1669" t="s">
        <v>8424</v>
      </c>
      <c r="B84" s="393">
        <v>10000666614</v>
      </c>
      <c r="C84" s="393"/>
      <c r="D84" s="1670">
        <v>60576</v>
      </c>
      <c r="E84" s="1670"/>
      <c r="F84" s="1670"/>
      <c r="G84" s="393" t="s">
        <v>8426</v>
      </c>
      <c r="H84" s="1671" t="s">
        <v>8377</v>
      </c>
    </row>
    <row r="85" spans="1:8" ht="60">
      <c r="A85" s="1669" t="s">
        <v>8424</v>
      </c>
      <c r="B85" s="393">
        <v>10000666614</v>
      </c>
      <c r="C85" s="393"/>
      <c r="D85" s="1670">
        <v>361929</v>
      </c>
      <c r="E85" s="1670"/>
      <c r="F85" s="1670"/>
      <c r="G85" s="393" t="s">
        <v>8425</v>
      </c>
      <c r="H85" s="1671" t="s">
        <v>8377</v>
      </c>
    </row>
    <row r="86" spans="1:8" ht="72">
      <c r="A86" s="1669" t="s">
        <v>8424</v>
      </c>
      <c r="B86" s="393">
        <v>10000666614</v>
      </c>
      <c r="C86" s="393"/>
      <c r="D86" s="1670">
        <v>309437</v>
      </c>
      <c r="E86" s="1670"/>
      <c r="F86" s="1670"/>
      <c r="G86" s="393" t="s">
        <v>8426</v>
      </c>
      <c r="H86" s="1671" t="s">
        <v>8377</v>
      </c>
    </row>
    <row r="87" spans="1:8" ht="72">
      <c r="A87" s="1669" t="s">
        <v>8424</v>
      </c>
      <c r="B87" s="393">
        <v>10000666614</v>
      </c>
      <c r="C87" s="393"/>
      <c r="D87" s="1670">
        <v>130696</v>
      </c>
      <c r="E87" s="1670"/>
      <c r="F87" s="1670"/>
      <c r="G87" s="393" t="s">
        <v>8426</v>
      </c>
      <c r="H87" s="1671" t="s">
        <v>8377</v>
      </c>
    </row>
    <row r="88" spans="1:8" ht="168">
      <c r="A88" s="1669" t="s">
        <v>8427</v>
      </c>
      <c r="B88" s="393"/>
      <c r="C88" s="393">
        <v>15466719029</v>
      </c>
      <c r="D88" s="1670">
        <v>5000</v>
      </c>
      <c r="E88" s="1670"/>
      <c r="F88" s="1670"/>
      <c r="G88" s="393" t="s">
        <v>8428</v>
      </c>
      <c r="H88" s="1671" t="s">
        <v>8377</v>
      </c>
    </row>
    <row r="89" spans="1:8" ht="288">
      <c r="A89" s="1669" t="s">
        <v>8429</v>
      </c>
      <c r="B89" s="393"/>
      <c r="C89" s="393">
        <v>10434141678</v>
      </c>
      <c r="D89" s="1670">
        <v>16500</v>
      </c>
      <c r="E89" s="1670"/>
      <c r="F89" s="1670"/>
      <c r="G89" s="393" t="s">
        <v>8430</v>
      </c>
      <c r="H89" s="1671" t="s">
        <v>8377</v>
      </c>
    </row>
    <row r="90" spans="1:8" ht="168">
      <c r="A90" s="1669" t="s">
        <v>8427</v>
      </c>
      <c r="B90" s="393"/>
      <c r="C90" s="393">
        <v>15466719029</v>
      </c>
      <c r="D90" s="1670">
        <v>5000</v>
      </c>
      <c r="E90" s="1670"/>
      <c r="F90" s="1670"/>
      <c r="G90" s="393" t="s">
        <v>8428</v>
      </c>
      <c r="H90" s="1671" t="s">
        <v>8377</v>
      </c>
    </row>
    <row r="91" spans="1:8" ht="132">
      <c r="A91" s="1669" t="s">
        <v>8431</v>
      </c>
      <c r="B91" s="393"/>
      <c r="C91" s="393">
        <v>10459286298</v>
      </c>
      <c r="D91" s="1670">
        <v>5000</v>
      </c>
      <c r="E91" s="1670"/>
      <c r="F91" s="1670"/>
      <c r="G91" s="393" t="s">
        <v>8432</v>
      </c>
      <c r="H91" s="1671" t="s">
        <v>8377</v>
      </c>
    </row>
    <row r="92" spans="1:8" ht="144">
      <c r="A92" s="1669" t="s">
        <v>8433</v>
      </c>
      <c r="B92" s="393"/>
      <c r="C92" s="393">
        <v>10401924065</v>
      </c>
      <c r="D92" s="1670">
        <v>4800</v>
      </c>
      <c r="E92" s="1670"/>
      <c r="F92" s="1670"/>
      <c r="G92" s="393" t="s">
        <v>8434</v>
      </c>
      <c r="H92" s="1671" t="s">
        <v>8377</v>
      </c>
    </row>
    <row r="93" spans="1:8" ht="168">
      <c r="A93" s="1669" t="s">
        <v>8431</v>
      </c>
      <c r="B93" s="393"/>
      <c r="C93" s="393">
        <v>10459286298</v>
      </c>
      <c r="D93" s="1670">
        <v>5000</v>
      </c>
      <c r="E93" s="1670"/>
      <c r="F93" s="1670"/>
      <c r="G93" s="393" t="s">
        <v>8435</v>
      </c>
      <c r="H93" s="1671" t="s">
        <v>8377</v>
      </c>
    </row>
    <row r="94" spans="1:8" ht="120">
      <c r="A94" s="1669" t="s">
        <v>8433</v>
      </c>
      <c r="B94" s="393"/>
      <c r="C94" s="393">
        <v>10401924065</v>
      </c>
      <c r="D94" s="1670">
        <v>4800</v>
      </c>
      <c r="E94" s="1670"/>
      <c r="F94" s="1670"/>
      <c r="G94" s="393" t="s">
        <v>8436</v>
      </c>
      <c r="H94" s="1671" t="s">
        <v>8377</v>
      </c>
    </row>
    <row r="95" spans="1:8" ht="168">
      <c r="A95" s="1669" t="s">
        <v>8427</v>
      </c>
      <c r="B95" s="393"/>
      <c r="C95" s="393">
        <v>15466719029</v>
      </c>
      <c r="D95" s="1670">
        <v>5000</v>
      </c>
      <c r="E95" s="1670"/>
      <c r="F95" s="1670"/>
      <c r="G95" s="393" t="s">
        <v>8437</v>
      </c>
      <c r="H95" s="1671" t="s">
        <v>8377</v>
      </c>
    </row>
    <row r="96" spans="1:8" ht="180">
      <c r="A96" s="1669" t="s">
        <v>8427</v>
      </c>
      <c r="B96" s="393"/>
      <c r="C96" s="393">
        <v>15466719029</v>
      </c>
      <c r="D96" s="1670">
        <v>5000</v>
      </c>
      <c r="E96" s="1670"/>
      <c r="F96" s="1670"/>
      <c r="G96" s="393" t="s">
        <v>8438</v>
      </c>
      <c r="H96" s="1671" t="s">
        <v>8377</v>
      </c>
    </row>
    <row r="97" spans="1:8" ht="252">
      <c r="A97" s="1669" t="s">
        <v>8439</v>
      </c>
      <c r="B97" s="393"/>
      <c r="C97" s="393">
        <v>20565540760</v>
      </c>
      <c r="D97" s="1670">
        <v>10018.200000000001</v>
      </c>
      <c r="E97" s="1670"/>
      <c r="F97" s="1670"/>
      <c r="G97" s="393" t="s">
        <v>8440</v>
      </c>
      <c r="H97" s="1671" t="s">
        <v>8377</v>
      </c>
    </row>
    <row r="98" spans="1:8" ht="204">
      <c r="A98" s="1669" t="s">
        <v>8427</v>
      </c>
      <c r="B98" s="393"/>
      <c r="C98" s="393">
        <v>15466719029</v>
      </c>
      <c r="D98" s="1670">
        <v>5000</v>
      </c>
      <c r="E98" s="1670"/>
      <c r="F98" s="1670"/>
      <c r="G98" s="393" t="s">
        <v>8441</v>
      </c>
      <c r="H98" s="1671" t="s">
        <v>8377</v>
      </c>
    </row>
    <row r="99" spans="1:8" ht="132">
      <c r="A99" s="1669" t="s">
        <v>8431</v>
      </c>
      <c r="B99" s="393"/>
      <c r="C99" s="393">
        <v>10459286298</v>
      </c>
      <c r="D99" s="1670">
        <v>5000</v>
      </c>
      <c r="E99" s="1670"/>
      <c r="F99" s="1670"/>
      <c r="G99" s="393" t="s">
        <v>8432</v>
      </c>
      <c r="H99" s="1671" t="s">
        <v>8377</v>
      </c>
    </row>
    <row r="100" spans="1:8" ht="204">
      <c r="A100" s="1669" t="s">
        <v>8427</v>
      </c>
      <c r="B100" s="393"/>
      <c r="C100" s="393">
        <v>15466719029</v>
      </c>
      <c r="D100" s="1670">
        <v>5000</v>
      </c>
      <c r="E100" s="1670"/>
      <c r="F100" s="1670"/>
      <c r="G100" s="393" t="s">
        <v>8442</v>
      </c>
      <c r="H100" s="1671" t="s">
        <v>8377</v>
      </c>
    </row>
    <row r="101" spans="1:8" ht="144">
      <c r="A101" s="1669" t="s">
        <v>8433</v>
      </c>
      <c r="B101" s="393"/>
      <c r="C101" s="393">
        <v>10401924065</v>
      </c>
      <c r="D101" s="1670">
        <v>4800</v>
      </c>
      <c r="E101" s="1670"/>
      <c r="F101" s="1670"/>
      <c r="G101" s="393" t="s">
        <v>8434</v>
      </c>
      <c r="H101" s="1671" t="s">
        <v>8377</v>
      </c>
    </row>
    <row r="102" spans="1:8" ht="288">
      <c r="A102" s="1669" t="s">
        <v>8429</v>
      </c>
      <c r="B102" s="393"/>
      <c r="C102" s="393">
        <v>10434141678</v>
      </c>
      <c r="D102" s="1670">
        <v>16500</v>
      </c>
      <c r="E102" s="1670"/>
      <c r="F102" s="1670"/>
      <c r="G102" s="393" t="s">
        <v>8430</v>
      </c>
      <c r="H102" s="1671" t="s">
        <v>8377</v>
      </c>
    </row>
    <row r="103" spans="1:8" ht="204">
      <c r="A103" s="1669" t="s">
        <v>8443</v>
      </c>
      <c r="B103" s="393"/>
      <c r="C103" s="393">
        <v>20563635640</v>
      </c>
      <c r="D103" s="1670">
        <v>13404.8</v>
      </c>
      <c r="E103" s="1670"/>
      <c r="F103" s="1670"/>
      <c r="G103" s="393" t="s">
        <v>8444</v>
      </c>
      <c r="H103" s="1671" t="s">
        <v>8377</v>
      </c>
    </row>
    <row r="104" spans="1:8" ht="180">
      <c r="A104" s="1669" t="s">
        <v>8427</v>
      </c>
      <c r="B104" s="393"/>
      <c r="C104" s="393">
        <v>15466719029</v>
      </c>
      <c r="D104" s="1670">
        <v>5000</v>
      </c>
      <c r="E104" s="1670"/>
      <c r="F104" s="1670"/>
      <c r="G104" s="393" t="s">
        <v>8445</v>
      </c>
      <c r="H104" s="1671" t="s">
        <v>8377</v>
      </c>
    </row>
    <row r="105" spans="1:8" ht="252">
      <c r="A105" s="1669" t="s">
        <v>8439</v>
      </c>
      <c r="B105" s="393"/>
      <c r="C105" s="393">
        <v>20565540760</v>
      </c>
      <c r="D105" s="1670">
        <v>23375.8</v>
      </c>
      <c r="E105" s="1670"/>
      <c r="F105" s="1670"/>
      <c r="G105" s="393" t="s">
        <v>8440</v>
      </c>
      <c r="H105" s="1671" t="s">
        <v>8377</v>
      </c>
    </row>
    <row r="106" spans="1:8" ht="168">
      <c r="A106" s="1669" t="s">
        <v>8431</v>
      </c>
      <c r="B106" s="393"/>
      <c r="C106" s="393">
        <v>10459286298</v>
      </c>
      <c r="D106" s="1670">
        <v>5000</v>
      </c>
      <c r="E106" s="1670"/>
      <c r="F106" s="1670"/>
      <c r="G106" s="393" t="s">
        <v>8446</v>
      </c>
      <c r="H106" s="1671" t="s">
        <v>8377</v>
      </c>
    </row>
    <row r="107" spans="1:8" ht="180">
      <c r="A107" s="1669" t="s">
        <v>8433</v>
      </c>
      <c r="B107" s="393"/>
      <c r="C107" s="393">
        <v>10401924065</v>
      </c>
      <c r="D107" s="1670">
        <v>4800</v>
      </c>
      <c r="E107" s="1670"/>
      <c r="F107" s="1670"/>
      <c r="G107" s="393" t="s">
        <v>8447</v>
      </c>
      <c r="H107" s="1671" t="s">
        <v>8377</v>
      </c>
    </row>
    <row r="108" spans="1:8" ht="144">
      <c r="A108" s="1669" t="s">
        <v>8431</v>
      </c>
      <c r="B108" s="393"/>
      <c r="C108" s="393">
        <v>10459286298</v>
      </c>
      <c r="D108" s="1670">
        <v>5000</v>
      </c>
      <c r="E108" s="1670"/>
      <c r="F108" s="1670"/>
      <c r="G108" s="393" t="s">
        <v>8448</v>
      </c>
      <c r="H108" s="1671" t="s">
        <v>8377</v>
      </c>
    </row>
    <row r="109" spans="1:8" ht="180">
      <c r="A109" s="1669" t="s">
        <v>8433</v>
      </c>
      <c r="B109" s="393"/>
      <c r="C109" s="393">
        <v>10401924065</v>
      </c>
      <c r="D109" s="1670">
        <v>4800</v>
      </c>
      <c r="E109" s="1670"/>
      <c r="F109" s="1670"/>
      <c r="G109" s="393" t="s">
        <v>8449</v>
      </c>
      <c r="H109" s="1671" t="s">
        <v>8377</v>
      </c>
    </row>
    <row r="110" spans="1:8" ht="180">
      <c r="A110" s="1669" t="s">
        <v>8433</v>
      </c>
      <c r="B110" s="393"/>
      <c r="C110" s="393">
        <v>10401924065</v>
      </c>
      <c r="D110" s="1670">
        <v>9000</v>
      </c>
      <c r="E110" s="1670"/>
      <c r="F110" s="1670"/>
      <c r="G110" s="393" t="s">
        <v>8450</v>
      </c>
      <c r="H110" s="1671" t="s">
        <v>8377</v>
      </c>
    </row>
    <row r="111" spans="1:8" ht="204">
      <c r="A111" s="1669" t="s">
        <v>8443</v>
      </c>
      <c r="B111" s="393"/>
      <c r="C111" s="393">
        <v>20563635640</v>
      </c>
      <c r="D111" s="1670">
        <v>20107.2</v>
      </c>
      <c r="E111" s="1670"/>
      <c r="F111" s="1670"/>
      <c r="G111" s="393" t="s">
        <v>8444</v>
      </c>
      <c r="H111" s="1671" t="s">
        <v>8377</v>
      </c>
    </row>
    <row r="112" spans="1:8" ht="240">
      <c r="A112" s="1669" t="s">
        <v>8451</v>
      </c>
      <c r="B112" s="393"/>
      <c r="C112" s="393">
        <v>15408686072</v>
      </c>
      <c r="D112" s="1670">
        <v>4896</v>
      </c>
      <c r="E112" s="1670"/>
      <c r="F112" s="1670"/>
      <c r="G112" s="393" t="s">
        <v>8452</v>
      </c>
      <c r="H112" s="1671" t="s">
        <v>8377</v>
      </c>
    </row>
    <row r="113" spans="1:8" ht="216">
      <c r="A113" s="1669" t="s">
        <v>8453</v>
      </c>
      <c r="B113" s="393"/>
      <c r="C113" s="393">
        <v>10433343251</v>
      </c>
      <c r="D113" s="1670">
        <v>13100</v>
      </c>
      <c r="E113" s="1670"/>
      <c r="F113" s="1670"/>
      <c r="G113" s="393" t="s">
        <v>8454</v>
      </c>
      <c r="H113" s="1671" t="s">
        <v>8377</v>
      </c>
    </row>
    <row r="114" spans="1:8" ht="384">
      <c r="A114" s="1669" t="s">
        <v>8429</v>
      </c>
      <c r="B114" s="393"/>
      <c r="C114" s="393">
        <v>10434141678</v>
      </c>
      <c r="D114" s="1670">
        <v>16500</v>
      </c>
      <c r="E114" s="1670"/>
      <c r="F114" s="1670"/>
      <c r="G114" s="393" t="s">
        <v>8455</v>
      </c>
      <c r="H114" s="1671" t="s">
        <v>8377</v>
      </c>
    </row>
    <row r="115" spans="1:8" ht="204">
      <c r="A115" s="1669" t="s">
        <v>8451</v>
      </c>
      <c r="B115" s="393"/>
      <c r="C115" s="393">
        <v>15408686072</v>
      </c>
      <c r="D115" s="1670">
        <v>4896</v>
      </c>
      <c r="E115" s="1670"/>
      <c r="F115" s="1670"/>
      <c r="G115" s="393" t="s">
        <v>8456</v>
      </c>
      <c r="H115" s="1671" t="s">
        <v>8377</v>
      </c>
    </row>
    <row r="116" spans="1:8" ht="180">
      <c r="A116" s="1669" t="s">
        <v>8433</v>
      </c>
      <c r="B116" s="393"/>
      <c r="C116" s="393">
        <v>10401924065</v>
      </c>
      <c r="D116" s="1670">
        <v>9000</v>
      </c>
      <c r="E116" s="1670"/>
      <c r="F116" s="1670"/>
      <c r="G116" s="393" t="s">
        <v>8457</v>
      </c>
      <c r="H116" s="1671" t="s">
        <v>8377</v>
      </c>
    </row>
    <row r="117" spans="1:8" ht="384">
      <c r="A117" s="1669" t="s">
        <v>8429</v>
      </c>
      <c r="B117" s="393"/>
      <c r="C117" s="393">
        <v>10434141678</v>
      </c>
      <c r="D117" s="1670">
        <v>16500</v>
      </c>
      <c r="E117" s="1670"/>
      <c r="F117" s="1670"/>
      <c r="G117" s="393" t="s">
        <v>8455</v>
      </c>
      <c r="H117" s="1671" t="s">
        <v>8377</v>
      </c>
    </row>
    <row r="118" spans="1:8" ht="192">
      <c r="A118" s="1669" t="s">
        <v>8451</v>
      </c>
      <c r="B118" s="393"/>
      <c r="C118" s="393">
        <v>15408686072</v>
      </c>
      <c r="D118" s="1670">
        <v>6528</v>
      </c>
      <c r="E118" s="1670"/>
      <c r="F118" s="1670"/>
      <c r="G118" s="393" t="s">
        <v>8458</v>
      </c>
      <c r="H118" s="1671" t="s">
        <v>8377</v>
      </c>
    </row>
    <row r="119" spans="1:8" ht="216">
      <c r="A119" s="1669" t="s">
        <v>8453</v>
      </c>
      <c r="B119" s="393"/>
      <c r="C119" s="393">
        <v>10433343251</v>
      </c>
      <c r="D119" s="263"/>
      <c r="E119" s="1670">
        <v>5500</v>
      </c>
      <c r="F119" s="1670"/>
      <c r="G119" s="393" t="s">
        <v>8459</v>
      </c>
      <c r="H119" s="1671" t="s">
        <v>8377</v>
      </c>
    </row>
    <row r="120" spans="1:8" ht="216">
      <c r="A120" s="1669" t="s">
        <v>8453</v>
      </c>
      <c r="B120" s="393"/>
      <c r="C120" s="393">
        <v>10433343251</v>
      </c>
      <c r="D120" s="263"/>
      <c r="E120" s="1670">
        <v>5500</v>
      </c>
      <c r="F120" s="1670"/>
      <c r="G120" s="393" t="s">
        <v>8459</v>
      </c>
      <c r="H120" s="1671" t="s">
        <v>8377</v>
      </c>
    </row>
    <row r="121" spans="1:8" ht="228">
      <c r="A121" s="1669" t="s">
        <v>8431</v>
      </c>
      <c r="B121" s="393"/>
      <c r="C121" s="393">
        <v>10459286298</v>
      </c>
      <c r="D121" s="263"/>
      <c r="E121" s="1670">
        <v>6000</v>
      </c>
      <c r="F121" s="1670"/>
      <c r="G121" s="393" t="s">
        <v>8460</v>
      </c>
      <c r="H121" s="1671" t="s">
        <v>8377</v>
      </c>
    </row>
    <row r="122" spans="1:8" ht="204">
      <c r="A122" s="1669" t="s">
        <v>8433</v>
      </c>
      <c r="B122" s="393"/>
      <c r="C122" s="393">
        <v>10401924065</v>
      </c>
      <c r="D122" s="263"/>
      <c r="E122" s="1670">
        <v>5800</v>
      </c>
      <c r="F122" s="1670"/>
      <c r="G122" s="393" t="s">
        <v>8461</v>
      </c>
      <c r="H122" s="1671" t="s">
        <v>8377</v>
      </c>
    </row>
    <row r="123" spans="1:8" ht="216">
      <c r="A123" s="1669" t="s">
        <v>8453</v>
      </c>
      <c r="B123" s="393"/>
      <c r="C123" s="393">
        <v>10433343251</v>
      </c>
      <c r="D123" s="263"/>
      <c r="E123" s="1670">
        <v>5500</v>
      </c>
      <c r="F123" s="1670"/>
      <c r="G123" s="393" t="s">
        <v>8459</v>
      </c>
      <c r="H123" s="1671" t="s">
        <v>8377</v>
      </c>
    </row>
    <row r="124" spans="1:8" ht="264">
      <c r="A124" s="1669" t="s">
        <v>8431</v>
      </c>
      <c r="B124" s="393"/>
      <c r="C124" s="393">
        <v>10459286298</v>
      </c>
      <c r="D124" s="263"/>
      <c r="E124" s="1670">
        <v>6000</v>
      </c>
      <c r="F124" s="1670"/>
      <c r="G124" s="393" t="s">
        <v>8462</v>
      </c>
      <c r="H124" s="1671" t="s">
        <v>8377</v>
      </c>
    </row>
    <row r="125" spans="1:8" ht="168">
      <c r="A125" s="1669" t="s">
        <v>8433</v>
      </c>
      <c r="B125" s="393"/>
      <c r="C125" s="393">
        <v>10401924065</v>
      </c>
      <c r="D125" s="263"/>
      <c r="E125" s="1670">
        <v>5800</v>
      </c>
      <c r="F125" s="1670"/>
      <c r="G125" s="393" t="s">
        <v>8463</v>
      </c>
      <c r="H125" s="1671" t="s">
        <v>8377</v>
      </c>
    </row>
    <row r="126" spans="1:8" ht="216">
      <c r="A126" s="1669" t="s">
        <v>8453</v>
      </c>
      <c r="B126" s="393"/>
      <c r="C126" s="393">
        <v>10433343251</v>
      </c>
      <c r="D126" s="263"/>
      <c r="E126" s="1670">
        <v>5500</v>
      </c>
      <c r="F126" s="1670"/>
      <c r="G126" s="393" t="s">
        <v>8459</v>
      </c>
      <c r="H126" s="1671" t="s">
        <v>8377</v>
      </c>
    </row>
    <row r="127" spans="1:8" ht="144">
      <c r="A127" s="1669" t="s">
        <v>8464</v>
      </c>
      <c r="B127" s="393"/>
      <c r="C127" s="393">
        <v>15432512280</v>
      </c>
      <c r="D127" s="263"/>
      <c r="E127" s="1670">
        <v>4000</v>
      </c>
      <c r="F127" s="1670"/>
      <c r="G127" s="393" t="s">
        <v>8465</v>
      </c>
      <c r="H127" s="1671" t="s">
        <v>8377</v>
      </c>
    </row>
    <row r="128" spans="1:8" ht="216">
      <c r="A128" s="1669" t="s">
        <v>8466</v>
      </c>
      <c r="B128" s="393" t="s">
        <v>8467</v>
      </c>
      <c r="C128" s="393"/>
      <c r="D128" s="263"/>
      <c r="E128" s="263"/>
      <c r="F128" s="1670">
        <v>32000</v>
      </c>
      <c r="G128" s="393" t="s">
        <v>8468</v>
      </c>
      <c r="H128" s="1671" t="s">
        <v>8377</v>
      </c>
    </row>
    <row r="129" spans="1:8" ht="264">
      <c r="A129" s="1669" t="s">
        <v>8469</v>
      </c>
      <c r="B129" s="393" t="s">
        <v>8470</v>
      </c>
      <c r="C129" s="393"/>
      <c r="D129" s="263"/>
      <c r="E129" s="263"/>
      <c r="F129" s="1670">
        <v>167560</v>
      </c>
      <c r="G129" s="393" t="s">
        <v>8471</v>
      </c>
      <c r="H129" s="1671" t="s">
        <v>8377</v>
      </c>
    </row>
    <row r="130" spans="1:8" ht="288">
      <c r="A130" s="1669" t="s">
        <v>8472</v>
      </c>
      <c r="B130" s="393" t="s">
        <v>8473</v>
      </c>
      <c r="C130" s="393"/>
      <c r="D130" s="263"/>
      <c r="E130" s="263"/>
      <c r="F130" s="1670">
        <v>8000</v>
      </c>
      <c r="G130" s="393" t="s">
        <v>8474</v>
      </c>
      <c r="H130" s="1671" t="s">
        <v>8377</v>
      </c>
    </row>
    <row r="131" spans="1:8" ht="312">
      <c r="A131" s="1669" t="s">
        <v>8475</v>
      </c>
      <c r="B131" s="393" t="s">
        <v>8470</v>
      </c>
      <c r="C131" s="393"/>
      <c r="D131" s="263"/>
      <c r="E131" s="263"/>
      <c r="F131" s="1670">
        <v>166616</v>
      </c>
      <c r="G131" s="393" t="s">
        <v>8476</v>
      </c>
      <c r="H131" s="1671" t="s">
        <v>8377</v>
      </c>
    </row>
    <row r="132" spans="1:8" ht="132">
      <c r="A132" s="1669" t="s">
        <v>8477</v>
      </c>
      <c r="B132" s="393">
        <v>10100128301</v>
      </c>
      <c r="C132" s="393"/>
      <c r="D132" s="263"/>
      <c r="E132" s="263"/>
      <c r="F132" s="1670">
        <v>27500</v>
      </c>
      <c r="G132" s="393" t="s">
        <v>8478</v>
      </c>
      <c r="H132" s="1671" t="s">
        <v>8390</v>
      </c>
    </row>
    <row r="133" spans="1:8" ht="192">
      <c r="A133" s="1669" t="s">
        <v>8479</v>
      </c>
      <c r="B133" s="393">
        <v>15433873677</v>
      </c>
      <c r="C133" s="393"/>
      <c r="D133" s="263"/>
      <c r="E133" s="263"/>
      <c r="F133" s="1670">
        <v>33000</v>
      </c>
      <c r="G133" s="393" t="s">
        <v>8480</v>
      </c>
      <c r="H133" s="1671" t="s">
        <v>8377</v>
      </c>
    </row>
    <row r="134" spans="1:8" ht="132">
      <c r="A134" s="1669" t="s">
        <v>8481</v>
      </c>
      <c r="B134" s="393">
        <v>20602194834</v>
      </c>
      <c r="C134" s="393"/>
      <c r="D134" s="263"/>
      <c r="E134" s="263"/>
      <c r="F134" s="1670">
        <v>6800</v>
      </c>
      <c r="G134" s="393" t="s">
        <v>8481</v>
      </c>
      <c r="H134" s="1671" t="s">
        <v>8377</v>
      </c>
    </row>
    <row r="135" spans="1:8" ht="156">
      <c r="A135" s="1669" t="s">
        <v>8482</v>
      </c>
      <c r="B135" s="393">
        <v>20602194834</v>
      </c>
      <c r="C135" s="393"/>
      <c r="D135" s="263"/>
      <c r="E135" s="263"/>
      <c r="F135" s="1670">
        <v>9000</v>
      </c>
      <c r="G135" s="393" t="s">
        <v>8482</v>
      </c>
      <c r="H135" s="1671" t="s">
        <v>8377</v>
      </c>
    </row>
    <row r="136" spans="1:8" ht="132">
      <c r="A136" s="1669" t="s">
        <v>8483</v>
      </c>
      <c r="B136" s="393">
        <v>20484150240</v>
      </c>
      <c r="C136" s="393"/>
      <c r="D136" s="263"/>
      <c r="E136" s="263"/>
      <c r="F136" s="1670">
        <v>36000</v>
      </c>
      <c r="G136" s="393" t="s">
        <v>8483</v>
      </c>
      <c r="H136" s="1671" t="s">
        <v>8377</v>
      </c>
    </row>
    <row r="137" spans="1:8" ht="204">
      <c r="A137" s="1669" t="s">
        <v>8484</v>
      </c>
      <c r="B137" s="393">
        <v>20512682376</v>
      </c>
      <c r="C137" s="393"/>
      <c r="D137" s="263"/>
      <c r="E137" s="263"/>
      <c r="F137" s="1670">
        <v>19140</v>
      </c>
      <c r="G137" s="393" t="s">
        <v>8485</v>
      </c>
      <c r="H137" s="1671" t="s">
        <v>8377</v>
      </c>
    </row>
    <row r="138" spans="1:8" ht="84">
      <c r="A138" s="1669" t="s">
        <v>8486</v>
      </c>
      <c r="B138" s="393">
        <v>10036636101</v>
      </c>
      <c r="C138" s="393"/>
      <c r="D138" s="263"/>
      <c r="E138" s="263"/>
      <c r="F138" s="1670">
        <v>9000</v>
      </c>
      <c r="G138" s="393" t="s">
        <v>8487</v>
      </c>
      <c r="H138" s="1671" t="s">
        <v>8377</v>
      </c>
    </row>
    <row r="139" spans="1:8" ht="84">
      <c r="A139" s="1669" t="s">
        <v>8488</v>
      </c>
      <c r="B139" s="393">
        <v>10028736211</v>
      </c>
      <c r="C139" s="393"/>
      <c r="D139" s="263"/>
      <c r="E139" s="263"/>
      <c r="F139" s="1670">
        <v>11700</v>
      </c>
      <c r="G139" s="393" t="s">
        <v>8489</v>
      </c>
      <c r="H139" s="1671" t="s">
        <v>8377</v>
      </c>
    </row>
    <row r="140" spans="1:8" ht="72">
      <c r="A140" s="1669" t="s">
        <v>8490</v>
      </c>
      <c r="B140" s="393">
        <v>10028302199</v>
      </c>
      <c r="C140" s="393"/>
      <c r="D140" s="263"/>
      <c r="E140" s="263"/>
      <c r="F140" s="1670">
        <v>7500</v>
      </c>
      <c r="G140" s="393" t="s">
        <v>8491</v>
      </c>
      <c r="H140" s="1671" t="s">
        <v>8377</v>
      </c>
    </row>
    <row r="141" spans="1:8" ht="108">
      <c r="A141" s="1669" t="s">
        <v>8492</v>
      </c>
      <c r="B141" s="393">
        <v>10402848249</v>
      </c>
      <c r="C141" s="393"/>
      <c r="D141" s="263"/>
      <c r="E141" s="263"/>
      <c r="F141" s="1670">
        <v>6450</v>
      </c>
      <c r="G141" s="393" t="s">
        <v>8492</v>
      </c>
      <c r="H141" s="1671" t="s">
        <v>8377</v>
      </c>
    </row>
    <row r="142" spans="1:8" ht="120">
      <c r="A142" s="1669" t="s">
        <v>8493</v>
      </c>
      <c r="B142" s="393">
        <v>10035010586</v>
      </c>
      <c r="C142" s="393"/>
      <c r="D142" s="263"/>
      <c r="E142" s="263"/>
      <c r="F142" s="1670">
        <v>6450</v>
      </c>
      <c r="G142" s="393" t="s">
        <v>8493</v>
      </c>
      <c r="H142" s="1671" t="s">
        <v>8377</v>
      </c>
    </row>
    <row r="143" spans="1:8" ht="108">
      <c r="A143" s="1669" t="s">
        <v>8494</v>
      </c>
      <c r="B143" s="393">
        <v>10431537031</v>
      </c>
      <c r="C143" s="393"/>
      <c r="D143" s="263"/>
      <c r="E143" s="263"/>
      <c r="F143" s="1670">
        <v>6450</v>
      </c>
      <c r="G143" s="393" t="s">
        <v>8494</v>
      </c>
      <c r="H143" s="1671" t="s">
        <v>8377</v>
      </c>
    </row>
    <row r="144" spans="1:8" ht="84">
      <c r="A144" s="1669" t="s">
        <v>8495</v>
      </c>
      <c r="B144" s="393">
        <v>10400538781</v>
      </c>
      <c r="C144" s="393"/>
      <c r="D144" s="263"/>
      <c r="E144" s="263"/>
      <c r="F144" s="1670">
        <v>4353</v>
      </c>
      <c r="G144" s="393" t="s">
        <v>8495</v>
      </c>
      <c r="H144" s="1671" t="s">
        <v>8377</v>
      </c>
    </row>
    <row r="145" spans="1:8" ht="96">
      <c r="A145" s="1669" t="s">
        <v>8496</v>
      </c>
      <c r="B145" s="393">
        <v>10036457657</v>
      </c>
      <c r="C145" s="393"/>
      <c r="D145" s="263"/>
      <c r="E145" s="263"/>
      <c r="F145" s="1670">
        <v>3000</v>
      </c>
      <c r="G145" s="393" t="s">
        <v>8496</v>
      </c>
      <c r="H145" s="1671" t="s">
        <v>8377</v>
      </c>
    </row>
    <row r="146" spans="1:8" ht="108">
      <c r="A146" s="1669" t="s">
        <v>8497</v>
      </c>
      <c r="B146" s="393">
        <v>10403678169</v>
      </c>
      <c r="C146" s="393"/>
      <c r="D146" s="263"/>
      <c r="E146" s="263"/>
      <c r="F146" s="1670">
        <v>3300</v>
      </c>
      <c r="G146" s="393" t="s">
        <v>8497</v>
      </c>
      <c r="H146" s="1671" t="s">
        <v>8377</v>
      </c>
    </row>
    <row r="147" spans="1:8" ht="108">
      <c r="A147" s="1669" t="s">
        <v>8498</v>
      </c>
      <c r="B147" s="393">
        <v>10034831641</v>
      </c>
      <c r="C147" s="393"/>
      <c r="D147" s="263"/>
      <c r="E147" s="263"/>
      <c r="F147" s="1670">
        <v>3000</v>
      </c>
      <c r="G147" s="393" t="s">
        <v>8498</v>
      </c>
      <c r="H147" s="1671" t="s">
        <v>8377</v>
      </c>
    </row>
    <row r="148" spans="1:8" ht="132">
      <c r="A148" s="1669" t="s">
        <v>8499</v>
      </c>
      <c r="B148" s="393">
        <v>10035005329</v>
      </c>
      <c r="C148" s="393"/>
      <c r="D148" s="263"/>
      <c r="E148" s="263"/>
      <c r="F148" s="1670">
        <v>3300</v>
      </c>
      <c r="G148" s="393" t="s">
        <v>8499</v>
      </c>
      <c r="H148" s="1671" t="s">
        <v>8377</v>
      </c>
    </row>
    <row r="149" spans="1:8" ht="144">
      <c r="A149" s="1669" t="s">
        <v>8500</v>
      </c>
      <c r="B149" s="393">
        <v>10034693370</v>
      </c>
      <c r="C149" s="393"/>
      <c r="D149" s="263"/>
      <c r="E149" s="263"/>
      <c r="F149" s="1670">
        <v>3000</v>
      </c>
      <c r="G149" s="393" t="s">
        <v>8500</v>
      </c>
      <c r="H149" s="1671" t="s">
        <v>8377</v>
      </c>
    </row>
    <row r="150" spans="1:8" ht="96">
      <c r="A150" s="1669" t="s">
        <v>8501</v>
      </c>
      <c r="B150" s="393">
        <v>10028695271</v>
      </c>
      <c r="C150" s="393"/>
      <c r="D150" s="263"/>
      <c r="E150" s="263"/>
      <c r="F150" s="1670">
        <v>9000</v>
      </c>
      <c r="G150" s="393" t="s">
        <v>8502</v>
      </c>
      <c r="H150" s="1671" t="s">
        <v>8377</v>
      </c>
    </row>
    <row r="151" spans="1:8" ht="48">
      <c r="A151" s="1669" t="s">
        <v>8503</v>
      </c>
      <c r="B151" s="393">
        <v>20556103047</v>
      </c>
      <c r="C151" s="393"/>
      <c r="D151" s="263"/>
      <c r="E151" s="263"/>
      <c r="F151" s="1670">
        <v>25000</v>
      </c>
      <c r="G151" s="393" t="s">
        <v>8503</v>
      </c>
      <c r="H151" s="1671" t="s">
        <v>8377</v>
      </c>
    </row>
    <row r="152" spans="1:8" ht="96">
      <c r="A152" s="1669" t="s">
        <v>8504</v>
      </c>
      <c r="B152" s="393">
        <v>10082695295</v>
      </c>
      <c r="C152" s="393"/>
      <c r="D152" s="263"/>
      <c r="E152" s="263"/>
      <c r="F152" s="1670">
        <v>44000</v>
      </c>
      <c r="G152" s="393" t="s">
        <v>8505</v>
      </c>
      <c r="H152" s="1671" t="s">
        <v>8377</v>
      </c>
    </row>
    <row r="153" spans="1:8" ht="252">
      <c r="A153" s="1669" t="s">
        <v>8506</v>
      </c>
      <c r="B153" s="393">
        <v>15422882500</v>
      </c>
      <c r="C153" s="393"/>
      <c r="D153" s="263"/>
      <c r="E153" s="263"/>
      <c r="F153" s="1670">
        <v>25600</v>
      </c>
      <c r="G153" s="393" t="s">
        <v>8506</v>
      </c>
      <c r="H153" s="1671" t="s">
        <v>8377</v>
      </c>
    </row>
    <row r="154" spans="1:8" ht="288">
      <c r="A154" s="1669" t="s">
        <v>8507</v>
      </c>
      <c r="B154" s="393">
        <v>10433343251</v>
      </c>
      <c r="C154" s="393"/>
      <c r="D154" s="263"/>
      <c r="E154" s="263"/>
      <c r="F154" s="1670">
        <v>33000</v>
      </c>
      <c r="G154" s="393" t="s">
        <v>8507</v>
      </c>
      <c r="H154" s="1671" t="s">
        <v>8377</v>
      </c>
    </row>
    <row r="155" spans="1:8" ht="84">
      <c r="A155" s="1669" t="s">
        <v>8508</v>
      </c>
      <c r="B155" s="393">
        <v>10428232432</v>
      </c>
      <c r="C155" s="393"/>
      <c r="D155" s="263"/>
      <c r="E155" s="263"/>
      <c r="F155" s="1670">
        <v>68500</v>
      </c>
      <c r="G155" s="393" t="s">
        <v>8508</v>
      </c>
      <c r="H155" s="1671" t="s">
        <v>8377</v>
      </c>
    </row>
    <row r="156" spans="1:8" ht="84">
      <c r="A156" s="1669" t="s">
        <v>8508</v>
      </c>
      <c r="B156" s="393">
        <v>10430401306</v>
      </c>
      <c r="C156" s="393"/>
      <c r="D156" s="263"/>
      <c r="E156" s="263"/>
      <c r="F156" s="1670">
        <v>48000</v>
      </c>
      <c r="G156" s="393" t="s">
        <v>8508</v>
      </c>
      <c r="H156" s="1671" t="s">
        <v>8377</v>
      </c>
    </row>
    <row r="157" spans="1:8" ht="84">
      <c r="A157" s="1669" t="s">
        <v>8508</v>
      </c>
      <c r="B157" s="393">
        <v>10449920576</v>
      </c>
      <c r="C157" s="393"/>
      <c r="D157" s="263"/>
      <c r="E157" s="263"/>
      <c r="F157" s="1670">
        <v>12000</v>
      </c>
      <c r="G157" s="393" t="s">
        <v>8508</v>
      </c>
      <c r="H157" s="1671" t="s">
        <v>8377</v>
      </c>
    </row>
    <row r="158" spans="1:8" ht="84">
      <c r="A158" s="1669" t="s">
        <v>8508</v>
      </c>
      <c r="B158" s="393">
        <v>10460295713</v>
      </c>
      <c r="C158" s="393"/>
      <c r="D158" s="263"/>
      <c r="E158" s="263"/>
      <c r="F158" s="1670">
        <v>12000</v>
      </c>
      <c r="G158" s="393" t="s">
        <v>8508</v>
      </c>
      <c r="H158" s="1671" t="s">
        <v>8377</v>
      </c>
    </row>
    <row r="159" spans="1:8" ht="84">
      <c r="A159" s="1669" t="s">
        <v>8508</v>
      </c>
      <c r="B159" s="393">
        <v>10470972365</v>
      </c>
      <c r="C159" s="393"/>
      <c r="D159" s="263"/>
      <c r="E159" s="263"/>
      <c r="F159" s="1670">
        <v>12000</v>
      </c>
      <c r="G159" s="393" t="s">
        <v>8508</v>
      </c>
      <c r="H159" s="1671" t="s">
        <v>8377</v>
      </c>
    </row>
    <row r="160" spans="1:8" ht="84">
      <c r="A160" s="1669" t="s">
        <v>8508</v>
      </c>
      <c r="B160" s="393">
        <v>10724805952</v>
      </c>
      <c r="C160" s="263"/>
      <c r="D160" s="263"/>
      <c r="E160" s="263"/>
      <c r="F160" s="1670">
        <v>18000</v>
      </c>
      <c r="G160" s="393" t="s">
        <v>8508</v>
      </c>
      <c r="H160" s="1671" t="s">
        <v>8377</v>
      </c>
    </row>
    <row r="161" spans="1:8" ht="48">
      <c r="A161" s="1669" t="s">
        <v>8509</v>
      </c>
      <c r="B161" s="393">
        <v>10410283277</v>
      </c>
      <c r="C161" s="263"/>
      <c r="D161" s="263"/>
      <c r="E161" s="263"/>
      <c r="F161" s="1670">
        <v>6000</v>
      </c>
      <c r="G161" s="393" t="s">
        <v>8509</v>
      </c>
      <c r="H161" s="1671" t="s">
        <v>8377</v>
      </c>
    </row>
    <row r="162" spans="1:8" ht="48">
      <c r="A162" s="1669" t="s">
        <v>8510</v>
      </c>
      <c r="B162" s="393">
        <v>10428802871</v>
      </c>
      <c r="C162" s="263"/>
      <c r="D162" s="263"/>
      <c r="E162" s="263"/>
      <c r="F162" s="1670">
        <v>30000</v>
      </c>
      <c r="G162" s="393" t="s">
        <v>8510</v>
      </c>
      <c r="H162" s="1671" t="s">
        <v>8377</v>
      </c>
    </row>
    <row r="163" spans="1:8" ht="48">
      <c r="A163" s="1669" t="s">
        <v>8511</v>
      </c>
      <c r="B163" s="393">
        <v>10731880374</v>
      </c>
      <c r="C163" s="263"/>
      <c r="D163" s="263"/>
      <c r="E163" s="263"/>
      <c r="F163" s="1670">
        <v>50400</v>
      </c>
      <c r="G163" s="393" t="s">
        <v>8511</v>
      </c>
      <c r="H163" s="1671" t="s">
        <v>8377</v>
      </c>
    </row>
    <row r="164" spans="1:8" ht="36">
      <c r="A164" s="1669" t="s">
        <v>8512</v>
      </c>
      <c r="B164" s="393">
        <v>10460928791</v>
      </c>
      <c r="C164" s="263"/>
      <c r="D164" s="263"/>
      <c r="E164" s="263"/>
      <c r="F164" s="1670">
        <v>42000</v>
      </c>
      <c r="G164" s="393" t="s">
        <v>8512</v>
      </c>
      <c r="H164" s="1671" t="s">
        <v>8377</v>
      </c>
    </row>
    <row r="165" spans="1:8" ht="36">
      <c r="A165" s="1669" t="s">
        <v>8512</v>
      </c>
      <c r="B165" s="393">
        <v>10460928791</v>
      </c>
      <c r="C165" s="263"/>
      <c r="D165" s="263"/>
      <c r="E165" s="263"/>
      <c r="F165" s="1670">
        <v>7200</v>
      </c>
      <c r="G165" s="393" t="s">
        <v>8512</v>
      </c>
      <c r="H165" s="1671" t="s">
        <v>8377</v>
      </c>
    </row>
    <row r="166" spans="1:8" ht="72">
      <c r="A166" s="1669" t="s">
        <v>8513</v>
      </c>
      <c r="B166" s="393">
        <v>10459286298</v>
      </c>
      <c r="C166" s="263"/>
      <c r="D166" s="263"/>
      <c r="E166" s="263"/>
      <c r="F166" s="1670">
        <v>7200</v>
      </c>
      <c r="G166" s="393" t="s">
        <v>8513</v>
      </c>
      <c r="H166" s="1671" t="s">
        <v>8377</v>
      </c>
    </row>
    <row r="167" spans="1:8" ht="60">
      <c r="A167" s="1669" t="s">
        <v>8514</v>
      </c>
      <c r="B167" s="393">
        <v>10401924065</v>
      </c>
      <c r="C167" s="263"/>
      <c r="D167" s="263"/>
      <c r="E167" s="263"/>
      <c r="F167" s="1670">
        <v>30000</v>
      </c>
      <c r="G167" s="393" t="s">
        <v>8514</v>
      </c>
      <c r="H167" s="1671" t="s">
        <v>8377</v>
      </c>
    </row>
    <row r="168" spans="1:8" ht="72">
      <c r="A168" s="1669" t="s">
        <v>8515</v>
      </c>
      <c r="B168" s="393">
        <v>15432512280</v>
      </c>
      <c r="C168" s="263"/>
      <c r="D168" s="263"/>
      <c r="E168" s="263"/>
      <c r="F168" s="1670">
        <v>29000</v>
      </c>
      <c r="G168" s="393" t="s">
        <v>8515</v>
      </c>
      <c r="H168" s="1671" t="s">
        <v>8377</v>
      </c>
    </row>
    <row r="169" spans="1:8" ht="36">
      <c r="A169" s="1669" t="s">
        <v>8516</v>
      </c>
      <c r="B169" s="393">
        <v>20337603611</v>
      </c>
      <c r="C169" s="263"/>
      <c r="D169" s="263"/>
      <c r="E169" s="263"/>
      <c r="F169" s="1670">
        <v>20000</v>
      </c>
      <c r="G169" s="393" t="s">
        <v>8516</v>
      </c>
      <c r="H169" s="1671" t="s">
        <v>8377</v>
      </c>
    </row>
    <row r="170" spans="1:8" ht="36">
      <c r="A170" s="1669" t="s">
        <v>8516</v>
      </c>
      <c r="B170" s="393">
        <v>20548136602</v>
      </c>
      <c r="C170" s="263"/>
      <c r="D170" s="263"/>
      <c r="E170" s="263"/>
      <c r="F170" s="1670">
        <v>6400</v>
      </c>
      <c r="G170" s="393" t="s">
        <v>8516</v>
      </c>
      <c r="H170" s="1671" t="s">
        <v>8377</v>
      </c>
    </row>
    <row r="171" spans="1:8" ht="36">
      <c r="A171" s="1669" t="s">
        <v>8516</v>
      </c>
      <c r="B171" s="393">
        <v>20337603611</v>
      </c>
      <c r="C171" s="263"/>
      <c r="D171" s="263"/>
      <c r="E171" s="263"/>
      <c r="F171" s="1670">
        <v>5100</v>
      </c>
      <c r="G171" s="393" t="s">
        <v>8516</v>
      </c>
      <c r="H171" s="1671" t="s">
        <v>8377</v>
      </c>
    </row>
    <row r="172" spans="1:8" ht="60">
      <c r="A172" s="1669" t="s">
        <v>8517</v>
      </c>
      <c r="B172" s="393">
        <v>20342210814</v>
      </c>
      <c r="C172" s="263"/>
      <c r="D172" s="263"/>
      <c r="E172" s="263"/>
      <c r="F172" s="1670">
        <v>7800</v>
      </c>
      <c r="G172" s="393" t="s">
        <v>8517</v>
      </c>
      <c r="H172" s="1671" t="s">
        <v>8377</v>
      </c>
    </row>
    <row r="173" spans="1:8" ht="60">
      <c r="A173" s="1669" t="s">
        <v>8517</v>
      </c>
      <c r="B173" s="393">
        <v>20337603611</v>
      </c>
      <c r="C173" s="263"/>
      <c r="D173" s="263"/>
      <c r="E173" s="263"/>
      <c r="F173" s="1670">
        <v>3600</v>
      </c>
      <c r="G173" s="393" t="s">
        <v>8517</v>
      </c>
      <c r="H173" s="1671" t="s">
        <v>8377</v>
      </c>
    </row>
    <row r="174" spans="1:8" ht="60">
      <c r="A174" s="1669" t="s">
        <v>8517</v>
      </c>
      <c r="B174" s="393">
        <v>20342210814</v>
      </c>
      <c r="C174" s="263"/>
      <c r="D174" s="263"/>
      <c r="E174" s="263"/>
      <c r="F174" s="1670">
        <v>3800</v>
      </c>
      <c r="G174" s="393" t="s">
        <v>8517</v>
      </c>
      <c r="H174" s="1671" t="s">
        <v>8377</v>
      </c>
    </row>
    <row r="175" spans="1:8" ht="120">
      <c r="A175" s="1669" t="s">
        <v>8518</v>
      </c>
      <c r="B175" s="393">
        <v>20338802511</v>
      </c>
      <c r="C175" s="263"/>
      <c r="D175" s="263"/>
      <c r="E175" s="263"/>
      <c r="F175" s="1670">
        <v>4250</v>
      </c>
      <c r="G175" s="393" t="s">
        <v>8518</v>
      </c>
      <c r="H175" s="1671" t="s">
        <v>8377</v>
      </c>
    </row>
    <row r="176" spans="1:8" ht="84">
      <c r="A176" s="1669" t="s">
        <v>8519</v>
      </c>
      <c r="B176" s="393">
        <v>10409592436</v>
      </c>
      <c r="C176" s="263"/>
      <c r="D176" s="263"/>
      <c r="E176" s="263"/>
      <c r="F176" s="1670">
        <v>120000</v>
      </c>
      <c r="G176" s="393" t="s">
        <v>8519</v>
      </c>
      <c r="H176" s="1671" t="s">
        <v>8377</v>
      </c>
    </row>
    <row r="177" spans="1:8" ht="84">
      <c r="A177" s="1669" t="s">
        <v>8519</v>
      </c>
      <c r="B177" s="393">
        <v>10722526410</v>
      </c>
      <c r="C177" s="263"/>
      <c r="D177" s="263"/>
      <c r="E177" s="263"/>
      <c r="F177" s="1670">
        <v>34200</v>
      </c>
      <c r="G177" s="393" t="s">
        <v>8519</v>
      </c>
      <c r="H177" s="1671" t="s">
        <v>8377</v>
      </c>
    </row>
    <row r="178" spans="1:8" ht="84">
      <c r="A178" s="1669" t="s">
        <v>8519</v>
      </c>
      <c r="B178" s="393">
        <v>15417752380</v>
      </c>
      <c r="C178" s="263"/>
      <c r="D178" s="263"/>
      <c r="E178" s="263"/>
      <c r="F178" s="1670">
        <v>19800</v>
      </c>
      <c r="G178" s="393" t="s">
        <v>8519</v>
      </c>
      <c r="H178" s="1671" t="s">
        <v>8377</v>
      </c>
    </row>
    <row r="179" spans="1:8" ht="72">
      <c r="A179" s="1669" t="s">
        <v>8520</v>
      </c>
      <c r="B179" s="393">
        <v>10181680798</v>
      </c>
      <c r="C179" s="263"/>
      <c r="D179" s="263"/>
      <c r="E179" s="263"/>
      <c r="F179" s="1670">
        <v>15000</v>
      </c>
      <c r="G179" s="393" t="s">
        <v>8520</v>
      </c>
      <c r="H179" s="1671" t="s">
        <v>8377</v>
      </c>
    </row>
    <row r="180" spans="1:8" ht="72">
      <c r="A180" s="1669" t="s">
        <v>8520</v>
      </c>
      <c r="B180" s="393">
        <v>10409592436</v>
      </c>
      <c r="C180" s="263"/>
      <c r="D180" s="263"/>
      <c r="E180" s="263"/>
      <c r="F180" s="1670">
        <v>24000</v>
      </c>
      <c r="G180" s="393" t="s">
        <v>8520</v>
      </c>
      <c r="H180" s="1671" t="s">
        <v>8377</v>
      </c>
    </row>
    <row r="181" spans="1:8" ht="48">
      <c r="A181" s="1669" t="s">
        <v>8521</v>
      </c>
      <c r="B181" s="393">
        <v>10722526410</v>
      </c>
      <c r="C181" s="263"/>
      <c r="D181" s="263"/>
      <c r="E181" s="263"/>
      <c r="F181" s="1670">
        <v>24000</v>
      </c>
      <c r="G181" s="393" t="s">
        <v>8521</v>
      </c>
      <c r="H181" s="1671" t="s">
        <v>8377</v>
      </c>
    </row>
    <row r="182" spans="1:8" ht="48">
      <c r="A182" s="1669" t="s">
        <v>8522</v>
      </c>
      <c r="B182" s="393">
        <v>10441125700</v>
      </c>
      <c r="C182" s="263"/>
      <c r="D182" s="263"/>
      <c r="E182" s="263"/>
      <c r="F182" s="1670">
        <v>12000</v>
      </c>
      <c r="G182" s="393" t="s">
        <v>8522</v>
      </c>
      <c r="H182" s="1671" t="s">
        <v>8377</v>
      </c>
    </row>
    <row r="183" spans="1:8" ht="60">
      <c r="A183" s="1669" t="s">
        <v>8523</v>
      </c>
      <c r="B183" s="393">
        <v>10433169161</v>
      </c>
      <c r="C183" s="263"/>
      <c r="D183" s="263"/>
      <c r="E183" s="263"/>
      <c r="F183" s="1670">
        <v>30118</v>
      </c>
      <c r="G183" s="393" t="s">
        <v>8523</v>
      </c>
      <c r="H183" s="1671" t="s">
        <v>8377</v>
      </c>
    </row>
    <row r="184" spans="1:8" ht="36">
      <c r="A184" s="1669" t="s">
        <v>8524</v>
      </c>
      <c r="B184" s="393">
        <v>10181797296</v>
      </c>
      <c r="C184" s="263"/>
      <c r="D184" s="263"/>
      <c r="E184" s="263"/>
      <c r="F184" s="1670">
        <v>10000</v>
      </c>
      <c r="G184" s="393" t="s">
        <v>8524</v>
      </c>
      <c r="H184" s="1671" t="s">
        <v>8377</v>
      </c>
    </row>
    <row r="185" spans="1:8" ht="36">
      <c r="A185" s="1669" t="s">
        <v>8525</v>
      </c>
      <c r="B185" s="393">
        <v>10734942664</v>
      </c>
      <c r="C185" s="263"/>
      <c r="D185" s="263"/>
      <c r="E185" s="263"/>
      <c r="F185" s="1670">
        <v>30000</v>
      </c>
      <c r="G185" s="393" t="s">
        <v>8525</v>
      </c>
      <c r="H185" s="1671" t="s">
        <v>8377</v>
      </c>
    </row>
    <row r="186" spans="1:8" ht="36.75" thickBot="1">
      <c r="A186" s="1672" t="s">
        <v>8525</v>
      </c>
      <c r="B186" s="1673">
        <v>10441125700</v>
      </c>
      <c r="C186" s="1674"/>
      <c r="D186" s="1674"/>
      <c r="E186" s="1674"/>
      <c r="F186" s="1675">
        <v>24201</v>
      </c>
      <c r="G186" s="1673" t="s">
        <v>8525</v>
      </c>
      <c r="H186" s="1676" t="s">
        <v>8377</v>
      </c>
    </row>
    <row r="187" spans="1:8" ht="12.75" thickBot="1">
      <c r="A187" s="2058" t="s">
        <v>0</v>
      </c>
      <c r="B187" s="2059"/>
      <c r="C187" s="2059"/>
      <c r="D187" s="1662">
        <f>SUM(D41:D186)</f>
        <v>2793310.75</v>
      </c>
      <c r="E187" s="1662">
        <f>SUM(E41:E186)</f>
        <v>49600</v>
      </c>
      <c r="F187" s="1663">
        <f>SUM(F41:F186)</f>
        <v>1476288</v>
      </c>
      <c r="G187" s="1664"/>
      <c r="H187" s="1664"/>
    </row>
    <row r="188" spans="1:8" ht="12.75" thickBot="1">
      <c r="A188" s="2051" t="s">
        <v>8374</v>
      </c>
      <c r="B188" s="2052"/>
      <c r="C188" s="2052"/>
      <c r="D188" s="2052"/>
      <c r="E188" s="2052"/>
      <c r="F188" s="2052"/>
      <c r="G188" s="2052"/>
      <c r="H188" s="2053"/>
    </row>
    <row r="189" spans="1:8" ht="84">
      <c r="A189" s="1751" t="s">
        <v>8880</v>
      </c>
      <c r="B189" s="393">
        <v>20515137972</v>
      </c>
      <c r="C189" s="393"/>
      <c r="D189" s="1752">
        <v>60000</v>
      </c>
      <c r="E189" s="1752"/>
      <c r="F189" s="1752"/>
      <c r="G189" s="393" t="s">
        <v>8881</v>
      </c>
      <c r="H189" s="284"/>
    </row>
    <row r="190" spans="1:8" ht="180">
      <c r="A190" s="1751" t="s">
        <v>8882</v>
      </c>
      <c r="B190" s="393">
        <v>20601357403</v>
      </c>
      <c r="C190" s="393"/>
      <c r="D190" s="1752">
        <v>50000</v>
      </c>
      <c r="E190" s="1752"/>
      <c r="F190" s="1752"/>
      <c r="G190" s="393" t="s">
        <v>8883</v>
      </c>
      <c r="H190" s="284"/>
    </row>
    <row r="191" spans="1:8" ht="96">
      <c r="A191" s="1751" t="s">
        <v>8884</v>
      </c>
      <c r="B191" s="393"/>
      <c r="C191" s="393">
        <v>27736705</v>
      </c>
      <c r="D191" s="1752">
        <v>48000</v>
      </c>
      <c r="E191" s="1752"/>
      <c r="F191" s="1752"/>
      <c r="G191" s="393" t="s">
        <v>8885</v>
      </c>
      <c r="H191" s="284"/>
    </row>
    <row r="192" spans="1:8" ht="132">
      <c r="A192" s="1751" t="s">
        <v>8882</v>
      </c>
      <c r="B192" s="393">
        <v>20601357403</v>
      </c>
      <c r="C192" s="393"/>
      <c r="D192" s="1752">
        <v>45000</v>
      </c>
      <c r="E192" s="1752"/>
      <c r="F192" s="1752"/>
      <c r="G192" s="393" t="s">
        <v>8886</v>
      </c>
      <c r="H192" s="284"/>
    </row>
    <row r="193" spans="1:8" ht="96">
      <c r="A193" s="1751" t="s">
        <v>8887</v>
      </c>
      <c r="B193" s="393"/>
      <c r="C193" s="393">
        <v>41898614</v>
      </c>
      <c r="D193" s="1752">
        <v>54800</v>
      </c>
      <c r="E193" s="1752"/>
      <c r="F193" s="1752"/>
      <c r="G193" s="393" t="s">
        <v>8888</v>
      </c>
      <c r="H193" s="284"/>
    </row>
    <row r="194" spans="1:8" ht="120">
      <c r="A194" s="1751" t="s">
        <v>8880</v>
      </c>
      <c r="B194" s="393">
        <v>20515137972</v>
      </c>
      <c r="C194" s="393"/>
      <c r="D194" s="1752">
        <v>60000</v>
      </c>
      <c r="E194" s="1752"/>
      <c r="F194" s="1752"/>
      <c r="G194" s="393" t="s">
        <v>8889</v>
      </c>
      <c r="H194" s="284"/>
    </row>
    <row r="195" spans="1:8" ht="96">
      <c r="A195" s="1751" t="s">
        <v>8890</v>
      </c>
      <c r="B195" s="393"/>
      <c r="C195" s="393">
        <v>40515883</v>
      </c>
      <c r="D195" s="1752">
        <v>54000</v>
      </c>
      <c r="E195" s="1752"/>
      <c r="F195" s="1752"/>
      <c r="G195" s="393" t="s">
        <v>8891</v>
      </c>
      <c r="H195" s="284"/>
    </row>
    <row r="196" spans="1:8" ht="60">
      <c r="A196" s="1751" t="s">
        <v>8892</v>
      </c>
      <c r="B196" s="393"/>
      <c r="C196" s="393">
        <v>6793266</v>
      </c>
      <c r="D196" s="1752">
        <v>41600</v>
      </c>
      <c r="E196" s="1752"/>
      <c r="F196" s="1752"/>
      <c r="G196" s="393" t="s">
        <v>8893</v>
      </c>
      <c r="H196" s="284"/>
    </row>
    <row r="197" spans="1:8" ht="132">
      <c r="A197" s="1751" t="s">
        <v>8894</v>
      </c>
      <c r="B197" s="393"/>
      <c r="C197" s="393">
        <v>7839798</v>
      </c>
      <c r="D197" s="1752">
        <v>100000</v>
      </c>
      <c r="E197" s="1752"/>
      <c r="F197" s="1752"/>
      <c r="G197" s="393" t="s">
        <v>8895</v>
      </c>
      <c r="H197" s="284"/>
    </row>
    <row r="198" spans="1:8" ht="60">
      <c r="A198" s="1751" t="s">
        <v>8896</v>
      </c>
      <c r="B198" s="393">
        <v>20602193757</v>
      </c>
      <c r="C198" s="393"/>
      <c r="D198" s="1752">
        <v>23400</v>
      </c>
      <c r="E198" s="1752"/>
      <c r="F198" s="1752"/>
      <c r="G198" s="393" t="s">
        <v>8897</v>
      </c>
      <c r="H198" s="284"/>
    </row>
    <row r="199" spans="1:8" ht="84">
      <c r="A199" s="1751" t="s">
        <v>8880</v>
      </c>
      <c r="B199" s="393">
        <v>20515137972</v>
      </c>
      <c r="C199" s="393"/>
      <c r="D199" s="1752">
        <v>3600</v>
      </c>
      <c r="E199" s="1752"/>
      <c r="F199" s="1752"/>
      <c r="G199" s="393" t="s">
        <v>8898</v>
      </c>
      <c r="H199" s="284"/>
    </row>
    <row r="200" spans="1:8" ht="132">
      <c r="A200" s="1751" t="s">
        <v>8882</v>
      </c>
      <c r="B200" s="393">
        <v>20601357403</v>
      </c>
      <c r="C200" s="393"/>
      <c r="D200" s="1752">
        <v>26000</v>
      </c>
      <c r="E200" s="1752"/>
      <c r="F200" s="1752"/>
      <c r="G200" s="393" t="s">
        <v>8899</v>
      </c>
      <c r="H200" s="284"/>
    </row>
    <row r="201" spans="1:8" ht="84">
      <c r="A201" s="1751" t="s">
        <v>3832</v>
      </c>
      <c r="B201" s="393"/>
      <c r="C201" s="393">
        <v>7381159</v>
      </c>
      <c r="D201" s="1752">
        <v>12000</v>
      </c>
      <c r="E201" s="1752"/>
      <c r="F201" s="1752"/>
      <c r="G201" s="393" t="s">
        <v>8900</v>
      </c>
      <c r="H201" s="284"/>
    </row>
    <row r="202" spans="1:8" ht="60">
      <c r="A202" s="1751" t="s">
        <v>8882</v>
      </c>
      <c r="B202" s="393">
        <v>20601357403</v>
      </c>
      <c r="C202" s="393"/>
      <c r="D202" s="1752">
        <v>12000</v>
      </c>
      <c r="E202" s="1752"/>
      <c r="F202" s="1752"/>
      <c r="G202" s="393" t="s">
        <v>8901</v>
      </c>
      <c r="H202" s="284"/>
    </row>
    <row r="203" spans="1:8" ht="60">
      <c r="A203" s="1751" t="s">
        <v>8902</v>
      </c>
      <c r="B203" s="393">
        <v>20601206120</v>
      </c>
      <c r="C203" s="393"/>
      <c r="D203" s="1752">
        <v>30000</v>
      </c>
      <c r="E203" s="1752"/>
      <c r="F203" s="1752"/>
      <c r="G203" s="393" t="s">
        <v>8903</v>
      </c>
      <c r="H203" s="284"/>
    </row>
    <row r="204" spans="1:8" ht="96">
      <c r="A204" s="1751" t="s">
        <v>8904</v>
      </c>
      <c r="B204" s="393">
        <v>20510709099</v>
      </c>
      <c r="C204" s="393"/>
      <c r="D204" s="1752">
        <v>32400</v>
      </c>
      <c r="E204" s="1752"/>
      <c r="F204" s="1752"/>
      <c r="G204" s="393" t="s">
        <v>8905</v>
      </c>
      <c r="H204" s="284"/>
    </row>
    <row r="205" spans="1:8" ht="156">
      <c r="A205" s="1751" t="s">
        <v>8395</v>
      </c>
      <c r="B205" s="393">
        <v>20521926334</v>
      </c>
      <c r="C205" s="393"/>
      <c r="D205" s="1752">
        <v>6660</v>
      </c>
      <c r="E205" s="1752"/>
      <c r="F205" s="1752"/>
      <c r="G205" s="393" t="s">
        <v>8906</v>
      </c>
      <c r="H205" s="284"/>
    </row>
    <row r="206" spans="1:8" ht="108">
      <c r="A206" s="1751" t="s">
        <v>8907</v>
      </c>
      <c r="B206" s="393">
        <v>20415321652</v>
      </c>
      <c r="C206" s="393"/>
      <c r="D206" s="1752">
        <v>42836.11</v>
      </c>
      <c r="E206" s="1752"/>
      <c r="F206" s="1752"/>
      <c r="G206" s="393" t="s">
        <v>8908</v>
      </c>
      <c r="H206" s="284"/>
    </row>
    <row r="207" spans="1:8" ht="108">
      <c r="A207" s="1751" t="s">
        <v>8909</v>
      </c>
      <c r="B207" s="393">
        <v>20515256556</v>
      </c>
      <c r="C207" s="393"/>
      <c r="D207" s="1752">
        <v>156000</v>
      </c>
      <c r="E207" s="1752"/>
      <c r="F207" s="1752"/>
      <c r="G207" s="393" t="s">
        <v>8910</v>
      </c>
      <c r="H207" s="284"/>
    </row>
    <row r="208" spans="1:8" ht="120">
      <c r="A208" s="1751" t="s">
        <v>8884</v>
      </c>
      <c r="B208" s="393"/>
      <c r="C208" s="393">
        <v>10277367055</v>
      </c>
      <c r="D208" s="1752"/>
      <c r="E208" s="1752">
        <v>0</v>
      </c>
      <c r="F208" s="1752">
        <v>48000</v>
      </c>
      <c r="G208" s="393" t="s">
        <v>8911</v>
      </c>
      <c r="H208" s="284"/>
    </row>
    <row r="209" spans="1:8" ht="84">
      <c r="A209" s="1751" t="s">
        <v>8880</v>
      </c>
      <c r="B209" s="393">
        <v>20515137972</v>
      </c>
      <c r="C209" s="393"/>
      <c r="D209" s="1752"/>
      <c r="E209" s="1752">
        <v>0</v>
      </c>
      <c r="F209" s="1752">
        <v>60000</v>
      </c>
      <c r="G209" s="393" t="s">
        <v>8912</v>
      </c>
      <c r="H209" s="284"/>
    </row>
    <row r="210" spans="1:8" ht="132">
      <c r="A210" s="1751" t="s">
        <v>8880</v>
      </c>
      <c r="B210" s="393">
        <v>20515137972</v>
      </c>
      <c r="C210" s="393"/>
      <c r="D210" s="1752"/>
      <c r="E210" s="1752">
        <v>0</v>
      </c>
      <c r="F210" s="1752">
        <v>60000</v>
      </c>
      <c r="G210" s="393" t="s">
        <v>8913</v>
      </c>
      <c r="H210" s="284"/>
    </row>
    <row r="211" spans="1:8" ht="180">
      <c r="A211" s="1751" t="s">
        <v>8882</v>
      </c>
      <c r="B211" s="393">
        <v>20601357403</v>
      </c>
      <c r="C211" s="393"/>
      <c r="D211" s="1752"/>
      <c r="E211" s="1752">
        <v>0</v>
      </c>
      <c r="F211" s="1752">
        <v>60000</v>
      </c>
      <c r="G211" s="393" t="s">
        <v>8914</v>
      </c>
      <c r="H211" s="284"/>
    </row>
    <row r="212" spans="1:8" ht="60">
      <c r="A212" s="1751" t="s">
        <v>8880</v>
      </c>
      <c r="B212" s="393">
        <v>20515137972</v>
      </c>
      <c r="C212" s="393"/>
      <c r="D212" s="1752"/>
      <c r="E212" s="1752">
        <v>0</v>
      </c>
      <c r="F212" s="1752">
        <v>60000</v>
      </c>
      <c r="G212" s="393" t="s">
        <v>8915</v>
      </c>
      <c r="H212" s="284"/>
    </row>
    <row r="213" spans="1:8" ht="132">
      <c r="A213" s="1751" t="s">
        <v>8882</v>
      </c>
      <c r="B213" s="393">
        <v>20601357403</v>
      </c>
      <c r="C213" s="393"/>
      <c r="D213" s="1752"/>
      <c r="E213" s="1752">
        <v>0</v>
      </c>
      <c r="F213" s="1752">
        <v>45000</v>
      </c>
      <c r="G213" s="393" t="s">
        <v>8916</v>
      </c>
      <c r="H213" s="284"/>
    </row>
    <row r="214" spans="1:8" ht="96">
      <c r="A214" s="1751" t="s">
        <v>8904</v>
      </c>
      <c r="B214" s="393">
        <v>20510709099</v>
      </c>
      <c r="C214" s="393"/>
      <c r="D214" s="1752"/>
      <c r="E214" s="1752">
        <v>12800</v>
      </c>
      <c r="F214" s="1752">
        <v>19200</v>
      </c>
      <c r="G214" s="393" t="s">
        <v>8917</v>
      </c>
      <c r="H214" s="284"/>
    </row>
    <row r="215" spans="1:8" ht="96">
      <c r="A215" s="1751" t="s">
        <v>8882</v>
      </c>
      <c r="B215" s="393">
        <v>20601357403</v>
      </c>
      <c r="C215" s="393"/>
      <c r="D215" s="1752"/>
      <c r="E215" s="1752">
        <v>5750</v>
      </c>
      <c r="F215" s="1752">
        <v>17250</v>
      </c>
      <c r="G215" s="393" t="s">
        <v>8918</v>
      </c>
      <c r="H215" s="284"/>
    </row>
    <row r="216" spans="1:8" ht="84">
      <c r="A216" s="1751" t="s">
        <v>8919</v>
      </c>
      <c r="B216" s="393">
        <v>20601206120</v>
      </c>
      <c r="C216" s="393"/>
      <c r="D216" s="1752"/>
      <c r="E216" s="1752">
        <v>8000</v>
      </c>
      <c r="F216" s="1752">
        <v>8000</v>
      </c>
      <c r="G216" s="393" t="s">
        <v>8920</v>
      </c>
      <c r="H216" s="284"/>
    </row>
    <row r="217" spans="1:8" ht="108">
      <c r="A217" s="1751" t="s">
        <v>8882</v>
      </c>
      <c r="B217" s="393">
        <v>20601357403</v>
      </c>
      <c r="C217" s="393"/>
      <c r="D217" s="1752"/>
      <c r="E217" s="1752">
        <v>9380</v>
      </c>
      <c r="F217" s="1752">
        <v>9380</v>
      </c>
      <c r="G217" s="393" t="s">
        <v>8921</v>
      </c>
      <c r="H217" s="284"/>
    </row>
    <row r="218" spans="1:8" ht="168">
      <c r="A218" s="1751" t="s">
        <v>8922</v>
      </c>
      <c r="B218" s="393"/>
      <c r="C218" s="393"/>
      <c r="D218" s="1752"/>
      <c r="E218" s="1752">
        <v>6400</v>
      </c>
      <c r="F218" s="1752">
        <v>25600</v>
      </c>
      <c r="G218" s="393" t="s">
        <v>8923</v>
      </c>
      <c r="H218" s="284"/>
    </row>
    <row r="219" spans="1:8" ht="84">
      <c r="A219" s="1751" t="s">
        <v>8924</v>
      </c>
      <c r="B219" s="393"/>
      <c r="C219" s="393"/>
      <c r="D219" s="1752"/>
      <c r="E219" s="1752">
        <v>0</v>
      </c>
      <c r="F219" s="1752">
        <v>40200</v>
      </c>
      <c r="G219" s="393" t="s">
        <v>8925</v>
      </c>
      <c r="H219" s="284"/>
    </row>
    <row r="220" spans="1:8" ht="84">
      <c r="A220" s="1751" t="s">
        <v>8926</v>
      </c>
      <c r="B220" s="393">
        <v>20601435200</v>
      </c>
      <c r="C220" s="393"/>
      <c r="D220" s="1752"/>
      <c r="E220" s="1752">
        <v>0</v>
      </c>
      <c r="F220" s="1752">
        <v>30000</v>
      </c>
      <c r="G220" s="393" t="s">
        <v>8927</v>
      </c>
      <c r="H220" s="284"/>
    </row>
    <row r="221" spans="1:8" ht="204">
      <c r="A221" s="1751" t="s">
        <v>8928</v>
      </c>
      <c r="B221" s="393">
        <v>20535727407</v>
      </c>
      <c r="C221" s="393"/>
      <c r="D221" s="1752"/>
      <c r="E221" s="1752">
        <v>0</v>
      </c>
      <c r="F221" s="1752">
        <v>12100</v>
      </c>
      <c r="G221" s="393" t="s">
        <v>8929</v>
      </c>
      <c r="H221" s="284"/>
    </row>
    <row r="222" spans="1:8" ht="180">
      <c r="A222" s="1751" t="s">
        <v>8930</v>
      </c>
      <c r="B222" s="393"/>
      <c r="C222" s="393">
        <v>8215403</v>
      </c>
      <c r="D222" s="1752"/>
      <c r="E222" s="1752">
        <v>3000</v>
      </c>
      <c r="F222" s="1752">
        <v>12000</v>
      </c>
      <c r="G222" s="393" t="s">
        <v>8931</v>
      </c>
      <c r="H222" s="284"/>
    </row>
    <row r="223" spans="1:8" ht="72">
      <c r="A223" s="1751" t="s">
        <v>8932</v>
      </c>
      <c r="B223" s="393"/>
      <c r="C223" s="393">
        <v>7214946</v>
      </c>
      <c r="D223" s="1752"/>
      <c r="E223" s="1752">
        <v>0</v>
      </c>
      <c r="F223" s="1752">
        <v>30000</v>
      </c>
      <c r="G223" s="393" t="s">
        <v>8933</v>
      </c>
      <c r="H223" s="284"/>
    </row>
    <row r="224" spans="1:8" ht="96">
      <c r="A224" s="1751" t="s">
        <v>8934</v>
      </c>
      <c r="B224" s="393"/>
      <c r="C224" s="393">
        <v>9295287</v>
      </c>
      <c r="D224" s="1752"/>
      <c r="E224" s="1752">
        <v>0</v>
      </c>
      <c r="F224" s="1752">
        <v>31345</v>
      </c>
      <c r="G224" s="393" t="s">
        <v>8935</v>
      </c>
      <c r="H224" s="284"/>
    </row>
    <row r="225" spans="1:8" ht="156">
      <c r="A225" s="1751" t="s">
        <v>8936</v>
      </c>
      <c r="B225" s="393">
        <v>20475260199</v>
      </c>
      <c r="C225" s="393"/>
      <c r="D225" s="1752"/>
      <c r="E225" s="1752">
        <v>0</v>
      </c>
      <c r="F225" s="1752">
        <v>13615</v>
      </c>
      <c r="G225" s="393" t="s">
        <v>8937</v>
      </c>
      <c r="H225" s="284"/>
    </row>
    <row r="226" spans="1:8" ht="144">
      <c r="A226" s="1751" t="s">
        <v>8887</v>
      </c>
      <c r="B226" s="393"/>
      <c r="C226" s="393">
        <v>41898614</v>
      </c>
      <c r="D226" s="1752"/>
      <c r="E226" s="1752">
        <v>27400</v>
      </c>
      <c r="F226" s="1752">
        <v>0</v>
      </c>
      <c r="G226" s="393" t="s">
        <v>8938</v>
      </c>
      <c r="H226" s="284"/>
    </row>
    <row r="227" spans="1:8" ht="108">
      <c r="A227" s="1751" t="s">
        <v>8892</v>
      </c>
      <c r="B227" s="393"/>
      <c r="C227" s="393">
        <v>6793266</v>
      </c>
      <c r="D227" s="1752"/>
      <c r="E227" s="1752">
        <v>20800</v>
      </c>
      <c r="F227" s="1752">
        <v>0</v>
      </c>
      <c r="G227" s="393" t="s">
        <v>8939</v>
      </c>
      <c r="H227" s="284"/>
    </row>
    <row r="228" spans="1:8" ht="264">
      <c r="A228" s="1751" t="s">
        <v>8395</v>
      </c>
      <c r="B228" s="393">
        <v>20521926334</v>
      </c>
      <c r="C228" s="393"/>
      <c r="D228" s="1752"/>
      <c r="E228" s="1752">
        <v>13320</v>
      </c>
      <c r="F228" s="1752">
        <v>13320</v>
      </c>
      <c r="G228" s="393" t="s">
        <v>8940</v>
      </c>
      <c r="H228" s="284"/>
    </row>
    <row r="229" spans="1:8" ht="168">
      <c r="A229" s="1751" t="s">
        <v>8909</v>
      </c>
      <c r="B229" s="393">
        <v>20515256556</v>
      </c>
      <c r="C229" s="393"/>
      <c r="D229" s="1752"/>
      <c r="E229" s="1752">
        <v>0</v>
      </c>
      <c r="F229" s="1752">
        <v>52000</v>
      </c>
      <c r="G229" s="393" t="s">
        <v>8941</v>
      </c>
      <c r="H229" s="284"/>
    </row>
    <row r="230" spans="1:8" ht="12.75" thickBot="1">
      <c r="A230" s="50" t="s">
        <v>4970</v>
      </c>
      <c r="B230" s="27"/>
      <c r="C230" s="27"/>
      <c r="D230" s="1753">
        <f>SUBTOTAL(9,D189:D229)</f>
        <v>858296.11</v>
      </c>
      <c r="E230" s="1753">
        <f>SUBTOTAL(9,E189:E229)</f>
        <v>106850</v>
      </c>
      <c r="F230" s="1753">
        <f>SUBTOTAL(9,F189:F229)</f>
        <v>647010</v>
      </c>
      <c r="G230" s="1754"/>
      <c r="H230" s="284"/>
    </row>
    <row r="231" spans="1:8" ht="12.75" thickBot="1">
      <c r="A231" s="2051" t="s">
        <v>8942</v>
      </c>
      <c r="B231" s="2052"/>
      <c r="C231" s="2052"/>
      <c r="D231" s="2052"/>
      <c r="E231" s="2052"/>
      <c r="F231" s="2052"/>
      <c r="G231" s="2052"/>
      <c r="H231" s="2053"/>
    </row>
    <row r="232" spans="1:8">
      <c r="A232" s="268"/>
      <c r="B232" s="284"/>
      <c r="C232" s="284"/>
      <c r="D232" s="290"/>
      <c r="E232" s="290"/>
      <c r="F232" s="290"/>
      <c r="G232" s="284"/>
      <c r="H232" s="284"/>
    </row>
    <row r="233" spans="1:8">
      <c r="A233" s="268"/>
      <c r="B233" s="284"/>
      <c r="C233" s="284"/>
      <c r="D233" s="290"/>
      <c r="E233" s="290"/>
      <c r="F233" s="290"/>
      <c r="G233" s="284"/>
      <c r="H233" s="284"/>
    </row>
    <row r="234" spans="1:8">
      <c r="A234" s="268"/>
      <c r="B234" s="284"/>
      <c r="C234" s="284"/>
      <c r="D234" s="290"/>
      <c r="E234" s="290"/>
      <c r="F234" s="290"/>
      <c r="G234" s="284"/>
      <c r="H234" s="284"/>
    </row>
    <row r="235" spans="1:8" ht="12.75" thickBot="1">
      <c r="A235" s="268"/>
      <c r="B235" s="284"/>
      <c r="C235" s="284"/>
      <c r="D235" s="290"/>
      <c r="E235" s="290"/>
      <c r="F235" s="290"/>
      <c r="G235" s="284"/>
      <c r="H235" s="284"/>
    </row>
    <row r="236" spans="1:8" ht="12.75" thickBot="1">
      <c r="A236" s="2051" t="s">
        <v>9078</v>
      </c>
      <c r="B236" s="2052"/>
      <c r="C236" s="2052"/>
      <c r="D236" s="2052"/>
      <c r="E236" s="2052"/>
      <c r="F236" s="2052"/>
      <c r="G236" s="2052"/>
      <c r="H236" s="2053"/>
    </row>
    <row r="237" spans="1:8">
      <c r="A237" s="268"/>
      <c r="B237" s="284"/>
      <c r="C237" s="284"/>
      <c r="D237" s="290"/>
      <c r="E237" s="290"/>
      <c r="F237" s="290"/>
      <c r="G237" s="284"/>
      <c r="H237" s="284"/>
    </row>
    <row r="238" spans="1:8">
      <c r="A238" s="268"/>
      <c r="B238" s="284"/>
      <c r="C238" s="284"/>
      <c r="D238" s="290"/>
      <c r="E238" s="290"/>
      <c r="F238" s="290"/>
      <c r="G238" s="284"/>
      <c r="H238" s="284"/>
    </row>
    <row r="239" spans="1:8">
      <c r="A239" s="268"/>
      <c r="B239" s="284"/>
      <c r="C239" s="284"/>
      <c r="D239" s="290"/>
      <c r="E239" s="290"/>
      <c r="F239" s="290"/>
      <c r="G239" s="284"/>
      <c r="H239" s="284"/>
    </row>
    <row r="240" spans="1:8" ht="12.75" thickBot="1">
      <c r="A240" s="268"/>
      <c r="B240" s="284"/>
      <c r="C240" s="284"/>
      <c r="D240" s="290"/>
      <c r="E240" s="290"/>
      <c r="F240" s="290"/>
      <c r="G240" s="284"/>
      <c r="H240" s="284"/>
    </row>
    <row r="241" spans="1:8" ht="12.75" thickBot="1">
      <c r="A241" s="2051" t="s">
        <v>9080</v>
      </c>
      <c r="B241" s="2052"/>
      <c r="C241" s="2052"/>
      <c r="D241" s="2052"/>
      <c r="E241" s="2052"/>
      <c r="F241" s="2052"/>
      <c r="G241" s="2052"/>
      <c r="H241" s="2053"/>
    </row>
    <row r="242" spans="1:8">
      <c r="A242" s="268"/>
      <c r="B242" s="284"/>
      <c r="C242" s="284"/>
      <c r="D242" s="290"/>
      <c r="E242" s="290"/>
      <c r="F242" s="290"/>
      <c r="G242" s="284"/>
      <c r="H242" s="284"/>
    </row>
    <row r="243" spans="1:8">
      <c r="A243" s="268"/>
      <c r="B243" s="284"/>
      <c r="C243" s="284"/>
      <c r="D243" s="290"/>
      <c r="E243" s="290"/>
      <c r="F243" s="290"/>
      <c r="G243" s="284"/>
      <c r="H243" s="284"/>
    </row>
    <row r="244" spans="1:8">
      <c r="A244" s="268"/>
      <c r="B244" s="284"/>
      <c r="C244" s="284"/>
      <c r="D244" s="290"/>
      <c r="E244" s="290"/>
      <c r="F244" s="290"/>
      <c r="G244" s="284"/>
      <c r="H244" s="284"/>
    </row>
    <row r="245" spans="1:8" ht="12.75" thickBot="1">
      <c r="A245" s="268"/>
      <c r="B245" s="284"/>
      <c r="C245" s="284"/>
      <c r="D245" s="290"/>
      <c r="E245" s="290"/>
      <c r="F245" s="290"/>
      <c r="G245" s="284"/>
      <c r="H245" s="284"/>
    </row>
    <row r="246" spans="1:8" ht="12.75" thickBot="1">
      <c r="A246" s="2043" t="s">
        <v>9088</v>
      </c>
      <c r="B246" s="2044"/>
      <c r="C246" s="2044"/>
      <c r="D246" s="2044"/>
      <c r="E246" s="2044"/>
      <c r="F246" s="2044"/>
      <c r="G246" s="2044"/>
      <c r="H246" s="2054"/>
    </row>
    <row r="247" spans="1:8" ht="324">
      <c r="A247" s="260" t="s">
        <v>9224</v>
      </c>
      <c r="B247" s="260"/>
      <c r="C247" s="260">
        <v>10286025477</v>
      </c>
      <c r="D247" s="1792">
        <v>14000</v>
      </c>
      <c r="E247" s="1793"/>
      <c r="F247" s="1793"/>
      <c r="G247" s="1632" t="s">
        <v>9225</v>
      </c>
      <c r="H247" s="1632" t="s">
        <v>5169</v>
      </c>
    </row>
    <row r="248" spans="1:8" ht="264">
      <c r="A248" s="260" t="s">
        <v>9226</v>
      </c>
      <c r="B248" s="260"/>
      <c r="C248" s="260">
        <v>10704289320</v>
      </c>
      <c r="D248" s="1792">
        <v>14000</v>
      </c>
      <c r="E248" s="1793"/>
      <c r="F248" s="1793"/>
      <c r="G248" s="1632" t="s">
        <v>9227</v>
      </c>
      <c r="H248" s="1632" t="s">
        <v>5169</v>
      </c>
    </row>
    <row r="249" spans="1:8" ht="324">
      <c r="A249" s="260" t="s">
        <v>9226</v>
      </c>
      <c r="B249" s="260"/>
      <c r="C249" s="260">
        <v>10286025477</v>
      </c>
      <c r="D249" s="1792">
        <v>14000</v>
      </c>
      <c r="E249" s="1793"/>
      <c r="F249" s="1793"/>
      <c r="G249" s="1632" t="s">
        <v>9228</v>
      </c>
      <c r="H249" s="1632" t="s">
        <v>1695</v>
      </c>
    </row>
    <row r="250" spans="1:8" ht="252">
      <c r="A250" s="260" t="s">
        <v>9226</v>
      </c>
      <c r="B250" s="260"/>
      <c r="C250" s="260">
        <v>10286025477</v>
      </c>
      <c r="D250" s="1792">
        <v>14000</v>
      </c>
      <c r="E250" s="1793"/>
      <c r="F250" s="1793"/>
      <c r="G250" s="1632" t="s">
        <v>9229</v>
      </c>
      <c r="H250" s="1632" t="s">
        <v>1695</v>
      </c>
    </row>
    <row r="251" spans="1:8" ht="180">
      <c r="A251" s="260" t="s">
        <v>9226</v>
      </c>
      <c r="B251" s="260"/>
      <c r="C251" s="260">
        <v>10704289320</v>
      </c>
      <c r="D251" s="1792">
        <v>14000</v>
      </c>
      <c r="E251" s="1793"/>
      <c r="F251" s="1793"/>
      <c r="G251" s="1632" t="s">
        <v>9230</v>
      </c>
      <c r="H251" s="1632" t="s">
        <v>5169</v>
      </c>
    </row>
    <row r="252" spans="1:8" ht="96">
      <c r="A252" s="260" t="s">
        <v>9231</v>
      </c>
      <c r="B252" s="260">
        <v>20600616731</v>
      </c>
      <c r="C252" s="260"/>
      <c r="D252" s="1792">
        <v>16000</v>
      </c>
      <c r="E252" s="1793"/>
      <c r="F252" s="1793"/>
      <c r="G252" s="1632" t="s">
        <v>9232</v>
      </c>
      <c r="H252" s="1632" t="s">
        <v>3417</v>
      </c>
    </row>
    <row r="253" spans="1:8" ht="240">
      <c r="A253" s="260" t="s">
        <v>9226</v>
      </c>
      <c r="B253" s="260"/>
      <c r="C253" s="260">
        <v>10104340585</v>
      </c>
      <c r="D253" s="1792">
        <v>19000</v>
      </c>
      <c r="E253" s="1793"/>
      <c r="F253" s="1793"/>
      <c r="G253" s="1632" t="s">
        <v>9233</v>
      </c>
      <c r="H253" s="1632" t="s">
        <v>5169</v>
      </c>
    </row>
    <row r="254" spans="1:8" ht="60">
      <c r="A254" s="260" t="s">
        <v>9234</v>
      </c>
      <c r="B254" s="260">
        <v>20478018852</v>
      </c>
      <c r="C254" s="260"/>
      <c r="D254" s="1792">
        <v>33400</v>
      </c>
      <c r="E254" s="1793"/>
      <c r="F254" s="1793"/>
      <c r="G254" s="1632" t="s">
        <v>9235</v>
      </c>
      <c r="H254" s="1632" t="s">
        <v>3417</v>
      </c>
    </row>
    <row r="255" spans="1:8" ht="180">
      <c r="A255" s="260" t="s">
        <v>9226</v>
      </c>
      <c r="B255" s="260"/>
      <c r="C255" s="260">
        <v>10457235343</v>
      </c>
      <c r="D255" s="1792">
        <v>10000</v>
      </c>
      <c r="E255" s="1793"/>
      <c r="F255" s="1793"/>
      <c r="G255" s="1632" t="s">
        <v>9236</v>
      </c>
      <c r="H255" s="1632" t="s">
        <v>5169</v>
      </c>
    </row>
    <row r="256" spans="1:8" ht="132">
      <c r="A256" s="260" t="s">
        <v>9226</v>
      </c>
      <c r="B256" s="260"/>
      <c r="C256" s="260">
        <v>10704289320</v>
      </c>
      <c r="D256" s="1792">
        <v>14000</v>
      </c>
      <c r="E256" s="1793"/>
      <c r="F256" s="1793"/>
      <c r="G256" s="1632" t="s">
        <v>9237</v>
      </c>
      <c r="H256" s="1632" t="s">
        <v>5169</v>
      </c>
    </row>
    <row r="257" spans="1:8" ht="156">
      <c r="A257" s="260" t="s">
        <v>9238</v>
      </c>
      <c r="B257" s="260"/>
      <c r="C257" s="260">
        <v>10295941583</v>
      </c>
      <c r="D257" s="1792">
        <v>3000</v>
      </c>
      <c r="E257" s="1793"/>
      <c r="F257" s="1793"/>
      <c r="G257" s="1632" t="s">
        <v>9239</v>
      </c>
      <c r="H257" s="1632" t="s">
        <v>1695</v>
      </c>
    </row>
    <row r="258" spans="1:8" ht="24">
      <c r="A258" s="260" t="s">
        <v>9240</v>
      </c>
      <c r="B258" s="260">
        <v>20600616731</v>
      </c>
      <c r="C258" s="260"/>
      <c r="D258" s="1792">
        <v>31800</v>
      </c>
      <c r="E258" s="1793"/>
      <c r="F258" s="1793"/>
      <c r="G258" s="1632" t="s">
        <v>9241</v>
      </c>
      <c r="H258" s="1632" t="s">
        <v>3417</v>
      </c>
    </row>
    <row r="259" spans="1:8" ht="288">
      <c r="A259" s="260" t="s">
        <v>9226</v>
      </c>
      <c r="B259" s="260"/>
      <c r="C259" s="260">
        <v>10086758887</v>
      </c>
      <c r="D259" s="1792">
        <v>17000</v>
      </c>
      <c r="E259" s="1793"/>
      <c r="F259" s="1793"/>
      <c r="G259" s="1632" t="s">
        <v>9242</v>
      </c>
      <c r="H259" s="1632" t="s">
        <v>1695</v>
      </c>
    </row>
    <row r="260" spans="1:8" ht="180">
      <c r="A260" s="260" t="s">
        <v>9226</v>
      </c>
      <c r="B260" s="260"/>
      <c r="C260" s="260">
        <v>10457235343</v>
      </c>
      <c r="D260" s="1792">
        <v>10000</v>
      </c>
      <c r="E260" s="1793"/>
      <c r="F260" s="1793"/>
      <c r="G260" s="1632" t="s">
        <v>9236</v>
      </c>
      <c r="H260" s="1632" t="s">
        <v>1695</v>
      </c>
    </row>
    <row r="261" spans="1:8" ht="288">
      <c r="A261" s="260" t="s">
        <v>9226</v>
      </c>
      <c r="B261" s="260"/>
      <c r="C261" s="260">
        <v>10704289320</v>
      </c>
      <c r="D261" s="1792">
        <v>14000</v>
      </c>
      <c r="E261" s="1793"/>
      <c r="F261" s="1793"/>
      <c r="G261" s="1632" t="s">
        <v>9243</v>
      </c>
      <c r="H261" s="1632" t="s">
        <v>5169</v>
      </c>
    </row>
    <row r="262" spans="1:8" ht="180">
      <c r="A262" s="260" t="s">
        <v>9226</v>
      </c>
      <c r="B262" s="260"/>
      <c r="C262" s="260">
        <v>10708381964</v>
      </c>
      <c r="D262" s="1792">
        <v>17000</v>
      </c>
      <c r="E262" s="1793"/>
      <c r="F262" s="1793"/>
      <c r="G262" s="1632" t="s">
        <v>9244</v>
      </c>
      <c r="H262" s="1632" t="s">
        <v>5169</v>
      </c>
    </row>
    <row r="263" spans="1:8" ht="96">
      <c r="A263" s="260" t="s">
        <v>9226</v>
      </c>
      <c r="B263" s="260"/>
      <c r="C263" s="260">
        <v>10414689201</v>
      </c>
      <c r="D263" s="1792">
        <v>20000</v>
      </c>
      <c r="E263" s="1793"/>
      <c r="F263" s="1793"/>
      <c r="G263" s="1632" t="s">
        <v>9245</v>
      </c>
      <c r="H263" s="1632" t="s">
        <v>5169</v>
      </c>
    </row>
    <row r="264" spans="1:8" ht="48">
      <c r="A264" s="260" t="s">
        <v>9226</v>
      </c>
      <c r="B264" s="260"/>
      <c r="C264" s="260">
        <v>10438180945</v>
      </c>
      <c r="D264" s="1792">
        <v>8000</v>
      </c>
      <c r="E264" s="1793"/>
      <c r="F264" s="1793"/>
      <c r="G264" s="1632" t="s">
        <v>9246</v>
      </c>
      <c r="H264" s="1632" t="s">
        <v>1695</v>
      </c>
    </row>
    <row r="265" spans="1:8" ht="60">
      <c r="A265" s="260" t="s">
        <v>9234</v>
      </c>
      <c r="B265" s="260">
        <v>20515802658</v>
      </c>
      <c r="C265" s="260"/>
      <c r="D265" s="1792">
        <v>9912</v>
      </c>
      <c r="E265" s="1793"/>
      <c r="F265" s="1793"/>
      <c r="G265" s="1632" t="s">
        <v>9235</v>
      </c>
      <c r="H265" s="1632" t="s">
        <v>9247</v>
      </c>
    </row>
    <row r="266" spans="1:8" ht="60">
      <c r="A266" s="260" t="s">
        <v>9248</v>
      </c>
      <c r="B266" s="260">
        <v>20566563089</v>
      </c>
      <c r="C266" s="260"/>
      <c r="D266" s="1792">
        <v>5500</v>
      </c>
      <c r="E266" s="1793"/>
      <c r="F266" s="1793"/>
      <c r="G266" s="1632" t="s">
        <v>9249</v>
      </c>
      <c r="H266" s="1632" t="s">
        <v>3417</v>
      </c>
    </row>
    <row r="267" spans="1:8" ht="36">
      <c r="A267" s="260" t="s">
        <v>9250</v>
      </c>
      <c r="B267" s="260"/>
      <c r="C267" s="260">
        <v>10411593181</v>
      </c>
      <c r="D267" s="1792">
        <v>5000</v>
      </c>
      <c r="E267" s="1793"/>
      <c r="F267" s="1793"/>
      <c r="G267" s="1632" t="s">
        <v>9250</v>
      </c>
      <c r="H267" s="1632" t="s">
        <v>1672</v>
      </c>
    </row>
    <row r="268" spans="1:8" ht="24">
      <c r="A268" s="260" t="s">
        <v>9251</v>
      </c>
      <c r="B268" s="260"/>
      <c r="C268" s="260">
        <v>10101842776</v>
      </c>
      <c r="D268" s="1792">
        <v>20000</v>
      </c>
      <c r="E268" s="1793"/>
      <c r="F268" s="1793"/>
      <c r="G268" s="1632" t="s">
        <v>9252</v>
      </c>
      <c r="H268" s="1632" t="s">
        <v>3417</v>
      </c>
    </row>
    <row r="269" spans="1:8" ht="180">
      <c r="A269" s="260" t="s">
        <v>9253</v>
      </c>
      <c r="B269" s="260">
        <v>20547508972</v>
      </c>
      <c r="C269" s="260"/>
      <c r="D269" s="1792"/>
      <c r="E269" s="1792">
        <v>17475</v>
      </c>
      <c r="F269" s="1793"/>
      <c r="G269" s="1632" t="s">
        <v>9254</v>
      </c>
      <c r="H269" s="1632" t="s">
        <v>9247</v>
      </c>
    </row>
    <row r="270" spans="1:8" ht="72">
      <c r="A270" s="260" t="s">
        <v>9255</v>
      </c>
      <c r="B270" s="260"/>
      <c r="C270" s="260">
        <v>10079490291</v>
      </c>
      <c r="D270" s="1794"/>
      <c r="E270" s="1792">
        <v>318600</v>
      </c>
      <c r="F270" s="1793"/>
      <c r="G270" s="1632" t="s">
        <v>9256</v>
      </c>
      <c r="H270" s="1632" t="s">
        <v>1695</v>
      </c>
    </row>
    <row r="271" spans="1:8" ht="180">
      <c r="A271" s="260" t="s">
        <v>9253</v>
      </c>
      <c r="B271" s="260">
        <v>20547508972</v>
      </c>
      <c r="C271" s="260"/>
      <c r="D271" s="1794"/>
      <c r="E271" s="1792">
        <v>99025</v>
      </c>
      <c r="F271" s="1793"/>
      <c r="G271" s="1632" t="s">
        <v>9254</v>
      </c>
      <c r="H271" s="1632" t="s">
        <v>9247</v>
      </c>
    </row>
    <row r="272" spans="1:8" ht="144">
      <c r="A272" s="260" t="s">
        <v>9240</v>
      </c>
      <c r="B272" s="260">
        <v>20600616731</v>
      </c>
      <c r="C272" s="260"/>
      <c r="D272" s="1794"/>
      <c r="E272" s="1793"/>
      <c r="F272" s="1792">
        <v>30000</v>
      </c>
      <c r="G272" s="1632" t="s">
        <v>9257</v>
      </c>
      <c r="H272" s="1632" t="s">
        <v>3417</v>
      </c>
    </row>
    <row r="273" spans="1:8" ht="156">
      <c r="A273" s="260" t="s">
        <v>9258</v>
      </c>
      <c r="B273" s="260"/>
      <c r="C273" s="260">
        <v>10441381340</v>
      </c>
      <c r="D273" s="1794"/>
      <c r="E273" s="1793"/>
      <c r="F273" s="1792">
        <v>9000</v>
      </c>
      <c r="G273" s="1632" t="s">
        <v>9259</v>
      </c>
      <c r="H273" s="1632" t="s">
        <v>1695</v>
      </c>
    </row>
    <row r="274" spans="1:8" ht="120.75" thickBot="1">
      <c r="A274" s="260" t="s">
        <v>9258</v>
      </c>
      <c r="B274" s="260"/>
      <c r="C274" s="260">
        <v>10460951190</v>
      </c>
      <c r="D274" s="1794"/>
      <c r="E274" s="1793"/>
      <c r="F274" s="1792">
        <v>12000</v>
      </c>
      <c r="G274" s="1632" t="s">
        <v>9260</v>
      </c>
      <c r="H274" s="1632" t="s">
        <v>1695</v>
      </c>
    </row>
    <row r="275" spans="1:8" ht="12.75" thickBot="1">
      <c r="A275" s="50" t="s">
        <v>4970</v>
      </c>
      <c r="B275" s="27"/>
      <c r="C275" s="27"/>
      <c r="D275" s="1790">
        <f>SUM(D247:D274)</f>
        <v>323612</v>
      </c>
      <c r="E275" s="1790">
        <f t="shared" ref="E275:F275" si="1">SUM(E247:E274)</f>
        <v>435100</v>
      </c>
      <c r="F275" s="1790">
        <f t="shared" si="1"/>
        <v>51000</v>
      </c>
      <c r="G275" s="21"/>
      <c r="H275" s="21"/>
    </row>
    <row r="276" spans="1:8" ht="12.75" thickBot="1">
      <c r="A276" s="2043" t="s">
        <v>9336</v>
      </c>
      <c r="B276" s="2044"/>
      <c r="C276" s="2044"/>
      <c r="D276" s="2044"/>
      <c r="E276" s="2044"/>
      <c r="F276" s="2044"/>
      <c r="G276" s="2044"/>
      <c r="H276" s="2054"/>
    </row>
    <row r="277" spans="1:8" ht="264">
      <c r="A277" s="1817" t="s">
        <v>9371</v>
      </c>
      <c r="B277" s="260" t="s">
        <v>9372</v>
      </c>
      <c r="C277" s="260" t="s">
        <v>92</v>
      </c>
      <c r="D277" s="260" t="s">
        <v>92</v>
      </c>
      <c r="E277" s="260" t="s">
        <v>92</v>
      </c>
      <c r="F277" s="1818">
        <v>33280</v>
      </c>
      <c r="G277" s="1819" t="s">
        <v>9373</v>
      </c>
      <c r="H277" s="1632"/>
    </row>
    <row r="278" spans="1:8" ht="12.75" thickBot="1">
      <c r="A278" s="268"/>
      <c r="B278" s="284"/>
      <c r="C278" s="284"/>
      <c r="D278" s="290"/>
      <c r="E278" s="290"/>
      <c r="F278" s="290"/>
      <c r="G278" s="284"/>
      <c r="H278" s="284"/>
    </row>
    <row r="279" spans="1:8" ht="12.75" thickBot="1">
      <c r="A279" s="2043" t="s">
        <v>9394</v>
      </c>
      <c r="B279" s="2044"/>
      <c r="C279" s="2044"/>
      <c r="D279" s="2044"/>
      <c r="E279" s="2044"/>
      <c r="F279" s="2044"/>
      <c r="G279" s="2044"/>
      <c r="H279" s="2054"/>
    </row>
    <row r="280" spans="1:8">
      <c r="A280" s="268"/>
      <c r="B280" s="284"/>
      <c r="C280" s="284"/>
      <c r="D280" s="290"/>
      <c r="E280" s="290"/>
      <c r="F280" s="290"/>
      <c r="G280" s="284"/>
      <c r="H280" s="284"/>
    </row>
    <row r="281" spans="1:8">
      <c r="A281" s="268"/>
      <c r="B281" s="284"/>
      <c r="C281" s="284"/>
      <c r="D281" s="290"/>
      <c r="E281" s="290"/>
      <c r="F281" s="290"/>
      <c r="G281" s="284"/>
      <c r="H281" s="284"/>
    </row>
    <row r="282" spans="1:8">
      <c r="A282" s="268"/>
      <c r="B282" s="284"/>
      <c r="C282" s="284"/>
      <c r="D282" s="290"/>
      <c r="E282" s="290"/>
      <c r="F282" s="290"/>
      <c r="G282" s="284"/>
      <c r="H282" s="284"/>
    </row>
    <row r="283" spans="1:8" ht="12.75" thickBot="1">
      <c r="A283" s="268"/>
      <c r="B283" s="284"/>
      <c r="C283" s="284"/>
      <c r="D283" s="290"/>
      <c r="E283" s="290"/>
      <c r="F283" s="290"/>
      <c r="G283" s="284"/>
      <c r="H283" s="284"/>
    </row>
    <row r="284" spans="1:8" ht="12.75" thickBot="1">
      <c r="A284" s="2043" t="s">
        <v>9486</v>
      </c>
      <c r="B284" s="2044"/>
      <c r="C284" s="2044"/>
      <c r="D284" s="2044"/>
      <c r="E284" s="2044"/>
      <c r="F284" s="2044"/>
      <c r="G284" s="2044"/>
      <c r="H284" s="2054"/>
    </row>
    <row r="285" spans="1:8" ht="96">
      <c r="A285" s="300" t="s">
        <v>9515</v>
      </c>
      <c r="B285" s="1877">
        <v>20565984056</v>
      </c>
      <c r="C285" s="29"/>
      <c r="D285" s="1878">
        <v>18969</v>
      </c>
      <c r="E285" s="2"/>
      <c r="F285" s="1634"/>
      <c r="G285" s="1791" t="s">
        <v>9516</v>
      </c>
      <c r="H285" s="1791" t="s">
        <v>9517</v>
      </c>
    </row>
    <row r="286" spans="1:8" ht="84">
      <c r="A286" s="300" t="s">
        <v>9518</v>
      </c>
      <c r="B286" s="1877">
        <v>20565984056</v>
      </c>
      <c r="C286" s="29"/>
      <c r="D286" s="1878">
        <v>13500</v>
      </c>
      <c r="E286" s="2"/>
      <c r="F286" s="1634"/>
      <c r="G286" s="1791" t="s">
        <v>9519</v>
      </c>
      <c r="H286" s="1791" t="s">
        <v>9517</v>
      </c>
    </row>
    <row r="287" spans="1:8" ht="96">
      <c r="A287" s="300" t="s">
        <v>9520</v>
      </c>
      <c r="B287" s="1877">
        <v>20518853334</v>
      </c>
      <c r="C287" s="29"/>
      <c r="D287" s="1878">
        <v>33000</v>
      </c>
      <c r="E287" s="2"/>
      <c r="F287" s="1634"/>
      <c r="G287" s="1791" t="s">
        <v>9521</v>
      </c>
      <c r="H287" s="1791" t="s">
        <v>9517</v>
      </c>
    </row>
    <row r="288" spans="1:8" ht="120">
      <c r="A288" s="300" t="s">
        <v>9522</v>
      </c>
      <c r="B288" s="29"/>
      <c r="C288" s="1877" t="s">
        <v>9523</v>
      </c>
      <c r="D288" s="1878">
        <v>4347.83</v>
      </c>
      <c r="E288" s="2"/>
      <c r="F288" s="1634"/>
      <c r="G288" s="1791" t="s">
        <v>9524</v>
      </c>
      <c r="H288" s="1791" t="s">
        <v>9517</v>
      </c>
    </row>
    <row r="289" spans="1:8" ht="108">
      <c r="A289" s="300" t="s">
        <v>9525</v>
      </c>
      <c r="B289" s="29"/>
      <c r="C289" s="1877" t="s">
        <v>9523</v>
      </c>
      <c r="D289" s="1878">
        <v>6293.91</v>
      </c>
      <c r="E289" s="2"/>
      <c r="F289" s="1634"/>
      <c r="G289" s="1791" t="s">
        <v>9526</v>
      </c>
      <c r="H289" s="1791" t="s">
        <v>9517</v>
      </c>
    </row>
    <row r="290" spans="1:8" ht="84">
      <c r="A290" s="300" t="s">
        <v>9527</v>
      </c>
      <c r="B290" s="29"/>
      <c r="C290" s="1877" t="s">
        <v>9528</v>
      </c>
      <c r="D290" s="1878"/>
      <c r="E290" s="1879">
        <v>3600</v>
      </c>
      <c r="F290" s="1789"/>
      <c r="G290" s="1791" t="s">
        <v>9529</v>
      </c>
      <c r="H290" s="1791" t="s">
        <v>9517</v>
      </c>
    </row>
    <row r="291" spans="1:8" ht="108">
      <c r="A291" s="300" t="s">
        <v>9530</v>
      </c>
      <c r="B291" s="29"/>
      <c r="C291" s="1877" t="s">
        <v>9531</v>
      </c>
      <c r="D291" s="1878"/>
      <c r="E291" s="1879">
        <v>21000</v>
      </c>
      <c r="F291" s="1789"/>
      <c r="G291" s="1791" t="s">
        <v>9532</v>
      </c>
      <c r="H291" s="1791" t="s">
        <v>9517</v>
      </c>
    </row>
    <row r="292" spans="1:8" ht="84">
      <c r="A292" s="300" t="s">
        <v>9533</v>
      </c>
      <c r="B292" s="29"/>
      <c r="C292" s="1877" t="s">
        <v>4914</v>
      </c>
      <c r="D292" s="1878"/>
      <c r="E292" s="1879">
        <v>12960</v>
      </c>
      <c r="F292" s="1789"/>
      <c r="G292" s="1791" t="s">
        <v>9534</v>
      </c>
      <c r="H292" s="1791" t="s">
        <v>9517</v>
      </c>
    </row>
    <row r="293" spans="1:8" ht="96">
      <c r="A293" s="300" t="s">
        <v>9535</v>
      </c>
      <c r="B293" s="29"/>
      <c r="C293" s="1877" t="s">
        <v>9536</v>
      </c>
      <c r="D293" s="1878"/>
      <c r="E293" s="1879">
        <v>4500</v>
      </c>
      <c r="F293" s="1789"/>
      <c r="G293" s="1791" t="s">
        <v>9537</v>
      </c>
      <c r="H293" s="1791" t="s">
        <v>9517</v>
      </c>
    </row>
    <row r="294" spans="1:8" ht="60">
      <c r="A294" s="300" t="s">
        <v>9538</v>
      </c>
      <c r="B294" s="29"/>
      <c r="C294" s="1877" t="s">
        <v>9539</v>
      </c>
      <c r="D294" s="1878"/>
      <c r="E294" s="1879">
        <v>16000</v>
      </c>
      <c r="F294" s="1789"/>
      <c r="G294" s="1791" t="s">
        <v>9540</v>
      </c>
      <c r="H294" s="1791" t="s">
        <v>9517</v>
      </c>
    </row>
    <row r="295" spans="1:8" ht="72">
      <c r="A295" s="300" t="s">
        <v>9541</v>
      </c>
      <c r="B295" s="29"/>
      <c r="C295" s="1877" t="s">
        <v>9542</v>
      </c>
      <c r="D295" s="1878"/>
      <c r="E295" s="1879">
        <v>7920</v>
      </c>
      <c r="F295" s="1789"/>
      <c r="G295" s="1791" t="s">
        <v>9543</v>
      </c>
      <c r="H295" s="1791" t="s">
        <v>9517</v>
      </c>
    </row>
    <row r="296" spans="1:8" ht="72">
      <c r="A296" s="300" t="s">
        <v>9544</v>
      </c>
      <c r="B296" s="29"/>
      <c r="C296" s="1877" t="s">
        <v>9545</v>
      </c>
      <c r="D296" s="1878"/>
      <c r="E296" s="1879">
        <v>12000</v>
      </c>
      <c r="F296" s="1789"/>
      <c r="G296" s="1791" t="s">
        <v>9543</v>
      </c>
      <c r="H296" s="1791" t="s">
        <v>9517</v>
      </c>
    </row>
    <row r="297" spans="1:8" ht="96">
      <c r="A297" s="300" t="s">
        <v>9546</v>
      </c>
      <c r="B297" s="29"/>
      <c r="C297" s="1877" t="s">
        <v>9547</v>
      </c>
      <c r="D297" s="1878"/>
      <c r="E297" s="1879">
        <v>8750</v>
      </c>
      <c r="F297" s="1789"/>
      <c r="G297" s="1791" t="s">
        <v>9548</v>
      </c>
      <c r="H297" s="1791" t="s">
        <v>9517</v>
      </c>
    </row>
    <row r="298" spans="1:8" ht="132">
      <c r="A298" s="300" t="s">
        <v>9549</v>
      </c>
      <c r="B298" s="29"/>
      <c r="C298" s="1877" t="s">
        <v>9531</v>
      </c>
      <c r="D298" s="1878"/>
      <c r="E298" s="1879">
        <v>17850</v>
      </c>
      <c r="F298" s="1789">
        <v>3150</v>
      </c>
      <c r="G298" s="1791" t="s">
        <v>9550</v>
      </c>
      <c r="H298" s="1791" t="s">
        <v>9517</v>
      </c>
    </row>
    <row r="299" spans="1:8" ht="144">
      <c r="A299" s="300" t="s">
        <v>9551</v>
      </c>
      <c r="B299" s="29"/>
      <c r="C299" s="1877" t="s">
        <v>9552</v>
      </c>
      <c r="D299" s="1878"/>
      <c r="E299" s="1879"/>
      <c r="F299" s="1789">
        <v>10000</v>
      </c>
      <c r="G299" s="1791" t="s">
        <v>9553</v>
      </c>
      <c r="H299" s="1791" t="s">
        <v>9517</v>
      </c>
    </row>
    <row r="300" spans="1:8" ht="228">
      <c r="A300" s="300" t="s">
        <v>9554</v>
      </c>
      <c r="B300" s="29"/>
      <c r="C300" s="1877" t="s">
        <v>9555</v>
      </c>
      <c r="D300" s="1878"/>
      <c r="E300" s="1879">
        <v>15000</v>
      </c>
      <c r="F300" s="1789"/>
      <c r="G300" s="1791" t="s">
        <v>9556</v>
      </c>
      <c r="H300" s="1791" t="s">
        <v>9517</v>
      </c>
    </row>
    <row r="301" spans="1:8" ht="96">
      <c r="A301" s="300" t="s">
        <v>9557</v>
      </c>
      <c r="B301" s="29"/>
      <c r="C301" s="1877" t="s">
        <v>9558</v>
      </c>
      <c r="D301" s="1878"/>
      <c r="E301" s="1879"/>
      <c r="F301" s="1789">
        <v>4440</v>
      </c>
      <c r="G301" s="1791" t="s">
        <v>9559</v>
      </c>
      <c r="H301" s="1791" t="s">
        <v>9517</v>
      </c>
    </row>
    <row r="302" spans="1:8" ht="72">
      <c r="A302" s="300" t="s">
        <v>9560</v>
      </c>
      <c r="B302" s="29"/>
      <c r="C302" s="1877" t="s">
        <v>9528</v>
      </c>
      <c r="D302" s="1878"/>
      <c r="E302" s="1879">
        <v>4860</v>
      </c>
      <c r="F302" s="1789">
        <v>3240</v>
      </c>
      <c r="G302" s="1791" t="s">
        <v>9561</v>
      </c>
      <c r="H302" s="1791" t="s">
        <v>9517</v>
      </c>
    </row>
    <row r="303" spans="1:8" ht="48">
      <c r="A303" s="300" t="s">
        <v>9562</v>
      </c>
      <c r="B303" s="29"/>
      <c r="C303" s="1877" t="s">
        <v>9545</v>
      </c>
      <c r="D303" s="1878"/>
      <c r="E303" s="1879">
        <v>7920</v>
      </c>
      <c r="F303" s="1789">
        <v>4080</v>
      </c>
      <c r="G303" s="1791" t="s">
        <v>9563</v>
      </c>
      <c r="H303" s="1791" t="s">
        <v>9517</v>
      </c>
    </row>
    <row r="304" spans="1:8" ht="72">
      <c r="A304" s="300" t="s">
        <v>9564</v>
      </c>
      <c r="B304" s="29"/>
      <c r="C304" s="1877" t="s">
        <v>9539</v>
      </c>
      <c r="D304" s="1878"/>
      <c r="E304" s="1879"/>
      <c r="F304" s="1789">
        <v>8000</v>
      </c>
      <c r="G304" s="1791" t="s">
        <v>9565</v>
      </c>
      <c r="H304" s="1791" t="s">
        <v>9517</v>
      </c>
    </row>
    <row r="305" spans="1:8" ht="120">
      <c r="A305" s="300" t="s">
        <v>9566</v>
      </c>
      <c r="B305" s="29"/>
      <c r="C305" s="1877" t="s">
        <v>9536</v>
      </c>
      <c r="D305" s="1878"/>
      <c r="E305" s="1879"/>
      <c r="F305" s="1789">
        <v>4500</v>
      </c>
      <c r="G305" s="1791" t="s">
        <v>9567</v>
      </c>
      <c r="H305" s="1791" t="s">
        <v>9517</v>
      </c>
    </row>
    <row r="306" spans="1:8" ht="168">
      <c r="A306" s="300" t="s">
        <v>9568</v>
      </c>
      <c r="B306" s="29"/>
      <c r="C306" s="1877" t="s">
        <v>9569</v>
      </c>
      <c r="D306" s="1878"/>
      <c r="E306" s="1879"/>
      <c r="F306" s="1789">
        <v>16500</v>
      </c>
      <c r="G306" s="1791" t="s">
        <v>9570</v>
      </c>
      <c r="H306" s="1791" t="s">
        <v>9517</v>
      </c>
    </row>
    <row r="307" spans="1:8" ht="108">
      <c r="A307" s="300" t="s">
        <v>9571</v>
      </c>
      <c r="B307" s="29"/>
      <c r="C307" s="1877" t="s">
        <v>9528</v>
      </c>
      <c r="D307" s="1878"/>
      <c r="E307" s="1879"/>
      <c r="F307" s="1789">
        <v>4000</v>
      </c>
      <c r="G307" s="1791" t="s">
        <v>9572</v>
      </c>
      <c r="H307" s="1791" t="s">
        <v>9517</v>
      </c>
    </row>
    <row r="308" spans="1:8" ht="72">
      <c r="A308" s="300" t="s">
        <v>9573</v>
      </c>
      <c r="B308" s="29"/>
      <c r="C308" s="1877" t="s">
        <v>9545</v>
      </c>
      <c r="D308" s="1878"/>
      <c r="E308" s="1879"/>
      <c r="F308" s="1789">
        <v>8000</v>
      </c>
      <c r="G308" s="1791" t="s">
        <v>9543</v>
      </c>
      <c r="H308" s="1791" t="s">
        <v>9517</v>
      </c>
    </row>
    <row r="309" spans="1:8" ht="72">
      <c r="A309" s="300" t="s">
        <v>9574</v>
      </c>
      <c r="B309" s="29"/>
      <c r="C309" s="1877" t="s">
        <v>9575</v>
      </c>
      <c r="D309" s="1878"/>
      <c r="E309" s="1879"/>
      <c r="F309" s="1789">
        <v>7000</v>
      </c>
      <c r="G309" s="1791" t="s">
        <v>9576</v>
      </c>
      <c r="H309" s="1791" t="s">
        <v>9517</v>
      </c>
    </row>
    <row r="310" spans="1:8" ht="48">
      <c r="A310" s="300" t="s">
        <v>9577</v>
      </c>
      <c r="B310" s="29"/>
      <c r="C310" s="1877" t="s">
        <v>9545</v>
      </c>
      <c r="D310" s="1878"/>
      <c r="E310" s="1879"/>
      <c r="F310" s="1789">
        <v>8000</v>
      </c>
      <c r="G310" s="1791" t="s">
        <v>9578</v>
      </c>
      <c r="H310" s="1791" t="s">
        <v>9517</v>
      </c>
    </row>
    <row r="311" spans="1:8" ht="108">
      <c r="A311" s="300" t="s">
        <v>9579</v>
      </c>
      <c r="B311" s="29"/>
      <c r="C311" s="1877" t="s">
        <v>9575</v>
      </c>
      <c r="D311" s="1878"/>
      <c r="E311" s="1879"/>
      <c r="F311" s="1789">
        <v>7000</v>
      </c>
      <c r="G311" s="1791" t="s">
        <v>9580</v>
      </c>
      <c r="H311" s="1791" t="s">
        <v>9517</v>
      </c>
    </row>
    <row r="312" spans="1:8" ht="192">
      <c r="A312" s="300" t="s">
        <v>9581</v>
      </c>
      <c r="B312" s="29"/>
      <c r="C312" s="1877" t="s">
        <v>9582</v>
      </c>
      <c r="D312" s="1878"/>
      <c r="E312" s="1879"/>
      <c r="F312" s="1789">
        <v>15000</v>
      </c>
      <c r="G312" s="1791" t="s">
        <v>9583</v>
      </c>
      <c r="H312" s="1791" t="s">
        <v>9517</v>
      </c>
    </row>
    <row r="313" spans="1:8" ht="84">
      <c r="A313" s="300" t="s">
        <v>9584</v>
      </c>
      <c r="B313" s="29"/>
      <c r="C313" s="1877" t="s">
        <v>9575</v>
      </c>
      <c r="D313" s="1878"/>
      <c r="E313" s="1879"/>
      <c r="F313" s="1789">
        <v>7000</v>
      </c>
      <c r="G313" s="1791" t="s">
        <v>9585</v>
      </c>
      <c r="H313" s="1791" t="s">
        <v>9517</v>
      </c>
    </row>
    <row r="314" spans="1:8" ht="96">
      <c r="A314" s="300" t="s">
        <v>9586</v>
      </c>
      <c r="B314" s="29"/>
      <c r="C314" s="1877" t="s">
        <v>9545</v>
      </c>
      <c r="D314" s="1878"/>
      <c r="E314" s="1879"/>
      <c r="F314" s="1789">
        <v>8000</v>
      </c>
      <c r="G314" s="1791" t="s">
        <v>9587</v>
      </c>
      <c r="H314" s="1791" t="s">
        <v>9517</v>
      </c>
    </row>
    <row r="315" spans="1:8" ht="60">
      <c r="A315" s="300" t="s">
        <v>9588</v>
      </c>
      <c r="B315" s="29"/>
      <c r="C315" s="1877" t="s">
        <v>9040</v>
      </c>
      <c r="D315" s="1878"/>
      <c r="E315" s="1879"/>
      <c r="F315" s="1789">
        <v>16000</v>
      </c>
      <c r="G315" s="1791" t="s">
        <v>9589</v>
      </c>
      <c r="H315" s="1791" t="s">
        <v>9517</v>
      </c>
    </row>
    <row r="316" spans="1:8" ht="36">
      <c r="A316" s="300" t="s">
        <v>9590</v>
      </c>
      <c r="B316" s="29"/>
      <c r="C316" s="1877" t="s">
        <v>9040</v>
      </c>
      <c r="D316" s="1878"/>
      <c r="E316" s="1879"/>
      <c r="F316" s="1789">
        <v>40000</v>
      </c>
      <c r="G316" s="1791" t="s">
        <v>9591</v>
      </c>
      <c r="H316" s="1791" t="s">
        <v>9517</v>
      </c>
    </row>
    <row r="317" spans="1:8">
      <c r="A317" s="29"/>
      <c r="B317" s="29"/>
      <c r="C317" s="29"/>
      <c r="D317" s="1878"/>
      <c r="E317" s="2"/>
      <c r="F317" s="1634"/>
      <c r="G317" s="1613"/>
      <c r="H317" s="1613"/>
    </row>
    <row r="318" spans="1:8" ht="12.75" thickBot="1">
      <c r="A318" s="1636"/>
      <c r="B318" s="1636"/>
      <c r="C318" s="1636"/>
      <c r="D318" s="1880"/>
      <c r="E318" s="13"/>
      <c r="F318" s="1638"/>
      <c r="G318" s="1639"/>
      <c r="H318" s="1639"/>
    </row>
    <row r="319" spans="1:8" ht="12.75" thickBot="1">
      <c r="A319" s="50" t="s">
        <v>4970</v>
      </c>
      <c r="B319" s="27"/>
      <c r="C319" s="27"/>
      <c r="D319" s="1790">
        <f>SUM(D285:D318)</f>
        <v>76110.740000000005</v>
      </c>
      <c r="E319" s="1790">
        <f t="shared" ref="E319:F319" si="2">SUM(E285:E318)</f>
        <v>132360</v>
      </c>
      <c r="F319" s="1790">
        <f t="shared" si="2"/>
        <v>173910</v>
      </c>
      <c r="G319" s="21"/>
      <c r="H319" s="21"/>
    </row>
    <row r="320" spans="1:8">
      <c r="A320" s="10" t="s">
        <v>477</v>
      </c>
    </row>
    <row r="321" spans="1:1">
      <c r="A321" s="1" t="s">
        <v>478</v>
      </c>
    </row>
  </sheetData>
  <mergeCells count="19">
    <mergeCell ref="A284:H284"/>
    <mergeCell ref="A236:H236"/>
    <mergeCell ref="A241:H241"/>
    <mergeCell ref="A246:H246"/>
    <mergeCell ref="A276:H276"/>
    <mergeCell ref="A279:H279"/>
    <mergeCell ref="B4:B5"/>
    <mergeCell ref="H4:H5"/>
    <mergeCell ref="A4:A5"/>
    <mergeCell ref="G4:G5"/>
    <mergeCell ref="C4:C5"/>
    <mergeCell ref="A187:C187"/>
    <mergeCell ref="A188:H188"/>
    <mergeCell ref="A231:H231"/>
    <mergeCell ref="A6:H6"/>
    <mergeCell ref="A7:H7"/>
    <mergeCell ref="A30:H30"/>
    <mergeCell ref="A35:H35"/>
    <mergeCell ref="A40:H40"/>
  </mergeCells>
  <phoneticPr fontId="0" type="noConversion"/>
  <printOptions horizontalCentered="1"/>
  <pageMargins left="0.19685039370078741" right="0.19685039370078741" top="0.78740157480314965" bottom="0.78740157480314965" header="0.19685039370078741" footer="0.19685039370078741"/>
  <pageSetup paperSize="9" scale="94" fitToHeight="100" orientation="landscape" r:id="rId1"/>
  <headerFooter alignWithMargins="0">
    <oddHeader>&amp;C&amp;"Arial,Negrita"&amp;18FORMATOS DEL PROYECTO DE PRESUPUESTO 2021</oddHeader>
    <oddFooter>&amp;L&amp;"Arial,Negrita"&amp;8PROYECTO DE PRESUPUESTO PARA EL AÑO FISCAL 2021
INFORMACIÓN PARA LA COMISIÓN DE PRESUPUESTO Y CUENTA GENERAL DE LA REPÚBLICA DEL CONGRESO DE LA REPÚBLICA</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V279"/>
  <sheetViews>
    <sheetView view="pageBreakPreview" zoomScaleNormal="100" zoomScaleSheetLayoutView="100" zoomScalePageLayoutView="85" workbookViewId="0">
      <selection activeCell="B8" sqref="B8"/>
    </sheetView>
  </sheetViews>
  <sheetFormatPr baseColWidth="10" defaultRowHeight="12"/>
  <cols>
    <col min="1" max="1" width="42" style="312" bestFit="1" customWidth="1"/>
    <col min="2" max="2" width="23.5703125" style="312" customWidth="1"/>
    <col min="3" max="3" width="35.42578125" style="312" customWidth="1"/>
    <col min="4" max="8" width="15.7109375" style="312" customWidth="1"/>
    <col min="9" max="16384" width="11.42578125" style="312"/>
  </cols>
  <sheetData>
    <row r="1" spans="1:22" s="310" customFormat="1" ht="15.75">
      <c r="A1" s="309" t="s">
        <v>472</v>
      </c>
    </row>
    <row r="2" spans="1:22" s="311" customFormat="1" ht="15.75">
      <c r="A2" s="69" t="s">
        <v>382</v>
      </c>
      <c r="B2" s="71"/>
      <c r="C2" s="71"/>
      <c r="D2" s="71"/>
      <c r="E2" s="71"/>
      <c r="F2" s="71"/>
      <c r="G2" s="71"/>
      <c r="H2" s="71"/>
      <c r="I2" s="71"/>
      <c r="J2" s="71"/>
      <c r="K2" s="71"/>
      <c r="L2" s="71"/>
      <c r="M2" s="71"/>
      <c r="N2" s="71"/>
      <c r="O2" s="71"/>
      <c r="P2" s="71"/>
      <c r="Q2" s="71"/>
      <c r="R2" s="71"/>
      <c r="S2" s="71"/>
      <c r="T2" s="71"/>
      <c r="U2" s="71"/>
      <c r="V2" s="71"/>
    </row>
    <row r="3" spans="1:22" ht="12.75" thickBot="1"/>
    <row r="4" spans="1:22" ht="12.75" thickBot="1">
      <c r="A4" s="2065" t="s">
        <v>325</v>
      </c>
      <c r="B4" s="2065" t="s">
        <v>94</v>
      </c>
      <c r="C4" s="2063" t="s">
        <v>324</v>
      </c>
      <c r="D4" s="2064"/>
      <c r="E4" s="2064"/>
      <c r="F4" s="2064"/>
      <c r="G4" s="2064"/>
      <c r="H4" s="2064"/>
    </row>
    <row r="5" spans="1:22" s="315" customFormat="1" ht="13.5" customHeight="1" thickBot="1">
      <c r="A5" s="2066"/>
      <c r="B5" s="2066"/>
      <c r="C5" s="334" t="s">
        <v>323</v>
      </c>
      <c r="D5" s="335" t="s">
        <v>322</v>
      </c>
      <c r="E5" s="313" t="s">
        <v>321</v>
      </c>
      <c r="F5" s="314" t="s">
        <v>320</v>
      </c>
      <c r="G5" s="314" t="s">
        <v>326</v>
      </c>
      <c r="H5" s="314" t="s">
        <v>327</v>
      </c>
    </row>
    <row r="6" spans="1:22" ht="12.75" thickBot="1">
      <c r="A6" s="2043" t="s">
        <v>384</v>
      </c>
      <c r="B6" s="2044"/>
      <c r="C6" s="2044"/>
      <c r="D6" s="2044"/>
      <c r="E6" s="2044"/>
      <c r="F6" s="2044"/>
      <c r="G6" s="2044"/>
      <c r="H6" s="2044"/>
      <c r="I6" s="2044"/>
      <c r="J6" s="2054"/>
    </row>
    <row r="7" spans="1:22" ht="12.75" customHeight="1">
      <c r="A7" s="2062" t="s">
        <v>7471</v>
      </c>
      <c r="B7" s="2062"/>
      <c r="C7" s="2062"/>
      <c r="D7" s="2062"/>
      <c r="E7" s="2062"/>
      <c r="F7" s="2062"/>
      <c r="G7" s="2062"/>
      <c r="H7" s="2062"/>
    </row>
    <row r="8" spans="1:22">
      <c r="A8" s="319" t="s">
        <v>32</v>
      </c>
      <c r="B8" s="320"/>
      <c r="C8" s="316" t="s">
        <v>7472</v>
      </c>
      <c r="D8" s="317" t="s">
        <v>7473</v>
      </c>
      <c r="E8" s="318" t="s">
        <v>7474</v>
      </c>
      <c r="F8" s="316" t="s">
        <v>7475</v>
      </c>
      <c r="G8" s="316">
        <v>625503.31000000006</v>
      </c>
      <c r="H8" s="316"/>
    </row>
    <row r="9" spans="1:22">
      <c r="A9" s="319"/>
      <c r="B9" s="320"/>
      <c r="C9" s="316"/>
      <c r="D9" s="321"/>
      <c r="E9" s="322" t="s">
        <v>7476</v>
      </c>
      <c r="F9" s="316" t="s">
        <v>7475</v>
      </c>
      <c r="G9" s="323">
        <v>20368.830000000002</v>
      </c>
      <c r="H9" s="323"/>
    </row>
    <row r="10" spans="1:22">
      <c r="A10" s="319" t="s">
        <v>33</v>
      </c>
      <c r="B10" s="320"/>
      <c r="C10" s="316"/>
      <c r="D10" s="321"/>
      <c r="E10" s="322"/>
      <c r="F10" s="316"/>
      <c r="G10" s="323"/>
      <c r="H10" s="323"/>
    </row>
    <row r="11" spans="1:22">
      <c r="A11" s="319"/>
      <c r="B11" s="320"/>
      <c r="C11" s="316" t="s">
        <v>7472</v>
      </c>
      <c r="D11" s="317" t="s">
        <v>7477</v>
      </c>
      <c r="E11" s="318" t="s">
        <v>7474</v>
      </c>
      <c r="F11" s="316" t="s">
        <v>7475</v>
      </c>
      <c r="G11" s="316">
        <v>125773.61</v>
      </c>
      <c r="H11" s="316"/>
    </row>
    <row r="12" spans="1:22">
      <c r="A12" s="319" t="s">
        <v>7478</v>
      </c>
      <c r="B12" s="320"/>
      <c r="C12" s="316"/>
      <c r="D12" s="317"/>
      <c r="E12" s="318"/>
      <c r="F12" s="316"/>
      <c r="G12" s="316"/>
      <c r="H12" s="316"/>
    </row>
    <row r="13" spans="1:22">
      <c r="A13" s="319" t="s">
        <v>7479</v>
      </c>
      <c r="B13" s="320"/>
      <c r="C13" s="316" t="s">
        <v>7472</v>
      </c>
      <c r="D13" s="317" t="s">
        <v>7480</v>
      </c>
      <c r="E13" s="318" t="s">
        <v>7481</v>
      </c>
      <c r="F13" s="316" t="s">
        <v>7482</v>
      </c>
      <c r="G13" s="316">
        <v>321121.87</v>
      </c>
      <c r="H13" s="316"/>
    </row>
    <row r="14" spans="1:22">
      <c r="A14" s="319"/>
      <c r="B14" s="324"/>
      <c r="C14" s="316"/>
      <c r="D14" s="321"/>
      <c r="E14" s="322"/>
      <c r="F14" s="316"/>
      <c r="G14" s="323"/>
      <c r="H14" s="323"/>
    </row>
    <row r="15" spans="1:22">
      <c r="A15" s="319" t="s">
        <v>34</v>
      </c>
      <c r="B15" s="324"/>
      <c r="C15" s="316"/>
      <c r="D15" s="321"/>
      <c r="E15" s="322"/>
      <c r="F15" s="316"/>
      <c r="G15" s="323"/>
      <c r="H15" s="323"/>
    </row>
    <row r="16" spans="1:22">
      <c r="A16" s="319"/>
      <c r="B16" s="320"/>
      <c r="C16" s="316"/>
      <c r="D16" s="321"/>
      <c r="E16" s="322"/>
      <c r="F16" s="316"/>
      <c r="G16" s="323"/>
      <c r="H16" s="323"/>
    </row>
    <row r="17" spans="1:8">
      <c r="A17" s="319" t="s">
        <v>35</v>
      </c>
      <c r="B17" s="320"/>
      <c r="C17" s="316" t="s">
        <v>7472</v>
      </c>
      <c r="D17" s="317" t="s">
        <v>7483</v>
      </c>
      <c r="E17" s="318" t="s">
        <v>7484</v>
      </c>
      <c r="F17" s="316" t="s">
        <v>7475</v>
      </c>
      <c r="G17" s="316">
        <v>123173.26</v>
      </c>
      <c r="H17" s="316"/>
    </row>
    <row r="18" spans="1:8" ht="12.75" thickBot="1">
      <c r="A18" s="319"/>
      <c r="B18" s="320"/>
      <c r="C18" s="316"/>
      <c r="D18" s="317"/>
      <c r="E18" s="318"/>
      <c r="F18" s="316"/>
      <c r="G18" s="316"/>
      <c r="H18" s="316"/>
    </row>
    <row r="19" spans="1:8" hidden="1">
      <c r="A19" s="319" t="s">
        <v>36</v>
      </c>
      <c r="B19" s="320"/>
      <c r="C19" s="316"/>
      <c r="D19" s="317"/>
      <c r="E19" s="318"/>
      <c r="F19" s="316"/>
      <c r="G19" s="316"/>
      <c r="H19" s="316"/>
    </row>
    <row r="20" spans="1:8" hidden="1">
      <c r="A20" s="319" t="s">
        <v>37</v>
      </c>
      <c r="B20" s="320"/>
      <c r="C20" s="316"/>
      <c r="D20" s="317"/>
      <c r="E20" s="318"/>
      <c r="F20" s="316"/>
      <c r="G20" s="316"/>
      <c r="H20" s="316"/>
    </row>
    <row r="21" spans="1:8" hidden="1">
      <c r="A21" s="319" t="s">
        <v>7485</v>
      </c>
      <c r="B21" s="320"/>
      <c r="C21" s="316"/>
      <c r="D21" s="317"/>
      <c r="E21" s="318"/>
      <c r="F21" s="316"/>
      <c r="G21" s="316"/>
      <c r="H21" s="316"/>
    </row>
    <row r="22" spans="1:8" hidden="1">
      <c r="A22" s="319" t="s">
        <v>7486</v>
      </c>
      <c r="B22" s="320"/>
      <c r="C22" s="316"/>
      <c r="D22" s="317"/>
      <c r="E22" s="318"/>
      <c r="F22" s="316"/>
      <c r="G22" s="316"/>
      <c r="H22" s="316"/>
    </row>
    <row r="23" spans="1:8" hidden="1">
      <c r="A23" s="319" t="s">
        <v>7487</v>
      </c>
      <c r="B23" s="320"/>
      <c r="C23" s="316"/>
      <c r="D23" s="317"/>
      <c r="E23" s="318"/>
      <c r="F23" s="316"/>
      <c r="G23" s="316"/>
      <c r="H23" s="316"/>
    </row>
    <row r="24" spans="1:8" hidden="1">
      <c r="A24" s="319" t="s">
        <v>7488</v>
      </c>
      <c r="B24" s="320"/>
      <c r="C24" s="316"/>
      <c r="D24" s="317"/>
      <c r="E24" s="318"/>
      <c r="F24" s="316"/>
      <c r="G24" s="316"/>
      <c r="H24" s="316"/>
    </row>
    <row r="25" spans="1:8" ht="12.75" hidden="1" thickBot="1">
      <c r="A25" s="325"/>
      <c r="B25" s="326"/>
      <c r="C25" s="320"/>
      <c r="D25" s="327"/>
      <c r="E25" s="319"/>
      <c r="F25" s="320"/>
      <c r="G25" s="320"/>
      <c r="H25" s="320"/>
    </row>
    <row r="26" spans="1:8" ht="12.75" thickBot="1">
      <c r="A26" s="328" t="s">
        <v>0</v>
      </c>
      <c r="B26" s="329"/>
      <c r="C26" s="330"/>
      <c r="D26" s="330"/>
      <c r="E26" s="330"/>
      <c r="F26" s="330"/>
      <c r="G26" s="330"/>
      <c r="H26" s="331"/>
    </row>
    <row r="27" spans="1:8" ht="12.75" customHeight="1" thickBot="1">
      <c r="A27" s="2062" t="s">
        <v>7840</v>
      </c>
      <c r="B27" s="2062"/>
      <c r="C27" s="2062"/>
      <c r="D27" s="2062"/>
      <c r="E27" s="2062"/>
      <c r="F27" s="2062"/>
      <c r="G27" s="2062"/>
      <c r="H27" s="2062"/>
    </row>
    <row r="28" spans="1:8">
      <c r="A28" s="1641"/>
      <c r="B28" s="1642"/>
      <c r="C28" s="701"/>
      <c r="D28" s="1643"/>
      <c r="E28" s="1644"/>
      <c r="F28" s="1645"/>
      <c r="G28" s="1646"/>
      <c r="H28" s="701"/>
    </row>
    <row r="29" spans="1:8">
      <c r="A29" s="702" t="s">
        <v>32</v>
      </c>
      <c r="B29" s="1647" t="s">
        <v>7841</v>
      </c>
      <c r="C29" s="701" t="s">
        <v>7842</v>
      </c>
      <c r="D29" s="1643" t="s">
        <v>7843</v>
      </c>
      <c r="E29" s="1644">
        <v>2003</v>
      </c>
      <c r="F29" s="1645" t="s">
        <v>7844</v>
      </c>
      <c r="G29" s="1646">
        <v>0</v>
      </c>
      <c r="H29" s="701">
        <v>0</v>
      </c>
    </row>
    <row r="30" spans="1:8">
      <c r="A30" s="702"/>
      <c r="B30" s="1647"/>
      <c r="C30" s="701"/>
      <c r="D30" s="1643"/>
      <c r="E30" s="1644"/>
      <c r="F30" s="1645"/>
      <c r="G30" s="1646"/>
      <c r="H30" s="701"/>
    </row>
    <row r="31" spans="1:8">
      <c r="A31" s="702" t="s">
        <v>33</v>
      </c>
      <c r="B31" s="1647" t="s">
        <v>7841</v>
      </c>
      <c r="C31" s="701" t="s">
        <v>7842</v>
      </c>
      <c r="D31" s="1643" t="s">
        <v>7845</v>
      </c>
      <c r="E31" s="1644">
        <v>2002</v>
      </c>
      <c r="F31" s="1645" t="s">
        <v>7844</v>
      </c>
      <c r="G31" s="1646">
        <v>6.3</v>
      </c>
      <c r="H31" s="701">
        <v>47.7</v>
      </c>
    </row>
    <row r="32" spans="1:8">
      <c r="A32" s="702"/>
      <c r="B32" s="1647"/>
      <c r="C32" s="701"/>
      <c r="D32" s="1643"/>
      <c r="E32" s="1644"/>
      <c r="F32" s="1645"/>
      <c r="G32" s="1646"/>
      <c r="H32" s="701"/>
    </row>
    <row r="33" spans="1:8" hidden="1">
      <c r="A33" s="702" t="s">
        <v>7478</v>
      </c>
      <c r="B33" s="1647"/>
      <c r="C33" s="701"/>
      <c r="D33" s="1643"/>
      <c r="E33" s="1644"/>
      <c r="F33" s="1645"/>
      <c r="G33" s="1646"/>
      <c r="H33" s="701"/>
    </row>
    <row r="34" spans="1:8" hidden="1">
      <c r="A34" s="702" t="s">
        <v>7479</v>
      </c>
      <c r="B34" s="1647"/>
      <c r="C34" s="701"/>
      <c r="D34" s="1643"/>
      <c r="E34" s="1644"/>
      <c r="F34" s="1645"/>
      <c r="G34" s="1646"/>
      <c r="H34" s="701"/>
    </row>
    <row r="35" spans="1:8" hidden="1">
      <c r="A35" s="702"/>
      <c r="B35" s="1647"/>
      <c r="C35" s="701"/>
      <c r="D35" s="1643"/>
      <c r="E35" s="1644"/>
      <c r="F35" s="1645"/>
      <c r="G35" s="1646"/>
      <c r="H35" s="701"/>
    </row>
    <row r="36" spans="1:8">
      <c r="A36" s="702" t="s">
        <v>34</v>
      </c>
      <c r="B36" s="1647" t="s">
        <v>7841</v>
      </c>
      <c r="C36" s="701" t="s">
        <v>7842</v>
      </c>
      <c r="D36" s="1648" t="s">
        <v>7846</v>
      </c>
      <c r="E36" s="1644">
        <v>2005</v>
      </c>
      <c r="F36" s="1645" t="s">
        <v>7844</v>
      </c>
      <c r="G36" s="1646">
        <v>1028015.88</v>
      </c>
      <c r="H36" s="701">
        <v>325853.11</v>
      </c>
    </row>
    <row r="37" spans="1:8">
      <c r="A37" s="702"/>
      <c r="B37" s="1647" t="s">
        <v>7841</v>
      </c>
      <c r="C37" s="701" t="s">
        <v>7842</v>
      </c>
      <c r="D37" s="1643">
        <v>6000.0356510000001</v>
      </c>
      <c r="E37" s="1644">
        <v>2012</v>
      </c>
      <c r="F37" s="1645" t="s">
        <v>7847</v>
      </c>
      <c r="G37" s="1646">
        <v>6866545.7199999997</v>
      </c>
      <c r="H37" s="701">
        <v>6477382.9800000004</v>
      </c>
    </row>
    <row r="38" spans="1:8">
      <c r="A38" s="702"/>
      <c r="B38" s="1647" t="s">
        <v>7841</v>
      </c>
      <c r="C38" s="701" t="s">
        <v>7842</v>
      </c>
      <c r="D38" s="1643" t="s">
        <v>7848</v>
      </c>
      <c r="E38" s="1644">
        <v>2016</v>
      </c>
      <c r="F38" s="1645" t="s">
        <v>7844</v>
      </c>
      <c r="G38" s="1646">
        <v>189757.51</v>
      </c>
      <c r="H38" s="701">
        <v>189757.51</v>
      </c>
    </row>
    <row r="39" spans="1:8" ht="12.75" thickBot="1">
      <c r="A39" s="702"/>
      <c r="B39" s="1647"/>
      <c r="C39" s="701"/>
      <c r="D39" s="1643"/>
      <c r="E39" s="1644"/>
      <c r="F39" s="1645"/>
      <c r="G39" s="1646"/>
      <c r="H39" s="701"/>
    </row>
    <row r="40" spans="1:8" hidden="1">
      <c r="A40" s="702" t="s">
        <v>35</v>
      </c>
      <c r="B40" s="1647"/>
      <c r="C40" s="701"/>
      <c r="D40" s="1643"/>
      <c r="E40" s="1644"/>
      <c r="F40" s="1645"/>
      <c r="G40" s="1646"/>
      <c r="H40" s="701"/>
    </row>
    <row r="41" spans="1:8" hidden="1">
      <c r="A41" s="702"/>
      <c r="B41" s="1647"/>
      <c r="C41" s="701"/>
      <c r="D41" s="1643"/>
      <c r="E41" s="1644"/>
      <c r="F41" s="1645"/>
      <c r="G41" s="1646"/>
      <c r="H41" s="701"/>
    </row>
    <row r="42" spans="1:8" hidden="1">
      <c r="A42" s="702" t="s">
        <v>36</v>
      </c>
      <c r="B42" s="1647"/>
      <c r="C42" s="701"/>
      <c r="D42" s="1643"/>
      <c r="E42" s="1644"/>
      <c r="F42" s="1645"/>
      <c r="G42" s="1646"/>
      <c r="H42" s="701"/>
    </row>
    <row r="43" spans="1:8" hidden="1">
      <c r="A43" s="702" t="s">
        <v>37</v>
      </c>
      <c r="B43" s="1647"/>
      <c r="C43" s="701"/>
      <c r="D43" s="1643"/>
      <c r="E43" s="1644"/>
      <c r="F43" s="1645"/>
      <c r="G43" s="1646"/>
      <c r="H43" s="701"/>
    </row>
    <row r="44" spans="1:8" hidden="1">
      <c r="A44" s="702" t="s">
        <v>7485</v>
      </c>
      <c r="B44" s="1647"/>
      <c r="C44" s="701"/>
      <c r="D44" s="1643"/>
      <c r="E44" s="1644"/>
      <c r="F44" s="1645"/>
      <c r="G44" s="1646"/>
      <c r="H44" s="701"/>
    </row>
    <row r="45" spans="1:8" hidden="1">
      <c r="A45" s="702" t="s">
        <v>7486</v>
      </c>
      <c r="B45" s="1647"/>
      <c r="C45" s="701"/>
      <c r="D45" s="1649"/>
      <c r="E45" s="1644"/>
      <c r="F45" s="1645"/>
      <c r="G45" s="1646"/>
      <c r="H45" s="701"/>
    </row>
    <row r="46" spans="1:8" hidden="1">
      <c r="A46" s="702" t="s">
        <v>7487</v>
      </c>
      <c r="B46" s="1647"/>
      <c r="C46" s="701"/>
      <c r="D46" s="1649"/>
      <c r="E46" s="1644"/>
      <c r="F46" s="1645"/>
      <c r="G46" s="1646"/>
      <c r="H46" s="701"/>
    </row>
    <row r="47" spans="1:8" hidden="1">
      <c r="A47" s="702" t="s">
        <v>7488</v>
      </c>
      <c r="B47" s="1647"/>
      <c r="C47" s="701"/>
      <c r="D47" s="1649"/>
      <c r="E47" s="1644"/>
      <c r="F47" s="1645"/>
      <c r="G47" s="1646"/>
      <c r="H47" s="701"/>
    </row>
    <row r="48" spans="1:8" ht="12.75" hidden="1" thickBot="1">
      <c r="A48" s="1650"/>
      <c r="B48" s="1651"/>
      <c r="C48" s="1647"/>
      <c r="D48" s="1652"/>
      <c r="E48" s="1644"/>
      <c r="F48" s="1647"/>
      <c r="G48" s="1646"/>
      <c r="H48" s="1647"/>
    </row>
    <row r="49" spans="1:8" ht="12.75" thickBot="1">
      <c r="A49" s="1653" t="s">
        <v>0</v>
      </c>
      <c r="B49" s="1654"/>
      <c r="C49" s="1655"/>
      <c r="D49" s="1655"/>
      <c r="E49" s="1655"/>
      <c r="F49" s="1655"/>
      <c r="G49" s="1656">
        <f>SUM(G28:G48)</f>
        <v>8084325.4099999992</v>
      </c>
      <c r="H49" s="1656">
        <f>SUM(H28:H48)</f>
        <v>6993041.2999999998</v>
      </c>
    </row>
    <row r="50" spans="1:8" ht="12.75" customHeight="1" thickBot="1">
      <c r="A50" s="2062" t="s">
        <v>7956</v>
      </c>
      <c r="B50" s="2062"/>
      <c r="C50" s="2062"/>
      <c r="D50" s="2062"/>
      <c r="E50" s="2062"/>
      <c r="F50" s="2062"/>
      <c r="G50" s="2062"/>
      <c r="H50" s="2062"/>
    </row>
    <row r="51" spans="1:8" ht="12.75" customHeight="1">
      <c r="A51" s="1641"/>
      <c r="B51" s="1642"/>
      <c r="C51" s="701"/>
      <c r="D51" s="1643"/>
      <c r="E51" s="1644"/>
      <c r="F51" s="1645"/>
      <c r="G51" s="1646"/>
      <c r="H51" s="701"/>
    </row>
    <row r="52" spans="1:8">
      <c r="A52" s="702"/>
      <c r="B52" s="1647"/>
      <c r="C52" s="701"/>
      <c r="D52" s="1643"/>
      <c r="E52" s="1644"/>
      <c r="F52" s="1645"/>
      <c r="G52" s="1646"/>
      <c r="H52" s="701"/>
    </row>
    <row r="53" spans="1:8">
      <c r="A53" s="702"/>
      <c r="B53" s="1647"/>
      <c r="C53" s="701"/>
      <c r="D53" s="1643"/>
      <c r="E53" s="1644"/>
      <c r="F53" s="1645"/>
      <c r="G53" s="1646"/>
      <c r="H53" s="701"/>
    </row>
    <row r="54" spans="1:8">
      <c r="A54" s="702"/>
      <c r="B54" s="1647"/>
      <c r="C54" s="701"/>
      <c r="D54" s="1643"/>
      <c r="E54" s="1644"/>
      <c r="F54" s="1645"/>
      <c r="G54" s="1646"/>
      <c r="H54" s="701"/>
    </row>
    <row r="55" spans="1:8" ht="12.75" thickBot="1">
      <c r="A55" s="702"/>
      <c r="B55" s="1647"/>
      <c r="C55" s="701"/>
      <c r="D55" s="1643"/>
      <c r="E55" s="1644"/>
      <c r="F55" s="1645"/>
      <c r="G55" s="1646"/>
      <c r="H55" s="701"/>
    </row>
    <row r="56" spans="1:8" hidden="1">
      <c r="A56" s="702"/>
      <c r="B56" s="1647"/>
      <c r="C56" s="701"/>
      <c r="D56" s="1643"/>
      <c r="E56" s="1644"/>
      <c r="F56" s="1645"/>
      <c r="G56" s="1646"/>
      <c r="H56" s="701"/>
    </row>
    <row r="57" spans="1:8" hidden="1">
      <c r="A57" s="702"/>
      <c r="B57" s="1647"/>
      <c r="C57" s="701"/>
      <c r="D57" s="1643"/>
      <c r="E57" s="1644"/>
      <c r="F57" s="1645"/>
      <c r="G57" s="1646"/>
      <c r="H57" s="701"/>
    </row>
    <row r="58" spans="1:8" hidden="1">
      <c r="A58" s="702"/>
      <c r="B58" s="1647"/>
      <c r="C58" s="701"/>
      <c r="D58" s="1643"/>
      <c r="E58" s="1644"/>
      <c r="F58" s="1645"/>
      <c r="G58" s="1646"/>
      <c r="H58" s="701"/>
    </row>
    <row r="59" spans="1:8" hidden="1">
      <c r="A59" s="702"/>
      <c r="B59" s="1647"/>
      <c r="C59" s="701"/>
      <c r="D59" s="1648"/>
      <c r="E59" s="1644"/>
      <c r="F59" s="1645"/>
      <c r="G59" s="1646"/>
      <c r="H59" s="701"/>
    </row>
    <row r="60" spans="1:8" hidden="1">
      <c r="A60" s="702"/>
      <c r="B60" s="1647"/>
      <c r="C60" s="701"/>
      <c r="D60" s="1643"/>
      <c r="E60" s="1644"/>
      <c r="F60" s="1645"/>
      <c r="G60" s="1646"/>
      <c r="H60" s="701"/>
    </row>
    <row r="61" spans="1:8" hidden="1">
      <c r="A61" s="702"/>
      <c r="B61" s="1647"/>
      <c r="C61" s="701"/>
      <c r="D61" s="1643"/>
      <c r="E61" s="1644"/>
      <c r="F61" s="1645"/>
      <c r="G61" s="1646"/>
      <c r="H61" s="701"/>
    </row>
    <row r="62" spans="1:8" hidden="1">
      <c r="A62" s="702"/>
      <c r="B62" s="1647"/>
      <c r="C62" s="701"/>
      <c r="D62" s="1643"/>
      <c r="E62" s="1644"/>
      <c r="F62" s="1645"/>
      <c r="G62" s="1646"/>
      <c r="H62" s="701"/>
    </row>
    <row r="63" spans="1:8" hidden="1">
      <c r="A63" s="702"/>
      <c r="B63" s="1647"/>
      <c r="C63" s="701"/>
      <c r="D63" s="1643"/>
      <c r="E63" s="1644"/>
      <c r="F63" s="1645"/>
      <c r="G63" s="1646"/>
      <c r="H63" s="701"/>
    </row>
    <row r="64" spans="1:8" hidden="1">
      <c r="A64" s="702"/>
      <c r="B64" s="1647"/>
      <c r="C64" s="701"/>
      <c r="D64" s="1643"/>
      <c r="E64" s="1644"/>
      <c r="F64" s="1645"/>
      <c r="G64" s="1646"/>
      <c r="H64" s="701"/>
    </row>
    <row r="65" spans="1:8" hidden="1">
      <c r="A65" s="702"/>
      <c r="B65" s="1647"/>
      <c r="C65" s="701"/>
      <c r="D65" s="1643"/>
      <c r="E65" s="1644"/>
      <c r="F65" s="1645"/>
      <c r="G65" s="1646"/>
      <c r="H65" s="701"/>
    </row>
    <row r="66" spans="1:8" hidden="1">
      <c r="A66" s="702"/>
      <c r="B66" s="1647"/>
      <c r="C66" s="701"/>
      <c r="D66" s="1643"/>
      <c r="E66" s="1644"/>
      <c r="F66" s="1645"/>
      <c r="G66" s="1646"/>
      <c r="H66" s="701"/>
    </row>
    <row r="67" spans="1:8" hidden="1">
      <c r="A67" s="702"/>
      <c r="B67" s="1647"/>
      <c r="C67" s="701"/>
      <c r="D67" s="1643"/>
      <c r="E67" s="1644"/>
      <c r="F67" s="1645"/>
      <c r="G67" s="1646"/>
      <c r="H67" s="701"/>
    </row>
    <row r="68" spans="1:8" hidden="1">
      <c r="A68" s="702"/>
      <c r="B68" s="1647"/>
      <c r="C68" s="701"/>
      <c r="D68" s="1649"/>
      <c r="E68" s="1644"/>
      <c r="F68" s="1645"/>
      <c r="G68" s="1646"/>
      <c r="H68" s="701"/>
    </row>
    <row r="69" spans="1:8" hidden="1">
      <c r="A69" s="702"/>
      <c r="B69" s="1647"/>
      <c r="C69" s="701"/>
      <c r="D69" s="1649"/>
      <c r="E69" s="1644"/>
      <c r="F69" s="1645"/>
      <c r="G69" s="1646"/>
      <c r="H69" s="701"/>
    </row>
    <row r="70" spans="1:8" hidden="1">
      <c r="A70" s="702"/>
      <c r="B70" s="1647"/>
      <c r="C70" s="701"/>
      <c r="D70" s="1649"/>
      <c r="E70" s="1644"/>
      <c r="F70" s="1645"/>
      <c r="G70" s="1646"/>
      <c r="H70" s="701"/>
    </row>
    <row r="71" spans="1:8" ht="12.75" hidden="1" thickBot="1">
      <c r="A71" s="1650"/>
      <c r="B71" s="1651"/>
      <c r="C71" s="1647"/>
      <c r="D71" s="1652"/>
      <c r="E71" s="1644"/>
      <c r="F71" s="1647"/>
      <c r="G71" s="1646"/>
      <c r="H71" s="1647"/>
    </row>
    <row r="72" spans="1:8" ht="12.75" thickBot="1">
      <c r="A72" s="1653" t="s">
        <v>0</v>
      </c>
      <c r="B72" s="1654"/>
      <c r="C72" s="1655"/>
      <c r="D72" s="1655"/>
      <c r="E72" s="1655"/>
      <c r="F72" s="1655"/>
      <c r="G72" s="1656">
        <f>SUM(G51:G71)</f>
        <v>0</v>
      </c>
      <c r="H72" s="1656">
        <f>SUM(H51:H71)</f>
        <v>0</v>
      </c>
    </row>
    <row r="73" spans="1:8">
      <c r="A73" s="2062" t="s">
        <v>8107</v>
      </c>
      <c r="B73" s="2062"/>
      <c r="C73" s="2062"/>
      <c r="D73" s="2062"/>
      <c r="E73" s="2062"/>
      <c r="F73" s="2062"/>
      <c r="G73" s="2062"/>
      <c r="H73" s="2062"/>
    </row>
    <row r="74" spans="1:8">
      <c r="A74" s="702" t="s">
        <v>32</v>
      </c>
      <c r="B74" s="1677" t="s">
        <v>8526</v>
      </c>
      <c r="C74" s="1677" t="s">
        <v>7842</v>
      </c>
      <c r="D74" s="1677" t="s">
        <v>8527</v>
      </c>
      <c r="E74" s="1677">
        <v>2003</v>
      </c>
      <c r="F74" s="1677" t="s">
        <v>30</v>
      </c>
      <c r="G74" s="1678">
        <v>0</v>
      </c>
      <c r="H74" s="1678">
        <v>0</v>
      </c>
    </row>
    <row r="75" spans="1:8">
      <c r="A75" s="702"/>
      <c r="B75" s="1677" t="s">
        <v>8526</v>
      </c>
      <c r="C75" s="1677" t="s">
        <v>7842</v>
      </c>
      <c r="D75" s="1677" t="s">
        <v>8528</v>
      </c>
      <c r="E75" s="1677">
        <v>2003</v>
      </c>
      <c r="F75" s="1677" t="s">
        <v>30</v>
      </c>
      <c r="G75" s="1678">
        <v>0</v>
      </c>
      <c r="H75" s="1678">
        <v>0</v>
      </c>
    </row>
    <row r="76" spans="1:8" ht="12.75" thickBot="1">
      <c r="A76" s="1650"/>
      <c r="B76" s="1679"/>
      <c r="C76" s="1679"/>
      <c r="D76" s="1679"/>
      <c r="E76" s="1679"/>
      <c r="F76" s="1679"/>
      <c r="G76" s="1680"/>
      <c r="H76" s="1680"/>
    </row>
    <row r="77" spans="1:8">
      <c r="A77" s="1641" t="s">
        <v>33</v>
      </c>
      <c r="B77" s="1681" t="s">
        <v>8526</v>
      </c>
      <c r="C77" s="1681" t="s">
        <v>7842</v>
      </c>
      <c r="D77" s="1681" t="s">
        <v>8529</v>
      </c>
      <c r="E77" s="1681">
        <v>2001</v>
      </c>
      <c r="F77" s="1681" t="s">
        <v>30</v>
      </c>
      <c r="G77" s="1682">
        <v>811104.44</v>
      </c>
      <c r="H77" s="1682">
        <v>5412486.8799999999</v>
      </c>
    </row>
    <row r="78" spans="1:8">
      <c r="A78" s="702"/>
      <c r="B78" s="1677" t="s">
        <v>8526</v>
      </c>
      <c r="C78" s="1677" t="s">
        <v>7842</v>
      </c>
      <c r="D78" s="1677" t="s">
        <v>8530</v>
      </c>
      <c r="E78" s="1677">
        <v>2001</v>
      </c>
      <c r="F78" s="1677" t="s">
        <v>30</v>
      </c>
      <c r="G78" s="1678">
        <v>3463214.75</v>
      </c>
      <c r="H78" s="1678">
        <v>150891.72</v>
      </c>
    </row>
    <row r="79" spans="1:8">
      <c r="A79" s="702"/>
      <c r="B79" s="1677" t="s">
        <v>8526</v>
      </c>
      <c r="C79" s="1677" t="s">
        <v>7842</v>
      </c>
      <c r="D79" s="1677" t="s">
        <v>8531</v>
      </c>
      <c r="E79" s="1677">
        <v>2001</v>
      </c>
      <c r="F79" s="1677" t="s">
        <v>30</v>
      </c>
      <c r="G79" s="1678">
        <v>5575134.8399999999</v>
      </c>
      <c r="H79" s="1678">
        <v>120686.33</v>
      </c>
    </row>
    <row r="80" spans="1:8">
      <c r="A80" s="702"/>
      <c r="B80" s="1677" t="s">
        <v>8526</v>
      </c>
      <c r="C80" s="1677" t="s">
        <v>7842</v>
      </c>
      <c r="D80" s="1677" t="s">
        <v>8532</v>
      </c>
      <c r="E80" s="1677">
        <v>2001</v>
      </c>
      <c r="F80" s="1677" t="s">
        <v>30</v>
      </c>
      <c r="G80" s="1678">
        <v>25510.799999999999</v>
      </c>
      <c r="H80" s="1678">
        <v>1393.2</v>
      </c>
    </row>
    <row r="81" spans="1:8">
      <c r="A81" s="702"/>
      <c r="B81" s="1677" t="s">
        <v>8526</v>
      </c>
      <c r="C81" s="1677" t="s">
        <v>7842</v>
      </c>
      <c r="D81" s="1677" t="s">
        <v>8533</v>
      </c>
      <c r="E81" s="1677">
        <v>2001</v>
      </c>
      <c r="F81" s="1677" t="s">
        <v>30</v>
      </c>
      <c r="G81" s="1678">
        <v>1736022.65</v>
      </c>
      <c r="H81" s="1678">
        <v>3596478.21</v>
      </c>
    </row>
    <row r="82" spans="1:8">
      <c r="A82" s="702"/>
      <c r="B82" s="1677" t="s">
        <v>8526</v>
      </c>
      <c r="C82" s="1677" t="s">
        <v>7842</v>
      </c>
      <c r="D82" s="1677" t="s">
        <v>8534</v>
      </c>
      <c r="E82" s="1677">
        <v>2006</v>
      </c>
      <c r="F82" s="1677" t="s">
        <v>30</v>
      </c>
      <c r="G82" s="1678">
        <v>355651.13</v>
      </c>
      <c r="H82" s="1678">
        <v>441304.08</v>
      </c>
    </row>
    <row r="83" spans="1:8">
      <c r="A83" s="702"/>
      <c r="B83" s="1677" t="s">
        <v>8526</v>
      </c>
      <c r="C83" s="1677" t="s">
        <v>7842</v>
      </c>
      <c r="D83" s="1677" t="s">
        <v>8535</v>
      </c>
      <c r="E83" s="1677">
        <v>2014</v>
      </c>
      <c r="F83" s="1677" t="s">
        <v>30</v>
      </c>
      <c r="G83" s="1678">
        <v>0</v>
      </c>
      <c r="H83" s="1678">
        <v>0</v>
      </c>
    </row>
    <row r="84" spans="1:8">
      <c r="A84" s="702"/>
      <c r="B84" s="1677" t="s">
        <v>8526</v>
      </c>
      <c r="C84" s="1677" t="s">
        <v>7842</v>
      </c>
      <c r="D84" s="1677" t="s">
        <v>8536</v>
      </c>
      <c r="E84" s="1677">
        <v>2014</v>
      </c>
      <c r="F84" s="1677" t="s">
        <v>30</v>
      </c>
      <c r="G84" s="1678">
        <v>0</v>
      </c>
      <c r="H84" s="1678">
        <v>0</v>
      </c>
    </row>
    <row r="85" spans="1:8">
      <c r="A85" s="702"/>
      <c r="B85" s="1677" t="s">
        <v>8526</v>
      </c>
      <c r="C85" s="1677" t="s">
        <v>7842</v>
      </c>
      <c r="D85" s="1677" t="s">
        <v>8537</v>
      </c>
      <c r="E85" s="1677">
        <v>2017</v>
      </c>
      <c r="F85" s="1677" t="s">
        <v>30</v>
      </c>
      <c r="G85" s="1678">
        <v>2635102.27</v>
      </c>
      <c r="H85" s="1678">
        <v>2207075.94</v>
      </c>
    </row>
    <row r="86" spans="1:8" ht="12.75" thickBot="1">
      <c r="A86" s="1650"/>
      <c r="B86" s="1679"/>
      <c r="C86" s="1679"/>
      <c r="D86" s="1679"/>
      <c r="E86" s="1679"/>
      <c r="F86" s="1679"/>
      <c r="G86" s="1680"/>
      <c r="H86" s="1680"/>
    </row>
    <row r="87" spans="1:8">
      <c r="A87" s="1641" t="s">
        <v>7478</v>
      </c>
      <c r="B87" s="1681"/>
      <c r="C87" s="1681"/>
      <c r="D87" s="1681"/>
      <c r="E87" s="1681"/>
      <c r="F87" s="1681"/>
      <c r="G87" s="1682"/>
      <c r="H87" s="1682"/>
    </row>
    <row r="88" spans="1:8">
      <c r="A88" s="702" t="s">
        <v>7479</v>
      </c>
      <c r="B88" s="1677"/>
      <c r="C88" s="1677"/>
      <c r="D88" s="1677"/>
      <c r="E88" s="1677"/>
      <c r="F88" s="1677"/>
      <c r="G88" s="1678"/>
      <c r="H88" s="1678"/>
    </row>
    <row r="89" spans="1:8" ht="12.75" thickBot="1">
      <c r="A89" s="1650"/>
      <c r="B89" s="1679"/>
      <c r="C89" s="1679"/>
      <c r="D89" s="1679"/>
      <c r="E89" s="1679"/>
      <c r="F89" s="1679"/>
      <c r="G89" s="1680"/>
      <c r="H89" s="1680"/>
    </row>
    <row r="90" spans="1:8">
      <c r="A90" s="1641" t="s">
        <v>34</v>
      </c>
      <c r="B90" s="1677" t="s">
        <v>8526</v>
      </c>
      <c r="C90" s="1677" t="s">
        <v>7842</v>
      </c>
      <c r="D90" s="1677" t="s">
        <v>8538</v>
      </c>
      <c r="E90" s="1677">
        <v>2005</v>
      </c>
      <c r="F90" s="1677" t="s">
        <v>30</v>
      </c>
      <c r="G90" s="1678">
        <v>1610767.41</v>
      </c>
      <c r="H90" s="1678">
        <v>1777760.89</v>
      </c>
    </row>
    <row r="91" spans="1:8">
      <c r="A91" s="702"/>
      <c r="B91" s="1677" t="s">
        <v>8526</v>
      </c>
      <c r="C91" s="1677" t="s">
        <v>7842</v>
      </c>
      <c r="D91" s="1677" t="s">
        <v>8539</v>
      </c>
      <c r="E91" s="1677">
        <v>2007</v>
      </c>
      <c r="F91" s="1677" t="s">
        <v>30</v>
      </c>
      <c r="G91" s="1678">
        <v>0</v>
      </c>
      <c r="H91" s="1678">
        <v>0</v>
      </c>
    </row>
    <row r="92" spans="1:8">
      <c r="A92" s="702"/>
      <c r="B92" s="1677" t="s">
        <v>8526</v>
      </c>
      <c r="C92" s="1677" t="s">
        <v>7842</v>
      </c>
      <c r="D92" s="1677" t="s">
        <v>8540</v>
      </c>
      <c r="E92" s="1677">
        <v>2010</v>
      </c>
      <c r="F92" s="1677" t="s">
        <v>30</v>
      </c>
      <c r="G92" s="1678">
        <v>147178.18</v>
      </c>
      <c r="H92" s="1678">
        <v>147178.18</v>
      </c>
    </row>
    <row r="93" spans="1:8" ht="12.75" thickBot="1">
      <c r="A93" s="1650"/>
      <c r="B93" s="1650"/>
      <c r="C93" s="1650"/>
      <c r="D93" s="1650"/>
      <c r="E93" s="1650"/>
      <c r="F93" s="1650"/>
      <c r="G93" s="1650"/>
      <c r="H93" s="1650"/>
    </row>
    <row r="94" spans="1:8" hidden="1">
      <c r="A94" s="1641" t="s">
        <v>35</v>
      </c>
      <c r="B94" s="1641"/>
      <c r="C94" s="1641"/>
      <c r="D94" s="1641"/>
      <c r="E94" s="1641"/>
      <c r="F94" s="1641"/>
      <c r="G94" s="1641"/>
      <c r="H94" s="1641"/>
    </row>
    <row r="95" spans="1:8" hidden="1">
      <c r="A95" s="702"/>
      <c r="B95" s="702"/>
      <c r="C95" s="702"/>
      <c r="D95" s="702"/>
      <c r="E95" s="702"/>
      <c r="F95" s="702"/>
      <c r="G95" s="702"/>
      <c r="H95" s="702"/>
    </row>
    <row r="96" spans="1:8" hidden="1">
      <c r="A96" s="702" t="s">
        <v>36</v>
      </c>
      <c r="B96" s="702"/>
      <c r="C96" s="702"/>
      <c r="D96" s="702"/>
      <c r="E96" s="702"/>
      <c r="F96" s="702"/>
      <c r="G96" s="702"/>
      <c r="H96" s="702"/>
    </row>
    <row r="97" spans="1:8" hidden="1">
      <c r="A97" s="702" t="s">
        <v>37</v>
      </c>
      <c r="B97" s="702"/>
      <c r="C97" s="702"/>
      <c r="D97" s="702"/>
      <c r="E97" s="702"/>
      <c r="F97" s="702"/>
      <c r="G97" s="702"/>
      <c r="H97" s="702"/>
    </row>
    <row r="98" spans="1:8" hidden="1">
      <c r="A98" s="702" t="s">
        <v>7485</v>
      </c>
      <c r="B98" s="702"/>
      <c r="C98" s="702"/>
      <c r="D98" s="702"/>
      <c r="E98" s="702"/>
      <c r="F98" s="702"/>
      <c r="G98" s="702"/>
      <c r="H98" s="702"/>
    </row>
    <row r="99" spans="1:8" hidden="1">
      <c r="A99" s="702" t="s">
        <v>7486</v>
      </c>
      <c r="B99" s="702"/>
      <c r="C99" s="702"/>
      <c r="D99" s="702"/>
      <c r="E99" s="702"/>
      <c r="F99" s="702"/>
      <c r="G99" s="702"/>
      <c r="H99" s="702"/>
    </row>
    <row r="100" spans="1:8" hidden="1">
      <c r="A100" s="702" t="s">
        <v>7487</v>
      </c>
      <c r="B100" s="702"/>
      <c r="C100" s="702"/>
      <c r="D100" s="702"/>
      <c r="E100" s="702"/>
      <c r="F100" s="702"/>
      <c r="G100" s="702"/>
      <c r="H100" s="702"/>
    </row>
    <row r="101" spans="1:8" hidden="1">
      <c r="A101" s="702" t="s">
        <v>7488</v>
      </c>
      <c r="B101" s="702"/>
      <c r="C101" s="702"/>
      <c r="D101" s="702"/>
      <c r="E101" s="702"/>
      <c r="F101" s="702"/>
      <c r="G101" s="702"/>
      <c r="H101" s="702"/>
    </row>
    <row r="102" spans="1:8" ht="12.75" hidden="1" thickBot="1">
      <c r="A102" s="1650"/>
      <c r="B102" s="1650"/>
      <c r="C102" s="1650"/>
      <c r="D102" s="1650"/>
      <c r="E102" s="1650"/>
      <c r="F102" s="1650"/>
      <c r="G102" s="1650"/>
      <c r="H102" s="1650"/>
    </row>
    <row r="103" spans="1:8" ht="12.75" thickBot="1">
      <c r="A103" s="1653" t="s">
        <v>0</v>
      </c>
      <c r="B103" s="1654"/>
      <c r="C103" s="1683"/>
      <c r="D103" s="1683"/>
      <c r="E103" s="1683"/>
      <c r="F103" s="1683"/>
      <c r="G103" s="1656">
        <f>SUM(G74:G93)</f>
        <v>16359686.470000001</v>
      </c>
      <c r="H103" s="1656">
        <f>SUM(H74:H93)</f>
        <v>13855255.43</v>
      </c>
    </row>
    <row r="104" spans="1:8">
      <c r="A104" s="702" t="s">
        <v>32</v>
      </c>
      <c r="B104" s="1677"/>
      <c r="C104" s="1677"/>
      <c r="D104" s="1677"/>
      <c r="E104" s="1677"/>
      <c r="F104" s="1677"/>
      <c r="G104" s="1678"/>
      <c r="H104" s="1678"/>
    </row>
    <row r="105" spans="1:8" ht="12.75" thickBot="1">
      <c r="A105" s="1650"/>
      <c r="B105" s="1679"/>
      <c r="C105" s="1679"/>
      <c r="D105" s="1679"/>
      <c r="E105" s="1679"/>
      <c r="F105" s="1679"/>
      <c r="G105" s="1680"/>
      <c r="H105" s="1680"/>
    </row>
    <row r="106" spans="1:8">
      <c r="A106" s="1641" t="s">
        <v>33</v>
      </c>
      <c r="B106" s="1677" t="s">
        <v>8526</v>
      </c>
      <c r="C106" s="1677" t="s">
        <v>7842</v>
      </c>
      <c r="D106" s="1677" t="s">
        <v>8541</v>
      </c>
      <c r="E106" s="1677">
        <v>2001</v>
      </c>
      <c r="F106" s="1677" t="s">
        <v>8542</v>
      </c>
      <c r="G106" s="1678">
        <v>0</v>
      </c>
      <c r="H106" s="1678">
        <v>0</v>
      </c>
    </row>
    <row r="107" spans="1:8" ht="12.75" thickBot="1">
      <c r="A107" s="1650"/>
      <c r="B107" s="1679"/>
      <c r="C107" s="1679"/>
      <c r="D107" s="1679"/>
      <c r="E107" s="1679"/>
      <c r="F107" s="1679"/>
      <c r="G107" s="1680"/>
      <c r="H107" s="1680"/>
    </row>
    <row r="108" spans="1:8">
      <c r="A108" s="1641" t="s">
        <v>7478</v>
      </c>
      <c r="B108" s="1681"/>
      <c r="C108" s="1681"/>
      <c r="D108" s="1681"/>
      <c r="E108" s="1681"/>
      <c r="F108" s="1681"/>
      <c r="G108" s="1682"/>
      <c r="H108" s="1682"/>
    </row>
    <row r="109" spans="1:8">
      <c r="A109" s="702" t="s">
        <v>7479</v>
      </c>
      <c r="B109" s="1677"/>
      <c r="C109" s="1677"/>
      <c r="D109" s="1677"/>
      <c r="E109" s="1677"/>
      <c r="F109" s="1677"/>
      <c r="G109" s="1678"/>
      <c r="H109" s="1678"/>
    </row>
    <row r="110" spans="1:8" ht="12.75" thickBot="1">
      <c r="A110" s="1650"/>
      <c r="B110" s="1679"/>
      <c r="C110" s="1679"/>
      <c r="D110" s="1679"/>
      <c r="E110" s="1679"/>
      <c r="F110" s="1679"/>
      <c r="G110" s="1680"/>
      <c r="H110" s="1680"/>
    </row>
    <row r="111" spans="1:8">
      <c r="A111" s="1641" t="s">
        <v>34</v>
      </c>
      <c r="B111" s="1677" t="s">
        <v>8526</v>
      </c>
      <c r="C111" s="1677" t="s">
        <v>7842</v>
      </c>
      <c r="D111" s="1677" t="s">
        <v>8543</v>
      </c>
      <c r="E111" s="1677">
        <v>2011</v>
      </c>
      <c r="F111" s="1677" t="s">
        <v>8542</v>
      </c>
      <c r="G111" s="1678">
        <v>8916.9</v>
      </c>
      <c r="H111" s="1678">
        <v>8916.9</v>
      </c>
    </row>
    <row r="112" spans="1:8">
      <c r="A112" s="702"/>
      <c r="B112" s="1677" t="s">
        <v>8526</v>
      </c>
      <c r="C112" s="1677" t="s">
        <v>7842</v>
      </c>
      <c r="D112" s="1677" t="s">
        <v>8544</v>
      </c>
      <c r="E112" s="1677">
        <v>2019</v>
      </c>
      <c r="F112" s="1677" t="s">
        <v>8542</v>
      </c>
      <c r="G112" s="1678">
        <v>3886936.45</v>
      </c>
      <c r="H112" s="1678">
        <v>2711949.94</v>
      </c>
    </row>
    <row r="113" spans="1:8" ht="12.75" thickBot="1">
      <c r="A113" s="1650"/>
      <c r="B113" s="1650"/>
      <c r="C113" s="1650"/>
      <c r="D113" s="1650"/>
      <c r="E113" s="1650"/>
      <c r="F113" s="1650"/>
      <c r="G113" s="1650"/>
      <c r="H113" s="1650"/>
    </row>
    <row r="114" spans="1:8" hidden="1">
      <c r="A114" s="1641" t="s">
        <v>35</v>
      </c>
      <c r="B114" s="1641"/>
      <c r="C114" s="1641"/>
      <c r="D114" s="1641"/>
      <c r="E114" s="1641"/>
      <c r="F114" s="1641"/>
      <c r="G114" s="1641"/>
      <c r="H114" s="1641"/>
    </row>
    <row r="115" spans="1:8" hidden="1">
      <c r="A115" s="702"/>
      <c r="B115" s="702"/>
      <c r="C115" s="702"/>
      <c r="D115" s="702"/>
      <c r="E115" s="702"/>
      <c r="F115" s="702"/>
      <c r="G115" s="702"/>
      <c r="H115" s="702"/>
    </row>
    <row r="116" spans="1:8" hidden="1">
      <c r="A116" s="702" t="s">
        <v>36</v>
      </c>
      <c r="B116" s="702"/>
      <c r="C116" s="702"/>
      <c r="D116" s="702"/>
      <c r="E116" s="702"/>
      <c r="F116" s="702"/>
      <c r="G116" s="702"/>
      <c r="H116" s="702"/>
    </row>
    <row r="117" spans="1:8" hidden="1">
      <c r="A117" s="702" t="s">
        <v>37</v>
      </c>
      <c r="B117" s="702"/>
      <c r="C117" s="702"/>
      <c r="D117" s="702"/>
      <c r="E117" s="702"/>
      <c r="F117" s="702"/>
      <c r="G117" s="702"/>
      <c r="H117" s="702"/>
    </row>
    <row r="118" spans="1:8" hidden="1">
      <c r="A118" s="702" t="s">
        <v>7485</v>
      </c>
      <c r="B118" s="702"/>
      <c r="C118" s="702"/>
      <c r="D118" s="702"/>
      <c r="E118" s="702"/>
      <c r="F118" s="702"/>
      <c r="G118" s="702"/>
      <c r="H118" s="702"/>
    </row>
    <row r="119" spans="1:8" hidden="1">
      <c r="A119" s="702" t="s">
        <v>7486</v>
      </c>
      <c r="B119" s="702"/>
      <c r="C119" s="702"/>
      <c r="D119" s="702"/>
      <c r="E119" s="702"/>
      <c r="F119" s="702"/>
      <c r="G119" s="702"/>
      <c r="H119" s="702"/>
    </row>
    <row r="120" spans="1:8" hidden="1">
      <c r="A120" s="702" t="s">
        <v>7487</v>
      </c>
      <c r="B120" s="702"/>
      <c r="C120" s="702"/>
      <c r="D120" s="702"/>
      <c r="E120" s="702"/>
      <c r="F120" s="702"/>
      <c r="G120" s="702"/>
      <c r="H120" s="702"/>
    </row>
    <row r="121" spans="1:8" hidden="1">
      <c r="A121" s="702" t="s">
        <v>7488</v>
      </c>
      <c r="B121" s="702"/>
      <c r="C121" s="702"/>
      <c r="D121" s="702"/>
      <c r="E121" s="702"/>
      <c r="F121" s="702"/>
      <c r="G121" s="702"/>
      <c r="H121" s="702"/>
    </row>
    <row r="122" spans="1:8" ht="12.75" hidden="1" thickBot="1">
      <c r="A122" s="1650"/>
      <c r="B122" s="1650"/>
      <c r="C122" s="1650"/>
      <c r="D122" s="1650"/>
      <c r="E122" s="1650"/>
      <c r="F122" s="1650"/>
      <c r="G122" s="1650"/>
      <c r="H122" s="1650"/>
    </row>
    <row r="123" spans="1:8" ht="12.75" thickBot="1">
      <c r="A123" s="1653" t="s">
        <v>0</v>
      </c>
      <c r="B123" s="1654"/>
      <c r="C123" s="1683"/>
      <c r="D123" s="1683"/>
      <c r="E123" s="1683"/>
      <c r="F123" s="1683"/>
      <c r="G123" s="1656">
        <f>SUM(G104:G113)</f>
        <v>3895853.35</v>
      </c>
      <c r="H123" s="1656">
        <f>SUM(H104:H113)</f>
        <v>2720866.84</v>
      </c>
    </row>
    <row r="124" spans="1:8" ht="12.75" thickBot="1">
      <c r="A124" s="2062" t="s">
        <v>8842</v>
      </c>
      <c r="B124" s="2062"/>
      <c r="C124" s="2062"/>
      <c r="D124" s="2062"/>
      <c r="E124" s="2062"/>
      <c r="F124" s="2062"/>
      <c r="G124" s="2062"/>
      <c r="H124" s="2062"/>
    </row>
    <row r="125" spans="1:8">
      <c r="A125" s="1641"/>
      <c r="B125" s="1642"/>
      <c r="C125" s="1649"/>
      <c r="D125" s="1755"/>
      <c r="E125" s="1649"/>
      <c r="F125" s="1755"/>
      <c r="G125" s="1649"/>
      <c r="H125" s="1755"/>
    </row>
    <row r="126" spans="1:8">
      <c r="A126" s="1756" t="s">
        <v>32</v>
      </c>
      <c r="B126" s="1757" t="s">
        <v>8943</v>
      </c>
      <c r="C126" s="1758" t="s">
        <v>7842</v>
      </c>
      <c r="D126" s="1759" t="s">
        <v>8944</v>
      </c>
      <c r="E126" s="1760">
        <v>2003</v>
      </c>
      <c r="F126" s="1759" t="s">
        <v>7844</v>
      </c>
      <c r="G126" s="1761">
        <v>0</v>
      </c>
      <c r="H126" s="1762">
        <v>0</v>
      </c>
    </row>
    <row r="127" spans="1:8">
      <c r="A127" s="1756"/>
      <c r="B127" s="1757" t="s">
        <v>8943</v>
      </c>
      <c r="C127" s="1758" t="s">
        <v>7842</v>
      </c>
      <c r="D127" s="1759" t="s">
        <v>8945</v>
      </c>
      <c r="E127" s="1760">
        <v>2003</v>
      </c>
      <c r="F127" s="1759" t="s">
        <v>7844</v>
      </c>
      <c r="G127" s="1763">
        <v>1870682.84</v>
      </c>
      <c r="H127" s="1678">
        <v>2714317.07</v>
      </c>
    </row>
    <row r="128" spans="1:8" ht="22.5">
      <c r="A128" s="1764" t="s">
        <v>8946</v>
      </c>
      <c r="B128" s="1757" t="s">
        <v>8943</v>
      </c>
      <c r="C128" s="1758" t="s">
        <v>7842</v>
      </c>
      <c r="D128" s="1759" t="s">
        <v>8947</v>
      </c>
      <c r="E128" s="1760"/>
      <c r="F128" s="1759" t="s">
        <v>7844</v>
      </c>
      <c r="G128" s="1761">
        <v>743934.42</v>
      </c>
      <c r="H128" s="1762">
        <v>0</v>
      </c>
    </row>
    <row r="129" spans="1:8" ht="22.5">
      <c r="A129" s="1764" t="s">
        <v>8948</v>
      </c>
      <c r="B129" s="1757" t="s">
        <v>8943</v>
      </c>
      <c r="C129" s="1758" t="s">
        <v>7842</v>
      </c>
      <c r="D129" s="1759" t="s">
        <v>8947</v>
      </c>
      <c r="E129" s="1760"/>
      <c r="F129" s="1759" t="s">
        <v>7844</v>
      </c>
      <c r="G129" s="1761"/>
      <c r="H129" s="1762">
        <v>1420516.1</v>
      </c>
    </row>
    <row r="130" spans="1:8" ht="22.5">
      <c r="A130" s="1764" t="s">
        <v>8949</v>
      </c>
      <c r="B130" s="1757" t="s">
        <v>8943</v>
      </c>
      <c r="C130" s="1758" t="s">
        <v>7842</v>
      </c>
      <c r="D130" s="1759" t="s">
        <v>8947</v>
      </c>
      <c r="E130" s="1760"/>
      <c r="F130" s="1759" t="s">
        <v>7844</v>
      </c>
      <c r="G130" s="1761">
        <v>228836.12</v>
      </c>
      <c r="H130" s="1762">
        <v>228836.12</v>
      </c>
    </row>
    <row r="131" spans="1:8">
      <c r="A131" s="702"/>
      <c r="B131" s="1647"/>
      <c r="C131" s="1758"/>
      <c r="D131" s="1759"/>
      <c r="E131" s="1758"/>
      <c r="F131" s="1759"/>
      <c r="G131" s="1765"/>
      <c r="H131" s="1766"/>
    </row>
    <row r="132" spans="1:8">
      <c r="A132" s="1756" t="s">
        <v>33</v>
      </c>
      <c r="B132" s="1757"/>
      <c r="C132" s="1758"/>
      <c r="D132" s="1759"/>
      <c r="E132" s="1760"/>
      <c r="F132" s="1759"/>
      <c r="G132" s="1761"/>
      <c r="H132" s="1762"/>
    </row>
    <row r="133" spans="1:8">
      <c r="A133" s="702"/>
      <c r="B133" s="1757" t="s">
        <v>8943</v>
      </c>
      <c r="C133" s="1758" t="s">
        <v>7842</v>
      </c>
      <c r="D133" s="1759" t="s">
        <v>8950</v>
      </c>
      <c r="E133" s="1760">
        <v>2001</v>
      </c>
      <c r="F133" s="1759" t="s">
        <v>7844</v>
      </c>
      <c r="G133" s="1763">
        <v>5858867.6200000001</v>
      </c>
      <c r="H133" s="1678">
        <v>1880782.1</v>
      </c>
    </row>
    <row r="134" spans="1:8">
      <c r="A134" s="702"/>
      <c r="B134" s="1757" t="s">
        <v>8943</v>
      </c>
      <c r="C134" s="1758" t="s">
        <v>7842</v>
      </c>
      <c r="D134" s="1759" t="s">
        <v>8951</v>
      </c>
      <c r="E134" s="1760">
        <v>2004</v>
      </c>
      <c r="F134" s="1759" t="s">
        <v>7844</v>
      </c>
      <c r="G134" s="1763">
        <v>594063.62</v>
      </c>
      <c r="H134" s="1678">
        <v>906940.6</v>
      </c>
    </row>
    <row r="135" spans="1:8">
      <c r="A135" s="702"/>
      <c r="B135" s="1757" t="s">
        <v>8943</v>
      </c>
      <c r="C135" s="1758" t="s">
        <v>7842</v>
      </c>
      <c r="D135" s="1759" t="s">
        <v>8952</v>
      </c>
      <c r="E135" s="1760">
        <v>2004</v>
      </c>
      <c r="F135" s="1759" t="s">
        <v>7844</v>
      </c>
      <c r="G135" s="1761">
        <v>3689409.03</v>
      </c>
      <c r="H135" s="1762">
        <v>3383606.45</v>
      </c>
    </row>
    <row r="136" spans="1:8">
      <c r="A136" s="702"/>
      <c r="B136" s="1757" t="s">
        <v>8943</v>
      </c>
      <c r="C136" s="1758" t="s">
        <v>7842</v>
      </c>
      <c r="D136" s="1759" t="s">
        <v>8947</v>
      </c>
      <c r="E136" s="1760"/>
      <c r="F136" s="1759" t="s">
        <v>7844</v>
      </c>
      <c r="G136" s="1767">
        <v>24197883.050000001</v>
      </c>
      <c r="H136" s="1678">
        <v>77915382.569999993</v>
      </c>
    </row>
    <row r="137" spans="1:8">
      <c r="A137" s="702"/>
      <c r="B137" s="1757" t="s">
        <v>8943</v>
      </c>
      <c r="C137" s="1758" t="s">
        <v>7842</v>
      </c>
      <c r="D137" s="1759" t="s">
        <v>8953</v>
      </c>
      <c r="E137" s="1760">
        <v>2001</v>
      </c>
      <c r="F137" s="1759" t="s">
        <v>8954</v>
      </c>
      <c r="G137" s="1763">
        <v>181890.67</v>
      </c>
      <c r="H137" s="1678">
        <v>573852.82999999996</v>
      </c>
    </row>
    <row r="138" spans="1:8">
      <c r="A138" s="702"/>
      <c r="B138" s="1757" t="s">
        <v>8943</v>
      </c>
      <c r="C138" s="1758" t="s">
        <v>8955</v>
      </c>
      <c r="D138" s="1759"/>
      <c r="E138" s="1760"/>
      <c r="F138" s="1759" t="s">
        <v>8954</v>
      </c>
      <c r="G138" s="1767">
        <v>285023.69</v>
      </c>
      <c r="H138" s="1678">
        <v>37066.19</v>
      </c>
    </row>
    <row r="139" spans="1:8">
      <c r="A139" s="702"/>
      <c r="B139" s="1757"/>
      <c r="C139" s="1758"/>
      <c r="D139" s="1759"/>
      <c r="E139" s="1758"/>
      <c r="F139" s="1759"/>
      <c r="G139" s="1765"/>
      <c r="H139" s="1766"/>
    </row>
    <row r="140" spans="1:8" hidden="1">
      <c r="A140" s="1756" t="s">
        <v>7478</v>
      </c>
      <c r="B140" s="1757"/>
      <c r="C140" s="1758"/>
      <c r="D140" s="1759"/>
      <c r="E140" s="1760"/>
      <c r="F140" s="1759"/>
      <c r="G140" s="1761"/>
      <c r="H140" s="1762"/>
    </row>
    <row r="141" spans="1:8" hidden="1">
      <c r="A141" s="1756" t="s">
        <v>7479</v>
      </c>
      <c r="B141" s="1647"/>
      <c r="C141" s="1758"/>
      <c r="D141" s="1759"/>
      <c r="E141" s="1758"/>
      <c r="F141" s="1759"/>
      <c r="G141" s="1765"/>
      <c r="H141" s="1766"/>
    </row>
    <row r="142" spans="1:8" hidden="1">
      <c r="A142" s="702"/>
      <c r="B142" s="1647"/>
      <c r="C142" s="1758"/>
      <c r="D142" s="1759"/>
      <c r="E142" s="1758"/>
      <c r="F142" s="1759"/>
      <c r="G142" s="1765"/>
      <c r="H142" s="1766"/>
    </row>
    <row r="143" spans="1:8">
      <c r="A143" s="1756" t="s">
        <v>34</v>
      </c>
      <c r="B143" s="1757" t="s">
        <v>8943</v>
      </c>
      <c r="C143" s="1758" t="s">
        <v>7842</v>
      </c>
      <c r="D143" s="1759" t="s">
        <v>8956</v>
      </c>
      <c r="E143" s="1760">
        <v>2009</v>
      </c>
      <c r="F143" s="1759" t="s">
        <v>7844</v>
      </c>
      <c r="G143" s="1763">
        <v>464967.18</v>
      </c>
      <c r="H143" s="1678">
        <v>464967.18</v>
      </c>
    </row>
    <row r="144" spans="1:8">
      <c r="A144" s="702"/>
      <c r="B144" s="1757" t="s">
        <v>8943</v>
      </c>
      <c r="C144" s="1758" t="s">
        <v>7842</v>
      </c>
      <c r="D144" s="1759" t="s">
        <v>8957</v>
      </c>
      <c r="E144" s="1760">
        <v>2012</v>
      </c>
      <c r="F144" s="1759" t="s">
        <v>7844</v>
      </c>
      <c r="G144" s="1763">
        <v>1687654.3999999999</v>
      </c>
      <c r="H144" s="1678">
        <v>1687654.3999999999</v>
      </c>
    </row>
    <row r="145" spans="1:8">
      <c r="A145" s="702"/>
      <c r="B145" s="1757" t="s">
        <v>8943</v>
      </c>
      <c r="C145" s="1758" t="s">
        <v>7842</v>
      </c>
      <c r="D145" s="1759" t="s">
        <v>8947</v>
      </c>
      <c r="E145" s="1760"/>
      <c r="F145" s="1759" t="s">
        <v>7844</v>
      </c>
      <c r="G145" s="1763">
        <v>6685552.1799999997</v>
      </c>
      <c r="H145" s="1678">
        <f>147724.44+G145</f>
        <v>6833276.6200000001</v>
      </c>
    </row>
    <row r="146" spans="1:8">
      <c r="A146" s="702"/>
      <c r="B146" s="1757" t="s">
        <v>8943</v>
      </c>
      <c r="C146" s="1758" t="s">
        <v>7842</v>
      </c>
      <c r="D146" s="1759" t="s">
        <v>8958</v>
      </c>
      <c r="E146" s="1760">
        <v>2009</v>
      </c>
      <c r="F146" s="1759" t="s">
        <v>8954</v>
      </c>
      <c r="G146" s="1763">
        <v>86761.74</v>
      </c>
      <c r="H146" s="1678">
        <v>37652.97</v>
      </c>
    </row>
    <row r="147" spans="1:8">
      <c r="A147" s="702"/>
      <c r="B147" s="1757" t="s">
        <v>8943</v>
      </c>
      <c r="C147" s="1758" t="s">
        <v>7842</v>
      </c>
      <c r="D147" s="1759" t="s">
        <v>8959</v>
      </c>
      <c r="E147" s="1760">
        <v>2005</v>
      </c>
      <c r="F147" s="1759" t="s">
        <v>8954</v>
      </c>
      <c r="G147" s="1763">
        <v>764653.13</v>
      </c>
      <c r="H147" s="1678">
        <v>764653.13</v>
      </c>
    </row>
    <row r="148" spans="1:8" ht="13.5" thickBot="1">
      <c r="A148" s="702"/>
      <c r="B148" s="1757"/>
      <c r="C148" s="1758"/>
      <c r="D148" s="1759"/>
      <c r="E148" s="1760"/>
      <c r="F148" s="1759"/>
      <c r="G148" s="1768"/>
      <c r="H148" s="1769"/>
    </row>
    <row r="149" spans="1:8" hidden="1">
      <c r="A149" s="1756" t="s">
        <v>35</v>
      </c>
      <c r="B149" s="1757"/>
      <c r="C149" s="1758"/>
      <c r="D149" s="1759"/>
      <c r="E149" s="1760"/>
      <c r="F149" s="1759"/>
      <c r="G149" s="1761"/>
      <c r="H149" s="1762"/>
    </row>
    <row r="150" spans="1:8" hidden="1">
      <c r="A150" s="702"/>
      <c r="B150" s="1647"/>
      <c r="C150" s="1758"/>
      <c r="D150" s="1759"/>
      <c r="E150" s="1758"/>
      <c r="F150" s="1759"/>
      <c r="G150" s="1765"/>
      <c r="H150" s="1766"/>
    </row>
    <row r="151" spans="1:8" hidden="1">
      <c r="A151" s="702" t="s">
        <v>36</v>
      </c>
      <c r="B151" s="1757"/>
      <c r="C151" s="1758"/>
      <c r="D151" s="1759"/>
      <c r="E151" s="1758"/>
      <c r="F151" s="1759"/>
      <c r="G151" s="1765"/>
      <c r="H151" s="1766"/>
    </row>
    <row r="152" spans="1:8" hidden="1">
      <c r="A152" s="702" t="s">
        <v>37</v>
      </c>
      <c r="B152" s="1647"/>
      <c r="C152" s="1758"/>
      <c r="D152" s="1759"/>
      <c r="E152" s="1758"/>
      <c r="F152" s="1759"/>
      <c r="G152" s="1765"/>
      <c r="H152" s="1766"/>
    </row>
    <row r="153" spans="1:8" hidden="1">
      <c r="A153" s="702" t="s">
        <v>7485</v>
      </c>
      <c r="B153" s="1647"/>
      <c r="C153" s="1758"/>
      <c r="D153" s="1759"/>
      <c r="E153" s="1758"/>
      <c r="F153" s="1759"/>
      <c r="G153" s="1765"/>
      <c r="H153" s="1766"/>
    </row>
    <row r="154" spans="1:8" hidden="1">
      <c r="A154" s="702" t="s">
        <v>7486</v>
      </c>
      <c r="B154" s="1647"/>
      <c r="C154" s="1758"/>
      <c r="D154" s="1759"/>
      <c r="E154" s="1758"/>
      <c r="F154" s="1759"/>
      <c r="G154" s="1765"/>
      <c r="H154" s="1766"/>
    </row>
    <row r="155" spans="1:8" hidden="1">
      <c r="A155" s="702" t="s">
        <v>7487</v>
      </c>
      <c r="B155" s="1647"/>
      <c r="C155" s="1758"/>
      <c r="D155" s="1759"/>
      <c r="E155" s="1758"/>
      <c r="F155" s="1759"/>
      <c r="G155" s="1765"/>
      <c r="H155" s="1766"/>
    </row>
    <row r="156" spans="1:8" hidden="1">
      <c r="A156" s="702" t="s">
        <v>7488</v>
      </c>
      <c r="B156" s="1647"/>
      <c r="C156" s="1758"/>
      <c r="D156" s="1759"/>
      <c r="E156" s="1758"/>
      <c r="F156" s="1759"/>
      <c r="G156" s="1765"/>
      <c r="H156" s="1766"/>
    </row>
    <row r="157" spans="1:8" ht="12.75" hidden="1" thickBot="1">
      <c r="A157" s="1650"/>
      <c r="B157" s="1651"/>
      <c r="C157" s="1770"/>
      <c r="D157" s="1677"/>
      <c r="E157" s="1770"/>
      <c r="F157" s="1677"/>
      <c r="G157" s="1771"/>
      <c r="H157" s="1679"/>
    </row>
    <row r="158" spans="1:8" ht="12.75" thickBot="1">
      <c r="A158" s="328" t="s">
        <v>0</v>
      </c>
      <c r="B158" s="329"/>
      <c r="C158" s="330"/>
      <c r="D158" s="330"/>
      <c r="E158" s="330"/>
      <c r="F158" s="330"/>
      <c r="G158" s="330"/>
      <c r="H158" s="331"/>
    </row>
    <row r="159" spans="1:8">
      <c r="A159" s="2062" t="s">
        <v>9079</v>
      </c>
      <c r="B159" s="2062"/>
      <c r="C159" s="2062"/>
      <c r="D159" s="2062"/>
      <c r="E159" s="2062"/>
      <c r="F159" s="2062"/>
      <c r="G159" s="2062"/>
      <c r="H159" s="2062"/>
    </row>
    <row r="160" spans="1:8">
      <c r="A160" s="702"/>
      <c r="B160" s="1647"/>
      <c r="C160" s="1758"/>
      <c r="D160" s="1759"/>
      <c r="E160" s="1758"/>
      <c r="F160" s="1759"/>
      <c r="G160" s="1765"/>
      <c r="H160" s="1766"/>
    </row>
    <row r="161" spans="1:8">
      <c r="A161" s="702"/>
      <c r="B161" s="1647"/>
      <c r="C161" s="1758"/>
      <c r="D161" s="1759"/>
      <c r="E161" s="1758"/>
      <c r="F161" s="1759"/>
      <c r="G161" s="1765"/>
      <c r="H161" s="1766"/>
    </row>
    <row r="162" spans="1:8" ht="12.75" thickBot="1">
      <c r="A162" s="1650"/>
      <c r="B162" s="1651"/>
      <c r="C162" s="1770"/>
      <c r="D162" s="1677"/>
      <c r="E162" s="1770"/>
      <c r="F162" s="1677"/>
      <c r="G162" s="1771"/>
      <c r="H162" s="1679"/>
    </row>
    <row r="163" spans="1:8" ht="12.75" thickBot="1">
      <c r="A163" s="328"/>
      <c r="B163" s="329"/>
      <c r="C163" s="330"/>
      <c r="D163" s="330"/>
      <c r="E163" s="330"/>
      <c r="F163" s="330"/>
      <c r="G163" s="330"/>
      <c r="H163" s="331"/>
    </row>
    <row r="164" spans="1:8" ht="12.75" thickBot="1">
      <c r="A164" s="2062" t="s">
        <v>9077</v>
      </c>
      <c r="B164" s="2062"/>
      <c r="C164" s="2062"/>
      <c r="D164" s="2062"/>
      <c r="E164" s="2062"/>
      <c r="F164" s="2062"/>
      <c r="G164" s="2062"/>
      <c r="H164" s="2062"/>
    </row>
    <row r="165" spans="1:8">
      <c r="A165" s="1641"/>
      <c r="B165" s="1642"/>
      <c r="C165" s="701"/>
      <c r="D165" s="1649"/>
      <c r="E165" s="1755"/>
      <c r="F165" s="701"/>
      <c r="G165" s="701"/>
      <c r="H165" s="701"/>
    </row>
    <row r="166" spans="1:8">
      <c r="A166" s="702" t="s">
        <v>32</v>
      </c>
      <c r="B166" s="1779" t="s">
        <v>9065</v>
      </c>
      <c r="C166" s="701" t="s">
        <v>9066</v>
      </c>
      <c r="D166" s="1649" t="s">
        <v>9067</v>
      </c>
      <c r="E166" s="1755" t="s">
        <v>9068</v>
      </c>
      <c r="F166" s="701" t="s">
        <v>9069</v>
      </c>
      <c r="G166" s="701">
        <v>0</v>
      </c>
      <c r="H166" s="701">
        <v>0</v>
      </c>
    </row>
    <row r="167" spans="1:8">
      <c r="A167" s="702"/>
      <c r="B167" s="1647"/>
      <c r="C167" s="701"/>
      <c r="D167" s="1649" t="s">
        <v>9070</v>
      </c>
      <c r="E167" s="1755" t="s">
        <v>9071</v>
      </c>
      <c r="F167" s="701" t="s">
        <v>9069</v>
      </c>
      <c r="G167" s="701">
        <v>119704.34</v>
      </c>
      <c r="H167" s="701">
        <v>141169.01999999999</v>
      </c>
    </row>
    <row r="168" spans="1:8">
      <c r="A168" s="702"/>
      <c r="B168" s="1647"/>
      <c r="C168" s="701"/>
      <c r="D168" s="1649"/>
      <c r="E168" s="1755"/>
      <c r="F168" s="701"/>
      <c r="G168" s="701"/>
      <c r="H168" s="701"/>
    </row>
    <row r="169" spans="1:8">
      <c r="A169" s="702" t="s">
        <v>33</v>
      </c>
      <c r="B169" s="1779" t="s">
        <v>9065</v>
      </c>
      <c r="C169" s="701" t="s">
        <v>9066</v>
      </c>
      <c r="D169" s="1649" t="s">
        <v>9072</v>
      </c>
      <c r="E169" s="1755" t="s">
        <v>9068</v>
      </c>
      <c r="F169" s="701" t="s">
        <v>9069</v>
      </c>
      <c r="G169" s="701">
        <v>38493.83</v>
      </c>
      <c r="H169" s="701">
        <v>231888.9</v>
      </c>
    </row>
    <row r="170" spans="1:8">
      <c r="A170" s="702"/>
      <c r="B170" s="1779"/>
      <c r="C170" s="701"/>
      <c r="D170" s="1649" t="s">
        <v>9073</v>
      </c>
      <c r="E170" s="1755" t="s">
        <v>9068</v>
      </c>
      <c r="F170" s="701" t="s">
        <v>9069</v>
      </c>
      <c r="G170" s="701">
        <v>51274.13</v>
      </c>
      <c r="H170" s="701">
        <v>231477.11</v>
      </c>
    </row>
    <row r="171" spans="1:8">
      <c r="A171" s="702"/>
      <c r="B171" s="1779"/>
      <c r="C171" s="701"/>
      <c r="D171" s="1649"/>
      <c r="E171" s="1755"/>
      <c r="F171" s="701"/>
      <c r="G171" s="701"/>
      <c r="H171" s="701"/>
    </row>
    <row r="172" spans="1:8">
      <c r="A172" s="702"/>
      <c r="B172" s="1647"/>
      <c r="C172" s="701" t="s">
        <v>9074</v>
      </c>
      <c r="D172" s="1649" t="s">
        <v>9075</v>
      </c>
      <c r="E172" s="1755" t="s">
        <v>9076</v>
      </c>
      <c r="F172" s="701" t="s">
        <v>9069</v>
      </c>
      <c r="G172" s="701">
        <v>1022.89</v>
      </c>
      <c r="H172" s="701">
        <v>821.89</v>
      </c>
    </row>
    <row r="173" spans="1:8" ht="12.75" thickBot="1">
      <c r="A173" s="1650"/>
      <c r="B173" s="1651"/>
      <c r="C173" s="1647"/>
      <c r="D173" s="1652"/>
      <c r="E173" s="702"/>
      <c r="F173" s="1647"/>
      <c r="G173" s="1647"/>
      <c r="H173" s="1647"/>
    </row>
    <row r="174" spans="1:8" ht="12.75" thickBot="1">
      <c r="A174" s="2067" t="s">
        <v>0</v>
      </c>
      <c r="B174" s="2068"/>
      <c r="C174" s="2068"/>
      <c r="D174" s="2068"/>
      <c r="E174" s="2068"/>
      <c r="F174" s="2068"/>
      <c r="G174" s="1780">
        <f>SUM(G165:G173)</f>
        <v>210495.19</v>
      </c>
      <c r="H174" s="1781">
        <f>SUM(H165:H173)</f>
        <v>605356.92000000004</v>
      </c>
    </row>
    <row r="175" spans="1:8">
      <c r="A175" s="2062" t="s">
        <v>9081</v>
      </c>
      <c r="B175" s="2062"/>
      <c r="C175" s="2062"/>
      <c r="D175" s="2062"/>
      <c r="E175" s="2062"/>
      <c r="F175" s="2062"/>
      <c r="G175" s="2062"/>
      <c r="H175" s="2062"/>
    </row>
    <row r="176" spans="1:8" ht="24">
      <c r="A176" s="702" t="s">
        <v>32</v>
      </c>
      <c r="B176" s="1783" t="s">
        <v>9082</v>
      </c>
      <c r="C176" s="1783" t="s">
        <v>9083</v>
      </c>
      <c r="D176" s="1783" t="s">
        <v>9084</v>
      </c>
      <c r="E176" s="1784">
        <v>90309</v>
      </c>
      <c r="F176" s="1783" t="s">
        <v>9085</v>
      </c>
      <c r="G176" s="1783" t="s">
        <v>9086</v>
      </c>
      <c r="H176" s="701"/>
    </row>
    <row r="177" spans="1:8" ht="12.75" thickBot="1">
      <c r="A177" s="702"/>
      <c r="B177" s="1647"/>
      <c r="C177" s="701"/>
      <c r="D177" s="1649"/>
      <c r="E177" s="1755"/>
      <c r="F177" s="701"/>
      <c r="G177" s="701"/>
      <c r="H177" s="701"/>
    </row>
    <row r="178" spans="1:8" hidden="1">
      <c r="A178" s="702" t="s">
        <v>33</v>
      </c>
      <c r="B178" s="1647"/>
      <c r="C178" s="701"/>
      <c r="D178" s="1649"/>
      <c r="E178" s="1755"/>
      <c r="F178" s="701"/>
      <c r="G178" s="701"/>
      <c r="H178" s="701"/>
    </row>
    <row r="179" spans="1:8" hidden="1">
      <c r="A179" s="702"/>
      <c r="B179" s="1647"/>
      <c r="C179" s="701"/>
      <c r="D179" s="1649"/>
      <c r="E179" s="1755"/>
      <c r="F179" s="701"/>
      <c r="G179" s="701"/>
      <c r="H179" s="701"/>
    </row>
    <row r="180" spans="1:8" hidden="1">
      <c r="A180" s="702" t="s">
        <v>7478</v>
      </c>
      <c r="B180" s="1647"/>
      <c r="C180" s="701"/>
      <c r="D180" s="1649"/>
      <c r="E180" s="1755"/>
      <c r="F180" s="701"/>
      <c r="G180" s="701"/>
      <c r="H180" s="701"/>
    </row>
    <row r="181" spans="1:8" hidden="1">
      <c r="A181" s="702" t="s">
        <v>7479</v>
      </c>
      <c r="B181" s="1647"/>
      <c r="C181" s="701"/>
      <c r="D181" s="1649"/>
      <c r="E181" s="1755"/>
      <c r="F181" s="701"/>
      <c r="G181" s="701"/>
      <c r="H181" s="701"/>
    </row>
    <row r="182" spans="1:8" hidden="1">
      <c r="A182" s="702"/>
      <c r="B182" s="1647"/>
      <c r="C182" s="701"/>
      <c r="D182" s="1649"/>
      <c r="E182" s="1755"/>
      <c r="F182" s="701"/>
      <c r="G182" s="701"/>
      <c r="H182" s="701"/>
    </row>
    <row r="183" spans="1:8" hidden="1">
      <c r="A183" s="702" t="s">
        <v>34</v>
      </c>
      <c r="B183" s="1647"/>
      <c r="C183" s="1785"/>
      <c r="D183" s="1786"/>
      <c r="E183" s="1787"/>
      <c r="F183" s="1785"/>
      <c r="G183" s="701"/>
      <c r="H183" s="701"/>
    </row>
    <row r="184" spans="1:8" hidden="1">
      <c r="A184" s="702"/>
      <c r="B184" s="1647"/>
      <c r="C184" s="701"/>
      <c r="D184" s="1649"/>
      <c r="E184" s="1755"/>
      <c r="F184" s="701"/>
      <c r="G184" s="701"/>
      <c r="H184" s="701"/>
    </row>
    <row r="185" spans="1:8" hidden="1">
      <c r="A185" s="702" t="s">
        <v>35</v>
      </c>
      <c r="B185" s="1647"/>
      <c r="C185" s="701"/>
      <c r="D185" s="1649"/>
      <c r="E185" s="1755"/>
      <c r="F185" s="701"/>
      <c r="G185" s="701"/>
      <c r="H185" s="701"/>
    </row>
    <row r="186" spans="1:8" hidden="1">
      <c r="A186" s="702"/>
      <c r="B186" s="1647"/>
      <c r="C186" s="701"/>
      <c r="D186" s="1649"/>
      <c r="E186" s="1755"/>
      <c r="F186" s="701"/>
      <c r="G186" s="701"/>
      <c r="H186" s="701"/>
    </row>
    <row r="187" spans="1:8" hidden="1">
      <c r="A187" s="702" t="s">
        <v>36</v>
      </c>
      <c r="B187" s="1647"/>
      <c r="C187" s="701"/>
      <c r="D187" s="1649"/>
      <c r="E187" s="1755"/>
      <c r="F187" s="701"/>
      <c r="G187" s="701"/>
      <c r="H187" s="701"/>
    </row>
    <row r="188" spans="1:8" hidden="1">
      <c r="A188" s="702" t="s">
        <v>37</v>
      </c>
      <c r="B188" s="1647"/>
      <c r="C188" s="701"/>
      <c r="D188" s="1649"/>
      <c r="E188" s="1755"/>
      <c r="F188" s="701"/>
      <c r="G188" s="701"/>
      <c r="H188" s="701"/>
    </row>
    <row r="189" spans="1:8" hidden="1">
      <c r="A189" s="702" t="s">
        <v>7485</v>
      </c>
      <c r="B189" s="1647"/>
      <c r="C189" s="701"/>
      <c r="D189" s="1649"/>
      <c r="E189" s="1755"/>
      <c r="F189" s="701"/>
      <c r="G189" s="701"/>
      <c r="H189" s="701"/>
    </row>
    <row r="190" spans="1:8" hidden="1">
      <c r="A190" s="702" t="s">
        <v>7486</v>
      </c>
      <c r="B190" s="1647"/>
      <c r="C190" s="701"/>
      <c r="D190" s="1649"/>
      <c r="E190" s="1755"/>
      <c r="F190" s="701"/>
      <c r="G190" s="701"/>
      <c r="H190" s="701"/>
    </row>
    <row r="191" spans="1:8" hidden="1">
      <c r="A191" s="702" t="s">
        <v>7487</v>
      </c>
      <c r="B191" s="1647"/>
      <c r="C191" s="701"/>
      <c r="D191" s="1649"/>
      <c r="E191" s="1755"/>
      <c r="F191" s="701"/>
      <c r="G191" s="701"/>
      <c r="H191" s="701"/>
    </row>
    <row r="192" spans="1:8" hidden="1">
      <c r="A192" s="702" t="s">
        <v>7488</v>
      </c>
      <c r="B192" s="1647"/>
      <c r="C192" s="701"/>
      <c r="D192" s="1649"/>
      <c r="E192" s="1755"/>
      <c r="F192" s="701"/>
      <c r="G192" s="701"/>
      <c r="H192" s="701"/>
    </row>
    <row r="193" spans="1:10" ht="12.75" hidden="1" thickBot="1">
      <c r="A193" s="1650"/>
      <c r="B193" s="1651"/>
      <c r="C193" s="1647"/>
      <c r="D193" s="1652"/>
      <c r="E193" s="702"/>
      <c r="F193" s="1647"/>
      <c r="G193" s="1647"/>
      <c r="H193" s="1647"/>
    </row>
    <row r="194" spans="1:10" ht="12.75" thickBot="1">
      <c r="A194" s="1653" t="s">
        <v>0</v>
      </c>
      <c r="B194" s="1654"/>
      <c r="C194" s="1655"/>
      <c r="D194" s="1655"/>
      <c r="E194" s="1655"/>
      <c r="F194" s="1655"/>
      <c r="G194" s="1655"/>
      <c r="H194" s="1788"/>
    </row>
    <row r="195" spans="1:10" ht="12.75" thickBot="1">
      <c r="A195" s="2043" t="s">
        <v>9088</v>
      </c>
      <c r="B195" s="2044"/>
      <c r="C195" s="2044"/>
      <c r="D195" s="2044"/>
      <c r="E195" s="2044"/>
      <c r="F195" s="2044"/>
      <c r="G195" s="2044"/>
      <c r="H195" s="2044"/>
      <c r="I195" s="2044"/>
      <c r="J195" s="2054"/>
    </row>
    <row r="196" spans="1:10">
      <c r="A196" s="1641"/>
      <c r="B196" s="1642"/>
      <c r="C196" s="701"/>
      <c r="D196" s="1649"/>
      <c r="E196" s="1755"/>
      <c r="F196" s="701"/>
      <c r="G196" s="701"/>
      <c r="H196" s="701"/>
    </row>
    <row r="197" spans="1:10">
      <c r="A197" s="1795" t="s">
        <v>32</v>
      </c>
      <c r="B197" s="1796" t="s">
        <v>9261</v>
      </c>
      <c r="C197" s="1797" t="s">
        <v>7842</v>
      </c>
      <c r="D197" s="1798" t="s">
        <v>9262</v>
      </c>
      <c r="E197" s="1799"/>
      <c r="F197" s="1797" t="s">
        <v>9069</v>
      </c>
      <c r="G197" s="1797">
        <v>0</v>
      </c>
      <c r="H197" s="1797">
        <v>0</v>
      </c>
    </row>
    <row r="198" spans="1:10">
      <c r="A198" s="1795"/>
      <c r="B198" s="1796"/>
      <c r="C198" s="1797"/>
      <c r="D198" s="1798"/>
      <c r="E198" s="1799"/>
      <c r="F198" s="1797"/>
      <c r="G198" s="1797"/>
      <c r="H198" s="1797"/>
    </row>
    <row r="199" spans="1:10">
      <c r="A199" s="1795" t="s">
        <v>33</v>
      </c>
      <c r="B199" s="1796" t="s">
        <v>9261</v>
      </c>
      <c r="C199" s="1797" t="s">
        <v>7842</v>
      </c>
      <c r="D199" s="1798" t="s">
        <v>9263</v>
      </c>
      <c r="E199" s="1799"/>
      <c r="F199" s="1797" t="s">
        <v>9069</v>
      </c>
      <c r="G199" s="1797">
        <v>4094432.27</v>
      </c>
      <c r="H199" s="1800">
        <v>3199032.27</v>
      </c>
    </row>
    <row r="200" spans="1:10">
      <c r="A200" s="1795"/>
      <c r="B200" s="1796" t="s">
        <v>9261</v>
      </c>
      <c r="C200" s="1797" t="s">
        <v>7842</v>
      </c>
      <c r="D200" s="1798" t="s">
        <v>9264</v>
      </c>
      <c r="E200" s="1799"/>
      <c r="F200" s="1797" t="s">
        <v>9069</v>
      </c>
      <c r="G200" s="1800">
        <v>380187.57</v>
      </c>
      <c r="H200" s="1800">
        <v>567202.18000000005</v>
      </c>
    </row>
    <row r="201" spans="1:10">
      <c r="A201" s="1795" t="s">
        <v>7478</v>
      </c>
      <c r="B201" s="1796"/>
      <c r="C201" s="1797"/>
      <c r="D201" s="1798"/>
      <c r="E201" s="1799"/>
      <c r="F201" s="1797"/>
      <c r="G201" s="1797"/>
      <c r="H201" s="1797"/>
    </row>
    <row r="202" spans="1:10">
      <c r="A202" s="1795" t="s">
        <v>7479</v>
      </c>
      <c r="B202" s="1796"/>
      <c r="C202" s="1797"/>
      <c r="D202" s="1798"/>
      <c r="E202" s="1799"/>
      <c r="F202" s="1797"/>
      <c r="G202" s="1797"/>
      <c r="H202" s="1797"/>
    </row>
    <row r="203" spans="1:10">
      <c r="A203" s="1795"/>
      <c r="B203" s="1796"/>
      <c r="C203" s="1797"/>
      <c r="D203" s="1798"/>
      <c r="E203" s="1799"/>
      <c r="F203" s="1797"/>
      <c r="G203" s="1797"/>
      <c r="H203" s="1797"/>
    </row>
    <row r="204" spans="1:10">
      <c r="A204" s="1795" t="s">
        <v>34</v>
      </c>
      <c r="B204" s="1796" t="s">
        <v>9261</v>
      </c>
      <c r="C204" s="1797" t="s">
        <v>7842</v>
      </c>
      <c r="D204" s="1798" t="s">
        <v>9265</v>
      </c>
      <c r="E204" s="1801"/>
      <c r="F204" s="1797" t="s">
        <v>9069</v>
      </c>
      <c r="G204" s="1800">
        <v>7455.58</v>
      </c>
      <c r="H204" s="1800">
        <v>22517.11</v>
      </c>
    </row>
    <row r="205" spans="1:10">
      <c r="A205" s="1795"/>
      <c r="B205" s="1796" t="s">
        <v>9261</v>
      </c>
      <c r="C205" s="1797" t="s">
        <v>7842</v>
      </c>
      <c r="D205" s="1798" t="s">
        <v>9266</v>
      </c>
      <c r="E205" s="1799"/>
      <c r="F205" s="1797" t="s">
        <v>9267</v>
      </c>
      <c r="G205" s="1800">
        <v>2789537.57</v>
      </c>
      <c r="H205" s="1800">
        <v>3199032.27</v>
      </c>
    </row>
    <row r="206" spans="1:10">
      <c r="A206" s="1795" t="s">
        <v>35</v>
      </c>
      <c r="B206" s="1796" t="s">
        <v>9261</v>
      </c>
      <c r="C206" s="1797" t="s">
        <v>7842</v>
      </c>
      <c r="D206" s="1798" t="s">
        <v>9262</v>
      </c>
      <c r="E206" s="1799"/>
      <c r="F206" s="1797" t="s">
        <v>9069</v>
      </c>
      <c r="G206" s="1800">
        <v>4001.38</v>
      </c>
      <c r="H206" s="1800">
        <v>4001.38</v>
      </c>
    </row>
    <row r="207" spans="1:10" ht="12.75" thickBot="1">
      <c r="A207" s="702"/>
      <c r="B207" s="1647"/>
      <c r="C207" s="701"/>
      <c r="D207" s="1649"/>
      <c r="E207" s="1755"/>
      <c r="F207" s="701"/>
      <c r="G207" s="701"/>
      <c r="H207" s="701"/>
    </row>
    <row r="208" spans="1:10" hidden="1">
      <c r="A208" s="702" t="s">
        <v>36</v>
      </c>
      <c r="B208" s="1647"/>
      <c r="C208" s="701"/>
      <c r="D208" s="1649"/>
      <c r="E208" s="1755"/>
      <c r="F208" s="701"/>
      <c r="G208" s="701"/>
      <c r="H208" s="701"/>
    </row>
    <row r="209" spans="1:10" hidden="1">
      <c r="A209" s="702" t="s">
        <v>37</v>
      </c>
      <c r="B209" s="1647"/>
      <c r="C209" s="701"/>
      <c r="D209" s="1649"/>
      <c r="E209" s="1755"/>
      <c r="F209" s="701"/>
      <c r="G209" s="701"/>
      <c r="H209" s="701"/>
    </row>
    <row r="210" spans="1:10" hidden="1">
      <c r="A210" s="702" t="s">
        <v>7485</v>
      </c>
      <c r="B210" s="1647"/>
      <c r="C210" s="701"/>
      <c r="D210" s="1649"/>
      <c r="E210" s="1755"/>
      <c r="F210" s="701"/>
      <c r="G210" s="701"/>
      <c r="H210" s="701"/>
    </row>
    <row r="211" spans="1:10" hidden="1">
      <c r="A211" s="702" t="s">
        <v>7486</v>
      </c>
      <c r="B211" s="1647"/>
      <c r="C211" s="701"/>
      <c r="D211" s="1649"/>
      <c r="E211" s="1755"/>
      <c r="F211" s="701"/>
      <c r="G211" s="701"/>
      <c r="H211" s="701"/>
    </row>
    <row r="212" spans="1:10" hidden="1">
      <c r="A212" s="702" t="s">
        <v>7487</v>
      </c>
      <c r="B212" s="1647"/>
      <c r="C212" s="701"/>
      <c r="D212" s="1649"/>
      <c r="E212" s="1755"/>
      <c r="F212" s="701"/>
      <c r="G212" s="701"/>
      <c r="H212" s="701"/>
    </row>
    <row r="213" spans="1:10" hidden="1">
      <c r="A213" s="702" t="s">
        <v>7488</v>
      </c>
      <c r="B213" s="1647"/>
      <c r="C213" s="701"/>
      <c r="D213" s="1649"/>
      <c r="E213" s="1755"/>
      <c r="F213" s="701"/>
      <c r="G213" s="701"/>
      <c r="H213" s="701"/>
    </row>
    <row r="214" spans="1:10" ht="12.75" hidden="1" thickBot="1">
      <c r="A214" s="1650"/>
      <c r="B214" s="1651"/>
      <c r="C214" s="1647"/>
      <c r="D214" s="1652"/>
      <c r="E214" s="702"/>
      <c r="F214" s="1647"/>
      <c r="G214" s="1647"/>
      <c r="H214" s="1647"/>
    </row>
    <row r="215" spans="1:10" ht="12.75" thickBot="1">
      <c r="A215" s="1653" t="s">
        <v>0</v>
      </c>
      <c r="B215" s="1654"/>
      <c r="C215" s="1655"/>
      <c r="D215" s="1655"/>
      <c r="E215" s="1655"/>
      <c r="F215" s="1655"/>
      <c r="G215" s="1655"/>
      <c r="H215" s="1802">
        <f>SUM(H197:H214)</f>
        <v>6991785.21</v>
      </c>
    </row>
    <row r="216" spans="1:10" ht="12.75" thickBot="1">
      <c r="A216" s="2043" t="s">
        <v>9336</v>
      </c>
      <c r="B216" s="2044"/>
      <c r="C216" s="2044"/>
      <c r="D216" s="2044"/>
      <c r="E216" s="2044"/>
      <c r="F216" s="2044"/>
      <c r="G216" s="2044"/>
      <c r="H216" s="2044"/>
      <c r="I216" s="2044"/>
      <c r="J216" s="2054"/>
    </row>
    <row r="217" spans="1:10">
      <c r="A217" s="1641"/>
      <c r="B217" s="1642"/>
      <c r="C217" s="701"/>
      <c r="D217" s="1649"/>
      <c r="E217" s="1755"/>
      <c r="F217" s="701"/>
      <c r="G217" s="1820"/>
      <c r="H217" s="1820"/>
    </row>
    <row r="218" spans="1:10">
      <c r="A218" s="702" t="s">
        <v>32</v>
      </c>
      <c r="B218" s="1647" t="s">
        <v>9374</v>
      </c>
      <c r="C218" s="701" t="s">
        <v>7842</v>
      </c>
      <c r="D218" s="1649" t="s">
        <v>9375</v>
      </c>
      <c r="E218" s="1821">
        <v>2011</v>
      </c>
      <c r="F218" s="701" t="s">
        <v>7844</v>
      </c>
      <c r="G218" s="1820">
        <v>0</v>
      </c>
      <c r="H218" s="1820">
        <v>0</v>
      </c>
    </row>
    <row r="219" spans="1:10">
      <c r="A219" s="702" t="s">
        <v>9376</v>
      </c>
      <c r="B219" s="1647" t="s">
        <v>9374</v>
      </c>
      <c r="C219" s="701" t="s">
        <v>7842</v>
      </c>
      <c r="D219" s="1649" t="s">
        <v>9377</v>
      </c>
      <c r="E219" s="1821">
        <v>2019</v>
      </c>
      <c r="F219" s="701" t="s">
        <v>7844</v>
      </c>
      <c r="G219" s="1820">
        <v>116063.48</v>
      </c>
      <c r="H219" s="1820">
        <v>0</v>
      </c>
    </row>
    <row r="220" spans="1:10">
      <c r="A220" s="702"/>
      <c r="B220" s="1647"/>
      <c r="C220" s="701"/>
      <c r="D220" s="1649"/>
      <c r="E220" s="1821"/>
      <c r="F220" s="701"/>
      <c r="G220" s="1820"/>
      <c r="H220" s="1820"/>
    </row>
    <row r="221" spans="1:10">
      <c r="A221" s="702" t="s">
        <v>33</v>
      </c>
      <c r="B221" s="1647" t="s">
        <v>9374</v>
      </c>
      <c r="C221" s="701" t="s">
        <v>7842</v>
      </c>
      <c r="D221" s="1649" t="s">
        <v>9378</v>
      </c>
      <c r="E221" s="1821">
        <v>2015</v>
      </c>
      <c r="F221" s="701" t="s">
        <v>7844</v>
      </c>
      <c r="G221" s="1820">
        <v>5685.96</v>
      </c>
      <c r="H221" s="1820">
        <v>9854.91</v>
      </c>
    </row>
    <row r="222" spans="1:10">
      <c r="A222" s="702" t="s">
        <v>9379</v>
      </c>
      <c r="B222" s="1647" t="s">
        <v>9374</v>
      </c>
      <c r="C222" s="701" t="s">
        <v>7842</v>
      </c>
      <c r="D222" s="1649" t="s">
        <v>9380</v>
      </c>
      <c r="E222" s="1821">
        <v>2015</v>
      </c>
      <c r="F222" s="701" t="s">
        <v>7844</v>
      </c>
      <c r="G222" s="1820">
        <v>39495.660000000003</v>
      </c>
      <c r="H222" s="1820">
        <v>39733.279999999999</v>
      </c>
    </row>
    <row r="223" spans="1:10">
      <c r="A223" s="702"/>
      <c r="B223" s="1647"/>
      <c r="C223" s="701"/>
      <c r="D223" s="1649"/>
      <c r="E223" s="1821"/>
      <c r="F223" s="701"/>
      <c r="G223" s="1820"/>
      <c r="H223" s="1820"/>
    </row>
    <row r="224" spans="1:10">
      <c r="A224" s="702" t="s">
        <v>7478</v>
      </c>
      <c r="B224" s="1647"/>
      <c r="C224" s="1785"/>
      <c r="D224" s="1786"/>
      <c r="E224" s="1822"/>
      <c r="F224" s="1785"/>
      <c r="G224" s="1820"/>
      <c r="H224" s="1820"/>
    </row>
    <row r="225" spans="1:8">
      <c r="A225" s="702" t="s">
        <v>9381</v>
      </c>
      <c r="B225" s="1647" t="s">
        <v>9374</v>
      </c>
      <c r="C225" s="701" t="s">
        <v>7842</v>
      </c>
      <c r="D225" s="1649" t="s">
        <v>9382</v>
      </c>
      <c r="E225" s="1821">
        <v>2018</v>
      </c>
      <c r="F225" s="701" t="s">
        <v>7844</v>
      </c>
      <c r="G225" s="1820">
        <v>0</v>
      </c>
      <c r="H225" s="1820">
        <v>0</v>
      </c>
    </row>
    <row r="226" spans="1:8">
      <c r="A226" s="702"/>
      <c r="B226" s="1647"/>
      <c r="C226" s="701"/>
      <c r="D226" s="1649"/>
      <c r="E226" s="1821"/>
      <c r="F226" s="701"/>
      <c r="G226" s="1820"/>
      <c r="H226" s="1820"/>
    </row>
    <row r="227" spans="1:8">
      <c r="A227" s="702" t="s">
        <v>34</v>
      </c>
      <c r="B227" s="1647"/>
      <c r="C227" s="701"/>
      <c r="D227" s="1649"/>
      <c r="E227" s="1821"/>
      <c r="F227" s="701"/>
      <c r="G227" s="1820"/>
      <c r="H227" s="1820"/>
    </row>
    <row r="228" spans="1:8">
      <c r="A228" s="702"/>
      <c r="B228" s="1647"/>
      <c r="C228" s="701"/>
      <c r="D228" s="1649"/>
      <c r="E228" s="1821"/>
      <c r="F228" s="701"/>
      <c r="G228" s="1820"/>
      <c r="H228" s="1820"/>
    </row>
    <row r="229" spans="1:8">
      <c r="A229" s="702" t="s">
        <v>35</v>
      </c>
      <c r="B229" s="1647"/>
      <c r="C229" s="701"/>
      <c r="D229" s="1649"/>
      <c r="E229" s="1821"/>
      <c r="F229" s="701"/>
      <c r="G229" s="1820"/>
      <c r="H229" s="1820"/>
    </row>
    <row r="230" spans="1:8">
      <c r="A230" s="702"/>
      <c r="B230" s="1647"/>
      <c r="C230" s="701"/>
      <c r="D230" s="1649"/>
      <c r="E230" s="1821"/>
      <c r="F230" s="701"/>
      <c r="G230" s="1820"/>
      <c r="H230" s="1820"/>
    </row>
    <row r="231" spans="1:8">
      <c r="A231" s="702" t="s">
        <v>36</v>
      </c>
      <c r="B231" s="1647" t="s">
        <v>9374</v>
      </c>
      <c r="C231" s="701" t="s">
        <v>7842</v>
      </c>
      <c r="D231" s="1649" t="s">
        <v>9383</v>
      </c>
      <c r="E231" s="1821">
        <v>2017</v>
      </c>
      <c r="F231" s="701" t="s">
        <v>7844</v>
      </c>
      <c r="G231" s="1820">
        <v>0</v>
      </c>
      <c r="H231" s="1820">
        <v>0</v>
      </c>
    </row>
    <row r="232" spans="1:8">
      <c r="A232" s="702" t="s">
        <v>9384</v>
      </c>
      <c r="B232" s="1647"/>
      <c r="C232" s="701"/>
      <c r="D232" s="1649"/>
      <c r="E232" s="1821"/>
      <c r="F232" s="701"/>
      <c r="G232" s="1820"/>
      <c r="H232" s="1820"/>
    </row>
    <row r="233" spans="1:8">
      <c r="A233" s="702" t="s">
        <v>7485</v>
      </c>
      <c r="B233" s="1647"/>
      <c r="C233" s="701"/>
      <c r="D233" s="1649"/>
      <c r="E233" s="1821"/>
      <c r="F233" s="701"/>
      <c r="G233" s="1820"/>
      <c r="H233" s="1820"/>
    </row>
    <row r="234" spans="1:8">
      <c r="A234" s="702" t="s">
        <v>7486</v>
      </c>
      <c r="B234" s="1647"/>
      <c r="C234" s="701"/>
      <c r="D234" s="1649"/>
      <c r="E234" s="1821"/>
      <c r="F234" s="701"/>
      <c r="G234" s="1820"/>
      <c r="H234" s="1820"/>
    </row>
    <row r="235" spans="1:8">
      <c r="A235" s="702" t="s">
        <v>7487</v>
      </c>
      <c r="B235" s="1647"/>
      <c r="C235" s="701"/>
      <c r="D235" s="1649"/>
      <c r="E235" s="1821"/>
      <c r="F235" s="701"/>
      <c r="G235" s="1820"/>
      <c r="H235" s="1820"/>
    </row>
    <row r="236" spans="1:8">
      <c r="A236" s="702" t="s">
        <v>7488</v>
      </c>
      <c r="B236" s="1647"/>
      <c r="C236" s="701"/>
      <c r="D236" s="1649"/>
      <c r="E236" s="1821"/>
      <c r="F236" s="701"/>
      <c r="G236" s="1820"/>
      <c r="H236" s="1820"/>
    </row>
    <row r="237" spans="1:8">
      <c r="A237" s="702" t="s">
        <v>9385</v>
      </c>
      <c r="B237" s="1647" t="s">
        <v>9374</v>
      </c>
      <c r="C237" s="701" t="s">
        <v>7842</v>
      </c>
      <c r="D237" s="1649" t="s">
        <v>9386</v>
      </c>
      <c r="E237" s="1821">
        <v>2015</v>
      </c>
      <c r="F237" s="701" t="s">
        <v>7844</v>
      </c>
      <c r="G237" s="1820">
        <v>0</v>
      </c>
      <c r="H237" s="1820">
        <v>0</v>
      </c>
    </row>
    <row r="238" spans="1:8">
      <c r="A238" s="702"/>
      <c r="B238" s="1647"/>
      <c r="C238" s="701"/>
      <c r="D238" s="1649"/>
      <c r="E238" s="1821"/>
      <c r="F238" s="701"/>
      <c r="G238" s="1820"/>
      <c r="H238" s="1820"/>
    </row>
    <row r="239" spans="1:8">
      <c r="A239" s="702" t="s">
        <v>9387</v>
      </c>
      <c r="B239" s="1647" t="s">
        <v>9374</v>
      </c>
      <c r="C239" s="701" t="s">
        <v>7842</v>
      </c>
      <c r="D239" s="1649" t="s">
        <v>9388</v>
      </c>
      <c r="E239" s="1821">
        <v>2018</v>
      </c>
      <c r="F239" s="701" t="s">
        <v>7844</v>
      </c>
      <c r="G239" s="1820">
        <v>0</v>
      </c>
      <c r="H239" s="1820">
        <v>0</v>
      </c>
    </row>
    <row r="240" spans="1:8" ht="12.75" thickBot="1">
      <c r="A240" s="1650"/>
      <c r="B240" s="1651"/>
      <c r="C240" s="1647"/>
      <c r="D240" s="1652"/>
      <c r="E240" s="1821"/>
      <c r="F240" s="1647"/>
      <c r="G240" s="1820"/>
      <c r="H240" s="1820"/>
    </row>
    <row r="241" spans="1:10" ht="12.75" thickBot="1">
      <c r="A241" s="1653" t="s">
        <v>0</v>
      </c>
      <c r="B241" s="1654"/>
      <c r="C241" s="1823"/>
      <c r="D241" s="1823"/>
      <c r="E241" s="1823"/>
      <c r="F241" s="1823"/>
      <c r="G241" s="1824">
        <f>SUM(G217:G240)</f>
        <v>161245.1</v>
      </c>
      <c r="H241" s="1825">
        <f>SUM(H217:H240)</f>
        <v>49588.19</v>
      </c>
    </row>
    <row r="242" spans="1:10" ht="12.75" thickBot="1">
      <c r="A242" s="2043" t="s">
        <v>9394</v>
      </c>
      <c r="B242" s="2044"/>
      <c r="C242" s="2044"/>
      <c r="D242" s="2044"/>
      <c r="E242" s="2044"/>
      <c r="F242" s="2044"/>
      <c r="G242" s="2044"/>
      <c r="H242" s="2044"/>
      <c r="I242" s="2044"/>
      <c r="J242" s="2054"/>
    </row>
    <row r="243" spans="1:10">
      <c r="A243" s="1852"/>
      <c r="B243" s="1852"/>
      <c r="C243" s="1853"/>
      <c r="D243" s="1853"/>
      <c r="E243" s="1854"/>
      <c r="F243" s="1853"/>
      <c r="G243" s="1855"/>
      <c r="H243" s="1855"/>
    </row>
    <row r="244" spans="1:10">
      <c r="A244" s="1856" t="s">
        <v>32</v>
      </c>
      <c r="B244" s="1857">
        <v>475</v>
      </c>
      <c r="C244" s="1858" t="s">
        <v>9473</v>
      </c>
      <c r="D244" s="1858" t="s">
        <v>9474</v>
      </c>
      <c r="E244" s="1859">
        <v>2003</v>
      </c>
      <c r="F244" s="1858" t="s">
        <v>7844</v>
      </c>
      <c r="G244" s="1860">
        <v>0</v>
      </c>
      <c r="H244" s="1860">
        <v>0</v>
      </c>
    </row>
    <row r="245" spans="1:10">
      <c r="A245" s="1856"/>
      <c r="B245" s="1857"/>
      <c r="C245" s="1858"/>
      <c r="D245" s="1858"/>
      <c r="E245" s="1859"/>
      <c r="F245" s="1858"/>
      <c r="G245" s="1860"/>
      <c r="H245" s="1860"/>
    </row>
    <row r="246" spans="1:10">
      <c r="A246" s="1856" t="s">
        <v>33</v>
      </c>
      <c r="B246" s="1857">
        <v>475</v>
      </c>
      <c r="C246" s="1858" t="s">
        <v>9473</v>
      </c>
      <c r="D246" s="1858" t="s">
        <v>9475</v>
      </c>
      <c r="E246" s="1859" t="s">
        <v>9476</v>
      </c>
      <c r="F246" s="1858" t="s">
        <v>7844</v>
      </c>
      <c r="G246" s="1860">
        <v>179887</v>
      </c>
      <c r="H246" s="1860">
        <v>130368.33</v>
      </c>
    </row>
    <row r="247" spans="1:10">
      <c r="A247" s="1856"/>
      <c r="B247" s="1857"/>
      <c r="C247" s="1858"/>
      <c r="D247" s="1858"/>
      <c r="E247" s="1859"/>
      <c r="F247" s="1858"/>
      <c r="G247" s="1860"/>
      <c r="H247" s="1860"/>
    </row>
    <row r="248" spans="1:10" hidden="1">
      <c r="A248" s="1856" t="s">
        <v>7478</v>
      </c>
      <c r="B248" s="1857"/>
      <c r="C248" s="1858"/>
      <c r="D248" s="1858"/>
      <c r="E248" s="1859"/>
      <c r="F248" s="1858"/>
      <c r="G248" s="1860"/>
      <c r="H248" s="1860"/>
    </row>
    <row r="249" spans="1:10" hidden="1">
      <c r="A249" s="1856" t="s">
        <v>7479</v>
      </c>
      <c r="B249" s="1857"/>
      <c r="C249" s="1858"/>
      <c r="D249" s="1858"/>
      <c r="E249" s="1859"/>
      <c r="F249" s="1858"/>
      <c r="G249" s="1860"/>
      <c r="H249" s="1860"/>
    </row>
    <row r="250" spans="1:10" hidden="1">
      <c r="A250" s="1856"/>
      <c r="B250" s="1857"/>
      <c r="C250" s="1858"/>
      <c r="D250" s="1858"/>
      <c r="E250" s="1859"/>
      <c r="F250" s="1858"/>
      <c r="G250" s="1860"/>
      <c r="H250" s="1860"/>
    </row>
    <row r="251" spans="1:10">
      <c r="A251" s="1856" t="s">
        <v>34</v>
      </c>
      <c r="B251" s="1857">
        <v>475</v>
      </c>
      <c r="C251" s="1858" t="s">
        <v>9473</v>
      </c>
      <c r="D251" s="1858" t="s">
        <v>9477</v>
      </c>
      <c r="E251" s="1859" t="s">
        <v>9478</v>
      </c>
      <c r="F251" s="1858" t="s">
        <v>7844</v>
      </c>
      <c r="G251" s="1860">
        <v>5103.5600000000004</v>
      </c>
      <c r="H251" s="1860">
        <v>5103.5600000000004</v>
      </c>
    </row>
    <row r="252" spans="1:10">
      <c r="A252" s="1856"/>
      <c r="B252" s="1857"/>
      <c r="C252" s="1858"/>
      <c r="D252" s="1858"/>
      <c r="E252" s="1859"/>
      <c r="F252" s="1858"/>
      <c r="G252" s="1860"/>
      <c r="H252" s="1860"/>
    </row>
    <row r="253" spans="1:10">
      <c r="A253" s="1856" t="s">
        <v>9479</v>
      </c>
      <c r="B253" s="1857">
        <v>475</v>
      </c>
      <c r="C253" s="1858" t="s">
        <v>9473</v>
      </c>
      <c r="D253" s="1858" t="s">
        <v>9474</v>
      </c>
      <c r="E253" s="1859" t="s">
        <v>9071</v>
      </c>
      <c r="F253" s="1858" t="s">
        <v>7844</v>
      </c>
      <c r="G253" s="1860">
        <v>770590.59</v>
      </c>
      <c r="H253" s="1860">
        <v>530984.66</v>
      </c>
    </row>
    <row r="254" spans="1:10">
      <c r="A254" s="1856" t="s">
        <v>9480</v>
      </c>
      <c r="B254" s="1857">
        <v>475</v>
      </c>
      <c r="C254" s="1858" t="s">
        <v>9473</v>
      </c>
      <c r="D254" s="1858" t="s">
        <v>9481</v>
      </c>
      <c r="E254" s="1859" t="s">
        <v>9482</v>
      </c>
      <c r="F254" s="1858" t="s">
        <v>7844</v>
      </c>
      <c r="G254" s="1860">
        <v>22063.73</v>
      </c>
      <c r="H254" s="1860">
        <v>5675.33</v>
      </c>
    </row>
    <row r="255" spans="1:10">
      <c r="A255" s="1861" t="s">
        <v>9483</v>
      </c>
      <c r="B255" s="1862">
        <v>475</v>
      </c>
      <c r="C255" s="1863" t="s">
        <v>9473</v>
      </c>
      <c r="D255" s="1864" t="s">
        <v>9484</v>
      </c>
      <c r="E255" s="1865" t="s">
        <v>9485</v>
      </c>
      <c r="F255" s="1863" t="s">
        <v>7844</v>
      </c>
      <c r="G255" s="1866">
        <v>582.21</v>
      </c>
      <c r="H255" s="1866">
        <v>582.21</v>
      </c>
    </row>
    <row r="256" spans="1:10" ht="12.75" thickBot="1">
      <c r="A256" s="1867" t="s">
        <v>0</v>
      </c>
      <c r="B256" s="1868"/>
      <c r="C256" s="1869"/>
      <c r="D256" s="1869"/>
      <c r="E256" s="1869"/>
      <c r="F256" s="1869"/>
      <c r="G256" s="1869"/>
      <c r="H256" s="1870">
        <f>SUM(H244:H255)</f>
        <v>672714.09</v>
      </c>
    </row>
    <row r="257" spans="1:10" ht="12.75" thickBot="1">
      <c r="A257" s="2043" t="s">
        <v>9486</v>
      </c>
      <c r="B257" s="2044"/>
      <c r="C257" s="2044"/>
      <c r="D257" s="2044"/>
      <c r="E257" s="2044"/>
      <c r="F257" s="2044"/>
      <c r="G257" s="2044"/>
      <c r="H257" s="2044"/>
      <c r="I257" s="2044"/>
      <c r="J257" s="2054"/>
    </row>
    <row r="258" spans="1:10">
      <c r="A258" s="1641"/>
      <c r="B258" s="1642"/>
      <c r="C258" s="701"/>
      <c r="D258" s="1649"/>
      <c r="E258" s="1755"/>
      <c r="F258" s="701"/>
      <c r="G258" s="701"/>
      <c r="H258" s="701"/>
    </row>
    <row r="259" spans="1:10">
      <c r="A259" s="702" t="s">
        <v>32</v>
      </c>
      <c r="B259" s="1881" t="s">
        <v>9592</v>
      </c>
      <c r="C259" s="701" t="s">
        <v>7842</v>
      </c>
      <c r="D259" s="1649" t="s">
        <v>9593</v>
      </c>
      <c r="E259" s="1755" t="s">
        <v>9594</v>
      </c>
      <c r="F259" s="701" t="s">
        <v>7844</v>
      </c>
      <c r="G259" s="701">
        <v>0</v>
      </c>
      <c r="H259" s="701">
        <v>0</v>
      </c>
    </row>
    <row r="260" spans="1:10">
      <c r="A260" s="702"/>
      <c r="B260" s="1647"/>
      <c r="C260" s="701"/>
      <c r="D260" s="1649"/>
      <c r="E260" s="1755"/>
      <c r="F260" s="701"/>
      <c r="G260" s="701"/>
      <c r="H260" s="701"/>
    </row>
    <row r="261" spans="1:10">
      <c r="A261" s="702" t="s">
        <v>33</v>
      </c>
      <c r="B261" s="1881" t="s">
        <v>9592</v>
      </c>
      <c r="C261" s="701" t="s">
        <v>7842</v>
      </c>
      <c r="D261" s="1649" t="s">
        <v>9595</v>
      </c>
      <c r="E261" s="1755" t="s">
        <v>9594</v>
      </c>
      <c r="F261" s="701" t="s">
        <v>7844</v>
      </c>
      <c r="G261" s="701">
        <v>486</v>
      </c>
      <c r="H261" s="701">
        <v>104</v>
      </c>
    </row>
    <row r="262" spans="1:10" ht="12.75" thickBot="1">
      <c r="A262" s="702"/>
      <c r="B262" s="1647"/>
      <c r="C262" s="701"/>
      <c r="D262" s="1649"/>
      <c r="E262" s="1755"/>
      <c r="F262" s="701"/>
      <c r="G262" s="701"/>
      <c r="H262" s="701"/>
    </row>
    <row r="263" spans="1:10" hidden="1">
      <c r="A263" s="702" t="s">
        <v>7478</v>
      </c>
      <c r="B263" s="1647"/>
      <c r="C263" s="701"/>
      <c r="D263" s="1649"/>
      <c r="E263" s="1755"/>
      <c r="F263" s="701"/>
      <c r="G263" s="701"/>
      <c r="H263" s="701"/>
    </row>
    <row r="264" spans="1:10" hidden="1">
      <c r="A264" s="702" t="s">
        <v>7479</v>
      </c>
      <c r="B264" s="1647"/>
      <c r="C264" s="701"/>
      <c r="D264" s="1649"/>
      <c r="E264" s="1755"/>
      <c r="F264" s="701"/>
      <c r="G264" s="701"/>
      <c r="H264" s="701"/>
    </row>
    <row r="265" spans="1:10" hidden="1">
      <c r="A265" s="702"/>
      <c r="B265" s="1647"/>
      <c r="C265" s="701"/>
      <c r="D265" s="1649"/>
      <c r="E265" s="1755"/>
      <c r="F265" s="701"/>
      <c r="G265" s="701"/>
      <c r="H265" s="701"/>
    </row>
    <row r="266" spans="1:10" hidden="1">
      <c r="A266" s="702" t="s">
        <v>34</v>
      </c>
      <c r="B266" s="1647"/>
      <c r="C266" s="1785"/>
      <c r="D266" s="1786"/>
      <c r="E266" s="1787"/>
      <c r="F266" s="1785"/>
      <c r="G266" s="701"/>
      <c r="H266" s="701"/>
    </row>
    <row r="267" spans="1:10" hidden="1">
      <c r="A267" s="702"/>
      <c r="B267" s="1647"/>
      <c r="C267" s="701"/>
      <c r="D267" s="1649"/>
      <c r="E267" s="1755"/>
      <c r="F267" s="701"/>
      <c r="G267" s="701"/>
      <c r="H267" s="701"/>
    </row>
    <row r="268" spans="1:10" hidden="1">
      <c r="A268" s="702" t="s">
        <v>35</v>
      </c>
      <c r="B268" s="1647"/>
      <c r="C268" s="701"/>
      <c r="D268" s="1649"/>
      <c r="E268" s="1755"/>
      <c r="F268" s="701"/>
      <c r="G268" s="701"/>
      <c r="H268" s="701"/>
    </row>
    <row r="269" spans="1:10" hidden="1">
      <c r="A269" s="702"/>
      <c r="B269" s="1647"/>
      <c r="C269" s="701"/>
      <c r="D269" s="1649"/>
      <c r="E269" s="1755"/>
      <c r="F269" s="701"/>
      <c r="G269" s="701"/>
      <c r="H269" s="701"/>
    </row>
    <row r="270" spans="1:10" hidden="1">
      <c r="A270" s="702" t="s">
        <v>36</v>
      </c>
      <c r="B270" s="1647"/>
      <c r="C270" s="701"/>
      <c r="D270" s="1649"/>
      <c r="E270" s="1755"/>
      <c r="F270" s="701"/>
      <c r="G270" s="701"/>
      <c r="H270" s="701"/>
    </row>
    <row r="271" spans="1:10" hidden="1">
      <c r="A271" s="702" t="s">
        <v>37</v>
      </c>
      <c r="B271" s="1647"/>
      <c r="C271" s="701"/>
      <c r="D271" s="1649"/>
      <c r="E271" s="1755"/>
      <c r="F271" s="701"/>
      <c r="G271" s="701"/>
      <c r="H271" s="701"/>
    </row>
    <row r="272" spans="1:10" hidden="1">
      <c r="A272" s="702" t="s">
        <v>7485</v>
      </c>
      <c r="B272" s="1647"/>
      <c r="C272" s="701"/>
      <c r="D272" s="1649"/>
      <c r="E272" s="1755"/>
      <c r="F272" s="701"/>
      <c r="G272" s="701"/>
      <c r="H272" s="701"/>
    </row>
    <row r="273" spans="1:8" hidden="1">
      <c r="A273" s="702" t="s">
        <v>7486</v>
      </c>
      <c r="B273" s="1647"/>
      <c r="C273" s="701"/>
      <c r="D273" s="1649"/>
      <c r="E273" s="1755"/>
      <c r="F273" s="701"/>
      <c r="G273" s="701"/>
      <c r="H273" s="701"/>
    </row>
    <row r="274" spans="1:8" hidden="1">
      <c r="A274" s="702" t="s">
        <v>7487</v>
      </c>
      <c r="B274" s="1647"/>
      <c r="C274" s="701"/>
      <c r="D274" s="1649"/>
      <c r="E274" s="1755"/>
      <c r="F274" s="701"/>
      <c r="G274" s="701"/>
      <c r="H274" s="701"/>
    </row>
    <row r="275" spans="1:8" hidden="1">
      <c r="A275" s="702" t="s">
        <v>7488</v>
      </c>
      <c r="B275" s="1647"/>
      <c r="C275" s="701"/>
      <c r="D275" s="1649"/>
      <c r="E275" s="1755"/>
      <c r="F275" s="701"/>
      <c r="G275" s="701"/>
      <c r="H275" s="701"/>
    </row>
    <row r="276" spans="1:8" ht="12.75" hidden="1" thickBot="1">
      <c r="A276" s="1650"/>
      <c r="B276" s="1651"/>
      <c r="C276" s="1647"/>
      <c r="D276" s="1652"/>
      <c r="E276" s="702"/>
      <c r="F276" s="1647"/>
      <c r="G276" s="1647"/>
      <c r="H276" s="1647"/>
    </row>
    <row r="277" spans="1:8" ht="12.75" thickBot="1">
      <c r="A277" s="1653" t="s">
        <v>0</v>
      </c>
      <c r="B277" s="1654"/>
      <c r="C277" s="1655"/>
      <c r="D277" s="1655"/>
      <c r="E277" s="1655"/>
      <c r="F277" s="1655"/>
      <c r="G277" s="1655"/>
      <c r="H277" s="1788"/>
    </row>
    <row r="278" spans="1:8">
      <c r="A278" s="355" t="s">
        <v>475</v>
      </c>
    </row>
    <row r="279" spans="1:8">
      <c r="A279" s="355" t="s">
        <v>476</v>
      </c>
    </row>
  </sheetData>
  <mergeCells count="17">
    <mergeCell ref="A216:J216"/>
    <mergeCell ref="A242:J242"/>
    <mergeCell ref="A257:J257"/>
    <mergeCell ref="A175:H175"/>
    <mergeCell ref="A159:H159"/>
    <mergeCell ref="A195:J195"/>
    <mergeCell ref="A174:F174"/>
    <mergeCell ref="A164:H164"/>
    <mergeCell ref="A27:H27"/>
    <mergeCell ref="A50:H50"/>
    <mergeCell ref="A73:H73"/>
    <mergeCell ref="A124:H124"/>
    <mergeCell ref="C4:H4"/>
    <mergeCell ref="B4:B5"/>
    <mergeCell ref="A4:A5"/>
    <mergeCell ref="A7:H7"/>
    <mergeCell ref="A6:J6"/>
  </mergeCells>
  <printOptions horizontalCentered="1"/>
  <pageMargins left="0.19685039370078741" right="0.19685039370078741" top="0.78740157480314965" bottom="0.78740157480314965" header="0.19685039370078741" footer="0.19685039370078741"/>
  <pageSetup paperSize="9" scale="81" fitToHeight="100" orientation="landscape" r:id="rId1"/>
  <headerFooter alignWithMargins="0">
    <oddHeader>&amp;C&amp;"Arial,Negrita"&amp;18FORMATOS DEL PROYECTO DE PRESUPUESTO 2021</oddHeader>
    <oddFooter>&amp;L&amp;"Arial,Negrita"&amp;8PROYECTO DE PRESUPUESTO PARA EL AÑO FISCAL 2021
INFORMACIÓN PARA LA COMISIÓN DE PRESUPUESTO Y CUENTA GENERAL DE LA REPÚBLICA DEL CONGRESO DE LA REPÚBLICA</oddFooter>
  </headerFooter>
  <colBreaks count="1" manualBreakCount="1">
    <brk id="8"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2060"/>
    <pageSetUpPr fitToPage="1"/>
  </sheetPr>
  <dimension ref="A1:V478"/>
  <sheetViews>
    <sheetView view="pageBreakPreview" zoomScaleNormal="100" zoomScaleSheetLayoutView="100" workbookViewId="0">
      <selection activeCell="B8" sqref="B8"/>
    </sheetView>
  </sheetViews>
  <sheetFormatPr baseColWidth="10" defaultColWidth="11.42578125" defaultRowHeight="12"/>
  <cols>
    <col min="1" max="1" width="13.140625" style="265" customWidth="1"/>
    <col min="2" max="2" width="9.140625" style="265" customWidth="1"/>
    <col min="3" max="3" width="10.140625" style="265" customWidth="1"/>
    <col min="4" max="4" width="20.7109375" style="1152" customWidth="1"/>
    <col min="5" max="5" width="10.7109375" style="265" customWidth="1"/>
    <col min="6" max="6" width="9" style="265" bestFit="1" customWidth="1"/>
    <col min="7" max="7" width="35.7109375" style="1152" customWidth="1"/>
    <col min="8" max="8" width="20.7109375" style="265" customWidth="1"/>
    <col min="9" max="9" width="35.7109375" style="1152" customWidth="1"/>
    <col min="10" max="10" width="20.7109375" style="265" customWidth="1"/>
    <col min="11" max="11" width="7.7109375" style="276" bestFit="1" customWidth="1"/>
    <col min="12" max="12" width="5.42578125" style="276" bestFit="1" customWidth="1"/>
    <col min="13" max="13" width="13.140625" style="413" bestFit="1" customWidth="1"/>
    <col min="14" max="14" width="7.7109375" style="265" bestFit="1" customWidth="1"/>
    <col min="15" max="15" width="5.42578125" style="265" bestFit="1" customWidth="1"/>
    <col min="16" max="16" width="13.140625" style="413" bestFit="1" customWidth="1"/>
    <col min="17" max="16384" width="11.42578125" style="265"/>
  </cols>
  <sheetData>
    <row r="1" spans="1:22" s="275" customFormat="1">
      <c r="A1" s="275" t="s">
        <v>473</v>
      </c>
      <c r="D1" s="1133"/>
      <c r="G1" s="1133"/>
      <c r="I1" s="1133"/>
      <c r="M1" s="411"/>
      <c r="P1" s="411"/>
    </row>
    <row r="2" spans="1:22" s="264" customFormat="1">
      <c r="A2" s="69" t="s">
        <v>1655</v>
      </c>
      <c r="B2" s="69"/>
      <c r="C2" s="69"/>
      <c r="D2" s="352"/>
      <c r="E2" s="69"/>
      <c r="F2" s="69"/>
      <c r="G2" s="352"/>
      <c r="H2" s="69"/>
      <c r="I2" s="352"/>
      <c r="J2" s="69"/>
      <c r="K2" s="69"/>
      <c r="L2" s="69"/>
      <c r="M2" s="406"/>
      <c r="N2" s="69"/>
      <c r="O2" s="69"/>
      <c r="P2" s="406"/>
      <c r="Q2" s="69"/>
      <c r="R2" s="69"/>
      <c r="S2" s="69"/>
      <c r="T2" s="69"/>
      <c r="U2" s="69"/>
      <c r="V2" s="69"/>
    </row>
    <row r="3" spans="1:22" s="264" customFormat="1">
      <c r="A3" s="742" t="s">
        <v>1654</v>
      </c>
      <c r="B3" s="69"/>
      <c r="C3" s="69"/>
      <c r="D3" s="352"/>
      <c r="E3" s="69"/>
      <c r="F3" s="69"/>
      <c r="G3" s="352"/>
      <c r="H3" s="69"/>
      <c r="I3" s="352"/>
      <c r="J3" s="69"/>
      <c r="K3" s="69"/>
      <c r="L3" s="69"/>
      <c r="M3" s="406"/>
      <c r="N3" s="69"/>
      <c r="O3" s="69"/>
      <c r="P3" s="406"/>
      <c r="Q3" s="69"/>
      <c r="R3" s="69"/>
      <c r="S3" s="69"/>
      <c r="T3" s="69"/>
      <c r="U3" s="69"/>
      <c r="V3" s="69"/>
    </row>
    <row r="4" spans="1:22" ht="12.75" thickBot="1">
      <c r="A4" s="742" t="s">
        <v>1653</v>
      </c>
    </row>
    <row r="5" spans="1:22" s="277" customFormat="1" ht="12.75" thickBot="1">
      <c r="A5" s="2024" t="s">
        <v>131</v>
      </c>
      <c r="B5" s="2069"/>
      <c r="C5" s="2069"/>
      <c r="D5" s="2069"/>
      <c r="E5" s="2025"/>
      <c r="F5" s="2070" t="s">
        <v>132</v>
      </c>
      <c r="G5" s="2071"/>
      <c r="H5" s="2072"/>
      <c r="I5" s="2072"/>
      <c r="J5" s="2073"/>
      <c r="K5" s="2074" t="s">
        <v>1652</v>
      </c>
      <c r="L5" s="2075"/>
      <c r="M5" s="2076"/>
      <c r="N5" s="2074" t="s">
        <v>1651</v>
      </c>
      <c r="O5" s="2075"/>
      <c r="P5" s="2076"/>
    </row>
    <row r="6" spans="1:22" s="278" customFormat="1" ht="78" thickBot="1">
      <c r="A6" s="401" t="s">
        <v>94</v>
      </c>
      <c r="B6" s="139" t="s">
        <v>8</v>
      </c>
      <c r="C6" s="139" t="s">
        <v>91</v>
      </c>
      <c r="D6" s="402" t="s">
        <v>95</v>
      </c>
      <c r="E6" s="404" t="s">
        <v>115</v>
      </c>
      <c r="F6" s="401" t="s">
        <v>119</v>
      </c>
      <c r="G6" s="402" t="s">
        <v>120</v>
      </c>
      <c r="H6" s="402" t="s">
        <v>134</v>
      </c>
      <c r="I6" s="139" t="s">
        <v>135</v>
      </c>
      <c r="J6" s="399" t="s">
        <v>124</v>
      </c>
      <c r="K6" s="443" t="s">
        <v>121</v>
      </c>
      <c r="L6" s="140" t="s">
        <v>122</v>
      </c>
      <c r="M6" s="1153" t="s">
        <v>123</v>
      </c>
      <c r="N6" s="443" t="s">
        <v>121</v>
      </c>
      <c r="O6" s="140" t="s">
        <v>122</v>
      </c>
      <c r="P6" s="1153" t="s">
        <v>123</v>
      </c>
    </row>
    <row r="7" spans="1:22" s="1154" customFormat="1" ht="24">
      <c r="A7" s="1098" t="s">
        <v>506</v>
      </c>
      <c r="B7" s="1099" t="s">
        <v>505</v>
      </c>
      <c r="C7" s="1099" t="s">
        <v>1562</v>
      </c>
      <c r="D7" s="1100" t="s">
        <v>1650</v>
      </c>
      <c r="E7" s="1101">
        <v>12000</v>
      </c>
      <c r="F7" s="1099">
        <v>40831661</v>
      </c>
      <c r="G7" s="1100" t="s">
        <v>1649</v>
      </c>
      <c r="H7" s="1099" t="s">
        <v>508</v>
      </c>
      <c r="I7" s="1102" t="s">
        <v>1559</v>
      </c>
      <c r="J7" s="1099" t="s">
        <v>1575</v>
      </c>
      <c r="K7" s="1103" t="s">
        <v>562</v>
      </c>
      <c r="L7" s="1103" t="s">
        <v>556</v>
      </c>
      <c r="M7" s="1104">
        <f>400*29+12000*7</f>
        <v>95600</v>
      </c>
      <c r="N7" s="1099">
        <v>1</v>
      </c>
      <c r="O7" s="1099">
        <v>6</v>
      </c>
      <c r="P7" s="1105">
        <f>+E7*6</f>
        <v>72000</v>
      </c>
    </row>
    <row r="8" spans="1:22" s="1154" customFormat="1" ht="84">
      <c r="A8" s="1098" t="s">
        <v>506</v>
      </c>
      <c r="B8" s="1099" t="s">
        <v>505</v>
      </c>
      <c r="C8" s="1099" t="s">
        <v>1562</v>
      </c>
      <c r="D8" s="1100" t="s">
        <v>1648</v>
      </c>
      <c r="E8" s="1101">
        <v>7000</v>
      </c>
      <c r="F8" s="1099" t="s">
        <v>1647</v>
      </c>
      <c r="G8" s="1100" t="s">
        <v>1646</v>
      </c>
      <c r="H8" s="1099" t="s">
        <v>1645</v>
      </c>
      <c r="I8" s="1102" t="s">
        <v>1644</v>
      </c>
      <c r="J8" s="1099" t="s">
        <v>1617</v>
      </c>
      <c r="K8" s="1103" t="s">
        <v>773</v>
      </c>
      <c r="L8" s="1103" t="s">
        <v>773</v>
      </c>
      <c r="M8" s="1104">
        <v>0</v>
      </c>
      <c r="N8" s="1099">
        <v>1</v>
      </c>
      <c r="O8" s="1099">
        <v>2</v>
      </c>
      <c r="P8" s="1105">
        <f>7000/30*18+7000/30*19</f>
        <v>8633.3333333333339</v>
      </c>
    </row>
    <row r="9" spans="1:22" s="1154" customFormat="1" ht="48">
      <c r="A9" s="1098" t="s">
        <v>506</v>
      </c>
      <c r="B9" s="1099" t="s">
        <v>505</v>
      </c>
      <c r="C9" s="1099" t="s">
        <v>1562</v>
      </c>
      <c r="D9" s="1100" t="s">
        <v>1643</v>
      </c>
      <c r="E9" s="1101">
        <v>15600</v>
      </c>
      <c r="F9" s="1099" t="s">
        <v>1642</v>
      </c>
      <c r="G9" s="1100" t="s">
        <v>1641</v>
      </c>
      <c r="H9" s="1099" t="s">
        <v>704</v>
      </c>
      <c r="I9" s="1102" t="s">
        <v>1640</v>
      </c>
      <c r="J9" s="1099" t="s">
        <v>759</v>
      </c>
      <c r="K9" s="1103" t="s">
        <v>562</v>
      </c>
      <c r="L9" s="1103" t="s">
        <v>497</v>
      </c>
      <c r="M9" s="1104">
        <f>+E9*12</f>
        <v>187200</v>
      </c>
      <c r="N9" s="1099">
        <v>1</v>
      </c>
      <c r="O9" s="1099">
        <v>6</v>
      </c>
      <c r="P9" s="1105">
        <f>+E9*6</f>
        <v>93600</v>
      </c>
    </row>
    <row r="10" spans="1:22" s="1154" customFormat="1" ht="36">
      <c r="A10" s="1098" t="s">
        <v>506</v>
      </c>
      <c r="B10" s="1099" t="s">
        <v>505</v>
      </c>
      <c r="C10" s="1099" t="s">
        <v>1562</v>
      </c>
      <c r="D10" s="1100" t="s">
        <v>1630</v>
      </c>
      <c r="E10" s="1101">
        <v>7000</v>
      </c>
      <c r="F10" s="1099" t="s">
        <v>1453</v>
      </c>
      <c r="G10" s="1100" t="s">
        <v>1639</v>
      </c>
      <c r="H10" s="1099" t="s">
        <v>534</v>
      </c>
      <c r="I10" s="1102" t="s">
        <v>1592</v>
      </c>
      <c r="J10" s="1099" t="s">
        <v>1585</v>
      </c>
      <c r="K10" s="1103" t="s">
        <v>498</v>
      </c>
      <c r="L10" s="1103">
        <v>7</v>
      </c>
      <c r="M10" s="1104">
        <f>7000*7</f>
        <v>49000</v>
      </c>
      <c r="N10" s="1099">
        <v>0</v>
      </c>
      <c r="O10" s="1099">
        <v>0</v>
      </c>
      <c r="P10" s="1105">
        <v>0</v>
      </c>
    </row>
    <row r="11" spans="1:22" s="1154" customFormat="1" ht="108">
      <c r="A11" s="1098" t="s">
        <v>506</v>
      </c>
      <c r="B11" s="1099" t="s">
        <v>505</v>
      </c>
      <c r="C11" s="1099" t="s">
        <v>1562</v>
      </c>
      <c r="D11" s="1100" t="s">
        <v>1638</v>
      </c>
      <c r="E11" s="1101">
        <v>12500</v>
      </c>
      <c r="F11" s="1099">
        <v>31039434</v>
      </c>
      <c r="G11" s="1100" t="s">
        <v>1635</v>
      </c>
      <c r="H11" s="1099" t="s">
        <v>508</v>
      </c>
      <c r="I11" s="1102" t="s">
        <v>1634</v>
      </c>
      <c r="J11" s="1099" t="s">
        <v>1319</v>
      </c>
      <c r="K11" s="1103" t="s">
        <v>498</v>
      </c>
      <c r="L11" s="1103" t="s">
        <v>828</v>
      </c>
      <c r="M11" s="1104">
        <f>12500*7</f>
        <v>87500</v>
      </c>
      <c r="N11" s="1099">
        <v>0</v>
      </c>
      <c r="O11" s="1099">
        <v>0</v>
      </c>
      <c r="P11" s="1105">
        <v>0</v>
      </c>
    </row>
    <row r="12" spans="1:22" s="1154" customFormat="1" ht="24">
      <c r="A12" s="1098" t="s">
        <v>506</v>
      </c>
      <c r="B12" s="1099" t="s">
        <v>505</v>
      </c>
      <c r="C12" s="1099" t="s">
        <v>1562</v>
      </c>
      <c r="D12" s="1100" t="s">
        <v>1637</v>
      </c>
      <c r="E12" s="1101">
        <v>12500</v>
      </c>
      <c r="F12" s="1099">
        <v>31039434</v>
      </c>
      <c r="G12" s="1100" t="s">
        <v>1635</v>
      </c>
      <c r="H12" s="1099" t="s">
        <v>508</v>
      </c>
      <c r="I12" s="1102" t="s">
        <v>1634</v>
      </c>
      <c r="J12" s="1099" t="s">
        <v>1319</v>
      </c>
      <c r="K12" s="1103" t="s">
        <v>664</v>
      </c>
      <c r="L12" s="1103" t="s">
        <v>498</v>
      </c>
      <c r="M12" s="1104">
        <f>7916.67+12500+416.666666666667*5</f>
        <v>22500.003333333334</v>
      </c>
      <c r="N12" s="1099">
        <v>0</v>
      </c>
      <c r="O12" s="1099">
        <v>0</v>
      </c>
      <c r="P12" s="1105">
        <v>0</v>
      </c>
    </row>
    <row r="13" spans="1:22" s="1154" customFormat="1" ht="24">
      <c r="A13" s="1098" t="s">
        <v>506</v>
      </c>
      <c r="B13" s="1099" t="s">
        <v>505</v>
      </c>
      <c r="C13" s="1099" t="s">
        <v>1562</v>
      </c>
      <c r="D13" s="1100" t="s">
        <v>1636</v>
      </c>
      <c r="E13" s="1101">
        <v>12500</v>
      </c>
      <c r="F13" s="1099">
        <v>31039434</v>
      </c>
      <c r="G13" s="1100" t="s">
        <v>1635</v>
      </c>
      <c r="H13" s="1099" t="s">
        <v>508</v>
      </c>
      <c r="I13" s="1102" t="s">
        <v>1634</v>
      </c>
      <c r="J13" s="1099" t="s">
        <v>1319</v>
      </c>
      <c r="K13" s="1103" t="s">
        <v>664</v>
      </c>
      <c r="L13" s="1103" t="s">
        <v>563</v>
      </c>
      <c r="M13" s="1104">
        <f>416.666666666667*25+12500</f>
        <v>22916.666666666675</v>
      </c>
      <c r="N13" s="1099">
        <v>2</v>
      </c>
      <c r="O13" s="1099">
        <v>6</v>
      </c>
      <c r="P13" s="1105">
        <f>+E13*6</f>
        <v>75000</v>
      </c>
    </row>
    <row r="14" spans="1:22" s="1154" customFormat="1" ht="24">
      <c r="A14" s="1098" t="s">
        <v>506</v>
      </c>
      <c r="B14" s="1099" t="s">
        <v>505</v>
      </c>
      <c r="C14" s="1099" t="s">
        <v>1562</v>
      </c>
      <c r="D14" s="1100" t="s">
        <v>1633</v>
      </c>
      <c r="E14" s="1101">
        <v>12000</v>
      </c>
      <c r="F14" s="1099" t="s">
        <v>1398</v>
      </c>
      <c r="G14" s="1100" t="s">
        <v>1632</v>
      </c>
      <c r="H14" s="1099" t="s">
        <v>508</v>
      </c>
      <c r="I14" s="1102" t="s">
        <v>1631</v>
      </c>
      <c r="J14" s="1099" t="s">
        <v>1575</v>
      </c>
      <c r="K14" s="1103" t="s">
        <v>562</v>
      </c>
      <c r="L14" s="1103" t="s">
        <v>497</v>
      </c>
      <c r="M14" s="1104">
        <f>+E14*12</f>
        <v>144000</v>
      </c>
      <c r="N14" s="1099">
        <v>1</v>
      </c>
      <c r="O14" s="1099">
        <v>1</v>
      </c>
      <c r="P14" s="1105">
        <f>+E14/30*24</f>
        <v>9600</v>
      </c>
    </row>
    <row r="15" spans="1:22" s="1154" customFormat="1" ht="36">
      <c r="A15" s="1098" t="s">
        <v>506</v>
      </c>
      <c r="B15" s="1099" t="s">
        <v>505</v>
      </c>
      <c r="C15" s="1099" t="s">
        <v>1562</v>
      </c>
      <c r="D15" s="1100" t="s">
        <v>1630</v>
      </c>
      <c r="E15" s="1101">
        <v>15600</v>
      </c>
      <c r="F15" s="1099" t="s">
        <v>1629</v>
      </c>
      <c r="G15" s="1100" t="s">
        <v>1628</v>
      </c>
      <c r="H15" s="1099" t="s">
        <v>508</v>
      </c>
      <c r="I15" s="1102" t="s">
        <v>1559</v>
      </c>
      <c r="J15" s="1099" t="s">
        <v>1575</v>
      </c>
      <c r="K15" s="1103" t="s">
        <v>562</v>
      </c>
      <c r="L15" s="1103" t="s">
        <v>497</v>
      </c>
      <c r="M15" s="1104">
        <f>+E15*12</f>
        <v>187200</v>
      </c>
      <c r="N15" s="1099">
        <v>2</v>
      </c>
      <c r="O15" s="1099">
        <v>6</v>
      </c>
      <c r="P15" s="1105">
        <f>+E15*6</f>
        <v>93600</v>
      </c>
    </row>
    <row r="16" spans="1:22" s="1154" customFormat="1" ht="24">
      <c r="A16" s="1098" t="s">
        <v>506</v>
      </c>
      <c r="B16" s="1099" t="s">
        <v>505</v>
      </c>
      <c r="C16" s="1099" t="s">
        <v>1562</v>
      </c>
      <c r="D16" s="1100" t="s">
        <v>1627</v>
      </c>
      <c r="E16" s="1101">
        <v>8000</v>
      </c>
      <c r="F16" s="1099">
        <v>45087973</v>
      </c>
      <c r="G16" s="1100" t="s">
        <v>1626</v>
      </c>
      <c r="H16" s="1099" t="s">
        <v>543</v>
      </c>
      <c r="I16" s="1102" t="s">
        <v>1139</v>
      </c>
      <c r="J16" s="1099" t="s">
        <v>1625</v>
      </c>
      <c r="K16" s="1103" t="s">
        <v>773</v>
      </c>
      <c r="L16" s="1103" t="s">
        <v>773</v>
      </c>
      <c r="M16" s="1104">
        <v>0</v>
      </c>
      <c r="N16" s="1099"/>
      <c r="O16" s="1099"/>
      <c r="P16" s="1105"/>
    </row>
    <row r="17" spans="1:16" s="1154" customFormat="1" ht="48">
      <c r="A17" s="1098" t="s">
        <v>506</v>
      </c>
      <c r="B17" s="1099" t="s">
        <v>505</v>
      </c>
      <c r="C17" s="1099" t="s">
        <v>1562</v>
      </c>
      <c r="D17" s="1100" t="s">
        <v>1624</v>
      </c>
      <c r="E17" s="1101">
        <v>15600</v>
      </c>
      <c r="F17" s="1099">
        <v>43332236</v>
      </c>
      <c r="G17" s="1100" t="s">
        <v>1623</v>
      </c>
      <c r="H17" s="1099" t="s">
        <v>1622</v>
      </c>
      <c r="I17" s="1102" t="s">
        <v>1621</v>
      </c>
      <c r="J17" s="1099" t="s">
        <v>1620</v>
      </c>
      <c r="K17" s="1103" t="s">
        <v>773</v>
      </c>
      <c r="L17" s="1103" t="s">
        <v>773</v>
      </c>
      <c r="M17" s="1104">
        <v>0</v>
      </c>
      <c r="N17" s="1099"/>
      <c r="O17" s="1099"/>
      <c r="P17" s="1105"/>
    </row>
    <row r="18" spans="1:16" s="1154" customFormat="1" ht="60">
      <c r="A18" s="1098" t="s">
        <v>506</v>
      </c>
      <c r="B18" s="1099" t="s">
        <v>505</v>
      </c>
      <c r="C18" s="1099" t="s">
        <v>1562</v>
      </c>
      <c r="D18" s="1100" t="s">
        <v>1595</v>
      </c>
      <c r="E18" s="1101">
        <v>7000</v>
      </c>
      <c r="F18" s="1099">
        <v>43753730</v>
      </c>
      <c r="G18" s="1100" t="s">
        <v>1619</v>
      </c>
      <c r="H18" s="1099" t="s">
        <v>534</v>
      </c>
      <c r="I18" s="1102" t="s">
        <v>1618</v>
      </c>
      <c r="J18" s="1099" t="s">
        <v>1617</v>
      </c>
      <c r="K18" s="1103" t="s">
        <v>773</v>
      </c>
      <c r="L18" s="1103" t="s">
        <v>773</v>
      </c>
      <c r="M18" s="1104">
        <v>0</v>
      </c>
      <c r="N18" s="1099">
        <v>1</v>
      </c>
      <c r="O18" s="1099">
        <v>1</v>
      </c>
      <c r="P18" s="1105">
        <f>+E18/30*7</f>
        <v>1633.3333333333335</v>
      </c>
    </row>
    <row r="19" spans="1:16" s="1154" customFormat="1" ht="36">
      <c r="A19" s="1098" t="s">
        <v>506</v>
      </c>
      <c r="B19" s="1099" t="s">
        <v>505</v>
      </c>
      <c r="C19" s="1099" t="s">
        <v>1562</v>
      </c>
      <c r="D19" s="1100" t="s">
        <v>1616</v>
      </c>
      <c r="E19" s="1101">
        <v>7200</v>
      </c>
      <c r="F19" s="1099">
        <v>40732919</v>
      </c>
      <c r="G19" s="1100" t="s">
        <v>1615</v>
      </c>
      <c r="H19" s="1099" t="s">
        <v>1614</v>
      </c>
      <c r="I19" s="1102" t="s">
        <v>1613</v>
      </c>
      <c r="J19" s="1099" t="s">
        <v>1612</v>
      </c>
      <c r="K19" s="1103" t="s">
        <v>562</v>
      </c>
      <c r="L19" s="1103" t="s">
        <v>497</v>
      </c>
      <c r="M19" s="1104">
        <f>+E19*12</f>
        <v>86400</v>
      </c>
      <c r="N19" s="1099">
        <v>2</v>
      </c>
      <c r="O19" s="1099">
        <v>6</v>
      </c>
      <c r="P19" s="1105">
        <f>+E19*6</f>
        <v>43200</v>
      </c>
    </row>
    <row r="20" spans="1:16" s="1154" customFormat="1" ht="36">
      <c r="A20" s="1098" t="s">
        <v>506</v>
      </c>
      <c r="B20" s="1099" t="s">
        <v>505</v>
      </c>
      <c r="C20" s="1099" t="s">
        <v>1562</v>
      </c>
      <c r="D20" s="1100" t="s">
        <v>1611</v>
      </c>
      <c r="E20" s="1101">
        <v>7200</v>
      </c>
      <c r="F20" s="1099" t="s">
        <v>1610</v>
      </c>
      <c r="G20" s="1100" t="s">
        <v>1609</v>
      </c>
      <c r="H20" s="1099" t="s">
        <v>1608</v>
      </c>
      <c r="I20" s="1102" t="s">
        <v>1582</v>
      </c>
      <c r="J20" s="1099" t="s">
        <v>1607</v>
      </c>
      <c r="K20" s="1103" t="s">
        <v>562</v>
      </c>
      <c r="L20" s="1103" t="s">
        <v>687</v>
      </c>
      <c r="M20" s="1104">
        <f>+E20*12</f>
        <v>86400</v>
      </c>
      <c r="N20" s="1099">
        <v>2</v>
      </c>
      <c r="O20" s="1099">
        <v>6</v>
      </c>
      <c r="P20" s="1105">
        <f>+E20*6</f>
        <v>43200</v>
      </c>
    </row>
    <row r="21" spans="1:16" s="1154" customFormat="1" ht="60">
      <c r="A21" s="1098" t="s">
        <v>506</v>
      </c>
      <c r="B21" s="1099" t="s">
        <v>505</v>
      </c>
      <c r="C21" s="1099" t="s">
        <v>1562</v>
      </c>
      <c r="D21" s="1100" t="s">
        <v>1570</v>
      </c>
      <c r="E21" s="1101">
        <v>7200</v>
      </c>
      <c r="F21" s="1099">
        <v>43289053</v>
      </c>
      <c r="G21" s="1100" t="s">
        <v>1606</v>
      </c>
      <c r="H21" s="1099" t="s">
        <v>1605</v>
      </c>
      <c r="I21" s="1102" t="s">
        <v>1604</v>
      </c>
      <c r="J21" s="1099" t="s">
        <v>1603</v>
      </c>
      <c r="K21" s="1103" t="s">
        <v>773</v>
      </c>
      <c r="L21" s="1103" t="s">
        <v>773</v>
      </c>
      <c r="M21" s="1104">
        <v>0</v>
      </c>
      <c r="N21" s="1099">
        <v>2</v>
      </c>
      <c r="O21" s="1099">
        <v>6</v>
      </c>
      <c r="P21" s="1105">
        <f>7200/30*28+E21*4</f>
        <v>35520</v>
      </c>
    </row>
    <row r="22" spans="1:16" s="1154" customFormat="1" ht="48">
      <c r="A22" s="1098" t="s">
        <v>506</v>
      </c>
      <c r="B22" s="1099" t="s">
        <v>505</v>
      </c>
      <c r="C22" s="1099" t="s">
        <v>1562</v>
      </c>
      <c r="D22" s="1100" t="s">
        <v>1602</v>
      </c>
      <c r="E22" s="1101">
        <v>12000</v>
      </c>
      <c r="F22" s="1099">
        <v>41004422</v>
      </c>
      <c r="G22" s="1100" t="s">
        <v>1600</v>
      </c>
      <c r="H22" s="1099" t="s">
        <v>1599</v>
      </c>
      <c r="I22" s="1102" t="s">
        <v>1598</v>
      </c>
      <c r="J22" s="1099" t="s">
        <v>1319</v>
      </c>
      <c r="K22" s="1103">
        <v>1</v>
      </c>
      <c r="L22" s="1103">
        <v>0</v>
      </c>
      <c r="M22" s="1104">
        <v>120</v>
      </c>
      <c r="N22" s="1099">
        <v>0</v>
      </c>
      <c r="O22" s="1099">
        <v>0</v>
      </c>
      <c r="P22" s="1105">
        <v>0</v>
      </c>
    </row>
    <row r="23" spans="1:16" s="1154" customFormat="1" ht="48">
      <c r="A23" s="1098" t="s">
        <v>506</v>
      </c>
      <c r="B23" s="1099" t="s">
        <v>505</v>
      </c>
      <c r="C23" s="1099" t="s">
        <v>1562</v>
      </c>
      <c r="D23" s="1100" t="s">
        <v>1601</v>
      </c>
      <c r="E23" s="1101">
        <v>13000</v>
      </c>
      <c r="F23" s="1099">
        <v>41004422</v>
      </c>
      <c r="G23" s="1100" t="s">
        <v>1600</v>
      </c>
      <c r="H23" s="1099" t="s">
        <v>1599</v>
      </c>
      <c r="I23" s="1102" t="s">
        <v>1598</v>
      </c>
      <c r="J23" s="1099" t="s">
        <v>1319</v>
      </c>
      <c r="K23" s="1103" t="s">
        <v>562</v>
      </c>
      <c r="L23" s="1103" t="s">
        <v>497</v>
      </c>
      <c r="M23" s="1104">
        <f>+E23/30*27+E23*11</f>
        <v>154700</v>
      </c>
      <c r="N23" s="1099">
        <v>2</v>
      </c>
      <c r="O23" s="1099">
        <v>6</v>
      </c>
      <c r="P23" s="1105">
        <f>+E23*6</f>
        <v>78000</v>
      </c>
    </row>
    <row r="24" spans="1:16" s="1154" customFormat="1" ht="24">
      <c r="A24" s="1098" t="s">
        <v>506</v>
      </c>
      <c r="B24" s="1099" t="s">
        <v>505</v>
      </c>
      <c r="C24" s="1099" t="s">
        <v>1562</v>
      </c>
      <c r="D24" s="1100" t="s">
        <v>1597</v>
      </c>
      <c r="E24" s="1101">
        <v>13000</v>
      </c>
      <c r="F24" s="1099">
        <v>10286759</v>
      </c>
      <c r="G24" s="1100" t="s">
        <v>1596</v>
      </c>
      <c r="H24" s="1099" t="s">
        <v>511</v>
      </c>
      <c r="I24" s="1102" t="s">
        <v>1559</v>
      </c>
      <c r="J24" s="1099" t="s">
        <v>1575</v>
      </c>
      <c r="K24" s="1103" t="s">
        <v>773</v>
      </c>
      <c r="L24" s="1103" t="s">
        <v>773</v>
      </c>
      <c r="M24" s="1104">
        <v>0</v>
      </c>
      <c r="N24" s="1099">
        <v>2</v>
      </c>
      <c r="O24" s="1099">
        <v>5</v>
      </c>
      <c r="P24" s="1105">
        <f>+E24/30*6+E24*3</f>
        <v>41600</v>
      </c>
    </row>
    <row r="25" spans="1:16" s="1154" customFormat="1" ht="60">
      <c r="A25" s="1098" t="s">
        <v>506</v>
      </c>
      <c r="B25" s="1099" t="s">
        <v>505</v>
      </c>
      <c r="C25" s="1099" t="s">
        <v>1562</v>
      </c>
      <c r="D25" s="1100" t="s">
        <v>1595</v>
      </c>
      <c r="E25" s="1101">
        <v>7000</v>
      </c>
      <c r="F25" s="1099" t="s">
        <v>1594</v>
      </c>
      <c r="G25" s="1100" t="s">
        <v>1593</v>
      </c>
      <c r="H25" s="1099" t="s">
        <v>534</v>
      </c>
      <c r="I25" s="1102" t="s">
        <v>1567</v>
      </c>
      <c r="J25" s="1099" t="s">
        <v>1592</v>
      </c>
      <c r="K25" s="1103" t="s">
        <v>562</v>
      </c>
      <c r="L25" s="1103" t="s">
        <v>497</v>
      </c>
      <c r="M25" s="1104">
        <f>+E25*12</f>
        <v>84000</v>
      </c>
      <c r="N25" s="1099">
        <v>2</v>
      </c>
      <c r="O25" s="1099">
        <v>5</v>
      </c>
      <c r="P25" s="1105">
        <f>+E25*5</f>
        <v>35000</v>
      </c>
    </row>
    <row r="26" spans="1:16" s="1154" customFormat="1" ht="36">
      <c r="A26" s="1098" t="s">
        <v>506</v>
      </c>
      <c r="B26" s="1099" t="s">
        <v>505</v>
      </c>
      <c r="C26" s="1099" t="s">
        <v>1562</v>
      </c>
      <c r="D26" s="1100" t="s">
        <v>1591</v>
      </c>
      <c r="E26" s="1101">
        <v>13000</v>
      </c>
      <c r="F26" s="1099" t="s">
        <v>1590</v>
      </c>
      <c r="G26" s="1100" t="s">
        <v>1589</v>
      </c>
      <c r="H26" s="1099" t="s">
        <v>508</v>
      </c>
      <c r="I26" s="1102" t="s">
        <v>1085</v>
      </c>
      <c r="J26" s="1099" t="s">
        <v>1319</v>
      </c>
      <c r="K26" s="1103" t="s">
        <v>664</v>
      </c>
      <c r="L26" s="1103" t="s">
        <v>773</v>
      </c>
      <c r="M26" s="1104">
        <f>6500+13000</f>
        <v>19500</v>
      </c>
      <c r="N26" s="1099">
        <v>2</v>
      </c>
      <c r="O26" s="1099">
        <v>6</v>
      </c>
      <c r="P26" s="1105">
        <f>+E26*6</f>
        <v>78000</v>
      </c>
    </row>
    <row r="27" spans="1:16" s="1154" customFormat="1" ht="24">
      <c r="A27" s="1098" t="s">
        <v>506</v>
      </c>
      <c r="B27" s="1099" t="s">
        <v>505</v>
      </c>
      <c r="C27" s="1099" t="s">
        <v>1562</v>
      </c>
      <c r="D27" s="1100" t="s">
        <v>1588</v>
      </c>
      <c r="E27" s="1101">
        <v>6000</v>
      </c>
      <c r="F27" s="1099">
        <v>43694522</v>
      </c>
      <c r="G27" s="1100" t="s">
        <v>1587</v>
      </c>
      <c r="H27" s="1099" t="s">
        <v>534</v>
      </c>
      <c r="I27" s="1102" t="s">
        <v>1586</v>
      </c>
      <c r="J27" s="1099" t="s">
        <v>1585</v>
      </c>
      <c r="K27" s="1103" t="s">
        <v>773</v>
      </c>
      <c r="L27" s="1103" t="s">
        <v>773</v>
      </c>
      <c r="M27" s="1104">
        <v>0</v>
      </c>
      <c r="N27" s="1099"/>
      <c r="O27" s="1099"/>
      <c r="P27" s="1105"/>
    </row>
    <row r="28" spans="1:16" s="1154" customFormat="1" ht="36">
      <c r="A28" s="1098" t="s">
        <v>506</v>
      </c>
      <c r="B28" s="1099" t="s">
        <v>505</v>
      </c>
      <c r="C28" s="1099" t="s">
        <v>1562</v>
      </c>
      <c r="D28" s="1100" t="s">
        <v>1584</v>
      </c>
      <c r="E28" s="1101">
        <v>7000</v>
      </c>
      <c r="F28" s="1099">
        <v>43310529</v>
      </c>
      <c r="G28" s="1100" t="s">
        <v>1583</v>
      </c>
      <c r="H28" s="1099" t="s">
        <v>534</v>
      </c>
      <c r="I28" s="1102" t="s">
        <v>1582</v>
      </c>
      <c r="J28" s="1099" t="s">
        <v>1581</v>
      </c>
      <c r="K28" s="1103" t="s">
        <v>563</v>
      </c>
      <c r="L28" s="1103" t="s">
        <v>822</v>
      </c>
      <c r="M28" s="1104">
        <f>+E28*5</f>
        <v>35000</v>
      </c>
      <c r="N28" s="1099">
        <v>2</v>
      </c>
      <c r="O28" s="1099">
        <v>6</v>
      </c>
      <c r="P28" s="1105">
        <f>+E28*6</f>
        <v>42000</v>
      </c>
    </row>
    <row r="29" spans="1:16" s="1154" customFormat="1" ht="48">
      <c r="A29" s="1098" t="s">
        <v>506</v>
      </c>
      <c r="B29" s="1099" t="s">
        <v>505</v>
      </c>
      <c r="C29" s="1099" t="s">
        <v>1562</v>
      </c>
      <c r="D29" s="1100" t="s">
        <v>1580</v>
      </c>
      <c r="E29" s="1101">
        <v>15600</v>
      </c>
      <c r="F29" s="1099" t="s">
        <v>1578</v>
      </c>
      <c r="G29" s="1100" t="s">
        <v>1577</v>
      </c>
      <c r="H29" s="1099" t="s">
        <v>508</v>
      </c>
      <c r="I29" s="1102" t="s">
        <v>1576</v>
      </c>
      <c r="J29" s="1099" t="s">
        <v>1575</v>
      </c>
      <c r="K29" s="1103" t="s">
        <v>664</v>
      </c>
      <c r="L29" s="1103" t="s">
        <v>498</v>
      </c>
      <c r="M29" s="1104">
        <f>+E29*3</f>
        <v>46800</v>
      </c>
      <c r="N29" s="1099">
        <v>0</v>
      </c>
      <c r="O29" s="1099">
        <v>0</v>
      </c>
      <c r="P29" s="1105">
        <v>0</v>
      </c>
    </row>
    <row r="30" spans="1:16" s="1154" customFormat="1" ht="48">
      <c r="A30" s="1098" t="s">
        <v>506</v>
      </c>
      <c r="B30" s="1099" t="s">
        <v>505</v>
      </c>
      <c r="C30" s="1099" t="s">
        <v>1562</v>
      </c>
      <c r="D30" s="1100" t="s">
        <v>1579</v>
      </c>
      <c r="E30" s="1101">
        <v>15600</v>
      </c>
      <c r="F30" s="1099" t="s">
        <v>1578</v>
      </c>
      <c r="G30" s="1100" t="s">
        <v>1577</v>
      </c>
      <c r="H30" s="1099" t="s">
        <v>508</v>
      </c>
      <c r="I30" s="1102" t="s">
        <v>1576</v>
      </c>
      <c r="J30" s="1099" t="s">
        <v>1575</v>
      </c>
      <c r="K30" s="1103" t="s">
        <v>563</v>
      </c>
      <c r="L30" s="1103" t="s">
        <v>562</v>
      </c>
      <c r="M30" s="1104">
        <f>+E30*3+E30/30*9</f>
        <v>51480</v>
      </c>
      <c r="N30" s="1099">
        <v>0</v>
      </c>
      <c r="O30" s="1099">
        <v>0</v>
      </c>
      <c r="P30" s="1105">
        <v>0</v>
      </c>
    </row>
    <row r="31" spans="1:16" s="1154" customFormat="1" ht="36">
      <c r="A31" s="1098" t="s">
        <v>506</v>
      </c>
      <c r="B31" s="1099" t="s">
        <v>505</v>
      </c>
      <c r="C31" s="1099" t="s">
        <v>1562</v>
      </c>
      <c r="D31" s="1100" t="s">
        <v>1570</v>
      </c>
      <c r="E31" s="1101">
        <v>8600</v>
      </c>
      <c r="F31" s="1099" t="s">
        <v>1574</v>
      </c>
      <c r="G31" s="1100" t="s">
        <v>1573</v>
      </c>
      <c r="H31" s="1099" t="s">
        <v>519</v>
      </c>
      <c r="I31" s="1102" t="s">
        <v>1572</v>
      </c>
      <c r="J31" s="1099" t="s">
        <v>1571</v>
      </c>
      <c r="K31" s="1103" t="s">
        <v>664</v>
      </c>
      <c r="L31" s="1103" t="s">
        <v>562</v>
      </c>
      <c r="M31" s="1104">
        <f>+E31*4</f>
        <v>34400</v>
      </c>
      <c r="N31" s="1099">
        <v>0</v>
      </c>
      <c r="O31" s="1099">
        <v>0</v>
      </c>
      <c r="P31" s="1105">
        <v>0</v>
      </c>
    </row>
    <row r="32" spans="1:16" s="1154" customFormat="1" ht="36">
      <c r="A32" s="1098" t="s">
        <v>506</v>
      </c>
      <c r="B32" s="1099" t="s">
        <v>505</v>
      </c>
      <c r="C32" s="1099" t="s">
        <v>1562</v>
      </c>
      <c r="D32" s="1100" t="s">
        <v>1570</v>
      </c>
      <c r="E32" s="1101">
        <v>7238</v>
      </c>
      <c r="F32" s="1099" t="s">
        <v>1569</v>
      </c>
      <c r="G32" s="1100" t="s">
        <v>1568</v>
      </c>
      <c r="H32" s="1099" t="s">
        <v>534</v>
      </c>
      <c r="I32" s="1102" t="s">
        <v>1567</v>
      </c>
      <c r="J32" s="1099" t="s">
        <v>1566</v>
      </c>
      <c r="K32" s="1103" t="s">
        <v>498</v>
      </c>
      <c r="L32" s="1103" t="s">
        <v>1012</v>
      </c>
      <c r="M32" s="1104">
        <f>+E32*9</f>
        <v>65142</v>
      </c>
      <c r="N32" s="1099">
        <v>1</v>
      </c>
      <c r="O32" s="1099">
        <v>1</v>
      </c>
      <c r="P32" s="1105">
        <f>+E32*1</f>
        <v>7238</v>
      </c>
    </row>
    <row r="33" spans="1:16" s="1154" customFormat="1" ht="24">
      <c r="A33" s="1098" t="s">
        <v>506</v>
      </c>
      <c r="B33" s="1099" t="s">
        <v>505</v>
      </c>
      <c r="C33" s="1099" t="s">
        <v>1562</v>
      </c>
      <c r="D33" s="1100" t="s">
        <v>1565</v>
      </c>
      <c r="E33" s="1101">
        <v>12000</v>
      </c>
      <c r="F33" s="1099">
        <v>25834381</v>
      </c>
      <c r="G33" s="1100" t="s">
        <v>1564</v>
      </c>
      <c r="H33" s="1099" t="s">
        <v>508</v>
      </c>
      <c r="I33" s="1102" t="s">
        <v>1563</v>
      </c>
      <c r="J33" s="1099" t="s">
        <v>1319</v>
      </c>
      <c r="K33" s="1103" t="s">
        <v>664</v>
      </c>
      <c r="L33" s="1103" t="s">
        <v>563</v>
      </c>
      <c r="M33" s="1104">
        <f>+E33+E33/30*14</f>
        <v>17600</v>
      </c>
      <c r="N33" s="1099">
        <v>0</v>
      </c>
      <c r="O33" s="1099">
        <v>0</v>
      </c>
      <c r="P33" s="1105">
        <v>0</v>
      </c>
    </row>
    <row r="34" spans="1:16" s="1154" customFormat="1" ht="36">
      <c r="A34" s="1098" t="s">
        <v>506</v>
      </c>
      <c r="B34" s="1099" t="s">
        <v>505</v>
      </c>
      <c r="C34" s="1099" t="s">
        <v>1562</v>
      </c>
      <c r="D34" s="1100" t="s">
        <v>1561</v>
      </c>
      <c r="E34" s="1101">
        <v>12000</v>
      </c>
      <c r="F34" s="1099">
        <v>40084643</v>
      </c>
      <c r="G34" s="1100" t="s">
        <v>1560</v>
      </c>
      <c r="H34" s="1099" t="s">
        <v>508</v>
      </c>
      <c r="I34" s="1102" t="s">
        <v>1559</v>
      </c>
      <c r="J34" s="1099" t="s">
        <v>1319</v>
      </c>
      <c r="K34" s="1103" t="s">
        <v>562</v>
      </c>
      <c r="L34" s="1103" t="s">
        <v>497</v>
      </c>
      <c r="M34" s="1104">
        <f>+E34/30*28+E34*11</f>
        <v>143200</v>
      </c>
      <c r="N34" s="1099">
        <v>2</v>
      </c>
      <c r="O34" s="1099">
        <v>6</v>
      </c>
      <c r="P34" s="1105">
        <f>+E34*6</f>
        <v>72000</v>
      </c>
    </row>
    <row r="35" spans="1:16" s="1154" customFormat="1" ht="24">
      <c r="A35" s="1098" t="s">
        <v>506</v>
      </c>
      <c r="B35" s="1106" t="s">
        <v>505</v>
      </c>
      <c r="C35" s="1106" t="s">
        <v>504</v>
      </c>
      <c r="D35" s="1107" t="s">
        <v>787</v>
      </c>
      <c r="E35" s="1108">
        <v>6000</v>
      </c>
      <c r="F35" s="1106" t="s">
        <v>1558</v>
      </c>
      <c r="G35" s="1107" t="s">
        <v>1557</v>
      </c>
      <c r="H35" s="1106" t="s">
        <v>534</v>
      </c>
      <c r="I35" s="1107" t="s">
        <v>507</v>
      </c>
      <c r="J35" s="1106"/>
      <c r="K35" s="1109" t="s">
        <v>498</v>
      </c>
      <c r="L35" s="1109" t="s">
        <v>497</v>
      </c>
      <c r="M35" s="1110">
        <f>E35*L35</f>
        <v>72000</v>
      </c>
      <c r="N35" s="1106">
        <v>3</v>
      </c>
      <c r="O35" s="1106">
        <v>6</v>
      </c>
      <c r="P35" s="1111">
        <f>E35*O35</f>
        <v>36000</v>
      </c>
    </row>
    <row r="36" spans="1:16" s="1154" customFormat="1" ht="24">
      <c r="A36" s="1098" t="s">
        <v>506</v>
      </c>
      <c r="B36" s="1099" t="s">
        <v>505</v>
      </c>
      <c r="C36" s="1099" t="s">
        <v>504</v>
      </c>
      <c r="D36" s="1100" t="s">
        <v>518</v>
      </c>
      <c r="E36" s="1101">
        <v>12000</v>
      </c>
      <c r="F36" s="1099" t="s">
        <v>1556</v>
      </c>
      <c r="G36" s="1100" t="s">
        <v>1555</v>
      </c>
      <c r="H36" s="1099" t="s">
        <v>508</v>
      </c>
      <c r="I36" s="1102" t="s">
        <v>507</v>
      </c>
      <c r="J36" s="1099"/>
      <c r="K36" s="1103" t="s">
        <v>498</v>
      </c>
      <c r="L36" s="1103" t="s">
        <v>497</v>
      </c>
      <c r="M36" s="1104">
        <f>E36*L36</f>
        <v>144000</v>
      </c>
      <c r="N36" s="1099">
        <v>3</v>
      </c>
      <c r="O36" s="1099">
        <v>6</v>
      </c>
      <c r="P36" s="1105">
        <f>E36*O36</f>
        <v>72000</v>
      </c>
    </row>
    <row r="37" spans="1:16" s="1154" customFormat="1" ht="24">
      <c r="A37" s="1098" t="s">
        <v>506</v>
      </c>
      <c r="B37" s="1099" t="s">
        <v>505</v>
      </c>
      <c r="C37" s="1099" t="s">
        <v>504</v>
      </c>
      <c r="D37" s="1100" t="s">
        <v>1554</v>
      </c>
      <c r="E37" s="1101">
        <v>3900</v>
      </c>
      <c r="F37" s="1099" t="s">
        <v>1553</v>
      </c>
      <c r="G37" s="1100" t="s">
        <v>1552</v>
      </c>
      <c r="H37" s="1099" t="s">
        <v>1551</v>
      </c>
      <c r="I37" s="1102" t="s">
        <v>507</v>
      </c>
      <c r="J37" s="1099"/>
      <c r="K37" s="1103" t="s">
        <v>498</v>
      </c>
      <c r="L37" s="1103" t="s">
        <v>497</v>
      </c>
      <c r="M37" s="1104">
        <f>E37*L37</f>
        <v>46800</v>
      </c>
      <c r="N37" s="1099">
        <v>3</v>
      </c>
      <c r="O37" s="1099">
        <v>6</v>
      </c>
      <c r="P37" s="1105">
        <f>E37*O37</f>
        <v>23400</v>
      </c>
    </row>
    <row r="38" spans="1:16" s="1154" customFormat="1" ht="24">
      <c r="A38" s="1098" t="s">
        <v>506</v>
      </c>
      <c r="B38" s="1099" t="s">
        <v>505</v>
      </c>
      <c r="C38" s="1099" t="s">
        <v>504</v>
      </c>
      <c r="D38" s="1100" t="s">
        <v>569</v>
      </c>
      <c r="E38" s="1101">
        <v>8000</v>
      </c>
      <c r="F38" s="1099" t="s">
        <v>1550</v>
      </c>
      <c r="G38" s="1100" t="s">
        <v>1549</v>
      </c>
      <c r="H38" s="1112" t="s">
        <v>515</v>
      </c>
      <c r="I38" s="1102" t="s">
        <v>507</v>
      </c>
      <c r="J38" s="1099"/>
      <c r="K38" s="1103" t="s">
        <v>498</v>
      </c>
      <c r="L38" s="1103" t="s">
        <v>497</v>
      </c>
      <c r="M38" s="1104">
        <f>E38*L38</f>
        <v>96000</v>
      </c>
      <c r="N38" s="1099">
        <v>3</v>
      </c>
      <c r="O38" s="1099">
        <v>6</v>
      </c>
      <c r="P38" s="1105">
        <f>E38*O38</f>
        <v>48000</v>
      </c>
    </row>
    <row r="39" spans="1:16" s="1154" customFormat="1" ht="24">
      <c r="A39" s="1098" t="s">
        <v>506</v>
      </c>
      <c r="B39" s="1099" t="s">
        <v>505</v>
      </c>
      <c r="C39" s="1099" t="s">
        <v>504</v>
      </c>
      <c r="D39" s="1100" t="s">
        <v>746</v>
      </c>
      <c r="E39" s="1101">
        <v>6000</v>
      </c>
      <c r="F39" s="1099" t="s">
        <v>1548</v>
      </c>
      <c r="G39" s="1100" t="s">
        <v>1547</v>
      </c>
      <c r="H39" s="1099" t="s">
        <v>508</v>
      </c>
      <c r="I39" s="1102" t="s">
        <v>507</v>
      </c>
      <c r="J39" s="1099"/>
      <c r="K39" s="1103" t="s">
        <v>498</v>
      </c>
      <c r="L39" s="1103" t="s">
        <v>497</v>
      </c>
      <c r="M39" s="1104">
        <f>E39*L39</f>
        <v>72000</v>
      </c>
      <c r="N39" s="1099">
        <v>3</v>
      </c>
      <c r="O39" s="1099">
        <v>6</v>
      </c>
      <c r="P39" s="1105">
        <f>E39*O39</f>
        <v>36000</v>
      </c>
    </row>
    <row r="40" spans="1:16" s="1154" customFormat="1" ht="24">
      <c r="A40" s="1098" t="s">
        <v>506</v>
      </c>
      <c r="B40" s="1099" t="s">
        <v>505</v>
      </c>
      <c r="C40" s="1099" t="s">
        <v>504</v>
      </c>
      <c r="D40" s="1102" t="s">
        <v>812</v>
      </c>
      <c r="E40" s="1101">
        <v>6700</v>
      </c>
      <c r="F40" s="1113" t="s">
        <v>1546</v>
      </c>
      <c r="G40" s="1114" t="s">
        <v>1545</v>
      </c>
      <c r="H40" s="1113"/>
      <c r="I40" s="1114"/>
      <c r="J40" s="1113"/>
      <c r="K40" s="1103">
        <v>0</v>
      </c>
      <c r="L40" s="1103">
        <v>0</v>
      </c>
      <c r="M40" s="1115">
        <v>0</v>
      </c>
      <c r="N40" s="1113">
        <v>3</v>
      </c>
      <c r="O40" s="1113">
        <v>5</v>
      </c>
      <c r="P40" s="1116">
        <f>E40/30*7+E40*5</f>
        <v>35063.333333333336</v>
      </c>
    </row>
    <row r="41" spans="1:16" s="1154" customFormat="1" ht="24">
      <c r="A41" s="1098" t="s">
        <v>506</v>
      </c>
      <c r="B41" s="1099" t="s">
        <v>505</v>
      </c>
      <c r="C41" s="1099" t="s">
        <v>504</v>
      </c>
      <c r="D41" s="1100" t="s">
        <v>659</v>
      </c>
      <c r="E41" s="1117">
        <v>5000</v>
      </c>
      <c r="F41" s="1099" t="s">
        <v>1544</v>
      </c>
      <c r="G41" s="1100" t="s">
        <v>1543</v>
      </c>
      <c r="H41" s="1099" t="s">
        <v>534</v>
      </c>
      <c r="I41" s="1102" t="s">
        <v>507</v>
      </c>
      <c r="J41" s="1099"/>
      <c r="K41" s="1103" t="s">
        <v>498</v>
      </c>
      <c r="L41" s="1103" t="s">
        <v>497</v>
      </c>
      <c r="M41" s="1104">
        <f t="shared" ref="M41:M63" si="0">E41*L41</f>
        <v>60000</v>
      </c>
      <c r="N41" s="1099">
        <v>3</v>
      </c>
      <c r="O41" s="1099">
        <v>6</v>
      </c>
      <c r="P41" s="1105">
        <f>E41*O41</f>
        <v>30000</v>
      </c>
    </row>
    <row r="42" spans="1:16" s="1154" customFormat="1" ht="24">
      <c r="A42" s="1098" t="s">
        <v>506</v>
      </c>
      <c r="B42" s="1099" t="s">
        <v>505</v>
      </c>
      <c r="C42" s="1099" t="s">
        <v>504</v>
      </c>
      <c r="D42" s="1100" t="s">
        <v>1542</v>
      </c>
      <c r="E42" s="1101">
        <v>6200</v>
      </c>
      <c r="F42" s="1099" t="s">
        <v>1541</v>
      </c>
      <c r="G42" s="1100" t="s">
        <v>1540</v>
      </c>
      <c r="H42" s="1099" t="s">
        <v>508</v>
      </c>
      <c r="I42" s="1102" t="s">
        <v>507</v>
      </c>
      <c r="J42" s="1118"/>
      <c r="K42" s="1103" t="s">
        <v>498</v>
      </c>
      <c r="L42" s="1103" t="s">
        <v>497</v>
      </c>
      <c r="M42" s="1104">
        <f t="shared" si="0"/>
        <v>74400</v>
      </c>
      <c r="N42" s="1099">
        <v>3</v>
      </c>
      <c r="O42" s="1099">
        <v>6</v>
      </c>
      <c r="P42" s="1105">
        <f>E42*O42</f>
        <v>37200</v>
      </c>
    </row>
    <row r="43" spans="1:16" s="1154" customFormat="1" ht="24">
      <c r="A43" s="1098" t="s">
        <v>506</v>
      </c>
      <c r="B43" s="1099" t="s">
        <v>505</v>
      </c>
      <c r="C43" s="1099" t="s">
        <v>504</v>
      </c>
      <c r="D43" s="1102" t="s">
        <v>1539</v>
      </c>
      <c r="E43" s="1101">
        <v>7000</v>
      </c>
      <c r="F43" s="1099" t="s">
        <v>1538</v>
      </c>
      <c r="G43" s="1100" t="s">
        <v>1537</v>
      </c>
      <c r="H43" s="1112" t="s">
        <v>519</v>
      </c>
      <c r="I43" s="1102" t="s">
        <v>507</v>
      </c>
      <c r="J43" s="1099"/>
      <c r="K43" s="1103">
        <v>2</v>
      </c>
      <c r="L43" s="1103">
        <v>6</v>
      </c>
      <c r="M43" s="1104">
        <f t="shared" si="0"/>
        <v>42000</v>
      </c>
      <c r="N43" s="1099">
        <v>3</v>
      </c>
      <c r="O43" s="1099">
        <v>6</v>
      </c>
      <c r="P43" s="1105">
        <f>E43*O43</f>
        <v>42000</v>
      </c>
    </row>
    <row r="44" spans="1:16" s="1154" customFormat="1" ht="24">
      <c r="A44" s="1098" t="s">
        <v>506</v>
      </c>
      <c r="B44" s="1099" t="s">
        <v>505</v>
      </c>
      <c r="C44" s="1099" t="s">
        <v>504</v>
      </c>
      <c r="D44" s="1100" t="s">
        <v>659</v>
      </c>
      <c r="E44" s="1117">
        <v>5000</v>
      </c>
      <c r="F44" s="1099" t="s">
        <v>1536</v>
      </c>
      <c r="G44" s="1100" t="s">
        <v>1535</v>
      </c>
      <c r="H44" s="1099" t="s">
        <v>534</v>
      </c>
      <c r="I44" s="1102" t="s">
        <v>507</v>
      </c>
      <c r="J44" s="1099"/>
      <c r="K44" s="1103" t="s">
        <v>498</v>
      </c>
      <c r="L44" s="1103" t="s">
        <v>497</v>
      </c>
      <c r="M44" s="1104">
        <f t="shared" si="0"/>
        <v>60000</v>
      </c>
      <c r="N44" s="1099">
        <v>3</v>
      </c>
      <c r="O44" s="1099">
        <v>6</v>
      </c>
      <c r="P44" s="1105">
        <f>E44*O44</f>
        <v>30000</v>
      </c>
    </row>
    <row r="45" spans="1:16" s="1154" customFormat="1" ht="24">
      <c r="A45" s="1098" t="s">
        <v>506</v>
      </c>
      <c r="B45" s="1099" t="s">
        <v>505</v>
      </c>
      <c r="C45" s="1099" t="s">
        <v>504</v>
      </c>
      <c r="D45" s="1102" t="s">
        <v>1534</v>
      </c>
      <c r="E45" s="1101">
        <v>5000</v>
      </c>
      <c r="F45" s="1113" t="s">
        <v>1533</v>
      </c>
      <c r="G45" s="1114" t="s">
        <v>1532</v>
      </c>
      <c r="H45" s="1113"/>
      <c r="I45" s="1114"/>
      <c r="J45" s="1113"/>
      <c r="K45" s="1103">
        <v>0</v>
      </c>
      <c r="L45" s="1103">
        <v>0</v>
      </c>
      <c r="M45" s="1104">
        <f t="shared" si="0"/>
        <v>0</v>
      </c>
      <c r="N45" s="1113">
        <v>3</v>
      </c>
      <c r="O45" s="1113">
        <v>5</v>
      </c>
      <c r="P45" s="1116">
        <f>E45/30*28+E45*5</f>
        <v>29666.666666666664</v>
      </c>
    </row>
    <row r="46" spans="1:16" s="1154" customFormat="1" ht="24">
      <c r="A46" s="1098" t="s">
        <v>506</v>
      </c>
      <c r="B46" s="1099" t="s">
        <v>505</v>
      </c>
      <c r="C46" s="1099" t="s">
        <v>504</v>
      </c>
      <c r="D46" s="1100" t="s">
        <v>1531</v>
      </c>
      <c r="E46" s="1101">
        <v>9000</v>
      </c>
      <c r="F46" s="1099" t="s">
        <v>1530</v>
      </c>
      <c r="G46" s="1100" t="s">
        <v>1529</v>
      </c>
      <c r="H46" s="1112" t="s">
        <v>515</v>
      </c>
      <c r="I46" s="1102" t="s">
        <v>507</v>
      </c>
      <c r="J46" s="1099"/>
      <c r="K46" s="1103" t="s">
        <v>498</v>
      </c>
      <c r="L46" s="1103" t="s">
        <v>497</v>
      </c>
      <c r="M46" s="1104">
        <f t="shared" si="0"/>
        <v>108000</v>
      </c>
      <c r="N46" s="1099">
        <v>3</v>
      </c>
      <c r="O46" s="1099">
        <v>6</v>
      </c>
      <c r="P46" s="1105">
        <f t="shared" ref="P46:P54" si="1">E46*O46</f>
        <v>54000</v>
      </c>
    </row>
    <row r="47" spans="1:16" s="1154" customFormat="1" ht="24">
      <c r="A47" s="1098" t="s">
        <v>506</v>
      </c>
      <c r="B47" s="1099" t="s">
        <v>505</v>
      </c>
      <c r="C47" s="1099" t="s">
        <v>504</v>
      </c>
      <c r="D47" s="1100" t="s">
        <v>1528</v>
      </c>
      <c r="E47" s="1101">
        <v>3150</v>
      </c>
      <c r="F47" s="1099" t="s">
        <v>1527</v>
      </c>
      <c r="G47" s="1100" t="s">
        <v>1526</v>
      </c>
      <c r="H47" s="1112" t="s">
        <v>632</v>
      </c>
      <c r="I47" s="1102" t="s">
        <v>507</v>
      </c>
      <c r="J47" s="1099"/>
      <c r="K47" s="1103" t="s">
        <v>498</v>
      </c>
      <c r="L47" s="1103" t="s">
        <v>497</v>
      </c>
      <c r="M47" s="1104">
        <f t="shared" si="0"/>
        <v>37800</v>
      </c>
      <c r="N47" s="1099">
        <v>3</v>
      </c>
      <c r="O47" s="1099">
        <v>6</v>
      </c>
      <c r="P47" s="1105">
        <f t="shared" si="1"/>
        <v>18900</v>
      </c>
    </row>
    <row r="48" spans="1:16" s="1154" customFormat="1" ht="24">
      <c r="A48" s="1098" t="s">
        <v>506</v>
      </c>
      <c r="B48" s="1099" t="s">
        <v>505</v>
      </c>
      <c r="C48" s="1099" t="s">
        <v>504</v>
      </c>
      <c r="D48" s="1100" t="s">
        <v>573</v>
      </c>
      <c r="E48" s="1101">
        <v>3000</v>
      </c>
      <c r="F48" s="1099" t="s">
        <v>1525</v>
      </c>
      <c r="G48" s="1100" t="s">
        <v>1524</v>
      </c>
      <c r="H48" s="1099" t="s">
        <v>888</v>
      </c>
      <c r="I48" s="1100" t="s">
        <v>499</v>
      </c>
      <c r="J48" s="1099"/>
      <c r="K48" s="1103" t="s">
        <v>498</v>
      </c>
      <c r="L48" s="1103" t="s">
        <v>497</v>
      </c>
      <c r="M48" s="1104">
        <f t="shared" si="0"/>
        <v>36000</v>
      </c>
      <c r="N48" s="1099">
        <v>3</v>
      </c>
      <c r="O48" s="1099">
        <v>6</v>
      </c>
      <c r="P48" s="1105">
        <f t="shared" si="1"/>
        <v>18000</v>
      </c>
    </row>
    <row r="49" spans="1:16" s="1154" customFormat="1" ht="24">
      <c r="A49" s="1098" t="s">
        <v>506</v>
      </c>
      <c r="B49" s="1099" t="s">
        <v>505</v>
      </c>
      <c r="C49" s="1099" t="s">
        <v>504</v>
      </c>
      <c r="D49" s="1119" t="s">
        <v>518</v>
      </c>
      <c r="E49" s="1101">
        <v>10000</v>
      </c>
      <c r="F49" s="1120" t="s">
        <v>1523</v>
      </c>
      <c r="G49" s="1100" t="s">
        <v>1522</v>
      </c>
      <c r="H49" s="1113"/>
      <c r="I49" s="1114"/>
      <c r="J49" s="1121"/>
      <c r="K49" s="1103">
        <v>1</v>
      </c>
      <c r="L49" s="1103">
        <v>4</v>
      </c>
      <c r="M49" s="1104">
        <f t="shared" si="0"/>
        <v>40000</v>
      </c>
      <c r="N49" s="1113">
        <v>0</v>
      </c>
      <c r="O49" s="1113">
        <v>0</v>
      </c>
      <c r="P49" s="1116">
        <f t="shared" si="1"/>
        <v>0</v>
      </c>
    </row>
    <row r="50" spans="1:16" s="1154" customFormat="1" ht="24">
      <c r="A50" s="1098" t="s">
        <v>506</v>
      </c>
      <c r="B50" s="1099" t="s">
        <v>505</v>
      </c>
      <c r="C50" s="1099" t="s">
        <v>504</v>
      </c>
      <c r="D50" s="1100" t="s">
        <v>844</v>
      </c>
      <c r="E50" s="1101">
        <v>8500</v>
      </c>
      <c r="F50" s="1099" t="s">
        <v>1521</v>
      </c>
      <c r="G50" s="1100" t="s">
        <v>1520</v>
      </c>
      <c r="H50" s="1099" t="s">
        <v>508</v>
      </c>
      <c r="I50" s="1102" t="s">
        <v>507</v>
      </c>
      <c r="J50" s="1099"/>
      <c r="K50" s="1103" t="s">
        <v>498</v>
      </c>
      <c r="L50" s="1103" t="s">
        <v>497</v>
      </c>
      <c r="M50" s="1104">
        <f t="shared" si="0"/>
        <v>102000</v>
      </c>
      <c r="N50" s="1099">
        <v>3</v>
      </c>
      <c r="O50" s="1099">
        <v>6</v>
      </c>
      <c r="P50" s="1105">
        <f t="shared" si="1"/>
        <v>51000</v>
      </c>
    </row>
    <row r="51" spans="1:16" s="1154" customFormat="1" ht="36">
      <c r="A51" s="1098" t="s">
        <v>506</v>
      </c>
      <c r="B51" s="1099" t="s">
        <v>505</v>
      </c>
      <c r="C51" s="1099" t="s">
        <v>504</v>
      </c>
      <c r="D51" s="1100" t="s">
        <v>1519</v>
      </c>
      <c r="E51" s="1101">
        <v>4000</v>
      </c>
      <c r="F51" s="1099" t="s">
        <v>1518</v>
      </c>
      <c r="G51" s="1100" t="s">
        <v>1517</v>
      </c>
      <c r="H51" s="1099" t="s">
        <v>590</v>
      </c>
      <c r="I51" s="1102" t="s">
        <v>507</v>
      </c>
      <c r="J51" s="1099"/>
      <c r="K51" s="1103" t="s">
        <v>498</v>
      </c>
      <c r="L51" s="1103" t="s">
        <v>497</v>
      </c>
      <c r="M51" s="1104">
        <f t="shared" si="0"/>
        <v>48000</v>
      </c>
      <c r="N51" s="1099">
        <v>3</v>
      </c>
      <c r="O51" s="1099">
        <v>6</v>
      </c>
      <c r="P51" s="1105">
        <f t="shared" si="1"/>
        <v>24000</v>
      </c>
    </row>
    <row r="52" spans="1:16" s="1154" customFormat="1" ht="48">
      <c r="A52" s="1098" t="s">
        <v>506</v>
      </c>
      <c r="B52" s="1099" t="s">
        <v>505</v>
      </c>
      <c r="C52" s="1099" t="s">
        <v>504</v>
      </c>
      <c r="D52" s="1100" t="s">
        <v>1516</v>
      </c>
      <c r="E52" s="1101">
        <v>7500</v>
      </c>
      <c r="F52" s="1099" t="s">
        <v>1515</v>
      </c>
      <c r="G52" s="1100" t="s">
        <v>1514</v>
      </c>
      <c r="H52" s="1099" t="s">
        <v>632</v>
      </c>
      <c r="I52" s="1102" t="s">
        <v>507</v>
      </c>
      <c r="J52" s="1099"/>
      <c r="K52" s="1103" t="s">
        <v>498</v>
      </c>
      <c r="L52" s="1103" t="s">
        <v>497</v>
      </c>
      <c r="M52" s="1104">
        <f t="shared" si="0"/>
        <v>90000</v>
      </c>
      <c r="N52" s="1099">
        <v>2</v>
      </c>
      <c r="O52" s="1099">
        <v>6</v>
      </c>
      <c r="P52" s="1105">
        <f t="shared" si="1"/>
        <v>45000</v>
      </c>
    </row>
    <row r="53" spans="1:16" s="1154" customFormat="1" ht="24">
      <c r="A53" s="1098" t="s">
        <v>506</v>
      </c>
      <c r="B53" s="1099" t="s">
        <v>505</v>
      </c>
      <c r="C53" s="1099" t="s">
        <v>504</v>
      </c>
      <c r="D53" s="1100" t="s">
        <v>1513</v>
      </c>
      <c r="E53" s="1101">
        <v>4000</v>
      </c>
      <c r="F53" s="1099" t="s">
        <v>1512</v>
      </c>
      <c r="G53" s="1100" t="s">
        <v>1511</v>
      </c>
      <c r="H53" s="1099" t="s">
        <v>1202</v>
      </c>
      <c r="I53" s="1102" t="s">
        <v>507</v>
      </c>
      <c r="J53" s="1099"/>
      <c r="K53" s="1103" t="s">
        <v>498</v>
      </c>
      <c r="L53" s="1103" t="s">
        <v>497</v>
      </c>
      <c r="M53" s="1104">
        <f t="shared" si="0"/>
        <v>48000</v>
      </c>
      <c r="N53" s="1099">
        <v>2</v>
      </c>
      <c r="O53" s="1099">
        <v>6</v>
      </c>
      <c r="P53" s="1105">
        <f t="shared" si="1"/>
        <v>24000</v>
      </c>
    </row>
    <row r="54" spans="1:16" s="1154" customFormat="1" ht="24">
      <c r="A54" s="1098" t="s">
        <v>506</v>
      </c>
      <c r="B54" s="1099" t="s">
        <v>505</v>
      </c>
      <c r="C54" s="1099" t="s">
        <v>504</v>
      </c>
      <c r="D54" s="1119" t="s">
        <v>1255</v>
      </c>
      <c r="E54" s="1101">
        <v>1500</v>
      </c>
      <c r="F54" s="1099" t="s">
        <v>1509</v>
      </c>
      <c r="G54" s="1100" t="s">
        <v>1508</v>
      </c>
      <c r="H54" s="1112" t="s">
        <v>712</v>
      </c>
      <c r="I54" s="1102" t="s">
        <v>619</v>
      </c>
      <c r="J54" s="1099"/>
      <c r="K54" s="1103" t="s">
        <v>498</v>
      </c>
      <c r="L54" s="1103">
        <v>12</v>
      </c>
      <c r="M54" s="1104">
        <f t="shared" si="0"/>
        <v>18000</v>
      </c>
      <c r="N54" s="1099">
        <v>0</v>
      </c>
      <c r="O54" s="1099">
        <v>0</v>
      </c>
      <c r="P54" s="1105">
        <f t="shared" si="1"/>
        <v>0</v>
      </c>
    </row>
    <row r="55" spans="1:16" s="1154" customFormat="1" ht="24">
      <c r="A55" s="1098" t="s">
        <v>506</v>
      </c>
      <c r="B55" s="1099" t="s">
        <v>505</v>
      </c>
      <c r="C55" s="1099" t="s">
        <v>504</v>
      </c>
      <c r="D55" s="1102" t="s">
        <v>1510</v>
      </c>
      <c r="E55" s="1101">
        <v>2000</v>
      </c>
      <c r="F55" s="1113" t="s">
        <v>1509</v>
      </c>
      <c r="G55" s="1114" t="s">
        <v>1508</v>
      </c>
      <c r="H55" s="1113"/>
      <c r="I55" s="1114"/>
      <c r="J55" s="1113"/>
      <c r="K55" s="1103">
        <v>0</v>
      </c>
      <c r="L55" s="1103">
        <v>0</v>
      </c>
      <c r="M55" s="1104">
        <f t="shared" si="0"/>
        <v>0</v>
      </c>
      <c r="N55" s="1113">
        <v>3</v>
      </c>
      <c r="O55" s="1113">
        <v>5</v>
      </c>
      <c r="P55" s="1116">
        <f>E55/30*28+E55*5</f>
        <v>11866.666666666666</v>
      </c>
    </row>
    <row r="56" spans="1:16" s="1154" customFormat="1" ht="24">
      <c r="A56" s="1098" t="s">
        <v>506</v>
      </c>
      <c r="B56" s="1099" t="s">
        <v>505</v>
      </c>
      <c r="C56" s="1099" t="s">
        <v>504</v>
      </c>
      <c r="D56" s="1100" t="s">
        <v>659</v>
      </c>
      <c r="E56" s="1117">
        <v>5000</v>
      </c>
      <c r="F56" s="1099" t="s">
        <v>1507</v>
      </c>
      <c r="G56" s="1100" t="s">
        <v>1506</v>
      </c>
      <c r="H56" s="1099" t="s">
        <v>543</v>
      </c>
      <c r="I56" s="1102" t="s">
        <v>507</v>
      </c>
      <c r="J56" s="1099"/>
      <c r="K56" s="1103" t="s">
        <v>498</v>
      </c>
      <c r="L56" s="1103" t="s">
        <v>497</v>
      </c>
      <c r="M56" s="1104">
        <f t="shared" si="0"/>
        <v>60000</v>
      </c>
      <c r="N56" s="1099">
        <v>2</v>
      </c>
      <c r="O56" s="1099">
        <v>6</v>
      </c>
      <c r="P56" s="1105">
        <f t="shared" ref="P56:P72" si="2">E56*O56</f>
        <v>30000</v>
      </c>
    </row>
    <row r="57" spans="1:16" s="1154" customFormat="1" ht="36">
      <c r="A57" s="1098" t="s">
        <v>506</v>
      </c>
      <c r="B57" s="1099" t="s">
        <v>505</v>
      </c>
      <c r="C57" s="1099" t="s">
        <v>504</v>
      </c>
      <c r="D57" s="1119" t="s">
        <v>1505</v>
      </c>
      <c r="E57" s="1101">
        <v>8000</v>
      </c>
      <c r="F57" s="1120" t="s">
        <v>1504</v>
      </c>
      <c r="G57" s="1100" t="s">
        <v>1503</v>
      </c>
      <c r="H57" s="1113"/>
      <c r="I57" s="1114"/>
      <c r="J57" s="1121"/>
      <c r="K57" s="1103">
        <v>1</v>
      </c>
      <c r="L57" s="1103">
        <v>2</v>
      </c>
      <c r="M57" s="1104">
        <f t="shared" si="0"/>
        <v>16000</v>
      </c>
      <c r="N57" s="1099">
        <v>0</v>
      </c>
      <c r="O57" s="1099">
        <v>0</v>
      </c>
      <c r="P57" s="1105">
        <f t="shared" si="2"/>
        <v>0</v>
      </c>
    </row>
    <row r="58" spans="1:16" s="1154" customFormat="1" ht="24">
      <c r="A58" s="1098" t="s">
        <v>506</v>
      </c>
      <c r="B58" s="1099" t="s">
        <v>505</v>
      </c>
      <c r="C58" s="1099" t="s">
        <v>504</v>
      </c>
      <c r="D58" s="1102" t="s">
        <v>1502</v>
      </c>
      <c r="E58" s="1101">
        <v>5500</v>
      </c>
      <c r="F58" s="1122" t="s">
        <v>1501</v>
      </c>
      <c r="G58" s="1100" t="s">
        <v>1500</v>
      </c>
      <c r="H58" s="1112" t="s">
        <v>1499</v>
      </c>
      <c r="I58" s="1100"/>
      <c r="J58" s="1099"/>
      <c r="K58" s="1103" t="s">
        <v>563</v>
      </c>
      <c r="L58" s="1103" t="s">
        <v>687</v>
      </c>
      <c r="M58" s="1104">
        <f t="shared" si="0"/>
        <v>33000</v>
      </c>
      <c r="N58" s="1099">
        <v>0</v>
      </c>
      <c r="O58" s="1099">
        <v>0</v>
      </c>
      <c r="P58" s="1105">
        <f t="shared" si="2"/>
        <v>0</v>
      </c>
    </row>
    <row r="59" spans="1:16" s="1154" customFormat="1" ht="24">
      <c r="A59" s="1098" t="s">
        <v>506</v>
      </c>
      <c r="B59" s="1099" t="s">
        <v>505</v>
      </c>
      <c r="C59" s="1099" t="s">
        <v>504</v>
      </c>
      <c r="D59" s="1102" t="s">
        <v>1502</v>
      </c>
      <c r="E59" s="1101">
        <v>7000</v>
      </c>
      <c r="F59" s="1122" t="s">
        <v>1501</v>
      </c>
      <c r="G59" s="1100" t="s">
        <v>1500</v>
      </c>
      <c r="H59" s="1112" t="s">
        <v>1499</v>
      </c>
      <c r="I59" s="1102"/>
      <c r="J59" s="1099"/>
      <c r="K59" s="1103" t="s">
        <v>563</v>
      </c>
      <c r="L59" s="1103" t="s">
        <v>687</v>
      </c>
      <c r="M59" s="1104">
        <f t="shared" si="0"/>
        <v>42000</v>
      </c>
      <c r="N59" s="1099">
        <v>2</v>
      </c>
      <c r="O59" s="1099">
        <v>6</v>
      </c>
      <c r="P59" s="1105">
        <f t="shared" si="2"/>
        <v>42000</v>
      </c>
    </row>
    <row r="60" spans="1:16" s="1154" customFormat="1" ht="24">
      <c r="A60" s="1098" t="s">
        <v>506</v>
      </c>
      <c r="B60" s="1099" t="s">
        <v>505</v>
      </c>
      <c r="C60" s="1099" t="s">
        <v>504</v>
      </c>
      <c r="D60" s="1100" t="s">
        <v>1498</v>
      </c>
      <c r="E60" s="1101">
        <v>15600</v>
      </c>
      <c r="F60" s="1122" t="s">
        <v>1497</v>
      </c>
      <c r="G60" s="1100" t="s">
        <v>1496</v>
      </c>
      <c r="H60" s="1099" t="s">
        <v>1495</v>
      </c>
      <c r="I60" s="1100"/>
      <c r="J60" s="1099"/>
      <c r="K60" s="1103">
        <v>1</v>
      </c>
      <c r="L60" s="1103">
        <v>12</v>
      </c>
      <c r="M60" s="1104">
        <f t="shared" si="0"/>
        <v>187200</v>
      </c>
      <c r="N60" s="1099">
        <v>0</v>
      </c>
      <c r="O60" s="1099">
        <v>0</v>
      </c>
      <c r="P60" s="1105">
        <f t="shared" si="2"/>
        <v>0</v>
      </c>
    </row>
    <row r="61" spans="1:16" s="1154" customFormat="1" ht="24">
      <c r="A61" s="1098" t="s">
        <v>506</v>
      </c>
      <c r="B61" s="1099" t="s">
        <v>505</v>
      </c>
      <c r="C61" s="1099" t="s">
        <v>504</v>
      </c>
      <c r="D61" s="1100" t="s">
        <v>1498</v>
      </c>
      <c r="E61" s="1101">
        <v>15600</v>
      </c>
      <c r="F61" s="1122" t="s">
        <v>1497</v>
      </c>
      <c r="G61" s="1100" t="s">
        <v>1496</v>
      </c>
      <c r="H61" s="1099" t="s">
        <v>1495</v>
      </c>
      <c r="I61" s="1100"/>
      <c r="J61" s="1099"/>
      <c r="K61" s="1103">
        <v>0</v>
      </c>
      <c r="L61" s="1103">
        <v>0</v>
      </c>
      <c r="M61" s="1104">
        <f t="shared" si="0"/>
        <v>0</v>
      </c>
      <c r="N61" s="1099">
        <v>1</v>
      </c>
      <c r="O61" s="1099">
        <v>6</v>
      </c>
      <c r="P61" s="1105">
        <f t="shared" si="2"/>
        <v>93600</v>
      </c>
    </row>
    <row r="62" spans="1:16" s="1154" customFormat="1" ht="24">
      <c r="A62" s="1098" t="s">
        <v>506</v>
      </c>
      <c r="B62" s="1099" t="s">
        <v>505</v>
      </c>
      <c r="C62" s="1099" t="s">
        <v>504</v>
      </c>
      <c r="D62" s="1119" t="s">
        <v>1494</v>
      </c>
      <c r="E62" s="1101">
        <v>3600</v>
      </c>
      <c r="F62" s="1120" t="s">
        <v>1493</v>
      </c>
      <c r="G62" s="1114" t="s">
        <v>1492</v>
      </c>
      <c r="H62" s="1113"/>
      <c r="I62" s="1114"/>
      <c r="J62" s="1121"/>
      <c r="K62" s="1103">
        <v>1</v>
      </c>
      <c r="L62" s="1103">
        <v>7</v>
      </c>
      <c r="M62" s="1104">
        <f t="shared" si="0"/>
        <v>25200</v>
      </c>
      <c r="N62" s="1099">
        <v>0</v>
      </c>
      <c r="O62" s="1099">
        <v>0</v>
      </c>
      <c r="P62" s="1105">
        <f t="shared" si="2"/>
        <v>0</v>
      </c>
    </row>
    <row r="63" spans="1:16" s="1154" customFormat="1" ht="24">
      <c r="A63" s="1098" t="s">
        <v>506</v>
      </c>
      <c r="B63" s="1099" t="s">
        <v>505</v>
      </c>
      <c r="C63" s="1099" t="s">
        <v>504</v>
      </c>
      <c r="D63" s="1100" t="s">
        <v>659</v>
      </c>
      <c r="E63" s="1117">
        <v>5000</v>
      </c>
      <c r="F63" s="1099" t="s">
        <v>1491</v>
      </c>
      <c r="G63" s="1100" t="s">
        <v>1490</v>
      </c>
      <c r="H63" s="1099" t="s">
        <v>534</v>
      </c>
      <c r="I63" s="1102" t="s">
        <v>507</v>
      </c>
      <c r="J63" s="1099"/>
      <c r="K63" s="1103" t="s">
        <v>498</v>
      </c>
      <c r="L63" s="1103" t="s">
        <v>497</v>
      </c>
      <c r="M63" s="1104">
        <f t="shared" si="0"/>
        <v>60000</v>
      </c>
      <c r="N63" s="1099">
        <v>2</v>
      </c>
      <c r="O63" s="1099">
        <v>6</v>
      </c>
      <c r="P63" s="1105">
        <f t="shared" si="2"/>
        <v>30000</v>
      </c>
    </row>
    <row r="64" spans="1:16" s="1154" customFormat="1" ht="36">
      <c r="A64" s="1098" t="s">
        <v>506</v>
      </c>
      <c r="B64" s="1099" t="s">
        <v>505</v>
      </c>
      <c r="C64" s="1099" t="s">
        <v>504</v>
      </c>
      <c r="D64" s="1102" t="s">
        <v>1373</v>
      </c>
      <c r="E64" s="1101">
        <v>10000</v>
      </c>
      <c r="F64" s="1099" t="s">
        <v>1489</v>
      </c>
      <c r="G64" s="1100" t="s">
        <v>1488</v>
      </c>
      <c r="H64" s="1099" t="s">
        <v>590</v>
      </c>
      <c r="I64" s="1102" t="s">
        <v>507</v>
      </c>
      <c r="J64" s="1099"/>
      <c r="K64" s="1103">
        <v>3</v>
      </c>
      <c r="L64" s="1103">
        <v>9</v>
      </c>
      <c r="M64" s="1104">
        <f>+E64/30*9+E64*9</f>
        <v>93000</v>
      </c>
      <c r="N64" s="1099">
        <v>2</v>
      </c>
      <c r="O64" s="1099">
        <v>6</v>
      </c>
      <c r="P64" s="1105">
        <f t="shared" si="2"/>
        <v>60000</v>
      </c>
    </row>
    <row r="65" spans="1:16" s="1154" customFormat="1" ht="24">
      <c r="A65" s="1098" t="s">
        <v>506</v>
      </c>
      <c r="B65" s="1099" t="s">
        <v>505</v>
      </c>
      <c r="C65" s="1099" t="s">
        <v>504</v>
      </c>
      <c r="D65" s="1100" t="s">
        <v>1487</v>
      </c>
      <c r="E65" s="1101">
        <v>4000</v>
      </c>
      <c r="F65" s="1099" t="s">
        <v>1486</v>
      </c>
      <c r="G65" s="1100" t="s">
        <v>1485</v>
      </c>
      <c r="H65" s="1099" t="s">
        <v>543</v>
      </c>
      <c r="I65" s="1100" t="s">
        <v>1484</v>
      </c>
      <c r="J65" s="1099"/>
      <c r="K65" s="1103" t="s">
        <v>498</v>
      </c>
      <c r="L65" s="1103" t="s">
        <v>497</v>
      </c>
      <c r="M65" s="1104">
        <f t="shared" ref="M65:M76" si="3">E65*L65</f>
        <v>48000</v>
      </c>
      <c r="N65" s="1099">
        <v>2</v>
      </c>
      <c r="O65" s="1099">
        <v>6</v>
      </c>
      <c r="P65" s="1105">
        <f t="shared" si="2"/>
        <v>24000</v>
      </c>
    </row>
    <row r="66" spans="1:16" s="1154" customFormat="1" ht="24">
      <c r="A66" s="1098" t="s">
        <v>506</v>
      </c>
      <c r="B66" s="1099" t="s">
        <v>505</v>
      </c>
      <c r="C66" s="1099" t="s">
        <v>504</v>
      </c>
      <c r="D66" s="1100" t="s">
        <v>582</v>
      </c>
      <c r="E66" s="1101">
        <v>2850</v>
      </c>
      <c r="F66" s="1099" t="s">
        <v>1483</v>
      </c>
      <c r="G66" s="1100" t="s">
        <v>1482</v>
      </c>
      <c r="H66" s="1099" t="s">
        <v>888</v>
      </c>
      <c r="I66" s="1100" t="s">
        <v>499</v>
      </c>
      <c r="J66" s="1099"/>
      <c r="K66" s="1103" t="s">
        <v>498</v>
      </c>
      <c r="L66" s="1103" t="s">
        <v>497</v>
      </c>
      <c r="M66" s="1104">
        <f t="shared" si="3"/>
        <v>34200</v>
      </c>
      <c r="N66" s="1099">
        <v>2</v>
      </c>
      <c r="O66" s="1099">
        <v>6</v>
      </c>
      <c r="P66" s="1105">
        <f t="shared" si="2"/>
        <v>17100</v>
      </c>
    </row>
    <row r="67" spans="1:16" s="1154" customFormat="1" ht="36">
      <c r="A67" s="1098" t="s">
        <v>506</v>
      </c>
      <c r="B67" s="1099" t="s">
        <v>505</v>
      </c>
      <c r="C67" s="1099" t="s">
        <v>504</v>
      </c>
      <c r="D67" s="1100" t="s">
        <v>1481</v>
      </c>
      <c r="E67" s="1101">
        <v>3150</v>
      </c>
      <c r="F67" s="1099" t="s">
        <v>1480</v>
      </c>
      <c r="G67" s="1100" t="s">
        <v>1479</v>
      </c>
      <c r="H67" s="1099" t="s">
        <v>543</v>
      </c>
      <c r="I67" s="1102" t="s">
        <v>507</v>
      </c>
      <c r="J67" s="1099"/>
      <c r="K67" s="1103" t="s">
        <v>498</v>
      </c>
      <c r="L67" s="1103" t="s">
        <v>497</v>
      </c>
      <c r="M67" s="1104">
        <f t="shared" si="3"/>
        <v>37800</v>
      </c>
      <c r="N67" s="1099">
        <v>3</v>
      </c>
      <c r="O67" s="1099">
        <v>6</v>
      </c>
      <c r="P67" s="1105">
        <f t="shared" si="2"/>
        <v>18900</v>
      </c>
    </row>
    <row r="68" spans="1:16" s="1154" customFormat="1" ht="24">
      <c r="A68" s="1098" t="s">
        <v>506</v>
      </c>
      <c r="B68" s="1099" t="s">
        <v>505</v>
      </c>
      <c r="C68" s="1099" t="s">
        <v>504</v>
      </c>
      <c r="D68" s="1102" t="s">
        <v>1478</v>
      </c>
      <c r="E68" s="1101">
        <v>8000</v>
      </c>
      <c r="F68" s="1099" t="s">
        <v>1477</v>
      </c>
      <c r="G68" s="1100" t="s">
        <v>1476</v>
      </c>
      <c r="H68" s="1112" t="s">
        <v>515</v>
      </c>
      <c r="I68" s="1102" t="s">
        <v>507</v>
      </c>
      <c r="J68" s="1099"/>
      <c r="K68" s="1103" t="s">
        <v>498</v>
      </c>
      <c r="L68" s="1103" t="s">
        <v>497</v>
      </c>
      <c r="M68" s="1104">
        <f t="shared" si="3"/>
        <v>96000</v>
      </c>
      <c r="N68" s="1099">
        <v>2</v>
      </c>
      <c r="O68" s="1099">
        <v>6</v>
      </c>
      <c r="P68" s="1105">
        <f t="shared" si="2"/>
        <v>48000</v>
      </c>
    </row>
    <row r="69" spans="1:16" s="1154" customFormat="1" ht="24">
      <c r="A69" s="1098" t="s">
        <v>506</v>
      </c>
      <c r="B69" s="1099" t="s">
        <v>505</v>
      </c>
      <c r="C69" s="1099" t="s">
        <v>504</v>
      </c>
      <c r="D69" s="1100" t="s">
        <v>518</v>
      </c>
      <c r="E69" s="1101">
        <v>12000</v>
      </c>
      <c r="F69" s="1122" t="s">
        <v>1475</v>
      </c>
      <c r="G69" s="1100" t="s">
        <v>1474</v>
      </c>
      <c r="H69" s="1099" t="s">
        <v>511</v>
      </c>
      <c r="I69" s="1100"/>
      <c r="J69" s="1099"/>
      <c r="K69" s="1103">
        <v>1</v>
      </c>
      <c r="L69" s="1103">
        <v>12</v>
      </c>
      <c r="M69" s="1104">
        <f t="shared" si="3"/>
        <v>144000</v>
      </c>
      <c r="N69" s="1099">
        <v>1</v>
      </c>
      <c r="O69" s="1099">
        <v>3</v>
      </c>
      <c r="P69" s="1105">
        <f t="shared" si="2"/>
        <v>36000</v>
      </c>
    </row>
    <row r="70" spans="1:16" s="1154" customFormat="1" ht="24">
      <c r="A70" s="1098" t="s">
        <v>506</v>
      </c>
      <c r="B70" s="1099" t="s">
        <v>505</v>
      </c>
      <c r="C70" s="1099" t="s">
        <v>504</v>
      </c>
      <c r="D70" s="1100" t="s">
        <v>787</v>
      </c>
      <c r="E70" s="1101">
        <v>7000</v>
      </c>
      <c r="F70" s="1122" t="s">
        <v>1473</v>
      </c>
      <c r="G70" s="1100" t="s">
        <v>1472</v>
      </c>
      <c r="H70" s="1099" t="s">
        <v>704</v>
      </c>
      <c r="I70" s="1100"/>
      <c r="J70" s="1099"/>
      <c r="K70" s="1103">
        <v>0</v>
      </c>
      <c r="L70" s="1103">
        <v>0</v>
      </c>
      <c r="M70" s="1104">
        <f t="shared" si="3"/>
        <v>0</v>
      </c>
      <c r="N70" s="1099">
        <v>1</v>
      </c>
      <c r="O70" s="1099">
        <v>5</v>
      </c>
      <c r="P70" s="1105">
        <f t="shared" si="2"/>
        <v>35000</v>
      </c>
    </row>
    <row r="71" spans="1:16" s="1154" customFormat="1" ht="24">
      <c r="A71" s="1098" t="s">
        <v>506</v>
      </c>
      <c r="B71" s="1099" t="s">
        <v>505</v>
      </c>
      <c r="C71" s="1099" t="s">
        <v>504</v>
      </c>
      <c r="D71" s="1100" t="s">
        <v>503</v>
      </c>
      <c r="E71" s="1101">
        <v>930</v>
      </c>
      <c r="F71" s="1099" t="s">
        <v>1471</v>
      </c>
      <c r="G71" s="1100" t="s">
        <v>1470</v>
      </c>
      <c r="H71" s="1099" t="s">
        <v>500</v>
      </c>
      <c r="I71" s="1100" t="s">
        <v>499</v>
      </c>
      <c r="J71" s="1099"/>
      <c r="K71" s="1103" t="s">
        <v>498</v>
      </c>
      <c r="L71" s="1103" t="s">
        <v>497</v>
      </c>
      <c r="M71" s="1104">
        <f t="shared" si="3"/>
        <v>11160</v>
      </c>
      <c r="N71" s="1099">
        <v>3</v>
      </c>
      <c r="O71" s="1099">
        <v>6</v>
      </c>
      <c r="P71" s="1105">
        <f t="shared" si="2"/>
        <v>5580</v>
      </c>
    </row>
    <row r="72" spans="1:16" s="1154" customFormat="1" ht="24">
      <c r="A72" s="1098" t="s">
        <v>506</v>
      </c>
      <c r="B72" s="1099" t="s">
        <v>505</v>
      </c>
      <c r="C72" s="1099" t="s">
        <v>504</v>
      </c>
      <c r="D72" s="1102" t="s">
        <v>1394</v>
      </c>
      <c r="E72" s="1101">
        <v>2500</v>
      </c>
      <c r="F72" s="1099" t="s">
        <v>1469</v>
      </c>
      <c r="G72" s="1100" t="s">
        <v>1468</v>
      </c>
      <c r="H72" s="1112" t="s">
        <v>508</v>
      </c>
      <c r="I72" s="1102" t="s">
        <v>507</v>
      </c>
      <c r="J72" s="1099"/>
      <c r="K72" s="1103" t="s">
        <v>498</v>
      </c>
      <c r="L72" s="1103" t="s">
        <v>497</v>
      </c>
      <c r="M72" s="1104">
        <f t="shared" si="3"/>
        <v>30000</v>
      </c>
      <c r="N72" s="1099">
        <v>3</v>
      </c>
      <c r="O72" s="1099">
        <v>6</v>
      </c>
      <c r="P72" s="1105">
        <f t="shared" si="2"/>
        <v>15000</v>
      </c>
    </row>
    <row r="73" spans="1:16" s="1154" customFormat="1" ht="24">
      <c r="A73" s="1098" t="s">
        <v>506</v>
      </c>
      <c r="B73" s="1099" t="s">
        <v>505</v>
      </c>
      <c r="C73" s="1099" t="s">
        <v>504</v>
      </c>
      <c r="D73" s="1100" t="s">
        <v>1467</v>
      </c>
      <c r="E73" s="1101">
        <v>4000</v>
      </c>
      <c r="F73" s="1122" t="s">
        <v>1466</v>
      </c>
      <c r="G73" s="1100" t="s">
        <v>1465</v>
      </c>
      <c r="H73" s="1099" t="s">
        <v>1464</v>
      </c>
      <c r="I73" s="1102"/>
      <c r="J73" s="1099"/>
      <c r="K73" s="1103">
        <v>1</v>
      </c>
      <c r="L73" s="1103">
        <v>12</v>
      </c>
      <c r="M73" s="1104">
        <f t="shared" si="3"/>
        <v>48000</v>
      </c>
      <c r="N73" s="1099">
        <v>1</v>
      </c>
      <c r="O73" s="1099">
        <v>2</v>
      </c>
      <c r="P73" s="1105">
        <f>+E73/30*4+E73*2</f>
        <v>8533.3333333333339</v>
      </c>
    </row>
    <row r="74" spans="1:16" s="1154" customFormat="1" ht="36">
      <c r="A74" s="1098" t="s">
        <v>506</v>
      </c>
      <c r="B74" s="1099" t="s">
        <v>505</v>
      </c>
      <c r="C74" s="1099" t="s">
        <v>504</v>
      </c>
      <c r="D74" s="1102" t="s">
        <v>1051</v>
      </c>
      <c r="E74" s="1101">
        <v>7500</v>
      </c>
      <c r="F74" s="1099" t="s">
        <v>1463</v>
      </c>
      <c r="G74" s="1100" t="s">
        <v>1462</v>
      </c>
      <c r="H74" s="1112" t="s">
        <v>508</v>
      </c>
      <c r="I74" s="1102" t="s">
        <v>507</v>
      </c>
      <c r="J74" s="1099"/>
      <c r="K74" s="1103" t="s">
        <v>498</v>
      </c>
      <c r="L74" s="1103" t="s">
        <v>497</v>
      </c>
      <c r="M74" s="1104">
        <f t="shared" si="3"/>
        <v>90000</v>
      </c>
      <c r="N74" s="1099">
        <v>3</v>
      </c>
      <c r="O74" s="1099">
        <v>6</v>
      </c>
      <c r="P74" s="1105">
        <f t="shared" ref="P74:P80" si="4">E74*O74</f>
        <v>45000</v>
      </c>
    </row>
    <row r="75" spans="1:16" s="1154" customFormat="1" ht="24">
      <c r="A75" s="1098" t="s">
        <v>506</v>
      </c>
      <c r="B75" s="1099" t="s">
        <v>505</v>
      </c>
      <c r="C75" s="1099" t="s">
        <v>504</v>
      </c>
      <c r="D75" s="1100" t="s">
        <v>1461</v>
      </c>
      <c r="E75" s="1101">
        <v>9000</v>
      </c>
      <c r="F75" s="1099" t="s">
        <v>1460</v>
      </c>
      <c r="G75" s="1100" t="s">
        <v>1459</v>
      </c>
      <c r="H75" s="1099" t="s">
        <v>534</v>
      </c>
      <c r="I75" s="1102" t="s">
        <v>507</v>
      </c>
      <c r="J75" s="1099"/>
      <c r="K75" s="1103" t="s">
        <v>498</v>
      </c>
      <c r="L75" s="1103" t="s">
        <v>497</v>
      </c>
      <c r="M75" s="1104">
        <f t="shared" si="3"/>
        <v>108000</v>
      </c>
      <c r="N75" s="1099">
        <v>3</v>
      </c>
      <c r="O75" s="1099">
        <v>6</v>
      </c>
      <c r="P75" s="1105">
        <f t="shared" si="4"/>
        <v>54000</v>
      </c>
    </row>
    <row r="76" spans="1:16" s="1154" customFormat="1" ht="36">
      <c r="A76" s="1098" t="s">
        <v>506</v>
      </c>
      <c r="B76" s="1099" t="s">
        <v>505</v>
      </c>
      <c r="C76" s="1099" t="s">
        <v>504</v>
      </c>
      <c r="D76" s="1102" t="s">
        <v>1458</v>
      </c>
      <c r="E76" s="1101">
        <v>3500</v>
      </c>
      <c r="F76" s="1122" t="s">
        <v>1457</v>
      </c>
      <c r="G76" s="1100" t="s">
        <v>1456</v>
      </c>
      <c r="H76" s="1112" t="s">
        <v>1455</v>
      </c>
      <c r="I76" s="1102"/>
      <c r="J76" s="1099"/>
      <c r="K76" s="1103">
        <v>1</v>
      </c>
      <c r="L76" s="1103">
        <v>3</v>
      </c>
      <c r="M76" s="1104">
        <f t="shared" si="3"/>
        <v>10500</v>
      </c>
      <c r="N76" s="1099">
        <v>1</v>
      </c>
      <c r="O76" s="1099">
        <v>6</v>
      </c>
      <c r="P76" s="1105">
        <f t="shared" si="4"/>
        <v>21000</v>
      </c>
    </row>
    <row r="77" spans="1:16" s="1154" customFormat="1" ht="24">
      <c r="A77" s="1098" t="s">
        <v>506</v>
      </c>
      <c r="B77" s="1099" t="s">
        <v>505</v>
      </c>
      <c r="C77" s="1099" t="s">
        <v>504</v>
      </c>
      <c r="D77" s="1119" t="s">
        <v>1454</v>
      </c>
      <c r="E77" s="1101">
        <v>7000</v>
      </c>
      <c r="F77" s="1120" t="s">
        <v>1453</v>
      </c>
      <c r="G77" s="1114" t="s">
        <v>1452</v>
      </c>
      <c r="H77" s="1113"/>
      <c r="I77" s="1114"/>
      <c r="J77" s="1113"/>
      <c r="K77" s="1103">
        <v>1</v>
      </c>
      <c r="L77" s="1103">
        <v>1</v>
      </c>
      <c r="M77" s="1115">
        <f>E77/30*23+E77*1</f>
        <v>12366.666666666668</v>
      </c>
      <c r="N77" s="1113">
        <v>0</v>
      </c>
      <c r="O77" s="1113">
        <v>0</v>
      </c>
      <c r="P77" s="1116">
        <f t="shared" si="4"/>
        <v>0</v>
      </c>
    </row>
    <row r="78" spans="1:16" s="1154" customFormat="1" ht="24">
      <c r="A78" s="1098" t="s">
        <v>506</v>
      </c>
      <c r="B78" s="1099" t="s">
        <v>505</v>
      </c>
      <c r="C78" s="1099" t="s">
        <v>504</v>
      </c>
      <c r="D78" s="1119" t="s">
        <v>1031</v>
      </c>
      <c r="E78" s="1101">
        <v>3900</v>
      </c>
      <c r="F78" s="1120" t="s">
        <v>1451</v>
      </c>
      <c r="G78" s="1114" t="s">
        <v>1450</v>
      </c>
      <c r="H78" s="1113"/>
      <c r="I78" s="1114"/>
      <c r="J78" s="1113"/>
      <c r="K78" s="1103">
        <v>1</v>
      </c>
      <c r="L78" s="1103"/>
      <c r="M78" s="1115">
        <f>E78/30*15+E78*10</f>
        <v>40950</v>
      </c>
      <c r="N78" s="1113">
        <v>0</v>
      </c>
      <c r="O78" s="1113">
        <v>0</v>
      </c>
      <c r="P78" s="1116">
        <f t="shared" si="4"/>
        <v>0</v>
      </c>
    </row>
    <row r="79" spans="1:16" s="1154" customFormat="1" ht="24">
      <c r="A79" s="1098" t="s">
        <v>506</v>
      </c>
      <c r="B79" s="1099" t="s">
        <v>505</v>
      </c>
      <c r="C79" s="1099" t="s">
        <v>504</v>
      </c>
      <c r="D79" s="1100" t="s">
        <v>1449</v>
      </c>
      <c r="E79" s="1101">
        <v>1800</v>
      </c>
      <c r="F79" s="1099" t="s">
        <v>1448</v>
      </c>
      <c r="G79" s="1100" t="s">
        <v>1447</v>
      </c>
      <c r="H79" s="1112" t="s">
        <v>712</v>
      </c>
      <c r="I79" s="1100" t="s">
        <v>619</v>
      </c>
      <c r="J79" s="1099"/>
      <c r="K79" s="1103" t="s">
        <v>498</v>
      </c>
      <c r="L79" s="1103" t="s">
        <v>497</v>
      </c>
      <c r="M79" s="1104">
        <f>E79*L79</f>
        <v>21600</v>
      </c>
      <c r="N79" s="1099">
        <v>3</v>
      </c>
      <c r="O79" s="1099">
        <v>6</v>
      </c>
      <c r="P79" s="1105">
        <f t="shared" si="4"/>
        <v>10800</v>
      </c>
    </row>
    <row r="80" spans="1:16" s="1154" customFormat="1" ht="48">
      <c r="A80" s="1098" t="s">
        <v>506</v>
      </c>
      <c r="B80" s="1099" t="s">
        <v>505</v>
      </c>
      <c r="C80" s="1099" t="s">
        <v>504</v>
      </c>
      <c r="D80" s="1100" t="s">
        <v>1090</v>
      </c>
      <c r="E80" s="1101">
        <v>10000</v>
      </c>
      <c r="F80" s="1099" t="s">
        <v>1446</v>
      </c>
      <c r="G80" s="1100" t="s">
        <v>1445</v>
      </c>
      <c r="H80" s="1112" t="s">
        <v>530</v>
      </c>
      <c r="I80" s="1102" t="s">
        <v>507</v>
      </c>
      <c r="J80" s="1099"/>
      <c r="K80" s="1103" t="s">
        <v>498</v>
      </c>
      <c r="L80" s="1103" t="s">
        <v>497</v>
      </c>
      <c r="M80" s="1104">
        <f>E80*L80</f>
        <v>120000</v>
      </c>
      <c r="N80" s="1099">
        <v>3</v>
      </c>
      <c r="O80" s="1099">
        <v>6</v>
      </c>
      <c r="P80" s="1105">
        <f t="shared" si="4"/>
        <v>60000</v>
      </c>
    </row>
    <row r="81" spans="1:16" s="1154" customFormat="1" ht="24">
      <c r="A81" s="1098" t="s">
        <v>506</v>
      </c>
      <c r="B81" s="1099" t="s">
        <v>505</v>
      </c>
      <c r="C81" s="1099" t="s">
        <v>504</v>
      </c>
      <c r="D81" s="1119" t="s">
        <v>1444</v>
      </c>
      <c r="E81" s="1101">
        <v>10000</v>
      </c>
      <c r="F81" s="1120" t="s">
        <v>1443</v>
      </c>
      <c r="G81" s="1114" t="s">
        <v>1442</v>
      </c>
      <c r="H81" s="1113"/>
      <c r="I81" s="1114"/>
      <c r="J81" s="1121"/>
      <c r="K81" s="1103">
        <v>1</v>
      </c>
      <c r="L81" s="1103">
        <v>2</v>
      </c>
      <c r="M81" s="1104">
        <f>E81*L81</f>
        <v>20000</v>
      </c>
      <c r="N81" s="1113">
        <v>0</v>
      </c>
      <c r="O81" s="1113">
        <v>0</v>
      </c>
      <c r="P81" s="1116">
        <v>0</v>
      </c>
    </row>
    <row r="82" spans="1:16" s="1154" customFormat="1" ht="24">
      <c r="A82" s="1098" t="s">
        <v>506</v>
      </c>
      <c r="B82" s="1099" t="s">
        <v>505</v>
      </c>
      <c r="C82" s="1099" t="s">
        <v>504</v>
      </c>
      <c r="D82" s="1100" t="s">
        <v>573</v>
      </c>
      <c r="E82" s="1101">
        <v>3000</v>
      </c>
      <c r="F82" s="1099" t="s">
        <v>1441</v>
      </c>
      <c r="G82" s="1100" t="s">
        <v>1440</v>
      </c>
      <c r="H82" s="1099" t="s">
        <v>1272</v>
      </c>
      <c r="I82" s="1100" t="s">
        <v>499</v>
      </c>
      <c r="J82" s="1099"/>
      <c r="K82" s="1103" t="s">
        <v>498</v>
      </c>
      <c r="L82" s="1103" t="s">
        <v>497</v>
      </c>
      <c r="M82" s="1104">
        <f>E82*L82</f>
        <v>36000</v>
      </c>
      <c r="N82" s="1099">
        <v>3</v>
      </c>
      <c r="O82" s="1099">
        <v>6</v>
      </c>
      <c r="P82" s="1105">
        <f t="shared" ref="P82:P87" si="5">E82*O82</f>
        <v>18000</v>
      </c>
    </row>
    <row r="83" spans="1:16" s="1154" customFormat="1" ht="24">
      <c r="A83" s="1098" t="s">
        <v>506</v>
      </c>
      <c r="B83" s="1099" t="s">
        <v>505</v>
      </c>
      <c r="C83" s="1099" t="s">
        <v>504</v>
      </c>
      <c r="D83" s="1100" t="s">
        <v>844</v>
      </c>
      <c r="E83" s="1101">
        <v>5500</v>
      </c>
      <c r="F83" s="1099" t="s">
        <v>1438</v>
      </c>
      <c r="G83" s="1100" t="s">
        <v>1437</v>
      </c>
      <c r="H83" s="1112" t="s">
        <v>519</v>
      </c>
      <c r="I83" s="1102" t="s">
        <v>507</v>
      </c>
      <c r="J83" s="1099"/>
      <c r="K83" s="1103" t="s">
        <v>664</v>
      </c>
      <c r="L83" s="1103" t="s">
        <v>562</v>
      </c>
      <c r="M83" s="1104">
        <f>E83*L83</f>
        <v>22000</v>
      </c>
      <c r="N83" s="1099">
        <v>0</v>
      </c>
      <c r="O83" s="1099">
        <v>0</v>
      </c>
      <c r="P83" s="1105">
        <f t="shared" si="5"/>
        <v>0</v>
      </c>
    </row>
    <row r="84" spans="1:16" s="1154" customFormat="1" ht="24">
      <c r="A84" s="1098" t="s">
        <v>506</v>
      </c>
      <c r="B84" s="1099" t="s">
        <v>505</v>
      </c>
      <c r="C84" s="1099" t="s">
        <v>504</v>
      </c>
      <c r="D84" s="1102" t="s">
        <v>1439</v>
      </c>
      <c r="E84" s="1101">
        <v>6500</v>
      </c>
      <c r="F84" s="1099" t="s">
        <v>1438</v>
      </c>
      <c r="G84" s="1100" t="s">
        <v>1437</v>
      </c>
      <c r="H84" s="1112" t="s">
        <v>519</v>
      </c>
      <c r="I84" s="1102" t="s">
        <v>507</v>
      </c>
      <c r="J84" s="1099"/>
      <c r="K84" s="1103" t="s">
        <v>563</v>
      </c>
      <c r="L84" s="1103" t="s">
        <v>828</v>
      </c>
      <c r="M84" s="1104">
        <f>+E84/30*22+E84*7</f>
        <v>50266.666666666664</v>
      </c>
      <c r="N84" s="1099">
        <v>3</v>
      </c>
      <c r="O84" s="1099">
        <v>6</v>
      </c>
      <c r="P84" s="1105">
        <f t="shared" si="5"/>
        <v>39000</v>
      </c>
    </row>
    <row r="85" spans="1:16" s="1154" customFormat="1" ht="24">
      <c r="A85" s="1098" t="s">
        <v>506</v>
      </c>
      <c r="B85" s="1099" t="s">
        <v>505</v>
      </c>
      <c r="C85" s="1099" t="s">
        <v>504</v>
      </c>
      <c r="D85" s="1119" t="s">
        <v>1436</v>
      </c>
      <c r="E85" s="1101">
        <v>3500</v>
      </c>
      <c r="F85" s="1120" t="s">
        <v>1435</v>
      </c>
      <c r="G85" s="1114" t="s">
        <v>1434</v>
      </c>
      <c r="H85" s="1113"/>
      <c r="I85" s="1114"/>
      <c r="J85" s="1113"/>
      <c r="K85" s="1103">
        <v>1</v>
      </c>
      <c r="L85" s="1103">
        <v>8</v>
      </c>
      <c r="M85" s="1104">
        <f t="shared" ref="M85:M93" si="6">E85*L85</f>
        <v>28000</v>
      </c>
      <c r="N85" s="1113">
        <v>0</v>
      </c>
      <c r="O85" s="1113">
        <v>0</v>
      </c>
      <c r="P85" s="1116">
        <f t="shared" si="5"/>
        <v>0</v>
      </c>
    </row>
    <row r="86" spans="1:16" s="1154" customFormat="1" ht="24">
      <c r="A86" s="1098" t="s">
        <v>506</v>
      </c>
      <c r="B86" s="1099" t="s">
        <v>505</v>
      </c>
      <c r="C86" s="1099" t="s">
        <v>504</v>
      </c>
      <c r="D86" s="1100" t="s">
        <v>1432</v>
      </c>
      <c r="E86" s="1101">
        <v>10000</v>
      </c>
      <c r="F86" s="1099" t="s">
        <v>1431</v>
      </c>
      <c r="G86" s="1100" t="s">
        <v>1430</v>
      </c>
      <c r="H86" s="1099" t="s">
        <v>944</v>
      </c>
      <c r="I86" s="1102" t="s">
        <v>507</v>
      </c>
      <c r="J86" s="1099"/>
      <c r="K86" s="1103" t="s">
        <v>498</v>
      </c>
      <c r="L86" s="1103" t="s">
        <v>773</v>
      </c>
      <c r="M86" s="1104">
        <f t="shared" si="6"/>
        <v>0</v>
      </c>
      <c r="N86" s="1099">
        <v>0</v>
      </c>
      <c r="O86" s="1099">
        <v>0</v>
      </c>
      <c r="P86" s="1105">
        <f t="shared" si="5"/>
        <v>0</v>
      </c>
    </row>
    <row r="87" spans="1:16" s="1154" customFormat="1" ht="36">
      <c r="A87" s="1098" t="s">
        <v>506</v>
      </c>
      <c r="B87" s="1099" t="s">
        <v>505</v>
      </c>
      <c r="C87" s="1099" t="s">
        <v>504</v>
      </c>
      <c r="D87" s="1100" t="s">
        <v>1433</v>
      </c>
      <c r="E87" s="1101">
        <v>8000</v>
      </c>
      <c r="F87" s="1122" t="s">
        <v>1431</v>
      </c>
      <c r="G87" s="1100" t="s">
        <v>1430</v>
      </c>
      <c r="H87" s="1099" t="s">
        <v>1429</v>
      </c>
      <c r="I87" s="1100"/>
      <c r="J87" s="1099"/>
      <c r="K87" s="1103">
        <v>1</v>
      </c>
      <c r="L87" s="1103">
        <v>12</v>
      </c>
      <c r="M87" s="1104">
        <f t="shared" si="6"/>
        <v>96000</v>
      </c>
      <c r="N87" s="1099">
        <v>0</v>
      </c>
      <c r="O87" s="1099">
        <v>0</v>
      </c>
      <c r="P87" s="1105">
        <f t="shared" si="5"/>
        <v>0</v>
      </c>
    </row>
    <row r="88" spans="1:16" s="1154" customFormat="1" ht="24">
      <c r="A88" s="1098" t="s">
        <v>506</v>
      </c>
      <c r="B88" s="1099" t="s">
        <v>505</v>
      </c>
      <c r="C88" s="1099" t="s">
        <v>504</v>
      </c>
      <c r="D88" s="1100" t="s">
        <v>1432</v>
      </c>
      <c r="E88" s="1101">
        <v>8000</v>
      </c>
      <c r="F88" s="1099" t="s">
        <v>1431</v>
      </c>
      <c r="G88" s="1100" t="s">
        <v>1430</v>
      </c>
      <c r="H88" s="1099" t="s">
        <v>1429</v>
      </c>
      <c r="I88" s="1100"/>
      <c r="J88" s="1099"/>
      <c r="K88" s="1103">
        <v>0</v>
      </c>
      <c r="L88" s="1103">
        <v>0</v>
      </c>
      <c r="M88" s="1104">
        <f t="shared" si="6"/>
        <v>0</v>
      </c>
      <c r="N88" s="1099">
        <v>1</v>
      </c>
      <c r="O88" s="1099">
        <v>1</v>
      </c>
      <c r="P88" s="1105">
        <f>E88/30*9+E88*1</f>
        <v>10400</v>
      </c>
    </row>
    <row r="89" spans="1:16" s="1154" customFormat="1" ht="24">
      <c r="A89" s="1098" t="s">
        <v>506</v>
      </c>
      <c r="B89" s="1099" t="s">
        <v>505</v>
      </c>
      <c r="C89" s="1099" t="s">
        <v>504</v>
      </c>
      <c r="D89" s="1100" t="s">
        <v>1432</v>
      </c>
      <c r="E89" s="1101">
        <v>10000</v>
      </c>
      <c r="F89" s="1099" t="s">
        <v>1431</v>
      </c>
      <c r="G89" s="1100" t="s">
        <v>1430</v>
      </c>
      <c r="H89" s="1099" t="s">
        <v>1429</v>
      </c>
      <c r="I89" s="1100"/>
      <c r="J89" s="1099"/>
      <c r="K89" s="1103">
        <v>0</v>
      </c>
      <c r="L89" s="1103">
        <v>0</v>
      </c>
      <c r="M89" s="1104">
        <f t="shared" si="6"/>
        <v>0</v>
      </c>
      <c r="N89" s="1099">
        <v>3</v>
      </c>
      <c r="O89" s="1099">
        <v>4</v>
      </c>
      <c r="P89" s="1105">
        <f>E89/30*21+E89*4</f>
        <v>47000</v>
      </c>
    </row>
    <row r="90" spans="1:16" s="1154" customFormat="1" ht="24">
      <c r="A90" s="1098" t="s">
        <v>506</v>
      </c>
      <c r="B90" s="1099" t="s">
        <v>505</v>
      </c>
      <c r="C90" s="1099" t="s">
        <v>504</v>
      </c>
      <c r="D90" s="1102" t="s">
        <v>1319</v>
      </c>
      <c r="E90" s="1101">
        <v>8000</v>
      </c>
      <c r="F90" s="1099" t="s">
        <v>1428</v>
      </c>
      <c r="G90" s="1100" t="s">
        <v>1427</v>
      </c>
      <c r="H90" s="1112" t="s">
        <v>508</v>
      </c>
      <c r="I90" s="1102" t="s">
        <v>507</v>
      </c>
      <c r="J90" s="1099"/>
      <c r="K90" s="1103" t="s">
        <v>498</v>
      </c>
      <c r="L90" s="1103" t="s">
        <v>687</v>
      </c>
      <c r="M90" s="1104">
        <f t="shared" si="6"/>
        <v>48000</v>
      </c>
      <c r="N90" s="1099">
        <v>3</v>
      </c>
      <c r="O90" s="1099">
        <v>6</v>
      </c>
      <c r="P90" s="1105">
        <f>E90*O90</f>
        <v>48000</v>
      </c>
    </row>
    <row r="91" spans="1:16" s="1154" customFormat="1" ht="24">
      <c r="A91" s="1098" t="s">
        <v>506</v>
      </c>
      <c r="B91" s="1099" t="s">
        <v>505</v>
      </c>
      <c r="C91" s="1099" t="s">
        <v>504</v>
      </c>
      <c r="D91" s="1102" t="s">
        <v>540</v>
      </c>
      <c r="E91" s="1101">
        <v>7000</v>
      </c>
      <c r="F91" s="1099" t="s">
        <v>1426</v>
      </c>
      <c r="G91" s="1100" t="s">
        <v>1425</v>
      </c>
      <c r="H91" s="1112" t="s">
        <v>508</v>
      </c>
      <c r="I91" s="1102" t="s">
        <v>507</v>
      </c>
      <c r="J91" s="1099"/>
      <c r="K91" s="1103" t="s">
        <v>563</v>
      </c>
      <c r="L91" s="1103" t="s">
        <v>562</v>
      </c>
      <c r="M91" s="1104">
        <f t="shared" si="6"/>
        <v>28000</v>
      </c>
      <c r="N91" s="1099">
        <v>3</v>
      </c>
      <c r="O91" s="1099">
        <v>6</v>
      </c>
      <c r="P91" s="1105">
        <f>E91*O91</f>
        <v>42000</v>
      </c>
    </row>
    <row r="92" spans="1:16" s="1154" customFormat="1" ht="24">
      <c r="A92" s="1098" t="s">
        <v>506</v>
      </c>
      <c r="B92" s="1099" t="s">
        <v>505</v>
      </c>
      <c r="C92" s="1099" t="s">
        <v>504</v>
      </c>
      <c r="D92" s="1100" t="s">
        <v>622</v>
      </c>
      <c r="E92" s="1101">
        <v>2500</v>
      </c>
      <c r="F92" s="1099" t="s">
        <v>1424</v>
      </c>
      <c r="G92" s="1100" t="s">
        <v>1423</v>
      </c>
      <c r="H92" s="1112" t="s">
        <v>712</v>
      </c>
      <c r="I92" s="1100" t="s">
        <v>619</v>
      </c>
      <c r="J92" s="1099"/>
      <c r="K92" s="1103" t="s">
        <v>498</v>
      </c>
      <c r="L92" s="1103" t="s">
        <v>497</v>
      </c>
      <c r="M92" s="1104">
        <f t="shared" si="6"/>
        <v>30000</v>
      </c>
      <c r="N92" s="1099">
        <v>3</v>
      </c>
      <c r="O92" s="1099">
        <v>6</v>
      </c>
      <c r="P92" s="1105">
        <f>E92*O92</f>
        <v>15000</v>
      </c>
    </row>
    <row r="93" spans="1:16" s="1154" customFormat="1" ht="36">
      <c r="A93" s="1098" t="s">
        <v>506</v>
      </c>
      <c r="B93" s="1099" t="s">
        <v>505</v>
      </c>
      <c r="C93" s="1099" t="s">
        <v>504</v>
      </c>
      <c r="D93" s="1119" t="s">
        <v>922</v>
      </c>
      <c r="E93" s="1101">
        <v>7500</v>
      </c>
      <c r="F93" s="1120" t="s">
        <v>1422</v>
      </c>
      <c r="G93" s="1114" t="s">
        <v>1421</v>
      </c>
      <c r="H93" s="1113"/>
      <c r="I93" s="1114"/>
      <c r="J93" s="1121"/>
      <c r="K93" s="1103">
        <v>2</v>
      </c>
      <c r="L93" s="1103">
        <v>6</v>
      </c>
      <c r="M93" s="1104">
        <f t="shared" si="6"/>
        <v>45000</v>
      </c>
      <c r="N93" s="1113">
        <v>0</v>
      </c>
      <c r="O93" s="1113">
        <v>0</v>
      </c>
      <c r="P93" s="1116">
        <v>0</v>
      </c>
    </row>
    <row r="94" spans="1:16" s="1154" customFormat="1" ht="24">
      <c r="A94" s="1098" t="s">
        <v>506</v>
      </c>
      <c r="B94" s="1099" t="s">
        <v>505</v>
      </c>
      <c r="C94" s="1099" t="s">
        <v>504</v>
      </c>
      <c r="D94" s="1102" t="s">
        <v>1420</v>
      </c>
      <c r="E94" s="1101">
        <v>3000</v>
      </c>
      <c r="F94" s="1099" t="s">
        <v>1419</v>
      </c>
      <c r="G94" s="1100" t="s">
        <v>1418</v>
      </c>
      <c r="H94" s="1112" t="s">
        <v>1417</v>
      </c>
      <c r="I94" s="1102" t="s">
        <v>507</v>
      </c>
      <c r="J94" s="1099"/>
      <c r="K94" s="1103" t="s">
        <v>498</v>
      </c>
      <c r="L94" s="1103" t="s">
        <v>562</v>
      </c>
      <c r="M94" s="1104">
        <f>+E94/30*8+E94*4</f>
        <v>12800</v>
      </c>
      <c r="N94" s="1099">
        <v>3</v>
      </c>
      <c r="O94" s="1099">
        <v>6</v>
      </c>
      <c r="P94" s="1105">
        <f>E94*O94</f>
        <v>18000</v>
      </c>
    </row>
    <row r="95" spans="1:16" s="1154" customFormat="1" ht="24">
      <c r="A95" s="1098" t="s">
        <v>506</v>
      </c>
      <c r="B95" s="1099" t="s">
        <v>505</v>
      </c>
      <c r="C95" s="1099" t="s">
        <v>504</v>
      </c>
      <c r="D95" s="1119" t="s">
        <v>1319</v>
      </c>
      <c r="E95" s="1101">
        <v>5000</v>
      </c>
      <c r="F95" s="1120" t="s">
        <v>1416</v>
      </c>
      <c r="G95" s="1114" t="s">
        <v>1415</v>
      </c>
      <c r="H95" s="1113"/>
      <c r="I95" s="1114"/>
      <c r="J95" s="1113"/>
      <c r="K95" s="1103">
        <v>3</v>
      </c>
      <c r="L95" s="1103">
        <v>9</v>
      </c>
      <c r="M95" s="1104">
        <f t="shared" ref="M95:M100" si="7">E95*L95</f>
        <v>45000</v>
      </c>
      <c r="N95" s="1113">
        <v>0</v>
      </c>
      <c r="O95" s="1113">
        <v>0</v>
      </c>
      <c r="P95" s="1116">
        <f>E95*O95</f>
        <v>0</v>
      </c>
    </row>
    <row r="96" spans="1:16" s="1154" customFormat="1" ht="36">
      <c r="A96" s="1098" t="s">
        <v>506</v>
      </c>
      <c r="B96" s="1099" t="s">
        <v>505</v>
      </c>
      <c r="C96" s="1099" t="s">
        <v>504</v>
      </c>
      <c r="D96" s="1102" t="s">
        <v>1414</v>
      </c>
      <c r="E96" s="1101">
        <v>6000</v>
      </c>
      <c r="F96" s="1099" t="s">
        <v>1413</v>
      </c>
      <c r="G96" s="1100" t="s">
        <v>1412</v>
      </c>
      <c r="H96" s="1112" t="s">
        <v>515</v>
      </c>
      <c r="I96" s="1102" t="s">
        <v>547</v>
      </c>
      <c r="J96" s="1099"/>
      <c r="K96" s="1103" t="s">
        <v>498</v>
      </c>
      <c r="L96" s="1103" t="s">
        <v>497</v>
      </c>
      <c r="M96" s="1104">
        <f t="shared" si="7"/>
        <v>72000</v>
      </c>
      <c r="N96" s="1099">
        <v>3</v>
      </c>
      <c r="O96" s="1099">
        <v>6</v>
      </c>
      <c r="P96" s="1105">
        <f>E96*O96</f>
        <v>36000</v>
      </c>
    </row>
    <row r="97" spans="1:16" s="1154" customFormat="1" ht="24">
      <c r="A97" s="1098" t="s">
        <v>506</v>
      </c>
      <c r="B97" s="1099" t="s">
        <v>505</v>
      </c>
      <c r="C97" s="1099" t="s">
        <v>504</v>
      </c>
      <c r="D97" s="1100" t="s">
        <v>1411</v>
      </c>
      <c r="E97" s="1101">
        <v>11000</v>
      </c>
      <c r="F97" s="1099" t="s">
        <v>1410</v>
      </c>
      <c r="G97" s="1100" t="s">
        <v>1409</v>
      </c>
      <c r="H97" s="1112" t="s">
        <v>508</v>
      </c>
      <c r="I97" s="1102" t="s">
        <v>507</v>
      </c>
      <c r="J97" s="1099"/>
      <c r="K97" s="1103" t="s">
        <v>498</v>
      </c>
      <c r="L97" s="1103" t="s">
        <v>497</v>
      </c>
      <c r="M97" s="1104">
        <f t="shared" si="7"/>
        <v>132000</v>
      </c>
      <c r="N97" s="1099">
        <v>3</v>
      </c>
      <c r="O97" s="1099">
        <v>6</v>
      </c>
      <c r="P97" s="1105">
        <f>E97*O97</f>
        <v>66000</v>
      </c>
    </row>
    <row r="98" spans="1:16" s="1154" customFormat="1" ht="24">
      <c r="A98" s="1098" t="s">
        <v>506</v>
      </c>
      <c r="B98" s="1099" t="s">
        <v>505</v>
      </c>
      <c r="C98" s="1099" t="s">
        <v>504</v>
      </c>
      <c r="D98" s="1100" t="s">
        <v>659</v>
      </c>
      <c r="E98" s="1101">
        <v>5000</v>
      </c>
      <c r="F98" s="1099" t="s">
        <v>1408</v>
      </c>
      <c r="G98" s="1100" t="s">
        <v>1407</v>
      </c>
      <c r="H98" s="1099" t="s">
        <v>534</v>
      </c>
      <c r="I98" s="1102" t="s">
        <v>507</v>
      </c>
      <c r="J98" s="1099"/>
      <c r="K98" s="1103" t="s">
        <v>498</v>
      </c>
      <c r="L98" s="1103" t="s">
        <v>497</v>
      </c>
      <c r="M98" s="1104">
        <f t="shared" si="7"/>
        <v>60000</v>
      </c>
      <c r="N98" s="1099">
        <v>3</v>
      </c>
      <c r="O98" s="1099">
        <v>6</v>
      </c>
      <c r="P98" s="1105">
        <f>E98*O98</f>
        <v>30000</v>
      </c>
    </row>
    <row r="99" spans="1:16" s="1154" customFormat="1" ht="24">
      <c r="A99" s="1098" t="s">
        <v>506</v>
      </c>
      <c r="B99" s="1099" t="s">
        <v>505</v>
      </c>
      <c r="C99" s="1099" t="s">
        <v>504</v>
      </c>
      <c r="D99" s="1102" t="s">
        <v>1406</v>
      </c>
      <c r="E99" s="1101">
        <v>6000</v>
      </c>
      <c r="F99" s="1113" t="s">
        <v>1405</v>
      </c>
      <c r="G99" s="1114" t="s">
        <v>1404</v>
      </c>
      <c r="H99" s="1113"/>
      <c r="I99" s="1114"/>
      <c r="J99" s="1113"/>
      <c r="K99" s="1103">
        <v>0</v>
      </c>
      <c r="L99" s="1103">
        <v>0</v>
      </c>
      <c r="M99" s="1104">
        <f t="shared" si="7"/>
        <v>0</v>
      </c>
      <c r="N99" s="1113">
        <v>2</v>
      </c>
      <c r="O99" s="1113">
        <v>3</v>
      </c>
      <c r="P99" s="1105">
        <f>E99/30*26+E99*3</f>
        <v>23200</v>
      </c>
    </row>
    <row r="100" spans="1:16" s="1154" customFormat="1" ht="24">
      <c r="A100" s="1098" t="s">
        <v>506</v>
      </c>
      <c r="B100" s="1099" t="s">
        <v>505</v>
      </c>
      <c r="C100" s="1099" t="s">
        <v>504</v>
      </c>
      <c r="D100" s="1100" t="s">
        <v>1403</v>
      </c>
      <c r="E100" s="1101">
        <v>7000</v>
      </c>
      <c r="F100" s="1099" t="s">
        <v>1402</v>
      </c>
      <c r="G100" s="1100" t="s">
        <v>1401</v>
      </c>
      <c r="H100" s="1099" t="s">
        <v>1400</v>
      </c>
      <c r="I100" s="1100" t="s">
        <v>1399</v>
      </c>
      <c r="J100" s="1099"/>
      <c r="K100" s="1103" t="s">
        <v>498</v>
      </c>
      <c r="L100" s="1103" t="s">
        <v>497</v>
      </c>
      <c r="M100" s="1104">
        <f t="shared" si="7"/>
        <v>84000</v>
      </c>
      <c r="N100" s="1099">
        <v>3</v>
      </c>
      <c r="O100" s="1099">
        <v>6</v>
      </c>
      <c r="P100" s="1105">
        <f>E100*O100</f>
        <v>42000</v>
      </c>
    </row>
    <row r="101" spans="1:16" s="1154" customFormat="1" ht="24">
      <c r="A101" s="1098" t="s">
        <v>506</v>
      </c>
      <c r="B101" s="1099" t="s">
        <v>505</v>
      </c>
      <c r="C101" s="1099" t="s">
        <v>504</v>
      </c>
      <c r="D101" s="1102" t="s">
        <v>1043</v>
      </c>
      <c r="E101" s="1101">
        <v>15600</v>
      </c>
      <c r="F101" s="1113" t="s">
        <v>1398</v>
      </c>
      <c r="G101" s="1114" t="s">
        <v>1397</v>
      </c>
      <c r="H101" s="1113"/>
      <c r="I101" s="1114"/>
      <c r="J101" s="1113"/>
      <c r="K101" s="1103"/>
      <c r="L101" s="1103"/>
      <c r="M101" s="1115"/>
      <c r="N101" s="1113">
        <v>3</v>
      </c>
      <c r="O101" s="1113">
        <v>5</v>
      </c>
      <c r="P101" s="1105">
        <f>E101/30*5+E101*5</f>
        <v>80600</v>
      </c>
    </row>
    <row r="102" spans="1:16" s="1154" customFormat="1" ht="36">
      <c r="A102" s="1098" t="s">
        <v>506</v>
      </c>
      <c r="B102" s="1099" t="s">
        <v>505</v>
      </c>
      <c r="C102" s="1099" t="s">
        <v>504</v>
      </c>
      <c r="D102" s="1100" t="s">
        <v>659</v>
      </c>
      <c r="E102" s="1101">
        <v>3600</v>
      </c>
      <c r="F102" s="1099" t="s">
        <v>1396</v>
      </c>
      <c r="G102" s="1100" t="s">
        <v>1395</v>
      </c>
      <c r="H102" s="1099" t="s">
        <v>1315</v>
      </c>
      <c r="I102" s="1102" t="s">
        <v>507</v>
      </c>
      <c r="J102" s="1099"/>
      <c r="K102" s="1103" t="s">
        <v>498</v>
      </c>
      <c r="L102" s="1103" t="s">
        <v>497</v>
      </c>
      <c r="M102" s="1104">
        <f>E102*L102</f>
        <v>43200</v>
      </c>
      <c r="N102" s="1099">
        <v>3</v>
      </c>
      <c r="O102" s="1099">
        <v>6</v>
      </c>
      <c r="P102" s="1105">
        <f>E102*O102</f>
        <v>21600</v>
      </c>
    </row>
    <row r="103" spans="1:16" s="1154" customFormat="1" ht="24">
      <c r="A103" s="1098" t="s">
        <v>506</v>
      </c>
      <c r="B103" s="1099" t="s">
        <v>505</v>
      </c>
      <c r="C103" s="1099" t="s">
        <v>504</v>
      </c>
      <c r="D103" s="1100" t="s">
        <v>1394</v>
      </c>
      <c r="E103" s="1101">
        <v>4500</v>
      </c>
      <c r="F103" s="1122" t="s">
        <v>1393</v>
      </c>
      <c r="G103" s="1100" t="s">
        <v>1392</v>
      </c>
      <c r="H103" s="1099" t="s">
        <v>1085</v>
      </c>
      <c r="I103" s="1100" t="s">
        <v>507</v>
      </c>
      <c r="J103" s="1099"/>
      <c r="K103" s="1103">
        <v>1</v>
      </c>
      <c r="L103" s="1103">
        <v>12</v>
      </c>
      <c r="M103" s="1104">
        <f>E103*L103</f>
        <v>54000</v>
      </c>
      <c r="N103" s="1099">
        <v>4</v>
      </c>
      <c r="O103" s="1099">
        <v>6</v>
      </c>
      <c r="P103" s="1105">
        <f>E103/30*17+E103*6</f>
        <v>29550</v>
      </c>
    </row>
    <row r="104" spans="1:16" s="1154" customFormat="1" ht="24">
      <c r="A104" s="1098" t="s">
        <v>506</v>
      </c>
      <c r="B104" s="1099" t="s">
        <v>505</v>
      </c>
      <c r="C104" s="1099" t="s">
        <v>504</v>
      </c>
      <c r="D104" s="1100" t="s">
        <v>1391</v>
      </c>
      <c r="E104" s="1101">
        <v>4000</v>
      </c>
      <c r="F104" s="1099" t="s">
        <v>1390</v>
      </c>
      <c r="G104" s="1100" t="s">
        <v>1389</v>
      </c>
      <c r="H104" s="1099" t="s">
        <v>543</v>
      </c>
      <c r="I104" s="1102" t="s">
        <v>507</v>
      </c>
      <c r="J104" s="1099"/>
      <c r="K104" s="1103" t="s">
        <v>498</v>
      </c>
      <c r="L104" s="1103" t="s">
        <v>497</v>
      </c>
      <c r="M104" s="1104">
        <f>E104*L104</f>
        <v>48000</v>
      </c>
      <c r="N104" s="1099">
        <v>3</v>
      </c>
      <c r="O104" s="1099">
        <v>6</v>
      </c>
      <c r="P104" s="1105">
        <f t="shared" ref="P104:P126" si="8">E104*O104</f>
        <v>24000</v>
      </c>
    </row>
    <row r="105" spans="1:16" s="1154" customFormat="1" ht="24">
      <c r="A105" s="1098" t="s">
        <v>506</v>
      </c>
      <c r="B105" s="1099" t="s">
        <v>505</v>
      </c>
      <c r="C105" s="1099" t="s">
        <v>504</v>
      </c>
      <c r="D105" s="1100" t="s">
        <v>1388</v>
      </c>
      <c r="E105" s="1101">
        <v>5000</v>
      </c>
      <c r="F105" s="1099" t="s">
        <v>1386</v>
      </c>
      <c r="G105" s="1100" t="s">
        <v>1385</v>
      </c>
      <c r="H105" s="1099" t="s">
        <v>543</v>
      </c>
      <c r="I105" s="1100" t="s">
        <v>547</v>
      </c>
      <c r="J105" s="1099"/>
      <c r="K105" s="1103" t="s">
        <v>563</v>
      </c>
      <c r="L105" s="1103" t="s">
        <v>828</v>
      </c>
      <c r="M105" s="1104">
        <f>+E105/30*15+E105*7</f>
        <v>37500</v>
      </c>
      <c r="N105" s="1099">
        <v>0</v>
      </c>
      <c r="O105" s="1099">
        <v>0</v>
      </c>
      <c r="P105" s="1105">
        <f t="shared" si="8"/>
        <v>0</v>
      </c>
    </row>
    <row r="106" spans="1:16" s="1154" customFormat="1" ht="24">
      <c r="A106" s="1098" t="s">
        <v>506</v>
      </c>
      <c r="B106" s="1099" t="s">
        <v>505</v>
      </c>
      <c r="C106" s="1099" t="s">
        <v>504</v>
      </c>
      <c r="D106" s="1100" t="s">
        <v>1387</v>
      </c>
      <c r="E106" s="1101">
        <v>6000</v>
      </c>
      <c r="F106" s="1099" t="s">
        <v>1386</v>
      </c>
      <c r="G106" s="1100" t="s">
        <v>1385</v>
      </c>
      <c r="H106" s="1099" t="s">
        <v>543</v>
      </c>
      <c r="I106" s="1100" t="s">
        <v>547</v>
      </c>
      <c r="J106" s="1099"/>
      <c r="K106" s="1103" t="s">
        <v>498</v>
      </c>
      <c r="L106" s="1103" t="s">
        <v>562</v>
      </c>
      <c r="M106" s="1104">
        <f>+E106/30*15+E106*4</f>
        <v>27000</v>
      </c>
      <c r="N106" s="1099">
        <v>2</v>
      </c>
      <c r="O106" s="1099">
        <v>6</v>
      </c>
      <c r="P106" s="1105">
        <f t="shared" si="8"/>
        <v>36000</v>
      </c>
    </row>
    <row r="107" spans="1:16" s="1154" customFormat="1" ht="24">
      <c r="A107" s="1098" t="s">
        <v>506</v>
      </c>
      <c r="B107" s="1099" t="s">
        <v>505</v>
      </c>
      <c r="C107" s="1099" t="s">
        <v>504</v>
      </c>
      <c r="D107" s="1100" t="s">
        <v>1384</v>
      </c>
      <c r="E107" s="1101">
        <v>1700</v>
      </c>
      <c r="F107" s="1099" t="s">
        <v>1383</v>
      </c>
      <c r="G107" s="1100" t="s">
        <v>1382</v>
      </c>
      <c r="H107" s="1112" t="s">
        <v>519</v>
      </c>
      <c r="I107" s="1100" t="s">
        <v>499</v>
      </c>
      <c r="J107" s="1099"/>
      <c r="K107" s="1103" t="s">
        <v>498</v>
      </c>
      <c r="L107" s="1103" t="s">
        <v>497</v>
      </c>
      <c r="M107" s="1104">
        <f>E107*L107</f>
        <v>20400</v>
      </c>
      <c r="N107" s="1099">
        <v>3</v>
      </c>
      <c r="O107" s="1099">
        <v>6</v>
      </c>
      <c r="P107" s="1105">
        <f t="shared" si="8"/>
        <v>10200</v>
      </c>
    </row>
    <row r="108" spans="1:16" s="1154" customFormat="1" ht="24">
      <c r="A108" s="1098" t="s">
        <v>506</v>
      </c>
      <c r="B108" s="1099" t="s">
        <v>505</v>
      </c>
      <c r="C108" s="1099" t="s">
        <v>504</v>
      </c>
      <c r="D108" s="1119" t="s">
        <v>1034</v>
      </c>
      <c r="E108" s="1101">
        <v>6000</v>
      </c>
      <c r="F108" s="1120" t="s">
        <v>1381</v>
      </c>
      <c r="G108" s="1114" t="s">
        <v>1380</v>
      </c>
      <c r="H108" s="1113"/>
      <c r="I108" s="1114"/>
      <c r="J108" s="1113"/>
      <c r="K108" s="1103">
        <v>3</v>
      </c>
      <c r="L108" s="1103">
        <v>11</v>
      </c>
      <c r="M108" s="1104">
        <f>E108*L108</f>
        <v>66000</v>
      </c>
      <c r="N108" s="1099">
        <v>0</v>
      </c>
      <c r="O108" s="1099">
        <v>0</v>
      </c>
      <c r="P108" s="1105">
        <f t="shared" si="8"/>
        <v>0</v>
      </c>
    </row>
    <row r="109" spans="1:16" s="1154" customFormat="1" ht="24">
      <c r="A109" s="1098" t="s">
        <v>506</v>
      </c>
      <c r="B109" s="1099" t="s">
        <v>505</v>
      </c>
      <c r="C109" s="1099" t="s">
        <v>504</v>
      </c>
      <c r="D109" s="1100" t="s">
        <v>1379</v>
      </c>
      <c r="E109" s="1101">
        <v>7000</v>
      </c>
      <c r="F109" s="1099" t="s">
        <v>1378</v>
      </c>
      <c r="G109" s="1100" t="s">
        <v>1377</v>
      </c>
      <c r="H109" s="1099" t="s">
        <v>534</v>
      </c>
      <c r="I109" s="1102" t="s">
        <v>507</v>
      </c>
      <c r="J109" s="1099"/>
      <c r="K109" s="1103" t="s">
        <v>498</v>
      </c>
      <c r="L109" s="1103" t="s">
        <v>497</v>
      </c>
      <c r="M109" s="1104">
        <f>E109*L109</f>
        <v>84000</v>
      </c>
      <c r="N109" s="1099">
        <v>3</v>
      </c>
      <c r="O109" s="1099">
        <v>6</v>
      </c>
      <c r="P109" s="1105">
        <f t="shared" si="8"/>
        <v>42000</v>
      </c>
    </row>
    <row r="110" spans="1:16" s="1154" customFormat="1" ht="72">
      <c r="A110" s="1098" t="s">
        <v>506</v>
      </c>
      <c r="B110" s="1099" t="s">
        <v>505</v>
      </c>
      <c r="C110" s="1099" t="s">
        <v>504</v>
      </c>
      <c r="D110" s="1102" t="s">
        <v>1376</v>
      </c>
      <c r="E110" s="1101">
        <v>8000</v>
      </c>
      <c r="F110" s="1099" t="s">
        <v>1375</v>
      </c>
      <c r="G110" s="1100" t="s">
        <v>1374</v>
      </c>
      <c r="H110" s="1112" t="s">
        <v>704</v>
      </c>
      <c r="I110" s="1102" t="s">
        <v>507</v>
      </c>
      <c r="J110" s="1099"/>
      <c r="K110" s="1103" t="s">
        <v>498</v>
      </c>
      <c r="L110" s="1103" t="s">
        <v>497</v>
      </c>
      <c r="M110" s="1104">
        <f>E110*L110</f>
        <v>96000</v>
      </c>
      <c r="N110" s="1099">
        <v>3</v>
      </c>
      <c r="O110" s="1099">
        <v>6</v>
      </c>
      <c r="P110" s="1105">
        <f t="shared" si="8"/>
        <v>48000</v>
      </c>
    </row>
    <row r="111" spans="1:16" s="1154" customFormat="1" ht="36">
      <c r="A111" s="1098" t="s">
        <v>506</v>
      </c>
      <c r="B111" s="1099" t="s">
        <v>505</v>
      </c>
      <c r="C111" s="1099" t="s">
        <v>504</v>
      </c>
      <c r="D111" s="1100" t="s">
        <v>1373</v>
      </c>
      <c r="E111" s="1101">
        <v>9000</v>
      </c>
      <c r="F111" s="1099" t="s">
        <v>1372</v>
      </c>
      <c r="G111" s="1100" t="s">
        <v>1371</v>
      </c>
      <c r="H111" s="1099" t="s">
        <v>590</v>
      </c>
      <c r="I111" s="1100" t="s">
        <v>1370</v>
      </c>
      <c r="J111" s="1099"/>
      <c r="K111" s="1103" t="s">
        <v>498</v>
      </c>
      <c r="L111" s="1103" t="s">
        <v>497</v>
      </c>
      <c r="M111" s="1104">
        <f>E111*L111</f>
        <v>108000</v>
      </c>
      <c r="N111" s="1099">
        <v>3</v>
      </c>
      <c r="O111" s="1099">
        <v>6</v>
      </c>
      <c r="P111" s="1105">
        <f t="shared" si="8"/>
        <v>54000</v>
      </c>
    </row>
    <row r="112" spans="1:16" s="1154" customFormat="1" ht="24">
      <c r="A112" s="1098" t="s">
        <v>506</v>
      </c>
      <c r="B112" s="1099" t="s">
        <v>505</v>
      </c>
      <c r="C112" s="1099" t="s">
        <v>504</v>
      </c>
      <c r="D112" s="1102" t="s">
        <v>844</v>
      </c>
      <c r="E112" s="1101">
        <v>5500</v>
      </c>
      <c r="F112" s="1099" t="s">
        <v>1369</v>
      </c>
      <c r="G112" s="1100" t="s">
        <v>1368</v>
      </c>
      <c r="H112" s="1112" t="s">
        <v>508</v>
      </c>
      <c r="I112" s="1102" t="s">
        <v>507</v>
      </c>
      <c r="J112" s="1099"/>
      <c r="K112" s="1103" t="s">
        <v>498</v>
      </c>
      <c r="L112" s="1103" t="s">
        <v>822</v>
      </c>
      <c r="M112" s="1104">
        <f>+E112/30*26+E112*5</f>
        <v>32266.666666666668</v>
      </c>
      <c r="N112" s="1099">
        <v>2</v>
      </c>
      <c r="O112" s="1099">
        <v>6</v>
      </c>
      <c r="P112" s="1105">
        <f t="shared" si="8"/>
        <v>33000</v>
      </c>
    </row>
    <row r="113" spans="1:16" s="1154" customFormat="1" ht="36">
      <c r="A113" s="1098" t="s">
        <v>506</v>
      </c>
      <c r="B113" s="1099" t="s">
        <v>505</v>
      </c>
      <c r="C113" s="1099" t="s">
        <v>504</v>
      </c>
      <c r="D113" s="1100" t="s">
        <v>1367</v>
      </c>
      <c r="E113" s="1101">
        <v>10000</v>
      </c>
      <c r="F113" s="1099" t="s">
        <v>1366</v>
      </c>
      <c r="G113" s="1100" t="s">
        <v>1365</v>
      </c>
      <c r="H113" s="1112" t="s">
        <v>508</v>
      </c>
      <c r="I113" s="1102" t="s">
        <v>507</v>
      </c>
      <c r="J113" s="1099"/>
      <c r="K113" s="1103" t="s">
        <v>498</v>
      </c>
      <c r="L113" s="1103" t="s">
        <v>497</v>
      </c>
      <c r="M113" s="1104">
        <f t="shared" ref="M113:M121" si="9">E113*L113</f>
        <v>120000</v>
      </c>
      <c r="N113" s="1099">
        <v>3</v>
      </c>
      <c r="O113" s="1099">
        <v>6</v>
      </c>
      <c r="P113" s="1105">
        <f t="shared" si="8"/>
        <v>60000</v>
      </c>
    </row>
    <row r="114" spans="1:16" s="1154" customFormat="1" ht="24">
      <c r="A114" s="1098" t="s">
        <v>506</v>
      </c>
      <c r="B114" s="1099" t="s">
        <v>505</v>
      </c>
      <c r="C114" s="1099" t="s">
        <v>504</v>
      </c>
      <c r="D114" s="1102" t="s">
        <v>1364</v>
      </c>
      <c r="E114" s="1101">
        <v>3600</v>
      </c>
      <c r="F114" s="1099" t="s">
        <v>1363</v>
      </c>
      <c r="G114" s="1100" t="s">
        <v>1362</v>
      </c>
      <c r="H114" s="1112" t="s">
        <v>1361</v>
      </c>
      <c r="I114" s="1102" t="s">
        <v>507</v>
      </c>
      <c r="J114" s="1099"/>
      <c r="K114" s="1103" t="s">
        <v>498</v>
      </c>
      <c r="L114" s="1103" t="s">
        <v>498</v>
      </c>
      <c r="M114" s="1104">
        <f t="shared" si="9"/>
        <v>10800</v>
      </c>
      <c r="N114" s="1099">
        <v>3</v>
      </c>
      <c r="O114" s="1099">
        <v>6</v>
      </c>
      <c r="P114" s="1105">
        <f t="shared" si="8"/>
        <v>21600</v>
      </c>
    </row>
    <row r="115" spans="1:16" s="1154" customFormat="1" ht="24">
      <c r="A115" s="1098" t="s">
        <v>506</v>
      </c>
      <c r="B115" s="1099" t="s">
        <v>505</v>
      </c>
      <c r="C115" s="1099" t="s">
        <v>504</v>
      </c>
      <c r="D115" s="1100" t="s">
        <v>569</v>
      </c>
      <c r="E115" s="1101">
        <v>6200</v>
      </c>
      <c r="F115" s="1099" t="s">
        <v>1360</v>
      </c>
      <c r="G115" s="1100" t="s">
        <v>1359</v>
      </c>
      <c r="H115" s="1099" t="s">
        <v>590</v>
      </c>
      <c r="I115" s="1102" t="s">
        <v>507</v>
      </c>
      <c r="J115" s="1099"/>
      <c r="K115" s="1103" t="s">
        <v>498</v>
      </c>
      <c r="L115" s="1103" t="s">
        <v>497</v>
      </c>
      <c r="M115" s="1104">
        <f t="shared" si="9"/>
        <v>74400</v>
      </c>
      <c r="N115" s="1099">
        <v>3</v>
      </c>
      <c r="O115" s="1099">
        <v>6</v>
      </c>
      <c r="P115" s="1105">
        <f t="shared" si="8"/>
        <v>37200</v>
      </c>
    </row>
    <row r="116" spans="1:16" s="1154" customFormat="1" ht="24">
      <c r="A116" s="1098" t="s">
        <v>506</v>
      </c>
      <c r="B116" s="1099" t="s">
        <v>505</v>
      </c>
      <c r="C116" s="1099" t="s">
        <v>504</v>
      </c>
      <c r="D116" s="1100" t="s">
        <v>1358</v>
      </c>
      <c r="E116" s="1101">
        <v>930</v>
      </c>
      <c r="F116" s="1099" t="s">
        <v>1357</v>
      </c>
      <c r="G116" s="1100" t="s">
        <v>1356</v>
      </c>
      <c r="H116" s="1112" t="s">
        <v>712</v>
      </c>
      <c r="I116" s="1100" t="s">
        <v>619</v>
      </c>
      <c r="J116" s="1099"/>
      <c r="K116" s="1103" t="s">
        <v>498</v>
      </c>
      <c r="L116" s="1103" t="s">
        <v>497</v>
      </c>
      <c r="M116" s="1104">
        <f t="shared" si="9"/>
        <v>11160</v>
      </c>
      <c r="N116" s="1099">
        <v>3</v>
      </c>
      <c r="O116" s="1099">
        <v>6</v>
      </c>
      <c r="P116" s="1105">
        <f t="shared" si="8"/>
        <v>5580</v>
      </c>
    </row>
    <row r="117" spans="1:16" s="1154" customFormat="1" ht="24">
      <c r="A117" s="1098" t="s">
        <v>506</v>
      </c>
      <c r="B117" s="1099" t="s">
        <v>505</v>
      </c>
      <c r="C117" s="1099" t="s">
        <v>504</v>
      </c>
      <c r="D117" s="1100" t="s">
        <v>593</v>
      </c>
      <c r="E117" s="1101">
        <v>6000</v>
      </c>
      <c r="F117" s="1099" t="s">
        <v>1355</v>
      </c>
      <c r="G117" s="1100" t="s">
        <v>1354</v>
      </c>
      <c r="H117" s="1099" t="s">
        <v>590</v>
      </c>
      <c r="I117" s="1102" t="s">
        <v>507</v>
      </c>
      <c r="J117" s="1099"/>
      <c r="K117" s="1103" t="s">
        <v>498</v>
      </c>
      <c r="L117" s="1103" t="s">
        <v>497</v>
      </c>
      <c r="M117" s="1104">
        <f t="shared" si="9"/>
        <v>72000</v>
      </c>
      <c r="N117" s="1099">
        <v>3</v>
      </c>
      <c r="O117" s="1099">
        <v>6</v>
      </c>
      <c r="P117" s="1105">
        <f t="shared" si="8"/>
        <v>36000</v>
      </c>
    </row>
    <row r="118" spans="1:16" s="1154" customFormat="1" ht="36">
      <c r="A118" s="1098" t="s">
        <v>506</v>
      </c>
      <c r="B118" s="1099" t="s">
        <v>505</v>
      </c>
      <c r="C118" s="1099" t="s">
        <v>504</v>
      </c>
      <c r="D118" s="1119" t="s">
        <v>1353</v>
      </c>
      <c r="E118" s="1101">
        <v>6000</v>
      </c>
      <c r="F118" s="1120" t="s">
        <v>1352</v>
      </c>
      <c r="G118" s="1114" t="s">
        <v>1351</v>
      </c>
      <c r="H118" s="1113"/>
      <c r="I118" s="1114"/>
      <c r="J118" s="1121"/>
      <c r="K118" s="1103">
        <v>1</v>
      </c>
      <c r="L118" s="1103">
        <v>2</v>
      </c>
      <c r="M118" s="1104">
        <f t="shared" si="9"/>
        <v>12000</v>
      </c>
      <c r="N118" s="1113">
        <v>0</v>
      </c>
      <c r="O118" s="1113">
        <v>0</v>
      </c>
      <c r="P118" s="1116">
        <f t="shared" si="8"/>
        <v>0</v>
      </c>
    </row>
    <row r="119" spans="1:16" s="1154" customFormat="1" ht="24">
      <c r="A119" s="1098" t="s">
        <v>506</v>
      </c>
      <c r="B119" s="1099" t="s">
        <v>505</v>
      </c>
      <c r="C119" s="1099" t="s">
        <v>504</v>
      </c>
      <c r="D119" s="1100" t="s">
        <v>573</v>
      </c>
      <c r="E119" s="1101">
        <v>3000</v>
      </c>
      <c r="F119" s="1099" t="s">
        <v>1350</v>
      </c>
      <c r="G119" s="1100" t="s">
        <v>1349</v>
      </c>
      <c r="H119" s="1099" t="s">
        <v>1272</v>
      </c>
      <c r="I119" s="1100" t="s">
        <v>499</v>
      </c>
      <c r="J119" s="1099"/>
      <c r="K119" s="1103" t="s">
        <v>498</v>
      </c>
      <c r="L119" s="1103" t="s">
        <v>497</v>
      </c>
      <c r="M119" s="1104">
        <f t="shared" si="9"/>
        <v>36000</v>
      </c>
      <c r="N119" s="1099">
        <v>3</v>
      </c>
      <c r="O119" s="1099">
        <v>6</v>
      </c>
      <c r="P119" s="1105">
        <f t="shared" si="8"/>
        <v>18000</v>
      </c>
    </row>
    <row r="120" spans="1:16" s="1154" customFormat="1" ht="48">
      <c r="A120" s="1098" t="s">
        <v>506</v>
      </c>
      <c r="B120" s="1099" t="s">
        <v>505</v>
      </c>
      <c r="C120" s="1099" t="s">
        <v>504</v>
      </c>
      <c r="D120" s="1102" t="s">
        <v>1348</v>
      </c>
      <c r="E120" s="1101">
        <v>3200</v>
      </c>
      <c r="F120" s="1099" t="s">
        <v>1347</v>
      </c>
      <c r="G120" s="1100" t="s">
        <v>1346</v>
      </c>
      <c r="H120" s="1112" t="s">
        <v>1345</v>
      </c>
      <c r="I120" s="1102" t="s">
        <v>507</v>
      </c>
      <c r="J120" s="1099"/>
      <c r="K120" s="1103" t="s">
        <v>498</v>
      </c>
      <c r="L120" s="1103" t="s">
        <v>687</v>
      </c>
      <c r="M120" s="1104">
        <f t="shared" si="9"/>
        <v>19200</v>
      </c>
      <c r="N120" s="1099">
        <v>3</v>
      </c>
      <c r="O120" s="1099">
        <v>6</v>
      </c>
      <c r="P120" s="1105">
        <f t="shared" si="8"/>
        <v>19200</v>
      </c>
    </row>
    <row r="121" spans="1:16" s="1154" customFormat="1" ht="24">
      <c r="A121" s="1098" t="s">
        <v>506</v>
      </c>
      <c r="B121" s="1099" t="s">
        <v>505</v>
      </c>
      <c r="C121" s="1099" t="s">
        <v>504</v>
      </c>
      <c r="D121" s="1100" t="s">
        <v>573</v>
      </c>
      <c r="E121" s="1101">
        <v>3000</v>
      </c>
      <c r="F121" s="1099" t="s">
        <v>1344</v>
      </c>
      <c r="G121" s="1100" t="s">
        <v>1343</v>
      </c>
      <c r="H121" s="1099" t="s">
        <v>612</v>
      </c>
      <c r="I121" s="1100" t="s">
        <v>499</v>
      </c>
      <c r="J121" s="1099"/>
      <c r="K121" s="1103" t="s">
        <v>498</v>
      </c>
      <c r="L121" s="1103" t="s">
        <v>497</v>
      </c>
      <c r="M121" s="1104">
        <f t="shared" si="9"/>
        <v>36000</v>
      </c>
      <c r="N121" s="1099">
        <v>3</v>
      </c>
      <c r="O121" s="1099">
        <v>6</v>
      </c>
      <c r="P121" s="1105">
        <f t="shared" si="8"/>
        <v>18000</v>
      </c>
    </row>
    <row r="122" spans="1:16" s="1154" customFormat="1" ht="24">
      <c r="A122" s="1098" t="s">
        <v>506</v>
      </c>
      <c r="B122" s="1099" t="s">
        <v>505</v>
      </c>
      <c r="C122" s="1099" t="s">
        <v>504</v>
      </c>
      <c r="D122" s="1102" t="s">
        <v>540</v>
      </c>
      <c r="E122" s="1101">
        <v>9000</v>
      </c>
      <c r="F122" s="1099" t="s">
        <v>1342</v>
      </c>
      <c r="G122" s="1100" t="s">
        <v>1341</v>
      </c>
      <c r="H122" s="1112" t="s">
        <v>508</v>
      </c>
      <c r="I122" s="1102" t="s">
        <v>507</v>
      </c>
      <c r="J122" s="1099"/>
      <c r="K122" s="1103" t="s">
        <v>498</v>
      </c>
      <c r="L122" s="1103" t="s">
        <v>563</v>
      </c>
      <c r="M122" s="1104">
        <f>+E122/30*16+E122*2</f>
        <v>22800</v>
      </c>
      <c r="N122" s="1099">
        <v>3</v>
      </c>
      <c r="O122" s="1099">
        <v>6</v>
      </c>
      <c r="P122" s="1105">
        <f t="shared" si="8"/>
        <v>54000</v>
      </c>
    </row>
    <row r="123" spans="1:16" s="1154" customFormat="1" ht="24">
      <c r="A123" s="1098" t="s">
        <v>506</v>
      </c>
      <c r="B123" s="1099" t="s">
        <v>505</v>
      </c>
      <c r="C123" s="1099" t="s">
        <v>504</v>
      </c>
      <c r="D123" s="1100" t="s">
        <v>1340</v>
      </c>
      <c r="E123" s="1101">
        <v>12000</v>
      </c>
      <c r="F123" s="1099" t="s">
        <v>1339</v>
      </c>
      <c r="G123" s="1100" t="s">
        <v>1338</v>
      </c>
      <c r="H123" s="1112" t="s">
        <v>515</v>
      </c>
      <c r="I123" s="1102" t="s">
        <v>507</v>
      </c>
      <c r="J123" s="1099"/>
      <c r="K123" s="1103" t="s">
        <v>498</v>
      </c>
      <c r="L123" s="1103" t="s">
        <v>497</v>
      </c>
      <c r="M123" s="1104">
        <f>E123*L123</f>
        <v>144000</v>
      </c>
      <c r="N123" s="1099">
        <v>3</v>
      </c>
      <c r="O123" s="1099">
        <v>6</v>
      </c>
      <c r="P123" s="1105">
        <f t="shared" si="8"/>
        <v>72000</v>
      </c>
    </row>
    <row r="124" spans="1:16" s="1154" customFormat="1" ht="48">
      <c r="A124" s="1098" t="s">
        <v>506</v>
      </c>
      <c r="B124" s="1099" t="s">
        <v>505</v>
      </c>
      <c r="C124" s="1099" t="s">
        <v>504</v>
      </c>
      <c r="D124" s="1119" t="s">
        <v>1337</v>
      </c>
      <c r="E124" s="1101">
        <v>6200</v>
      </c>
      <c r="F124" s="1120" t="s">
        <v>1336</v>
      </c>
      <c r="G124" s="1114" t="s">
        <v>1335</v>
      </c>
      <c r="H124" s="1113"/>
      <c r="I124" s="1114"/>
      <c r="J124" s="1121"/>
      <c r="K124" s="1103">
        <v>1</v>
      </c>
      <c r="L124" s="1103">
        <v>7</v>
      </c>
      <c r="M124" s="1104">
        <f>E124*L124</f>
        <v>43400</v>
      </c>
      <c r="N124" s="1113">
        <v>0</v>
      </c>
      <c r="O124" s="1113">
        <v>0</v>
      </c>
      <c r="P124" s="1116">
        <f t="shared" si="8"/>
        <v>0</v>
      </c>
    </row>
    <row r="125" spans="1:16" s="1154" customFormat="1" ht="24">
      <c r="A125" s="1098" t="s">
        <v>506</v>
      </c>
      <c r="B125" s="1099" t="s">
        <v>505</v>
      </c>
      <c r="C125" s="1099" t="s">
        <v>504</v>
      </c>
      <c r="D125" s="1102" t="s">
        <v>1334</v>
      </c>
      <c r="E125" s="1101">
        <v>4000</v>
      </c>
      <c r="F125" s="1099" t="s">
        <v>1332</v>
      </c>
      <c r="G125" s="1100" t="s">
        <v>1331</v>
      </c>
      <c r="H125" s="1112" t="s">
        <v>1330</v>
      </c>
      <c r="I125" s="1102" t="s">
        <v>507</v>
      </c>
      <c r="J125" s="1099"/>
      <c r="K125" s="1103" t="s">
        <v>563</v>
      </c>
      <c r="L125" s="1103" t="s">
        <v>556</v>
      </c>
      <c r="M125" s="1104">
        <f>+E125/30*10+E125*8</f>
        <v>33333.333333333336</v>
      </c>
      <c r="N125" s="1099">
        <v>0</v>
      </c>
      <c r="O125" s="1099">
        <v>0</v>
      </c>
      <c r="P125" s="1105">
        <f t="shared" si="8"/>
        <v>0</v>
      </c>
    </row>
    <row r="126" spans="1:16" s="1154" customFormat="1" ht="24">
      <c r="A126" s="1098" t="s">
        <v>506</v>
      </c>
      <c r="B126" s="1099" t="s">
        <v>505</v>
      </c>
      <c r="C126" s="1099" t="s">
        <v>504</v>
      </c>
      <c r="D126" s="1100" t="s">
        <v>1333</v>
      </c>
      <c r="E126" s="1101">
        <v>5000</v>
      </c>
      <c r="F126" s="1099" t="s">
        <v>1332</v>
      </c>
      <c r="G126" s="1100" t="s">
        <v>1331</v>
      </c>
      <c r="H126" s="1099" t="s">
        <v>1330</v>
      </c>
      <c r="I126" s="1100" t="s">
        <v>507</v>
      </c>
      <c r="J126" s="1099"/>
      <c r="K126" s="1103" t="s">
        <v>563</v>
      </c>
      <c r="L126" s="1103" t="s">
        <v>498</v>
      </c>
      <c r="M126" s="1104">
        <f>+E126/30*20+E126*3</f>
        <v>18333.333333333332</v>
      </c>
      <c r="N126" s="1099">
        <v>2</v>
      </c>
      <c r="O126" s="1099">
        <v>6</v>
      </c>
      <c r="P126" s="1105">
        <f t="shared" si="8"/>
        <v>30000</v>
      </c>
    </row>
    <row r="127" spans="1:16" s="1154" customFormat="1" ht="24">
      <c r="A127" s="1098" t="s">
        <v>506</v>
      </c>
      <c r="B127" s="1099" t="s">
        <v>505</v>
      </c>
      <c r="C127" s="1099" t="s">
        <v>504</v>
      </c>
      <c r="D127" s="1119" t="s">
        <v>1145</v>
      </c>
      <c r="E127" s="1101">
        <v>9000</v>
      </c>
      <c r="F127" s="1120" t="s">
        <v>1329</v>
      </c>
      <c r="G127" s="1114" t="s">
        <v>1328</v>
      </c>
      <c r="H127" s="1113"/>
      <c r="I127" s="1114"/>
      <c r="J127" s="1113"/>
      <c r="K127" s="1103">
        <v>3</v>
      </c>
      <c r="L127" s="1103">
        <v>12</v>
      </c>
      <c r="M127" s="1104">
        <f t="shared" ref="M127:M135" si="10">E127*L127</f>
        <v>108000</v>
      </c>
      <c r="N127" s="1113">
        <v>0</v>
      </c>
      <c r="O127" s="1113">
        <v>0</v>
      </c>
      <c r="P127" s="1116">
        <v>0</v>
      </c>
    </row>
    <row r="128" spans="1:16" s="1154" customFormat="1" ht="24">
      <c r="A128" s="1098" t="s">
        <v>506</v>
      </c>
      <c r="B128" s="1099" t="s">
        <v>505</v>
      </c>
      <c r="C128" s="1099" t="s">
        <v>504</v>
      </c>
      <c r="D128" s="1100" t="s">
        <v>660</v>
      </c>
      <c r="E128" s="1101">
        <v>3000</v>
      </c>
      <c r="F128" s="1099" t="s">
        <v>1327</v>
      </c>
      <c r="G128" s="1100" t="s">
        <v>1326</v>
      </c>
      <c r="H128" s="1099" t="s">
        <v>500</v>
      </c>
      <c r="I128" s="1100" t="s">
        <v>499</v>
      </c>
      <c r="J128" s="1099"/>
      <c r="K128" s="1103" t="s">
        <v>498</v>
      </c>
      <c r="L128" s="1103" t="s">
        <v>497</v>
      </c>
      <c r="M128" s="1104">
        <f t="shared" si="10"/>
        <v>36000</v>
      </c>
      <c r="N128" s="1099">
        <v>3</v>
      </c>
      <c r="O128" s="1099">
        <v>6</v>
      </c>
      <c r="P128" s="1105">
        <f>E128*O128</f>
        <v>18000</v>
      </c>
    </row>
    <row r="129" spans="1:16" s="1154" customFormat="1" ht="48">
      <c r="A129" s="1098" t="s">
        <v>506</v>
      </c>
      <c r="B129" s="1099" t="s">
        <v>505</v>
      </c>
      <c r="C129" s="1099" t="s">
        <v>504</v>
      </c>
      <c r="D129" s="1102" t="s">
        <v>1325</v>
      </c>
      <c r="E129" s="1101">
        <v>3200</v>
      </c>
      <c r="F129" s="1099" t="s">
        <v>1324</v>
      </c>
      <c r="G129" s="1100" t="s">
        <v>1323</v>
      </c>
      <c r="H129" s="1099" t="s">
        <v>590</v>
      </c>
      <c r="I129" s="1102" t="s">
        <v>507</v>
      </c>
      <c r="J129" s="1099"/>
      <c r="K129" s="1103" t="s">
        <v>498</v>
      </c>
      <c r="L129" s="1103" t="s">
        <v>687</v>
      </c>
      <c r="M129" s="1104">
        <f t="shared" si="10"/>
        <v>19200</v>
      </c>
      <c r="N129" s="1099">
        <v>3</v>
      </c>
      <c r="O129" s="1099">
        <v>6</v>
      </c>
      <c r="P129" s="1105">
        <f>E129*O129</f>
        <v>19200</v>
      </c>
    </row>
    <row r="130" spans="1:16" s="1154" customFormat="1" ht="24">
      <c r="A130" s="1098" t="s">
        <v>506</v>
      </c>
      <c r="B130" s="1099" t="s">
        <v>505</v>
      </c>
      <c r="C130" s="1099" t="s">
        <v>504</v>
      </c>
      <c r="D130" s="1100" t="s">
        <v>1322</v>
      </c>
      <c r="E130" s="1101">
        <v>15600</v>
      </c>
      <c r="F130" s="1122" t="s">
        <v>1321</v>
      </c>
      <c r="G130" s="1100" t="s">
        <v>1320</v>
      </c>
      <c r="H130" s="1099" t="s">
        <v>1319</v>
      </c>
      <c r="I130" s="1100"/>
      <c r="J130" s="1099"/>
      <c r="K130" s="1103">
        <v>1</v>
      </c>
      <c r="L130" s="1103">
        <v>12</v>
      </c>
      <c r="M130" s="1104">
        <f t="shared" si="10"/>
        <v>187200</v>
      </c>
      <c r="N130" s="1099">
        <v>0</v>
      </c>
      <c r="O130" s="1099">
        <v>0</v>
      </c>
      <c r="P130" s="1105">
        <f>E130*O130</f>
        <v>0</v>
      </c>
    </row>
    <row r="131" spans="1:16" s="1154" customFormat="1" ht="24">
      <c r="A131" s="1098" t="s">
        <v>506</v>
      </c>
      <c r="B131" s="1099" t="s">
        <v>505</v>
      </c>
      <c r="C131" s="1099" t="s">
        <v>504</v>
      </c>
      <c r="D131" s="1100" t="s">
        <v>1322</v>
      </c>
      <c r="E131" s="1101">
        <v>15600</v>
      </c>
      <c r="F131" s="1122" t="s">
        <v>1321</v>
      </c>
      <c r="G131" s="1100" t="s">
        <v>1320</v>
      </c>
      <c r="H131" s="1099" t="s">
        <v>1319</v>
      </c>
      <c r="I131" s="1100" t="s">
        <v>507</v>
      </c>
      <c r="J131" s="1099"/>
      <c r="K131" s="1103">
        <v>0</v>
      </c>
      <c r="L131" s="1103">
        <v>0</v>
      </c>
      <c r="M131" s="1104">
        <f t="shared" si="10"/>
        <v>0</v>
      </c>
      <c r="N131" s="1099">
        <v>1</v>
      </c>
      <c r="O131" s="1099">
        <v>0</v>
      </c>
      <c r="P131" s="1105">
        <f>E131/30*24</f>
        <v>12480</v>
      </c>
    </row>
    <row r="132" spans="1:16" s="1154" customFormat="1" ht="24">
      <c r="A132" s="1098" t="s">
        <v>506</v>
      </c>
      <c r="B132" s="1099" t="s">
        <v>505</v>
      </c>
      <c r="C132" s="1099" t="s">
        <v>504</v>
      </c>
      <c r="D132" s="1100" t="s">
        <v>1322</v>
      </c>
      <c r="E132" s="1101">
        <v>15600</v>
      </c>
      <c r="F132" s="1122" t="s">
        <v>1321</v>
      </c>
      <c r="G132" s="1100" t="s">
        <v>1320</v>
      </c>
      <c r="H132" s="1099" t="s">
        <v>1319</v>
      </c>
      <c r="I132" s="1100"/>
      <c r="J132" s="1099"/>
      <c r="K132" s="1103">
        <v>0</v>
      </c>
      <c r="L132" s="1103">
        <v>0</v>
      </c>
      <c r="M132" s="1104">
        <f t="shared" si="10"/>
        <v>0</v>
      </c>
      <c r="N132" s="1099">
        <v>1</v>
      </c>
      <c r="O132" s="1099">
        <v>1</v>
      </c>
      <c r="P132" s="1105">
        <f>E132/30*13+E132*1</f>
        <v>22360</v>
      </c>
    </row>
    <row r="133" spans="1:16" s="1154" customFormat="1" ht="60">
      <c r="A133" s="1098" t="s">
        <v>506</v>
      </c>
      <c r="B133" s="1099" t="s">
        <v>505</v>
      </c>
      <c r="C133" s="1099" t="s">
        <v>504</v>
      </c>
      <c r="D133" s="1102" t="s">
        <v>1318</v>
      </c>
      <c r="E133" s="1101">
        <v>10000</v>
      </c>
      <c r="F133" s="1099" t="s">
        <v>1317</v>
      </c>
      <c r="G133" s="1100" t="s">
        <v>1316</v>
      </c>
      <c r="H133" s="1112" t="s">
        <v>1315</v>
      </c>
      <c r="I133" s="1102" t="s">
        <v>507</v>
      </c>
      <c r="J133" s="1099"/>
      <c r="K133" s="1103" t="s">
        <v>498</v>
      </c>
      <c r="L133" s="1103" t="s">
        <v>497</v>
      </c>
      <c r="M133" s="1104">
        <f t="shared" si="10"/>
        <v>120000</v>
      </c>
      <c r="N133" s="1099">
        <v>3</v>
      </c>
      <c r="O133" s="1099">
        <v>6</v>
      </c>
      <c r="P133" s="1105">
        <f>E133*O133</f>
        <v>60000</v>
      </c>
    </row>
    <row r="134" spans="1:16" s="1154" customFormat="1" ht="24">
      <c r="A134" s="1098" t="s">
        <v>506</v>
      </c>
      <c r="B134" s="1099" t="s">
        <v>505</v>
      </c>
      <c r="C134" s="1099" t="s">
        <v>504</v>
      </c>
      <c r="D134" s="1100" t="s">
        <v>518</v>
      </c>
      <c r="E134" s="1101">
        <v>10000</v>
      </c>
      <c r="F134" s="1099" t="s">
        <v>1314</v>
      </c>
      <c r="G134" s="1100" t="s">
        <v>1313</v>
      </c>
      <c r="H134" s="1112" t="s">
        <v>508</v>
      </c>
      <c r="I134" s="1100" t="s">
        <v>507</v>
      </c>
      <c r="J134" s="1099"/>
      <c r="K134" s="1103" t="s">
        <v>498</v>
      </c>
      <c r="L134" s="1103" t="s">
        <v>497</v>
      </c>
      <c r="M134" s="1104">
        <f t="shared" si="10"/>
        <v>120000</v>
      </c>
      <c r="N134" s="1099">
        <v>3</v>
      </c>
      <c r="O134" s="1099">
        <v>6</v>
      </c>
      <c r="P134" s="1105">
        <f>E134*O134</f>
        <v>60000</v>
      </c>
    </row>
    <row r="135" spans="1:16" s="1154" customFormat="1" ht="24">
      <c r="A135" s="1098" t="s">
        <v>506</v>
      </c>
      <c r="B135" s="1099" t="s">
        <v>505</v>
      </c>
      <c r="C135" s="1099" t="s">
        <v>504</v>
      </c>
      <c r="D135" s="1119" t="s">
        <v>518</v>
      </c>
      <c r="E135" s="1101">
        <v>10000</v>
      </c>
      <c r="F135" s="1120" t="s">
        <v>1312</v>
      </c>
      <c r="G135" s="1114" t="s">
        <v>1311</v>
      </c>
      <c r="H135" s="1113"/>
      <c r="I135" s="1114"/>
      <c r="J135" s="1113"/>
      <c r="K135" s="1103">
        <v>1</v>
      </c>
      <c r="L135" s="1103">
        <v>8</v>
      </c>
      <c r="M135" s="1104">
        <f t="shared" si="10"/>
        <v>80000</v>
      </c>
      <c r="N135" s="1113">
        <v>0</v>
      </c>
      <c r="O135" s="1113">
        <v>0</v>
      </c>
      <c r="P135" s="1116">
        <v>0</v>
      </c>
    </row>
    <row r="136" spans="1:16" s="1154" customFormat="1" ht="24">
      <c r="A136" s="1098" t="s">
        <v>506</v>
      </c>
      <c r="B136" s="1099" t="s">
        <v>505</v>
      </c>
      <c r="C136" s="1099" t="s">
        <v>504</v>
      </c>
      <c r="D136" s="1100" t="s">
        <v>1310</v>
      </c>
      <c r="E136" s="1101">
        <v>5000</v>
      </c>
      <c r="F136" s="1099" t="s">
        <v>1309</v>
      </c>
      <c r="G136" s="1100" t="s">
        <v>1308</v>
      </c>
      <c r="H136" s="1112" t="s">
        <v>508</v>
      </c>
      <c r="I136" s="1102" t="s">
        <v>507</v>
      </c>
      <c r="J136" s="1099"/>
      <c r="K136" s="1103" t="s">
        <v>498</v>
      </c>
      <c r="L136" s="1103" t="s">
        <v>1012</v>
      </c>
      <c r="M136" s="1104">
        <f>+E136/30*24+E136*9</f>
        <v>49000</v>
      </c>
      <c r="N136" s="1099">
        <v>0</v>
      </c>
      <c r="O136" s="1099">
        <v>0</v>
      </c>
      <c r="P136" s="1105">
        <f>E136*O136</f>
        <v>0</v>
      </c>
    </row>
    <row r="137" spans="1:16" s="1154" customFormat="1" ht="24">
      <c r="A137" s="1098" t="s">
        <v>506</v>
      </c>
      <c r="B137" s="1099" t="s">
        <v>505</v>
      </c>
      <c r="C137" s="1099" t="s">
        <v>504</v>
      </c>
      <c r="D137" s="1100" t="s">
        <v>1310</v>
      </c>
      <c r="E137" s="1101">
        <v>6200</v>
      </c>
      <c r="F137" s="1099" t="s">
        <v>1309</v>
      </c>
      <c r="G137" s="1100" t="s">
        <v>1308</v>
      </c>
      <c r="H137" s="1112" t="s">
        <v>508</v>
      </c>
      <c r="I137" s="1102" t="s">
        <v>507</v>
      </c>
      <c r="J137" s="1099"/>
      <c r="K137" s="1103" t="s">
        <v>664</v>
      </c>
      <c r="L137" s="1103" t="s">
        <v>563</v>
      </c>
      <c r="M137" s="1104">
        <f>+E137/30*6+E137*2</f>
        <v>13640</v>
      </c>
      <c r="N137" s="1099">
        <v>2</v>
      </c>
      <c r="O137" s="1099">
        <v>6</v>
      </c>
      <c r="P137" s="1105">
        <f>E137*O137</f>
        <v>37200</v>
      </c>
    </row>
    <row r="138" spans="1:16" s="1154" customFormat="1" ht="24">
      <c r="A138" s="1098" t="s">
        <v>506</v>
      </c>
      <c r="B138" s="1099" t="s">
        <v>505</v>
      </c>
      <c r="C138" s="1099" t="s">
        <v>504</v>
      </c>
      <c r="D138" s="1102" t="s">
        <v>1307</v>
      </c>
      <c r="E138" s="1101">
        <v>4000</v>
      </c>
      <c r="F138" s="1113" t="s">
        <v>1306</v>
      </c>
      <c r="G138" s="1114" t="s">
        <v>1305</v>
      </c>
      <c r="H138" s="1113"/>
      <c r="I138" s="1114"/>
      <c r="J138" s="1113"/>
      <c r="K138" s="1103">
        <v>0</v>
      </c>
      <c r="L138" s="1103">
        <v>0</v>
      </c>
      <c r="M138" s="1104">
        <f t="shared" ref="M138:M143" si="11">E138*L138</f>
        <v>0</v>
      </c>
      <c r="N138" s="1113">
        <v>3</v>
      </c>
      <c r="O138" s="1113">
        <v>5</v>
      </c>
      <c r="P138" s="1116">
        <f>E138/30*28+E138*5</f>
        <v>23733.333333333332</v>
      </c>
    </row>
    <row r="139" spans="1:16" s="1154" customFormat="1" ht="24">
      <c r="A139" s="1098" t="s">
        <v>506</v>
      </c>
      <c r="B139" s="1099" t="s">
        <v>505</v>
      </c>
      <c r="C139" s="1099" t="s">
        <v>504</v>
      </c>
      <c r="D139" s="1100" t="s">
        <v>1145</v>
      </c>
      <c r="E139" s="1101">
        <v>7000</v>
      </c>
      <c r="F139" s="1099" t="s">
        <v>1304</v>
      </c>
      <c r="G139" s="1100" t="s">
        <v>1303</v>
      </c>
      <c r="H139" s="1112" t="s">
        <v>519</v>
      </c>
      <c r="I139" s="1102" t="s">
        <v>499</v>
      </c>
      <c r="J139" s="1099"/>
      <c r="K139" s="1103" t="s">
        <v>498</v>
      </c>
      <c r="L139" s="1103" t="s">
        <v>497</v>
      </c>
      <c r="M139" s="1104">
        <f t="shared" si="11"/>
        <v>84000</v>
      </c>
      <c r="N139" s="1099">
        <v>3</v>
      </c>
      <c r="O139" s="1099">
        <v>6</v>
      </c>
      <c r="P139" s="1105">
        <f>E139*O139</f>
        <v>42000</v>
      </c>
    </row>
    <row r="140" spans="1:16" s="1154" customFormat="1" ht="24">
      <c r="A140" s="1098" t="s">
        <v>506</v>
      </c>
      <c r="B140" s="1099" t="s">
        <v>505</v>
      </c>
      <c r="C140" s="1099" t="s">
        <v>504</v>
      </c>
      <c r="D140" s="1100" t="s">
        <v>1081</v>
      </c>
      <c r="E140" s="1101">
        <v>15600</v>
      </c>
      <c r="F140" s="1122" t="s">
        <v>1302</v>
      </c>
      <c r="G140" s="1100" t="s">
        <v>1301</v>
      </c>
      <c r="H140" s="1099" t="s">
        <v>511</v>
      </c>
      <c r="I140" s="1100"/>
      <c r="J140" s="1099"/>
      <c r="K140" s="1103">
        <v>1</v>
      </c>
      <c r="L140" s="1103">
        <v>12</v>
      </c>
      <c r="M140" s="1104">
        <f t="shared" si="11"/>
        <v>187200</v>
      </c>
      <c r="N140" s="1099">
        <v>1</v>
      </c>
      <c r="O140" s="1099">
        <v>1</v>
      </c>
      <c r="P140" s="1105">
        <f>E140/30*12+E140*1</f>
        <v>21840</v>
      </c>
    </row>
    <row r="141" spans="1:16" s="1154" customFormat="1" ht="48">
      <c r="A141" s="1098" t="s">
        <v>506</v>
      </c>
      <c r="B141" s="1099" t="s">
        <v>505</v>
      </c>
      <c r="C141" s="1099" t="s">
        <v>504</v>
      </c>
      <c r="D141" s="1102" t="s">
        <v>1300</v>
      </c>
      <c r="E141" s="1101">
        <v>3200</v>
      </c>
      <c r="F141" s="1099" t="s">
        <v>1299</v>
      </c>
      <c r="G141" s="1100" t="s">
        <v>1298</v>
      </c>
      <c r="H141" s="1112" t="s">
        <v>570</v>
      </c>
      <c r="I141" s="1102" t="s">
        <v>507</v>
      </c>
      <c r="J141" s="1099"/>
      <c r="K141" s="1103" t="s">
        <v>498</v>
      </c>
      <c r="L141" s="1103" t="s">
        <v>687</v>
      </c>
      <c r="M141" s="1104">
        <f t="shared" si="11"/>
        <v>19200</v>
      </c>
      <c r="N141" s="1099">
        <v>3</v>
      </c>
      <c r="O141" s="1099">
        <v>6</v>
      </c>
      <c r="P141" s="1105">
        <f t="shared" ref="P141:P152" si="12">E141*O141</f>
        <v>19200</v>
      </c>
    </row>
    <row r="142" spans="1:16" s="1154" customFormat="1" ht="24">
      <c r="A142" s="1098" t="s">
        <v>506</v>
      </c>
      <c r="B142" s="1099" t="s">
        <v>505</v>
      </c>
      <c r="C142" s="1099" t="s">
        <v>504</v>
      </c>
      <c r="D142" s="1100" t="s">
        <v>499</v>
      </c>
      <c r="E142" s="1101">
        <v>5000</v>
      </c>
      <c r="F142" s="1099" t="s">
        <v>1297</v>
      </c>
      <c r="G142" s="1100" t="s">
        <v>1296</v>
      </c>
      <c r="H142" s="1099" t="s">
        <v>888</v>
      </c>
      <c r="I142" s="1100" t="s">
        <v>499</v>
      </c>
      <c r="J142" s="1099"/>
      <c r="K142" s="1103" t="s">
        <v>498</v>
      </c>
      <c r="L142" s="1103" t="s">
        <v>497</v>
      </c>
      <c r="M142" s="1104">
        <f t="shared" si="11"/>
        <v>60000</v>
      </c>
      <c r="N142" s="1099">
        <v>3</v>
      </c>
      <c r="O142" s="1099">
        <v>6</v>
      </c>
      <c r="P142" s="1105">
        <f t="shared" si="12"/>
        <v>30000</v>
      </c>
    </row>
    <row r="143" spans="1:16" s="1154" customFormat="1" ht="24">
      <c r="A143" s="1098" t="s">
        <v>506</v>
      </c>
      <c r="B143" s="1099" t="s">
        <v>505</v>
      </c>
      <c r="C143" s="1099" t="s">
        <v>504</v>
      </c>
      <c r="D143" s="1100" t="s">
        <v>731</v>
      </c>
      <c r="E143" s="1101">
        <v>6500</v>
      </c>
      <c r="F143" s="1099" t="s">
        <v>1295</v>
      </c>
      <c r="G143" s="1100" t="s">
        <v>1294</v>
      </c>
      <c r="H143" s="1112" t="s">
        <v>519</v>
      </c>
      <c r="I143" s="1102" t="s">
        <v>507</v>
      </c>
      <c r="J143" s="1099"/>
      <c r="K143" s="1103" t="s">
        <v>498</v>
      </c>
      <c r="L143" s="1103" t="s">
        <v>497</v>
      </c>
      <c r="M143" s="1104">
        <f t="shared" si="11"/>
        <v>78000</v>
      </c>
      <c r="N143" s="1099">
        <v>3</v>
      </c>
      <c r="O143" s="1099">
        <v>6</v>
      </c>
      <c r="P143" s="1105">
        <f t="shared" si="12"/>
        <v>39000</v>
      </c>
    </row>
    <row r="144" spans="1:16" s="1154" customFormat="1" ht="48">
      <c r="A144" s="1098" t="s">
        <v>506</v>
      </c>
      <c r="B144" s="1099" t="s">
        <v>505</v>
      </c>
      <c r="C144" s="1099" t="s">
        <v>504</v>
      </c>
      <c r="D144" s="1102" t="s">
        <v>1293</v>
      </c>
      <c r="E144" s="1101">
        <v>9000</v>
      </c>
      <c r="F144" s="1099" t="s">
        <v>1292</v>
      </c>
      <c r="G144" s="1100" t="s">
        <v>1291</v>
      </c>
      <c r="H144" s="1112" t="s">
        <v>1290</v>
      </c>
      <c r="I144" s="1102" t="s">
        <v>507</v>
      </c>
      <c r="J144" s="1099"/>
      <c r="K144" s="1103" t="s">
        <v>664</v>
      </c>
      <c r="L144" s="1103" t="s">
        <v>773</v>
      </c>
      <c r="M144" s="1104">
        <f>+E144/30*24</f>
        <v>7200</v>
      </c>
      <c r="N144" s="1099">
        <v>3</v>
      </c>
      <c r="O144" s="1099">
        <v>6</v>
      </c>
      <c r="P144" s="1105">
        <f t="shared" si="12"/>
        <v>54000</v>
      </c>
    </row>
    <row r="145" spans="1:16" s="1154" customFormat="1" ht="24">
      <c r="A145" s="1098" t="s">
        <v>506</v>
      </c>
      <c r="B145" s="1099" t="s">
        <v>505</v>
      </c>
      <c r="C145" s="1099" t="s">
        <v>504</v>
      </c>
      <c r="D145" s="1100" t="s">
        <v>582</v>
      </c>
      <c r="E145" s="1101">
        <v>2500</v>
      </c>
      <c r="F145" s="1099" t="s">
        <v>1289</v>
      </c>
      <c r="G145" s="1100" t="s">
        <v>1288</v>
      </c>
      <c r="H145" s="1099" t="s">
        <v>543</v>
      </c>
      <c r="I145" s="1100" t="s">
        <v>507</v>
      </c>
      <c r="J145" s="1099"/>
      <c r="K145" s="1103" t="s">
        <v>498</v>
      </c>
      <c r="L145" s="1103" t="s">
        <v>497</v>
      </c>
      <c r="M145" s="1104">
        <f>E145*L145</f>
        <v>30000</v>
      </c>
      <c r="N145" s="1099">
        <v>3</v>
      </c>
      <c r="O145" s="1099">
        <v>6</v>
      </c>
      <c r="P145" s="1105">
        <f t="shared" si="12"/>
        <v>15000</v>
      </c>
    </row>
    <row r="146" spans="1:16" s="1154" customFormat="1" ht="24">
      <c r="A146" s="1098" t="s">
        <v>506</v>
      </c>
      <c r="B146" s="1099" t="s">
        <v>505</v>
      </c>
      <c r="C146" s="1099" t="s">
        <v>504</v>
      </c>
      <c r="D146" s="1102" t="s">
        <v>1287</v>
      </c>
      <c r="E146" s="1101">
        <v>5000</v>
      </c>
      <c r="F146" s="1099" t="s">
        <v>1286</v>
      </c>
      <c r="G146" s="1100" t="s">
        <v>1285</v>
      </c>
      <c r="H146" s="1099" t="s">
        <v>944</v>
      </c>
      <c r="I146" s="1102" t="s">
        <v>507</v>
      </c>
      <c r="J146" s="1099"/>
      <c r="K146" s="1103" t="s">
        <v>563</v>
      </c>
      <c r="L146" s="1103" t="s">
        <v>822</v>
      </c>
      <c r="M146" s="1104">
        <f>+E146/30*8+E146*5</f>
        <v>26333.333333333332</v>
      </c>
      <c r="N146" s="1099">
        <v>3</v>
      </c>
      <c r="O146" s="1099">
        <v>6</v>
      </c>
      <c r="P146" s="1105">
        <f t="shared" si="12"/>
        <v>30000</v>
      </c>
    </row>
    <row r="147" spans="1:16" s="1154" customFormat="1" ht="24">
      <c r="A147" s="1098" t="s">
        <v>506</v>
      </c>
      <c r="B147" s="1099" t="s">
        <v>505</v>
      </c>
      <c r="C147" s="1099" t="s">
        <v>504</v>
      </c>
      <c r="D147" s="1102" t="s">
        <v>1284</v>
      </c>
      <c r="E147" s="1101">
        <v>9000</v>
      </c>
      <c r="F147" s="1099" t="s">
        <v>1283</v>
      </c>
      <c r="G147" s="1100" t="s">
        <v>1282</v>
      </c>
      <c r="H147" s="1112" t="s">
        <v>1281</v>
      </c>
      <c r="I147" s="1102" t="s">
        <v>507</v>
      </c>
      <c r="J147" s="1099"/>
      <c r="K147" s="1103" t="s">
        <v>563</v>
      </c>
      <c r="L147" s="1103" t="s">
        <v>562</v>
      </c>
      <c r="M147" s="1104">
        <f>+E147/30*14+E147*4</f>
        <v>40200</v>
      </c>
      <c r="N147" s="1099">
        <v>3</v>
      </c>
      <c r="O147" s="1099">
        <v>6</v>
      </c>
      <c r="P147" s="1105">
        <f t="shared" si="12"/>
        <v>54000</v>
      </c>
    </row>
    <row r="148" spans="1:16" s="1154" customFormat="1" ht="24">
      <c r="A148" s="1098" t="s">
        <v>506</v>
      </c>
      <c r="B148" s="1099" t="s">
        <v>505</v>
      </c>
      <c r="C148" s="1099" t="s">
        <v>504</v>
      </c>
      <c r="D148" s="1100" t="s">
        <v>1280</v>
      </c>
      <c r="E148" s="1101">
        <v>5500</v>
      </c>
      <c r="F148" s="1099" t="s">
        <v>1279</v>
      </c>
      <c r="G148" s="1100" t="s">
        <v>1278</v>
      </c>
      <c r="H148" s="1099" t="s">
        <v>888</v>
      </c>
      <c r="I148" s="1100" t="s">
        <v>499</v>
      </c>
      <c r="J148" s="1099"/>
      <c r="K148" s="1103" t="s">
        <v>498</v>
      </c>
      <c r="L148" s="1103" t="s">
        <v>497</v>
      </c>
      <c r="M148" s="1104">
        <f t="shared" ref="M148:M160" si="13">E148*L148</f>
        <v>66000</v>
      </c>
      <c r="N148" s="1099">
        <v>3</v>
      </c>
      <c r="O148" s="1099">
        <v>6</v>
      </c>
      <c r="P148" s="1105">
        <f t="shared" si="12"/>
        <v>33000</v>
      </c>
    </row>
    <row r="149" spans="1:16" s="1154" customFormat="1" ht="24">
      <c r="A149" s="1098" t="s">
        <v>506</v>
      </c>
      <c r="B149" s="1099" t="s">
        <v>505</v>
      </c>
      <c r="C149" s="1099" t="s">
        <v>504</v>
      </c>
      <c r="D149" s="1100" t="s">
        <v>604</v>
      </c>
      <c r="E149" s="1101">
        <v>4500</v>
      </c>
      <c r="F149" s="1099" t="s">
        <v>1277</v>
      </c>
      <c r="G149" s="1100" t="s">
        <v>1276</v>
      </c>
      <c r="H149" s="1099" t="s">
        <v>845</v>
      </c>
      <c r="I149" s="1100" t="s">
        <v>547</v>
      </c>
      <c r="J149" s="1099"/>
      <c r="K149" s="1103" t="s">
        <v>498</v>
      </c>
      <c r="L149" s="1103" t="s">
        <v>497</v>
      </c>
      <c r="M149" s="1104">
        <f t="shared" si="13"/>
        <v>54000</v>
      </c>
      <c r="N149" s="1099">
        <v>3</v>
      </c>
      <c r="O149" s="1099">
        <v>6</v>
      </c>
      <c r="P149" s="1105">
        <f t="shared" si="12"/>
        <v>27000</v>
      </c>
    </row>
    <row r="150" spans="1:16" s="1154" customFormat="1" ht="36">
      <c r="A150" s="1098" t="s">
        <v>506</v>
      </c>
      <c r="B150" s="1099" t="s">
        <v>505</v>
      </c>
      <c r="C150" s="1099" t="s">
        <v>504</v>
      </c>
      <c r="D150" s="1102" t="s">
        <v>1275</v>
      </c>
      <c r="E150" s="1101">
        <v>3200</v>
      </c>
      <c r="F150" s="1099" t="s">
        <v>1274</v>
      </c>
      <c r="G150" s="1100" t="s">
        <v>1273</v>
      </c>
      <c r="H150" s="1099" t="s">
        <v>1272</v>
      </c>
      <c r="I150" s="1100" t="s">
        <v>499</v>
      </c>
      <c r="J150" s="1099"/>
      <c r="K150" s="1103" t="s">
        <v>563</v>
      </c>
      <c r="L150" s="1103" t="s">
        <v>687</v>
      </c>
      <c r="M150" s="1104">
        <f t="shared" si="13"/>
        <v>19200</v>
      </c>
      <c r="N150" s="1099">
        <v>3</v>
      </c>
      <c r="O150" s="1099">
        <v>6</v>
      </c>
      <c r="P150" s="1105">
        <f t="shared" si="12"/>
        <v>19200</v>
      </c>
    </row>
    <row r="151" spans="1:16" s="1154" customFormat="1" ht="24">
      <c r="A151" s="1098" t="s">
        <v>506</v>
      </c>
      <c r="B151" s="1099" t="s">
        <v>505</v>
      </c>
      <c r="C151" s="1099" t="s">
        <v>504</v>
      </c>
      <c r="D151" s="1100" t="s">
        <v>659</v>
      </c>
      <c r="E151" s="1117">
        <v>5000</v>
      </c>
      <c r="F151" s="1099" t="s">
        <v>1271</v>
      </c>
      <c r="G151" s="1100" t="s">
        <v>1270</v>
      </c>
      <c r="H151" s="1099" t="s">
        <v>534</v>
      </c>
      <c r="I151" s="1102" t="s">
        <v>507</v>
      </c>
      <c r="J151" s="1099"/>
      <c r="K151" s="1103" t="s">
        <v>498</v>
      </c>
      <c r="L151" s="1103" t="s">
        <v>497</v>
      </c>
      <c r="M151" s="1104">
        <f t="shared" si="13"/>
        <v>60000</v>
      </c>
      <c r="N151" s="1099">
        <v>3</v>
      </c>
      <c r="O151" s="1099">
        <v>6</v>
      </c>
      <c r="P151" s="1105">
        <f t="shared" si="12"/>
        <v>30000</v>
      </c>
    </row>
    <row r="152" spans="1:16" s="1154" customFormat="1" ht="36">
      <c r="A152" s="1098" t="s">
        <v>506</v>
      </c>
      <c r="B152" s="1099" t="s">
        <v>505</v>
      </c>
      <c r="C152" s="1099" t="s">
        <v>504</v>
      </c>
      <c r="D152" s="1119" t="s">
        <v>1269</v>
      </c>
      <c r="E152" s="1101">
        <v>6200</v>
      </c>
      <c r="F152" s="1120" t="s">
        <v>1268</v>
      </c>
      <c r="G152" s="1114" t="s">
        <v>1267</v>
      </c>
      <c r="H152" s="1113"/>
      <c r="I152" s="1114"/>
      <c r="J152" s="1121"/>
      <c r="K152" s="1103">
        <v>1</v>
      </c>
      <c r="L152" s="1103">
        <v>3</v>
      </c>
      <c r="M152" s="1104">
        <f t="shared" si="13"/>
        <v>18600</v>
      </c>
      <c r="N152" s="1099">
        <v>0</v>
      </c>
      <c r="O152" s="1099">
        <v>0</v>
      </c>
      <c r="P152" s="1105">
        <f t="shared" si="12"/>
        <v>0</v>
      </c>
    </row>
    <row r="153" spans="1:16" s="1154" customFormat="1" ht="36">
      <c r="A153" s="1098" t="s">
        <v>506</v>
      </c>
      <c r="B153" s="1099" t="s">
        <v>505</v>
      </c>
      <c r="C153" s="1099" t="s">
        <v>504</v>
      </c>
      <c r="D153" s="1100" t="s">
        <v>1266</v>
      </c>
      <c r="E153" s="1101">
        <v>7000</v>
      </c>
      <c r="F153" s="1122" t="s">
        <v>1264</v>
      </c>
      <c r="G153" s="1100" t="s">
        <v>1263</v>
      </c>
      <c r="H153" s="1099" t="s">
        <v>1139</v>
      </c>
      <c r="I153" s="1100"/>
      <c r="J153" s="1099"/>
      <c r="K153" s="1103">
        <v>1</v>
      </c>
      <c r="L153" s="1103">
        <v>12</v>
      </c>
      <c r="M153" s="1104">
        <f t="shared" si="13"/>
        <v>84000</v>
      </c>
      <c r="N153" s="1103">
        <v>1</v>
      </c>
      <c r="O153" s="1103">
        <v>2</v>
      </c>
      <c r="P153" s="1105">
        <f>E153/30*2+E153*2</f>
        <v>14466.666666666666</v>
      </c>
    </row>
    <row r="154" spans="1:16" s="1154" customFormat="1" ht="36">
      <c r="A154" s="1098" t="s">
        <v>506</v>
      </c>
      <c r="B154" s="1099" t="s">
        <v>505</v>
      </c>
      <c r="C154" s="1099" t="s">
        <v>504</v>
      </c>
      <c r="D154" s="1102" t="s">
        <v>1265</v>
      </c>
      <c r="E154" s="1101">
        <v>8000</v>
      </c>
      <c r="F154" s="1099" t="s">
        <v>1264</v>
      </c>
      <c r="G154" s="1100" t="s">
        <v>1263</v>
      </c>
      <c r="H154" s="1099" t="s">
        <v>1139</v>
      </c>
      <c r="I154" s="1100"/>
      <c r="J154" s="1099"/>
      <c r="K154" s="1103">
        <v>0</v>
      </c>
      <c r="L154" s="1103">
        <v>0</v>
      </c>
      <c r="M154" s="1104">
        <f t="shared" si="13"/>
        <v>0</v>
      </c>
      <c r="N154" s="1099">
        <v>2</v>
      </c>
      <c r="O154" s="1099">
        <v>3</v>
      </c>
      <c r="P154" s="1105">
        <f>E154/30*28+E154*3</f>
        <v>31466.666666666668</v>
      </c>
    </row>
    <row r="155" spans="1:16" s="1154" customFormat="1" ht="48">
      <c r="A155" s="1098" t="s">
        <v>506</v>
      </c>
      <c r="B155" s="1099" t="s">
        <v>505</v>
      </c>
      <c r="C155" s="1099" t="s">
        <v>504</v>
      </c>
      <c r="D155" s="1100" t="s">
        <v>1262</v>
      </c>
      <c r="E155" s="1101">
        <v>4000</v>
      </c>
      <c r="F155" s="1099" t="s">
        <v>1261</v>
      </c>
      <c r="G155" s="1100" t="s">
        <v>1260</v>
      </c>
      <c r="H155" s="1099" t="s">
        <v>1259</v>
      </c>
      <c r="I155" s="1100" t="s">
        <v>558</v>
      </c>
      <c r="J155" s="1099"/>
      <c r="K155" s="1103" t="s">
        <v>498</v>
      </c>
      <c r="L155" s="1103" t="s">
        <v>497</v>
      </c>
      <c r="M155" s="1104">
        <f t="shared" si="13"/>
        <v>48000</v>
      </c>
      <c r="N155" s="1099">
        <v>3</v>
      </c>
      <c r="O155" s="1099">
        <v>6</v>
      </c>
      <c r="P155" s="1105">
        <f>E155*O155</f>
        <v>24000</v>
      </c>
    </row>
    <row r="156" spans="1:16" s="1154" customFormat="1" ht="24">
      <c r="A156" s="1098" t="s">
        <v>506</v>
      </c>
      <c r="B156" s="1099" t="s">
        <v>505</v>
      </c>
      <c r="C156" s="1099" t="s">
        <v>504</v>
      </c>
      <c r="D156" s="1100" t="s">
        <v>1258</v>
      </c>
      <c r="E156" s="1101">
        <v>10000</v>
      </c>
      <c r="F156" s="1099" t="s">
        <v>1257</v>
      </c>
      <c r="G156" s="1100" t="s">
        <v>1256</v>
      </c>
      <c r="H156" s="1099" t="s">
        <v>543</v>
      </c>
      <c r="I156" s="1102" t="s">
        <v>507</v>
      </c>
      <c r="J156" s="1099"/>
      <c r="K156" s="1103" t="s">
        <v>498</v>
      </c>
      <c r="L156" s="1103" t="s">
        <v>497</v>
      </c>
      <c r="M156" s="1104">
        <f t="shared" si="13"/>
        <v>120000</v>
      </c>
      <c r="N156" s="1099">
        <v>3</v>
      </c>
      <c r="O156" s="1099">
        <v>6</v>
      </c>
      <c r="P156" s="1105">
        <f>E156*O156</f>
        <v>60000</v>
      </c>
    </row>
    <row r="157" spans="1:16" s="1154" customFormat="1" ht="24">
      <c r="A157" s="1098" t="s">
        <v>506</v>
      </c>
      <c r="B157" s="1099" t="s">
        <v>505</v>
      </c>
      <c r="C157" s="1099" t="s">
        <v>504</v>
      </c>
      <c r="D157" s="1100" t="s">
        <v>1255</v>
      </c>
      <c r="E157" s="1101">
        <v>1500</v>
      </c>
      <c r="F157" s="1122" t="s">
        <v>1253</v>
      </c>
      <c r="G157" s="1100" t="s">
        <v>1252</v>
      </c>
      <c r="H157" s="1099" t="s">
        <v>619</v>
      </c>
      <c r="I157" s="1100" t="s">
        <v>618</v>
      </c>
      <c r="J157" s="1099"/>
      <c r="K157" s="1103">
        <v>1</v>
      </c>
      <c r="L157" s="1103">
        <v>12</v>
      </c>
      <c r="M157" s="1104">
        <f t="shared" si="13"/>
        <v>18000</v>
      </c>
      <c r="N157" s="1099">
        <v>1</v>
      </c>
      <c r="O157" s="1099">
        <v>0</v>
      </c>
      <c r="P157" s="1105">
        <f>E157/30*27</f>
        <v>1350</v>
      </c>
    </row>
    <row r="158" spans="1:16" s="1154" customFormat="1" ht="24">
      <c r="A158" s="1098" t="s">
        <v>506</v>
      </c>
      <c r="B158" s="1099" t="s">
        <v>505</v>
      </c>
      <c r="C158" s="1099" t="s">
        <v>504</v>
      </c>
      <c r="D158" s="1100" t="s">
        <v>1254</v>
      </c>
      <c r="E158" s="1101">
        <v>2500</v>
      </c>
      <c r="F158" s="1122" t="s">
        <v>1253</v>
      </c>
      <c r="G158" s="1100" t="s">
        <v>1252</v>
      </c>
      <c r="H158" s="1099" t="s">
        <v>619</v>
      </c>
      <c r="I158" s="1100" t="s">
        <v>618</v>
      </c>
      <c r="J158" s="1099"/>
      <c r="K158" s="1103">
        <v>0</v>
      </c>
      <c r="L158" s="1103">
        <v>0</v>
      </c>
      <c r="M158" s="1104">
        <f t="shared" si="13"/>
        <v>0</v>
      </c>
      <c r="N158" s="1099">
        <v>2</v>
      </c>
      <c r="O158" s="1099">
        <v>5</v>
      </c>
      <c r="P158" s="1105">
        <f>E158/30*2+E158*5</f>
        <v>12666.666666666666</v>
      </c>
    </row>
    <row r="159" spans="1:16" s="1154" customFormat="1" ht="24">
      <c r="A159" s="1098" t="s">
        <v>506</v>
      </c>
      <c r="B159" s="1099" t="s">
        <v>505</v>
      </c>
      <c r="C159" s="1099" t="s">
        <v>504</v>
      </c>
      <c r="D159" s="1100" t="s">
        <v>1145</v>
      </c>
      <c r="E159" s="1101">
        <v>9000</v>
      </c>
      <c r="F159" s="1099" t="s">
        <v>1251</v>
      </c>
      <c r="G159" s="1100" t="s">
        <v>1250</v>
      </c>
      <c r="H159" s="1112" t="s">
        <v>515</v>
      </c>
      <c r="I159" s="1102" t="s">
        <v>507</v>
      </c>
      <c r="J159" s="1099"/>
      <c r="K159" s="1103" t="s">
        <v>498</v>
      </c>
      <c r="L159" s="1103" t="s">
        <v>497</v>
      </c>
      <c r="M159" s="1104">
        <f t="shared" si="13"/>
        <v>108000</v>
      </c>
      <c r="N159" s="1099">
        <v>3</v>
      </c>
      <c r="O159" s="1099">
        <v>6</v>
      </c>
      <c r="P159" s="1105">
        <f>E159*O159</f>
        <v>54000</v>
      </c>
    </row>
    <row r="160" spans="1:16" s="1154" customFormat="1" ht="24">
      <c r="A160" s="1098" t="s">
        <v>506</v>
      </c>
      <c r="B160" s="1099" t="s">
        <v>505</v>
      </c>
      <c r="C160" s="1099" t="s">
        <v>504</v>
      </c>
      <c r="D160" s="1100" t="s">
        <v>604</v>
      </c>
      <c r="E160" s="1101">
        <v>5000</v>
      </c>
      <c r="F160" s="1099" t="s">
        <v>1249</v>
      </c>
      <c r="G160" s="1100" t="s">
        <v>1248</v>
      </c>
      <c r="H160" s="1099" t="s">
        <v>888</v>
      </c>
      <c r="I160" s="1100" t="s">
        <v>499</v>
      </c>
      <c r="J160" s="1099"/>
      <c r="K160" s="1103" t="s">
        <v>498</v>
      </c>
      <c r="L160" s="1103" t="s">
        <v>497</v>
      </c>
      <c r="M160" s="1104">
        <f t="shared" si="13"/>
        <v>60000</v>
      </c>
      <c r="N160" s="1099">
        <v>3</v>
      </c>
      <c r="O160" s="1099">
        <v>6</v>
      </c>
      <c r="P160" s="1105">
        <f>E160*O160</f>
        <v>30000</v>
      </c>
    </row>
    <row r="161" spans="1:16" s="1154" customFormat="1" ht="24">
      <c r="A161" s="1098" t="s">
        <v>506</v>
      </c>
      <c r="B161" s="1099" t="s">
        <v>505</v>
      </c>
      <c r="C161" s="1099" t="s">
        <v>504</v>
      </c>
      <c r="D161" s="1119" t="s">
        <v>1247</v>
      </c>
      <c r="E161" s="1101">
        <v>8500</v>
      </c>
      <c r="F161" s="1120" t="s">
        <v>1246</v>
      </c>
      <c r="G161" s="1114" t="s">
        <v>1245</v>
      </c>
      <c r="H161" s="1113"/>
      <c r="I161" s="1114"/>
      <c r="J161" s="1121"/>
      <c r="K161" s="1103">
        <v>1</v>
      </c>
      <c r="L161" s="1103">
        <v>5</v>
      </c>
      <c r="M161" s="1115">
        <f>E161/30*14+E161*5</f>
        <v>46466.666666666664</v>
      </c>
      <c r="N161" s="1113">
        <v>0</v>
      </c>
      <c r="O161" s="1113">
        <v>0</v>
      </c>
      <c r="P161" s="1116">
        <v>0</v>
      </c>
    </row>
    <row r="162" spans="1:16" s="1154" customFormat="1" ht="24">
      <c r="A162" s="1098" t="s">
        <v>506</v>
      </c>
      <c r="B162" s="1099" t="s">
        <v>505</v>
      </c>
      <c r="C162" s="1099" t="s">
        <v>504</v>
      </c>
      <c r="D162" s="1119" t="s">
        <v>518</v>
      </c>
      <c r="E162" s="1101">
        <v>6000</v>
      </c>
      <c r="F162" s="1099" t="s">
        <v>1243</v>
      </c>
      <c r="G162" s="1100" t="s">
        <v>1242</v>
      </c>
      <c r="H162" s="1112" t="s">
        <v>519</v>
      </c>
      <c r="I162" s="1102" t="s">
        <v>507</v>
      </c>
      <c r="J162" s="1099"/>
      <c r="K162" s="1103" t="s">
        <v>498</v>
      </c>
      <c r="L162" s="1103" t="s">
        <v>773</v>
      </c>
      <c r="M162" s="1104">
        <f>E162/30*17+E162*11</f>
        <v>69400</v>
      </c>
      <c r="N162" s="1099">
        <v>0</v>
      </c>
      <c r="O162" s="1099">
        <v>0</v>
      </c>
      <c r="P162" s="1105">
        <f>E162*O162</f>
        <v>0</v>
      </c>
    </row>
    <row r="163" spans="1:16" s="1154" customFormat="1" ht="36">
      <c r="A163" s="1098" t="s">
        <v>506</v>
      </c>
      <c r="B163" s="1099" t="s">
        <v>505</v>
      </c>
      <c r="C163" s="1099" t="s">
        <v>504</v>
      </c>
      <c r="D163" s="1119" t="s">
        <v>1244</v>
      </c>
      <c r="E163" s="1101">
        <v>8000</v>
      </c>
      <c r="F163" s="1113" t="s">
        <v>1243</v>
      </c>
      <c r="G163" s="1114" t="s">
        <v>1242</v>
      </c>
      <c r="H163" s="1113"/>
      <c r="I163" s="1114"/>
      <c r="J163" s="1113"/>
      <c r="K163" s="1103">
        <v>0</v>
      </c>
      <c r="L163" s="1103">
        <v>0</v>
      </c>
      <c r="M163" s="1104">
        <f>E163*L163</f>
        <v>0</v>
      </c>
      <c r="N163" s="1113">
        <v>3</v>
      </c>
      <c r="O163" s="1113">
        <v>5</v>
      </c>
      <c r="P163" s="1116">
        <f>E163/30*28+E163*5</f>
        <v>47466.666666666664</v>
      </c>
    </row>
    <row r="164" spans="1:16" s="1154" customFormat="1" ht="24">
      <c r="A164" s="1098" t="s">
        <v>506</v>
      </c>
      <c r="B164" s="1099" t="s">
        <v>505</v>
      </c>
      <c r="C164" s="1099" t="s">
        <v>504</v>
      </c>
      <c r="D164" s="1100" t="s">
        <v>1241</v>
      </c>
      <c r="E164" s="1101">
        <v>5000</v>
      </c>
      <c r="F164" s="1122" t="s">
        <v>1240</v>
      </c>
      <c r="G164" s="1100" t="s">
        <v>1239</v>
      </c>
      <c r="H164" s="1099" t="s">
        <v>1238</v>
      </c>
      <c r="I164" s="1100"/>
      <c r="J164" s="1099"/>
      <c r="K164" s="1103">
        <v>1</v>
      </c>
      <c r="L164" s="1103">
        <v>12</v>
      </c>
      <c r="M164" s="1104">
        <f>E164*L164</f>
        <v>60000</v>
      </c>
      <c r="N164" s="1099">
        <v>2</v>
      </c>
      <c r="O164" s="1099">
        <v>6</v>
      </c>
      <c r="P164" s="1105">
        <f>E164*O164</f>
        <v>30000</v>
      </c>
    </row>
    <row r="165" spans="1:16" s="1154" customFormat="1" ht="24">
      <c r="A165" s="1098" t="s">
        <v>506</v>
      </c>
      <c r="B165" s="1099" t="s">
        <v>505</v>
      </c>
      <c r="C165" s="1099" t="s">
        <v>504</v>
      </c>
      <c r="D165" s="1102" t="s">
        <v>1125</v>
      </c>
      <c r="E165" s="1101">
        <v>8000</v>
      </c>
      <c r="F165" s="1099" t="s">
        <v>1237</v>
      </c>
      <c r="G165" s="1100" t="s">
        <v>1236</v>
      </c>
      <c r="H165" s="1099" t="s">
        <v>791</v>
      </c>
      <c r="I165" s="1102" t="s">
        <v>507</v>
      </c>
      <c r="J165" s="1099"/>
      <c r="K165" s="1103" t="s">
        <v>563</v>
      </c>
      <c r="L165" s="1103" t="s">
        <v>562</v>
      </c>
      <c r="M165" s="1104">
        <f>+E165/30*9+E165*4</f>
        <v>34400</v>
      </c>
      <c r="N165" s="1099">
        <v>3</v>
      </c>
      <c r="O165" s="1099">
        <v>6</v>
      </c>
      <c r="P165" s="1105">
        <f>E165*O165</f>
        <v>48000</v>
      </c>
    </row>
    <row r="166" spans="1:16" s="1154" customFormat="1" ht="24">
      <c r="A166" s="1098" t="s">
        <v>506</v>
      </c>
      <c r="B166" s="1099" t="s">
        <v>505</v>
      </c>
      <c r="C166" s="1099" t="s">
        <v>504</v>
      </c>
      <c r="D166" s="1100" t="s">
        <v>1235</v>
      </c>
      <c r="E166" s="1101">
        <v>3000</v>
      </c>
      <c r="F166" s="1099" t="s">
        <v>1233</v>
      </c>
      <c r="G166" s="1100" t="s">
        <v>1232</v>
      </c>
      <c r="H166" s="1099" t="s">
        <v>543</v>
      </c>
      <c r="I166" s="1102" t="s">
        <v>507</v>
      </c>
      <c r="J166" s="1099"/>
      <c r="K166" s="1103" t="s">
        <v>498</v>
      </c>
      <c r="L166" s="1103" t="s">
        <v>1012</v>
      </c>
      <c r="M166" s="1104">
        <f>+E166/30*10+E166*9</f>
        <v>28000</v>
      </c>
      <c r="N166" s="1099">
        <v>0</v>
      </c>
      <c r="O166" s="1099">
        <v>0</v>
      </c>
      <c r="P166" s="1105">
        <v>0</v>
      </c>
    </row>
    <row r="167" spans="1:16" s="1154" customFormat="1" ht="24">
      <c r="A167" s="1098" t="s">
        <v>506</v>
      </c>
      <c r="B167" s="1099" t="s">
        <v>505</v>
      </c>
      <c r="C167" s="1099" t="s">
        <v>504</v>
      </c>
      <c r="D167" s="1100" t="s">
        <v>1234</v>
      </c>
      <c r="E167" s="1101">
        <v>4000</v>
      </c>
      <c r="F167" s="1099" t="s">
        <v>1233</v>
      </c>
      <c r="G167" s="1100" t="s">
        <v>1232</v>
      </c>
      <c r="H167" s="1099" t="s">
        <v>543</v>
      </c>
      <c r="I167" s="1102" t="s">
        <v>507</v>
      </c>
      <c r="J167" s="1099"/>
      <c r="K167" s="1103" t="s">
        <v>664</v>
      </c>
      <c r="L167" s="1103" t="s">
        <v>563</v>
      </c>
      <c r="M167" s="1104">
        <f>+E167/30*20+E167*2</f>
        <v>10666.666666666668</v>
      </c>
      <c r="N167" s="1099">
        <v>2</v>
      </c>
      <c r="O167" s="1099">
        <v>6</v>
      </c>
      <c r="P167" s="1105">
        <f t="shared" ref="P167:P172" si="14">E167*O167</f>
        <v>24000</v>
      </c>
    </row>
    <row r="168" spans="1:16" s="1154" customFormat="1" ht="60">
      <c r="A168" s="1098" t="s">
        <v>506</v>
      </c>
      <c r="B168" s="1099" t="s">
        <v>505</v>
      </c>
      <c r="C168" s="1099" t="s">
        <v>504</v>
      </c>
      <c r="D168" s="1100" t="s">
        <v>1231</v>
      </c>
      <c r="E168" s="1101">
        <v>7500</v>
      </c>
      <c r="F168" s="1099" t="s">
        <v>1230</v>
      </c>
      <c r="G168" s="1100" t="s">
        <v>1229</v>
      </c>
      <c r="H168" s="1112" t="s">
        <v>508</v>
      </c>
      <c r="I168" s="1102" t="s">
        <v>507</v>
      </c>
      <c r="J168" s="1099"/>
      <c r="K168" s="1103" t="s">
        <v>498</v>
      </c>
      <c r="L168" s="1103" t="s">
        <v>497</v>
      </c>
      <c r="M168" s="1104">
        <f>E168*L168</f>
        <v>90000</v>
      </c>
      <c r="N168" s="1099">
        <v>3</v>
      </c>
      <c r="O168" s="1099">
        <v>6</v>
      </c>
      <c r="P168" s="1105">
        <f t="shared" si="14"/>
        <v>45000</v>
      </c>
    </row>
    <row r="169" spans="1:16" s="1154" customFormat="1" ht="24">
      <c r="A169" s="1098" t="s">
        <v>506</v>
      </c>
      <c r="B169" s="1099" t="s">
        <v>505</v>
      </c>
      <c r="C169" s="1099" t="s">
        <v>504</v>
      </c>
      <c r="D169" s="1100" t="s">
        <v>787</v>
      </c>
      <c r="E169" s="1101">
        <v>10000</v>
      </c>
      <c r="F169" s="1099" t="s">
        <v>1228</v>
      </c>
      <c r="G169" s="1100" t="s">
        <v>1227</v>
      </c>
      <c r="H169" s="1099" t="s">
        <v>590</v>
      </c>
      <c r="I169" s="1102" t="s">
        <v>507</v>
      </c>
      <c r="J169" s="1099"/>
      <c r="K169" s="1103" t="s">
        <v>498</v>
      </c>
      <c r="L169" s="1103" t="s">
        <v>497</v>
      </c>
      <c r="M169" s="1104">
        <f>E169*L169</f>
        <v>120000</v>
      </c>
      <c r="N169" s="1099">
        <v>3</v>
      </c>
      <c r="O169" s="1099">
        <v>6</v>
      </c>
      <c r="P169" s="1105">
        <f t="shared" si="14"/>
        <v>60000</v>
      </c>
    </row>
    <row r="170" spans="1:16" s="1154" customFormat="1" ht="36">
      <c r="A170" s="1098" t="s">
        <v>506</v>
      </c>
      <c r="B170" s="1099" t="s">
        <v>505</v>
      </c>
      <c r="C170" s="1099" t="s">
        <v>504</v>
      </c>
      <c r="D170" s="1102" t="s">
        <v>1226</v>
      </c>
      <c r="E170" s="1101">
        <v>3200</v>
      </c>
      <c r="F170" s="1099" t="s">
        <v>1225</v>
      </c>
      <c r="G170" s="1100" t="s">
        <v>1224</v>
      </c>
      <c r="H170" s="1112" t="s">
        <v>1111</v>
      </c>
      <c r="I170" s="1102" t="s">
        <v>507</v>
      </c>
      <c r="J170" s="1099"/>
      <c r="K170" s="1103" t="s">
        <v>563</v>
      </c>
      <c r="L170" s="1103" t="s">
        <v>687</v>
      </c>
      <c r="M170" s="1104">
        <f>E170*L170</f>
        <v>19200</v>
      </c>
      <c r="N170" s="1099">
        <v>3</v>
      </c>
      <c r="O170" s="1099">
        <v>6</v>
      </c>
      <c r="P170" s="1105">
        <f t="shared" si="14"/>
        <v>19200</v>
      </c>
    </row>
    <row r="171" spans="1:16" s="1154" customFormat="1" ht="24">
      <c r="A171" s="1098" t="s">
        <v>506</v>
      </c>
      <c r="B171" s="1099" t="s">
        <v>505</v>
      </c>
      <c r="C171" s="1099" t="s">
        <v>504</v>
      </c>
      <c r="D171" s="1100" t="s">
        <v>659</v>
      </c>
      <c r="E171" s="1101">
        <v>5000</v>
      </c>
      <c r="F171" s="1099" t="s">
        <v>1223</v>
      </c>
      <c r="G171" s="1100" t="s">
        <v>1222</v>
      </c>
      <c r="H171" s="1099" t="s">
        <v>534</v>
      </c>
      <c r="I171" s="1102" t="s">
        <v>507</v>
      </c>
      <c r="J171" s="1099"/>
      <c r="K171" s="1103" t="s">
        <v>498</v>
      </c>
      <c r="L171" s="1103" t="s">
        <v>497</v>
      </c>
      <c r="M171" s="1104">
        <f>E171*L171</f>
        <v>60000</v>
      </c>
      <c r="N171" s="1099">
        <v>3</v>
      </c>
      <c r="O171" s="1099">
        <v>6</v>
      </c>
      <c r="P171" s="1105">
        <f t="shared" si="14"/>
        <v>30000</v>
      </c>
    </row>
    <row r="172" spans="1:16" s="1154" customFormat="1" ht="24">
      <c r="A172" s="1098" t="s">
        <v>506</v>
      </c>
      <c r="B172" s="1099" t="s">
        <v>505</v>
      </c>
      <c r="C172" s="1099" t="s">
        <v>504</v>
      </c>
      <c r="D172" s="1100" t="s">
        <v>982</v>
      </c>
      <c r="E172" s="1101">
        <v>8000</v>
      </c>
      <c r="F172" s="1099" t="s">
        <v>1221</v>
      </c>
      <c r="G172" s="1100" t="s">
        <v>1220</v>
      </c>
      <c r="H172" s="1112" t="s">
        <v>508</v>
      </c>
      <c r="I172" s="1102" t="s">
        <v>507</v>
      </c>
      <c r="J172" s="1099"/>
      <c r="K172" s="1103" t="s">
        <v>498</v>
      </c>
      <c r="L172" s="1103" t="s">
        <v>497</v>
      </c>
      <c r="M172" s="1104">
        <f>E172*L172</f>
        <v>96000</v>
      </c>
      <c r="N172" s="1099">
        <v>3</v>
      </c>
      <c r="O172" s="1099">
        <v>6</v>
      </c>
      <c r="P172" s="1105">
        <f t="shared" si="14"/>
        <v>48000</v>
      </c>
    </row>
    <row r="173" spans="1:16" s="1154" customFormat="1" ht="24">
      <c r="A173" s="1098" t="s">
        <v>506</v>
      </c>
      <c r="B173" s="1099" t="s">
        <v>505</v>
      </c>
      <c r="C173" s="1099" t="s">
        <v>504</v>
      </c>
      <c r="D173" s="1100" t="s">
        <v>1219</v>
      </c>
      <c r="E173" s="1101">
        <v>9000</v>
      </c>
      <c r="F173" s="1120" t="s">
        <v>1218</v>
      </c>
      <c r="G173" s="1114" t="s">
        <v>1217</v>
      </c>
      <c r="H173" s="1113"/>
      <c r="I173" s="1114"/>
      <c r="J173" s="1121"/>
      <c r="K173" s="1103">
        <v>1</v>
      </c>
      <c r="L173" s="1103">
        <v>1</v>
      </c>
      <c r="M173" s="1115">
        <f>E173/30*2</f>
        <v>600</v>
      </c>
      <c r="N173" s="1113">
        <v>0</v>
      </c>
      <c r="O173" s="1113">
        <v>0</v>
      </c>
      <c r="P173" s="1116">
        <v>0</v>
      </c>
    </row>
    <row r="174" spans="1:16" s="1154" customFormat="1" ht="24">
      <c r="A174" s="1098" t="s">
        <v>506</v>
      </c>
      <c r="B174" s="1099" t="s">
        <v>505</v>
      </c>
      <c r="C174" s="1099" t="s">
        <v>504</v>
      </c>
      <c r="D174" s="1100" t="s">
        <v>1216</v>
      </c>
      <c r="E174" s="1101">
        <v>4000</v>
      </c>
      <c r="F174" s="1120" t="s">
        <v>1215</v>
      </c>
      <c r="G174" s="1114" t="s">
        <v>1214</v>
      </c>
      <c r="H174" s="1113"/>
      <c r="I174" s="1114"/>
      <c r="J174" s="1121"/>
      <c r="K174" s="1103">
        <v>1</v>
      </c>
      <c r="L174" s="1103">
        <v>1</v>
      </c>
      <c r="M174" s="1104">
        <f t="shared" ref="M174:M194" si="15">E174*L174</f>
        <v>4000</v>
      </c>
      <c r="N174" s="1113">
        <v>0</v>
      </c>
      <c r="O174" s="1113">
        <v>0</v>
      </c>
      <c r="P174" s="1116">
        <v>0</v>
      </c>
    </row>
    <row r="175" spans="1:16" s="1154" customFormat="1" ht="36">
      <c r="A175" s="1098" t="s">
        <v>506</v>
      </c>
      <c r="B175" s="1099" t="s">
        <v>505</v>
      </c>
      <c r="C175" s="1099" t="s">
        <v>504</v>
      </c>
      <c r="D175" s="1102" t="s">
        <v>1213</v>
      </c>
      <c r="E175" s="1101">
        <v>15600</v>
      </c>
      <c r="F175" s="1122" t="s">
        <v>1212</v>
      </c>
      <c r="G175" s="1100" t="s">
        <v>1211</v>
      </c>
      <c r="H175" s="1112" t="s">
        <v>1210</v>
      </c>
      <c r="I175" s="1102"/>
      <c r="J175" s="1099"/>
      <c r="K175" s="1103">
        <v>1</v>
      </c>
      <c r="L175" s="1103">
        <v>12</v>
      </c>
      <c r="M175" s="1104">
        <f t="shared" si="15"/>
        <v>187200</v>
      </c>
      <c r="N175" s="1099">
        <v>1</v>
      </c>
      <c r="O175" s="1099">
        <v>6</v>
      </c>
      <c r="P175" s="1105">
        <f>E175*O175</f>
        <v>93600</v>
      </c>
    </row>
    <row r="176" spans="1:16" s="1154" customFormat="1" ht="24">
      <c r="A176" s="1098" t="s">
        <v>506</v>
      </c>
      <c r="B176" s="1099" t="s">
        <v>505</v>
      </c>
      <c r="C176" s="1099" t="s">
        <v>504</v>
      </c>
      <c r="D176" s="1119" t="s">
        <v>518</v>
      </c>
      <c r="E176" s="1101">
        <v>10000</v>
      </c>
      <c r="F176" s="1120" t="s">
        <v>1209</v>
      </c>
      <c r="G176" s="1114" t="s">
        <v>1208</v>
      </c>
      <c r="H176" s="1113"/>
      <c r="I176" s="1114"/>
      <c r="J176" s="1121"/>
      <c r="K176" s="1103">
        <v>1</v>
      </c>
      <c r="L176" s="1103">
        <v>2</v>
      </c>
      <c r="M176" s="1115">
        <f t="shared" si="15"/>
        <v>20000</v>
      </c>
      <c r="N176" s="1113">
        <v>0</v>
      </c>
      <c r="O176" s="1113">
        <v>0</v>
      </c>
      <c r="P176" s="1116">
        <v>0</v>
      </c>
    </row>
    <row r="177" spans="1:16" s="1154" customFormat="1" ht="36">
      <c r="A177" s="1098" t="s">
        <v>506</v>
      </c>
      <c r="B177" s="1099" t="s">
        <v>505</v>
      </c>
      <c r="C177" s="1099" t="s">
        <v>504</v>
      </c>
      <c r="D177" s="1100" t="s">
        <v>1207</v>
      </c>
      <c r="E177" s="1101">
        <v>4500</v>
      </c>
      <c r="F177" s="1099" t="s">
        <v>1206</v>
      </c>
      <c r="G177" s="1100" t="s">
        <v>1205</v>
      </c>
      <c r="H177" s="1099" t="s">
        <v>632</v>
      </c>
      <c r="I177" s="1102" t="s">
        <v>507</v>
      </c>
      <c r="J177" s="1099"/>
      <c r="K177" s="1103" t="s">
        <v>498</v>
      </c>
      <c r="L177" s="1103" t="s">
        <v>497</v>
      </c>
      <c r="M177" s="1104">
        <f t="shared" si="15"/>
        <v>54000</v>
      </c>
      <c r="N177" s="1099">
        <v>3</v>
      </c>
      <c r="O177" s="1099">
        <v>6</v>
      </c>
      <c r="P177" s="1105">
        <f t="shared" ref="P177:P192" si="16">E177*O177</f>
        <v>27000</v>
      </c>
    </row>
    <row r="178" spans="1:16" s="1154" customFormat="1" ht="24">
      <c r="A178" s="1098" t="s">
        <v>506</v>
      </c>
      <c r="B178" s="1099" t="s">
        <v>505</v>
      </c>
      <c r="C178" s="1099" t="s">
        <v>504</v>
      </c>
      <c r="D178" s="1100" t="s">
        <v>518</v>
      </c>
      <c r="E178" s="1101">
        <v>10000</v>
      </c>
      <c r="F178" s="1099" t="s">
        <v>1204</v>
      </c>
      <c r="G178" s="1100" t="s">
        <v>1203</v>
      </c>
      <c r="H178" s="1099" t="s">
        <v>1202</v>
      </c>
      <c r="I178" s="1102" t="s">
        <v>507</v>
      </c>
      <c r="J178" s="1099"/>
      <c r="K178" s="1103" t="s">
        <v>498</v>
      </c>
      <c r="L178" s="1103" t="s">
        <v>497</v>
      </c>
      <c r="M178" s="1104">
        <f t="shared" si="15"/>
        <v>120000</v>
      </c>
      <c r="N178" s="1099">
        <v>3</v>
      </c>
      <c r="O178" s="1099">
        <v>6</v>
      </c>
      <c r="P178" s="1105">
        <f t="shared" si="16"/>
        <v>60000</v>
      </c>
    </row>
    <row r="179" spans="1:16" s="1154" customFormat="1" ht="24">
      <c r="A179" s="1098" t="s">
        <v>506</v>
      </c>
      <c r="B179" s="1099" t="s">
        <v>505</v>
      </c>
      <c r="C179" s="1099" t="s">
        <v>504</v>
      </c>
      <c r="D179" s="1100" t="s">
        <v>1201</v>
      </c>
      <c r="E179" s="1101">
        <v>3150</v>
      </c>
      <c r="F179" s="1099" t="s">
        <v>1200</v>
      </c>
      <c r="G179" s="1100" t="s">
        <v>1199</v>
      </c>
      <c r="H179" s="1099" t="s">
        <v>612</v>
      </c>
      <c r="I179" s="1100" t="s">
        <v>499</v>
      </c>
      <c r="J179" s="1099"/>
      <c r="K179" s="1103" t="s">
        <v>498</v>
      </c>
      <c r="L179" s="1103" t="s">
        <v>497</v>
      </c>
      <c r="M179" s="1104">
        <f t="shared" si="15"/>
        <v>37800</v>
      </c>
      <c r="N179" s="1099">
        <v>3</v>
      </c>
      <c r="O179" s="1099">
        <v>6</v>
      </c>
      <c r="P179" s="1105">
        <f t="shared" si="16"/>
        <v>18900</v>
      </c>
    </row>
    <row r="180" spans="1:16" s="1154" customFormat="1" ht="24">
      <c r="A180" s="1098" t="s">
        <v>506</v>
      </c>
      <c r="B180" s="1099" t="s">
        <v>505</v>
      </c>
      <c r="C180" s="1099" t="s">
        <v>504</v>
      </c>
      <c r="D180" s="1100" t="s">
        <v>1198</v>
      </c>
      <c r="E180" s="1101">
        <v>4000</v>
      </c>
      <c r="F180" s="1099" t="s">
        <v>1197</v>
      </c>
      <c r="G180" s="1100" t="s">
        <v>1196</v>
      </c>
      <c r="H180" s="1099" t="s">
        <v>1195</v>
      </c>
      <c r="I180" s="1100" t="s">
        <v>499</v>
      </c>
      <c r="J180" s="1099"/>
      <c r="K180" s="1103" t="s">
        <v>498</v>
      </c>
      <c r="L180" s="1103" t="s">
        <v>497</v>
      </c>
      <c r="M180" s="1104">
        <f t="shared" si="15"/>
        <v>48000</v>
      </c>
      <c r="N180" s="1099">
        <v>3</v>
      </c>
      <c r="O180" s="1099">
        <v>6</v>
      </c>
      <c r="P180" s="1105">
        <f t="shared" si="16"/>
        <v>24000</v>
      </c>
    </row>
    <row r="181" spans="1:16" s="1154" customFormat="1" ht="36">
      <c r="A181" s="1098" t="s">
        <v>506</v>
      </c>
      <c r="B181" s="1099" t="s">
        <v>505</v>
      </c>
      <c r="C181" s="1099" t="s">
        <v>504</v>
      </c>
      <c r="D181" s="1100" t="s">
        <v>787</v>
      </c>
      <c r="E181" s="1101">
        <v>10000</v>
      </c>
      <c r="F181" s="1099" t="s">
        <v>1194</v>
      </c>
      <c r="G181" s="1100" t="s">
        <v>1193</v>
      </c>
      <c r="H181" s="1099" t="s">
        <v>1192</v>
      </c>
      <c r="I181" s="1102" t="s">
        <v>507</v>
      </c>
      <c r="J181" s="1099"/>
      <c r="K181" s="1103" t="s">
        <v>498</v>
      </c>
      <c r="L181" s="1103" t="s">
        <v>497</v>
      </c>
      <c r="M181" s="1104">
        <f t="shared" si="15"/>
        <v>120000</v>
      </c>
      <c r="N181" s="1099">
        <v>3</v>
      </c>
      <c r="O181" s="1099">
        <v>6</v>
      </c>
      <c r="P181" s="1105">
        <f t="shared" si="16"/>
        <v>60000</v>
      </c>
    </row>
    <row r="182" spans="1:16" s="1154" customFormat="1" ht="24">
      <c r="A182" s="1098" t="s">
        <v>506</v>
      </c>
      <c r="B182" s="1099" t="s">
        <v>505</v>
      </c>
      <c r="C182" s="1099" t="s">
        <v>504</v>
      </c>
      <c r="D182" s="1100" t="s">
        <v>659</v>
      </c>
      <c r="E182" s="1117">
        <v>5000</v>
      </c>
      <c r="F182" s="1099" t="s">
        <v>1191</v>
      </c>
      <c r="G182" s="1100" t="s">
        <v>1190</v>
      </c>
      <c r="H182" s="1099" t="s">
        <v>534</v>
      </c>
      <c r="I182" s="1102" t="s">
        <v>507</v>
      </c>
      <c r="J182" s="1099"/>
      <c r="K182" s="1103" t="s">
        <v>498</v>
      </c>
      <c r="L182" s="1103" t="s">
        <v>497</v>
      </c>
      <c r="M182" s="1104">
        <f t="shared" si="15"/>
        <v>60000</v>
      </c>
      <c r="N182" s="1099">
        <v>3</v>
      </c>
      <c r="O182" s="1099">
        <v>6</v>
      </c>
      <c r="P182" s="1105">
        <f t="shared" si="16"/>
        <v>30000</v>
      </c>
    </row>
    <row r="183" spans="1:16" s="1154" customFormat="1" ht="24">
      <c r="A183" s="1098" t="s">
        <v>506</v>
      </c>
      <c r="B183" s="1099" t="s">
        <v>505</v>
      </c>
      <c r="C183" s="1099" t="s">
        <v>504</v>
      </c>
      <c r="D183" s="1100" t="s">
        <v>1189</v>
      </c>
      <c r="E183" s="1101">
        <v>6000</v>
      </c>
      <c r="F183" s="1099" t="s">
        <v>1188</v>
      </c>
      <c r="G183" s="1100" t="s">
        <v>1187</v>
      </c>
      <c r="H183" s="1099" t="s">
        <v>888</v>
      </c>
      <c r="I183" s="1100" t="s">
        <v>499</v>
      </c>
      <c r="J183" s="1099"/>
      <c r="K183" s="1103" t="s">
        <v>498</v>
      </c>
      <c r="L183" s="1103" t="s">
        <v>497</v>
      </c>
      <c r="M183" s="1104">
        <f t="shared" si="15"/>
        <v>72000</v>
      </c>
      <c r="N183" s="1099">
        <v>3</v>
      </c>
      <c r="O183" s="1099">
        <v>6</v>
      </c>
      <c r="P183" s="1105">
        <f t="shared" si="16"/>
        <v>36000</v>
      </c>
    </row>
    <row r="184" spans="1:16" s="1154" customFormat="1" ht="24">
      <c r="A184" s="1098" t="s">
        <v>506</v>
      </c>
      <c r="B184" s="1099" t="s">
        <v>505</v>
      </c>
      <c r="C184" s="1099" t="s">
        <v>504</v>
      </c>
      <c r="D184" s="1100" t="s">
        <v>622</v>
      </c>
      <c r="E184" s="1101">
        <v>2500</v>
      </c>
      <c r="F184" s="1099" t="s">
        <v>1186</v>
      </c>
      <c r="G184" s="1100" t="s">
        <v>1185</v>
      </c>
      <c r="H184" s="1112" t="s">
        <v>712</v>
      </c>
      <c r="I184" s="1100" t="s">
        <v>619</v>
      </c>
      <c r="J184" s="1099"/>
      <c r="K184" s="1103" t="s">
        <v>498</v>
      </c>
      <c r="L184" s="1103" t="s">
        <v>497</v>
      </c>
      <c r="M184" s="1104">
        <f t="shared" si="15"/>
        <v>30000</v>
      </c>
      <c r="N184" s="1099">
        <v>3</v>
      </c>
      <c r="O184" s="1099">
        <v>6</v>
      </c>
      <c r="P184" s="1105">
        <f t="shared" si="16"/>
        <v>15000</v>
      </c>
    </row>
    <row r="185" spans="1:16" s="1154" customFormat="1" ht="24">
      <c r="A185" s="1098" t="s">
        <v>506</v>
      </c>
      <c r="B185" s="1099" t="s">
        <v>505</v>
      </c>
      <c r="C185" s="1099" t="s">
        <v>504</v>
      </c>
      <c r="D185" s="1119" t="s">
        <v>503</v>
      </c>
      <c r="E185" s="1101">
        <v>2850</v>
      </c>
      <c r="F185" s="1120" t="s">
        <v>1184</v>
      </c>
      <c r="G185" s="1114" t="s">
        <v>1183</v>
      </c>
      <c r="H185" s="1113"/>
      <c r="I185" s="1114"/>
      <c r="J185" s="1113"/>
      <c r="K185" s="1103">
        <v>2</v>
      </c>
      <c r="L185" s="1103">
        <v>7</v>
      </c>
      <c r="M185" s="1104">
        <f t="shared" si="15"/>
        <v>19950</v>
      </c>
      <c r="N185" s="1113">
        <v>0</v>
      </c>
      <c r="O185" s="1113">
        <v>0</v>
      </c>
      <c r="P185" s="1116">
        <f t="shared" si="16"/>
        <v>0</v>
      </c>
    </row>
    <row r="186" spans="1:16" s="1154" customFormat="1" ht="24">
      <c r="A186" s="1098" t="s">
        <v>506</v>
      </c>
      <c r="B186" s="1099" t="s">
        <v>505</v>
      </c>
      <c r="C186" s="1099" t="s">
        <v>504</v>
      </c>
      <c r="D186" s="1100" t="s">
        <v>1182</v>
      </c>
      <c r="E186" s="1101">
        <v>7000</v>
      </c>
      <c r="F186" s="1122" t="s">
        <v>1181</v>
      </c>
      <c r="G186" s="1100" t="s">
        <v>1180</v>
      </c>
      <c r="H186" s="1099" t="s">
        <v>1179</v>
      </c>
      <c r="I186" s="1100"/>
      <c r="J186" s="1099"/>
      <c r="K186" s="1103">
        <v>1</v>
      </c>
      <c r="L186" s="1103">
        <v>12</v>
      </c>
      <c r="M186" s="1104">
        <f t="shared" si="15"/>
        <v>84000</v>
      </c>
      <c r="N186" s="1099">
        <v>2</v>
      </c>
      <c r="O186" s="1099">
        <v>6</v>
      </c>
      <c r="P186" s="1105">
        <f t="shared" si="16"/>
        <v>42000</v>
      </c>
    </row>
    <row r="187" spans="1:16" s="1154" customFormat="1" ht="36">
      <c r="A187" s="1098" t="s">
        <v>506</v>
      </c>
      <c r="B187" s="1099" t="s">
        <v>505</v>
      </c>
      <c r="C187" s="1099" t="s">
        <v>504</v>
      </c>
      <c r="D187" s="1100" t="s">
        <v>1178</v>
      </c>
      <c r="E187" s="1101">
        <v>4500</v>
      </c>
      <c r="F187" s="1099" t="s">
        <v>1177</v>
      </c>
      <c r="G187" s="1100" t="s">
        <v>1176</v>
      </c>
      <c r="H187" s="1099" t="s">
        <v>519</v>
      </c>
      <c r="I187" s="1102" t="s">
        <v>507</v>
      </c>
      <c r="J187" s="1099"/>
      <c r="K187" s="1103" t="s">
        <v>498</v>
      </c>
      <c r="L187" s="1103" t="s">
        <v>497</v>
      </c>
      <c r="M187" s="1104">
        <f t="shared" si="15"/>
        <v>54000</v>
      </c>
      <c r="N187" s="1099">
        <v>3</v>
      </c>
      <c r="O187" s="1099">
        <v>6</v>
      </c>
      <c r="P187" s="1105">
        <f t="shared" si="16"/>
        <v>27000</v>
      </c>
    </row>
    <row r="188" spans="1:16" s="1154" customFormat="1" ht="48">
      <c r="A188" s="1098" t="s">
        <v>506</v>
      </c>
      <c r="B188" s="1099" t="s">
        <v>505</v>
      </c>
      <c r="C188" s="1099" t="s">
        <v>504</v>
      </c>
      <c r="D188" s="1100" t="s">
        <v>1175</v>
      </c>
      <c r="E188" s="1101">
        <v>12000</v>
      </c>
      <c r="F188" s="1099" t="s">
        <v>1174</v>
      </c>
      <c r="G188" s="1100" t="s">
        <v>1173</v>
      </c>
      <c r="H188" s="1112" t="s">
        <v>508</v>
      </c>
      <c r="I188" s="1102" t="s">
        <v>507</v>
      </c>
      <c r="J188" s="1099"/>
      <c r="K188" s="1103" t="s">
        <v>498</v>
      </c>
      <c r="L188" s="1103" t="s">
        <v>497</v>
      </c>
      <c r="M188" s="1104">
        <f t="shared" si="15"/>
        <v>144000</v>
      </c>
      <c r="N188" s="1099">
        <v>3</v>
      </c>
      <c r="O188" s="1099">
        <v>6</v>
      </c>
      <c r="P188" s="1105">
        <f t="shared" si="16"/>
        <v>72000</v>
      </c>
    </row>
    <row r="189" spans="1:16" s="1154" customFormat="1" ht="24">
      <c r="A189" s="1098" t="s">
        <v>506</v>
      </c>
      <c r="B189" s="1099" t="s">
        <v>505</v>
      </c>
      <c r="C189" s="1099" t="s">
        <v>504</v>
      </c>
      <c r="D189" s="1100" t="s">
        <v>569</v>
      </c>
      <c r="E189" s="1101">
        <v>6200</v>
      </c>
      <c r="F189" s="1099" t="s">
        <v>1172</v>
      </c>
      <c r="G189" s="1100" t="s">
        <v>1171</v>
      </c>
      <c r="H189" s="1099" t="s">
        <v>1111</v>
      </c>
      <c r="I189" s="1102" t="s">
        <v>507</v>
      </c>
      <c r="J189" s="1099"/>
      <c r="K189" s="1103" t="s">
        <v>498</v>
      </c>
      <c r="L189" s="1103" t="s">
        <v>497</v>
      </c>
      <c r="M189" s="1104">
        <f t="shared" si="15"/>
        <v>74400</v>
      </c>
      <c r="N189" s="1099">
        <v>33</v>
      </c>
      <c r="O189" s="1099">
        <v>6</v>
      </c>
      <c r="P189" s="1105">
        <f t="shared" si="16"/>
        <v>37200</v>
      </c>
    </row>
    <row r="190" spans="1:16" s="1154" customFormat="1" ht="48">
      <c r="A190" s="1098" t="s">
        <v>506</v>
      </c>
      <c r="B190" s="1099" t="s">
        <v>505</v>
      </c>
      <c r="C190" s="1099" t="s">
        <v>504</v>
      </c>
      <c r="D190" s="1102" t="s">
        <v>1170</v>
      </c>
      <c r="E190" s="1101">
        <v>3200</v>
      </c>
      <c r="F190" s="1099" t="s">
        <v>1169</v>
      </c>
      <c r="G190" s="1100" t="s">
        <v>1168</v>
      </c>
      <c r="H190" s="1099" t="s">
        <v>632</v>
      </c>
      <c r="I190" s="1102" t="s">
        <v>507</v>
      </c>
      <c r="J190" s="1099"/>
      <c r="K190" s="1103" t="s">
        <v>563</v>
      </c>
      <c r="L190" s="1103" t="s">
        <v>822</v>
      </c>
      <c r="M190" s="1104">
        <f t="shared" si="15"/>
        <v>16000</v>
      </c>
      <c r="N190" s="1099">
        <v>3</v>
      </c>
      <c r="O190" s="1099">
        <v>6</v>
      </c>
      <c r="P190" s="1105">
        <f t="shared" si="16"/>
        <v>19200</v>
      </c>
    </row>
    <row r="191" spans="1:16" s="1154" customFormat="1" ht="24">
      <c r="A191" s="1098" t="s">
        <v>506</v>
      </c>
      <c r="B191" s="1099" t="s">
        <v>505</v>
      </c>
      <c r="C191" s="1099" t="s">
        <v>504</v>
      </c>
      <c r="D191" s="1100" t="s">
        <v>569</v>
      </c>
      <c r="E191" s="1101">
        <v>6200</v>
      </c>
      <c r="F191" s="1099" t="s">
        <v>1167</v>
      </c>
      <c r="G191" s="1100" t="s">
        <v>1166</v>
      </c>
      <c r="H191" s="1099" t="s">
        <v>632</v>
      </c>
      <c r="I191" s="1102" t="s">
        <v>507</v>
      </c>
      <c r="J191" s="1099"/>
      <c r="K191" s="1103" t="s">
        <v>498</v>
      </c>
      <c r="L191" s="1103" t="s">
        <v>497</v>
      </c>
      <c r="M191" s="1104">
        <f t="shared" si="15"/>
        <v>74400</v>
      </c>
      <c r="N191" s="1099">
        <v>3</v>
      </c>
      <c r="O191" s="1099">
        <v>6</v>
      </c>
      <c r="P191" s="1105">
        <f t="shared" si="16"/>
        <v>37200</v>
      </c>
    </row>
    <row r="192" spans="1:16" s="1154" customFormat="1" ht="24">
      <c r="A192" s="1098" t="s">
        <v>506</v>
      </c>
      <c r="B192" s="1099" t="s">
        <v>505</v>
      </c>
      <c r="C192" s="1099" t="s">
        <v>504</v>
      </c>
      <c r="D192" s="1100" t="s">
        <v>1165</v>
      </c>
      <c r="E192" s="1101">
        <v>6500</v>
      </c>
      <c r="F192" s="1099" t="s">
        <v>1164</v>
      </c>
      <c r="G192" s="1100" t="s">
        <v>1163</v>
      </c>
      <c r="H192" s="1099" t="s">
        <v>519</v>
      </c>
      <c r="I192" s="1102" t="s">
        <v>507</v>
      </c>
      <c r="J192" s="1099"/>
      <c r="K192" s="1103" t="s">
        <v>498</v>
      </c>
      <c r="L192" s="1103" t="s">
        <v>497</v>
      </c>
      <c r="M192" s="1104">
        <f t="shared" si="15"/>
        <v>78000</v>
      </c>
      <c r="N192" s="1099">
        <v>3</v>
      </c>
      <c r="O192" s="1099">
        <v>6</v>
      </c>
      <c r="P192" s="1105">
        <f t="shared" si="16"/>
        <v>39000</v>
      </c>
    </row>
    <row r="193" spans="1:16" s="1154" customFormat="1" ht="24">
      <c r="A193" s="1098" t="s">
        <v>506</v>
      </c>
      <c r="B193" s="1099" t="s">
        <v>505</v>
      </c>
      <c r="C193" s="1099" t="s">
        <v>504</v>
      </c>
      <c r="D193" s="1119" t="s">
        <v>573</v>
      </c>
      <c r="E193" s="1101">
        <v>3000</v>
      </c>
      <c r="F193" s="1120" t="s">
        <v>1162</v>
      </c>
      <c r="G193" s="1114" t="s">
        <v>1161</v>
      </c>
      <c r="H193" s="1113"/>
      <c r="I193" s="1114"/>
      <c r="J193" s="1113"/>
      <c r="K193" s="1103">
        <v>2</v>
      </c>
      <c r="L193" s="1103">
        <v>7</v>
      </c>
      <c r="M193" s="1104">
        <f t="shared" si="15"/>
        <v>21000</v>
      </c>
      <c r="N193" s="1113">
        <v>0</v>
      </c>
      <c r="O193" s="1113">
        <v>0</v>
      </c>
      <c r="P193" s="1116">
        <v>0</v>
      </c>
    </row>
    <row r="194" spans="1:16" s="1154" customFormat="1" ht="48">
      <c r="A194" s="1098" t="s">
        <v>506</v>
      </c>
      <c r="B194" s="1099" t="s">
        <v>505</v>
      </c>
      <c r="C194" s="1099" t="s">
        <v>504</v>
      </c>
      <c r="D194" s="1100" t="s">
        <v>514</v>
      </c>
      <c r="E194" s="1101">
        <v>10000</v>
      </c>
      <c r="F194" s="1099" t="s">
        <v>1160</v>
      </c>
      <c r="G194" s="1100" t="s">
        <v>1159</v>
      </c>
      <c r="H194" s="1099" t="s">
        <v>515</v>
      </c>
      <c r="I194" s="1102" t="s">
        <v>507</v>
      </c>
      <c r="J194" s="1099"/>
      <c r="K194" s="1103" t="s">
        <v>498</v>
      </c>
      <c r="L194" s="1103" t="s">
        <v>497</v>
      </c>
      <c r="M194" s="1104">
        <f t="shared" si="15"/>
        <v>120000</v>
      </c>
      <c r="N194" s="1099">
        <v>3</v>
      </c>
      <c r="O194" s="1099">
        <v>6</v>
      </c>
      <c r="P194" s="1105">
        <f t="shared" ref="P194:P207" si="17">E194*O194</f>
        <v>60000</v>
      </c>
    </row>
    <row r="195" spans="1:16" s="1154" customFormat="1" ht="36">
      <c r="A195" s="1098" t="s">
        <v>506</v>
      </c>
      <c r="B195" s="1099" t="s">
        <v>505</v>
      </c>
      <c r="C195" s="1099" t="s">
        <v>504</v>
      </c>
      <c r="D195" s="1102" t="s">
        <v>1158</v>
      </c>
      <c r="E195" s="1101">
        <v>8000</v>
      </c>
      <c r="F195" s="1099" t="s">
        <v>1157</v>
      </c>
      <c r="G195" s="1100" t="s">
        <v>1156</v>
      </c>
      <c r="H195" s="1112" t="s">
        <v>508</v>
      </c>
      <c r="I195" s="1102" t="s">
        <v>507</v>
      </c>
      <c r="J195" s="1099"/>
      <c r="K195" s="1103" t="s">
        <v>664</v>
      </c>
      <c r="L195" s="1103" t="s">
        <v>498</v>
      </c>
      <c r="M195" s="1104">
        <f>+E195/30*5+E195*3</f>
        <v>25333.333333333332</v>
      </c>
      <c r="N195" s="1099">
        <v>3</v>
      </c>
      <c r="O195" s="1099">
        <v>6</v>
      </c>
      <c r="P195" s="1105">
        <f t="shared" si="17"/>
        <v>48000</v>
      </c>
    </row>
    <row r="196" spans="1:16" s="1154" customFormat="1" ht="24">
      <c r="A196" s="1098" t="s">
        <v>506</v>
      </c>
      <c r="B196" s="1099" t="s">
        <v>505</v>
      </c>
      <c r="C196" s="1099" t="s">
        <v>504</v>
      </c>
      <c r="D196" s="1102" t="s">
        <v>812</v>
      </c>
      <c r="E196" s="1101">
        <v>8000</v>
      </c>
      <c r="F196" s="1099" t="s">
        <v>1155</v>
      </c>
      <c r="G196" s="1100" t="s">
        <v>1154</v>
      </c>
      <c r="H196" s="1112" t="s">
        <v>508</v>
      </c>
      <c r="I196" s="1102" t="s">
        <v>507</v>
      </c>
      <c r="J196" s="1099"/>
      <c r="K196" s="1103" t="s">
        <v>664</v>
      </c>
      <c r="L196" s="1103" t="s">
        <v>563</v>
      </c>
      <c r="M196" s="1104">
        <f>+E196/30*6+E196*2</f>
        <v>17600</v>
      </c>
      <c r="N196" s="1099">
        <v>3</v>
      </c>
      <c r="O196" s="1099">
        <v>6</v>
      </c>
      <c r="P196" s="1105">
        <f t="shared" si="17"/>
        <v>48000</v>
      </c>
    </row>
    <row r="197" spans="1:16" s="1154" customFormat="1" ht="24">
      <c r="A197" s="1098" t="s">
        <v>506</v>
      </c>
      <c r="B197" s="1099" t="s">
        <v>505</v>
      </c>
      <c r="C197" s="1099" t="s">
        <v>504</v>
      </c>
      <c r="D197" s="1100" t="s">
        <v>573</v>
      </c>
      <c r="E197" s="1101">
        <v>3000</v>
      </c>
      <c r="F197" s="1122" t="s">
        <v>1153</v>
      </c>
      <c r="G197" s="1100" t="s">
        <v>1152</v>
      </c>
      <c r="H197" s="1099" t="s">
        <v>972</v>
      </c>
      <c r="I197" s="1100"/>
      <c r="J197" s="1099"/>
      <c r="K197" s="1103">
        <v>1</v>
      </c>
      <c r="L197" s="1103">
        <v>12</v>
      </c>
      <c r="M197" s="1104">
        <f t="shared" ref="M197:M207" si="18">E197*L197</f>
        <v>36000</v>
      </c>
      <c r="N197" s="1099">
        <v>2</v>
      </c>
      <c r="O197" s="1099">
        <v>6</v>
      </c>
      <c r="P197" s="1105">
        <f t="shared" si="17"/>
        <v>18000</v>
      </c>
    </row>
    <row r="198" spans="1:16" s="1154" customFormat="1" ht="24">
      <c r="A198" s="1098" t="s">
        <v>506</v>
      </c>
      <c r="B198" s="1099" t="s">
        <v>505</v>
      </c>
      <c r="C198" s="1099" t="s">
        <v>504</v>
      </c>
      <c r="D198" s="1100" t="s">
        <v>511</v>
      </c>
      <c r="E198" s="1101">
        <v>8500</v>
      </c>
      <c r="F198" s="1099" t="s">
        <v>1151</v>
      </c>
      <c r="G198" s="1100" t="s">
        <v>1150</v>
      </c>
      <c r="H198" s="1112" t="s">
        <v>508</v>
      </c>
      <c r="I198" s="1102" t="s">
        <v>507</v>
      </c>
      <c r="J198" s="1099"/>
      <c r="K198" s="1103" t="s">
        <v>498</v>
      </c>
      <c r="L198" s="1103" t="s">
        <v>497</v>
      </c>
      <c r="M198" s="1104">
        <f t="shared" si="18"/>
        <v>102000</v>
      </c>
      <c r="N198" s="1099">
        <v>3</v>
      </c>
      <c r="O198" s="1099">
        <v>6</v>
      </c>
      <c r="P198" s="1105">
        <f t="shared" si="17"/>
        <v>51000</v>
      </c>
    </row>
    <row r="199" spans="1:16" s="1154" customFormat="1" ht="24">
      <c r="A199" s="1098" t="s">
        <v>506</v>
      </c>
      <c r="B199" s="1099" t="s">
        <v>505</v>
      </c>
      <c r="C199" s="1099" t="s">
        <v>504</v>
      </c>
      <c r="D199" s="1100" t="s">
        <v>1145</v>
      </c>
      <c r="E199" s="1101">
        <v>9000</v>
      </c>
      <c r="F199" s="1099" t="s">
        <v>1149</v>
      </c>
      <c r="G199" s="1100" t="s">
        <v>1148</v>
      </c>
      <c r="H199" s="1099" t="s">
        <v>515</v>
      </c>
      <c r="I199" s="1102" t="s">
        <v>507</v>
      </c>
      <c r="J199" s="1099"/>
      <c r="K199" s="1103" t="s">
        <v>498</v>
      </c>
      <c r="L199" s="1103" t="s">
        <v>497</v>
      </c>
      <c r="M199" s="1104">
        <f t="shared" si="18"/>
        <v>108000</v>
      </c>
      <c r="N199" s="1099">
        <v>3</v>
      </c>
      <c r="O199" s="1099">
        <v>6</v>
      </c>
      <c r="P199" s="1105">
        <f t="shared" si="17"/>
        <v>54000</v>
      </c>
    </row>
    <row r="200" spans="1:16" s="1154" customFormat="1" ht="24">
      <c r="A200" s="1098" t="s">
        <v>506</v>
      </c>
      <c r="B200" s="1099" t="s">
        <v>505</v>
      </c>
      <c r="C200" s="1099" t="s">
        <v>504</v>
      </c>
      <c r="D200" s="1119" t="s">
        <v>604</v>
      </c>
      <c r="E200" s="1101">
        <v>6000</v>
      </c>
      <c r="F200" s="1120" t="s">
        <v>1147</v>
      </c>
      <c r="G200" s="1114" t="s">
        <v>1146</v>
      </c>
      <c r="H200" s="1113"/>
      <c r="I200" s="1114"/>
      <c r="J200" s="1113"/>
      <c r="K200" s="1103">
        <v>2</v>
      </c>
      <c r="L200" s="1103">
        <v>7</v>
      </c>
      <c r="M200" s="1104">
        <f t="shared" si="18"/>
        <v>42000</v>
      </c>
      <c r="N200" s="1113">
        <v>0</v>
      </c>
      <c r="O200" s="1113">
        <v>0</v>
      </c>
      <c r="P200" s="1116">
        <f t="shared" si="17"/>
        <v>0</v>
      </c>
    </row>
    <row r="201" spans="1:16" s="1154" customFormat="1" ht="24">
      <c r="A201" s="1098" t="s">
        <v>506</v>
      </c>
      <c r="B201" s="1099" t="s">
        <v>505</v>
      </c>
      <c r="C201" s="1099" t="s">
        <v>504</v>
      </c>
      <c r="D201" s="1100" t="s">
        <v>1145</v>
      </c>
      <c r="E201" s="1101">
        <v>9000</v>
      </c>
      <c r="F201" s="1099" t="s">
        <v>1144</v>
      </c>
      <c r="G201" s="1100" t="s">
        <v>1143</v>
      </c>
      <c r="H201" s="1099" t="s">
        <v>515</v>
      </c>
      <c r="I201" s="1102" t="s">
        <v>507</v>
      </c>
      <c r="J201" s="1099"/>
      <c r="K201" s="1103" t="s">
        <v>498</v>
      </c>
      <c r="L201" s="1103" t="s">
        <v>497</v>
      </c>
      <c r="M201" s="1104">
        <f t="shared" si="18"/>
        <v>108000</v>
      </c>
      <c r="N201" s="1099">
        <v>3</v>
      </c>
      <c r="O201" s="1099">
        <v>6</v>
      </c>
      <c r="P201" s="1105">
        <f t="shared" si="17"/>
        <v>54000</v>
      </c>
    </row>
    <row r="202" spans="1:16" s="1154" customFormat="1" ht="24">
      <c r="A202" s="1098" t="s">
        <v>506</v>
      </c>
      <c r="B202" s="1099" t="s">
        <v>505</v>
      </c>
      <c r="C202" s="1099" t="s">
        <v>504</v>
      </c>
      <c r="D202" s="1100" t="s">
        <v>1142</v>
      </c>
      <c r="E202" s="1101">
        <v>5000</v>
      </c>
      <c r="F202" s="1122" t="s">
        <v>1141</v>
      </c>
      <c r="G202" s="1100" t="s">
        <v>1140</v>
      </c>
      <c r="H202" s="1099" t="s">
        <v>1139</v>
      </c>
      <c r="I202" s="1100"/>
      <c r="J202" s="1099"/>
      <c r="K202" s="1103">
        <v>1</v>
      </c>
      <c r="L202" s="1103">
        <v>12</v>
      </c>
      <c r="M202" s="1104">
        <f t="shared" si="18"/>
        <v>60000</v>
      </c>
      <c r="N202" s="1099">
        <v>2</v>
      </c>
      <c r="O202" s="1099">
        <v>6</v>
      </c>
      <c r="P202" s="1105">
        <f t="shared" si="17"/>
        <v>30000</v>
      </c>
    </row>
    <row r="203" spans="1:16" s="1154" customFormat="1" ht="36">
      <c r="A203" s="1098" t="s">
        <v>506</v>
      </c>
      <c r="B203" s="1099" t="s">
        <v>505</v>
      </c>
      <c r="C203" s="1099" t="s">
        <v>504</v>
      </c>
      <c r="D203" s="1100" t="s">
        <v>642</v>
      </c>
      <c r="E203" s="1101">
        <v>7500</v>
      </c>
      <c r="F203" s="1099" t="s">
        <v>1138</v>
      </c>
      <c r="G203" s="1100" t="s">
        <v>1137</v>
      </c>
      <c r="H203" s="1112" t="s">
        <v>508</v>
      </c>
      <c r="I203" s="1102" t="s">
        <v>507</v>
      </c>
      <c r="J203" s="1099"/>
      <c r="K203" s="1103" t="s">
        <v>498</v>
      </c>
      <c r="L203" s="1103" t="s">
        <v>497</v>
      </c>
      <c r="M203" s="1104">
        <f t="shared" si="18"/>
        <v>90000</v>
      </c>
      <c r="N203" s="1099">
        <v>3</v>
      </c>
      <c r="O203" s="1099">
        <v>6</v>
      </c>
      <c r="P203" s="1105">
        <f t="shared" si="17"/>
        <v>45000</v>
      </c>
    </row>
    <row r="204" spans="1:16" s="1154" customFormat="1" ht="24">
      <c r="A204" s="1098" t="s">
        <v>506</v>
      </c>
      <c r="B204" s="1099" t="s">
        <v>505</v>
      </c>
      <c r="C204" s="1099" t="s">
        <v>504</v>
      </c>
      <c r="D204" s="1100" t="s">
        <v>787</v>
      </c>
      <c r="E204" s="1101">
        <v>8000</v>
      </c>
      <c r="F204" s="1099" t="s">
        <v>1136</v>
      </c>
      <c r="G204" s="1100" t="s">
        <v>1135</v>
      </c>
      <c r="H204" s="1099" t="s">
        <v>1134</v>
      </c>
      <c r="I204" s="1102" t="s">
        <v>507</v>
      </c>
      <c r="J204" s="1099"/>
      <c r="K204" s="1103" t="s">
        <v>498</v>
      </c>
      <c r="L204" s="1103" t="s">
        <v>497</v>
      </c>
      <c r="M204" s="1104">
        <f t="shared" si="18"/>
        <v>96000</v>
      </c>
      <c r="N204" s="1099">
        <v>3</v>
      </c>
      <c r="O204" s="1099">
        <v>6</v>
      </c>
      <c r="P204" s="1105">
        <f t="shared" si="17"/>
        <v>48000</v>
      </c>
    </row>
    <row r="205" spans="1:16" s="1154" customFormat="1" ht="24">
      <c r="A205" s="1098" t="s">
        <v>506</v>
      </c>
      <c r="B205" s="1099" t="s">
        <v>505</v>
      </c>
      <c r="C205" s="1099" t="s">
        <v>504</v>
      </c>
      <c r="D205" s="1100" t="s">
        <v>1133</v>
      </c>
      <c r="E205" s="1101">
        <v>7000</v>
      </c>
      <c r="F205" s="1099" t="s">
        <v>1132</v>
      </c>
      <c r="G205" s="1100" t="s">
        <v>1131</v>
      </c>
      <c r="H205" s="1099" t="s">
        <v>519</v>
      </c>
      <c r="I205" s="1102" t="s">
        <v>507</v>
      </c>
      <c r="J205" s="1099"/>
      <c r="K205" s="1103" t="s">
        <v>498</v>
      </c>
      <c r="L205" s="1103" t="s">
        <v>497</v>
      </c>
      <c r="M205" s="1104">
        <f t="shared" si="18"/>
        <v>84000</v>
      </c>
      <c r="N205" s="1099">
        <v>3</v>
      </c>
      <c r="O205" s="1099">
        <v>6</v>
      </c>
      <c r="P205" s="1105">
        <f t="shared" si="17"/>
        <v>42000</v>
      </c>
    </row>
    <row r="206" spans="1:16" s="1154" customFormat="1" ht="24">
      <c r="A206" s="1098" t="s">
        <v>506</v>
      </c>
      <c r="B206" s="1099" t="s">
        <v>505</v>
      </c>
      <c r="C206" s="1099" t="s">
        <v>504</v>
      </c>
      <c r="D206" s="1100" t="s">
        <v>1130</v>
      </c>
      <c r="E206" s="1101">
        <v>15600</v>
      </c>
      <c r="F206" s="1099" t="s">
        <v>1129</v>
      </c>
      <c r="G206" s="1100" t="s">
        <v>1128</v>
      </c>
      <c r="H206" s="1112" t="s">
        <v>508</v>
      </c>
      <c r="I206" s="1102" t="s">
        <v>507</v>
      </c>
      <c r="J206" s="1099"/>
      <c r="K206" s="1103" t="s">
        <v>498</v>
      </c>
      <c r="L206" s="1103" t="s">
        <v>497</v>
      </c>
      <c r="M206" s="1104">
        <f t="shared" si="18"/>
        <v>187200</v>
      </c>
      <c r="N206" s="1099">
        <v>3</v>
      </c>
      <c r="O206" s="1099">
        <v>6</v>
      </c>
      <c r="P206" s="1105">
        <f t="shared" si="17"/>
        <v>93600</v>
      </c>
    </row>
    <row r="207" spans="1:16" s="1154" customFormat="1" ht="24">
      <c r="A207" s="1098" t="s">
        <v>506</v>
      </c>
      <c r="B207" s="1099" t="s">
        <v>505</v>
      </c>
      <c r="C207" s="1099" t="s">
        <v>504</v>
      </c>
      <c r="D207" s="1100" t="s">
        <v>812</v>
      </c>
      <c r="E207" s="1101">
        <v>6000</v>
      </c>
      <c r="F207" s="1122" t="s">
        <v>1127</v>
      </c>
      <c r="G207" s="1100" t="s">
        <v>1126</v>
      </c>
      <c r="H207" s="1099" t="s">
        <v>511</v>
      </c>
      <c r="I207" s="1100"/>
      <c r="J207" s="1099"/>
      <c r="K207" s="1103">
        <v>1</v>
      </c>
      <c r="L207" s="1103">
        <v>12</v>
      </c>
      <c r="M207" s="1104">
        <f t="shared" si="18"/>
        <v>72000</v>
      </c>
      <c r="N207" s="1099">
        <v>3</v>
      </c>
      <c r="O207" s="1099">
        <v>5</v>
      </c>
      <c r="P207" s="1105">
        <f t="shared" si="17"/>
        <v>30000</v>
      </c>
    </row>
    <row r="208" spans="1:16" s="1154" customFormat="1" ht="24">
      <c r="A208" s="1098" t="s">
        <v>506</v>
      </c>
      <c r="B208" s="1099" t="s">
        <v>505</v>
      </c>
      <c r="C208" s="1099" t="s">
        <v>504</v>
      </c>
      <c r="D208" s="1102" t="s">
        <v>1125</v>
      </c>
      <c r="E208" s="1101">
        <v>7000</v>
      </c>
      <c r="F208" s="1113" t="s">
        <v>1124</v>
      </c>
      <c r="G208" s="1114" t="s">
        <v>1123</v>
      </c>
      <c r="H208" s="1113"/>
      <c r="I208" s="1114"/>
      <c r="J208" s="1113"/>
      <c r="K208" s="1103"/>
      <c r="L208" s="1103"/>
      <c r="M208" s="1115"/>
      <c r="N208" s="1113">
        <v>3</v>
      </c>
      <c r="O208" s="1113">
        <v>5</v>
      </c>
      <c r="P208" s="1116">
        <f>E208/30*28+E208*5</f>
        <v>41533.333333333336</v>
      </c>
    </row>
    <row r="209" spans="1:16" s="1154" customFormat="1" ht="24">
      <c r="A209" s="1098" t="s">
        <v>506</v>
      </c>
      <c r="B209" s="1099" t="s">
        <v>505</v>
      </c>
      <c r="C209" s="1099" t="s">
        <v>504</v>
      </c>
      <c r="D209" s="1100" t="s">
        <v>582</v>
      </c>
      <c r="E209" s="1101">
        <v>3150</v>
      </c>
      <c r="F209" s="1099" t="s">
        <v>1122</v>
      </c>
      <c r="G209" s="1100" t="s">
        <v>1121</v>
      </c>
      <c r="H209" s="1099" t="s">
        <v>1120</v>
      </c>
      <c r="I209" s="1100" t="s">
        <v>499</v>
      </c>
      <c r="J209" s="1099"/>
      <c r="K209" s="1103" t="s">
        <v>498</v>
      </c>
      <c r="L209" s="1103" t="s">
        <v>497</v>
      </c>
      <c r="M209" s="1104">
        <f>E209*L209</f>
        <v>37800</v>
      </c>
      <c r="N209" s="1099">
        <v>3</v>
      </c>
      <c r="O209" s="1099">
        <v>6</v>
      </c>
      <c r="P209" s="1105">
        <f t="shared" ref="P209:P216" si="19">E209*O209</f>
        <v>18900</v>
      </c>
    </row>
    <row r="210" spans="1:16" s="1154" customFormat="1" ht="36">
      <c r="A210" s="1098" t="s">
        <v>506</v>
      </c>
      <c r="B210" s="1099" t="s">
        <v>505</v>
      </c>
      <c r="C210" s="1099" t="s">
        <v>504</v>
      </c>
      <c r="D210" s="1102" t="s">
        <v>1119</v>
      </c>
      <c r="E210" s="1101">
        <v>9000</v>
      </c>
      <c r="F210" s="1099" t="s">
        <v>1118</v>
      </c>
      <c r="G210" s="1100" t="s">
        <v>1117</v>
      </c>
      <c r="H210" s="1112" t="s">
        <v>508</v>
      </c>
      <c r="I210" s="1102" t="s">
        <v>507</v>
      </c>
      <c r="J210" s="1099"/>
      <c r="K210" s="1103" t="s">
        <v>498</v>
      </c>
      <c r="L210" s="1103" t="s">
        <v>497</v>
      </c>
      <c r="M210" s="1104">
        <f>E210*L210</f>
        <v>108000</v>
      </c>
      <c r="N210" s="1099">
        <v>3</v>
      </c>
      <c r="O210" s="1099">
        <v>6</v>
      </c>
      <c r="P210" s="1105">
        <f t="shared" si="19"/>
        <v>54000</v>
      </c>
    </row>
    <row r="211" spans="1:16" s="1154" customFormat="1" ht="24">
      <c r="A211" s="1098" t="s">
        <v>506</v>
      </c>
      <c r="B211" s="1099" t="s">
        <v>505</v>
      </c>
      <c r="C211" s="1099" t="s">
        <v>504</v>
      </c>
      <c r="D211" s="1102" t="s">
        <v>753</v>
      </c>
      <c r="E211" s="1101">
        <v>9000</v>
      </c>
      <c r="F211" s="1122" t="s">
        <v>1116</v>
      </c>
      <c r="G211" s="1100" t="s">
        <v>1115</v>
      </c>
      <c r="H211" s="1112" t="s">
        <v>660</v>
      </c>
      <c r="I211" s="1102"/>
      <c r="J211" s="1099"/>
      <c r="K211" s="1103">
        <v>1</v>
      </c>
      <c r="L211" s="1103">
        <v>4</v>
      </c>
      <c r="M211" s="1104">
        <f>E211/30*23+E211*4</f>
        <v>42900</v>
      </c>
      <c r="N211" s="1099">
        <v>1</v>
      </c>
      <c r="O211" s="1099">
        <v>6</v>
      </c>
      <c r="P211" s="1105">
        <f t="shared" si="19"/>
        <v>54000</v>
      </c>
    </row>
    <row r="212" spans="1:16" s="1154" customFormat="1" ht="24">
      <c r="A212" s="1098" t="s">
        <v>506</v>
      </c>
      <c r="B212" s="1099" t="s">
        <v>505</v>
      </c>
      <c r="C212" s="1099" t="s">
        <v>504</v>
      </c>
      <c r="D212" s="1100" t="s">
        <v>1114</v>
      </c>
      <c r="E212" s="1101">
        <v>4500</v>
      </c>
      <c r="F212" s="1099" t="s">
        <v>1113</v>
      </c>
      <c r="G212" s="1100" t="s">
        <v>1112</v>
      </c>
      <c r="H212" s="1099" t="s">
        <v>1111</v>
      </c>
      <c r="I212" s="1102" t="s">
        <v>507</v>
      </c>
      <c r="J212" s="1099"/>
      <c r="K212" s="1103" t="s">
        <v>498</v>
      </c>
      <c r="L212" s="1103" t="s">
        <v>497</v>
      </c>
      <c r="M212" s="1104">
        <f>E212*L212</f>
        <v>54000</v>
      </c>
      <c r="N212" s="1099">
        <v>3</v>
      </c>
      <c r="O212" s="1099">
        <v>6</v>
      </c>
      <c r="P212" s="1105">
        <f t="shared" si="19"/>
        <v>27000</v>
      </c>
    </row>
    <row r="213" spans="1:16" s="1154" customFormat="1" ht="24">
      <c r="A213" s="1098" t="s">
        <v>506</v>
      </c>
      <c r="B213" s="1099" t="s">
        <v>505</v>
      </c>
      <c r="C213" s="1099" t="s">
        <v>504</v>
      </c>
      <c r="D213" s="1100" t="s">
        <v>604</v>
      </c>
      <c r="E213" s="1101">
        <v>4000</v>
      </c>
      <c r="F213" s="1099" t="s">
        <v>1110</v>
      </c>
      <c r="G213" s="1100" t="s">
        <v>1109</v>
      </c>
      <c r="H213" s="1099" t="s">
        <v>508</v>
      </c>
      <c r="I213" s="1100" t="s">
        <v>558</v>
      </c>
      <c r="J213" s="1099"/>
      <c r="K213" s="1103" t="s">
        <v>498</v>
      </c>
      <c r="L213" s="1103" t="s">
        <v>497</v>
      </c>
      <c r="M213" s="1104">
        <f>E213*L213</f>
        <v>48000</v>
      </c>
      <c r="N213" s="1099">
        <v>3</v>
      </c>
      <c r="O213" s="1099">
        <v>6</v>
      </c>
      <c r="P213" s="1105">
        <f t="shared" si="19"/>
        <v>24000</v>
      </c>
    </row>
    <row r="214" spans="1:16" s="1154" customFormat="1" ht="60">
      <c r="A214" s="1098" t="s">
        <v>506</v>
      </c>
      <c r="B214" s="1099" t="s">
        <v>505</v>
      </c>
      <c r="C214" s="1099" t="s">
        <v>504</v>
      </c>
      <c r="D214" s="1102" t="s">
        <v>1108</v>
      </c>
      <c r="E214" s="1101">
        <v>4500</v>
      </c>
      <c r="F214" s="1099" t="s">
        <v>1107</v>
      </c>
      <c r="G214" s="1100" t="s">
        <v>1106</v>
      </c>
      <c r="H214" s="1112" t="s">
        <v>632</v>
      </c>
      <c r="I214" s="1102" t="s">
        <v>507</v>
      </c>
      <c r="J214" s="1099"/>
      <c r="K214" s="1103" t="s">
        <v>498</v>
      </c>
      <c r="L214" s="1103" t="s">
        <v>583</v>
      </c>
      <c r="M214" s="1104">
        <f>+E214/30*3+E214*10</f>
        <v>45450</v>
      </c>
      <c r="N214" s="1099">
        <v>3</v>
      </c>
      <c r="O214" s="1099">
        <v>6</v>
      </c>
      <c r="P214" s="1105">
        <f t="shared" si="19"/>
        <v>27000</v>
      </c>
    </row>
    <row r="215" spans="1:16" s="1154" customFormat="1" ht="24">
      <c r="A215" s="1098" t="s">
        <v>506</v>
      </c>
      <c r="B215" s="1099" t="s">
        <v>505</v>
      </c>
      <c r="C215" s="1099" t="s">
        <v>504</v>
      </c>
      <c r="D215" s="1100" t="s">
        <v>1105</v>
      </c>
      <c r="E215" s="1101">
        <v>3500</v>
      </c>
      <c r="F215" s="1099" t="s">
        <v>1104</v>
      </c>
      <c r="G215" s="1100" t="s">
        <v>1103</v>
      </c>
      <c r="H215" s="1099" t="s">
        <v>944</v>
      </c>
      <c r="I215" s="1102" t="s">
        <v>547</v>
      </c>
      <c r="J215" s="1099"/>
      <c r="K215" s="1103" t="s">
        <v>498</v>
      </c>
      <c r="L215" s="1103" t="s">
        <v>497</v>
      </c>
      <c r="M215" s="1104">
        <f t="shared" ref="M215:M223" si="20">E215*L215</f>
        <v>42000</v>
      </c>
      <c r="N215" s="1099">
        <v>3</v>
      </c>
      <c r="O215" s="1099">
        <v>6</v>
      </c>
      <c r="P215" s="1105">
        <f t="shared" si="19"/>
        <v>21000</v>
      </c>
    </row>
    <row r="216" spans="1:16" s="1154" customFormat="1" ht="24">
      <c r="A216" s="1098" t="s">
        <v>506</v>
      </c>
      <c r="B216" s="1099" t="s">
        <v>505</v>
      </c>
      <c r="C216" s="1099" t="s">
        <v>504</v>
      </c>
      <c r="D216" s="1100" t="s">
        <v>573</v>
      </c>
      <c r="E216" s="1101">
        <v>3000</v>
      </c>
      <c r="F216" s="1099" t="s">
        <v>1102</v>
      </c>
      <c r="G216" s="1100" t="s">
        <v>1101</v>
      </c>
      <c r="H216" s="1099" t="s">
        <v>1100</v>
      </c>
      <c r="I216" s="1100" t="s">
        <v>507</v>
      </c>
      <c r="J216" s="1099"/>
      <c r="K216" s="1103" t="s">
        <v>498</v>
      </c>
      <c r="L216" s="1103" t="s">
        <v>497</v>
      </c>
      <c r="M216" s="1104">
        <f t="shared" si="20"/>
        <v>36000</v>
      </c>
      <c r="N216" s="1099">
        <v>3</v>
      </c>
      <c r="O216" s="1099">
        <v>6</v>
      </c>
      <c r="P216" s="1105">
        <f t="shared" si="19"/>
        <v>18000</v>
      </c>
    </row>
    <row r="217" spans="1:16" s="1154" customFormat="1" ht="36">
      <c r="A217" s="1098" t="s">
        <v>506</v>
      </c>
      <c r="B217" s="1099" t="s">
        <v>505</v>
      </c>
      <c r="C217" s="1099" t="s">
        <v>504</v>
      </c>
      <c r="D217" s="1100" t="s">
        <v>573</v>
      </c>
      <c r="E217" s="1101">
        <v>3000</v>
      </c>
      <c r="F217" s="1122" t="s">
        <v>1099</v>
      </c>
      <c r="G217" s="1100" t="s">
        <v>1098</v>
      </c>
      <c r="H217" s="1099" t="s">
        <v>1097</v>
      </c>
      <c r="I217" s="1100" t="s">
        <v>499</v>
      </c>
      <c r="J217" s="1099"/>
      <c r="K217" s="1103">
        <v>1</v>
      </c>
      <c r="L217" s="1103">
        <v>12</v>
      </c>
      <c r="M217" s="1104">
        <f t="shared" si="20"/>
        <v>36000</v>
      </c>
      <c r="N217" s="1099">
        <v>1</v>
      </c>
      <c r="O217" s="1099">
        <v>1</v>
      </c>
      <c r="P217" s="1105">
        <f>E217/30*6+E217</f>
        <v>3600</v>
      </c>
    </row>
    <row r="218" spans="1:16" s="1154" customFormat="1" ht="36">
      <c r="A218" s="1098" t="s">
        <v>506</v>
      </c>
      <c r="B218" s="1099" t="s">
        <v>505</v>
      </c>
      <c r="C218" s="1099" t="s">
        <v>504</v>
      </c>
      <c r="D218" s="1100" t="s">
        <v>1096</v>
      </c>
      <c r="E218" s="1101">
        <v>1800</v>
      </c>
      <c r="F218" s="1099" t="s">
        <v>1095</v>
      </c>
      <c r="G218" s="1100" t="s">
        <v>1094</v>
      </c>
      <c r="H218" s="1099" t="s">
        <v>1093</v>
      </c>
      <c r="I218" s="1102" t="s">
        <v>547</v>
      </c>
      <c r="J218" s="1099"/>
      <c r="K218" s="1103" t="s">
        <v>498</v>
      </c>
      <c r="L218" s="1103" t="s">
        <v>497</v>
      </c>
      <c r="M218" s="1104">
        <f t="shared" si="20"/>
        <v>21600</v>
      </c>
      <c r="N218" s="1099">
        <v>3</v>
      </c>
      <c r="O218" s="1099">
        <v>6</v>
      </c>
      <c r="P218" s="1105">
        <f>E218*O218</f>
        <v>10800</v>
      </c>
    </row>
    <row r="219" spans="1:16" s="1154" customFormat="1" ht="24">
      <c r="A219" s="1098" t="s">
        <v>506</v>
      </c>
      <c r="B219" s="1099" t="s">
        <v>505</v>
      </c>
      <c r="C219" s="1099" t="s">
        <v>504</v>
      </c>
      <c r="D219" s="1102" t="s">
        <v>618</v>
      </c>
      <c r="E219" s="1101">
        <v>2000</v>
      </c>
      <c r="F219" s="1113" t="s">
        <v>1092</v>
      </c>
      <c r="G219" s="1114" t="s">
        <v>1091</v>
      </c>
      <c r="H219" s="1113"/>
      <c r="I219" s="1114"/>
      <c r="J219" s="1113"/>
      <c r="K219" s="1103">
        <v>0</v>
      </c>
      <c r="L219" s="1103">
        <v>0</v>
      </c>
      <c r="M219" s="1104">
        <f t="shared" si="20"/>
        <v>0</v>
      </c>
      <c r="N219" s="1113">
        <v>3</v>
      </c>
      <c r="O219" s="1113">
        <v>5</v>
      </c>
      <c r="P219" s="1116">
        <f>E219/30*28+E219*5</f>
        <v>11866.666666666666</v>
      </c>
    </row>
    <row r="220" spans="1:16" s="1154" customFormat="1" ht="48">
      <c r="A220" s="1098" t="s">
        <v>506</v>
      </c>
      <c r="B220" s="1099" t="s">
        <v>505</v>
      </c>
      <c r="C220" s="1099" t="s">
        <v>504</v>
      </c>
      <c r="D220" s="1100" t="s">
        <v>1090</v>
      </c>
      <c r="E220" s="1101">
        <v>10000</v>
      </c>
      <c r="F220" s="1099" t="s">
        <v>1089</v>
      </c>
      <c r="G220" s="1100" t="s">
        <v>1088</v>
      </c>
      <c r="H220" s="1099" t="s">
        <v>526</v>
      </c>
      <c r="I220" s="1102" t="s">
        <v>507</v>
      </c>
      <c r="J220" s="1099"/>
      <c r="K220" s="1103" t="s">
        <v>498</v>
      </c>
      <c r="L220" s="1103" t="s">
        <v>497</v>
      </c>
      <c r="M220" s="1104">
        <f t="shared" si="20"/>
        <v>120000</v>
      </c>
      <c r="N220" s="1099">
        <v>3</v>
      </c>
      <c r="O220" s="1099">
        <v>6</v>
      </c>
      <c r="P220" s="1105">
        <f>E220*O220</f>
        <v>60000</v>
      </c>
    </row>
    <row r="221" spans="1:16" s="1154" customFormat="1" ht="24">
      <c r="A221" s="1098" t="s">
        <v>506</v>
      </c>
      <c r="B221" s="1099" t="s">
        <v>505</v>
      </c>
      <c r="C221" s="1099" t="s">
        <v>504</v>
      </c>
      <c r="D221" s="1102" t="s">
        <v>717</v>
      </c>
      <c r="E221" s="1101">
        <v>5000</v>
      </c>
      <c r="F221" s="1113" t="s">
        <v>1087</v>
      </c>
      <c r="G221" s="1114" t="s">
        <v>1086</v>
      </c>
      <c r="H221" s="1113"/>
      <c r="I221" s="1114"/>
      <c r="J221" s="1113"/>
      <c r="K221" s="1103">
        <v>3</v>
      </c>
      <c r="L221" s="1103">
        <v>0</v>
      </c>
      <c r="M221" s="1104">
        <f t="shared" si="20"/>
        <v>0</v>
      </c>
      <c r="N221" s="1113">
        <v>3</v>
      </c>
      <c r="O221" s="1113">
        <v>4</v>
      </c>
      <c r="P221" s="1116">
        <f>E221/30*25+E221*4</f>
        <v>24166.666666666664</v>
      </c>
    </row>
    <row r="222" spans="1:16" s="1154" customFormat="1" ht="24">
      <c r="A222" s="1098" t="s">
        <v>506</v>
      </c>
      <c r="B222" s="1099" t="s">
        <v>505</v>
      </c>
      <c r="C222" s="1099" t="s">
        <v>504</v>
      </c>
      <c r="D222" s="1102" t="s">
        <v>1085</v>
      </c>
      <c r="E222" s="1101">
        <v>6000</v>
      </c>
      <c r="F222" s="1099" t="s">
        <v>1084</v>
      </c>
      <c r="G222" s="1100" t="s">
        <v>1083</v>
      </c>
      <c r="H222" s="1112" t="s">
        <v>1082</v>
      </c>
      <c r="I222" s="1100" t="s">
        <v>507</v>
      </c>
      <c r="J222" s="1099"/>
      <c r="K222" s="1103" t="s">
        <v>563</v>
      </c>
      <c r="L222" s="1103" t="s">
        <v>828</v>
      </c>
      <c r="M222" s="1104">
        <f t="shared" si="20"/>
        <v>42000</v>
      </c>
      <c r="N222" s="1099">
        <v>3</v>
      </c>
      <c r="O222" s="1099">
        <v>6</v>
      </c>
      <c r="P222" s="1105">
        <f>E222*O222</f>
        <v>36000</v>
      </c>
    </row>
    <row r="223" spans="1:16" s="1154" customFormat="1" ht="24">
      <c r="A223" s="1098" t="s">
        <v>506</v>
      </c>
      <c r="B223" s="1099" t="s">
        <v>505</v>
      </c>
      <c r="C223" s="1099" t="s">
        <v>504</v>
      </c>
      <c r="D223" s="1102" t="s">
        <v>1081</v>
      </c>
      <c r="E223" s="1101">
        <v>15600</v>
      </c>
      <c r="F223" s="1113" t="s">
        <v>1080</v>
      </c>
      <c r="G223" s="1114" t="s">
        <v>1079</v>
      </c>
      <c r="H223" s="1113"/>
      <c r="I223" s="1114"/>
      <c r="J223" s="1113"/>
      <c r="K223" s="1103">
        <v>0</v>
      </c>
      <c r="L223" s="1103">
        <v>0</v>
      </c>
      <c r="M223" s="1104">
        <f t="shared" si="20"/>
        <v>0</v>
      </c>
      <c r="N223" s="1113">
        <v>3</v>
      </c>
      <c r="O223" s="1113">
        <v>4</v>
      </c>
      <c r="P223" s="1116">
        <f>E223/30*3+E223*4</f>
        <v>63960</v>
      </c>
    </row>
    <row r="224" spans="1:16" s="1154" customFormat="1" ht="24">
      <c r="A224" s="1098" t="s">
        <v>506</v>
      </c>
      <c r="B224" s="1099" t="s">
        <v>505</v>
      </c>
      <c r="C224" s="1099" t="s">
        <v>504</v>
      </c>
      <c r="D224" s="1119" t="s">
        <v>659</v>
      </c>
      <c r="E224" s="1101">
        <v>6000</v>
      </c>
      <c r="F224" s="1120" t="s">
        <v>1078</v>
      </c>
      <c r="G224" s="1114" t="s">
        <v>1077</v>
      </c>
      <c r="H224" s="1113"/>
      <c r="I224" s="1114"/>
      <c r="J224" s="1121"/>
      <c r="K224" s="1103">
        <v>1</v>
      </c>
      <c r="L224" s="1103">
        <v>1</v>
      </c>
      <c r="M224" s="1115">
        <f>E224/30*20+E224*2</f>
        <v>16000</v>
      </c>
      <c r="N224" s="1113">
        <v>0</v>
      </c>
      <c r="O224" s="1113">
        <v>0</v>
      </c>
      <c r="P224" s="1116">
        <v>0</v>
      </c>
    </row>
    <row r="225" spans="1:16" s="1154" customFormat="1" ht="96">
      <c r="A225" s="1098" t="s">
        <v>506</v>
      </c>
      <c r="B225" s="1099" t="s">
        <v>505</v>
      </c>
      <c r="C225" s="1099" t="s">
        <v>504</v>
      </c>
      <c r="D225" s="1100" t="s">
        <v>1076</v>
      </c>
      <c r="E225" s="1101">
        <v>8000</v>
      </c>
      <c r="F225" s="1099" t="s">
        <v>1075</v>
      </c>
      <c r="G225" s="1100" t="s">
        <v>1074</v>
      </c>
      <c r="H225" s="1099" t="s">
        <v>876</v>
      </c>
      <c r="I225" s="1102" t="s">
        <v>507</v>
      </c>
      <c r="J225" s="1099"/>
      <c r="K225" s="1103" t="s">
        <v>498</v>
      </c>
      <c r="L225" s="1103" t="s">
        <v>497</v>
      </c>
      <c r="M225" s="1104">
        <f t="shared" ref="M225:M231" si="21">E225*L225</f>
        <v>96000</v>
      </c>
      <c r="N225" s="1099">
        <v>3</v>
      </c>
      <c r="O225" s="1099">
        <v>6</v>
      </c>
      <c r="P225" s="1105">
        <f>E225*O225</f>
        <v>48000</v>
      </c>
    </row>
    <row r="226" spans="1:16" s="1154" customFormat="1" ht="36">
      <c r="A226" s="1098" t="s">
        <v>506</v>
      </c>
      <c r="B226" s="1099" t="s">
        <v>505</v>
      </c>
      <c r="C226" s="1099" t="s">
        <v>504</v>
      </c>
      <c r="D226" s="1100" t="s">
        <v>1073</v>
      </c>
      <c r="E226" s="1101">
        <v>3200</v>
      </c>
      <c r="F226" s="1099" t="s">
        <v>1071</v>
      </c>
      <c r="G226" s="1100" t="s">
        <v>1070</v>
      </c>
      <c r="H226" s="1099" t="s">
        <v>632</v>
      </c>
      <c r="I226" s="1102" t="s">
        <v>507</v>
      </c>
      <c r="J226" s="1099"/>
      <c r="K226" s="1103" t="s">
        <v>563</v>
      </c>
      <c r="L226" s="1103" t="s">
        <v>562</v>
      </c>
      <c r="M226" s="1104">
        <f t="shared" si="21"/>
        <v>12800</v>
      </c>
      <c r="N226" s="1099">
        <v>3</v>
      </c>
      <c r="O226" s="1099">
        <v>6</v>
      </c>
      <c r="P226" s="1105">
        <f>E226*O226</f>
        <v>19200</v>
      </c>
    </row>
    <row r="227" spans="1:16" s="1154" customFormat="1" ht="24">
      <c r="A227" s="1098" t="s">
        <v>506</v>
      </c>
      <c r="B227" s="1099" t="s">
        <v>505</v>
      </c>
      <c r="C227" s="1099" t="s">
        <v>504</v>
      </c>
      <c r="D227" s="1119" t="s">
        <v>1072</v>
      </c>
      <c r="E227" s="1101">
        <v>3000</v>
      </c>
      <c r="F227" s="1120" t="s">
        <v>1071</v>
      </c>
      <c r="G227" s="1114" t="s">
        <v>1070</v>
      </c>
      <c r="H227" s="1113"/>
      <c r="I227" s="1114"/>
      <c r="J227" s="1121"/>
      <c r="K227" s="1103">
        <v>1</v>
      </c>
      <c r="L227" s="1103">
        <v>7</v>
      </c>
      <c r="M227" s="1104">
        <f t="shared" si="21"/>
        <v>21000</v>
      </c>
      <c r="N227" s="1113">
        <v>0</v>
      </c>
      <c r="O227" s="1113">
        <v>0</v>
      </c>
      <c r="P227" s="1116">
        <v>0</v>
      </c>
    </row>
    <row r="228" spans="1:16" s="1154" customFormat="1" ht="24">
      <c r="A228" s="1098" t="s">
        <v>506</v>
      </c>
      <c r="B228" s="1099" t="s">
        <v>505</v>
      </c>
      <c r="C228" s="1099" t="s">
        <v>504</v>
      </c>
      <c r="D228" s="1100" t="s">
        <v>659</v>
      </c>
      <c r="E228" s="1101">
        <v>3600</v>
      </c>
      <c r="F228" s="1099" t="s">
        <v>1069</v>
      </c>
      <c r="G228" s="1100" t="s">
        <v>1068</v>
      </c>
      <c r="H228" s="1099" t="s">
        <v>888</v>
      </c>
      <c r="I228" s="1100" t="s">
        <v>499</v>
      </c>
      <c r="J228" s="1099"/>
      <c r="K228" s="1103" t="s">
        <v>498</v>
      </c>
      <c r="L228" s="1103" t="s">
        <v>497</v>
      </c>
      <c r="M228" s="1104">
        <f t="shared" si="21"/>
        <v>43200</v>
      </c>
      <c r="N228" s="1099">
        <v>3</v>
      </c>
      <c r="O228" s="1099">
        <v>6</v>
      </c>
      <c r="P228" s="1105">
        <f t="shared" ref="P228:P233" si="22">E228*O228</f>
        <v>21600</v>
      </c>
    </row>
    <row r="229" spans="1:16" s="1154" customFormat="1" ht="24">
      <c r="A229" s="1098" t="s">
        <v>506</v>
      </c>
      <c r="B229" s="1099" t="s">
        <v>505</v>
      </c>
      <c r="C229" s="1099" t="s">
        <v>504</v>
      </c>
      <c r="D229" s="1100" t="s">
        <v>573</v>
      </c>
      <c r="E229" s="1101">
        <v>3000</v>
      </c>
      <c r="F229" s="1099" t="s">
        <v>1067</v>
      </c>
      <c r="G229" s="1100" t="s">
        <v>1066</v>
      </c>
      <c r="H229" s="1099" t="s">
        <v>888</v>
      </c>
      <c r="I229" s="1100" t="s">
        <v>499</v>
      </c>
      <c r="J229" s="1099"/>
      <c r="K229" s="1103" t="s">
        <v>498</v>
      </c>
      <c r="L229" s="1103" t="s">
        <v>497</v>
      </c>
      <c r="M229" s="1104">
        <f t="shared" si="21"/>
        <v>36000</v>
      </c>
      <c r="N229" s="1099">
        <v>3</v>
      </c>
      <c r="O229" s="1099">
        <v>6</v>
      </c>
      <c r="P229" s="1105">
        <f t="shared" si="22"/>
        <v>18000</v>
      </c>
    </row>
    <row r="230" spans="1:16" s="1154" customFormat="1" ht="24">
      <c r="A230" s="1098" t="s">
        <v>506</v>
      </c>
      <c r="B230" s="1099" t="s">
        <v>505</v>
      </c>
      <c r="C230" s="1099" t="s">
        <v>504</v>
      </c>
      <c r="D230" s="1100" t="s">
        <v>659</v>
      </c>
      <c r="E230" s="1117">
        <v>5000</v>
      </c>
      <c r="F230" s="1099" t="s">
        <v>1065</v>
      </c>
      <c r="G230" s="1100" t="s">
        <v>1064</v>
      </c>
      <c r="H230" s="1099" t="s">
        <v>534</v>
      </c>
      <c r="I230" s="1102" t="s">
        <v>507</v>
      </c>
      <c r="J230" s="1099"/>
      <c r="K230" s="1103" t="s">
        <v>498</v>
      </c>
      <c r="L230" s="1103" t="s">
        <v>497</v>
      </c>
      <c r="M230" s="1104">
        <f t="shared" si="21"/>
        <v>60000</v>
      </c>
      <c r="N230" s="1099">
        <v>3</v>
      </c>
      <c r="O230" s="1099">
        <v>6</v>
      </c>
      <c r="P230" s="1105">
        <f t="shared" si="22"/>
        <v>30000</v>
      </c>
    </row>
    <row r="231" spans="1:16" s="1154" customFormat="1" ht="24">
      <c r="A231" s="1098" t="s">
        <v>506</v>
      </c>
      <c r="B231" s="1099" t="s">
        <v>505</v>
      </c>
      <c r="C231" s="1099" t="s">
        <v>504</v>
      </c>
      <c r="D231" s="1100" t="s">
        <v>1034</v>
      </c>
      <c r="E231" s="1117">
        <v>6000</v>
      </c>
      <c r="F231" s="1099" t="s">
        <v>1063</v>
      </c>
      <c r="G231" s="1100" t="s">
        <v>1062</v>
      </c>
      <c r="H231" s="1099" t="s">
        <v>543</v>
      </c>
      <c r="I231" s="1102" t="s">
        <v>507</v>
      </c>
      <c r="J231" s="1099"/>
      <c r="K231" s="1103" t="s">
        <v>498</v>
      </c>
      <c r="L231" s="1103" t="s">
        <v>497</v>
      </c>
      <c r="M231" s="1104">
        <f t="shared" si="21"/>
        <v>72000</v>
      </c>
      <c r="N231" s="1099">
        <v>3</v>
      </c>
      <c r="O231" s="1099">
        <v>6</v>
      </c>
      <c r="P231" s="1105">
        <f t="shared" si="22"/>
        <v>36000</v>
      </c>
    </row>
    <row r="232" spans="1:16" s="1154" customFormat="1" ht="24">
      <c r="A232" s="1098" t="s">
        <v>506</v>
      </c>
      <c r="B232" s="1099" t="s">
        <v>505</v>
      </c>
      <c r="C232" s="1099" t="s">
        <v>504</v>
      </c>
      <c r="D232" s="1119" t="s">
        <v>667</v>
      </c>
      <c r="E232" s="1101">
        <v>15600</v>
      </c>
      <c r="F232" s="1120" t="s">
        <v>1061</v>
      </c>
      <c r="G232" s="1114" t="s">
        <v>1060</v>
      </c>
      <c r="H232" s="1113"/>
      <c r="I232" s="1114"/>
      <c r="J232" s="1113"/>
      <c r="K232" s="1103">
        <v>1</v>
      </c>
      <c r="L232" s="1103">
        <v>9</v>
      </c>
      <c r="M232" s="1115">
        <f>E232/30*10+E232*9</f>
        <v>145600</v>
      </c>
      <c r="N232" s="1113">
        <v>0</v>
      </c>
      <c r="O232" s="1113">
        <v>0</v>
      </c>
      <c r="P232" s="1116">
        <f t="shared" si="22"/>
        <v>0</v>
      </c>
    </row>
    <row r="233" spans="1:16" s="1154" customFormat="1" ht="24">
      <c r="A233" s="1098" t="s">
        <v>506</v>
      </c>
      <c r="B233" s="1099" t="s">
        <v>505</v>
      </c>
      <c r="C233" s="1099" t="s">
        <v>504</v>
      </c>
      <c r="D233" s="1100" t="s">
        <v>1059</v>
      </c>
      <c r="E233" s="1101">
        <v>9000</v>
      </c>
      <c r="F233" s="1099" t="s">
        <v>1058</v>
      </c>
      <c r="G233" s="1100" t="s">
        <v>1057</v>
      </c>
      <c r="H233" s="1099" t="s">
        <v>519</v>
      </c>
      <c r="I233" s="1100" t="s">
        <v>507</v>
      </c>
      <c r="J233" s="1099"/>
      <c r="K233" s="1103" t="s">
        <v>498</v>
      </c>
      <c r="L233" s="1103" t="s">
        <v>497</v>
      </c>
      <c r="M233" s="1104">
        <f>E233*L233</f>
        <v>108000</v>
      </c>
      <c r="N233" s="1099">
        <v>3</v>
      </c>
      <c r="O233" s="1099">
        <v>6</v>
      </c>
      <c r="P233" s="1105">
        <f t="shared" si="22"/>
        <v>54000</v>
      </c>
    </row>
    <row r="234" spans="1:16" s="1154" customFormat="1" ht="24">
      <c r="A234" s="1098" t="s">
        <v>506</v>
      </c>
      <c r="B234" s="1099" t="s">
        <v>505</v>
      </c>
      <c r="C234" s="1099" t="s">
        <v>504</v>
      </c>
      <c r="D234" s="1102" t="s">
        <v>694</v>
      </c>
      <c r="E234" s="1101">
        <v>6000</v>
      </c>
      <c r="F234" s="1113" t="s">
        <v>1056</v>
      </c>
      <c r="G234" s="1114" t="s">
        <v>1055</v>
      </c>
      <c r="H234" s="1113"/>
      <c r="I234" s="1114"/>
      <c r="J234" s="1113"/>
      <c r="K234" s="1103">
        <v>0</v>
      </c>
      <c r="L234" s="1103">
        <v>0</v>
      </c>
      <c r="M234" s="1115">
        <v>0</v>
      </c>
      <c r="N234" s="1113">
        <v>3</v>
      </c>
      <c r="O234" s="1113">
        <v>5</v>
      </c>
      <c r="P234" s="1116">
        <f>E234/30*15+E234*5</f>
        <v>33000</v>
      </c>
    </row>
    <row r="235" spans="1:16" s="1154" customFormat="1" ht="24">
      <c r="A235" s="1098" t="s">
        <v>506</v>
      </c>
      <c r="B235" s="1099" t="s">
        <v>505</v>
      </c>
      <c r="C235" s="1099" t="s">
        <v>504</v>
      </c>
      <c r="D235" s="1100" t="s">
        <v>1054</v>
      </c>
      <c r="E235" s="1101">
        <v>3500</v>
      </c>
      <c r="F235" s="1099" t="s">
        <v>1053</v>
      </c>
      <c r="G235" s="1100" t="s">
        <v>1052</v>
      </c>
      <c r="H235" s="1112" t="s">
        <v>508</v>
      </c>
      <c r="I235" s="1102" t="s">
        <v>507</v>
      </c>
      <c r="J235" s="1099"/>
      <c r="K235" s="1103" t="s">
        <v>498</v>
      </c>
      <c r="L235" s="1103" t="s">
        <v>497</v>
      </c>
      <c r="M235" s="1104">
        <f>E235*L235</f>
        <v>42000</v>
      </c>
      <c r="N235" s="1099">
        <v>3</v>
      </c>
      <c r="O235" s="1099">
        <v>6</v>
      </c>
      <c r="P235" s="1105">
        <f t="shared" ref="P235:P246" si="23">E235*O235</f>
        <v>21000</v>
      </c>
    </row>
    <row r="236" spans="1:16" s="1154" customFormat="1" ht="36">
      <c r="A236" s="1098" t="s">
        <v>506</v>
      </c>
      <c r="B236" s="1099" t="s">
        <v>505</v>
      </c>
      <c r="C236" s="1099" t="s">
        <v>504</v>
      </c>
      <c r="D236" s="1102" t="s">
        <v>1051</v>
      </c>
      <c r="E236" s="1101">
        <v>7500</v>
      </c>
      <c r="F236" s="1099" t="s">
        <v>1050</v>
      </c>
      <c r="G236" s="1100" t="s">
        <v>1049</v>
      </c>
      <c r="H236" s="1112" t="s">
        <v>508</v>
      </c>
      <c r="I236" s="1102" t="s">
        <v>507</v>
      </c>
      <c r="J236" s="1099"/>
      <c r="K236" s="1103" t="s">
        <v>498</v>
      </c>
      <c r="L236" s="1103" t="s">
        <v>497</v>
      </c>
      <c r="M236" s="1104">
        <f>E236*L236</f>
        <v>90000</v>
      </c>
      <c r="N236" s="1099">
        <v>3</v>
      </c>
      <c r="O236" s="1099">
        <v>6</v>
      </c>
      <c r="P236" s="1105">
        <f t="shared" si="23"/>
        <v>45000</v>
      </c>
    </row>
    <row r="237" spans="1:16" s="1154" customFormat="1" ht="36">
      <c r="A237" s="1098" t="s">
        <v>506</v>
      </c>
      <c r="B237" s="1099" t="s">
        <v>505</v>
      </c>
      <c r="C237" s="1099" t="s">
        <v>504</v>
      </c>
      <c r="D237" s="1100" t="s">
        <v>902</v>
      </c>
      <c r="E237" s="1101">
        <v>9000</v>
      </c>
      <c r="F237" s="1099" t="s">
        <v>1047</v>
      </c>
      <c r="G237" s="1100" t="s">
        <v>1046</v>
      </c>
      <c r="H237" s="1112" t="s">
        <v>508</v>
      </c>
      <c r="I237" s="1102" t="s">
        <v>507</v>
      </c>
      <c r="J237" s="1099"/>
      <c r="K237" s="1103" t="s">
        <v>563</v>
      </c>
      <c r="L237" s="1103" t="s">
        <v>822</v>
      </c>
      <c r="M237" s="1104">
        <f>+E237/30*5+E237*5</f>
        <v>46500</v>
      </c>
      <c r="N237" s="1099">
        <v>0</v>
      </c>
      <c r="O237" s="1099">
        <v>0</v>
      </c>
      <c r="P237" s="1105">
        <f t="shared" si="23"/>
        <v>0</v>
      </c>
    </row>
    <row r="238" spans="1:16" s="1154" customFormat="1" ht="24">
      <c r="A238" s="1098" t="s">
        <v>506</v>
      </c>
      <c r="B238" s="1099" t="s">
        <v>505</v>
      </c>
      <c r="C238" s="1099" t="s">
        <v>504</v>
      </c>
      <c r="D238" s="1100" t="s">
        <v>1048</v>
      </c>
      <c r="E238" s="1101">
        <v>12000</v>
      </c>
      <c r="F238" s="1099" t="s">
        <v>1047</v>
      </c>
      <c r="G238" s="1100" t="s">
        <v>1046</v>
      </c>
      <c r="H238" s="1112" t="s">
        <v>508</v>
      </c>
      <c r="I238" s="1102" t="s">
        <v>507</v>
      </c>
      <c r="J238" s="1099"/>
      <c r="K238" s="1103" t="s">
        <v>563</v>
      </c>
      <c r="L238" s="1103" t="s">
        <v>687</v>
      </c>
      <c r="M238" s="1104">
        <f>+E238/30*24+E238*6</f>
        <v>81600</v>
      </c>
      <c r="N238" s="1099">
        <v>3</v>
      </c>
      <c r="O238" s="1099">
        <v>6</v>
      </c>
      <c r="P238" s="1105">
        <f t="shared" si="23"/>
        <v>72000</v>
      </c>
    </row>
    <row r="239" spans="1:16" s="1154" customFormat="1" ht="24">
      <c r="A239" s="1098" t="s">
        <v>506</v>
      </c>
      <c r="B239" s="1099" t="s">
        <v>505</v>
      </c>
      <c r="C239" s="1099" t="s">
        <v>504</v>
      </c>
      <c r="D239" s="1100" t="s">
        <v>604</v>
      </c>
      <c r="E239" s="1101">
        <v>4500</v>
      </c>
      <c r="F239" s="1099" t="s">
        <v>1045</v>
      </c>
      <c r="G239" s="1100" t="s">
        <v>1044</v>
      </c>
      <c r="H239" s="1099" t="s">
        <v>519</v>
      </c>
      <c r="I239" s="1100" t="s">
        <v>558</v>
      </c>
      <c r="J239" s="1099"/>
      <c r="K239" s="1103" t="s">
        <v>498</v>
      </c>
      <c r="L239" s="1103" t="s">
        <v>497</v>
      </c>
      <c r="M239" s="1104">
        <f>E239*L239</f>
        <v>54000</v>
      </c>
      <c r="N239" s="1099">
        <v>3</v>
      </c>
      <c r="O239" s="1099">
        <v>6</v>
      </c>
      <c r="P239" s="1105">
        <f t="shared" si="23"/>
        <v>27000</v>
      </c>
    </row>
    <row r="240" spans="1:16" s="1154" customFormat="1" ht="36">
      <c r="A240" s="1098" t="s">
        <v>506</v>
      </c>
      <c r="B240" s="1099" t="s">
        <v>505</v>
      </c>
      <c r="C240" s="1099" t="s">
        <v>504</v>
      </c>
      <c r="D240" s="1100" t="s">
        <v>1043</v>
      </c>
      <c r="E240" s="1101">
        <v>7200</v>
      </c>
      <c r="F240" s="1099" t="s">
        <v>1042</v>
      </c>
      <c r="G240" s="1100" t="s">
        <v>1041</v>
      </c>
      <c r="H240" s="1099" t="s">
        <v>1040</v>
      </c>
      <c r="I240" s="1102" t="s">
        <v>507</v>
      </c>
      <c r="J240" s="1099"/>
      <c r="K240" s="1103" t="s">
        <v>498</v>
      </c>
      <c r="L240" s="1103" t="s">
        <v>497</v>
      </c>
      <c r="M240" s="1104">
        <f>E240*L240</f>
        <v>86400</v>
      </c>
      <c r="N240" s="1099">
        <v>3</v>
      </c>
      <c r="O240" s="1099">
        <v>6</v>
      </c>
      <c r="P240" s="1105">
        <f t="shared" si="23"/>
        <v>43200</v>
      </c>
    </row>
    <row r="241" spans="1:16" s="1154" customFormat="1" ht="24">
      <c r="A241" s="1098" t="s">
        <v>506</v>
      </c>
      <c r="B241" s="1099" t="s">
        <v>505</v>
      </c>
      <c r="C241" s="1099" t="s">
        <v>504</v>
      </c>
      <c r="D241" s="1102" t="s">
        <v>1039</v>
      </c>
      <c r="E241" s="1101">
        <v>8000</v>
      </c>
      <c r="F241" s="1099" t="s">
        <v>1038</v>
      </c>
      <c r="G241" s="1100" t="s">
        <v>1037</v>
      </c>
      <c r="H241" s="1112" t="s">
        <v>508</v>
      </c>
      <c r="I241" s="1102" t="s">
        <v>507</v>
      </c>
      <c r="J241" s="1099"/>
      <c r="K241" s="1103" t="s">
        <v>563</v>
      </c>
      <c r="L241" s="1103" t="s">
        <v>687</v>
      </c>
      <c r="M241" s="1104">
        <f>E241*6</f>
        <v>48000</v>
      </c>
      <c r="N241" s="1099">
        <v>0</v>
      </c>
      <c r="O241" s="1099">
        <v>0</v>
      </c>
      <c r="P241" s="1105">
        <f t="shared" si="23"/>
        <v>0</v>
      </c>
    </row>
    <row r="242" spans="1:16" s="1154" customFormat="1" ht="24">
      <c r="A242" s="1098" t="s">
        <v>506</v>
      </c>
      <c r="B242" s="1099" t="s">
        <v>505</v>
      </c>
      <c r="C242" s="1099" t="s">
        <v>504</v>
      </c>
      <c r="D242" s="1102" t="s">
        <v>569</v>
      </c>
      <c r="E242" s="1101">
        <v>11000</v>
      </c>
      <c r="F242" s="1099" t="s">
        <v>1038</v>
      </c>
      <c r="G242" s="1100" t="s">
        <v>1037</v>
      </c>
      <c r="H242" s="1112" t="s">
        <v>508</v>
      </c>
      <c r="I242" s="1102" t="s">
        <v>507</v>
      </c>
      <c r="J242" s="1099"/>
      <c r="K242" s="1103" t="s">
        <v>563</v>
      </c>
      <c r="L242" s="1103" t="s">
        <v>687</v>
      </c>
      <c r="M242" s="1104">
        <f>E242*6</f>
        <v>66000</v>
      </c>
      <c r="N242" s="1099">
        <v>3</v>
      </c>
      <c r="O242" s="1099">
        <v>6</v>
      </c>
      <c r="P242" s="1105">
        <f t="shared" si="23"/>
        <v>66000</v>
      </c>
    </row>
    <row r="243" spans="1:16" s="1154" customFormat="1" ht="24">
      <c r="A243" s="1098" t="s">
        <v>506</v>
      </c>
      <c r="B243" s="1099" t="s">
        <v>505</v>
      </c>
      <c r="C243" s="1099" t="s">
        <v>504</v>
      </c>
      <c r="D243" s="1100" t="s">
        <v>573</v>
      </c>
      <c r="E243" s="1101">
        <v>3000</v>
      </c>
      <c r="F243" s="1099" t="s">
        <v>1036</v>
      </c>
      <c r="G243" s="1100" t="s">
        <v>1035</v>
      </c>
      <c r="H243" s="1099" t="s">
        <v>888</v>
      </c>
      <c r="I243" s="1100" t="s">
        <v>499</v>
      </c>
      <c r="J243" s="1099"/>
      <c r="K243" s="1103" t="s">
        <v>498</v>
      </c>
      <c r="L243" s="1103" t="s">
        <v>497</v>
      </c>
      <c r="M243" s="1104">
        <f>E243*L243</f>
        <v>36000</v>
      </c>
      <c r="N243" s="1099">
        <v>3</v>
      </c>
      <c r="O243" s="1099">
        <v>6</v>
      </c>
      <c r="P243" s="1105">
        <f t="shared" si="23"/>
        <v>18000</v>
      </c>
    </row>
    <row r="244" spans="1:16" s="1154" customFormat="1" ht="24">
      <c r="A244" s="1098" t="s">
        <v>506</v>
      </c>
      <c r="B244" s="1099" t="s">
        <v>505</v>
      </c>
      <c r="C244" s="1099" t="s">
        <v>504</v>
      </c>
      <c r="D244" s="1100" t="s">
        <v>1034</v>
      </c>
      <c r="E244" s="1101">
        <v>8000</v>
      </c>
      <c r="F244" s="1099" t="s">
        <v>1033</v>
      </c>
      <c r="G244" s="1100" t="s">
        <v>1032</v>
      </c>
      <c r="H244" s="1099" t="s">
        <v>543</v>
      </c>
      <c r="I244" s="1102" t="s">
        <v>507</v>
      </c>
      <c r="J244" s="1099"/>
      <c r="K244" s="1103" t="s">
        <v>498</v>
      </c>
      <c r="L244" s="1103" t="s">
        <v>497</v>
      </c>
      <c r="M244" s="1104">
        <f>E244*L244</f>
        <v>96000</v>
      </c>
      <c r="N244" s="1099">
        <v>3</v>
      </c>
      <c r="O244" s="1099">
        <v>6</v>
      </c>
      <c r="P244" s="1105">
        <f t="shared" si="23"/>
        <v>48000</v>
      </c>
    </row>
    <row r="245" spans="1:16" s="1154" customFormat="1" ht="24">
      <c r="A245" s="1098" t="s">
        <v>506</v>
      </c>
      <c r="B245" s="1099" t="s">
        <v>505</v>
      </c>
      <c r="C245" s="1099" t="s">
        <v>504</v>
      </c>
      <c r="D245" s="1100" t="s">
        <v>1031</v>
      </c>
      <c r="E245" s="1101">
        <v>3900</v>
      </c>
      <c r="F245" s="1099" t="s">
        <v>1030</v>
      </c>
      <c r="G245" s="1100" t="s">
        <v>1029</v>
      </c>
      <c r="H245" s="1099" t="s">
        <v>944</v>
      </c>
      <c r="I245" s="1102" t="s">
        <v>507</v>
      </c>
      <c r="J245" s="1099"/>
      <c r="K245" s="1103" t="s">
        <v>498</v>
      </c>
      <c r="L245" s="1103" t="s">
        <v>497</v>
      </c>
      <c r="M245" s="1104">
        <f>E245*L245</f>
        <v>46800</v>
      </c>
      <c r="N245" s="1099">
        <v>3</v>
      </c>
      <c r="O245" s="1099">
        <v>6</v>
      </c>
      <c r="P245" s="1105">
        <f t="shared" si="23"/>
        <v>23400</v>
      </c>
    </row>
    <row r="246" spans="1:16" s="1154" customFormat="1" ht="24">
      <c r="A246" s="1098" t="s">
        <v>506</v>
      </c>
      <c r="B246" s="1099" t="s">
        <v>505</v>
      </c>
      <c r="C246" s="1099" t="s">
        <v>504</v>
      </c>
      <c r="D246" s="1102" t="s">
        <v>1028</v>
      </c>
      <c r="E246" s="1101">
        <v>7500</v>
      </c>
      <c r="F246" s="1099" t="s">
        <v>1027</v>
      </c>
      <c r="G246" s="1100" t="s">
        <v>1026</v>
      </c>
      <c r="H246" s="1112" t="s">
        <v>508</v>
      </c>
      <c r="I246" s="1102" t="s">
        <v>507</v>
      </c>
      <c r="J246" s="1099"/>
      <c r="K246" s="1103" t="s">
        <v>498</v>
      </c>
      <c r="L246" s="1103" t="s">
        <v>773</v>
      </c>
      <c r="M246" s="1104">
        <f>E246*L246</f>
        <v>0</v>
      </c>
      <c r="N246" s="1099">
        <v>0</v>
      </c>
      <c r="O246" s="1099">
        <v>0</v>
      </c>
      <c r="P246" s="1105">
        <f t="shared" si="23"/>
        <v>0</v>
      </c>
    </row>
    <row r="247" spans="1:16" s="1154" customFormat="1" ht="24">
      <c r="A247" s="1098" t="s">
        <v>506</v>
      </c>
      <c r="B247" s="1099" t="s">
        <v>505</v>
      </c>
      <c r="C247" s="1099" t="s">
        <v>504</v>
      </c>
      <c r="D247" s="1100" t="s">
        <v>511</v>
      </c>
      <c r="E247" s="1101">
        <v>6000</v>
      </c>
      <c r="F247" s="1122" t="s">
        <v>1027</v>
      </c>
      <c r="G247" s="1100" t="s">
        <v>1026</v>
      </c>
      <c r="H247" s="1099" t="s">
        <v>511</v>
      </c>
      <c r="I247" s="1100"/>
      <c r="J247" s="1099"/>
      <c r="K247" s="1103">
        <v>3</v>
      </c>
      <c r="L247" s="1103">
        <v>12</v>
      </c>
      <c r="M247" s="1104">
        <f>E247*L247</f>
        <v>72000</v>
      </c>
      <c r="N247" s="1099">
        <v>0</v>
      </c>
      <c r="O247" s="1099">
        <v>0</v>
      </c>
      <c r="P247" s="1105">
        <v>0</v>
      </c>
    </row>
    <row r="248" spans="1:16" s="1154" customFormat="1" ht="24">
      <c r="A248" s="1098" t="s">
        <v>506</v>
      </c>
      <c r="B248" s="1099" t="s">
        <v>505</v>
      </c>
      <c r="C248" s="1099" t="s">
        <v>504</v>
      </c>
      <c r="D248" s="1100" t="s">
        <v>511</v>
      </c>
      <c r="E248" s="1101">
        <v>6000</v>
      </c>
      <c r="F248" s="1099" t="s">
        <v>1027</v>
      </c>
      <c r="G248" s="1100" t="s">
        <v>1026</v>
      </c>
      <c r="H248" s="1099" t="s">
        <v>511</v>
      </c>
      <c r="I248" s="1100"/>
      <c r="J248" s="1099"/>
      <c r="K248" s="1103">
        <v>0</v>
      </c>
      <c r="L248" s="1103">
        <v>0</v>
      </c>
      <c r="M248" s="1104">
        <v>0</v>
      </c>
      <c r="N248" s="1099">
        <v>1</v>
      </c>
      <c r="O248" s="1099">
        <v>2</v>
      </c>
      <c r="P248" s="1105">
        <f>E248/30*29+E248*1</f>
        <v>11800</v>
      </c>
    </row>
    <row r="249" spans="1:16" s="1154" customFormat="1" ht="24">
      <c r="A249" s="1098" t="s">
        <v>506</v>
      </c>
      <c r="B249" s="1099" t="s">
        <v>505</v>
      </c>
      <c r="C249" s="1099" t="s">
        <v>504</v>
      </c>
      <c r="D249" s="1102" t="s">
        <v>1028</v>
      </c>
      <c r="E249" s="1101">
        <v>7500</v>
      </c>
      <c r="F249" s="1099" t="s">
        <v>1027</v>
      </c>
      <c r="G249" s="1100" t="s">
        <v>1026</v>
      </c>
      <c r="H249" s="1099" t="s">
        <v>511</v>
      </c>
      <c r="I249" s="1100"/>
      <c r="J249" s="1099"/>
      <c r="K249" s="1103">
        <v>0</v>
      </c>
      <c r="L249" s="1103">
        <v>0</v>
      </c>
      <c r="M249" s="1104">
        <v>0</v>
      </c>
      <c r="N249" s="1099">
        <v>2</v>
      </c>
      <c r="O249" s="1099">
        <v>3</v>
      </c>
      <c r="P249" s="1105">
        <f>E249/30*28+E249*3</f>
        <v>29500</v>
      </c>
    </row>
    <row r="250" spans="1:16" s="1154" customFormat="1" ht="24">
      <c r="A250" s="1098" t="s">
        <v>506</v>
      </c>
      <c r="B250" s="1099" t="s">
        <v>505</v>
      </c>
      <c r="C250" s="1099" t="s">
        <v>504</v>
      </c>
      <c r="D250" s="1100" t="s">
        <v>622</v>
      </c>
      <c r="E250" s="1101">
        <v>2500</v>
      </c>
      <c r="F250" s="1099" t="s">
        <v>1025</v>
      </c>
      <c r="G250" s="1100" t="s">
        <v>1024</v>
      </c>
      <c r="H250" s="1099" t="s">
        <v>519</v>
      </c>
      <c r="I250" s="1102" t="s">
        <v>547</v>
      </c>
      <c r="J250" s="1099"/>
      <c r="K250" s="1103" t="s">
        <v>498</v>
      </c>
      <c r="L250" s="1103" t="s">
        <v>497</v>
      </c>
      <c r="M250" s="1104">
        <f>E250*L250</f>
        <v>30000</v>
      </c>
      <c r="N250" s="1099">
        <v>3</v>
      </c>
      <c r="O250" s="1099">
        <v>6</v>
      </c>
      <c r="P250" s="1105">
        <f>E250*O250</f>
        <v>15000</v>
      </c>
    </row>
    <row r="251" spans="1:16" s="1154" customFormat="1" ht="24">
      <c r="A251" s="1098" t="s">
        <v>506</v>
      </c>
      <c r="B251" s="1099" t="s">
        <v>505</v>
      </c>
      <c r="C251" s="1099" t="s">
        <v>504</v>
      </c>
      <c r="D251" s="1100" t="s">
        <v>1023</v>
      </c>
      <c r="E251" s="1101">
        <v>15600</v>
      </c>
      <c r="F251" s="1120" t="s">
        <v>1022</v>
      </c>
      <c r="G251" s="1114" t="s">
        <v>1021</v>
      </c>
      <c r="H251" s="1113"/>
      <c r="I251" s="1114"/>
      <c r="J251" s="1121"/>
      <c r="K251" s="1103">
        <v>1</v>
      </c>
      <c r="L251" s="1103">
        <v>0</v>
      </c>
      <c r="M251" s="1115">
        <f>E251/30*14</f>
        <v>7280</v>
      </c>
      <c r="N251" s="1113">
        <v>0</v>
      </c>
      <c r="O251" s="1113">
        <v>0</v>
      </c>
      <c r="P251" s="1116">
        <v>0</v>
      </c>
    </row>
    <row r="252" spans="1:16" s="1154" customFormat="1" ht="24">
      <c r="A252" s="1098" t="s">
        <v>506</v>
      </c>
      <c r="B252" s="1099" t="s">
        <v>505</v>
      </c>
      <c r="C252" s="1099" t="s">
        <v>504</v>
      </c>
      <c r="D252" s="1100" t="s">
        <v>1020</v>
      </c>
      <c r="E252" s="1101">
        <v>3000</v>
      </c>
      <c r="F252" s="1099" t="s">
        <v>1019</v>
      </c>
      <c r="G252" s="1100" t="s">
        <v>1018</v>
      </c>
      <c r="H252" s="1099" t="s">
        <v>1017</v>
      </c>
      <c r="I252" s="1100" t="s">
        <v>499</v>
      </c>
      <c r="J252" s="1099"/>
      <c r="K252" s="1103" t="s">
        <v>498</v>
      </c>
      <c r="L252" s="1103" t="s">
        <v>497</v>
      </c>
      <c r="M252" s="1104">
        <f>E252*L252</f>
        <v>36000</v>
      </c>
      <c r="N252" s="1099">
        <v>3</v>
      </c>
      <c r="O252" s="1099">
        <v>6</v>
      </c>
      <c r="P252" s="1105">
        <f>E252*O252</f>
        <v>18000</v>
      </c>
    </row>
    <row r="253" spans="1:16" s="1154" customFormat="1" ht="36">
      <c r="A253" s="1098" t="s">
        <v>506</v>
      </c>
      <c r="B253" s="1099" t="s">
        <v>505</v>
      </c>
      <c r="C253" s="1099" t="s">
        <v>504</v>
      </c>
      <c r="D253" s="1119" t="s">
        <v>922</v>
      </c>
      <c r="E253" s="1101">
        <v>5800</v>
      </c>
      <c r="F253" s="1120" t="s">
        <v>1016</v>
      </c>
      <c r="G253" s="1114" t="s">
        <v>1015</v>
      </c>
      <c r="H253" s="1113"/>
      <c r="I253" s="1114"/>
      <c r="J253" s="1121"/>
      <c r="K253" s="1103">
        <v>1</v>
      </c>
      <c r="L253" s="1103">
        <v>3</v>
      </c>
      <c r="M253" s="1115">
        <f>E253/30*23+E253*3</f>
        <v>21846.666666666668</v>
      </c>
      <c r="N253" s="1113">
        <v>0</v>
      </c>
      <c r="O253" s="1113">
        <v>0</v>
      </c>
      <c r="P253" s="1116">
        <v>0</v>
      </c>
    </row>
    <row r="254" spans="1:16" s="1154" customFormat="1" ht="24">
      <c r="A254" s="1098" t="s">
        <v>506</v>
      </c>
      <c r="B254" s="1099" t="s">
        <v>505</v>
      </c>
      <c r="C254" s="1099" t="s">
        <v>504</v>
      </c>
      <c r="D254" s="1100" t="s">
        <v>731</v>
      </c>
      <c r="E254" s="1101">
        <v>6500</v>
      </c>
      <c r="F254" s="1099" t="s">
        <v>1014</v>
      </c>
      <c r="G254" s="1100" t="s">
        <v>1013</v>
      </c>
      <c r="H254" s="1099" t="s">
        <v>519</v>
      </c>
      <c r="I254" s="1100" t="s">
        <v>507</v>
      </c>
      <c r="J254" s="1099"/>
      <c r="K254" s="1103" t="s">
        <v>498</v>
      </c>
      <c r="L254" s="1103" t="s">
        <v>497</v>
      </c>
      <c r="M254" s="1104">
        <f>E254*L254</f>
        <v>78000</v>
      </c>
      <c r="N254" s="1099">
        <v>3</v>
      </c>
      <c r="O254" s="1099">
        <v>6</v>
      </c>
      <c r="P254" s="1105">
        <f t="shared" ref="P254:P286" si="24">E254*O254</f>
        <v>39000</v>
      </c>
    </row>
    <row r="255" spans="1:16" s="1154" customFormat="1" ht="24">
      <c r="A255" s="1098" t="s">
        <v>506</v>
      </c>
      <c r="B255" s="1099" t="s">
        <v>505</v>
      </c>
      <c r="C255" s="1099" t="s">
        <v>504</v>
      </c>
      <c r="D255" s="1100" t="s">
        <v>894</v>
      </c>
      <c r="E255" s="1101">
        <v>3600</v>
      </c>
      <c r="F255" s="1099" t="s">
        <v>1010</v>
      </c>
      <c r="G255" s="1100" t="s">
        <v>1009</v>
      </c>
      <c r="H255" s="1099" t="s">
        <v>632</v>
      </c>
      <c r="I255" s="1100" t="s">
        <v>507</v>
      </c>
      <c r="J255" s="1099"/>
      <c r="K255" s="1103" t="s">
        <v>498</v>
      </c>
      <c r="L255" s="1103" t="s">
        <v>1012</v>
      </c>
      <c r="M255" s="1104">
        <f>E255*6</f>
        <v>21600</v>
      </c>
      <c r="N255" s="1099">
        <v>0</v>
      </c>
      <c r="O255" s="1099">
        <v>0</v>
      </c>
      <c r="P255" s="1105">
        <f t="shared" si="24"/>
        <v>0</v>
      </c>
    </row>
    <row r="256" spans="1:16" s="1154" customFormat="1" ht="48">
      <c r="A256" s="1098" t="s">
        <v>506</v>
      </c>
      <c r="B256" s="1099" t="s">
        <v>505</v>
      </c>
      <c r="C256" s="1099" t="s">
        <v>504</v>
      </c>
      <c r="D256" s="1100" t="s">
        <v>1011</v>
      </c>
      <c r="E256" s="1101">
        <v>6200</v>
      </c>
      <c r="F256" s="1099" t="s">
        <v>1010</v>
      </c>
      <c r="G256" s="1100" t="s">
        <v>1009</v>
      </c>
      <c r="H256" s="1099" t="s">
        <v>632</v>
      </c>
      <c r="I256" s="1100" t="s">
        <v>507</v>
      </c>
      <c r="J256" s="1099"/>
      <c r="K256" s="1103" t="s">
        <v>664</v>
      </c>
      <c r="L256" s="1103" t="s">
        <v>498</v>
      </c>
      <c r="M256" s="1104">
        <f t="shared" ref="M256:M261" si="25">E256*L256</f>
        <v>18600</v>
      </c>
      <c r="N256" s="1099">
        <v>3</v>
      </c>
      <c r="O256" s="1099">
        <v>6</v>
      </c>
      <c r="P256" s="1105">
        <f t="shared" si="24"/>
        <v>37200</v>
      </c>
    </row>
    <row r="257" spans="1:16" s="1154" customFormat="1" ht="24">
      <c r="A257" s="1098" t="s">
        <v>506</v>
      </c>
      <c r="B257" s="1099" t="s">
        <v>505</v>
      </c>
      <c r="C257" s="1099" t="s">
        <v>504</v>
      </c>
      <c r="D257" s="1100" t="s">
        <v>981</v>
      </c>
      <c r="E257" s="1101">
        <v>8000</v>
      </c>
      <c r="F257" s="1099" t="s">
        <v>1008</v>
      </c>
      <c r="G257" s="1100" t="s">
        <v>1007</v>
      </c>
      <c r="H257" s="1112" t="s">
        <v>508</v>
      </c>
      <c r="I257" s="1100" t="s">
        <v>507</v>
      </c>
      <c r="J257" s="1099"/>
      <c r="K257" s="1103" t="s">
        <v>498</v>
      </c>
      <c r="L257" s="1103" t="s">
        <v>497</v>
      </c>
      <c r="M257" s="1104">
        <f t="shared" si="25"/>
        <v>96000</v>
      </c>
      <c r="N257" s="1099">
        <v>3</v>
      </c>
      <c r="O257" s="1099">
        <v>6</v>
      </c>
      <c r="P257" s="1105">
        <f t="shared" si="24"/>
        <v>48000</v>
      </c>
    </row>
    <row r="258" spans="1:16" s="1154" customFormat="1" ht="24">
      <c r="A258" s="1098" t="s">
        <v>506</v>
      </c>
      <c r="B258" s="1099" t="s">
        <v>505</v>
      </c>
      <c r="C258" s="1099" t="s">
        <v>504</v>
      </c>
      <c r="D258" s="1100" t="s">
        <v>659</v>
      </c>
      <c r="E258" s="1117">
        <v>5000</v>
      </c>
      <c r="F258" s="1099" t="s">
        <v>1006</v>
      </c>
      <c r="G258" s="1100" t="s">
        <v>1005</v>
      </c>
      <c r="H258" s="1099" t="s">
        <v>534</v>
      </c>
      <c r="I258" s="1102" t="s">
        <v>507</v>
      </c>
      <c r="J258" s="1099"/>
      <c r="K258" s="1103" t="s">
        <v>498</v>
      </c>
      <c r="L258" s="1103" t="s">
        <v>497</v>
      </c>
      <c r="M258" s="1104">
        <f t="shared" si="25"/>
        <v>60000</v>
      </c>
      <c r="N258" s="1099">
        <v>3</v>
      </c>
      <c r="O258" s="1099">
        <v>6</v>
      </c>
      <c r="P258" s="1105">
        <f t="shared" si="24"/>
        <v>30000</v>
      </c>
    </row>
    <row r="259" spans="1:16" s="1154" customFormat="1" ht="24">
      <c r="A259" s="1098" t="s">
        <v>506</v>
      </c>
      <c r="B259" s="1099" t="s">
        <v>505</v>
      </c>
      <c r="C259" s="1099" t="s">
        <v>504</v>
      </c>
      <c r="D259" s="1100" t="s">
        <v>844</v>
      </c>
      <c r="E259" s="1101">
        <v>8000</v>
      </c>
      <c r="F259" s="1099" t="s">
        <v>1004</v>
      </c>
      <c r="G259" s="1100" t="s">
        <v>1003</v>
      </c>
      <c r="H259" s="1099" t="s">
        <v>519</v>
      </c>
      <c r="I259" s="1100" t="s">
        <v>507</v>
      </c>
      <c r="J259" s="1099"/>
      <c r="K259" s="1103" t="s">
        <v>498</v>
      </c>
      <c r="L259" s="1103" t="s">
        <v>497</v>
      </c>
      <c r="M259" s="1104">
        <f t="shared" si="25"/>
        <v>96000</v>
      </c>
      <c r="N259" s="1099">
        <v>3</v>
      </c>
      <c r="O259" s="1099">
        <v>6</v>
      </c>
      <c r="P259" s="1105">
        <f t="shared" si="24"/>
        <v>48000</v>
      </c>
    </row>
    <row r="260" spans="1:16" s="1154" customFormat="1" ht="24">
      <c r="A260" s="1098" t="s">
        <v>506</v>
      </c>
      <c r="B260" s="1099" t="s">
        <v>505</v>
      </c>
      <c r="C260" s="1099" t="s">
        <v>504</v>
      </c>
      <c r="D260" s="1102" t="s">
        <v>518</v>
      </c>
      <c r="E260" s="1101">
        <v>8000</v>
      </c>
      <c r="F260" s="1099" t="s">
        <v>1002</v>
      </c>
      <c r="G260" s="1100" t="s">
        <v>1001</v>
      </c>
      <c r="H260" s="1112" t="s">
        <v>508</v>
      </c>
      <c r="I260" s="1100" t="s">
        <v>507</v>
      </c>
      <c r="J260" s="1099"/>
      <c r="K260" s="1103" t="s">
        <v>498</v>
      </c>
      <c r="L260" s="1103" t="s">
        <v>497</v>
      </c>
      <c r="M260" s="1104">
        <f t="shared" si="25"/>
        <v>96000</v>
      </c>
      <c r="N260" s="1099">
        <v>3</v>
      </c>
      <c r="O260" s="1099">
        <v>6</v>
      </c>
      <c r="P260" s="1105">
        <f t="shared" si="24"/>
        <v>48000</v>
      </c>
    </row>
    <row r="261" spans="1:16" s="1154" customFormat="1" ht="36">
      <c r="A261" s="1098" t="s">
        <v>506</v>
      </c>
      <c r="B261" s="1099" t="s">
        <v>505</v>
      </c>
      <c r="C261" s="1099" t="s">
        <v>504</v>
      </c>
      <c r="D261" s="1102" t="s">
        <v>1000</v>
      </c>
      <c r="E261" s="1101">
        <v>4800</v>
      </c>
      <c r="F261" s="1099" t="s">
        <v>999</v>
      </c>
      <c r="G261" s="1100" t="s">
        <v>998</v>
      </c>
      <c r="H261" s="1099" t="s">
        <v>997</v>
      </c>
      <c r="I261" s="1100" t="s">
        <v>507</v>
      </c>
      <c r="J261" s="1099"/>
      <c r="K261" s="1103" t="s">
        <v>498</v>
      </c>
      <c r="L261" s="1103" t="s">
        <v>497</v>
      </c>
      <c r="M261" s="1104">
        <f t="shared" si="25"/>
        <v>57600</v>
      </c>
      <c r="N261" s="1099">
        <v>3</v>
      </c>
      <c r="O261" s="1099">
        <v>6</v>
      </c>
      <c r="P261" s="1105">
        <f t="shared" si="24"/>
        <v>28800</v>
      </c>
    </row>
    <row r="262" spans="1:16" s="1154" customFormat="1" ht="24">
      <c r="A262" s="1098" t="s">
        <v>506</v>
      </c>
      <c r="B262" s="1099" t="s">
        <v>505</v>
      </c>
      <c r="C262" s="1099" t="s">
        <v>504</v>
      </c>
      <c r="D262" s="1102" t="s">
        <v>569</v>
      </c>
      <c r="E262" s="1101">
        <v>4200</v>
      </c>
      <c r="F262" s="1099" t="s">
        <v>996</v>
      </c>
      <c r="G262" s="1100" t="s">
        <v>995</v>
      </c>
      <c r="H262" s="1112" t="s">
        <v>632</v>
      </c>
      <c r="I262" s="1102" t="s">
        <v>507</v>
      </c>
      <c r="J262" s="1099"/>
      <c r="K262" s="1103" t="s">
        <v>664</v>
      </c>
      <c r="L262" s="1103" t="s">
        <v>664</v>
      </c>
      <c r="M262" s="1104">
        <f>+E262/30*17+E262*1</f>
        <v>6580</v>
      </c>
      <c r="N262" s="1099">
        <v>3</v>
      </c>
      <c r="O262" s="1099">
        <v>6</v>
      </c>
      <c r="P262" s="1105">
        <f t="shared" si="24"/>
        <v>25200</v>
      </c>
    </row>
    <row r="263" spans="1:16" s="1154" customFormat="1" ht="24">
      <c r="A263" s="1098" t="s">
        <v>506</v>
      </c>
      <c r="B263" s="1099" t="s">
        <v>505</v>
      </c>
      <c r="C263" s="1099" t="s">
        <v>504</v>
      </c>
      <c r="D263" s="1100" t="s">
        <v>994</v>
      </c>
      <c r="E263" s="1101">
        <v>4000</v>
      </c>
      <c r="F263" s="1099" t="s">
        <v>993</v>
      </c>
      <c r="G263" s="1100" t="s">
        <v>992</v>
      </c>
      <c r="H263" s="1099" t="s">
        <v>991</v>
      </c>
      <c r="I263" s="1102" t="s">
        <v>507</v>
      </c>
      <c r="J263" s="1099"/>
      <c r="K263" s="1103" t="s">
        <v>498</v>
      </c>
      <c r="L263" s="1103" t="s">
        <v>497</v>
      </c>
      <c r="M263" s="1104">
        <f>E263*L263</f>
        <v>48000</v>
      </c>
      <c r="N263" s="1099">
        <v>3</v>
      </c>
      <c r="O263" s="1099">
        <v>6</v>
      </c>
      <c r="P263" s="1105">
        <f t="shared" si="24"/>
        <v>24000</v>
      </c>
    </row>
    <row r="264" spans="1:16" s="1154" customFormat="1" ht="24">
      <c r="A264" s="1098" t="s">
        <v>506</v>
      </c>
      <c r="B264" s="1099" t="s">
        <v>505</v>
      </c>
      <c r="C264" s="1099" t="s">
        <v>504</v>
      </c>
      <c r="D264" s="1100" t="s">
        <v>540</v>
      </c>
      <c r="E264" s="1101">
        <v>8000</v>
      </c>
      <c r="F264" s="1099" t="s">
        <v>990</v>
      </c>
      <c r="G264" s="1100" t="s">
        <v>989</v>
      </c>
      <c r="H264" s="1112" t="s">
        <v>508</v>
      </c>
      <c r="I264" s="1100" t="s">
        <v>507</v>
      </c>
      <c r="J264" s="1099"/>
      <c r="K264" s="1103" t="s">
        <v>563</v>
      </c>
      <c r="L264" s="1103" t="s">
        <v>822</v>
      </c>
      <c r="M264" s="1104">
        <f>+E264/30*16+E264*5</f>
        <v>44266.666666666664</v>
      </c>
      <c r="N264" s="1099">
        <v>0</v>
      </c>
      <c r="O264" s="1099">
        <v>0</v>
      </c>
      <c r="P264" s="1105">
        <f t="shared" si="24"/>
        <v>0</v>
      </c>
    </row>
    <row r="265" spans="1:16" s="1154" customFormat="1" ht="24">
      <c r="A265" s="1098" t="s">
        <v>506</v>
      </c>
      <c r="B265" s="1099" t="s">
        <v>505</v>
      </c>
      <c r="C265" s="1099" t="s">
        <v>504</v>
      </c>
      <c r="D265" s="1100" t="s">
        <v>518</v>
      </c>
      <c r="E265" s="1101">
        <v>10000</v>
      </c>
      <c r="F265" s="1099" t="s">
        <v>990</v>
      </c>
      <c r="G265" s="1100" t="s">
        <v>989</v>
      </c>
      <c r="H265" s="1112" t="s">
        <v>508</v>
      </c>
      <c r="I265" s="1100" t="s">
        <v>507</v>
      </c>
      <c r="J265" s="1099"/>
      <c r="K265" s="1103" t="s">
        <v>563</v>
      </c>
      <c r="L265" s="1103" t="s">
        <v>687</v>
      </c>
      <c r="M265" s="1104">
        <f>+E265/30*14+E265*6</f>
        <v>64666.666666666664</v>
      </c>
      <c r="N265" s="1099">
        <v>3</v>
      </c>
      <c r="O265" s="1099">
        <v>6</v>
      </c>
      <c r="P265" s="1105">
        <f t="shared" si="24"/>
        <v>60000</v>
      </c>
    </row>
    <row r="266" spans="1:16" s="1154" customFormat="1" ht="24">
      <c r="A266" s="1098" t="s">
        <v>506</v>
      </c>
      <c r="B266" s="1099" t="s">
        <v>505</v>
      </c>
      <c r="C266" s="1099" t="s">
        <v>504</v>
      </c>
      <c r="D266" s="1100" t="s">
        <v>988</v>
      </c>
      <c r="E266" s="1101">
        <v>4000</v>
      </c>
      <c r="F266" s="1099" t="s">
        <v>987</v>
      </c>
      <c r="G266" s="1100" t="s">
        <v>986</v>
      </c>
      <c r="H266" s="1099" t="s">
        <v>632</v>
      </c>
      <c r="I266" s="1102" t="s">
        <v>507</v>
      </c>
      <c r="J266" s="1099"/>
      <c r="K266" s="1103" t="s">
        <v>498</v>
      </c>
      <c r="L266" s="1103" t="s">
        <v>497</v>
      </c>
      <c r="M266" s="1104">
        <f>E266*L266</f>
        <v>48000</v>
      </c>
      <c r="N266" s="1099">
        <v>3</v>
      </c>
      <c r="O266" s="1099">
        <v>6</v>
      </c>
      <c r="P266" s="1105">
        <f t="shared" si="24"/>
        <v>24000</v>
      </c>
    </row>
    <row r="267" spans="1:16" s="1154" customFormat="1" ht="24">
      <c r="A267" s="1098" t="s">
        <v>506</v>
      </c>
      <c r="B267" s="1099" t="s">
        <v>505</v>
      </c>
      <c r="C267" s="1099" t="s">
        <v>504</v>
      </c>
      <c r="D267" s="1100" t="s">
        <v>985</v>
      </c>
      <c r="E267" s="1101">
        <v>8000</v>
      </c>
      <c r="F267" s="1099" t="s">
        <v>984</v>
      </c>
      <c r="G267" s="1100" t="s">
        <v>983</v>
      </c>
      <c r="H267" s="1099" t="s">
        <v>515</v>
      </c>
      <c r="I267" s="1100" t="s">
        <v>507</v>
      </c>
      <c r="J267" s="1099"/>
      <c r="K267" s="1103" t="s">
        <v>498</v>
      </c>
      <c r="L267" s="1103" t="s">
        <v>497</v>
      </c>
      <c r="M267" s="1104">
        <f>E267*L267</f>
        <v>96000</v>
      </c>
      <c r="N267" s="1099">
        <v>3</v>
      </c>
      <c r="O267" s="1099">
        <v>6</v>
      </c>
      <c r="P267" s="1105">
        <f t="shared" si="24"/>
        <v>48000</v>
      </c>
    </row>
    <row r="268" spans="1:16" s="1154" customFormat="1" ht="24">
      <c r="A268" s="1098" t="s">
        <v>506</v>
      </c>
      <c r="B268" s="1099" t="s">
        <v>505</v>
      </c>
      <c r="C268" s="1099" t="s">
        <v>504</v>
      </c>
      <c r="D268" s="1100" t="s">
        <v>982</v>
      </c>
      <c r="E268" s="1101">
        <v>8000</v>
      </c>
      <c r="F268" s="1099" t="s">
        <v>980</v>
      </c>
      <c r="G268" s="1100" t="s">
        <v>979</v>
      </c>
      <c r="H268" s="1112" t="s">
        <v>508</v>
      </c>
      <c r="I268" s="1100" t="s">
        <v>507</v>
      </c>
      <c r="J268" s="1099"/>
      <c r="K268" s="1103" t="s">
        <v>664</v>
      </c>
      <c r="L268" s="1103" t="s">
        <v>562</v>
      </c>
      <c r="M268" s="1104">
        <f>+E268/30*9+E268*4</f>
        <v>34400</v>
      </c>
      <c r="N268" s="1099">
        <v>0</v>
      </c>
      <c r="O268" s="1099">
        <v>0</v>
      </c>
      <c r="P268" s="1105">
        <f t="shared" si="24"/>
        <v>0</v>
      </c>
    </row>
    <row r="269" spans="1:16" s="1154" customFormat="1" ht="24">
      <c r="A269" s="1098" t="s">
        <v>506</v>
      </c>
      <c r="B269" s="1099" t="s">
        <v>505</v>
      </c>
      <c r="C269" s="1099" t="s">
        <v>504</v>
      </c>
      <c r="D269" s="1100" t="s">
        <v>981</v>
      </c>
      <c r="E269" s="1101">
        <v>10000</v>
      </c>
      <c r="F269" s="1099" t="s">
        <v>980</v>
      </c>
      <c r="G269" s="1100" t="s">
        <v>979</v>
      </c>
      <c r="H269" s="1112" t="s">
        <v>508</v>
      </c>
      <c r="I269" s="1100" t="s">
        <v>507</v>
      </c>
      <c r="J269" s="1099"/>
      <c r="K269" s="1103" t="s">
        <v>563</v>
      </c>
      <c r="L269" s="1103" t="s">
        <v>828</v>
      </c>
      <c r="M269" s="1104">
        <f>+E269/30*21+E269*7</f>
        <v>77000</v>
      </c>
      <c r="N269" s="1099">
        <v>3</v>
      </c>
      <c r="O269" s="1099">
        <v>6</v>
      </c>
      <c r="P269" s="1105">
        <f t="shared" si="24"/>
        <v>60000</v>
      </c>
    </row>
    <row r="270" spans="1:16" s="1154" customFormat="1" ht="24">
      <c r="A270" s="1098" t="s">
        <v>506</v>
      </c>
      <c r="B270" s="1099" t="s">
        <v>505</v>
      </c>
      <c r="C270" s="1099" t="s">
        <v>504</v>
      </c>
      <c r="D270" s="1100" t="s">
        <v>576</v>
      </c>
      <c r="E270" s="1101">
        <v>2500</v>
      </c>
      <c r="F270" s="1099" t="s">
        <v>978</v>
      </c>
      <c r="G270" s="1100" t="s">
        <v>977</v>
      </c>
      <c r="H270" s="1099" t="s">
        <v>647</v>
      </c>
      <c r="I270" s="1102" t="s">
        <v>547</v>
      </c>
      <c r="J270" s="1099"/>
      <c r="K270" s="1103" t="s">
        <v>498</v>
      </c>
      <c r="L270" s="1103" t="s">
        <v>497</v>
      </c>
      <c r="M270" s="1104">
        <f>E270*L270</f>
        <v>30000</v>
      </c>
      <c r="N270" s="1099">
        <v>3</v>
      </c>
      <c r="O270" s="1099">
        <v>6</v>
      </c>
      <c r="P270" s="1105">
        <f t="shared" si="24"/>
        <v>15000</v>
      </c>
    </row>
    <row r="271" spans="1:16" s="1154" customFormat="1" ht="24">
      <c r="A271" s="1098" t="s">
        <v>506</v>
      </c>
      <c r="B271" s="1099" t="s">
        <v>505</v>
      </c>
      <c r="C271" s="1099" t="s">
        <v>504</v>
      </c>
      <c r="D271" s="1102" t="s">
        <v>812</v>
      </c>
      <c r="E271" s="1101">
        <v>9000</v>
      </c>
      <c r="F271" s="1099" t="s">
        <v>976</v>
      </c>
      <c r="G271" s="1100" t="s">
        <v>975</v>
      </c>
      <c r="H271" s="1099" t="s">
        <v>515</v>
      </c>
      <c r="I271" s="1100" t="s">
        <v>507</v>
      </c>
      <c r="J271" s="1099"/>
      <c r="K271" s="1103" t="s">
        <v>563</v>
      </c>
      <c r="L271" s="1103" t="s">
        <v>687</v>
      </c>
      <c r="M271" s="1104">
        <f>+E271/30*19+E271*6</f>
        <v>59700</v>
      </c>
      <c r="N271" s="1099">
        <v>3</v>
      </c>
      <c r="O271" s="1099">
        <v>6</v>
      </c>
      <c r="P271" s="1105">
        <f t="shared" si="24"/>
        <v>54000</v>
      </c>
    </row>
    <row r="272" spans="1:16" s="1154" customFormat="1" ht="24">
      <c r="A272" s="1098" t="s">
        <v>506</v>
      </c>
      <c r="B272" s="1099" t="s">
        <v>505</v>
      </c>
      <c r="C272" s="1099" t="s">
        <v>504</v>
      </c>
      <c r="D272" s="1100" t="s">
        <v>894</v>
      </c>
      <c r="E272" s="1101">
        <v>3600</v>
      </c>
      <c r="F272" s="1122" t="s">
        <v>974</v>
      </c>
      <c r="G272" s="1100" t="s">
        <v>973</v>
      </c>
      <c r="H272" s="1099" t="s">
        <v>972</v>
      </c>
      <c r="I272" s="1100"/>
      <c r="J272" s="1099"/>
      <c r="K272" s="1103">
        <v>1</v>
      </c>
      <c r="L272" s="1103">
        <v>12</v>
      </c>
      <c r="M272" s="1104">
        <f t="shared" ref="M272:M279" si="26">E272*L272</f>
        <v>43200</v>
      </c>
      <c r="N272" s="1099">
        <v>1</v>
      </c>
      <c r="O272" s="1099">
        <v>2</v>
      </c>
      <c r="P272" s="1105">
        <f t="shared" si="24"/>
        <v>7200</v>
      </c>
    </row>
    <row r="273" spans="1:16" s="1154" customFormat="1" ht="48">
      <c r="A273" s="1098" t="s">
        <v>506</v>
      </c>
      <c r="B273" s="1099" t="s">
        <v>505</v>
      </c>
      <c r="C273" s="1099" t="s">
        <v>504</v>
      </c>
      <c r="D273" s="1119" t="s">
        <v>971</v>
      </c>
      <c r="E273" s="1101">
        <v>3500</v>
      </c>
      <c r="F273" s="1120" t="s">
        <v>970</v>
      </c>
      <c r="G273" s="1114" t="s">
        <v>969</v>
      </c>
      <c r="H273" s="1113"/>
      <c r="I273" s="1114"/>
      <c r="J273" s="1113"/>
      <c r="K273" s="1103">
        <v>2</v>
      </c>
      <c r="L273" s="1103">
        <v>8</v>
      </c>
      <c r="M273" s="1104">
        <f t="shared" si="26"/>
        <v>28000</v>
      </c>
      <c r="N273" s="1113">
        <v>0</v>
      </c>
      <c r="O273" s="1113">
        <v>0</v>
      </c>
      <c r="P273" s="1116">
        <f t="shared" si="24"/>
        <v>0</v>
      </c>
    </row>
    <row r="274" spans="1:16" s="1154" customFormat="1" ht="24">
      <c r="A274" s="1098" t="s">
        <v>506</v>
      </c>
      <c r="B274" s="1099" t="s">
        <v>505</v>
      </c>
      <c r="C274" s="1099" t="s">
        <v>504</v>
      </c>
      <c r="D274" s="1100" t="s">
        <v>604</v>
      </c>
      <c r="E274" s="1101">
        <v>3000</v>
      </c>
      <c r="F274" s="1099" t="s">
        <v>968</v>
      </c>
      <c r="G274" s="1100" t="s">
        <v>967</v>
      </c>
      <c r="H274" s="1099" t="s">
        <v>500</v>
      </c>
      <c r="I274" s="1100" t="s">
        <v>499</v>
      </c>
      <c r="J274" s="1099"/>
      <c r="K274" s="1103" t="s">
        <v>498</v>
      </c>
      <c r="L274" s="1103" t="s">
        <v>497</v>
      </c>
      <c r="M274" s="1104">
        <f t="shared" si="26"/>
        <v>36000</v>
      </c>
      <c r="N274" s="1099">
        <v>3</v>
      </c>
      <c r="O274" s="1099">
        <v>6</v>
      </c>
      <c r="P274" s="1105">
        <f t="shared" si="24"/>
        <v>18000</v>
      </c>
    </row>
    <row r="275" spans="1:16" s="1154" customFormat="1" ht="36">
      <c r="A275" s="1098" t="s">
        <v>506</v>
      </c>
      <c r="B275" s="1099" t="s">
        <v>505</v>
      </c>
      <c r="C275" s="1099" t="s">
        <v>504</v>
      </c>
      <c r="D275" s="1102" t="s">
        <v>966</v>
      </c>
      <c r="E275" s="1101">
        <v>3200</v>
      </c>
      <c r="F275" s="1099" t="s">
        <v>965</v>
      </c>
      <c r="G275" s="1100" t="s">
        <v>964</v>
      </c>
      <c r="H275" s="1099" t="s">
        <v>632</v>
      </c>
      <c r="I275" s="1102" t="s">
        <v>507</v>
      </c>
      <c r="J275" s="1099"/>
      <c r="K275" s="1103" t="s">
        <v>563</v>
      </c>
      <c r="L275" s="1103" t="s">
        <v>822</v>
      </c>
      <c r="M275" s="1104">
        <f t="shared" si="26"/>
        <v>16000</v>
      </c>
      <c r="N275" s="1099">
        <v>3</v>
      </c>
      <c r="O275" s="1099">
        <v>6</v>
      </c>
      <c r="P275" s="1105">
        <f t="shared" si="24"/>
        <v>19200</v>
      </c>
    </row>
    <row r="276" spans="1:16" s="1154" customFormat="1" ht="24">
      <c r="A276" s="1098" t="s">
        <v>506</v>
      </c>
      <c r="B276" s="1099" t="s">
        <v>505</v>
      </c>
      <c r="C276" s="1099" t="s">
        <v>504</v>
      </c>
      <c r="D276" s="1119" t="s">
        <v>963</v>
      </c>
      <c r="E276" s="1101">
        <v>4500</v>
      </c>
      <c r="F276" s="1120" t="s">
        <v>962</v>
      </c>
      <c r="G276" s="1114" t="s">
        <v>961</v>
      </c>
      <c r="H276" s="1113"/>
      <c r="I276" s="1114"/>
      <c r="J276" s="1121"/>
      <c r="K276" s="1103">
        <v>1</v>
      </c>
      <c r="L276" s="1103">
        <v>3</v>
      </c>
      <c r="M276" s="1104">
        <f t="shared" si="26"/>
        <v>13500</v>
      </c>
      <c r="N276" s="1113">
        <v>0</v>
      </c>
      <c r="O276" s="1113">
        <v>0</v>
      </c>
      <c r="P276" s="1116">
        <f t="shared" si="24"/>
        <v>0</v>
      </c>
    </row>
    <row r="277" spans="1:16" s="1154" customFormat="1" ht="24">
      <c r="A277" s="1098" t="s">
        <v>506</v>
      </c>
      <c r="B277" s="1099" t="s">
        <v>505</v>
      </c>
      <c r="C277" s="1099" t="s">
        <v>504</v>
      </c>
      <c r="D277" s="1100" t="s">
        <v>960</v>
      </c>
      <c r="E277" s="1101">
        <v>5000</v>
      </c>
      <c r="F277" s="1122" t="s">
        <v>959</v>
      </c>
      <c r="G277" s="1100" t="s">
        <v>958</v>
      </c>
      <c r="H277" s="1099" t="s">
        <v>957</v>
      </c>
      <c r="I277" s="1100"/>
      <c r="J277" s="1099"/>
      <c r="K277" s="1103">
        <v>1</v>
      </c>
      <c r="L277" s="1103">
        <v>12</v>
      </c>
      <c r="M277" s="1104">
        <f t="shared" si="26"/>
        <v>60000</v>
      </c>
      <c r="N277" s="1099">
        <v>1</v>
      </c>
      <c r="O277" s="1099">
        <v>6</v>
      </c>
      <c r="P277" s="1105">
        <f t="shared" si="24"/>
        <v>30000</v>
      </c>
    </row>
    <row r="278" spans="1:16" s="1154" customFormat="1" ht="24">
      <c r="A278" s="1098" t="s">
        <v>506</v>
      </c>
      <c r="B278" s="1099" t="s">
        <v>505</v>
      </c>
      <c r="C278" s="1099" t="s">
        <v>504</v>
      </c>
      <c r="D278" s="1102" t="s">
        <v>659</v>
      </c>
      <c r="E278" s="1101">
        <v>3600</v>
      </c>
      <c r="F278" s="1099" t="s">
        <v>955</v>
      </c>
      <c r="G278" s="1100" t="s">
        <v>954</v>
      </c>
      <c r="H278" s="1099" t="s">
        <v>632</v>
      </c>
      <c r="I278" s="1102" t="s">
        <v>507</v>
      </c>
      <c r="J278" s="1099"/>
      <c r="K278" s="1103" t="s">
        <v>563</v>
      </c>
      <c r="L278" s="1103" t="s">
        <v>687</v>
      </c>
      <c r="M278" s="1104">
        <f t="shared" si="26"/>
        <v>21600</v>
      </c>
      <c r="N278" s="1099">
        <v>0</v>
      </c>
      <c r="O278" s="1099">
        <v>0</v>
      </c>
      <c r="P278" s="1105">
        <f t="shared" si="24"/>
        <v>0</v>
      </c>
    </row>
    <row r="279" spans="1:16" s="1154" customFormat="1" ht="24">
      <c r="A279" s="1098" t="s">
        <v>506</v>
      </c>
      <c r="B279" s="1099" t="s">
        <v>505</v>
      </c>
      <c r="C279" s="1099" t="s">
        <v>504</v>
      </c>
      <c r="D279" s="1100" t="s">
        <v>956</v>
      </c>
      <c r="E279" s="1101">
        <v>6200</v>
      </c>
      <c r="F279" s="1099" t="s">
        <v>955</v>
      </c>
      <c r="G279" s="1100" t="s">
        <v>954</v>
      </c>
      <c r="H279" s="1099" t="s">
        <v>632</v>
      </c>
      <c r="I279" s="1102" t="s">
        <v>507</v>
      </c>
      <c r="J279" s="1099"/>
      <c r="K279" s="1103" t="s">
        <v>563</v>
      </c>
      <c r="L279" s="1103" t="s">
        <v>687</v>
      </c>
      <c r="M279" s="1104">
        <f t="shared" si="26"/>
        <v>37200</v>
      </c>
      <c r="N279" s="1099">
        <v>3</v>
      </c>
      <c r="O279" s="1099">
        <v>6</v>
      </c>
      <c r="P279" s="1105">
        <f t="shared" si="24"/>
        <v>37200</v>
      </c>
    </row>
    <row r="280" spans="1:16" s="1154" customFormat="1" ht="36">
      <c r="A280" s="1098" t="s">
        <v>506</v>
      </c>
      <c r="B280" s="1099" t="s">
        <v>505</v>
      </c>
      <c r="C280" s="1099" t="s">
        <v>504</v>
      </c>
      <c r="D280" s="1119" t="s">
        <v>953</v>
      </c>
      <c r="E280" s="1101">
        <v>12000</v>
      </c>
      <c r="F280" s="1120" t="s">
        <v>952</v>
      </c>
      <c r="G280" s="1114" t="s">
        <v>951</v>
      </c>
      <c r="H280" s="1113"/>
      <c r="I280" s="1114"/>
      <c r="J280" s="1113"/>
      <c r="K280" s="1103">
        <v>1</v>
      </c>
      <c r="L280" s="1103">
        <v>8</v>
      </c>
      <c r="M280" s="1115">
        <f>E280/30*6+E280*8</f>
        <v>98400</v>
      </c>
      <c r="N280" s="1113">
        <v>0</v>
      </c>
      <c r="O280" s="1113">
        <v>0</v>
      </c>
      <c r="P280" s="1116">
        <f t="shared" si="24"/>
        <v>0</v>
      </c>
    </row>
    <row r="281" spans="1:16" s="1154" customFormat="1" ht="24">
      <c r="A281" s="1098" t="s">
        <v>506</v>
      </c>
      <c r="B281" s="1099" t="s">
        <v>505</v>
      </c>
      <c r="C281" s="1099" t="s">
        <v>504</v>
      </c>
      <c r="D281" s="1100" t="s">
        <v>950</v>
      </c>
      <c r="E281" s="1101">
        <v>7000</v>
      </c>
      <c r="F281" s="1099" t="s">
        <v>949</v>
      </c>
      <c r="G281" s="1100" t="s">
        <v>948</v>
      </c>
      <c r="H281" s="1099" t="s">
        <v>845</v>
      </c>
      <c r="I281" s="1100" t="s">
        <v>507</v>
      </c>
      <c r="J281" s="1099"/>
      <c r="K281" s="1103" t="s">
        <v>498</v>
      </c>
      <c r="L281" s="1103" t="s">
        <v>497</v>
      </c>
      <c r="M281" s="1104">
        <f t="shared" ref="M281:M289" si="27">E281*L281</f>
        <v>84000</v>
      </c>
      <c r="N281" s="1099">
        <v>3</v>
      </c>
      <c r="O281" s="1099">
        <v>6</v>
      </c>
      <c r="P281" s="1105">
        <f t="shared" si="24"/>
        <v>42000</v>
      </c>
    </row>
    <row r="282" spans="1:16" s="1154" customFormat="1" ht="36">
      <c r="A282" s="1098" t="s">
        <v>506</v>
      </c>
      <c r="B282" s="1099" t="s">
        <v>505</v>
      </c>
      <c r="C282" s="1099" t="s">
        <v>504</v>
      </c>
      <c r="D282" s="1100" t="s">
        <v>947</v>
      </c>
      <c r="E282" s="1101">
        <v>5000</v>
      </c>
      <c r="F282" s="1099" t="s">
        <v>946</v>
      </c>
      <c r="G282" s="1100" t="s">
        <v>945</v>
      </c>
      <c r="H282" s="1099" t="s">
        <v>944</v>
      </c>
      <c r="I282" s="1102" t="s">
        <v>507</v>
      </c>
      <c r="J282" s="1099"/>
      <c r="K282" s="1103" t="s">
        <v>498</v>
      </c>
      <c r="L282" s="1103" t="s">
        <v>497</v>
      </c>
      <c r="M282" s="1104">
        <f t="shared" si="27"/>
        <v>60000</v>
      </c>
      <c r="N282" s="1099">
        <v>3</v>
      </c>
      <c r="O282" s="1099">
        <v>6</v>
      </c>
      <c r="P282" s="1105">
        <f t="shared" si="24"/>
        <v>30000</v>
      </c>
    </row>
    <row r="283" spans="1:16" s="1154" customFormat="1" ht="24">
      <c r="A283" s="1098" t="s">
        <v>506</v>
      </c>
      <c r="B283" s="1099" t="s">
        <v>505</v>
      </c>
      <c r="C283" s="1099" t="s">
        <v>504</v>
      </c>
      <c r="D283" s="1100" t="s">
        <v>943</v>
      </c>
      <c r="E283" s="1117">
        <v>11000</v>
      </c>
      <c r="F283" s="1099" t="s">
        <v>942</v>
      </c>
      <c r="G283" s="1100" t="s">
        <v>941</v>
      </c>
      <c r="H283" s="1099" t="s">
        <v>534</v>
      </c>
      <c r="I283" s="1100" t="s">
        <v>507</v>
      </c>
      <c r="J283" s="1099"/>
      <c r="K283" s="1103" t="s">
        <v>498</v>
      </c>
      <c r="L283" s="1103" t="s">
        <v>497</v>
      </c>
      <c r="M283" s="1104">
        <f t="shared" si="27"/>
        <v>132000</v>
      </c>
      <c r="N283" s="1099">
        <v>3</v>
      </c>
      <c r="O283" s="1099">
        <v>6</v>
      </c>
      <c r="P283" s="1105">
        <f t="shared" si="24"/>
        <v>66000</v>
      </c>
    </row>
    <row r="284" spans="1:16" s="1154" customFormat="1" ht="24">
      <c r="A284" s="1098" t="s">
        <v>506</v>
      </c>
      <c r="B284" s="1099" t="s">
        <v>505</v>
      </c>
      <c r="C284" s="1099" t="s">
        <v>504</v>
      </c>
      <c r="D284" s="1100" t="s">
        <v>938</v>
      </c>
      <c r="E284" s="1101">
        <v>4500</v>
      </c>
      <c r="F284" s="1099" t="s">
        <v>940</v>
      </c>
      <c r="G284" s="1100" t="s">
        <v>939</v>
      </c>
      <c r="H284" s="1099" t="s">
        <v>938</v>
      </c>
      <c r="I284" s="1100" t="s">
        <v>499</v>
      </c>
      <c r="J284" s="1099"/>
      <c r="K284" s="1103" t="s">
        <v>498</v>
      </c>
      <c r="L284" s="1103" t="s">
        <v>497</v>
      </c>
      <c r="M284" s="1104">
        <f t="shared" si="27"/>
        <v>54000</v>
      </c>
      <c r="N284" s="1099">
        <v>3</v>
      </c>
      <c r="O284" s="1099">
        <v>6</v>
      </c>
      <c r="P284" s="1105">
        <f t="shared" si="24"/>
        <v>27000</v>
      </c>
    </row>
    <row r="285" spans="1:16" s="1154" customFormat="1" ht="24">
      <c r="A285" s="1098" t="s">
        <v>506</v>
      </c>
      <c r="B285" s="1099" t="s">
        <v>505</v>
      </c>
      <c r="C285" s="1099" t="s">
        <v>504</v>
      </c>
      <c r="D285" s="1100" t="s">
        <v>937</v>
      </c>
      <c r="E285" s="1101">
        <v>8000</v>
      </c>
      <c r="F285" s="1099" t="s">
        <v>936</v>
      </c>
      <c r="G285" s="1100" t="s">
        <v>935</v>
      </c>
      <c r="H285" s="1099" t="s">
        <v>543</v>
      </c>
      <c r="I285" s="1100" t="s">
        <v>507</v>
      </c>
      <c r="J285" s="1099"/>
      <c r="K285" s="1103" t="s">
        <v>498</v>
      </c>
      <c r="L285" s="1103" t="s">
        <v>497</v>
      </c>
      <c r="M285" s="1104">
        <f t="shared" si="27"/>
        <v>96000</v>
      </c>
      <c r="N285" s="1099">
        <v>3</v>
      </c>
      <c r="O285" s="1099">
        <v>6</v>
      </c>
      <c r="P285" s="1105">
        <f t="shared" si="24"/>
        <v>48000</v>
      </c>
    </row>
    <row r="286" spans="1:16" s="1154" customFormat="1" ht="24">
      <c r="A286" s="1098" t="s">
        <v>506</v>
      </c>
      <c r="B286" s="1099" t="s">
        <v>505</v>
      </c>
      <c r="C286" s="1099" t="s">
        <v>504</v>
      </c>
      <c r="D286" s="1100" t="s">
        <v>934</v>
      </c>
      <c r="E286" s="1101">
        <v>6000</v>
      </c>
      <c r="F286" s="1099" t="s">
        <v>933</v>
      </c>
      <c r="G286" s="1100" t="s">
        <v>932</v>
      </c>
      <c r="H286" s="1099" t="s">
        <v>519</v>
      </c>
      <c r="I286" s="1100" t="s">
        <v>507</v>
      </c>
      <c r="J286" s="1099"/>
      <c r="K286" s="1103" t="s">
        <v>498</v>
      </c>
      <c r="L286" s="1103" t="s">
        <v>497</v>
      </c>
      <c r="M286" s="1104">
        <f t="shared" si="27"/>
        <v>72000</v>
      </c>
      <c r="N286" s="1099">
        <v>3</v>
      </c>
      <c r="O286" s="1099">
        <v>6</v>
      </c>
      <c r="P286" s="1105">
        <f t="shared" si="24"/>
        <v>36000</v>
      </c>
    </row>
    <row r="287" spans="1:16" s="1154" customFormat="1" ht="36">
      <c r="A287" s="1098" t="s">
        <v>506</v>
      </c>
      <c r="B287" s="1099" t="s">
        <v>505</v>
      </c>
      <c r="C287" s="1099" t="s">
        <v>504</v>
      </c>
      <c r="D287" s="1100" t="s">
        <v>931</v>
      </c>
      <c r="E287" s="1101">
        <v>6500</v>
      </c>
      <c r="F287" s="1122" t="s">
        <v>930</v>
      </c>
      <c r="G287" s="1100" t="s">
        <v>929</v>
      </c>
      <c r="H287" s="1099" t="s">
        <v>928</v>
      </c>
      <c r="I287" s="1100" t="s">
        <v>507</v>
      </c>
      <c r="J287" s="1099"/>
      <c r="K287" s="1103">
        <v>1</v>
      </c>
      <c r="L287" s="1103">
        <v>12</v>
      </c>
      <c r="M287" s="1104">
        <f t="shared" si="27"/>
        <v>78000</v>
      </c>
      <c r="N287" s="1099">
        <v>1</v>
      </c>
      <c r="O287" s="1099">
        <v>0</v>
      </c>
      <c r="P287" s="1105">
        <f>E287/30*15</f>
        <v>3250</v>
      </c>
    </row>
    <row r="288" spans="1:16" s="1154" customFormat="1" ht="24">
      <c r="A288" s="1098" t="s">
        <v>506</v>
      </c>
      <c r="B288" s="1099" t="s">
        <v>505</v>
      </c>
      <c r="C288" s="1099" t="s">
        <v>504</v>
      </c>
      <c r="D288" s="1102" t="s">
        <v>546</v>
      </c>
      <c r="E288" s="1101">
        <v>15000</v>
      </c>
      <c r="F288" s="1122" t="s">
        <v>927</v>
      </c>
      <c r="G288" s="1100" t="s">
        <v>926</v>
      </c>
      <c r="H288" s="1112" t="s">
        <v>925</v>
      </c>
      <c r="I288" s="1102"/>
      <c r="J288" s="1099"/>
      <c r="K288" s="1103">
        <v>1</v>
      </c>
      <c r="L288" s="1103">
        <v>12</v>
      </c>
      <c r="M288" s="1104">
        <f t="shared" si="27"/>
        <v>180000</v>
      </c>
      <c r="N288" s="1099">
        <v>1</v>
      </c>
      <c r="O288" s="1099">
        <v>6</v>
      </c>
      <c r="P288" s="1105">
        <f t="shared" ref="P288:P305" si="28">E288*O288</f>
        <v>90000</v>
      </c>
    </row>
    <row r="289" spans="1:16" s="1154" customFormat="1" ht="24">
      <c r="A289" s="1098" t="s">
        <v>506</v>
      </c>
      <c r="B289" s="1099" t="s">
        <v>505</v>
      </c>
      <c r="C289" s="1099" t="s">
        <v>504</v>
      </c>
      <c r="D289" s="1100" t="s">
        <v>546</v>
      </c>
      <c r="E289" s="1101">
        <v>15000</v>
      </c>
      <c r="F289" s="1099" t="s">
        <v>924</v>
      </c>
      <c r="G289" s="1100" t="s">
        <v>923</v>
      </c>
      <c r="H289" s="1099" t="s">
        <v>530</v>
      </c>
      <c r="I289" s="1100" t="s">
        <v>507</v>
      </c>
      <c r="J289" s="1099"/>
      <c r="K289" s="1103" t="s">
        <v>498</v>
      </c>
      <c r="L289" s="1103" t="s">
        <v>497</v>
      </c>
      <c r="M289" s="1104">
        <f t="shared" si="27"/>
        <v>180000</v>
      </c>
      <c r="N289" s="1099">
        <v>3</v>
      </c>
      <c r="O289" s="1099">
        <v>6</v>
      </c>
      <c r="P289" s="1105">
        <f t="shared" si="28"/>
        <v>90000</v>
      </c>
    </row>
    <row r="290" spans="1:16" s="1154" customFormat="1" ht="36">
      <c r="A290" s="1098" t="s">
        <v>506</v>
      </c>
      <c r="B290" s="1099" t="s">
        <v>505</v>
      </c>
      <c r="C290" s="1099" t="s">
        <v>504</v>
      </c>
      <c r="D290" s="1100" t="s">
        <v>922</v>
      </c>
      <c r="E290" s="1101">
        <v>5800</v>
      </c>
      <c r="F290" s="1099" t="s">
        <v>921</v>
      </c>
      <c r="G290" s="1100" t="s">
        <v>920</v>
      </c>
      <c r="H290" s="1099" t="s">
        <v>543</v>
      </c>
      <c r="I290" s="1100" t="s">
        <v>507</v>
      </c>
      <c r="J290" s="1099"/>
      <c r="K290" s="1103" t="s">
        <v>563</v>
      </c>
      <c r="L290" s="1103" t="s">
        <v>822</v>
      </c>
      <c r="M290" s="1104">
        <f>+E290/30*26+E290*5</f>
        <v>34026.666666666664</v>
      </c>
      <c r="N290" s="1099">
        <v>3</v>
      </c>
      <c r="O290" s="1099">
        <v>6</v>
      </c>
      <c r="P290" s="1105">
        <f t="shared" si="28"/>
        <v>34800</v>
      </c>
    </row>
    <row r="291" spans="1:16" s="1154" customFormat="1" ht="36">
      <c r="A291" s="1098" t="s">
        <v>506</v>
      </c>
      <c r="B291" s="1099" t="s">
        <v>505</v>
      </c>
      <c r="C291" s="1099" t="s">
        <v>504</v>
      </c>
      <c r="D291" s="1102" t="s">
        <v>919</v>
      </c>
      <c r="E291" s="1101">
        <v>7200</v>
      </c>
      <c r="F291" s="1099" t="s">
        <v>918</v>
      </c>
      <c r="G291" s="1100" t="s">
        <v>917</v>
      </c>
      <c r="H291" s="1112" t="s">
        <v>534</v>
      </c>
      <c r="I291" s="1100" t="s">
        <v>507</v>
      </c>
      <c r="J291" s="1099"/>
      <c r="K291" s="1103" t="s">
        <v>563</v>
      </c>
      <c r="L291" s="1103" t="s">
        <v>822</v>
      </c>
      <c r="M291" s="1104">
        <f>+E291/30*11+E291*5</f>
        <v>38640</v>
      </c>
      <c r="N291" s="1099">
        <v>3</v>
      </c>
      <c r="O291" s="1099">
        <v>6</v>
      </c>
      <c r="P291" s="1105">
        <f t="shared" si="28"/>
        <v>43200</v>
      </c>
    </row>
    <row r="292" spans="1:16" s="1154" customFormat="1" ht="24">
      <c r="A292" s="1098" t="s">
        <v>506</v>
      </c>
      <c r="B292" s="1099" t="s">
        <v>505</v>
      </c>
      <c r="C292" s="1099" t="s">
        <v>504</v>
      </c>
      <c r="D292" s="1102" t="s">
        <v>503</v>
      </c>
      <c r="E292" s="1101">
        <v>4000</v>
      </c>
      <c r="F292" s="1099" t="s">
        <v>916</v>
      </c>
      <c r="G292" s="1100" t="s">
        <v>915</v>
      </c>
      <c r="H292" s="1099" t="s">
        <v>543</v>
      </c>
      <c r="I292" s="1100" t="s">
        <v>507</v>
      </c>
      <c r="J292" s="1099"/>
      <c r="K292" s="1103" t="s">
        <v>498</v>
      </c>
      <c r="L292" s="1103" t="s">
        <v>497</v>
      </c>
      <c r="M292" s="1104">
        <f>E292*L292</f>
        <v>48000</v>
      </c>
      <c r="N292" s="1099">
        <v>3</v>
      </c>
      <c r="O292" s="1099">
        <v>6</v>
      </c>
      <c r="P292" s="1105">
        <f t="shared" si="28"/>
        <v>24000</v>
      </c>
    </row>
    <row r="293" spans="1:16" s="1154" customFormat="1" ht="24">
      <c r="A293" s="1098" t="s">
        <v>506</v>
      </c>
      <c r="B293" s="1099" t="s">
        <v>505</v>
      </c>
      <c r="C293" s="1099" t="s">
        <v>504</v>
      </c>
      <c r="D293" s="1102" t="s">
        <v>914</v>
      </c>
      <c r="E293" s="1101">
        <v>6000</v>
      </c>
      <c r="F293" s="1099" t="s">
        <v>913</v>
      </c>
      <c r="G293" s="1100" t="s">
        <v>912</v>
      </c>
      <c r="H293" s="1112" t="s">
        <v>508</v>
      </c>
      <c r="I293" s="1100" t="s">
        <v>507</v>
      </c>
      <c r="J293" s="1099"/>
      <c r="K293" s="1103" t="s">
        <v>563</v>
      </c>
      <c r="L293" s="1103" t="s">
        <v>687</v>
      </c>
      <c r="M293" s="1104">
        <f>+E293/30*11+E293*6</f>
        <v>38200</v>
      </c>
      <c r="N293" s="1099">
        <v>3</v>
      </c>
      <c r="O293" s="1099">
        <v>6</v>
      </c>
      <c r="P293" s="1105">
        <f t="shared" si="28"/>
        <v>36000</v>
      </c>
    </row>
    <row r="294" spans="1:16" s="1154" customFormat="1" ht="48">
      <c r="A294" s="1098" t="s">
        <v>506</v>
      </c>
      <c r="B294" s="1099" t="s">
        <v>505</v>
      </c>
      <c r="C294" s="1099" t="s">
        <v>504</v>
      </c>
      <c r="D294" s="1102" t="s">
        <v>911</v>
      </c>
      <c r="E294" s="1101">
        <v>3200</v>
      </c>
      <c r="F294" s="1099" t="s">
        <v>910</v>
      </c>
      <c r="G294" s="1100" t="s">
        <v>909</v>
      </c>
      <c r="H294" s="1112" t="s">
        <v>908</v>
      </c>
      <c r="I294" s="1102" t="s">
        <v>507</v>
      </c>
      <c r="J294" s="1099"/>
      <c r="K294" s="1103" t="s">
        <v>563</v>
      </c>
      <c r="L294" s="1103" t="s">
        <v>687</v>
      </c>
      <c r="M294" s="1104">
        <f>E294*L294</f>
        <v>19200</v>
      </c>
      <c r="N294" s="1099">
        <v>3</v>
      </c>
      <c r="O294" s="1099">
        <v>6</v>
      </c>
      <c r="P294" s="1105">
        <f t="shared" si="28"/>
        <v>19200</v>
      </c>
    </row>
    <row r="295" spans="1:16" s="1154" customFormat="1" ht="24">
      <c r="A295" s="1098" t="s">
        <v>506</v>
      </c>
      <c r="B295" s="1099" t="s">
        <v>505</v>
      </c>
      <c r="C295" s="1099" t="s">
        <v>504</v>
      </c>
      <c r="D295" s="1100" t="s">
        <v>907</v>
      </c>
      <c r="E295" s="1101">
        <v>4000</v>
      </c>
      <c r="F295" s="1099" t="s">
        <v>906</v>
      </c>
      <c r="G295" s="1100" t="s">
        <v>905</v>
      </c>
      <c r="H295" s="1099" t="s">
        <v>534</v>
      </c>
      <c r="I295" s="1102" t="s">
        <v>507</v>
      </c>
      <c r="J295" s="1099"/>
      <c r="K295" s="1103" t="s">
        <v>498</v>
      </c>
      <c r="L295" s="1103" t="s">
        <v>497</v>
      </c>
      <c r="M295" s="1104">
        <f>E295*L295</f>
        <v>48000</v>
      </c>
      <c r="N295" s="1099">
        <v>3</v>
      </c>
      <c r="O295" s="1099">
        <v>6</v>
      </c>
      <c r="P295" s="1105">
        <f t="shared" si="28"/>
        <v>24000</v>
      </c>
    </row>
    <row r="296" spans="1:16" s="1154" customFormat="1" ht="24">
      <c r="A296" s="1098" t="s">
        <v>506</v>
      </c>
      <c r="B296" s="1099" t="s">
        <v>505</v>
      </c>
      <c r="C296" s="1099" t="s">
        <v>504</v>
      </c>
      <c r="D296" s="1100" t="s">
        <v>604</v>
      </c>
      <c r="E296" s="1101">
        <v>5000</v>
      </c>
      <c r="F296" s="1099" t="s">
        <v>904</v>
      </c>
      <c r="G296" s="1100" t="s">
        <v>903</v>
      </c>
      <c r="H296" s="1099" t="s">
        <v>500</v>
      </c>
      <c r="I296" s="1100" t="s">
        <v>499</v>
      </c>
      <c r="J296" s="1099"/>
      <c r="K296" s="1103" t="s">
        <v>498</v>
      </c>
      <c r="L296" s="1103" t="s">
        <v>497</v>
      </c>
      <c r="M296" s="1104">
        <f>E296*L296</f>
        <v>60000</v>
      </c>
      <c r="N296" s="1099">
        <v>3</v>
      </c>
      <c r="O296" s="1099">
        <v>6</v>
      </c>
      <c r="P296" s="1105">
        <f t="shared" si="28"/>
        <v>30000</v>
      </c>
    </row>
    <row r="297" spans="1:16" s="1154" customFormat="1" ht="36">
      <c r="A297" s="1098" t="s">
        <v>506</v>
      </c>
      <c r="B297" s="1099" t="s">
        <v>505</v>
      </c>
      <c r="C297" s="1099" t="s">
        <v>504</v>
      </c>
      <c r="D297" s="1100" t="s">
        <v>902</v>
      </c>
      <c r="E297" s="1101">
        <v>8000</v>
      </c>
      <c r="F297" s="1099" t="s">
        <v>900</v>
      </c>
      <c r="G297" s="1100" t="s">
        <v>899</v>
      </c>
      <c r="H297" s="1099" t="s">
        <v>515</v>
      </c>
      <c r="I297" s="1100" t="s">
        <v>507</v>
      </c>
      <c r="J297" s="1099"/>
      <c r="K297" s="1103" t="s">
        <v>664</v>
      </c>
      <c r="L297" s="1103" t="s">
        <v>664</v>
      </c>
      <c r="M297" s="1104">
        <f>+E297/30*17+E297*1</f>
        <v>12533.333333333334</v>
      </c>
      <c r="N297" s="1099">
        <v>0</v>
      </c>
      <c r="O297" s="1099">
        <v>0</v>
      </c>
      <c r="P297" s="1105">
        <f t="shared" si="28"/>
        <v>0</v>
      </c>
    </row>
    <row r="298" spans="1:16" s="1154" customFormat="1" ht="36">
      <c r="A298" s="1098" t="s">
        <v>506</v>
      </c>
      <c r="B298" s="1099" t="s">
        <v>505</v>
      </c>
      <c r="C298" s="1099" t="s">
        <v>504</v>
      </c>
      <c r="D298" s="1100" t="s">
        <v>901</v>
      </c>
      <c r="E298" s="1101">
        <v>9000</v>
      </c>
      <c r="F298" s="1099" t="s">
        <v>900</v>
      </c>
      <c r="G298" s="1100" t="s">
        <v>899</v>
      </c>
      <c r="H298" s="1099" t="s">
        <v>515</v>
      </c>
      <c r="I298" s="1100" t="s">
        <v>507</v>
      </c>
      <c r="J298" s="1099"/>
      <c r="K298" s="1103" t="s">
        <v>498</v>
      </c>
      <c r="L298" s="1103" t="s">
        <v>583</v>
      </c>
      <c r="M298" s="1104">
        <f>+E298/30*12+E298*10</f>
        <v>93600</v>
      </c>
      <c r="N298" s="1099">
        <v>3</v>
      </c>
      <c r="O298" s="1099">
        <v>6</v>
      </c>
      <c r="P298" s="1105">
        <f t="shared" si="28"/>
        <v>54000</v>
      </c>
    </row>
    <row r="299" spans="1:16" s="1154" customFormat="1" ht="48">
      <c r="A299" s="1098" t="s">
        <v>506</v>
      </c>
      <c r="B299" s="1099" t="s">
        <v>505</v>
      </c>
      <c r="C299" s="1099" t="s">
        <v>504</v>
      </c>
      <c r="D299" s="1100" t="s">
        <v>514</v>
      </c>
      <c r="E299" s="1101">
        <v>10000</v>
      </c>
      <c r="F299" s="1099" t="s">
        <v>898</v>
      </c>
      <c r="G299" s="1100" t="s">
        <v>897</v>
      </c>
      <c r="H299" s="1099" t="s">
        <v>515</v>
      </c>
      <c r="I299" s="1100" t="s">
        <v>507</v>
      </c>
      <c r="J299" s="1099"/>
      <c r="K299" s="1103" t="s">
        <v>498</v>
      </c>
      <c r="L299" s="1103" t="s">
        <v>497</v>
      </c>
      <c r="M299" s="1104">
        <f>E299*L299</f>
        <v>120000</v>
      </c>
      <c r="N299" s="1099">
        <v>3</v>
      </c>
      <c r="O299" s="1099">
        <v>6</v>
      </c>
      <c r="P299" s="1105">
        <f t="shared" si="28"/>
        <v>60000</v>
      </c>
    </row>
    <row r="300" spans="1:16" s="1154" customFormat="1" ht="24">
      <c r="A300" s="1098" t="s">
        <v>506</v>
      </c>
      <c r="B300" s="1099" t="s">
        <v>505</v>
      </c>
      <c r="C300" s="1099" t="s">
        <v>504</v>
      </c>
      <c r="D300" s="1100" t="s">
        <v>569</v>
      </c>
      <c r="E300" s="1101">
        <v>6200</v>
      </c>
      <c r="F300" s="1099" t="s">
        <v>896</v>
      </c>
      <c r="G300" s="1100" t="s">
        <v>895</v>
      </c>
      <c r="H300" s="1099" t="s">
        <v>632</v>
      </c>
      <c r="I300" s="1102" t="s">
        <v>507</v>
      </c>
      <c r="J300" s="1099"/>
      <c r="K300" s="1103" t="s">
        <v>498</v>
      </c>
      <c r="L300" s="1103" t="s">
        <v>497</v>
      </c>
      <c r="M300" s="1104">
        <f>E300*L300</f>
        <v>74400</v>
      </c>
      <c r="N300" s="1099">
        <v>3</v>
      </c>
      <c r="O300" s="1099">
        <v>6</v>
      </c>
      <c r="P300" s="1105">
        <f t="shared" si="28"/>
        <v>37200</v>
      </c>
    </row>
    <row r="301" spans="1:16" s="1154" customFormat="1" ht="24">
      <c r="A301" s="1098" t="s">
        <v>506</v>
      </c>
      <c r="B301" s="1099" t="s">
        <v>505</v>
      </c>
      <c r="C301" s="1099" t="s">
        <v>504</v>
      </c>
      <c r="D301" s="1102" t="s">
        <v>894</v>
      </c>
      <c r="E301" s="1101">
        <v>3200</v>
      </c>
      <c r="F301" s="1099" t="s">
        <v>893</v>
      </c>
      <c r="G301" s="1100" t="s">
        <v>892</v>
      </c>
      <c r="H301" s="1112" t="s">
        <v>891</v>
      </c>
      <c r="I301" s="1102" t="s">
        <v>507</v>
      </c>
      <c r="J301" s="1099"/>
      <c r="K301" s="1103" t="s">
        <v>664</v>
      </c>
      <c r="L301" s="1103" t="s">
        <v>664</v>
      </c>
      <c r="M301" s="1104">
        <f>+E301/30*17+E301*1</f>
        <v>5013.3333333333339</v>
      </c>
      <c r="N301" s="1099">
        <v>3</v>
      </c>
      <c r="O301" s="1099">
        <v>6</v>
      </c>
      <c r="P301" s="1105">
        <f t="shared" si="28"/>
        <v>19200</v>
      </c>
    </row>
    <row r="302" spans="1:16" s="1154" customFormat="1" ht="24">
      <c r="A302" s="1098" t="s">
        <v>506</v>
      </c>
      <c r="B302" s="1099" t="s">
        <v>505</v>
      </c>
      <c r="C302" s="1099" t="s">
        <v>504</v>
      </c>
      <c r="D302" s="1100" t="s">
        <v>499</v>
      </c>
      <c r="E302" s="1101">
        <v>2850</v>
      </c>
      <c r="F302" s="1099" t="s">
        <v>890</v>
      </c>
      <c r="G302" s="1100" t="s">
        <v>889</v>
      </c>
      <c r="H302" s="1099" t="s">
        <v>888</v>
      </c>
      <c r="I302" s="1100" t="s">
        <v>499</v>
      </c>
      <c r="J302" s="1099"/>
      <c r="K302" s="1103" t="s">
        <v>498</v>
      </c>
      <c r="L302" s="1103" t="s">
        <v>497</v>
      </c>
      <c r="M302" s="1104">
        <f>E302*L302</f>
        <v>34200</v>
      </c>
      <c r="N302" s="1099">
        <v>3</v>
      </c>
      <c r="O302" s="1099">
        <v>6</v>
      </c>
      <c r="P302" s="1105">
        <f t="shared" si="28"/>
        <v>17100</v>
      </c>
    </row>
    <row r="303" spans="1:16" s="1154" customFormat="1" ht="24">
      <c r="A303" s="1098" t="s">
        <v>506</v>
      </c>
      <c r="B303" s="1099" t="s">
        <v>505</v>
      </c>
      <c r="C303" s="1099" t="s">
        <v>504</v>
      </c>
      <c r="D303" s="1100" t="s">
        <v>887</v>
      </c>
      <c r="E303" s="1101">
        <v>5000</v>
      </c>
      <c r="F303" s="1099" t="s">
        <v>886</v>
      </c>
      <c r="G303" s="1100" t="s">
        <v>885</v>
      </c>
      <c r="H303" s="1099" t="s">
        <v>884</v>
      </c>
      <c r="I303" s="1102" t="s">
        <v>547</v>
      </c>
      <c r="J303" s="1099"/>
      <c r="K303" s="1103" t="s">
        <v>498</v>
      </c>
      <c r="L303" s="1103" t="s">
        <v>497</v>
      </c>
      <c r="M303" s="1104">
        <f>E303*L303</f>
        <v>60000</v>
      </c>
      <c r="N303" s="1099">
        <v>3</v>
      </c>
      <c r="O303" s="1099">
        <v>6</v>
      </c>
      <c r="P303" s="1105">
        <f t="shared" si="28"/>
        <v>30000</v>
      </c>
    </row>
    <row r="304" spans="1:16" s="1154" customFormat="1" ht="36">
      <c r="A304" s="1098" t="s">
        <v>506</v>
      </c>
      <c r="B304" s="1099" t="s">
        <v>505</v>
      </c>
      <c r="C304" s="1099" t="s">
        <v>504</v>
      </c>
      <c r="D304" s="1102" t="s">
        <v>883</v>
      </c>
      <c r="E304" s="1101">
        <v>6000</v>
      </c>
      <c r="F304" s="1099" t="s">
        <v>882</v>
      </c>
      <c r="G304" s="1100" t="s">
        <v>881</v>
      </c>
      <c r="H304" s="1099" t="s">
        <v>880</v>
      </c>
      <c r="I304" s="1100" t="s">
        <v>499</v>
      </c>
      <c r="J304" s="1099"/>
      <c r="K304" s="1103" t="s">
        <v>563</v>
      </c>
      <c r="L304" s="1103" t="s">
        <v>498</v>
      </c>
      <c r="M304" s="1104">
        <f>+E304/30*18+E304*3</f>
        <v>21600</v>
      </c>
      <c r="N304" s="1099">
        <v>3</v>
      </c>
      <c r="O304" s="1099">
        <v>6</v>
      </c>
      <c r="P304" s="1105">
        <f t="shared" si="28"/>
        <v>36000</v>
      </c>
    </row>
    <row r="305" spans="1:16" s="1154" customFormat="1" ht="24">
      <c r="A305" s="1098" t="s">
        <v>506</v>
      </c>
      <c r="B305" s="1099" t="s">
        <v>505</v>
      </c>
      <c r="C305" s="1099" t="s">
        <v>504</v>
      </c>
      <c r="D305" s="1100" t="s">
        <v>879</v>
      </c>
      <c r="E305" s="1101">
        <v>6000</v>
      </c>
      <c r="F305" s="1099" t="s">
        <v>878</v>
      </c>
      <c r="G305" s="1100" t="s">
        <v>877</v>
      </c>
      <c r="H305" s="1099" t="s">
        <v>876</v>
      </c>
      <c r="I305" s="1100" t="s">
        <v>507</v>
      </c>
      <c r="J305" s="1099"/>
      <c r="K305" s="1103" t="s">
        <v>498</v>
      </c>
      <c r="L305" s="1103" t="s">
        <v>497</v>
      </c>
      <c r="M305" s="1104">
        <f>E305*L305</f>
        <v>72000</v>
      </c>
      <c r="N305" s="1099">
        <v>3</v>
      </c>
      <c r="O305" s="1099">
        <v>6</v>
      </c>
      <c r="P305" s="1105">
        <f t="shared" si="28"/>
        <v>36000</v>
      </c>
    </row>
    <row r="306" spans="1:16" s="1154" customFormat="1" ht="24">
      <c r="A306" s="1098" t="s">
        <v>506</v>
      </c>
      <c r="B306" s="1099" t="s">
        <v>505</v>
      </c>
      <c r="C306" s="1099" t="s">
        <v>504</v>
      </c>
      <c r="D306" s="1119" t="s">
        <v>753</v>
      </c>
      <c r="E306" s="1101">
        <v>9000</v>
      </c>
      <c r="F306" s="1120" t="s">
        <v>875</v>
      </c>
      <c r="G306" s="1114" t="s">
        <v>874</v>
      </c>
      <c r="H306" s="1113"/>
      <c r="I306" s="1114"/>
      <c r="J306" s="1113"/>
      <c r="K306" s="1103">
        <v>1</v>
      </c>
      <c r="L306" s="1103">
        <v>2</v>
      </c>
      <c r="M306" s="1115">
        <f>E306/30*22+E306*2</f>
        <v>24600</v>
      </c>
      <c r="N306" s="1113">
        <v>0</v>
      </c>
      <c r="O306" s="1113">
        <v>0</v>
      </c>
      <c r="P306" s="1116">
        <v>0</v>
      </c>
    </row>
    <row r="307" spans="1:16" s="1154" customFormat="1" ht="24">
      <c r="A307" s="1098" t="s">
        <v>506</v>
      </c>
      <c r="B307" s="1099" t="s">
        <v>505</v>
      </c>
      <c r="C307" s="1099" t="s">
        <v>504</v>
      </c>
      <c r="D307" s="1100" t="s">
        <v>604</v>
      </c>
      <c r="E307" s="1101">
        <v>4500</v>
      </c>
      <c r="F307" s="1099" t="s">
        <v>873</v>
      </c>
      <c r="G307" s="1100" t="s">
        <v>872</v>
      </c>
      <c r="H307" s="1099" t="s">
        <v>500</v>
      </c>
      <c r="I307" s="1100" t="s">
        <v>499</v>
      </c>
      <c r="J307" s="1099"/>
      <c r="K307" s="1103" t="s">
        <v>498</v>
      </c>
      <c r="L307" s="1103" t="s">
        <v>497</v>
      </c>
      <c r="M307" s="1104">
        <f>E307*L307</f>
        <v>54000</v>
      </c>
      <c r="N307" s="1099">
        <v>3</v>
      </c>
      <c r="O307" s="1099">
        <v>6</v>
      </c>
      <c r="P307" s="1105">
        <f>E307*O307</f>
        <v>27000</v>
      </c>
    </row>
    <row r="308" spans="1:16" s="1154" customFormat="1" ht="24">
      <c r="A308" s="1098" t="s">
        <v>506</v>
      </c>
      <c r="B308" s="1099" t="s">
        <v>505</v>
      </c>
      <c r="C308" s="1099" t="s">
        <v>504</v>
      </c>
      <c r="D308" s="1100" t="s">
        <v>569</v>
      </c>
      <c r="E308" s="1101">
        <v>7500</v>
      </c>
      <c r="F308" s="1099" t="s">
        <v>871</v>
      </c>
      <c r="G308" s="1100" t="s">
        <v>870</v>
      </c>
      <c r="H308" s="1099" t="s">
        <v>590</v>
      </c>
      <c r="I308" s="1100" t="s">
        <v>507</v>
      </c>
      <c r="J308" s="1099"/>
      <c r="K308" s="1103" t="s">
        <v>498</v>
      </c>
      <c r="L308" s="1103" t="s">
        <v>497</v>
      </c>
      <c r="M308" s="1104">
        <f>E308*L308</f>
        <v>90000</v>
      </c>
      <c r="N308" s="1099">
        <v>3</v>
      </c>
      <c r="O308" s="1099">
        <v>6</v>
      </c>
      <c r="P308" s="1105">
        <f>E308*O308</f>
        <v>45000</v>
      </c>
    </row>
    <row r="309" spans="1:16" s="1154" customFormat="1" ht="36">
      <c r="A309" s="1098" t="s">
        <v>506</v>
      </c>
      <c r="B309" s="1099" t="s">
        <v>505</v>
      </c>
      <c r="C309" s="1099" t="s">
        <v>504</v>
      </c>
      <c r="D309" s="1102" t="s">
        <v>869</v>
      </c>
      <c r="E309" s="1101">
        <v>6200</v>
      </c>
      <c r="F309" s="1099" t="s">
        <v>868</v>
      </c>
      <c r="G309" s="1100" t="s">
        <v>867</v>
      </c>
      <c r="H309" s="1099" t="s">
        <v>543</v>
      </c>
      <c r="I309" s="1100" t="s">
        <v>507</v>
      </c>
      <c r="J309" s="1099"/>
      <c r="K309" s="1103" t="s">
        <v>563</v>
      </c>
      <c r="L309" s="1103" t="s">
        <v>498</v>
      </c>
      <c r="M309" s="1104">
        <f>+E309/30*28+E309*3</f>
        <v>24386.666666666664</v>
      </c>
      <c r="N309" s="1099">
        <v>3</v>
      </c>
      <c r="O309" s="1099">
        <v>6</v>
      </c>
      <c r="P309" s="1105">
        <f>E309*O309</f>
        <v>37200</v>
      </c>
    </row>
    <row r="310" spans="1:16" s="1154" customFormat="1" ht="48">
      <c r="A310" s="1098" t="s">
        <v>506</v>
      </c>
      <c r="B310" s="1099" t="s">
        <v>505</v>
      </c>
      <c r="C310" s="1099" t="s">
        <v>504</v>
      </c>
      <c r="D310" s="1102" t="s">
        <v>866</v>
      </c>
      <c r="E310" s="1101">
        <v>10000</v>
      </c>
      <c r="F310" s="1099" t="s">
        <v>864</v>
      </c>
      <c r="G310" s="1100" t="s">
        <v>863</v>
      </c>
      <c r="H310" s="1112" t="s">
        <v>530</v>
      </c>
      <c r="I310" s="1102" t="s">
        <v>507</v>
      </c>
      <c r="J310" s="1099"/>
      <c r="K310" s="1103">
        <v>1</v>
      </c>
      <c r="L310" s="1103">
        <v>10</v>
      </c>
      <c r="M310" s="1104">
        <f>E310*L310</f>
        <v>100000</v>
      </c>
      <c r="N310" s="1099">
        <v>0</v>
      </c>
      <c r="O310" s="1099">
        <v>0</v>
      </c>
      <c r="P310" s="1105">
        <f>E310*O310</f>
        <v>0</v>
      </c>
    </row>
    <row r="311" spans="1:16" s="1154" customFormat="1" ht="48">
      <c r="A311" s="1098" t="s">
        <v>506</v>
      </c>
      <c r="B311" s="1099" t="s">
        <v>505</v>
      </c>
      <c r="C311" s="1099" t="s">
        <v>504</v>
      </c>
      <c r="D311" s="1102" t="s">
        <v>865</v>
      </c>
      <c r="E311" s="1101">
        <v>10000</v>
      </c>
      <c r="F311" s="1113" t="s">
        <v>864</v>
      </c>
      <c r="G311" s="1114" t="s">
        <v>863</v>
      </c>
      <c r="H311" s="1113"/>
      <c r="I311" s="1114"/>
      <c r="J311" s="1113"/>
      <c r="K311" s="1103">
        <v>0</v>
      </c>
      <c r="L311" s="1103">
        <v>0</v>
      </c>
      <c r="M311" s="1115">
        <v>0</v>
      </c>
      <c r="N311" s="1113">
        <v>3</v>
      </c>
      <c r="O311" s="1113">
        <v>4</v>
      </c>
      <c r="P311" s="1116">
        <f>E311/30*20+E311*4</f>
        <v>46666.666666666664</v>
      </c>
    </row>
    <row r="312" spans="1:16" s="1154" customFormat="1" ht="24">
      <c r="A312" s="1098" t="s">
        <v>506</v>
      </c>
      <c r="B312" s="1099" t="s">
        <v>505</v>
      </c>
      <c r="C312" s="1099" t="s">
        <v>504</v>
      </c>
      <c r="D312" s="1102" t="s">
        <v>862</v>
      </c>
      <c r="E312" s="1101">
        <v>3000</v>
      </c>
      <c r="F312" s="1099" t="s">
        <v>861</v>
      </c>
      <c r="G312" s="1100" t="s">
        <v>860</v>
      </c>
      <c r="H312" s="1112" t="s">
        <v>656</v>
      </c>
      <c r="I312" s="1100" t="s">
        <v>499</v>
      </c>
      <c r="J312" s="1099"/>
      <c r="K312" s="1103" t="s">
        <v>563</v>
      </c>
      <c r="L312" s="1103" t="s">
        <v>498</v>
      </c>
      <c r="M312" s="1104">
        <f>E312*L312</f>
        <v>9000</v>
      </c>
      <c r="N312" s="1099">
        <v>3</v>
      </c>
      <c r="O312" s="1099">
        <v>6</v>
      </c>
      <c r="P312" s="1105">
        <f>E312*O312</f>
        <v>18000</v>
      </c>
    </row>
    <row r="313" spans="1:16" s="1154" customFormat="1" ht="24">
      <c r="A313" s="1098" t="s">
        <v>506</v>
      </c>
      <c r="B313" s="1099" t="s">
        <v>505</v>
      </c>
      <c r="C313" s="1099" t="s">
        <v>504</v>
      </c>
      <c r="D313" s="1102" t="s">
        <v>859</v>
      </c>
      <c r="E313" s="1101">
        <v>7200</v>
      </c>
      <c r="F313" s="1099" t="s">
        <v>858</v>
      </c>
      <c r="G313" s="1100" t="s">
        <v>857</v>
      </c>
      <c r="H313" s="1112" t="s">
        <v>534</v>
      </c>
      <c r="I313" s="1100" t="s">
        <v>507</v>
      </c>
      <c r="J313" s="1099"/>
      <c r="K313" s="1103" t="s">
        <v>498</v>
      </c>
      <c r="L313" s="1103" t="s">
        <v>583</v>
      </c>
      <c r="M313" s="1104">
        <f>E313*L313</f>
        <v>72000</v>
      </c>
      <c r="N313" s="1099">
        <v>3</v>
      </c>
      <c r="O313" s="1099">
        <v>6</v>
      </c>
      <c r="P313" s="1105">
        <f>E313*O313</f>
        <v>43200</v>
      </c>
    </row>
    <row r="314" spans="1:16" s="1154" customFormat="1" ht="24">
      <c r="A314" s="1098" t="s">
        <v>506</v>
      </c>
      <c r="B314" s="1099" t="s">
        <v>505</v>
      </c>
      <c r="C314" s="1099" t="s">
        <v>504</v>
      </c>
      <c r="D314" s="1100" t="s">
        <v>622</v>
      </c>
      <c r="E314" s="1101">
        <v>2500</v>
      </c>
      <c r="F314" s="1099" t="s">
        <v>856</v>
      </c>
      <c r="G314" s="1100" t="s">
        <v>855</v>
      </c>
      <c r="H314" s="1112" t="s">
        <v>712</v>
      </c>
      <c r="I314" s="1100" t="s">
        <v>619</v>
      </c>
      <c r="J314" s="1099"/>
      <c r="K314" s="1103" t="s">
        <v>498</v>
      </c>
      <c r="L314" s="1103" t="s">
        <v>497</v>
      </c>
      <c r="M314" s="1104">
        <f>E314*L314</f>
        <v>30000</v>
      </c>
      <c r="N314" s="1099">
        <v>3</v>
      </c>
      <c r="O314" s="1099">
        <v>6</v>
      </c>
      <c r="P314" s="1105">
        <f>E314*O314</f>
        <v>15000</v>
      </c>
    </row>
    <row r="315" spans="1:16" s="1154" customFormat="1" ht="24">
      <c r="A315" s="1098" t="s">
        <v>506</v>
      </c>
      <c r="B315" s="1099" t="s">
        <v>505</v>
      </c>
      <c r="C315" s="1099" t="s">
        <v>504</v>
      </c>
      <c r="D315" s="1102" t="s">
        <v>854</v>
      </c>
      <c r="E315" s="1101">
        <v>10000</v>
      </c>
      <c r="F315" s="1122" t="s">
        <v>853</v>
      </c>
      <c r="G315" s="1100" t="s">
        <v>852</v>
      </c>
      <c r="H315" s="1112" t="s">
        <v>511</v>
      </c>
      <c r="I315" s="1102"/>
      <c r="J315" s="1099"/>
      <c r="K315" s="1103">
        <v>1</v>
      </c>
      <c r="L315" s="1103">
        <v>12</v>
      </c>
      <c r="M315" s="1104">
        <f>E315*L315</f>
        <v>120000</v>
      </c>
      <c r="N315" s="1099">
        <v>1</v>
      </c>
      <c r="O315" s="1099">
        <v>3</v>
      </c>
      <c r="P315" s="1105">
        <f>E315/30*4+E315*3</f>
        <v>31333.333333333332</v>
      </c>
    </row>
    <row r="316" spans="1:16" s="1154" customFormat="1" ht="36">
      <c r="A316" s="1098" t="s">
        <v>506</v>
      </c>
      <c r="B316" s="1099" t="s">
        <v>505</v>
      </c>
      <c r="C316" s="1099" t="s">
        <v>504</v>
      </c>
      <c r="D316" s="1100" t="s">
        <v>546</v>
      </c>
      <c r="E316" s="1101">
        <v>15000</v>
      </c>
      <c r="F316" s="1099" t="s">
        <v>851</v>
      </c>
      <c r="G316" s="1100" t="s">
        <v>850</v>
      </c>
      <c r="H316" s="1099" t="s">
        <v>605</v>
      </c>
      <c r="I316" s="1100" t="s">
        <v>507</v>
      </c>
      <c r="J316" s="1099"/>
      <c r="K316" s="1103" t="s">
        <v>498</v>
      </c>
      <c r="L316" s="1103" t="s">
        <v>497</v>
      </c>
      <c r="M316" s="1104">
        <f>E316*L316</f>
        <v>180000</v>
      </c>
      <c r="N316" s="1099">
        <v>3</v>
      </c>
      <c r="O316" s="1099">
        <v>6</v>
      </c>
      <c r="P316" s="1105">
        <f t="shared" ref="P316:P337" si="29">E316*O316</f>
        <v>90000</v>
      </c>
    </row>
    <row r="317" spans="1:16" s="1154" customFormat="1" ht="24">
      <c r="A317" s="1098" t="s">
        <v>506</v>
      </c>
      <c r="B317" s="1099" t="s">
        <v>505</v>
      </c>
      <c r="C317" s="1099" t="s">
        <v>504</v>
      </c>
      <c r="D317" s="1100" t="s">
        <v>849</v>
      </c>
      <c r="E317" s="1101">
        <v>10000</v>
      </c>
      <c r="F317" s="1099" t="s">
        <v>847</v>
      </c>
      <c r="G317" s="1100" t="s">
        <v>846</v>
      </c>
      <c r="H317" s="1099" t="s">
        <v>845</v>
      </c>
      <c r="I317" s="1100" t="s">
        <v>507</v>
      </c>
      <c r="J317" s="1099"/>
      <c r="K317" s="1103" t="s">
        <v>563</v>
      </c>
      <c r="L317" s="1103" t="s">
        <v>822</v>
      </c>
      <c r="M317" s="1104">
        <f>+E317/30*3+E317*5</f>
        <v>51000</v>
      </c>
      <c r="N317" s="1099">
        <v>0</v>
      </c>
      <c r="O317" s="1099">
        <v>0</v>
      </c>
      <c r="P317" s="1105">
        <f t="shared" si="29"/>
        <v>0</v>
      </c>
    </row>
    <row r="318" spans="1:16" s="1154" customFormat="1" ht="36">
      <c r="A318" s="1098" t="s">
        <v>506</v>
      </c>
      <c r="B318" s="1099" t="s">
        <v>505</v>
      </c>
      <c r="C318" s="1099" t="s">
        <v>504</v>
      </c>
      <c r="D318" s="1100" t="s">
        <v>848</v>
      </c>
      <c r="E318" s="1101">
        <v>12000</v>
      </c>
      <c r="F318" s="1099" t="s">
        <v>847</v>
      </c>
      <c r="G318" s="1100" t="s">
        <v>846</v>
      </c>
      <c r="H318" s="1099" t="s">
        <v>845</v>
      </c>
      <c r="I318" s="1102" t="s">
        <v>507</v>
      </c>
      <c r="J318" s="1099"/>
      <c r="K318" s="1103" t="s">
        <v>498</v>
      </c>
      <c r="L318" s="1103" t="s">
        <v>687</v>
      </c>
      <c r="M318" s="1104">
        <f>+E318/30*27+E318*6</f>
        <v>82800</v>
      </c>
      <c r="N318" s="1099">
        <v>3</v>
      </c>
      <c r="O318" s="1099">
        <v>6</v>
      </c>
      <c r="P318" s="1105">
        <f t="shared" si="29"/>
        <v>72000</v>
      </c>
    </row>
    <row r="319" spans="1:16" s="1154" customFormat="1" ht="24">
      <c r="A319" s="1098" t="s">
        <v>506</v>
      </c>
      <c r="B319" s="1099" t="s">
        <v>505</v>
      </c>
      <c r="C319" s="1099" t="s">
        <v>504</v>
      </c>
      <c r="D319" s="1100" t="s">
        <v>844</v>
      </c>
      <c r="E319" s="1101">
        <v>11500</v>
      </c>
      <c r="F319" s="1099" t="s">
        <v>843</v>
      </c>
      <c r="G319" s="1100" t="s">
        <v>842</v>
      </c>
      <c r="H319" s="1099" t="s">
        <v>519</v>
      </c>
      <c r="I319" s="1102" t="s">
        <v>507</v>
      </c>
      <c r="J319" s="1099"/>
      <c r="K319" s="1103" t="s">
        <v>498</v>
      </c>
      <c r="L319" s="1103" t="s">
        <v>497</v>
      </c>
      <c r="M319" s="1104">
        <f>E319*L319</f>
        <v>138000</v>
      </c>
      <c r="N319" s="1099">
        <v>3</v>
      </c>
      <c r="O319" s="1099">
        <v>6</v>
      </c>
      <c r="P319" s="1105">
        <f t="shared" si="29"/>
        <v>69000</v>
      </c>
    </row>
    <row r="320" spans="1:16" s="1154" customFormat="1" ht="36">
      <c r="A320" s="1098" t="s">
        <v>506</v>
      </c>
      <c r="B320" s="1099" t="s">
        <v>505</v>
      </c>
      <c r="C320" s="1099" t="s">
        <v>504</v>
      </c>
      <c r="D320" s="1100" t="s">
        <v>841</v>
      </c>
      <c r="E320" s="1101">
        <v>9000</v>
      </c>
      <c r="F320" s="1099" t="s">
        <v>840</v>
      </c>
      <c r="G320" s="1100" t="s">
        <v>839</v>
      </c>
      <c r="H320" s="1112" t="s">
        <v>508</v>
      </c>
      <c r="I320" s="1102" t="s">
        <v>507</v>
      </c>
      <c r="J320" s="1099"/>
      <c r="K320" s="1103" t="s">
        <v>498</v>
      </c>
      <c r="L320" s="1103" t="s">
        <v>497</v>
      </c>
      <c r="M320" s="1104">
        <f>E320*L320</f>
        <v>108000</v>
      </c>
      <c r="N320" s="1099">
        <v>3</v>
      </c>
      <c r="O320" s="1099">
        <v>6</v>
      </c>
      <c r="P320" s="1105">
        <f t="shared" si="29"/>
        <v>54000</v>
      </c>
    </row>
    <row r="321" spans="1:16" s="1154" customFormat="1" ht="36">
      <c r="A321" s="1098" t="s">
        <v>506</v>
      </c>
      <c r="B321" s="1099" t="s">
        <v>505</v>
      </c>
      <c r="C321" s="1099" t="s">
        <v>504</v>
      </c>
      <c r="D321" s="1100" t="s">
        <v>838</v>
      </c>
      <c r="E321" s="1101">
        <v>6200</v>
      </c>
      <c r="F321" s="1099" t="s">
        <v>837</v>
      </c>
      <c r="G321" s="1100" t="s">
        <v>836</v>
      </c>
      <c r="H321" s="1112" t="s">
        <v>508</v>
      </c>
      <c r="I321" s="1102" t="s">
        <v>507</v>
      </c>
      <c r="J321" s="1099"/>
      <c r="K321" s="1103" t="s">
        <v>498</v>
      </c>
      <c r="L321" s="1103" t="s">
        <v>497</v>
      </c>
      <c r="M321" s="1104">
        <f>E321*L321</f>
        <v>74400</v>
      </c>
      <c r="N321" s="1099">
        <v>3</v>
      </c>
      <c r="O321" s="1099">
        <v>6</v>
      </c>
      <c r="P321" s="1105">
        <f t="shared" si="29"/>
        <v>37200</v>
      </c>
    </row>
    <row r="322" spans="1:16" s="1154" customFormat="1" ht="24">
      <c r="A322" s="1098" t="s">
        <v>506</v>
      </c>
      <c r="B322" s="1099" t="s">
        <v>505</v>
      </c>
      <c r="C322" s="1099" t="s">
        <v>504</v>
      </c>
      <c r="D322" s="1100" t="s">
        <v>835</v>
      </c>
      <c r="E322" s="1101">
        <v>3500</v>
      </c>
      <c r="F322" s="1099" t="s">
        <v>834</v>
      </c>
      <c r="G322" s="1100" t="s">
        <v>833</v>
      </c>
      <c r="H322" s="1099" t="s">
        <v>832</v>
      </c>
      <c r="I322" s="1100" t="s">
        <v>499</v>
      </c>
      <c r="J322" s="1099"/>
      <c r="K322" s="1103" t="s">
        <v>498</v>
      </c>
      <c r="L322" s="1103" t="s">
        <v>497</v>
      </c>
      <c r="M322" s="1104">
        <f>E322*L322</f>
        <v>42000</v>
      </c>
      <c r="N322" s="1099">
        <v>3</v>
      </c>
      <c r="O322" s="1099">
        <v>6</v>
      </c>
      <c r="P322" s="1105">
        <f t="shared" si="29"/>
        <v>21000</v>
      </c>
    </row>
    <row r="323" spans="1:16" s="1154" customFormat="1" ht="24">
      <c r="A323" s="1098" t="s">
        <v>506</v>
      </c>
      <c r="B323" s="1099" t="s">
        <v>505</v>
      </c>
      <c r="C323" s="1099" t="s">
        <v>504</v>
      </c>
      <c r="D323" s="1102" t="s">
        <v>831</v>
      </c>
      <c r="E323" s="1101">
        <v>4000</v>
      </c>
      <c r="F323" s="1099" t="s">
        <v>830</v>
      </c>
      <c r="G323" s="1100" t="s">
        <v>829</v>
      </c>
      <c r="H323" s="1099" t="s">
        <v>647</v>
      </c>
      <c r="I323" s="1100" t="s">
        <v>499</v>
      </c>
      <c r="J323" s="1099"/>
      <c r="K323" s="1103" t="s">
        <v>563</v>
      </c>
      <c r="L323" s="1103" t="s">
        <v>828</v>
      </c>
      <c r="M323" s="1104">
        <f>+E323/30*12+E323*7</f>
        <v>29600</v>
      </c>
      <c r="N323" s="1099">
        <v>3</v>
      </c>
      <c r="O323" s="1099">
        <v>6</v>
      </c>
      <c r="P323" s="1105">
        <f t="shared" si="29"/>
        <v>24000</v>
      </c>
    </row>
    <row r="324" spans="1:16" s="1154" customFormat="1" ht="24">
      <c r="A324" s="1098" t="s">
        <v>506</v>
      </c>
      <c r="B324" s="1099" t="s">
        <v>505</v>
      </c>
      <c r="C324" s="1099" t="s">
        <v>504</v>
      </c>
      <c r="D324" s="1102" t="s">
        <v>511</v>
      </c>
      <c r="E324" s="1101">
        <v>5000</v>
      </c>
      <c r="F324" s="1099" t="s">
        <v>827</v>
      </c>
      <c r="G324" s="1100" t="s">
        <v>826</v>
      </c>
      <c r="H324" s="1112" t="s">
        <v>508</v>
      </c>
      <c r="I324" s="1102" t="s">
        <v>507</v>
      </c>
      <c r="J324" s="1099"/>
      <c r="K324" s="1103" t="s">
        <v>563</v>
      </c>
      <c r="L324" s="1103" t="s">
        <v>562</v>
      </c>
      <c r="M324" s="1104">
        <f>+E324/30*24+E324*4</f>
        <v>24000</v>
      </c>
      <c r="N324" s="1099">
        <v>3</v>
      </c>
      <c r="O324" s="1099">
        <v>6</v>
      </c>
      <c r="P324" s="1105">
        <f t="shared" si="29"/>
        <v>30000</v>
      </c>
    </row>
    <row r="325" spans="1:16" s="1154" customFormat="1" ht="24">
      <c r="A325" s="1098" t="s">
        <v>506</v>
      </c>
      <c r="B325" s="1099" t="s">
        <v>505</v>
      </c>
      <c r="C325" s="1099" t="s">
        <v>504</v>
      </c>
      <c r="D325" s="1102" t="s">
        <v>825</v>
      </c>
      <c r="E325" s="1101">
        <v>7200</v>
      </c>
      <c r="F325" s="1099" t="s">
        <v>824</v>
      </c>
      <c r="G325" s="1100" t="s">
        <v>823</v>
      </c>
      <c r="H325" s="1099" t="s">
        <v>534</v>
      </c>
      <c r="I325" s="1102" t="s">
        <v>507</v>
      </c>
      <c r="J325" s="1099"/>
      <c r="K325" s="1103" t="s">
        <v>563</v>
      </c>
      <c r="L325" s="1103" t="s">
        <v>822</v>
      </c>
      <c r="M325" s="1104">
        <f>+E325/30*8+E325*5</f>
        <v>37920</v>
      </c>
      <c r="N325" s="1099">
        <v>3</v>
      </c>
      <c r="O325" s="1099">
        <v>6</v>
      </c>
      <c r="P325" s="1105">
        <f t="shared" si="29"/>
        <v>43200</v>
      </c>
    </row>
    <row r="326" spans="1:16" s="1154" customFormat="1" ht="36">
      <c r="A326" s="1098" t="s">
        <v>506</v>
      </c>
      <c r="B326" s="1099" t="s">
        <v>505</v>
      </c>
      <c r="C326" s="1099" t="s">
        <v>504</v>
      </c>
      <c r="D326" s="1100" t="s">
        <v>529</v>
      </c>
      <c r="E326" s="1101">
        <v>11000</v>
      </c>
      <c r="F326" s="1099" t="s">
        <v>821</v>
      </c>
      <c r="G326" s="1100" t="s">
        <v>820</v>
      </c>
      <c r="H326" s="1112" t="s">
        <v>508</v>
      </c>
      <c r="I326" s="1102" t="s">
        <v>507</v>
      </c>
      <c r="J326" s="1099"/>
      <c r="K326" s="1103" t="s">
        <v>498</v>
      </c>
      <c r="L326" s="1103" t="s">
        <v>497</v>
      </c>
      <c r="M326" s="1104">
        <f>E326*L326</f>
        <v>132000</v>
      </c>
      <c r="N326" s="1099">
        <v>3</v>
      </c>
      <c r="O326" s="1099">
        <v>6</v>
      </c>
      <c r="P326" s="1105">
        <f t="shared" si="29"/>
        <v>66000</v>
      </c>
    </row>
    <row r="327" spans="1:16" s="1154" customFormat="1" ht="24">
      <c r="A327" s="1098" t="s">
        <v>506</v>
      </c>
      <c r="B327" s="1099" t="s">
        <v>505</v>
      </c>
      <c r="C327" s="1099" t="s">
        <v>504</v>
      </c>
      <c r="D327" s="1100" t="s">
        <v>819</v>
      </c>
      <c r="E327" s="1101">
        <v>7000</v>
      </c>
      <c r="F327" s="1099" t="s">
        <v>818</v>
      </c>
      <c r="G327" s="1100" t="s">
        <v>817</v>
      </c>
      <c r="H327" s="1099" t="s">
        <v>534</v>
      </c>
      <c r="I327" s="1102" t="s">
        <v>507</v>
      </c>
      <c r="J327" s="1099"/>
      <c r="K327" s="1103" t="s">
        <v>498</v>
      </c>
      <c r="L327" s="1103" t="s">
        <v>497</v>
      </c>
      <c r="M327" s="1104">
        <f>E327*L327</f>
        <v>84000</v>
      </c>
      <c r="N327" s="1099">
        <v>3</v>
      </c>
      <c r="O327" s="1099">
        <v>6</v>
      </c>
      <c r="P327" s="1105">
        <f t="shared" si="29"/>
        <v>42000</v>
      </c>
    </row>
    <row r="328" spans="1:16" s="1154" customFormat="1" ht="24">
      <c r="A328" s="1098" t="s">
        <v>506</v>
      </c>
      <c r="B328" s="1099" t="s">
        <v>505</v>
      </c>
      <c r="C328" s="1099" t="s">
        <v>504</v>
      </c>
      <c r="D328" s="1119" t="s">
        <v>566</v>
      </c>
      <c r="E328" s="1101">
        <v>15600</v>
      </c>
      <c r="F328" s="1120" t="s">
        <v>816</v>
      </c>
      <c r="G328" s="1114" t="s">
        <v>815</v>
      </c>
      <c r="H328" s="1113"/>
      <c r="I328" s="1114"/>
      <c r="J328" s="1113"/>
      <c r="K328" s="1103">
        <v>1</v>
      </c>
      <c r="L328" s="1103">
        <v>1</v>
      </c>
      <c r="M328" s="1115">
        <f>E328/30*9+E328*1</f>
        <v>20280</v>
      </c>
      <c r="N328" s="1113">
        <v>0</v>
      </c>
      <c r="O328" s="1113">
        <v>0</v>
      </c>
      <c r="P328" s="1116">
        <f t="shared" si="29"/>
        <v>0</v>
      </c>
    </row>
    <row r="329" spans="1:16" s="1154" customFormat="1" ht="24">
      <c r="A329" s="1098" t="s">
        <v>506</v>
      </c>
      <c r="B329" s="1099" t="s">
        <v>505</v>
      </c>
      <c r="C329" s="1099" t="s">
        <v>504</v>
      </c>
      <c r="D329" s="1100" t="s">
        <v>540</v>
      </c>
      <c r="E329" s="1101">
        <v>7000</v>
      </c>
      <c r="F329" s="1099" t="s">
        <v>814</v>
      </c>
      <c r="G329" s="1100" t="s">
        <v>813</v>
      </c>
      <c r="H329" s="1112" t="s">
        <v>508</v>
      </c>
      <c r="I329" s="1102" t="s">
        <v>507</v>
      </c>
      <c r="J329" s="1099"/>
      <c r="K329" s="1103" t="s">
        <v>498</v>
      </c>
      <c r="L329" s="1103" t="s">
        <v>497</v>
      </c>
      <c r="M329" s="1104">
        <f>E329*L329</f>
        <v>84000</v>
      </c>
      <c r="N329" s="1099">
        <v>3</v>
      </c>
      <c r="O329" s="1099">
        <v>6</v>
      </c>
      <c r="P329" s="1105">
        <f t="shared" si="29"/>
        <v>42000</v>
      </c>
    </row>
    <row r="330" spans="1:16" s="1154" customFormat="1" ht="24">
      <c r="A330" s="1098" t="s">
        <v>506</v>
      </c>
      <c r="B330" s="1099" t="s">
        <v>505</v>
      </c>
      <c r="C330" s="1099" t="s">
        <v>504</v>
      </c>
      <c r="D330" s="1119" t="s">
        <v>812</v>
      </c>
      <c r="E330" s="1101">
        <v>8000</v>
      </c>
      <c r="F330" s="1120" t="s">
        <v>811</v>
      </c>
      <c r="G330" s="1114" t="s">
        <v>810</v>
      </c>
      <c r="H330" s="1113"/>
      <c r="I330" s="1114"/>
      <c r="J330" s="1113"/>
      <c r="K330" s="1103">
        <v>2</v>
      </c>
      <c r="L330" s="1103">
        <v>7</v>
      </c>
      <c r="M330" s="1104">
        <f>E330*L330</f>
        <v>56000</v>
      </c>
      <c r="N330" s="1113">
        <v>0</v>
      </c>
      <c r="O330" s="1113">
        <v>0</v>
      </c>
      <c r="P330" s="1116">
        <f t="shared" si="29"/>
        <v>0</v>
      </c>
    </row>
    <row r="331" spans="1:16" s="1154" customFormat="1" ht="24">
      <c r="A331" s="1098" t="s">
        <v>506</v>
      </c>
      <c r="B331" s="1099" t="s">
        <v>505</v>
      </c>
      <c r="C331" s="1099" t="s">
        <v>504</v>
      </c>
      <c r="D331" s="1100" t="s">
        <v>809</v>
      </c>
      <c r="E331" s="1101">
        <v>2410</v>
      </c>
      <c r="F331" s="1099" t="s">
        <v>808</v>
      </c>
      <c r="G331" s="1100" t="s">
        <v>807</v>
      </c>
      <c r="H331" s="1099" t="s">
        <v>806</v>
      </c>
      <c r="I331" s="1100" t="s">
        <v>499</v>
      </c>
      <c r="J331" s="1099"/>
      <c r="K331" s="1103" t="s">
        <v>498</v>
      </c>
      <c r="L331" s="1103" t="s">
        <v>497</v>
      </c>
      <c r="M331" s="1104">
        <f>E331*L331</f>
        <v>28920</v>
      </c>
      <c r="N331" s="1099">
        <v>3</v>
      </c>
      <c r="O331" s="1099">
        <v>6</v>
      </c>
      <c r="P331" s="1105">
        <f t="shared" si="29"/>
        <v>14460</v>
      </c>
    </row>
    <row r="332" spans="1:16" s="1154" customFormat="1" ht="24">
      <c r="A332" s="1098" t="s">
        <v>506</v>
      </c>
      <c r="B332" s="1099" t="s">
        <v>505</v>
      </c>
      <c r="C332" s="1099" t="s">
        <v>504</v>
      </c>
      <c r="D332" s="1100" t="s">
        <v>663</v>
      </c>
      <c r="E332" s="1101">
        <v>7000</v>
      </c>
      <c r="F332" s="1122" t="s">
        <v>805</v>
      </c>
      <c r="G332" s="1100" t="s">
        <v>804</v>
      </c>
      <c r="H332" s="1099" t="s">
        <v>660</v>
      </c>
      <c r="I332" s="1100"/>
      <c r="J332" s="1099"/>
      <c r="K332" s="1103">
        <v>1</v>
      </c>
      <c r="L332" s="1103">
        <v>12</v>
      </c>
      <c r="M332" s="1104">
        <f>E332*L332</f>
        <v>84000</v>
      </c>
      <c r="N332" s="1099">
        <v>1</v>
      </c>
      <c r="O332" s="1099">
        <v>6</v>
      </c>
      <c r="P332" s="1105">
        <f t="shared" si="29"/>
        <v>42000</v>
      </c>
    </row>
    <row r="333" spans="1:16" s="1154" customFormat="1" ht="24">
      <c r="A333" s="1098" t="s">
        <v>506</v>
      </c>
      <c r="B333" s="1099" t="s">
        <v>505</v>
      </c>
      <c r="C333" s="1099" t="s">
        <v>504</v>
      </c>
      <c r="D333" s="1100" t="s">
        <v>803</v>
      </c>
      <c r="E333" s="1101">
        <v>6500</v>
      </c>
      <c r="F333" s="1099" t="s">
        <v>802</v>
      </c>
      <c r="G333" s="1100" t="s">
        <v>801</v>
      </c>
      <c r="H333" s="1112" t="s">
        <v>534</v>
      </c>
      <c r="I333" s="1100" t="s">
        <v>507</v>
      </c>
      <c r="J333" s="1099"/>
      <c r="K333" s="1103" t="s">
        <v>498</v>
      </c>
      <c r="L333" s="1103" t="s">
        <v>497</v>
      </c>
      <c r="M333" s="1104">
        <f>E333*L333</f>
        <v>78000</v>
      </c>
      <c r="N333" s="1099">
        <v>3</v>
      </c>
      <c r="O333" s="1099">
        <v>6</v>
      </c>
      <c r="P333" s="1105">
        <f t="shared" si="29"/>
        <v>39000</v>
      </c>
    </row>
    <row r="334" spans="1:16" s="1154" customFormat="1" ht="48">
      <c r="A334" s="1098" t="s">
        <v>506</v>
      </c>
      <c r="B334" s="1099" t="s">
        <v>505</v>
      </c>
      <c r="C334" s="1099" t="s">
        <v>504</v>
      </c>
      <c r="D334" s="1119" t="s">
        <v>700</v>
      </c>
      <c r="E334" s="1101">
        <v>9000</v>
      </c>
      <c r="F334" s="1120" t="s">
        <v>800</v>
      </c>
      <c r="G334" s="1114" t="s">
        <v>799</v>
      </c>
      <c r="H334" s="1113"/>
      <c r="I334" s="1114"/>
      <c r="J334" s="1121"/>
      <c r="K334" s="1103">
        <v>1</v>
      </c>
      <c r="L334" s="1103">
        <v>2</v>
      </c>
      <c r="M334" s="1115">
        <f>E334/30*4+E334*2</f>
        <v>19200</v>
      </c>
      <c r="N334" s="1113">
        <v>0</v>
      </c>
      <c r="O334" s="1113">
        <v>0</v>
      </c>
      <c r="P334" s="1116">
        <f t="shared" si="29"/>
        <v>0</v>
      </c>
    </row>
    <row r="335" spans="1:16" s="1154" customFormat="1" ht="24">
      <c r="A335" s="1098" t="s">
        <v>506</v>
      </c>
      <c r="B335" s="1099" t="s">
        <v>505</v>
      </c>
      <c r="C335" s="1099" t="s">
        <v>504</v>
      </c>
      <c r="D335" s="1100" t="s">
        <v>798</v>
      </c>
      <c r="E335" s="1101">
        <v>3000</v>
      </c>
      <c r="F335" s="1099" t="s">
        <v>797</v>
      </c>
      <c r="G335" s="1100" t="s">
        <v>796</v>
      </c>
      <c r="H335" s="1099" t="s">
        <v>795</v>
      </c>
      <c r="I335" s="1100" t="s">
        <v>499</v>
      </c>
      <c r="J335" s="1099"/>
      <c r="K335" s="1103" t="s">
        <v>498</v>
      </c>
      <c r="L335" s="1103" t="s">
        <v>497</v>
      </c>
      <c r="M335" s="1104">
        <f>E335*L335</f>
        <v>36000</v>
      </c>
      <c r="N335" s="1099">
        <v>3</v>
      </c>
      <c r="O335" s="1099">
        <v>6</v>
      </c>
      <c r="P335" s="1105">
        <f t="shared" si="29"/>
        <v>18000</v>
      </c>
    </row>
    <row r="336" spans="1:16" s="1154" customFormat="1" ht="36">
      <c r="A336" s="1098" t="s">
        <v>506</v>
      </c>
      <c r="B336" s="1099" t="s">
        <v>505</v>
      </c>
      <c r="C336" s="1099" t="s">
        <v>504</v>
      </c>
      <c r="D336" s="1100" t="s">
        <v>794</v>
      </c>
      <c r="E336" s="1101">
        <v>6000</v>
      </c>
      <c r="F336" s="1099" t="s">
        <v>793</v>
      </c>
      <c r="G336" s="1100" t="s">
        <v>792</v>
      </c>
      <c r="H336" s="1099" t="s">
        <v>791</v>
      </c>
      <c r="I336" s="1102" t="s">
        <v>507</v>
      </c>
      <c r="J336" s="1099"/>
      <c r="K336" s="1103" t="s">
        <v>498</v>
      </c>
      <c r="L336" s="1103" t="s">
        <v>497</v>
      </c>
      <c r="M336" s="1104">
        <f>E336*L336</f>
        <v>72000</v>
      </c>
      <c r="N336" s="1099">
        <v>3</v>
      </c>
      <c r="O336" s="1099">
        <v>6</v>
      </c>
      <c r="P336" s="1105">
        <f t="shared" si="29"/>
        <v>36000</v>
      </c>
    </row>
    <row r="337" spans="1:16" s="1154" customFormat="1" ht="48">
      <c r="A337" s="1098" t="s">
        <v>506</v>
      </c>
      <c r="B337" s="1099" t="s">
        <v>505</v>
      </c>
      <c r="C337" s="1099" t="s">
        <v>504</v>
      </c>
      <c r="D337" s="1102" t="s">
        <v>790</v>
      </c>
      <c r="E337" s="1101">
        <v>7500</v>
      </c>
      <c r="F337" s="1099" t="s">
        <v>789</v>
      </c>
      <c r="G337" s="1100" t="s">
        <v>788</v>
      </c>
      <c r="H337" s="1112" t="s">
        <v>519</v>
      </c>
      <c r="I337" s="1102" t="s">
        <v>507</v>
      </c>
      <c r="J337" s="1099"/>
      <c r="K337" s="1103" t="s">
        <v>664</v>
      </c>
      <c r="L337" s="1103" t="s">
        <v>498</v>
      </c>
      <c r="M337" s="1104">
        <f>E337*L337</f>
        <v>22500</v>
      </c>
      <c r="N337" s="1099">
        <v>3</v>
      </c>
      <c r="O337" s="1099">
        <v>6</v>
      </c>
      <c r="P337" s="1105">
        <f t="shared" si="29"/>
        <v>45000</v>
      </c>
    </row>
    <row r="338" spans="1:16" s="1154" customFormat="1" ht="24">
      <c r="A338" s="1098" t="s">
        <v>506</v>
      </c>
      <c r="B338" s="1099" t="s">
        <v>505</v>
      </c>
      <c r="C338" s="1099" t="s">
        <v>504</v>
      </c>
      <c r="D338" s="1102" t="s">
        <v>787</v>
      </c>
      <c r="E338" s="1101">
        <v>7200</v>
      </c>
      <c r="F338" s="1113" t="s">
        <v>786</v>
      </c>
      <c r="G338" s="1114" t="s">
        <v>785</v>
      </c>
      <c r="H338" s="1113"/>
      <c r="I338" s="1114"/>
      <c r="J338" s="1113"/>
      <c r="K338" s="1103"/>
      <c r="L338" s="1103"/>
      <c r="M338" s="1115"/>
      <c r="N338" s="1113">
        <v>3</v>
      </c>
      <c r="O338" s="1113">
        <v>4</v>
      </c>
      <c r="P338" s="1116">
        <f>E338/30*23+E338*4</f>
        <v>34320</v>
      </c>
    </row>
    <row r="339" spans="1:16" s="1154" customFormat="1" ht="24">
      <c r="A339" s="1098" t="s">
        <v>506</v>
      </c>
      <c r="B339" s="1099" t="s">
        <v>505</v>
      </c>
      <c r="C339" s="1099" t="s">
        <v>504</v>
      </c>
      <c r="D339" s="1100" t="s">
        <v>784</v>
      </c>
      <c r="E339" s="1101">
        <v>6000</v>
      </c>
      <c r="F339" s="1099" t="s">
        <v>783</v>
      </c>
      <c r="G339" s="1100" t="s">
        <v>782</v>
      </c>
      <c r="H339" s="1099" t="s">
        <v>500</v>
      </c>
      <c r="I339" s="1100" t="s">
        <v>499</v>
      </c>
      <c r="J339" s="1099"/>
      <c r="K339" s="1103" t="s">
        <v>498</v>
      </c>
      <c r="L339" s="1103" t="s">
        <v>497</v>
      </c>
      <c r="M339" s="1104">
        <f>E339*L339</f>
        <v>72000</v>
      </c>
      <c r="N339" s="1099">
        <v>3</v>
      </c>
      <c r="O339" s="1099">
        <v>6</v>
      </c>
      <c r="P339" s="1105">
        <f t="shared" ref="P339:P345" si="30">E339*O339</f>
        <v>36000</v>
      </c>
    </row>
    <row r="340" spans="1:16" s="1154" customFormat="1" ht="24">
      <c r="A340" s="1098" t="s">
        <v>506</v>
      </c>
      <c r="B340" s="1099" t="s">
        <v>505</v>
      </c>
      <c r="C340" s="1099" t="s">
        <v>504</v>
      </c>
      <c r="D340" s="1100" t="s">
        <v>781</v>
      </c>
      <c r="E340" s="1101">
        <v>5000</v>
      </c>
      <c r="F340" s="1099" t="s">
        <v>780</v>
      </c>
      <c r="G340" s="1100" t="s">
        <v>779</v>
      </c>
      <c r="H340" s="1099" t="s">
        <v>778</v>
      </c>
      <c r="I340" s="1102" t="s">
        <v>547</v>
      </c>
      <c r="J340" s="1099"/>
      <c r="K340" s="1103" t="s">
        <v>498</v>
      </c>
      <c r="L340" s="1103" t="s">
        <v>497</v>
      </c>
      <c r="M340" s="1104">
        <f>E340*L340</f>
        <v>60000</v>
      </c>
      <c r="N340" s="1099">
        <v>3</v>
      </c>
      <c r="O340" s="1099">
        <v>6</v>
      </c>
      <c r="P340" s="1105">
        <f t="shared" si="30"/>
        <v>30000</v>
      </c>
    </row>
    <row r="341" spans="1:16" s="1154" customFormat="1" ht="24">
      <c r="A341" s="1098" t="s">
        <v>506</v>
      </c>
      <c r="B341" s="1099" t="s">
        <v>505</v>
      </c>
      <c r="C341" s="1099" t="s">
        <v>504</v>
      </c>
      <c r="D341" s="1100" t="s">
        <v>604</v>
      </c>
      <c r="E341" s="1101">
        <v>4000</v>
      </c>
      <c r="F341" s="1099" t="s">
        <v>777</v>
      </c>
      <c r="G341" s="1100" t="s">
        <v>776</v>
      </c>
      <c r="H341" s="1099" t="s">
        <v>534</v>
      </c>
      <c r="I341" s="1100" t="s">
        <v>499</v>
      </c>
      <c r="J341" s="1099"/>
      <c r="K341" s="1103" t="s">
        <v>498</v>
      </c>
      <c r="L341" s="1103" t="s">
        <v>497</v>
      </c>
      <c r="M341" s="1104">
        <f>E341*L341</f>
        <v>48000</v>
      </c>
      <c r="N341" s="1099">
        <v>3</v>
      </c>
      <c r="O341" s="1099">
        <v>6</v>
      </c>
      <c r="P341" s="1105">
        <f t="shared" si="30"/>
        <v>24000</v>
      </c>
    </row>
    <row r="342" spans="1:16" s="1154" customFormat="1" ht="84">
      <c r="A342" s="1098" t="s">
        <v>506</v>
      </c>
      <c r="B342" s="1099" t="s">
        <v>505</v>
      </c>
      <c r="C342" s="1099" t="s">
        <v>504</v>
      </c>
      <c r="D342" s="1100" t="s">
        <v>775</v>
      </c>
      <c r="E342" s="1101">
        <v>7000</v>
      </c>
      <c r="F342" s="1099" t="s">
        <v>771</v>
      </c>
      <c r="G342" s="1100" t="s">
        <v>770</v>
      </c>
      <c r="H342" s="1099" t="s">
        <v>774</v>
      </c>
      <c r="I342" s="1102" t="s">
        <v>507</v>
      </c>
      <c r="J342" s="1099"/>
      <c r="K342" s="1103" t="s">
        <v>664</v>
      </c>
      <c r="L342" s="1103" t="s">
        <v>773</v>
      </c>
      <c r="M342" s="1104">
        <f>+E330/30*21</f>
        <v>5600</v>
      </c>
      <c r="N342" s="1099">
        <v>2</v>
      </c>
      <c r="O342" s="1099">
        <v>6</v>
      </c>
      <c r="P342" s="1105">
        <f t="shared" si="30"/>
        <v>42000</v>
      </c>
    </row>
    <row r="343" spans="1:16" s="1154" customFormat="1" ht="48">
      <c r="A343" s="1098" t="s">
        <v>506</v>
      </c>
      <c r="B343" s="1099" t="s">
        <v>505</v>
      </c>
      <c r="C343" s="1099" t="s">
        <v>504</v>
      </c>
      <c r="D343" s="1119" t="s">
        <v>772</v>
      </c>
      <c r="E343" s="1101">
        <v>5000</v>
      </c>
      <c r="F343" s="1120" t="s">
        <v>771</v>
      </c>
      <c r="G343" s="1114" t="s">
        <v>770</v>
      </c>
      <c r="H343" s="1113"/>
      <c r="I343" s="1114"/>
      <c r="J343" s="1113"/>
      <c r="K343" s="1103">
        <v>1</v>
      </c>
      <c r="L343" s="1103">
        <v>11</v>
      </c>
      <c r="M343" s="1115">
        <f>E343/30*6+E343*11</f>
        <v>56000</v>
      </c>
      <c r="N343" s="1113">
        <v>0</v>
      </c>
      <c r="O343" s="1113">
        <v>0</v>
      </c>
      <c r="P343" s="1116">
        <f t="shared" si="30"/>
        <v>0</v>
      </c>
    </row>
    <row r="344" spans="1:16" s="1154" customFormat="1" ht="36">
      <c r="A344" s="1098" t="s">
        <v>506</v>
      </c>
      <c r="B344" s="1099" t="s">
        <v>505</v>
      </c>
      <c r="C344" s="1099" t="s">
        <v>504</v>
      </c>
      <c r="D344" s="1102" t="s">
        <v>769</v>
      </c>
      <c r="E344" s="1101">
        <v>3200</v>
      </c>
      <c r="F344" s="1099" t="s">
        <v>768</v>
      </c>
      <c r="G344" s="1100" t="s">
        <v>767</v>
      </c>
      <c r="H344" s="1099" t="s">
        <v>590</v>
      </c>
      <c r="I344" s="1102" t="s">
        <v>507</v>
      </c>
      <c r="J344" s="1099"/>
      <c r="K344" s="1103" t="s">
        <v>498</v>
      </c>
      <c r="L344" s="1103" t="s">
        <v>497</v>
      </c>
      <c r="M344" s="1104">
        <f>E344*L344</f>
        <v>38400</v>
      </c>
      <c r="N344" s="1099">
        <v>3</v>
      </c>
      <c r="O344" s="1099">
        <v>6</v>
      </c>
      <c r="P344" s="1105">
        <f t="shared" si="30"/>
        <v>19200</v>
      </c>
    </row>
    <row r="345" spans="1:16" s="1154" customFormat="1" ht="24">
      <c r="A345" s="1098" t="s">
        <v>506</v>
      </c>
      <c r="B345" s="1099" t="s">
        <v>505</v>
      </c>
      <c r="C345" s="1099" t="s">
        <v>504</v>
      </c>
      <c r="D345" s="1119" t="s">
        <v>569</v>
      </c>
      <c r="E345" s="1101">
        <v>6200</v>
      </c>
      <c r="F345" s="1120" t="s">
        <v>766</v>
      </c>
      <c r="G345" s="1114" t="s">
        <v>765</v>
      </c>
      <c r="H345" s="1113"/>
      <c r="I345" s="1114"/>
      <c r="J345" s="1113"/>
      <c r="K345" s="1103">
        <v>1</v>
      </c>
      <c r="L345" s="1103">
        <v>7</v>
      </c>
      <c r="M345" s="1104">
        <f>E345*L345</f>
        <v>43400</v>
      </c>
      <c r="N345" s="1113">
        <v>0</v>
      </c>
      <c r="O345" s="1113">
        <v>0</v>
      </c>
      <c r="P345" s="1116">
        <f t="shared" si="30"/>
        <v>0</v>
      </c>
    </row>
    <row r="346" spans="1:16" s="1154" customFormat="1" ht="24">
      <c r="A346" s="1098" t="s">
        <v>506</v>
      </c>
      <c r="B346" s="1099" t="s">
        <v>505</v>
      </c>
      <c r="C346" s="1099" t="s">
        <v>504</v>
      </c>
      <c r="D346" s="1102" t="s">
        <v>611</v>
      </c>
      <c r="E346" s="1101">
        <v>7200</v>
      </c>
      <c r="F346" s="1122" t="s">
        <v>764</v>
      </c>
      <c r="G346" s="1100" t="s">
        <v>763</v>
      </c>
      <c r="H346" s="1112" t="s">
        <v>762</v>
      </c>
      <c r="I346" s="1100" t="s">
        <v>507</v>
      </c>
      <c r="J346" s="1099"/>
      <c r="K346" s="1103">
        <v>1</v>
      </c>
      <c r="L346" s="1103">
        <v>0</v>
      </c>
      <c r="M346" s="1104">
        <f>E346/30*19</f>
        <v>4560</v>
      </c>
      <c r="N346" s="1099">
        <v>1</v>
      </c>
      <c r="O346" s="1099">
        <v>0</v>
      </c>
      <c r="P346" s="1105">
        <f>E346/30*15</f>
        <v>3600</v>
      </c>
    </row>
    <row r="347" spans="1:16" s="1154" customFormat="1" ht="24">
      <c r="A347" s="1098" t="s">
        <v>506</v>
      </c>
      <c r="B347" s="1099" t="s">
        <v>505</v>
      </c>
      <c r="C347" s="1099" t="s">
        <v>504</v>
      </c>
      <c r="D347" s="1100" t="s">
        <v>569</v>
      </c>
      <c r="E347" s="1117">
        <v>5000</v>
      </c>
      <c r="F347" s="1099" t="s">
        <v>761</v>
      </c>
      <c r="G347" s="1100" t="s">
        <v>760</v>
      </c>
      <c r="H347" s="1099" t="s">
        <v>534</v>
      </c>
      <c r="I347" s="1102" t="s">
        <v>507</v>
      </c>
      <c r="J347" s="1099"/>
      <c r="K347" s="1103" t="s">
        <v>498</v>
      </c>
      <c r="L347" s="1103" t="s">
        <v>497</v>
      </c>
      <c r="M347" s="1104">
        <f>E347*L347</f>
        <v>60000</v>
      </c>
      <c r="N347" s="1099">
        <v>3</v>
      </c>
      <c r="O347" s="1099">
        <v>6</v>
      </c>
      <c r="P347" s="1105">
        <f>E347*O347</f>
        <v>30000</v>
      </c>
    </row>
    <row r="348" spans="1:16" s="1154" customFormat="1" ht="24">
      <c r="A348" s="1098" t="s">
        <v>506</v>
      </c>
      <c r="B348" s="1099" t="s">
        <v>505</v>
      </c>
      <c r="C348" s="1099" t="s">
        <v>504</v>
      </c>
      <c r="D348" s="1119" t="s">
        <v>759</v>
      </c>
      <c r="E348" s="1101">
        <v>7000</v>
      </c>
      <c r="F348" s="1120" t="s">
        <v>758</v>
      </c>
      <c r="G348" s="1114" t="s">
        <v>757</v>
      </c>
      <c r="H348" s="1113"/>
      <c r="I348" s="1114"/>
      <c r="J348" s="1113"/>
      <c r="K348" s="1103">
        <v>1</v>
      </c>
      <c r="L348" s="1103">
        <v>12</v>
      </c>
      <c r="M348" s="1104">
        <f>E348*L348</f>
        <v>84000</v>
      </c>
      <c r="N348" s="1113">
        <v>0</v>
      </c>
      <c r="O348" s="1113">
        <v>0</v>
      </c>
      <c r="P348" s="1116">
        <f>E348*O348</f>
        <v>0</v>
      </c>
    </row>
    <row r="349" spans="1:16" s="1154" customFormat="1" ht="24">
      <c r="A349" s="1098" t="s">
        <v>506</v>
      </c>
      <c r="B349" s="1099" t="s">
        <v>505</v>
      </c>
      <c r="C349" s="1099" t="s">
        <v>504</v>
      </c>
      <c r="D349" s="1100" t="s">
        <v>756</v>
      </c>
      <c r="E349" s="1101">
        <v>10000</v>
      </c>
      <c r="F349" s="1099" t="s">
        <v>755</v>
      </c>
      <c r="G349" s="1100" t="s">
        <v>754</v>
      </c>
      <c r="H349" s="1099" t="s">
        <v>704</v>
      </c>
      <c r="I349" s="1102" t="s">
        <v>507</v>
      </c>
      <c r="J349" s="1099"/>
      <c r="K349" s="1103" t="s">
        <v>498</v>
      </c>
      <c r="L349" s="1103" t="s">
        <v>497</v>
      </c>
      <c r="M349" s="1104">
        <f>E349*L349</f>
        <v>120000</v>
      </c>
      <c r="N349" s="1099">
        <v>3</v>
      </c>
      <c r="O349" s="1099">
        <v>6</v>
      </c>
      <c r="P349" s="1105">
        <f>E349*O349</f>
        <v>60000</v>
      </c>
    </row>
    <row r="350" spans="1:16" s="1154" customFormat="1" ht="24">
      <c r="A350" s="1098" t="s">
        <v>506</v>
      </c>
      <c r="B350" s="1099" t="s">
        <v>505</v>
      </c>
      <c r="C350" s="1099" t="s">
        <v>504</v>
      </c>
      <c r="D350" s="1119" t="s">
        <v>753</v>
      </c>
      <c r="E350" s="1101">
        <v>9000</v>
      </c>
      <c r="F350" s="1120" t="s">
        <v>752</v>
      </c>
      <c r="G350" s="1114" t="s">
        <v>751</v>
      </c>
      <c r="H350" s="1113"/>
      <c r="I350" s="1114"/>
      <c r="J350" s="1121"/>
      <c r="K350" s="1103">
        <v>1</v>
      </c>
      <c r="L350" s="1103">
        <v>0</v>
      </c>
      <c r="M350" s="1115">
        <f>E350/30*14+E350*6</f>
        <v>58200</v>
      </c>
      <c r="N350" s="1113">
        <v>0</v>
      </c>
      <c r="O350" s="1113">
        <v>0</v>
      </c>
      <c r="P350" s="1116">
        <f>E350*O350</f>
        <v>0</v>
      </c>
    </row>
    <row r="351" spans="1:16" s="1154" customFormat="1" ht="24">
      <c r="A351" s="1098" t="s">
        <v>506</v>
      </c>
      <c r="B351" s="1099" t="s">
        <v>505</v>
      </c>
      <c r="C351" s="1099" t="s">
        <v>504</v>
      </c>
      <c r="D351" s="1119" t="s">
        <v>569</v>
      </c>
      <c r="E351" s="1101">
        <v>6200</v>
      </c>
      <c r="F351" s="1120" t="s">
        <v>750</v>
      </c>
      <c r="G351" s="1114" t="s">
        <v>749</v>
      </c>
      <c r="H351" s="1113"/>
      <c r="I351" s="1114"/>
      <c r="J351" s="1113"/>
      <c r="K351" s="1103">
        <v>1</v>
      </c>
      <c r="L351" s="1103">
        <v>7</v>
      </c>
      <c r="M351" s="1104">
        <f>E351*L351</f>
        <v>43400</v>
      </c>
      <c r="N351" s="1113">
        <v>0</v>
      </c>
      <c r="O351" s="1113">
        <v>0</v>
      </c>
      <c r="P351" s="1116">
        <v>0</v>
      </c>
    </row>
    <row r="352" spans="1:16" s="1154" customFormat="1" ht="24">
      <c r="A352" s="1098" t="s">
        <v>506</v>
      </c>
      <c r="B352" s="1099" t="s">
        <v>505</v>
      </c>
      <c r="C352" s="1099" t="s">
        <v>504</v>
      </c>
      <c r="D352" s="1100" t="s">
        <v>622</v>
      </c>
      <c r="E352" s="1101">
        <v>2500</v>
      </c>
      <c r="F352" s="1099" t="s">
        <v>748</v>
      </c>
      <c r="G352" s="1100" t="s">
        <v>747</v>
      </c>
      <c r="H352" s="1099" t="s">
        <v>543</v>
      </c>
      <c r="I352" s="1102" t="s">
        <v>547</v>
      </c>
      <c r="J352" s="1099"/>
      <c r="K352" s="1103" t="s">
        <v>498</v>
      </c>
      <c r="L352" s="1103" t="s">
        <v>497</v>
      </c>
      <c r="M352" s="1104">
        <f>E352*L352</f>
        <v>30000</v>
      </c>
      <c r="N352" s="1099">
        <v>3</v>
      </c>
      <c r="O352" s="1099">
        <v>6</v>
      </c>
      <c r="P352" s="1105">
        <f>E352*O352</f>
        <v>15000</v>
      </c>
    </row>
    <row r="353" spans="1:16" s="1154" customFormat="1" ht="24">
      <c r="A353" s="1098" t="s">
        <v>506</v>
      </c>
      <c r="B353" s="1099" t="s">
        <v>505</v>
      </c>
      <c r="C353" s="1099" t="s">
        <v>504</v>
      </c>
      <c r="D353" s="1119" t="s">
        <v>746</v>
      </c>
      <c r="E353" s="1101">
        <v>6000</v>
      </c>
      <c r="F353" s="1120" t="s">
        <v>745</v>
      </c>
      <c r="G353" s="1114" t="s">
        <v>744</v>
      </c>
      <c r="H353" s="1113"/>
      <c r="I353" s="1114"/>
      <c r="J353" s="1121"/>
      <c r="K353" s="1103">
        <v>1</v>
      </c>
      <c r="L353" s="1103">
        <v>6</v>
      </c>
      <c r="M353" s="1104">
        <f>E353*L353</f>
        <v>36000</v>
      </c>
      <c r="N353" s="1113">
        <v>0</v>
      </c>
      <c r="O353" s="1113">
        <v>0</v>
      </c>
      <c r="P353" s="1116">
        <v>0</v>
      </c>
    </row>
    <row r="354" spans="1:16" s="1154" customFormat="1" ht="24">
      <c r="A354" s="1098" t="s">
        <v>506</v>
      </c>
      <c r="B354" s="1099" t="s">
        <v>505</v>
      </c>
      <c r="C354" s="1099" t="s">
        <v>504</v>
      </c>
      <c r="D354" s="1119" t="s">
        <v>743</v>
      </c>
      <c r="E354" s="1101">
        <v>12000</v>
      </c>
      <c r="F354" s="1120" t="s">
        <v>742</v>
      </c>
      <c r="G354" s="1114" t="s">
        <v>741</v>
      </c>
      <c r="H354" s="1113"/>
      <c r="I354" s="1114"/>
      <c r="J354" s="1121"/>
      <c r="K354" s="1103">
        <v>1</v>
      </c>
      <c r="L354" s="1103">
        <v>5</v>
      </c>
      <c r="M354" s="1115">
        <f>E354/30*28+E354*5</f>
        <v>71200</v>
      </c>
      <c r="N354" s="1113">
        <v>0</v>
      </c>
      <c r="O354" s="1113">
        <v>0</v>
      </c>
      <c r="P354" s="1116">
        <v>0</v>
      </c>
    </row>
    <row r="355" spans="1:16" s="1155" customFormat="1" ht="24">
      <c r="A355" s="1098" t="s">
        <v>506</v>
      </c>
      <c r="B355" s="1099" t="s">
        <v>505</v>
      </c>
      <c r="C355" s="1099" t="s">
        <v>504</v>
      </c>
      <c r="D355" s="1100" t="s">
        <v>740</v>
      </c>
      <c r="E355" s="1101">
        <v>5500</v>
      </c>
      <c r="F355" s="1099" t="s">
        <v>739</v>
      </c>
      <c r="G355" s="1100" t="s">
        <v>738</v>
      </c>
      <c r="H355" s="1099" t="s">
        <v>737</v>
      </c>
      <c r="I355" s="1102" t="s">
        <v>507</v>
      </c>
      <c r="J355" s="1099"/>
      <c r="K355" s="1103" t="s">
        <v>498</v>
      </c>
      <c r="L355" s="1103" t="s">
        <v>497</v>
      </c>
      <c r="M355" s="1104">
        <f>E355*L355</f>
        <v>66000</v>
      </c>
      <c r="N355" s="1099">
        <v>3</v>
      </c>
      <c r="O355" s="1099">
        <v>6</v>
      </c>
      <c r="P355" s="1105">
        <f>E355*O355</f>
        <v>33000</v>
      </c>
    </row>
    <row r="356" spans="1:16" s="1155" customFormat="1" ht="48">
      <c r="A356" s="1098" t="s">
        <v>506</v>
      </c>
      <c r="B356" s="1099" t="s">
        <v>505</v>
      </c>
      <c r="C356" s="1099" t="s">
        <v>504</v>
      </c>
      <c r="D356" s="1100" t="s">
        <v>736</v>
      </c>
      <c r="E356" s="1101">
        <v>10000</v>
      </c>
      <c r="F356" s="1099" t="s">
        <v>734</v>
      </c>
      <c r="G356" s="1100" t="s">
        <v>733</v>
      </c>
      <c r="H356" s="1112" t="s">
        <v>519</v>
      </c>
      <c r="I356" s="1102" t="s">
        <v>732</v>
      </c>
      <c r="J356" s="1099"/>
      <c r="K356" s="1103" t="s">
        <v>498</v>
      </c>
      <c r="L356" s="1103" t="s">
        <v>583</v>
      </c>
      <c r="M356" s="1104">
        <f>+E356/30*11+E356*10</f>
        <v>103666.66666666667</v>
      </c>
      <c r="N356" s="1099">
        <v>0</v>
      </c>
      <c r="O356" s="1099">
        <v>0</v>
      </c>
      <c r="P356" s="1105">
        <f>E356*O356</f>
        <v>0</v>
      </c>
    </row>
    <row r="357" spans="1:16" s="1155" customFormat="1" ht="36">
      <c r="A357" s="1098" t="s">
        <v>506</v>
      </c>
      <c r="B357" s="1099" t="s">
        <v>505</v>
      </c>
      <c r="C357" s="1099" t="s">
        <v>504</v>
      </c>
      <c r="D357" s="1100" t="s">
        <v>735</v>
      </c>
      <c r="E357" s="1101">
        <v>12000</v>
      </c>
      <c r="F357" s="1099" t="s">
        <v>734</v>
      </c>
      <c r="G357" s="1100" t="s">
        <v>733</v>
      </c>
      <c r="H357" s="1112" t="s">
        <v>519</v>
      </c>
      <c r="I357" s="1102" t="s">
        <v>732</v>
      </c>
      <c r="J357" s="1099"/>
      <c r="K357" s="1103" t="s">
        <v>664</v>
      </c>
      <c r="L357" s="1103" t="s">
        <v>664</v>
      </c>
      <c r="M357" s="1104">
        <f>+E357/30*19+E357*1</f>
        <v>19600</v>
      </c>
      <c r="N357" s="1099">
        <v>3</v>
      </c>
      <c r="O357" s="1099">
        <v>6</v>
      </c>
      <c r="P357" s="1105">
        <f>E357*O357</f>
        <v>72000</v>
      </c>
    </row>
    <row r="358" spans="1:16" s="1155" customFormat="1" ht="24">
      <c r="A358" s="1098" t="s">
        <v>506</v>
      </c>
      <c r="B358" s="1099" t="s">
        <v>505</v>
      </c>
      <c r="C358" s="1099" t="s">
        <v>504</v>
      </c>
      <c r="D358" s="1102" t="s">
        <v>731</v>
      </c>
      <c r="E358" s="1101">
        <v>6500</v>
      </c>
      <c r="F358" s="1099" t="s">
        <v>730</v>
      </c>
      <c r="G358" s="1100" t="s">
        <v>729</v>
      </c>
      <c r="H358" s="1112" t="s">
        <v>508</v>
      </c>
      <c r="I358" s="1102" t="s">
        <v>507</v>
      </c>
      <c r="J358" s="1099"/>
      <c r="K358" s="1103" t="s">
        <v>498</v>
      </c>
      <c r="L358" s="1103" t="s">
        <v>497</v>
      </c>
      <c r="M358" s="1104">
        <f>E358*L358</f>
        <v>78000</v>
      </c>
      <c r="N358" s="1099">
        <v>3</v>
      </c>
      <c r="O358" s="1099">
        <v>6</v>
      </c>
      <c r="P358" s="1105">
        <f>E358*O358</f>
        <v>39000</v>
      </c>
    </row>
    <row r="359" spans="1:16" s="1155" customFormat="1" ht="24">
      <c r="A359" s="1098" t="s">
        <v>506</v>
      </c>
      <c r="B359" s="1099" t="s">
        <v>505</v>
      </c>
      <c r="C359" s="1099" t="s">
        <v>504</v>
      </c>
      <c r="D359" s="1119" t="s">
        <v>728</v>
      </c>
      <c r="E359" s="1101">
        <v>9000</v>
      </c>
      <c r="F359" s="1120" t="s">
        <v>727</v>
      </c>
      <c r="G359" s="1114" t="s">
        <v>726</v>
      </c>
      <c r="H359" s="1113"/>
      <c r="I359" s="1114"/>
      <c r="J359" s="1113"/>
      <c r="K359" s="1103">
        <v>1</v>
      </c>
      <c r="L359" s="1103">
        <v>7</v>
      </c>
      <c r="M359" s="1115">
        <f>E359/30*6+E359*7</f>
        <v>64800</v>
      </c>
      <c r="N359" s="1113">
        <v>0</v>
      </c>
      <c r="O359" s="1113">
        <v>0</v>
      </c>
      <c r="P359" s="1116">
        <v>0</v>
      </c>
    </row>
    <row r="360" spans="1:16" s="1155" customFormat="1" ht="24">
      <c r="A360" s="1098" t="s">
        <v>506</v>
      </c>
      <c r="B360" s="1099" t="s">
        <v>505</v>
      </c>
      <c r="C360" s="1099" t="s">
        <v>504</v>
      </c>
      <c r="D360" s="1100" t="s">
        <v>569</v>
      </c>
      <c r="E360" s="1101">
        <v>6500</v>
      </c>
      <c r="F360" s="1099" t="s">
        <v>725</v>
      </c>
      <c r="G360" s="1100" t="s">
        <v>724</v>
      </c>
      <c r="H360" s="1099" t="s">
        <v>704</v>
      </c>
      <c r="I360" s="1102" t="s">
        <v>507</v>
      </c>
      <c r="J360" s="1099"/>
      <c r="K360" s="1103" t="s">
        <v>498</v>
      </c>
      <c r="L360" s="1103" t="s">
        <v>497</v>
      </c>
      <c r="M360" s="1104">
        <f t="shared" ref="M360:M365" si="31">E360*L360</f>
        <v>78000</v>
      </c>
      <c r="N360" s="1099">
        <v>3</v>
      </c>
      <c r="O360" s="1099">
        <v>6</v>
      </c>
      <c r="P360" s="1105">
        <f>E360*O360</f>
        <v>39000</v>
      </c>
    </row>
    <row r="361" spans="1:16" s="1155" customFormat="1" ht="24">
      <c r="A361" s="1098" t="s">
        <v>506</v>
      </c>
      <c r="B361" s="1099" t="s">
        <v>505</v>
      </c>
      <c r="C361" s="1099" t="s">
        <v>504</v>
      </c>
      <c r="D361" s="1100" t="s">
        <v>569</v>
      </c>
      <c r="E361" s="1101">
        <v>6200</v>
      </c>
      <c r="F361" s="1099" t="s">
        <v>723</v>
      </c>
      <c r="G361" s="1100" t="s">
        <v>722</v>
      </c>
      <c r="H361" s="1099" t="s">
        <v>590</v>
      </c>
      <c r="I361" s="1102" t="s">
        <v>507</v>
      </c>
      <c r="J361" s="1099"/>
      <c r="K361" s="1103" t="s">
        <v>498</v>
      </c>
      <c r="L361" s="1103" t="s">
        <v>497</v>
      </c>
      <c r="M361" s="1104">
        <f t="shared" si="31"/>
        <v>74400</v>
      </c>
      <c r="N361" s="1099">
        <v>3</v>
      </c>
      <c r="O361" s="1099">
        <v>6</v>
      </c>
      <c r="P361" s="1105">
        <f>E361*O361</f>
        <v>37200</v>
      </c>
    </row>
    <row r="362" spans="1:16" s="1155" customFormat="1" ht="24">
      <c r="A362" s="1098" t="s">
        <v>506</v>
      </c>
      <c r="B362" s="1099" t="s">
        <v>505</v>
      </c>
      <c r="C362" s="1099" t="s">
        <v>504</v>
      </c>
      <c r="D362" s="1102" t="s">
        <v>721</v>
      </c>
      <c r="E362" s="1101">
        <v>5000</v>
      </c>
      <c r="F362" s="1122" t="s">
        <v>720</v>
      </c>
      <c r="G362" s="1100" t="s">
        <v>719</v>
      </c>
      <c r="H362" s="1112"/>
      <c r="I362" s="1102"/>
      <c r="J362" s="1099"/>
      <c r="K362" s="1103">
        <v>1</v>
      </c>
      <c r="L362" s="1103">
        <v>6</v>
      </c>
      <c r="M362" s="1104">
        <f t="shared" si="31"/>
        <v>30000</v>
      </c>
      <c r="N362" s="1099">
        <v>0</v>
      </c>
      <c r="O362" s="1099">
        <v>0</v>
      </c>
      <c r="P362" s="1105">
        <v>0</v>
      </c>
    </row>
    <row r="363" spans="1:16" s="1155" customFormat="1" ht="24">
      <c r="A363" s="1098" t="s">
        <v>506</v>
      </c>
      <c r="B363" s="1099" t="s">
        <v>505</v>
      </c>
      <c r="C363" s="1099" t="s">
        <v>504</v>
      </c>
      <c r="D363" s="1102" t="s">
        <v>721</v>
      </c>
      <c r="E363" s="1101">
        <v>7000</v>
      </c>
      <c r="F363" s="1122" t="s">
        <v>720</v>
      </c>
      <c r="G363" s="1100" t="s">
        <v>719</v>
      </c>
      <c r="H363" s="1112" t="s">
        <v>718</v>
      </c>
      <c r="I363" s="1102"/>
      <c r="J363" s="1099"/>
      <c r="K363" s="1103">
        <v>1</v>
      </c>
      <c r="L363" s="1103">
        <v>6</v>
      </c>
      <c r="M363" s="1104">
        <f t="shared" si="31"/>
        <v>42000</v>
      </c>
      <c r="N363" s="1099">
        <v>1</v>
      </c>
      <c r="O363" s="1099">
        <v>6</v>
      </c>
      <c r="P363" s="1105">
        <f>E363*O363</f>
        <v>42000</v>
      </c>
    </row>
    <row r="364" spans="1:16" s="1155" customFormat="1" ht="24">
      <c r="A364" s="1098" t="s">
        <v>506</v>
      </c>
      <c r="B364" s="1099" t="s">
        <v>505</v>
      </c>
      <c r="C364" s="1099" t="s">
        <v>504</v>
      </c>
      <c r="D364" s="1102" t="s">
        <v>717</v>
      </c>
      <c r="E364" s="1101">
        <v>5000</v>
      </c>
      <c r="F364" s="1113" t="s">
        <v>716</v>
      </c>
      <c r="G364" s="1114" t="s">
        <v>715</v>
      </c>
      <c r="H364" s="1113"/>
      <c r="I364" s="1114"/>
      <c r="J364" s="1113"/>
      <c r="K364" s="1103">
        <v>0</v>
      </c>
      <c r="L364" s="1103">
        <v>0</v>
      </c>
      <c r="M364" s="1104">
        <f t="shared" si="31"/>
        <v>0</v>
      </c>
      <c r="N364" s="1113">
        <v>3</v>
      </c>
      <c r="O364" s="1113">
        <v>5</v>
      </c>
      <c r="P364" s="1116">
        <f>E364/30*28+E364*5</f>
        <v>29666.666666666664</v>
      </c>
    </row>
    <row r="365" spans="1:16" s="1155" customFormat="1" ht="24">
      <c r="A365" s="1098" t="s">
        <v>506</v>
      </c>
      <c r="B365" s="1099" t="s">
        <v>505</v>
      </c>
      <c r="C365" s="1099" t="s">
        <v>504</v>
      </c>
      <c r="D365" s="1102" t="s">
        <v>622</v>
      </c>
      <c r="E365" s="1101">
        <v>2500</v>
      </c>
      <c r="F365" s="1099" t="s">
        <v>714</v>
      </c>
      <c r="G365" s="1100" t="s">
        <v>713</v>
      </c>
      <c r="H365" s="1112" t="s">
        <v>712</v>
      </c>
      <c r="I365" s="1102" t="s">
        <v>619</v>
      </c>
      <c r="J365" s="1099"/>
      <c r="K365" s="1103" t="s">
        <v>498</v>
      </c>
      <c r="L365" s="1103" t="s">
        <v>497</v>
      </c>
      <c r="M365" s="1104">
        <f t="shared" si="31"/>
        <v>30000</v>
      </c>
      <c r="N365" s="1099">
        <v>3</v>
      </c>
      <c r="O365" s="1099">
        <v>6</v>
      </c>
      <c r="P365" s="1105">
        <f>E365*O365</f>
        <v>15000</v>
      </c>
    </row>
    <row r="366" spans="1:16" s="1155" customFormat="1" ht="24">
      <c r="A366" s="1098" t="s">
        <v>506</v>
      </c>
      <c r="B366" s="1099" t="s">
        <v>505</v>
      </c>
      <c r="C366" s="1099" t="s">
        <v>504</v>
      </c>
      <c r="D366" s="1119" t="s">
        <v>566</v>
      </c>
      <c r="E366" s="1101">
        <v>15600</v>
      </c>
      <c r="F366" s="1120" t="s">
        <v>709</v>
      </c>
      <c r="G366" s="1114" t="s">
        <v>711</v>
      </c>
      <c r="H366" s="1113"/>
      <c r="I366" s="1114"/>
      <c r="J366" s="1113"/>
      <c r="K366" s="1103">
        <v>1</v>
      </c>
      <c r="L366" s="1103">
        <v>8</v>
      </c>
      <c r="M366" s="1115">
        <f>E366/30*9+E366*8</f>
        <v>129480</v>
      </c>
      <c r="N366" s="1113">
        <v>0</v>
      </c>
      <c r="O366" s="1113">
        <v>0</v>
      </c>
      <c r="P366" s="1116">
        <v>0</v>
      </c>
    </row>
    <row r="367" spans="1:16" s="1155" customFormat="1" ht="60">
      <c r="A367" s="1098" t="s">
        <v>506</v>
      </c>
      <c r="B367" s="1099" t="s">
        <v>505</v>
      </c>
      <c r="C367" s="1099" t="s">
        <v>504</v>
      </c>
      <c r="D367" s="1102" t="s">
        <v>710</v>
      </c>
      <c r="E367" s="1101">
        <v>5000</v>
      </c>
      <c r="F367" s="1113" t="s">
        <v>709</v>
      </c>
      <c r="G367" s="1114" t="s">
        <v>708</v>
      </c>
      <c r="H367" s="1113"/>
      <c r="I367" s="1114"/>
      <c r="J367" s="1113"/>
      <c r="K367" s="1103">
        <v>0</v>
      </c>
      <c r="L367" s="1103">
        <v>0</v>
      </c>
      <c r="M367" s="1115">
        <v>0</v>
      </c>
      <c r="N367" s="1113">
        <v>2</v>
      </c>
      <c r="O367" s="1113">
        <v>3</v>
      </c>
      <c r="P367" s="1116">
        <f>E367/30*28+E367*3</f>
        <v>19666.666666666664</v>
      </c>
    </row>
    <row r="368" spans="1:16" s="1155" customFormat="1" ht="36">
      <c r="A368" s="1098" t="s">
        <v>506</v>
      </c>
      <c r="B368" s="1099" t="s">
        <v>505</v>
      </c>
      <c r="C368" s="1099" t="s">
        <v>504</v>
      </c>
      <c r="D368" s="1102" t="s">
        <v>707</v>
      </c>
      <c r="E368" s="1101">
        <v>6000</v>
      </c>
      <c r="F368" s="1099" t="s">
        <v>706</v>
      </c>
      <c r="G368" s="1100" t="s">
        <v>705</v>
      </c>
      <c r="H368" s="1112" t="s">
        <v>704</v>
      </c>
      <c r="I368" s="1102" t="s">
        <v>507</v>
      </c>
      <c r="J368" s="1099"/>
      <c r="K368" s="1103" t="s">
        <v>563</v>
      </c>
      <c r="L368" s="1103" t="s">
        <v>562</v>
      </c>
      <c r="M368" s="1104">
        <f>+E368/30*25+E368*4</f>
        <v>29000</v>
      </c>
      <c r="N368" s="1099">
        <v>3</v>
      </c>
      <c r="O368" s="1099">
        <v>6</v>
      </c>
      <c r="P368" s="1105">
        <f>E368*O368</f>
        <v>36000</v>
      </c>
    </row>
    <row r="369" spans="1:16" s="1155" customFormat="1" ht="24">
      <c r="A369" s="1098" t="s">
        <v>506</v>
      </c>
      <c r="B369" s="1099" t="s">
        <v>505</v>
      </c>
      <c r="C369" s="1099" t="s">
        <v>504</v>
      </c>
      <c r="D369" s="1102" t="s">
        <v>703</v>
      </c>
      <c r="E369" s="1101">
        <v>8500</v>
      </c>
      <c r="F369" s="1113" t="s">
        <v>702</v>
      </c>
      <c r="G369" s="1114" t="s">
        <v>701</v>
      </c>
      <c r="H369" s="1113"/>
      <c r="I369" s="1114"/>
      <c r="J369" s="1113"/>
      <c r="K369" s="1103">
        <v>0</v>
      </c>
      <c r="L369" s="1103">
        <v>0</v>
      </c>
      <c r="M369" s="1115">
        <v>0</v>
      </c>
      <c r="N369" s="1113">
        <v>3</v>
      </c>
      <c r="O369" s="1113">
        <v>5</v>
      </c>
      <c r="P369" s="1116">
        <f>E369/30*22+E369*5</f>
        <v>48733.333333333336</v>
      </c>
    </row>
    <row r="370" spans="1:16" s="1155" customFormat="1" ht="48">
      <c r="A370" s="1098" t="s">
        <v>506</v>
      </c>
      <c r="B370" s="1099" t="s">
        <v>505</v>
      </c>
      <c r="C370" s="1099" t="s">
        <v>504</v>
      </c>
      <c r="D370" s="1100" t="s">
        <v>700</v>
      </c>
      <c r="E370" s="1101">
        <v>9000</v>
      </c>
      <c r="F370" s="1099" t="s">
        <v>699</v>
      </c>
      <c r="G370" s="1100" t="s">
        <v>698</v>
      </c>
      <c r="H370" s="1099" t="s">
        <v>515</v>
      </c>
      <c r="I370" s="1102" t="s">
        <v>507</v>
      </c>
      <c r="J370" s="1099"/>
      <c r="K370" s="1103" t="s">
        <v>498</v>
      </c>
      <c r="L370" s="1103" t="s">
        <v>497</v>
      </c>
      <c r="M370" s="1104">
        <f>E370*L370</f>
        <v>108000</v>
      </c>
      <c r="N370" s="1099">
        <v>3</v>
      </c>
      <c r="O370" s="1099">
        <v>6</v>
      </c>
      <c r="P370" s="1105">
        <f>E370*O370</f>
        <v>54000</v>
      </c>
    </row>
    <row r="371" spans="1:16" s="1155" customFormat="1" ht="24">
      <c r="A371" s="1098" t="s">
        <v>506</v>
      </c>
      <c r="B371" s="1099" t="s">
        <v>505</v>
      </c>
      <c r="C371" s="1099" t="s">
        <v>504</v>
      </c>
      <c r="D371" s="1102" t="s">
        <v>697</v>
      </c>
      <c r="E371" s="1101">
        <v>4500</v>
      </c>
      <c r="F371" s="1099" t="s">
        <v>696</v>
      </c>
      <c r="G371" s="1100" t="s">
        <v>695</v>
      </c>
      <c r="H371" s="1099" t="s">
        <v>534</v>
      </c>
      <c r="I371" s="1102" t="s">
        <v>507</v>
      </c>
      <c r="J371" s="1099"/>
      <c r="K371" s="1103" t="s">
        <v>563</v>
      </c>
      <c r="L371" s="1103" t="s">
        <v>687</v>
      </c>
      <c r="M371" s="1104">
        <f>E371*L371</f>
        <v>27000</v>
      </c>
      <c r="N371" s="1099">
        <v>3</v>
      </c>
      <c r="O371" s="1099">
        <v>6</v>
      </c>
      <c r="P371" s="1105">
        <f>E371*O371</f>
        <v>27000</v>
      </c>
    </row>
    <row r="372" spans="1:16" s="1155" customFormat="1" ht="24">
      <c r="A372" s="1098" t="s">
        <v>506</v>
      </c>
      <c r="B372" s="1099" t="s">
        <v>505</v>
      </c>
      <c r="C372" s="1099" t="s">
        <v>504</v>
      </c>
      <c r="D372" s="1102" t="s">
        <v>694</v>
      </c>
      <c r="E372" s="1101">
        <v>6000</v>
      </c>
      <c r="F372" s="1113" t="s">
        <v>693</v>
      </c>
      <c r="G372" s="1114" t="s">
        <v>692</v>
      </c>
      <c r="H372" s="1113"/>
      <c r="I372" s="1114"/>
      <c r="J372" s="1113"/>
      <c r="K372" s="1103">
        <v>0</v>
      </c>
      <c r="L372" s="1103">
        <v>0</v>
      </c>
      <c r="M372" s="1104">
        <f>E372*L372</f>
        <v>0</v>
      </c>
      <c r="N372" s="1113">
        <v>3</v>
      </c>
      <c r="O372" s="1113">
        <v>4</v>
      </c>
      <c r="P372" s="1116">
        <f>E372/30*25+E372*4</f>
        <v>29000</v>
      </c>
    </row>
    <row r="373" spans="1:16" s="1155" customFormat="1" ht="24">
      <c r="A373" s="1098" t="s">
        <v>506</v>
      </c>
      <c r="B373" s="1099" t="s">
        <v>505</v>
      </c>
      <c r="C373" s="1099" t="s">
        <v>504</v>
      </c>
      <c r="D373" s="1102" t="s">
        <v>691</v>
      </c>
      <c r="E373" s="1101">
        <v>3200</v>
      </c>
      <c r="F373" s="1099" t="s">
        <v>690</v>
      </c>
      <c r="G373" s="1100" t="s">
        <v>689</v>
      </c>
      <c r="H373" s="1112" t="s">
        <v>688</v>
      </c>
      <c r="I373" s="1102" t="s">
        <v>507</v>
      </c>
      <c r="J373" s="1099"/>
      <c r="K373" s="1103" t="s">
        <v>563</v>
      </c>
      <c r="L373" s="1103" t="s">
        <v>687</v>
      </c>
      <c r="M373" s="1104">
        <f>E373*L373</f>
        <v>19200</v>
      </c>
      <c r="N373" s="1099">
        <v>3</v>
      </c>
      <c r="O373" s="1099">
        <v>6</v>
      </c>
      <c r="P373" s="1105">
        <f>E373*O373</f>
        <v>19200</v>
      </c>
    </row>
    <row r="374" spans="1:16" s="1155" customFormat="1" ht="24">
      <c r="A374" s="1098" t="s">
        <v>506</v>
      </c>
      <c r="B374" s="1099" t="s">
        <v>505</v>
      </c>
      <c r="C374" s="1099" t="s">
        <v>504</v>
      </c>
      <c r="D374" s="1102" t="s">
        <v>686</v>
      </c>
      <c r="E374" s="1101">
        <v>9000</v>
      </c>
      <c r="F374" s="1113" t="s">
        <v>685</v>
      </c>
      <c r="G374" s="1114" t="s">
        <v>684</v>
      </c>
      <c r="H374" s="1113"/>
      <c r="I374" s="1114"/>
      <c r="J374" s="1113"/>
      <c r="K374" s="1103">
        <v>0</v>
      </c>
      <c r="L374" s="1103">
        <v>0</v>
      </c>
      <c r="M374" s="1104">
        <f>E374*L374</f>
        <v>0</v>
      </c>
      <c r="N374" s="1113">
        <v>3</v>
      </c>
      <c r="O374" s="1113">
        <v>4</v>
      </c>
      <c r="P374" s="1116">
        <f>E374/30*19+E374*4</f>
        <v>41700</v>
      </c>
    </row>
    <row r="375" spans="1:16" s="1155" customFormat="1" ht="48">
      <c r="A375" s="1098" t="s">
        <v>506</v>
      </c>
      <c r="B375" s="1099" t="s">
        <v>505</v>
      </c>
      <c r="C375" s="1099" t="s">
        <v>504</v>
      </c>
      <c r="D375" s="1119" t="s">
        <v>683</v>
      </c>
      <c r="E375" s="1101">
        <v>5000</v>
      </c>
      <c r="F375" s="1120" t="s">
        <v>680</v>
      </c>
      <c r="G375" s="1114" t="s">
        <v>682</v>
      </c>
      <c r="H375" s="1113"/>
      <c r="I375" s="1114"/>
      <c r="J375" s="1113"/>
      <c r="K375" s="1103">
        <v>3</v>
      </c>
      <c r="L375" s="1103">
        <v>9</v>
      </c>
      <c r="M375" s="1115">
        <f>E375/30*16+E375*9</f>
        <v>47666.666666666664</v>
      </c>
      <c r="N375" s="1113">
        <v>0</v>
      </c>
      <c r="O375" s="1113">
        <v>0</v>
      </c>
      <c r="P375" s="1116">
        <v>0</v>
      </c>
    </row>
    <row r="376" spans="1:16" s="1155" customFormat="1" ht="24">
      <c r="A376" s="1098" t="s">
        <v>506</v>
      </c>
      <c r="B376" s="1099" t="s">
        <v>505</v>
      </c>
      <c r="C376" s="1099" t="s">
        <v>504</v>
      </c>
      <c r="D376" s="1119" t="s">
        <v>681</v>
      </c>
      <c r="E376" s="1101">
        <v>15600</v>
      </c>
      <c r="F376" s="1120" t="s">
        <v>680</v>
      </c>
      <c r="G376" s="1114" t="s">
        <v>679</v>
      </c>
      <c r="H376" s="1113"/>
      <c r="I376" s="1114"/>
      <c r="J376" s="1113"/>
      <c r="K376" s="1103">
        <v>1</v>
      </c>
      <c r="L376" s="1103"/>
      <c r="M376" s="1115">
        <f>E376/30*2+E376*2</f>
        <v>32240</v>
      </c>
      <c r="N376" s="1113">
        <v>0</v>
      </c>
      <c r="O376" s="1113">
        <v>0</v>
      </c>
      <c r="P376" s="1116">
        <v>0</v>
      </c>
    </row>
    <row r="377" spans="1:16" s="1156" customFormat="1" ht="24">
      <c r="A377" s="1098" t="s">
        <v>506</v>
      </c>
      <c r="B377" s="1099" t="s">
        <v>505</v>
      </c>
      <c r="C377" s="1099" t="s">
        <v>504</v>
      </c>
      <c r="D377" s="1102" t="s">
        <v>678</v>
      </c>
      <c r="E377" s="1101">
        <v>5000</v>
      </c>
      <c r="F377" s="1113" t="s">
        <v>677</v>
      </c>
      <c r="G377" s="1114" t="s">
        <v>676</v>
      </c>
      <c r="H377" s="1113"/>
      <c r="I377" s="1114"/>
      <c r="J377" s="1113"/>
      <c r="K377" s="1103">
        <v>0</v>
      </c>
      <c r="L377" s="1103">
        <v>0</v>
      </c>
      <c r="M377" s="1115">
        <v>0</v>
      </c>
      <c r="N377" s="1113">
        <v>3</v>
      </c>
      <c r="O377" s="1113">
        <v>5</v>
      </c>
      <c r="P377" s="1116">
        <f>E377/30*28+E377*5</f>
        <v>29666.666666666664</v>
      </c>
    </row>
    <row r="378" spans="1:16" s="1156" customFormat="1" ht="24">
      <c r="A378" s="1098" t="s">
        <v>506</v>
      </c>
      <c r="B378" s="1099" t="s">
        <v>505</v>
      </c>
      <c r="C378" s="1099" t="s">
        <v>504</v>
      </c>
      <c r="D378" s="1100" t="s">
        <v>518</v>
      </c>
      <c r="E378" s="1101">
        <v>7500</v>
      </c>
      <c r="F378" s="1099" t="s">
        <v>675</v>
      </c>
      <c r="G378" s="1100" t="s">
        <v>674</v>
      </c>
      <c r="H378" s="1099" t="s">
        <v>632</v>
      </c>
      <c r="I378" s="1102" t="s">
        <v>507</v>
      </c>
      <c r="J378" s="1099"/>
      <c r="K378" s="1103" t="s">
        <v>498</v>
      </c>
      <c r="L378" s="1103" t="s">
        <v>497</v>
      </c>
      <c r="M378" s="1104">
        <f>E378*L378</f>
        <v>90000</v>
      </c>
      <c r="N378" s="1099">
        <v>3</v>
      </c>
      <c r="O378" s="1099">
        <v>6</v>
      </c>
      <c r="P378" s="1105">
        <f>E378*O378</f>
        <v>45000</v>
      </c>
    </row>
    <row r="379" spans="1:16" s="1156" customFormat="1" ht="24">
      <c r="A379" s="1098" t="s">
        <v>506</v>
      </c>
      <c r="B379" s="1099" t="s">
        <v>505</v>
      </c>
      <c r="C379" s="1099" t="s">
        <v>504</v>
      </c>
      <c r="D379" s="1100" t="s">
        <v>663</v>
      </c>
      <c r="E379" s="1101">
        <v>7000</v>
      </c>
      <c r="F379" s="1099" t="s">
        <v>673</v>
      </c>
      <c r="G379" s="1100" t="s">
        <v>672</v>
      </c>
      <c r="H379" s="1099" t="s">
        <v>671</v>
      </c>
      <c r="I379" s="1102" t="s">
        <v>507</v>
      </c>
      <c r="J379" s="1099"/>
      <c r="K379" s="1103" t="s">
        <v>498</v>
      </c>
      <c r="L379" s="1103" t="s">
        <v>497</v>
      </c>
      <c r="M379" s="1104">
        <f>E379*L379</f>
        <v>84000</v>
      </c>
      <c r="N379" s="1099">
        <v>3</v>
      </c>
      <c r="O379" s="1099">
        <v>6</v>
      </c>
      <c r="P379" s="1105">
        <f>E379*O379</f>
        <v>42000</v>
      </c>
    </row>
    <row r="380" spans="1:16" s="1156" customFormat="1" ht="24">
      <c r="A380" s="1098" t="s">
        <v>506</v>
      </c>
      <c r="B380" s="1099" t="s">
        <v>505</v>
      </c>
      <c r="C380" s="1099" t="s">
        <v>504</v>
      </c>
      <c r="D380" s="1119" t="s">
        <v>670</v>
      </c>
      <c r="E380" s="1101">
        <v>7000</v>
      </c>
      <c r="F380" s="1120" t="s">
        <v>669</v>
      </c>
      <c r="G380" s="1114" t="s">
        <v>668</v>
      </c>
      <c r="H380" s="1113"/>
      <c r="I380" s="1114"/>
      <c r="J380" s="1121"/>
      <c r="K380" s="1103">
        <v>1</v>
      </c>
      <c r="L380" s="1103">
        <v>2</v>
      </c>
      <c r="M380" s="1104">
        <f>E380*L380</f>
        <v>14000</v>
      </c>
      <c r="N380" s="1113">
        <v>0</v>
      </c>
      <c r="O380" s="1113">
        <v>0</v>
      </c>
      <c r="P380" s="1116">
        <v>0</v>
      </c>
    </row>
    <row r="381" spans="1:16" s="1156" customFormat="1" ht="24">
      <c r="A381" s="1098" t="s">
        <v>506</v>
      </c>
      <c r="B381" s="1099" t="s">
        <v>505</v>
      </c>
      <c r="C381" s="1099" t="s">
        <v>504</v>
      </c>
      <c r="D381" s="1102" t="s">
        <v>667</v>
      </c>
      <c r="E381" s="1101">
        <v>7000</v>
      </c>
      <c r="F381" s="1099" t="s">
        <v>666</v>
      </c>
      <c r="G381" s="1100" t="s">
        <v>665</v>
      </c>
      <c r="H381" s="1112" t="s">
        <v>534</v>
      </c>
      <c r="I381" s="1102" t="s">
        <v>507</v>
      </c>
      <c r="J381" s="1099"/>
      <c r="K381" s="1103" t="s">
        <v>664</v>
      </c>
      <c r="L381" s="1103" t="s">
        <v>563</v>
      </c>
      <c r="M381" s="1104">
        <f>+E381/30*19+E381*2</f>
        <v>18433.333333333336</v>
      </c>
      <c r="N381" s="1099">
        <v>3</v>
      </c>
      <c r="O381" s="1099">
        <v>6</v>
      </c>
      <c r="P381" s="1105">
        <f>E381*O381</f>
        <v>42000</v>
      </c>
    </row>
    <row r="382" spans="1:16" s="1156" customFormat="1" ht="24">
      <c r="A382" s="1098" t="s">
        <v>506</v>
      </c>
      <c r="B382" s="1099" t="s">
        <v>505</v>
      </c>
      <c r="C382" s="1099" t="s">
        <v>504</v>
      </c>
      <c r="D382" s="1102" t="s">
        <v>663</v>
      </c>
      <c r="E382" s="1101">
        <v>8000</v>
      </c>
      <c r="F382" s="1122" t="s">
        <v>662</v>
      </c>
      <c r="G382" s="1100" t="s">
        <v>661</v>
      </c>
      <c r="H382" s="1112" t="s">
        <v>660</v>
      </c>
      <c r="I382" s="1102"/>
      <c r="J382" s="1099"/>
      <c r="K382" s="1103">
        <v>1</v>
      </c>
      <c r="L382" s="1103">
        <v>2</v>
      </c>
      <c r="M382" s="1104">
        <f>E382/30*14+E382*2</f>
        <v>19733.333333333332</v>
      </c>
      <c r="N382" s="1099">
        <v>1</v>
      </c>
      <c r="O382" s="1099">
        <v>5</v>
      </c>
      <c r="P382" s="1105">
        <f>E381*O382</f>
        <v>35000</v>
      </c>
    </row>
    <row r="383" spans="1:16" s="1156" customFormat="1" ht="24">
      <c r="A383" s="1098" t="s">
        <v>506</v>
      </c>
      <c r="B383" s="1099" t="s">
        <v>505</v>
      </c>
      <c r="C383" s="1099" t="s">
        <v>504</v>
      </c>
      <c r="D383" s="1100" t="s">
        <v>659</v>
      </c>
      <c r="E383" s="1101">
        <v>3150</v>
      </c>
      <c r="F383" s="1099" t="s">
        <v>658</v>
      </c>
      <c r="G383" s="1100" t="s">
        <v>657</v>
      </c>
      <c r="H383" s="1099" t="s">
        <v>656</v>
      </c>
      <c r="I383" s="1100" t="s">
        <v>499</v>
      </c>
      <c r="J383" s="1099"/>
      <c r="K383" s="1103" t="s">
        <v>498</v>
      </c>
      <c r="L383" s="1103" t="s">
        <v>497</v>
      </c>
      <c r="M383" s="1104">
        <f t="shared" ref="M383:M390" si="32">E383*L383</f>
        <v>37800</v>
      </c>
      <c r="N383" s="1099">
        <v>3</v>
      </c>
      <c r="O383" s="1099">
        <v>6</v>
      </c>
      <c r="P383" s="1105">
        <f>E383*O383</f>
        <v>18900</v>
      </c>
    </row>
    <row r="384" spans="1:16" s="1156" customFormat="1" ht="36">
      <c r="A384" s="1098" t="s">
        <v>506</v>
      </c>
      <c r="B384" s="1099" t="s">
        <v>505</v>
      </c>
      <c r="C384" s="1099" t="s">
        <v>504</v>
      </c>
      <c r="D384" s="1100" t="s">
        <v>655</v>
      </c>
      <c r="E384" s="1101">
        <v>7500</v>
      </c>
      <c r="F384" s="1099" t="s">
        <v>654</v>
      </c>
      <c r="G384" s="1100" t="s">
        <v>653</v>
      </c>
      <c r="H384" s="1099" t="s">
        <v>519</v>
      </c>
      <c r="I384" s="1102" t="s">
        <v>507</v>
      </c>
      <c r="J384" s="1099"/>
      <c r="K384" s="1103" t="s">
        <v>498</v>
      </c>
      <c r="L384" s="1103" t="s">
        <v>497</v>
      </c>
      <c r="M384" s="1104">
        <f t="shared" si="32"/>
        <v>90000</v>
      </c>
      <c r="N384" s="1099">
        <v>3</v>
      </c>
      <c r="O384" s="1099">
        <v>6</v>
      </c>
      <c r="P384" s="1105">
        <f>E384*O384</f>
        <v>45000</v>
      </c>
    </row>
    <row r="385" spans="1:16" s="1156" customFormat="1" ht="24">
      <c r="A385" s="1098" t="s">
        <v>506</v>
      </c>
      <c r="B385" s="1099" t="s">
        <v>505</v>
      </c>
      <c r="C385" s="1099" t="s">
        <v>504</v>
      </c>
      <c r="D385" s="1100" t="s">
        <v>518</v>
      </c>
      <c r="E385" s="1101">
        <v>4000</v>
      </c>
      <c r="F385" s="1099" t="s">
        <v>652</v>
      </c>
      <c r="G385" s="1100" t="s">
        <v>651</v>
      </c>
      <c r="H385" s="1099" t="s">
        <v>534</v>
      </c>
      <c r="I385" s="1102" t="s">
        <v>507</v>
      </c>
      <c r="J385" s="1099"/>
      <c r="K385" s="1103" t="s">
        <v>498</v>
      </c>
      <c r="L385" s="1103" t="s">
        <v>497</v>
      </c>
      <c r="M385" s="1104">
        <f t="shared" si="32"/>
        <v>48000</v>
      </c>
      <c r="N385" s="1099">
        <v>3</v>
      </c>
      <c r="O385" s="1099">
        <v>6</v>
      </c>
      <c r="P385" s="1105">
        <f>E385*O385</f>
        <v>24000</v>
      </c>
    </row>
    <row r="386" spans="1:16" s="1156" customFormat="1" ht="96">
      <c r="A386" s="1098" t="s">
        <v>506</v>
      </c>
      <c r="B386" s="1099" t="s">
        <v>505</v>
      </c>
      <c r="C386" s="1099" t="s">
        <v>504</v>
      </c>
      <c r="D386" s="1100" t="s">
        <v>650</v>
      </c>
      <c r="E386" s="1101">
        <v>3000</v>
      </c>
      <c r="F386" s="1099" t="s">
        <v>649</v>
      </c>
      <c r="G386" s="1100" t="s">
        <v>648</v>
      </c>
      <c r="H386" s="1099" t="s">
        <v>647</v>
      </c>
      <c r="I386" s="1100" t="s">
        <v>499</v>
      </c>
      <c r="J386" s="1099"/>
      <c r="K386" s="1103" t="s">
        <v>498</v>
      </c>
      <c r="L386" s="1103" t="s">
        <v>497</v>
      </c>
      <c r="M386" s="1104">
        <f t="shared" si="32"/>
        <v>36000</v>
      </c>
      <c r="N386" s="1099">
        <v>3</v>
      </c>
      <c r="O386" s="1099">
        <v>6</v>
      </c>
      <c r="P386" s="1105">
        <f>E386*O386</f>
        <v>18000</v>
      </c>
    </row>
    <row r="387" spans="1:16" s="1156" customFormat="1" ht="24">
      <c r="A387" s="1098" t="s">
        <v>506</v>
      </c>
      <c r="B387" s="1099" t="s">
        <v>505</v>
      </c>
      <c r="C387" s="1099" t="s">
        <v>504</v>
      </c>
      <c r="D387" s="1100" t="s">
        <v>646</v>
      </c>
      <c r="E387" s="1101">
        <v>6000</v>
      </c>
      <c r="F387" s="1099" t="s">
        <v>645</v>
      </c>
      <c r="G387" s="1100" t="s">
        <v>644</v>
      </c>
      <c r="H387" s="1099" t="s">
        <v>643</v>
      </c>
      <c r="I387" s="1102" t="s">
        <v>507</v>
      </c>
      <c r="J387" s="1099"/>
      <c r="K387" s="1103" t="s">
        <v>498</v>
      </c>
      <c r="L387" s="1103" t="s">
        <v>497</v>
      </c>
      <c r="M387" s="1104">
        <f t="shared" si="32"/>
        <v>72000</v>
      </c>
      <c r="N387" s="1099">
        <v>3</v>
      </c>
      <c r="O387" s="1099">
        <v>6</v>
      </c>
      <c r="P387" s="1105">
        <f>E387*O387</f>
        <v>36000</v>
      </c>
    </row>
    <row r="388" spans="1:16" s="1156" customFormat="1" ht="36">
      <c r="A388" s="1098" t="s">
        <v>506</v>
      </c>
      <c r="B388" s="1099" t="s">
        <v>505</v>
      </c>
      <c r="C388" s="1099" t="s">
        <v>504</v>
      </c>
      <c r="D388" s="1119" t="s">
        <v>642</v>
      </c>
      <c r="E388" s="1101">
        <v>7500</v>
      </c>
      <c r="F388" s="1120" t="s">
        <v>641</v>
      </c>
      <c r="G388" s="1114" t="s">
        <v>640</v>
      </c>
      <c r="H388" s="1113"/>
      <c r="I388" s="1114"/>
      <c r="J388" s="1113"/>
      <c r="K388" s="1103">
        <v>3</v>
      </c>
      <c r="L388" s="1103">
        <v>12</v>
      </c>
      <c r="M388" s="1104">
        <f t="shared" si="32"/>
        <v>90000</v>
      </c>
      <c r="N388" s="1113">
        <v>0</v>
      </c>
      <c r="O388" s="1113">
        <v>0</v>
      </c>
      <c r="P388" s="1116">
        <v>0</v>
      </c>
    </row>
    <row r="389" spans="1:16" s="1156" customFormat="1" ht="36">
      <c r="A389" s="1098" t="s">
        <v>506</v>
      </c>
      <c r="B389" s="1099" t="s">
        <v>505</v>
      </c>
      <c r="C389" s="1099" t="s">
        <v>504</v>
      </c>
      <c r="D389" s="1100" t="s">
        <v>639</v>
      </c>
      <c r="E389" s="1101">
        <v>5000</v>
      </c>
      <c r="F389" s="1099" t="s">
        <v>638</v>
      </c>
      <c r="G389" s="1100" t="s">
        <v>637</v>
      </c>
      <c r="H389" s="1112" t="s">
        <v>636</v>
      </c>
      <c r="I389" s="1102" t="s">
        <v>507</v>
      </c>
      <c r="J389" s="1099"/>
      <c r="K389" s="1103" t="s">
        <v>498</v>
      </c>
      <c r="L389" s="1103" t="s">
        <v>497</v>
      </c>
      <c r="M389" s="1104">
        <f t="shared" si="32"/>
        <v>60000</v>
      </c>
      <c r="N389" s="1099">
        <v>3</v>
      </c>
      <c r="O389" s="1099">
        <v>6</v>
      </c>
      <c r="P389" s="1105">
        <f>E389*O389</f>
        <v>30000</v>
      </c>
    </row>
    <row r="390" spans="1:16" s="1156" customFormat="1" ht="60">
      <c r="A390" s="1098" t="s">
        <v>506</v>
      </c>
      <c r="B390" s="1099" t="s">
        <v>505</v>
      </c>
      <c r="C390" s="1099" t="s">
        <v>504</v>
      </c>
      <c r="D390" s="1100" t="s">
        <v>635</v>
      </c>
      <c r="E390" s="1101">
        <v>3600</v>
      </c>
      <c r="F390" s="1099" t="s">
        <v>634</v>
      </c>
      <c r="G390" s="1100" t="s">
        <v>633</v>
      </c>
      <c r="H390" s="1099" t="s">
        <v>632</v>
      </c>
      <c r="I390" s="1102" t="s">
        <v>507</v>
      </c>
      <c r="J390" s="1099"/>
      <c r="K390" s="1103" t="s">
        <v>498</v>
      </c>
      <c r="L390" s="1103" t="s">
        <v>497</v>
      </c>
      <c r="M390" s="1104">
        <f t="shared" si="32"/>
        <v>43200</v>
      </c>
      <c r="N390" s="1099">
        <v>3</v>
      </c>
      <c r="O390" s="1099">
        <v>6</v>
      </c>
      <c r="P390" s="1105">
        <f>E390*O390</f>
        <v>21600</v>
      </c>
    </row>
    <row r="391" spans="1:16" s="1156" customFormat="1" ht="24">
      <c r="A391" s="1098" t="s">
        <v>506</v>
      </c>
      <c r="B391" s="1099" t="s">
        <v>505</v>
      </c>
      <c r="C391" s="1099" t="s">
        <v>504</v>
      </c>
      <c r="D391" s="1119" t="s">
        <v>631</v>
      </c>
      <c r="E391" s="1101">
        <v>12000</v>
      </c>
      <c r="F391" s="1120" t="s">
        <v>630</v>
      </c>
      <c r="G391" s="1114" t="s">
        <v>629</v>
      </c>
      <c r="H391" s="1113"/>
      <c r="I391" s="1114"/>
      <c r="J391" s="1121"/>
      <c r="K391" s="1103">
        <v>1</v>
      </c>
      <c r="L391" s="1103">
        <v>3</v>
      </c>
      <c r="M391" s="1115">
        <f>E391/30*8+E391*3</f>
        <v>39200</v>
      </c>
      <c r="N391" s="1113">
        <v>0</v>
      </c>
      <c r="O391" s="1113">
        <v>0</v>
      </c>
      <c r="P391" s="1116">
        <v>0</v>
      </c>
    </row>
    <row r="392" spans="1:16" s="1156" customFormat="1" ht="24">
      <c r="A392" s="1098" t="s">
        <v>506</v>
      </c>
      <c r="B392" s="1099" t="s">
        <v>505</v>
      </c>
      <c r="C392" s="1099" t="s">
        <v>504</v>
      </c>
      <c r="D392" s="1100" t="s">
        <v>546</v>
      </c>
      <c r="E392" s="1101">
        <v>15600</v>
      </c>
      <c r="F392" s="1120" t="s">
        <v>628</v>
      </c>
      <c r="G392" s="1114" t="s">
        <v>627</v>
      </c>
      <c r="H392" s="1113"/>
      <c r="I392" s="1114"/>
      <c r="J392" s="1121"/>
      <c r="K392" s="1103">
        <v>1</v>
      </c>
      <c r="L392" s="1103">
        <v>0</v>
      </c>
      <c r="M392" s="1115">
        <f>E392/30*28</f>
        <v>14560</v>
      </c>
      <c r="N392" s="1113">
        <v>0</v>
      </c>
      <c r="O392" s="1113">
        <v>0</v>
      </c>
      <c r="P392" s="1116">
        <v>0</v>
      </c>
    </row>
    <row r="393" spans="1:16" s="1156" customFormat="1" ht="24">
      <c r="A393" s="1098" t="s">
        <v>506</v>
      </c>
      <c r="B393" s="1099" t="s">
        <v>505</v>
      </c>
      <c r="C393" s="1099" t="s">
        <v>504</v>
      </c>
      <c r="D393" s="1100" t="s">
        <v>518</v>
      </c>
      <c r="E393" s="1101">
        <v>4000</v>
      </c>
      <c r="F393" s="1099" t="s">
        <v>626</v>
      </c>
      <c r="G393" s="1100" t="s">
        <v>625</v>
      </c>
      <c r="H393" s="1112" t="s">
        <v>534</v>
      </c>
      <c r="I393" s="1100" t="s">
        <v>507</v>
      </c>
      <c r="J393" s="1099"/>
      <c r="K393" s="1103" t="s">
        <v>498</v>
      </c>
      <c r="L393" s="1103" t="s">
        <v>497</v>
      </c>
      <c r="M393" s="1104">
        <f>E393*L393</f>
        <v>48000</v>
      </c>
      <c r="N393" s="1099">
        <v>3</v>
      </c>
      <c r="O393" s="1099">
        <v>6</v>
      </c>
      <c r="P393" s="1105">
        <f>E393*O393</f>
        <v>24000</v>
      </c>
    </row>
    <row r="394" spans="1:16" s="1156" customFormat="1" ht="24">
      <c r="A394" s="1098" t="s">
        <v>506</v>
      </c>
      <c r="B394" s="1099" t="s">
        <v>505</v>
      </c>
      <c r="C394" s="1099" t="s">
        <v>504</v>
      </c>
      <c r="D394" s="1100" t="s">
        <v>593</v>
      </c>
      <c r="E394" s="1101">
        <v>6000</v>
      </c>
      <c r="F394" s="1099" t="s">
        <v>624</v>
      </c>
      <c r="G394" s="1100" t="s">
        <v>623</v>
      </c>
      <c r="H394" s="1099" t="s">
        <v>590</v>
      </c>
      <c r="I394" s="1100" t="s">
        <v>507</v>
      </c>
      <c r="J394" s="1099"/>
      <c r="K394" s="1103" t="s">
        <v>498</v>
      </c>
      <c r="L394" s="1103" t="s">
        <v>497</v>
      </c>
      <c r="M394" s="1104">
        <f>E394*L394</f>
        <v>72000</v>
      </c>
      <c r="N394" s="1099">
        <v>3</v>
      </c>
      <c r="O394" s="1099">
        <v>6</v>
      </c>
      <c r="P394" s="1105">
        <f>E394*O394</f>
        <v>36000</v>
      </c>
    </row>
    <row r="395" spans="1:16" s="1156" customFormat="1" ht="24">
      <c r="A395" s="1098" t="s">
        <v>506</v>
      </c>
      <c r="B395" s="1099" t="s">
        <v>505</v>
      </c>
      <c r="C395" s="1099" t="s">
        <v>504</v>
      </c>
      <c r="D395" s="1100" t="s">
        <v>622</v>
      </c>
      <c r="E395" s="1101">
        <v>2500</v>
      </c>
      <c r="F395" s="1122" t="s">
        <v>621</v>
      </c>
      <c r="G395" s="1100" t="s">
        <v>620</v>
      </c>
      <c r="H395" s="1099" t="s">
        <v>619</v>
      </c>
      <c r="I395" s="1100" t="s">
        <v>618</v>
      </c>
      <c r="J395" s="1099"/>
      <c r="K395" s="1103">
        <v>1</v>
      </c>
      <c r="L395" s="1103">
        <v>12</v>
      </c>
      <c r="M395" s="1104">
        <f>E395*L395</f>
        <v>30000</v>
      </c>
      <c r="N395" s="1099">
        <v>1</v>
      </c>
      <c r="O395" s="1099">
        <v>6</v>
      </c>
      <c r="P395" s="1105">
        <f>E395*O395</f>
        <v>15000</v>
      </c>
    </row>
    <row r="396" spans="1:16" s="1156" customFormat="1" ht="24">
      <c r="A396" s="1098" t="s">
        <v>506</v>
      </c>
      <c r="B396" s="1099" t="s">
        <v>505</v>
      </c>
      <c r="C396" s="1099" t="s">
        <v>504</v>
      </c>
      <c r="D396" s="1100" t="s">
        <v>537</v>
      </c>
      <c r="E396" s="1101">
        <v>5000</v>
      </c>
      <c r="F396" s="1099" t="s">
        <v>617</v>
      </c>
      <c r="G396" s="1100" t="s">
        <v>616</v>
      </c>
      <c r="H396" s="1099"/>
      <c r="I396" s="1100"/>
      <c r="J396" s="1099"/>
      <c r="K396" s="1103" t="s">
        <v>498</v>
      </c>
      <c r="L396" s="1103" t="s">
        <v>497</v>
      </c>
      <c r="M396" s="1104">
        <f>E396*L396</f>
        <v>60000</v>
      </c>
      <c r="N396" s="1099">
        <v>3</v>
      </c>
      <c r="O396" s="1099">
        <v>6</v>
      </c>
      <c r="P396" s="1105">
        <f>E396*O396</f>
        <v>30000</v>
      </c>
    </row>
    <row r="397" spans="1:16" s="1156" customFormat="1" ht="72">
      <c r="A397" s="1098" t="s">
        <v>506</v>
      </c>
      <c r="B397" s="1099" t="s">
        <v>505</v>
      </c>
      <c r="C397" s="1099" t="s">
        <v>504</v>
      </c>
      <c r="D397" s="1100" t="s">
        <v>615</v>
      </c>
      <c r="E397" s="1101">
        <v>2000</v>
      </c>
      <c r="F397" s="1099" t="s">
        <v>614</v>
      </c>
      <c r="G397" s="1100" t="s">
        <v>613</v>
      </c>
      <c r="H397" s="1099" t="s">
        <v>612</v>
      </c>
      <c r="I397" s="1100" t="s">
        <v>499</v>
      </c>
      <c r="J397" s="1099"/>
      <c r="K397" s="1103" t="s">
        <v>498</v>
      </c>
      <c r="L397" s="1103" t="s">
        <v>497</v>
      </c>
      <c r="M397" s="1104">
        <f>E397*L397</f>
        <v>24000</v>
      </c>
      <c r="N397" s="1099">
        <v>3</v>
      </c>
      <c r="O397" s="1099">
        <v>6</v>
      </c>
      <c r="P397" s="1105">
        <f>E397*O397</f>
        <v>12000</v>
      </c>
    </row>
    <row r="398" spans="1:16" s="1156" customFormat="1" ht="24">
      <c r="A398" s="1098" t="s">
        <v>506</v>
      </c>
      <c r="B398" s="1099" t="s">
        <v>505</v>
      </c>
      <c r="C398" s="1099" t="s">
        <v>504</v>
      </c>
      <c r="D398" s="1119" t="s">
        <v>611</v>
      </c>
      <c r="E398" s="1101">
        <v>15600</v>
      </c>
      <c r="F398" s="1120" t="s">
        <v>610</v>
      </c>
      <c r="G398" s="1114" t="s">
        <v>609</v>
      </c>
      <c r="H398" s="1113"/>
      <c r="I398" s="1114"/>
      <c r="J398" s="1113"/>
      <c r="K398" s="1103">
        <v>1</v>
      </c>
      <c r="L398" s="1103">
        <v>1</v>
      </c>
      <c r="M398" s="1115">
        <f>E398/30*9+E398+1</f>
        <v>20281</v>
      </c>
      <c r="N398" s="1113">
        <v>0</v>
      </c>
      <c r="O398" s="1113">
        <v>0</v>
      </c>
      <c r="P398" s="1116">
        <v>0</v>
      </c>
    </row>
    <row r="399" spans="1:16" s="1156" customFormat="1" ht="36">
      <c r="A399" s="1098" t="s">
        <v>506</v>
      </c>
      <c r="B399" s="1099" t="s">
        <v>505</v>
      </c>
      <c r="C399" s="1099" t="s">
        <v>504</v>
      </c>
      <c r="D399" s="1100" t="s">
        <v>608</v>
      </c>
      <c r="E399" s="1101">
        <v>3000</v>
      </c>
      <c r="F399" s="1099" t="s">
        <v>607</v>
      </c>
      <c r="G399" s="1100" t="s">
        <v>606</v>
      </c>
      <c r="H399" s="1099" t="s">
        <v>605</v>
      </c>
      <c r="I399" s="1102" t="s">
        <v>507</v>
      </c>
      <c r="J399" s="1099"/>
      <c r="K399" s="1103" t="s">
        <v>498</v>
      </c>
      <c r="L399" s="1103" t="s">
        <v>497</v>
      </c>
      <c r="M399" s="1104">
        <f t="shared" ref="M399:M405" si="33">E399*L399</f>
        <v>36000</v>
      </c>
      <c r="N399" s="1099">
        <v>3</v>
      </c>
      <c r="O399" s="1099">
        <v>6</v>
      </c>
      <c r="P399" s="1105">
        <f t="shared" ref="P399:P410" si="34">E399*O399</f>
        <v>18000</v>
      </c>
    </row>
    <row r="400" spans="1:16" s="1156" customFormat="1" ht="24">
      <c r="A400" s="1098" t="s">
        <v>506</v>
      </c>
      <c r="B400" s="1099" t="s">
        <v>505</v>
      </c>
      <c r="C400" s="1099" t="s">
        <v>504</v>
      </c>
      <c r="D400" s="1100" t="s">
        <v>604</v>
      </c>
      <c r="E400" s="1101">
        <v>3000</v>
      </c>
      <c r="F400" s="1099" t="s">
        <v>603</v>
      </c>
      <c r="G400" s="1100" t="s">
        <v>602</v>
      </c>
      <c r="H400" s="1099" t="s">
        <v>500</v>
      </c>
      <c r="I400" s="1100" t="s">
        <v>499</v>
      </c>
      <c r="J400" s="1099"/>
      <c r="K400" s="1103" t="s">
        <v>498</v>
      </c>
      <c r="L400" s="1103" t="s">
        <v>497</v>
      </c>
      <c r="M400" s="1104">
        <f t="shared" si="33"/>
        <v>36000</v>
      </c>
      <c r="N400" s="1099">
        <v>3</v>
      </c>
      <c r="O400" s="1099">
        <v>6</v>
      </c>
      <c r="P400" s="1105">
        <f t="shared" si="34"/>
        <v>18000</v>
      </c>
    </row>
    <row r="401" spans="1:16" s="1156" customFormat="1" ht="24">
      <c r="A401" s="1098" t="s">
        <v>506</v>
      </c>
      <c r="B401" s="1099" t="s">
        <v>505</v>
      </c>
      <c r="C401" s="1099" t="s">
        <v>504</v>
      </c>
      <c r="D401" s="1100" t="s">
        <v>537</v>
      </c>
      <c r="E401" s="1101">
        <v>5000</v>
      </c>
      <c r="F401" s="1099" t="s">
        <v>601</v>
      </c>
      <c r="G401" s="1100" t="s">
        <v>600</v>
      </c>
      <c r="H401" s="1099" t="s">
        <v>534</v>
      </c>
      <c r="I401" s="1100" t="s">
        <v>599</v>
      </c>
      <c r="J401" s="1099"/>
      <c r="K401" s="1103" t="s">
        <v>498</v>
      </c>
      <c r="L401" s="1103" t="s">
        <v>497</v>
      </c>
      <c r="M401" s="1104">
        <f t="shared" si="33"/>
        <v>60000</v>
      </c>
      <c r="N401" s="1099">
        <v>3</v>
      </c>
      <c r="O401" s="1099">
        <v>6</v>
      </c>
      <c r="P401" s="1105">
        <f t="shared" si="34"/>
        <v>30000</v>
      </c>
    </row>
    <row r="402" spans="1:16" s="1156" customFormat="1" ht="24">
      <c r="A402" s="1098" t="s">
        <v>506</v>
      </c>
      <c r="B402" s="1099" t="s">
        <v>505</v>
      </c>
      <c r="C402" s="1099" t="s">
        <v>504</v>
      </c>
      <c r="D402" s="1100" t="s">
        <v>598</v>
      </c>
      <c r="E402" s="1101">
        <v>7000</v>
      </c>
      <c r="F402" s="1099" t="s">
        <v>597</v>
      </c>
      <c r="G402" s="1100" t="s">
        <v>596</v>
      </c>
      <c r="H402" s="1099" t="s">
        <v>519</v>
      </c>
      <c r="I402" s="1102" t="s">
        <v>507</v>
      </c>
      <c r="J402" s="1099"/>
      <c r="K402" s="1103" t="s">
        <v>498</v>
      </c>
      <c r="L402" s="1103" t="s">
        <v>497</v>
      </c>
      <c r="M402" s="1104">
        <f t="shared" si="33"/>
        <v>84000</v>
      </c>
      <c r="N402" s="1099">
        <v>3</v>
      </c>
      <c r="O402" s="1099">
        <v>6</v>
      </c>
      <c r="P402" s="1105">
        <f t="shared" si="34"/>
        <v>42000</v>
      </c>
    </row>
    <row r="403" spans="1:16" s="1156" customFormat="1" ht="24">
      <c r="A403" s="1098" t="s">
        <v>506</v>
      </c>
      <c r="B403" s="1099" t="s">
        <v>505</v>
      </c>
      <c r="C403" s="1099" t="s">
        <v>504</v>
      </c>
      <c r="D403" s="1100" t="s">
        <v>579</v>
      </c>
      <c r="E403" s="1101">
        <v>7000</v>
      </c>
      <c r="F403" s="1099" t="s">
        <v>595</v>
      </c>
      <c r="G403" s="1100" t="s">
        <v>594</v>
      </c>
      <c r="H403" s="1099" t="s">
        <v>519</v>
      </c>
      <c r="I403" s="1100" t="s">
        <v>507</v>
      </c>
      <c r="J403" s="1099"/>
      <c r="K403" s="1103" t="s">
        <v>498</v>
      </c>
      <c r="L403" s="1103" t="s">
        <v>497</v>
      </c>
      <c r="M403" s="1104">
        <f t="shared" si="33"/>
        <v>84000</v>
      </c>
      <c r="N403" s="1099">
        <v>3</v>
      </c>
      <c r="O403" s="1099">
        <v>6</v>
      </c>
      <c r="P403" s="1105">
        <f t="shared" si="34"/>
        <v>42000</v>
      </c>
    </row>
    <row r="404" spans="1:16" s="1156" customFormat="1" ht="24">
      <c r="A404" s="1098" t="s">
        <v>506</v>
      </c>
      <c r="B404" s="1099" t="s">
        <v>505</v>
      </c>
      <c r="C404" s="1099" t="s">
        <v>504</v>
      </c>
      <c r="D404" s="1100" t="s">
        <v>593</v>
      </c>
      <c r="E404" s="1101">
        <v>6500</v>
      </c>
      <c r="F404" s="1099" t="s">
        <v>592</v>
      </c>
      <c r="G404" s="1100" t="s">
        <v>591</v>
      </c>
      <c r="H404" s="1099" t="s">
        <v>590</v>
      </c>
      <c r="I404" s="1102" t="s">
        <v>507</v>
      </c>
      <c r="J404" s="1099"/>
      <c r="K404" s="1103" t="s">
        <v>498</v>
      </c>
      <c r="L404" s="1103" t="s">
        <v>497</v>
      </c>
      <c r="M404" s="1104">
        <f t="shared" si="33"/>
        <v>78000</v>
      </c>
      <c r="N404" s="1099">
        <v>3</v>
      </c>
      <c r="O404" s="1099">
        <v>6</v>
      </c>
      <c r="P404" s="1105">
        <f t="shared" si="34"/>
        <v>39000</v>
      </c>
    </row>
    <row r="405" spans="1:16" s="1156" customFormat="1" ht="24">
      <c r="A405" s="1098" t="s">
        <v>506</v>
      </c>
      <c r="B405" s="1099" t="s">
        <v>505</v>
      </c>
      <c r="C405" s="1099" t="s">
        <v>504</v>
      </c>
      <c r="D405" s="1100" t="s">
        <v>589</v>
      </c>
      <c r="E405" s="1101">
        <v>6000</v>
      </c>
      <c r="F405" s="1099" t="s">
        <v>588</v>
      </c>
      <c r="G405" s="1100" t="s">
        <v>587</v>
      </c>
      <c r="H405" s="1099" t="s">
        <v>543</v>
      </c>
      <c r="I405" s="1100" t="s">
        <v>558</v>
      </c>
      <c r="J405" s="1099"/>
      <c r="K405" s="1103" t="s">
        <v>498</v>
      </c>
      <c r="L405" s="1103" t="s">
        <v>497</v>
      </c>
      <c r="M405" s="1104">
        <f t="shared" si="33"/>
        <v>72000</v>
      </c>
      <c r="N405" s="1099">
        <v>3</v>
      </c>
      <c r="O405" s="1099">
        <v>6</v>
      </c>
      <c r="P405" s="1105">
        <f t="shared" si="34"/>
        <v>36000</v>
      </c>
    </row>
    <row r="406" spans="1:16" s="1156" customFormat="1" ht="24">
      <c r="A406" s="1098" t="s">
        <v>506</v>
      </c>
      <c r="B406" s="1099" t="s">
        <v>505</v>
      </c>
      <c r="C406" s="1099" t="s">
        <v>504</v>
      </c>
      <c r="D406" s="1102" t="s">
        <v>586</v>
      </c>
      <c r="E406" s="1101">
        <v>15000</v>
      </c>
      <c r="F406" s="1099" t="s">
        <v>585</v>
      </c>
      <c r="G406" s="1100" t="s">
        <v>584</v>
      </c>
      <c r="H406" s="1112" t="s">
        <v>508</v>
      </c>
      <c r="I406" s="1102" t="s">
        <v>507</v>
      </c>
      <c r="J406" s="1099"/>
      <c r="K406" s="1103" t="s">
        <v>498</v>
      </c>
      <c r="L406" s="1103" t="s">
        <v>583</v>
      </c>
      <c r="M406" s="1104">
        <f>+E406/30*15+E406*10</f>
        <v>157500</v>
      </c>
      <c r="N406" s="1099">
        <v>3</v>
      </c>
      <c r="O406" s="1099">
        <v>6</v>
      </c>
      <c r="P406" s="1105">
        <f t="shared" si="34"/>
        <v>90000</v>
      </c>
    </row>
    <row r="407" spans="1:16" s="1156" customFormat="1" ht="24">
      <c r="A407" s="1098" t="s">
        <v>506</v>
      </c>
      <c r="B407" s="1099" t="s">
        <v>505</v>
      </c>
      <c r="C407" s="1099" t="s">
        <v>504</v>
      </c>
      <c r="D407" s="1100" t="s">
        <v>582</v>
      </c>
      <c r="E407" s="1101">
        <v>4500</v>
      </c>
      <c r="F407" s="1099" t="s">
        <v>581</v>
      </c>
      <c r="G407" s="1100" t="s">
        <v>580</v>
      </c>
      <c r="H407" s="1099"/>
      <c r="I407" s="1100"/>
      <c r="J407" s="1099"/>
      <c r="K407" s="1103" t="s">
        <v>498</v>
      </c>
      <c r="L407" s="1103" t="s">
        <v>497</v>
      </c>
      <c r="M407" s="1104">
        <f>E407*L407</f>
        <v>54000</v>
      </c>
      <c r="N407" s="1099">
        <v>3</v>
      </c>
      <c r="O407" s="1099">
        <v>6</v>
      </c>
      <c r="P407" s="1105">
        <f t="shared" si="34"/>
        <v>27000</v>
      </c>
    </row>
    <row r="408" spans="1:16" s="1156" customFormat="1" ht="24">
      <c r="A408" s="1098" t="s">
        <v>506</v>
      </c>
      <c r="B408" s="1099" t="s">
        <v>505</v>
      </c>
      <c r="C408" s="1099" t="s">
        <v>504</v>
      </c>
      <c r="D408" s="1100" t="s">
        <v>579</v>
      </c>
      <c r="E408" s="1101">
        <v>7000</v>
      </c>
      <c r="F408" s="1099" t="s">
        <v>578</v>
      </c>
      <c r="G408" s="1100" t="s">
        <v>577</v>
      </c>
      <c r="H408" s="1099" t="s">
        <v>519</v>
      </c>
      <c r="I408" s="1102" t="s">
        <v>507</v>
      </c>
      <c r="J408" s="1099"/>
      <c r="K408" s="1103" t="s">
        <v>498</v>
      </c>
      <c r="L408" s="1103" t="s">
        <v>497</v>
      </c>
      <c r="M408" s="1104">
        <f>E408*L408</f>
        <v>84000</v>
      </c>
      <c r="N408" s="1099">
        <v>3</v>
      </c>
      <c r="O408" s="1099">
        <v>6</v>
      </c>
      <c r="P408" s="1105">
        <f t="shared" si="34"/>
        <v>42000</v>
      </c>
    </row>
    <row r="409" spans="1:16" s="1156" customFormat="1" ht="24">
      <c r="A409" s="1098" t="s">
        <v>506</v>
      </c>
      <c r="B409" s="1099" t="s">
        <v>505</v>
      </c>
      <c r="C409" s="1099" t="s">
        <v>504</v>
      </c>
      <c r="D409" s="1102" t="s">
        <v>576</v>
      </c>
      <c r="E409" s="1101">
        <v>3000</v>
      </c>
      <c r="F409" s="1099" t="s">
        <v>575</v>
      </c>
      <c r="G409" s="1100" t="s">
        <v>574</v>
      </c>
      <c r="H409" s="1099" t="s">
        <v>543</v>
      </c>
      <c r="I409" s="1100" t="s">
        <v>499</v>
      </c>
      <c r="J409" s="1099"/>
      <c r="K409" s="1103" t="s">
        <v>498</v>
      </c>
      <c r="L409" s="1103" t="s">
        <v>497</v>
      </c>
      <c r="M409" s="1104">
        <f>E409*L409</f>
        <v>36000</v>
      </c>
      <c r="N409" s="1099">
        <v>3</v>
      </c>
      <c r="O409" s="1099">
        <v>6</v>
      </c>
      <c r="P409" s="1105">
        <f t="shared" si="34"/>
        <v>18000</v>
      </c>
    </row>
    <row r="410" spans="1:16" s="1156" customFormat="1" ht="24">
      <c r="A410" s="1098" t="s">
        <v>506</v>
      </c>
      <c r="B410" s="1099" t="s">
        <v>505</v>
      </c>
      <c r="C410" s="1099" t="s">
        <v>504</v>
      </c>
      <c r="D410" s="1100" t="s">
        <v>573</v>
      </c>
      <c r="E410" s="1101">
        <v>3000</v>
      </c>
      <c r="F410" s="1099" t="s">
        <v>572</v>
      </c>
      <c r="G410" s="1100" t="s">
        <v>571</v>
      </c>
      <c r="H410" s="1099" t="s">
        <v>570</v>
      </c>
      <c r="I410" s="1102" t="s">
        <v>507</v>
      </c>
      <c r="J410" s="1099"/>
      <c r="K410" s="1103" t="s">
        <v>498</v>
      </c>
      <c r="L410" s="1103" t="s">
        <v>497</v>
      </c>
      <c r="M410" s="1104">
        <f>E410*L410</f>
        <v>36000</v>
      </c>
      <c r="N410" s="1099">
        <v>3</v>
      </c>
      <c r="O410" s="1099">
        <v>6</v>
      </c>
      <c r="P410" s="1105">
        <f t="shared" si="34"/>
        <v>18000</v>
      </c>
    </row>
    <row r="411" spans="1:16" s="1156" customFormat="1" ht="24">
      <c r="A411" s="1098" t="s">
        <v>506</v>
      </c>
      <c r="B411" s="1099" t="s">
        <v>505</v>
      </c>
      <c r="C411" s="1099" t="s">
        <v>504</v>
      </c>
      <c r="D411" s="1119" t="s">
        <v>569</v>
      </c>
      <c r="E411" s="1101">
        <v>7000</v>
      </c>
      <c r="F411" s="1120" t="s">
        <v>568</v>
      </c>
      <c r="G411" s="1114" t="s">
        <v>567</v>
      </c>
      <c r="H411" s="1113"/>
      <c r="I411" s="1114"/>
      <c r="J411" s="1113"/>
      <c r="K411" s="1103">
        <v>1</v>
      </c>
      <c r="L411" s="1103">
        <v>3</v>
      </c>
      <c r="M411" s="1115">
        <f>E411/30*6+E411*3</f>
        <v>22400</v>
      </c>
      <c r="N411" s="1113">
        <v>0</v>
      </c>
      <c r="O411" s="1113">
        <v>0</v>
      </c>
      <c r="P411" s="1116">
        <v>0</v>
      </c>
    </row>
    <row r="412" spans="1:16" s="1156" customFormat="1" ht="24">
      <c r="A412" s="1098" t="s">
        <v>506</v>
      </c>
      <c r="B412" s="1099" t="s">
        <v>505</v>
      </c>
      <c r="C412" s="1099" t="s">
        <v>504</v>
      </c>
      <c r="D412" s="1102" t="s">
        <v>566</v>
      </c>
      <c r="E412" s="1101">
        <v>7238</v>
      </c>
      <c r="F412" s="1099" t="s">
        <v>565</v>
      </c>
      <c r="G412" s="1100" t="s">
        <v>564</v>
      </c>
      <c r="H412" s="1112" t="s">
        <v>534</v>
      </c>
      <c r="I412" s="1100" t="s">
        <v>507</v>
      </c>
      <c r="J412" s="1099"/>
      <c r="K412" s="1103" t="s">
        <v>563</v>
      </c>
      <c r="L412" s="1103" t="s">
        <v>562</v>
      </c>
      <c r="M412" s="1104">
        <f>+E412/30*3+E412*4</f>
        <v>29675.8</v>
      </c>
      <c r="N412" s="1099">
        <v>3</v>
      </c>
      <c r="O412" s="1099">
        <v>6</v>
      </c>
      <c r="P412" s="1105">
        <f t="shared" ref="P412:P417" si="35">E412*O412</f>
        <v>43428</v>
      </c>
    </row>
    <row r="413" spans="1:16" s="1156" customFormat="1" ht="36">
      <c r="A413" s="1098" t="s">
        <v>506</v>
      </c>
      <c r="B413" s="1099" t="s">
        <v>505</v>
      </c>
      <c r="C413" s="1099" t="s">
        <v>504</v>
      </c>
      <c r="D413" s="1100" t="s">
        <v>561</v>
      </c>
      <c r="E413" s="1101">
        <v>4500</v>
      </c>
      <c r="F413" s="1099" t="s">
        <v>560</v>
      </c>
      <c r="G413" s="1100" t="s">
        <v>559</v>
      </c>
      <c r="H413" s="1099" t="s">
        <v>519</v>
      </c>
      <c r="I413" s="1100" t="s">
        <v>558</v>
      </c>
      <c r="J413" s="1099"/>
      <c r="K413" s="1103" t="s">
        <v>498</v>
      </c>
      <c r="L413" s="1103" t="s">
        <v>497</v>
      </c>
      <c r="M413" s="1104">
        <f>E413*L413</f>
        <v>54000</v>
      </c>
      <c r="N413" s="1099">
        <v>3</v>
      </c>
      <c r="O413" s="1099">
        <v>6</v>
      </c>
      <c r="P413" s="1105">
        <f t="shared" si="35"/>
        <v>27000</v>
      </c>
    </row>
    <row r="414" spans="1:16" s="1156" customFormat="1" ht="36">
      <c r="A414" s="1098" t="s">
        <v>506</v>
      </c>
      <c r="B414" s="1099" t="s">
        <v>505</v>
      </c>
      <c r="C414" s="1099" t="s">
        <v>504</v>
      </c>
      <c r="D414" s="1100" t="s">
        <v>557</v>
      </c>
      <c r="E414" s="1101">
        <v>9000</v>
      </c>
      <c r="F414" s="1099" t="s">
        <v>554</v>
      </c>
      <c r="G414" s="1100" t="s">
        <v>553</v>
      </c>
      <c r="H414" s="1112" t="s">
        <v>552</v>
      </c>
      <c r="I414" s="1102" t="s">
        <v>507</v>
      </c>
      <c r="J414" s="1099"/>
      <c r="K414" s="1103" t="s">
        <v>498</v>
      </c>
      <c r="L414" s="1103" t="s">
        <v>556</v>
      </c>
      <c r="M414" s="1104">
        <f>+E414/30*1+E414*8</f>
        <v>72300</v>
      </c>
      <c r="N414" s="1099">
        <v>0</v>
      </c>
      <c r="O414" s="1099">
        <v>0</v>
      </c>
      <c r="P414" s="1105">
        <f t="shared" si="35"/>
        <v>0</v>
      </c>
    </row>
    <row r="415" spans="1:16" s="1156" customFormat="1" ht="36">
      <c r="A415" s="1098" t="s">
        <v>506</v>
      </c>
      <c r="B415" s="1099" t="s">
        <v>505</v>
      </c>
      <c r="C415" s="1099" t="s">
        <v>504</v>
      </c>
      <c r="D415" s="1102" t="s">
        <v>555</v>
      </c>
      <c r="E415" s="1101">
        <v>10000</v>
      </c>
      <c r="F415" s="1099" t="s">
        <v>554</v>
      </c>
      <c r="G415" s="1100" t="s">
        <v>553</v>
      </c>
      <c r="H415" s="1112" t="s">
        <v>552</v>
      </c>
      <c r="I415" s="1102" t="s">
        <v>507</v>
      </c>
      <c r="J415" s="1099"/>
      <c r="K415" s="1103" t="s">
        <v>498</v>
      </c>
      <c r="L415" s="1103" t="s">
        <v>498</v>
      </c>
      <c r="M415" s="1104">
        <f>+E415/30*29+E415*3</f>
        <v>39666.666666666664</v>
      </c>
      <c r="N415" s="1099">
        <v>3</v>
      </c>
      <c r="O415" s="1099">
        <v>6</v>
      </c>
      <c r="P415" s="1105">
        <f t="shared" si="35"/>
        <v>60000</v>
      </c>
    </row>
    <row r="416" spans="1:16" s="1156" customFormat="1" ht="24">
      <c r="A416" s="1098" t="s">
        <v>506</v>
      </c>
      <c r="B416" s="1099" t="s">
        <v>505</v>
      </c>
      <c r="C416" s="1099" t="s">
        <v>504</v>
      </c>
      <c r="D416" s="1100" t="s">
        <v>551</v>
      </c>
      <c r="E416" s="1101">
        <v>4000</v>
      </c>
      <c r="F416" s="1099" t="s">
        <v>550</v>
      </c>
      <c r="G416" s="1100" t="s">
        <v>549</v>
      </c>
      <c r="H416" s="1099" t="s">
        <v>548</v>
      </c>
      <c r="I416" s="1102" t="s">
        <v>547</v>
      </c>
      <c r="J416" s="1099"/>
      <c r="K416" s="1103" t="s">
        <v>498</v>
      </c>
      <c r="L416" s="1103" t="s">
        <v>497</v>
      </c>
      <c r="M416" s="1104">
        <f t="shared" ref="M416:M429" si="36">E416*L416</f>
        <v>48000</v>
      </c>
      <c r="N416" s="1099">
        <v>3</v>
      </c>
      <c r="O416" s="1099">
        <v>6</v>
      </c>
      <c r="P416" s="1105">
        <f t="shared" si="35"/>
        <v>24000</v>
      </c>
    </row>
    <row r="417" spans="1:16" s="1156" customFormat="1" ht="24">
      <c r="A417" s="1098" t="s">
        <v>506</v>
      </c>
      <c r="B417" s="1099" t="s">
        <v>505</v>
      </c>
      <c r="C417" s="1099" t="s">
        <v>504</v>
      </c>
      <c r="D417" s="1100" t="s">
        <v>546</v>
      </c>
      <c r="E417" s="1101">
        <v>11000</v>
      </c>
      <c r="F417" s="1099" t="s">
        <v>545</v>
      </c>
      <c r="G417" s="1100" t="s">
        <v>544</v>
      </c>
      <c r="H417" s="1099" t="s">
        <v>543</v>
      </c>
      <c r="I417" s="1102" t="s">
        <v>507</v>
      </c>
      <c r="J417" s="1099"/>
      <c r="K417" s="1103" t="s">
        <v>498</v>
      </c>
      <c r="L417" s="1103" t="s">
        <v>497</v>
      </c>
      <c r="M417" s="1104">
        <f t="shared" si="36"/>
        <v>132000</v>
      </c>
      <c r="N417" s="1099">
        <v>3</v>
      </c>
      <c r="O417" s="1099">
        <v>6</v>
      </c>
      <c r="P417" s="1105">
        <f t="shared" si="35"/>
        <v>66000</v>
      </c>
    </row>
    <row r="418" spans="1:16" s="1156" customFormat="1" ht="24">
      <c r="A418" s="1098" t="s">
        <v>506</v>
      </c>
      <c r="B418" s="1099" t="s">
        <v>505</v>
      </c>
      <c r="C418" s="1099" t="s">
        <v>504</v>
      </c>
      <c r="D418" s="1119" t="s">
        <v>518</v>
      </c>
      <c r="E418" s="1101">
        <v>10000</v>
      </c>
      <c r="F418" s="1120" t="s">
        <v>542</v>
      </c>
      <c r="G418" s="1114" t="s">
        <v>541</v>
      </c>
      <c r="H418" s="1123" t="s">
        <v>511</v>
      </c>
      <c r="I418" s="1119"/>
      <c r="J418" s="1113"/>
      <c r="K418" s="1103">
        <v>1</v>
      </c>
      <c r="L418" s="1103">
        <v>12</v>
      </c>
      <c r="M418" s="1115">
        <f t="shared" si="36"/>
        <v>120000</v>
      </c>
      <c r="N418" s="1113">
        <v>1</v>
      </c>
      <c r="O418" s="1113">
        <v>2</v>
      </c>
      <c r="P418" s="1116">
        <f>E418/30*17+E418*2</f>
        <v>25666.666666666664</v>
      </c>
    </row>
    <row r="419" spans="1:16" s="1156" customFormat="1" ht="24">
      <c r="A419" s="1098" t="s">
        <v>506</v>
      </c>
      <c r="B419" s="1099" t="s">
        <v>505</v>
      </c>
      <c r="C419" s="1099" t="s">
        <v>504</v>
      </c>
      <c r="D419" s="1119" t="s">
        <v>540</v>
      </c>
      <c r="E419" s="1101">
        <v>9000</v>
      </c>
      <c r="F419" s="1120" t="s">
        <v>539</v>
      </c>
      <c r="G419" s="1114" t="s">
        <v>538</v>
      </c>
      <c r="H419" s="1113"/>
      <c r="I419" s="1114"/>
      <c r="J419" s="1113"/>
      <c r="K419" s="1103">
        <v>1</v>
      </c>
      <c r="L419" s="1103">
        <v>8</v>
      </c>
      <c r="M419" s="1115">
        <f t="shared" si="36"/>
        <v>72000</v>
      </c>
      <c r="N419" s="1113">
        <v>0</v>
      </c>
      <c r="O419" s="1113">
        <v>0</v>
      </c>
      <c r="P419" s="1116">
        <v>0</v>
      </c>
    </row>
    <row r="420" spans="1:16" s="1156" customFormat="1" ht="24">
      <c r="A420" s="1098" t="s">
        <v>506</v>
      </c>
      <c r="B420" s="1099" t="s">
        <v>505</v>
      </c>
      <c r="C420" s="1099" t="s">
        <v>504</v>
      </c>
      <c r="D420" s="1100" t="s">
        <v>537</v>
      </c>
      <c r="E420" s="1117">
        <v>5000</v>
      </c>
      <c r="F420" s="1099" t="s">
        <v>536</v>
      </c>
      <c r="G420" s="1100" t="s">
        <v>535</v>
      </c>
      <c r="H420" s="1099" t="s">
        <v>534</v>
      </c>
      <c r="I420" s="1102" t="s">
        <v>507</v>
      </c>
      <c r="J420" s="1099"/>
      <c r="K420" s="1103" t="s">
        <v>498</v>
      </c>
      <c r="L420" s="1103" t="s">
        <v>497</v>
      </c>
      <c r="M420" s="1104">
        <f t="shared" si="36"/>
        <v>60000</v>
      </c>
      <c r="N420" s="1099">
        <v>3</v>
      </c>
      <c r="O420" s="1099">
        <v>6</v>
      </c>
      <c r="P420" s="1105">
        <f t="shared" ref="P420:P425" si="37">E420*O420</f>
        <v>30000</v>
      </c>
    </row>
    <row r="421" spans="1:16" s="1156" customFormat="1" ht="24">
      <c r="A421" s="1098" t="s">
        <v>506</v>
      </c>
      <c r="B421" s="1099" t="s">
        <v>505</v>
      </c>
      <c r="C421" s="1099" t="s">
        <v>504</v>
      </c>
      <c r="D421" s="1100" t="s">
        <v>533</v>
      </c>
      <c r="E421" s="1101">
        <v>6200</v>
      </c>
      <c r="F421" s="1099" t="s">
        <v>532</v>
      </c>
      <c r="G421" s="1100" t="s">
        <v>531</v>
      </c>
      <c r="H421" s="1099" t="s">
        <v>530</v>
      </c>
      <c r="I421" s="1102" t="s">
        <v>507</v>
      </c>
      <c r="J421" s="1099"/>
      <c r="K421" s="1103" t="s">
        <v>498</v>
      </c>
      <c r="L421" s="1103" t="s">
        <v>497</v>
      </c>
      <c r="M421" s="1104">
        <f t="shared" si="36"/>
        <v>74400</v>
      </c>
      <c r="N421" s="1099">
        <v>3</v>
      </c>
      <c r="O421" s="1099">
        <v>6</v>
      </c>
      <c r="P421" s="1105">
        <f t="shared" si="37"/>
        <v>37200</v>
      </c>
    </row>
    <row r="422" spans="1:16" s="1156" customFormat="1" ht="36">
      <c r="A422" s="1098" t="s">
        <v>506</v>
      </c>
      <c r="B422" s="1099" t="s">
        <v>505</v>
      </c>
      <c r="C422" s="1099" t="s">
        <v>504</v>
      </c>
      <c r="D422" s="1100" t="s">
        <v>529</v>
      </c>
      <c r="E422" s="1101">
        <v>8000</v>
      </c>
      <c r="F422" s="1099" t="s">
        <v>528</v>
      </c>
      <c r="G422" s="1100" t="s">
        <v>527</v>
      </c>
      <c r="H422" s="1099" t="s">
        <v>526</v>
      </c>
      <c r="I422" s="1102" t="s">
        <v>507</v>
      </c>
      <c r="J422" s="1099"/>
      <c r="K422" s="1103" t="s">
        <v>498</v>
      </c>
      <c r="L422" s="1103" t="s">
        <v>497</v>
      </c>
      <c r="M422" s="1104">
        <f t="shared" si="36"/>
        <v>96000</v>
      </c>
      <c r="N422" s="1099">
        <v>3</v>
      </c>
      <c r="O422" s="1099">
        <v>6</v>
      </c>
      <c r="P422" s="1105">
        <f t="shared" si="37"/>
        <v>48000</v>
      </c>
    </row>
    <row r="423" spans="1:16" s="1156" customFormat="1" ht="24">
      <c r="A423" s="1098" t="s">
        <v>506</v>
      </c>
      <c r="B423" s="1099" t="s">
        <v>505</v>
      </c>
      <c r="C423" s="1099" t="s">
        <v>504</v>
      </c>
      <c r="D423" s="1100" t="s">
        <v>525</v>
      </c>
      <c r="E423" s="1101">
        <v>9000</v>
      </c>
      <c r="F423" s="1099" t="s">
        <v>524</v>
      </c>
      <c r="G423" s="1100" t="s">
        <v>523</v>
      </c>
      <c r="H423" s="1099" t="s">
        <v>519</v>
      </c>
      <c r="I423" s="1102" t="s">
        <v>507</v>
      </c>
      <c r="J423" s="1099"/>
      <c r="K423" s="1103" t="s">
        <v>498</v>
      </c>
      <c r="L423" s="1103" t="s">
        <v>497</v>
      </c>
      <c r="M423" s="1104">
        <f t="shared" si="36"/>
        <v>108000</v>
      </c>
      <c r="N423" s="1099">
        <v>3</v>
      </c>
      <c r="O423" s="1099">
        <v>6</v>
      </c>
      <c r="P423" s="1105">
        <f t="shared" si="37"/>
        <v>54000</v>
      </c>
    </row>
    <row r="424" spans="1:16" s="1156" customFormat="1" ht="24">
      <c r="A424" s="1098" t="s">
        <v>506</v>
      </c>
      <c r="B424" s="1099" t="s">
        <v>505</v>
      </c>
      <c r="C424" s="1099" t="s">
        <v>504</v>
      </c>
      <c r="D424" s="1100" t="s">
        <v>522</v>
      </c>
      <c r="E424" s="1101">
        <v>15000</v>
      </c>
      <c r="F424" s="1099" t="s">
        <v>521</v>
      </c>
      <c r="G424" s="1100" t="s">
        <v>520</v>
      </c>
      <c r="H424" s="1099" t="s">
        <v>519</v>
      </c>
      <c r="I424" s="1102" t="s">
        <v>507</v>
      </c>
      <c r="J424" s="1099"/>
      <c r="K424" s="1103" t="s">
        <v>498</v>
      </c>
      <c r="L424" s="1103" t="s">
        <v>497</v>
      </c>
      <c r="M424" s="1104">
        <f t="shared" si="36"/>
        <v>180000</v>
      </c>
      <c r="N424" s="1099">
        <v>3</v>
      </c>
      <c r="O424" s="1099">
        <v>6</v>
      </c>
      <c r="P424" s="1105">
        <f t="shared" si="37"/>
        <v>90000</v>
      </c>
    </row>
    <row r="425" spans="1:16" s="1156" customFormat="1" ht="24">
      <c r="A425" s="1098" t="s">
        <v>506</v>
      </c>
      <c r="B425" s="1099" t="s">
        <v>505</v>
      </c>
      <c r="C425" s="1099" t="s">
        <v>504</v>
      </c>
      <c r="D425" s="1102" t="s">
        <v>518</v>
      </c>
      <c r="E425" s="1101">
        <v>10000</v>
      </c>
      <c r="F425" s="1099" t="s">
        <v>517</v>
      </c>
      <c r="G425" s="1100" t="s">
        <v>516</v>
      </c>
      <c r="H425" s="1112" t="s">
        <v>515</v>
      </c>
      <c r="I425" s="1102" t="s">
        <v>507</v>
      </c>
      <c r="J425" s="1099"/>
      <c r="K425" s="1103">
        <v>1</v>
      </c>
      <c r="L425" s="1103">
        <v>1</v>
      </c>
      <c r="M425" s="1104">
        <f t="shared" si="36"/>
        <v>10000</v>
      </c>
      <c r="N425" s="1099">
        <v>0</v>
      </c>
      <c r="O425" s="1099">
        <v>0</v>
      </c>
      <c r="P425" s="1105">
        <f t="shared" si="37"/>
        <v>0</v>
      </c>
    </row>
    <row r="426" spans="1:16" s="1156" customFormat="1" ht="24">
      <c r="A426" s="1098" t="s">
        <v>506</v>
      </c>
      <c r="B426" s="1099" t="s">
        <v>505</v>
      </c>
      <c r="C426" s="1099" t="s">
        <v>504</v>
      </c>
      <c r="D426" s="1102" t="s">
        <v>518</v>
      </c>
      <c r="E426" s="1101">
        <v>10000</v>
      </c>
      <c r="F426" s="1113" t="s">
        <v>517</v>
      </c>
      <c r="G426" s="1114" t="s">
        <v>516</v>
      </c>
      <c r="H426" s="1112" t="s">
        <v>515</v>
      </c>
      <c r="I426" s="1102" t="s">
        <v>507</v>
      </c>
      <c r="J426" s="1113"/>
      <c r="K426" s="1103">
        <v>0</v>
      </c>
      <c r="L426" s="1103">
        <v>0</v>
      </c>
      <c r="M426" s="1115">
        <f t="shared" si="36"/>
        <v>0</v>
      </c>
      <c r="N426" s="1113">
        <v>3</v>
      </c>
      <c r="O426" s="1113">
        <v>4</v>
      </c>
      <c r="P426" s="1116">
        <f>E426/30*24+E426*4</f>
        <v>48000</v>
      </c>
    </row>
    <row r="427" spans="1:16" s="1156" customFormat="1" ht="48">
      <c r="A427" s="1098" t="s">
        <v>506</v>
      </c>
      <c r="B427" s="1099" t="s">
        <v>505</v>
      </c>
      <c r="C427" s="1099" t="s">
        <v>504</v>
      </c>
      <c r="D427" s="1119" t="s">
        <v>514</v>
      </c>
      <c r="E427" s="1101">
        <v>10000</v>
      </c>
      <c r="F427" s="1120" t="s">
        <v>513</v>
      </c>
      <c r="G427" s="1114" t="s">
        <v>512</v>
      </c>
      <c r="H427" s="1113"/>
      <c r="I427" s="1114"/>
      <c r="J427" s="1113"/>
      <c r="K427" s="1103">
        <v>1</v>
      </c>
      <c r="L427" s="1103">
        <v>12</v>
      </c>
      <c r="M427" s="1115">
        <f t="shared" si="36"/>
        <v>120000</v>
      </c>
      <c r="N427" s="1113">
        <v>0</v>
      </c>
      <c r="O427" s="1113">
        <v>0</v>
      </c>
      <c r="P427" s="1116">
        <v>0</v>
      </c>
    </row>
    <row r="428" spans="1:16" s="1156" customFormat="1" ht="24">
      <c r="A428" s="1098" t="s">
        <v>506</v>
      </c>
      <c r="B428" s="1099" t="s">
        <v>505</v>
      </c>
      <c r="C428" s="1099" t="s">
        <v>504</v>
      </c>
      <c r="D428" s="1102" t="s">
        <v>511</v>
      </c>
      <c r="E428" s="1101">
        <v>5000</v>
      </c>
      <c r="F428" s="1099" t="s">
        <v>510</v>
      </c>
      <c r="G428" s="1100" t="s">
        <v>509</v>
      </c>
      <c r="H428" s="1112" t="s">
        <v>508</v>
      </c>
      <c r="I428" s="1102" t="s">
        <v>507</v>
      </c>
      <c r="J428" s="1099"/>
      <c r="K428" s="1103" t="s">
        <v>498</v>
      </c>
      <c r="L428" s="1103" t="s">
        <v>497</v>
      </c>
      <c r="M428" s="1104">
        <f t="shared" si="36"/>
        <v>60000</v>
      </c>
      <c r="N428" s="1099">
        <v>3</v>
      </c>
      <c r="O428" s="1099">
        <v>6</v>
      </c>
      <c r="P428" s="1105">
        <f>E428*O428</f>
        <v>30000</v>
      </c>
    </row>
    <row r="429" spans="1:16" s="1156" customFormat="1" ht="24.75" thickBot="1">
      <c r="A429" s="1098" t="s">
        <v>506</v>
      </c>
      <c r="B429" s="1124" t="s">
        <v>505</v>
      </c>
      <c r="C429" s="1124" t="s">
        <v>504</v>
      </c>
      <c r="D429" s="1125" t="s">
        <v>503</v>
      </c>
      <c r="E429" s="1126">
        <v>930</v>
      </c>
      <c r="F429" s="1124" t="s">
        <v>502</v>
      </c>
      <c r="G429" s="1127" t="s">
        <v>501</v>
      </c>
      <c r="H429" s="1124" t="s">
        <v>500</v>
      </c>
      <c r="I429" s="1127" t="s">
        <v>499</v>
      </c>
      <c r="J429" s="1124"/>
      <c r="K429" s="1128" t="s">
        <v>498</v>
      </c>
      <c r="L429" s="1128" t="s">
        <v>497</v>
      </c>
      <c r="M429" s="1129">
        <f t="shared" si="36"/>
        <v>11160</v>
      </c>
      <c r="N429" s="1124">
        <v>3</v>
      </c>
      <c r="O429" s="1124">
        <v>6</v>
      </c>
      <c r="P429" s="1130">
        <f>E429*O429</f>
        <v>5580</v>
      </c>
    </row>
    <row r="430" spans="1:16" ht="12.75" thickBot="1">
      <c r="A430" s="1097"/>
      <c r="B430" s="1135"/>
      <c r="C430" s="1135"/>
      <c r="D430" s="1157"/>
      <c r="E430" s="1141"/>
      <c r="F430" s="1135"/>
      <c r="G430" s="1157"/>
      <c r="H430" s="1139"/>
      <c r="I430" s="1158"/>
      <c r="J430" s="1140"/>
      <c r="K430" s="1142"/>
      <c r="L430" s="1143"/>
      <c r="M430" s="1159">
        <f>SUM(M7:M429)</f>
        <v>23449318.803333335</v>
      </c>
      <c r="N430" s="1142"/>
      <c r="O430" s="1143"/>
      <c r="P430" s="1159">
        <f>SUM(P7:P429)</f>
        <v>12106959.333333332</v>
      </c>
    </row>
    <row r="431" spans="1:16" ht="24">
      <c r="A431" s="445" t="s">
        <v>449</v>
      </c>
      <c r="B431" s="445"/>
      <c r="C431" s="445"/>
      <c r="D431" s="1064"/>
      <c r="E431" s="445"/>
      <c r="F431" s="445"/>
      <c r="G431" s="1064"/>
      <c r="H431" s="445"/>
      <c r="I431" s="1064"/>
      <c r="J431" s="445"/>
      <c r="K431" s="1136"/>
      <c r="L431" s="1136"/>
      <c r="M431" s="1092"/>
      <c r="N431" s="445"/>
      <c r="O431" s="445"/>
      <c r="P431" s="1092"/>
    </row>
    <row r="432" spans="1:16">
      <c r="A432" s="445"/>
      <c r="B432" s="445"/>
      <c r="C432" s="445"/>
      <c r="D432" s="1064"/>
      <c r="E432" s="445"/>
      <c r="F432" s="445"/>
      <c r="G432" s="1064"/>
      <c r="H432" s="445"/>
      <c r="I432" s="1064"/>
      <c r="J432" s="445"/>
      <c r="K432" s="1136"/>
      <c r="L432" s="1136"/>
      <c r="M432" s="1092"/>
      <c r="N432" s="445"/>
      <c r="O432" s="445"/>
      <c r="P432" s="1092"/>
    </row>
    <row r="433" spans="1:16">
      <c r="A433" s="445"/>
      <c r="B433" s="445"/>
      <c r="C433" s="445"/>
      <c r="D433" s="1064"/>
      <c r="E433" s="445"/>
      <c r="F433" s="445"/>
      <c r="G433" s="1064"/>
      <c r="H433" s="445"/>
      <c r="I433" s="1064"/>
      <c r="J433" s="445"/>
      <c r="K433" s="1136"/>
      <c r="L433" s="1136"/>
      <c r="M433" s="1092"/>
      <c r="N433" s="445"/>
      <c r="O433" s="445"/>
      <c r="P433" s="1092"/>
    </row>
    <row r="434" spans="1:16">
      <c r="A434" s="445"/>
      <c r="B434" s="445"/>
      <c r="C434" s="445"/>
      <c r="D434" s="1064"/>
      <c r="E434" s="445"/>
      <c r="F434" s="445"/>
      <c r="G434" s="1064"/>
      <c r="H434" s="445"/>
      <c r="I434" s="1064"/>
      <c r="J434" s="445"/>
      <c r="K434" s="1136"/>
      <c r="L434" s="1136"/>
      <c r="M434" s="1092"/>
      <c r="N434" s="445"/>
      <c r="O434" s="445"/>
      <c r="P434" s="1092"/>
    </row>
    <row r="435" spans="1:16">
      <c r="A435" s="445"/>
      <c r="B435" s="445"/>
      <c r="C435" s="445"/>
      <c r="D435" s="1064"/>
      <c r="E435" s="445"/>
      <c r="F435" s="445"/>
      <c r="G435" s="1064"/>
      <c r="H435" s="445"/>
      <c r="I435" s="1064"/>
      <c r="J435" s="445"/>
      <c r="K435" s="1136"/>
      <c r="L435" s="1136"/>
      <c r="M435" s="1092"/>
      <c r="N435" s="445"/>
      <c r="O435" s="445"/>
      <c r="P435" s="1092"/>
    </row>
    <row r="436" spans="1:16">
      <c r="A436" s="445"/>
      <c r="B436" s="445"/>
      <c r="C436" s="445"/>
      <c r="D436" s="1064"/>
      <c r="E436" s="445"/>
      <c r="F436" s="445"/>
      <c r="G436" s="1064"/>
      <c r="H436" s="445"/>
      <c r="I436" s="1064"/>
      <c r="J436" s="445"/>
      <c r="K436" s="1136"/>
      <c r="L436" s="1136"/>
      <c r="M436" s="1092"/>
      <c r="N436" s="445"/>
      <c r="O436" s="445"/>
      <c r="P436" s="1092"/>
    </row>
    <row r="437" spans="1:16">
      <c r="A437" s="445"/>
      <c r="B437" s="445"/>
      <c r="C437" s="445"/>
      <c r="D437" s="1064"/>
      <c r="E437" s="445"/>
      <c r="F437" s="445"/>
      <c r="G437" s="1064"/>
      <c r="H437" s="445"/>
      <c r="I437" s="1064"/>
      <c r="J437" s="445"/>
      <c r="K437" s="1136"/>
      <c r="L437" s="1136"/>
      <c r="M437" s="1092"/>
      <c r="N437" s="445"/>
      <c r="O437" s="445"/>
      <c r="P437" s="1092"/>
    </row>
    <row r="438" spans="1:16">
      <c r="A438" s="445"/>
      <c r="B438" s="445"/>
      <c r="C438" s="445"/>
      <c r="D438" s="1064"/>
      <c r="E438" s="445"/>
      <c r="F438" s="445"/>
      <c r="G438" s="1064"/>
      <c r="H438" s="445"/>
      <c r="I438" s="1064"/>
      <c r="J438" s="445"/>
      <c r="K438" s="1136"/>
      <c r="L438" s="1136"/>
      <c r="M438" s="1092"/>
      <c r="N438" s="445"/>
      <c r="O438" s="445"/>
      <c r="P438" s="1092"/>
    </row>
    <row r="439" spans="1:16">
      <c r="A439" s="445"/>
      <c r="B439" s="445"/>
      <c r="C439" s="445"/>
      <c r="D439" s="1064"/>
      <c r="E439" s="445"/>
      <c r="F439" s="445"/>
      <c r="G439" s="1064"/>
      <c r="H439" s="445"/>
      <c r="I439" s="1064"/>
      <c r="J439" s="445"/>
      <c r="K439" s="1136"/>
      <c r="L439" s="1136"/>
      <c r="M439" s="1092"/>
      <c r="N439" s="445"/>
      <c r="O439" s="445"/>
      <c r="P439" s="1092"/>
    </row>
    <row r="440" spans="1:16">
      <c r="A440" s="445"/>
      <c r="B440" s="445"/>
      <c r="C440" s="445"/>
      <c r="D440" s="1064"/>
      <c r="E440" s="445"/>
      <c r="F440" s="445"/>
      <c r="G440" s="1064"/>
      <c r="H440" s="445"/>
      <c r="I440" s="1064"/>
      <c r="J440" s="445"/>
      <c r="K440" s="1136"/>
      <c r="L440" s="1136"/>
      <c r="M440" s="1092"/>
      <c r="N440" s="445"/>
      <c r="O440" s="445"/>
      <c r="P440" s="1092"/>
    </row>
    <row r="441" spans="1:16">
      <c r="A441" s="445"/>
      <c r="B441" s="445"/>
      <c r="C441" s="445"/>
      <c r="D441" s="1064"/>
      <c r="E441" s="445"/>
      <c r="F441" s="445"/>
      <c r="G441" s="1064"/>
      <c r="H441" s="445"/>
      <c r="I441" s="1064"/>
      <c r="J441" s="445"/>
      <c r="K441" s="1136"/>
      <c r="L441" s="1136"/>
      <c r="M441" s="1092"/>
      <c r="N441" s="445"/>
      <c r="O441" s="445"/>
      <c r="P441" s="1092"/>
    </row>
    <row r="442" spans="1:16">
      <c r="A442" s="445"/>
      <c r="B442" s="445"/>
      <c r="C442" s="445"/>
      <c r="D442" s="1064"/>
      <c r="E442" s="445"/>
      <c r="F442" s="445"/>
      <c r="G442" s="1064"/>
      <c r="H442" s="445"/>
      <c r="I442" s="1064"/>
      <c r="J442" s="445"/>
      <c r="K442" s="1136"/>
      <c r="L442" s="1136"/>
      <c r="M442" s="1092"/>
      <c r="N442" s="445"/>
      <c r="O442" s="445"/>
      <c r="P442" s="1092"/>
    </row>
    <row r="443" spans="1:16">
      <c r="A443" s="445"/>
      <c r="B443" s="445"/>
      <c r="C443" s="445"/>
      <c r="D443" s="1064"/>
      <c r="E443" s="445"/>
      <c r="F443" s="445"/>
      <c r="G443" s="1064"/>
      <c r="H443" s="445"/>
      <c r="I443" s="1064"/>
      <c r="J443" s="445"/>
      <c r="K443" s="1136"/>
      <c r="L443" s="1136"/>
      <c r="M443" s="1092"/>
      <c r="N443" s="445"/>
      <c r="O443" s="445"/>
      <c r="P443" s="1092"/>
    </row>
    <row r="444" spans="1:16">
      <c r="A444" s="445"/>
      <c r="B444" s="445"/>
      <c r="C444" s="445"/>
      <c r="D444" s="1064"/>
      <c r="E444" s="445"/>
      <c r="F444" s="445"/>
      <c r="G444" s="1064"/>
      <c r="H444" s="445"/>
      <c r="I444" s="1064"/>
      <c r="J444" s="445"/>
      <c r="K444" s="1136"/>
      <c r="L444" s="1136"/>
      <c r="M444" s="1092"/>
      <c r="N444" s="445"/>
      <c r="O444" s="445"/>
      <c r="P444" s="1092"/>
    </row>
    <row r="445" spans="1:16">
      <c r="A445" s="445"/>
      <c r="B445" s="445"/>
      <c r="C445" s="445"/>
      <c r="D445" s="1064"/>
      <c r="E445" s="445"/>
      <c r="F445" s="445"/>
      <c r="G445" s="1064"/>
      <c r="H445" s="445"/>
      <c r="I445" s="1064"/>
      <c r="J445" s="445"/>
      <c r="K445" s="1136"/>
      <c r="L445" s="1136"/>
      <c r="M445" s="1092"/>
      <c r="N445" s="445"/>
      <c r="O445" s="445"/>
      <c r="P445" s="1092"/>
    </row>
    <row r="446" spans="1:16">
      <c r="A446" s="445"/>
      <c r="B446" s="445"/>
      <c r="C446" s="445"/>
      <c r="D446" s="1064"/>
      <c r="E446" s="445"/>
      <c r="F446" s="445"/>
      <c r="G446" s="1064"/>
      <c r="H446" s="445"/>
      <c r="I446" s="1064"/>
      <c r="J446" s="445"/>
      <c r="K446" s="1136"/>
      <c r="L446" s="1136"/>
      <c r="M446" s="1092"/>
      <c r="N446" s="445"/>
      <c r="O446" s="445"/>
      <c r="P446" s="1092"/>
    </row>
    <row r="447" spans="1:16">
      <c r="A447" s="445"/>
      <c r="B447" s="445"/>
      <c r="C447" s="445"/>
      <c r="D447" s="1064"/>
      <c r="E447" s="445"/>
      <c r="F447" s="445"/>
      <c r="G447" s="1064"/>
      <c r="H447" s="445"/>
      <c r="I447" s="1064"/>
      <c r="J447" s="445"/>
      <c r="K447" s="1136"/>
      <c r="L447" s="1136"/>
      <c r="M447" s="1092"/>
      <c r="N447" s="445"/>
      <c r="O447" s="445"/>
      <c r="P447" s="1092"/>
    </row>
    <row r="448" spans="1:16">
      <c r="A448" s="445"/>
      <c r="B448" s="445"/>
      <c r="C448" s="445"/>
      <c r="D448" s="1064"/>
      <c r="E448" s="445"/>
      <c r="F448" s="445"/>
      <c r="G448" s="1064"/>
      <c r="H448" s="445"/>
      <c r="I448" s="1064"/>
      <c r="J448" s="445"/>
      <c r="K448" s="1136"/>
      <c r="L448" s="1136"/>
      <c r="M448" s="1092"/>
      <c r="N448" s="445"/>
      <c r="O448" s="445"/>
      <c r="P448" s="1092"/>
    </row>
    <row r="449" spans="1:16">
      <c r="A449" s="445"/>
      <c r="B449" s="445"/>
      <c r="C449" s="445"/>
      <c r="D449" s="1064"/>
      <c r="E449" s="445"/>
      <c r="F449" s="445"/>
      <c r="G449" s="1064"/>
      <c r="H449" s="445"/>
      <c r="I449" s="1064"/>
      <c r="J449" s="445"/>
      <c r="K449" s="1136"/>
      <c r="L449" s="1136"/>
      <c r="M449" s="1092"/>
      <c r="N449" s="445"/>
      <c r="O449" s="445"/>
      <c r="P449" s="1092"/>
    </row>
    <row r="450" spans="1:16">
      <c r="A450" s="445"/>
      <c r="B450" s="445"/>
      <c r="C450" s="445"/>
      <c r="D450" s="1064"/>
      <c r="E450" s="445"/>
      <c r="F450" s="445"/>
      <c r="G450" s="1064"/>
      <c r="H450" s="445"/>
      <c r="I450" s="1064"/>
      <c r="J450" s="445"/>
      <c r="K450" s="1136"/>
      <c r="L450" s="1136"/>
      <c r="M450" s="1092"/>
      <c r="N450" s="445"/>
      <c r="O450" s="445"/>
      <c r="P450" s="1092"/>
    </row>
    <row r="451" spans="1:16">
      <c r="A451" s="445"/>
      <c r="B451" s="445"/>
      <c r="C451" s="445"/>
      <c r="D451" s="1064"/>
      <c r="E451" s="445"/>
      <c r="F451" s="445"/>
      <c r="G451" s="1064"/>
      <c r="H451" s="445"/>
      <c r="I451" s="1064"/>
      <c r="J451" s="445"/>
      <c r="K451" s="1136"/>
      <c r="L451" s="1136"/>
      <c r="M451" s="1092"/>
      <c r="N451" s="445"/>
      <c r="O451" s="445"/>
      <c r="P451" s="1092"/>
    </row>
    <row r="452" spans="1:16">
      <c r="A452" s="445"/>
      <c r="B452" s="445"/>
      <c r="C452" s="445"/>
      <c r="D452" s="1064"/>
      <c r="E452" s="445"/>
      <c r="F452" s="445"/>
      <c r="G452" s="1064"/>
      <c r="H452" s="445"/>
      <c r="I452" s="1064"/>
      <c r="J452" s="445"/>
      <c r="K452" s="1136"/>
      <c r="L452" s="1136"/>
      <c r="M452" s="1092"/>
      <c r="N452" s="445"/>
      <c r="O452" s="445"/>
      <c r="P452" s="1092"/>
    </row>
    <row r="453" spans="1:16">
      <c r="A453" s="445"/>
      <c r="B453" s="445"/>
      <c r="C453" s="445"/>
      <c r="D453" s="1064"/>
      <c r="E453" s="445"/>
      <c r="F453" s="445"/>
      <c r="G453" s="1064"/>
      <c r="H453" s="445"/>
      <c r="I453" s="1064"/>
      <c r="J453" s="445"/>
      <c r="K453" s="1136"/>
      <c r="L453" s="1136"/>
      <c r="M453" s="1092"/>
      <c r="N453" s="445"/>
      <c r="O453" s="445"/>
      <c r="P453" s="1092"/>
    </row>
    <row r="454" spans="1:16">
      <c r="A454" s="445"/>
      <c r="B454" s="445"/>
      <c r="C454" s="445"/>
      <c r="D454" s="1064"/>
      <c r="E454" s="445"/>
      <c r="F454" s="445"/>
      <c r="G454" s="1064"/>
      <c r="H454" s="445"/>
      <c r="I454" s="1064"/>
      <c r="J454" s="445"/>
      <c r="K454" s="1136"/>
      <c r="L454" s="1136"/>
      <c r="M454" s="1092"/>
      <c r="N454" s="445"/>
      <c r="O454" s="445"/>
      <c r="P454" s="1092"/>
    </row>
    <row r="455" spans="1:16">
      <c r="A455" s="445"/>
      <c r="B455" s="445"/>
      <c r="C455" s="445"/>
      <c r="D455" s="1064"/>
      <c r="E455" s="445"/>
      <c r="F455" s="445"/>
      <c r="G455" s="1064"/>
      <c r="H455" s="445"/>
      <c r="I455" s="1064"/>
      <c r="J455" s="445"/>
      <c r="K455" s="1136"/>
      <c r="L455" s="1136"/>
      <c r="M455" s="1092"/>
      <c r="N455" s="445"/>
      <c r="O455" s="445"/>
      <c r="P455" s="1092"/>
    </row>
    <row r="456" spans="1:16">
      <c r="A456" s="445"/>
      <c r="B456" s="445"/>
      <c r="C456" s="445"/>
      <c r="D456" s="1064"/>
      <c r="E456" s="445"/>
      <c r="F456" s="445"/>
      <c r="G456" s="1064"/>
      <c r="H456" s="445"/>
      <c r="I456" s="1064"/>
      <c r="J456" s="445"/>
      <c r="K456" s="1136"/>
      <c r="L456" s="1136"/>
      <c r="M456" s="1092"/>
      <c r="N456" s="445"/>
      <c r="O456" s="445"/>
      <c r="P456" s="1092"/>
    </row>
    <row r="457" spans="1:16">
      <c r="A457" s="445"/>
      <c r="B457" s="445"/>
      <c r="C457" s="445"/>
      <c r="D457" s="1064"/>
      <c r="E457" s="445"/>
      <c r="F457" s="445"/>
      <c r="G457" s="1064"/>
      <c r="H457" s="445"/>
      <c r="I457" s="1064"/>
      <c r="J457" s="445"/>
      <c r="K457" s="1136"/>
      <c r="L457" s="1136"/>
      <c r="M457" s="1092"/>
      <c r="N457" s="445"/>
      <c r="O457" s="445"/>
      <c r="P457" s="1092"/>
    </row>
    <row r="458" spans="1:16">
      <c r="A458" s="445"/>
      <c r="B458" s="445"/>
      <c r="C458" s="445"/>
      <c r="D458" s="1064"/>
      <c r="E458" s="445"/>
      <c r="F458" s="445"/>
      <c r="G458" s="1064"/>
      <c r="H458" s="445"/>
      <c r="I458" s="1064"/>
      <c r="J458" s="445"/>
      <c r="K458" s="1136"/>
      <c r="L458" s="1136"/>
      <c r="M458" s="1092"/>
      <c r="N458" s="445"/>
      <c r="O458" s="445"/>
      <c r="P458" s="1092"/>
    </row>
    <row r="459" spans="1:16">
      <c r="A459" s="445"/>
      <c r="B459" s="445"/>
      <c r="C459" s="445"/>
      <c r="D459" s="1064"/>
      <c r="E459" s="445"/>
      <c r="F459" s="445"/>
      <c r="G459" s="1064"/>
      <c r="H459" s="445"/>
      <c r="I459" s="1064"/>
      <c r="J459" s="445"/>
      <c r="K459" s="1136"/>
      <c r="L459" s="1136"/>
      <c r="M459" s="1092"/>
      <c r="N459" s="445"/>
      <c r="O459" s="445"/>
      <c r="P459" s="1092"/>
    </row>
    <row r="460" spans="1:16">
      <c r="A460" s="445"/>
      <c r="B460" s="445"/>
      <c r="C460" s="445"/>
      <c r="D460" s="1064"/>
      <c r="E460" s="445"/>
      <c r="F460" s="445"/>
      <c r="G460" s="1064"/>
      <c r="H460" s="445"/>
      <c r="I460" s="1064"/>
      <c r="J460" s="445"/>
      <c r="K460" s="1136"/>
      <c r="L460" s="1136"/>
      <c r="M460" s="1092"/>
      <c r="N460" s="445"/>
      <c r="O460" s="445"/>
      <c r="P460" s="1092"/>
    </row>
    <row r="461" spans="1:16">
      <c r="A461" s="445"/>
      <c r="B461" s="445"/>
      <c r="C461" s="445"/>
      <c r="D461" s="1064"/>
      <c r="E461" s="445"/>
      <c r="F461" s="445"/>
      <c r="G461" s="1064"/>
      <c r="H461" s="445"/>
      <c r="I461" s="1064"/>
      <c r="J461" s="445"/>
      <c r="K461" s="1136"/>
      <c r="L461" s="1136"/>
      <c r="M461" s="1092"/>
      <c r="N461" s="445"/>
      <c r="O461" s="445"/>
      <c r="P461" s="1092"/>
    </row>
    <row r="462" spans="1:16">
      <c r="A462" s="445"/>
      <c r="B462" s="445"/>
      <c r="C462" s="445"/>
      <c r="D462" s="1064"/>
      <c r="E462" s="445"/>
      <c r="F462" s="445"/>
      <c r="G462" s="1064"/>
      <c r="H462" s="445"/>
      <c r="I462" s="1064"/>
      <c r="J462" s="445"/>
      <c r="K462" s="1136"/>
      <c r="L462" s="1136"/>
      <c r="M462" s="1092"/>
      <c r="N462" s="445"/>
      <c r="O462" s="445"/>
      <c r="P462" s="1092"/>
    </row>
    <row r="463" spans="1:16">
      <c r="A463" s="445"/>
      <c r="B463" s="445"/>
      <c r="C463" s="445"/>
      <c r="D463" s="1064"/>
      <c r="E463" s="445"/>
      <c r="F463" s="445"/>
      <c r="G463" s="1064"/>
      <c r="H463" s="445"/>
      <c r="I463" s="1064"/>
      <c r="J463" s="445"/>
      <c r="K463" s="1136"/>
      <c r="L463" s="1136"/>
      <c r="M463" s="1092"/>
      <c r="N463" s="445"/>
      <c r="O463" s="445"/>
      <c r="P463" s="1092"/>
    </row>
    <row r="464" spans="1:16">
      <c r="A464" s="445"/>
      <c r="B464" s="445"/>
      <c r="C464" s="445"/>
      <c r="D464" s="1064"/>
      <c r="E464" s="445"/>
      <c r="F464" s="445"/>
      <c r="G464" s="1064"/>
      <c r="H464" s="445"/>
      <c r="I464" s="1064"/>
      <c r="J464" s="445"/>
      <c r="K464" s="1136"/>
      <c r="L464" s="1136"/>
      <c r="M464" s="1092"/>
      <c r="N464" s="445"/>
      <c r="O464" s="445"/>
      <c r="P464" s="1092"/>
    </row>
    <row r="465" spans="1:16">
      <c r="A465" s="445"/>
      <c r="B465" s="445"/>
      <c r="C465" s="445"/>
      <c r="D465" s="1064"/>
      <c r="E465" s="445"/>
      <c r="F465" s="445"/>
      <c r="G465" s="1064"/>
      <c r="H465" s="445"/>
      <c r="I465" s="1064"/>
      <c r="J465" s="445"/>
      <c r="K465" s="1136"/>
      <c r="L465" s="1136"/>
      <c r="M465" s="1092"/>
      <c r="N465" s="445"/>
      <c r="O465" s="445"/>
      <c r="P465" s="1092"/>
    </row>
    <row r="466" spans="1:16">
      <c r="A466" s="445"/>
      <c r="B466" s="445"/>
      <c r="C466" s="445"/>
      <c r="D466" s="1064"/>
      <c r="E466" s="445"/>
      <c r="F466" s="445"/>
      <c r="G466" s="1064"/>
      <c r="H466" s="445"/>
      <c r="I466" s="1064"/>
      <c r="J466" s="445"/>
      <c r="K466" s="1136"/>
      <c r="L466" s="1136"/>
      <c r="M466" s="1092"/>
      <c r="N466" s="445"/>
      <c r="O466" s="445"/>
      <c r="P466" s="1092"/>
    </row>
    <row r="467" spans="1:16">
      <c r="A467" s="445"/>
      <c r="B467" s="445"/>
      <c r="C467" s="445"/>
      <c r="D467" s="1064"/>
      <c r="E467" s="445"/>
      <c r="F467" s="445"/>
      <c r="G467" s="1064"/>
      <c r="H467" s="445"/>
      <c r="I467" s="1064"/>
      <c r="J467" s="445"/>
      <c r="K467" s="1136"/>
      <c r="L467" s="1136"/>
      <c r="M467" s="1092"/>
      <c r="N467" s="445"/>
      <c r="O467" s="445"/>
      <c r="P467" s="1092"/>
    </row>
    <row r="468" spans="1:16">
      <c r="A468" s="445"/>
      <c r="B468" s="445"/>
      <c r="C468" s="445"/>
      <c r="D468" s="1064"/>
      <c r="E468" s="445"/>
      <c r="F468" s="445"/>
      <c r="G468" s="1064"/>
      <c r="H468" s="445"/>
      <c r="I468" s="1064"/>
      <c r="J468" s="445"/>
      <c r="K468" s="1136"/>
      <c r="L468" s="1136"/>
      <c r="M468" s="1092"/>
      <c r="N468" s="445"/>
      <c r="O468" s="445"/>
      <c r="P468" s="1092"/>
    </row>
    <row r="469" spans="1:16">
      <c r="A469" s="445"/>
      <c r="B469" s="445"/>
      <c r="C469" s="445"/>
      <c r="D469" s="1064"/>
      <c r="E469" s="445"/>
      <c r="F469" s="445"/>
      <c r="G469" s="1064"/>
      <c r="H469" s="445"/>
      <c r="I469" s="1064"/>
      <c r="J469" s="445"/>
      <c r="K469" s="1136"/>
      <c r="L469" s="1136"/>
      <c r="M469" s="1092"/>
      <c r="N469" s="445"/>
      <c r="O469" s="445"/>
      <c r="P469" s="1092"/>
    </row>
    <row r="470" spans="1:16">
      <c r="A470" s="445"/>
      <c r="B470" s="445"/>
      <c r="C470" s="445"/>
      <c r="D470" s="1064"/>
      <c r="E470" s="445"/>
      <c r="F470" s="445"/>
      <c r="G470" s="1064"/>
      <c r="H470" s="445"/>
      <c r="I470" s="1064"/>
      <c r="J470" s="445"/>
      <c r="K470" s="1136"/>
      <c r="L470" s="1136"/>
      <c r="M470" s="1092"/>
      <c r="N470" s="445"/>
      <c r="O470" s="445"/>
      <c r="P470" s="1092"/>
    </row>
    <row r="471" spans="1:16">
      <c r="A471" s="445"/>
      <c r="B471" s="445"/>
      <c r="C471" s="445"/>
      <c r="D471" s="1064"/>
      <c r="E471" s="445"/>
      <c r="F471" s="445"/>
      <c r="G471" s="1064"/>
      <c r="H471" s="445"/>
      <c r="I471" s="1064"/>
      <c r="J471" s="445"/>
      <c r="K471" s="1136"/>
      <c r="L471" s="1136"/>
      <c r="M471" s="1092"/>
      <c r="N471" s="445"/>
      <c r="O471" s="445"/>
      <c r="P471" s="1092"/>
    </row>
    <row r="472" spans="1:16">
      <c r="A472" s="445"/>
      <c r="B472" s="445"/>
      <c r="C472" s="445"/>
      <c r="D472" s="1064"/>
      <c r="E472" s="445"/>
      <c r="F472" s="445"/>
      <c r="G472" s="1064"/>
      <c r="H472" s="445"/>
      <c r="I472" s="1064"/>
      <c r="J472" s="445"/>
      <c r="K472" s="1136"/>
      <c r="L472" s="1136"/>
      <c r="M472" s="1092"/>
      <c r="N472" s="445"/>
      <c r="O472" s="445"/>
      <c r="P472" s="1092"/>
    </row>
    <row r="473" spans="1:16">
      <c r="A473" s="445"/>
      <c r="B473" s="445"/>
      <c r="C473" s="445"/>
      <c r="D473" s="1064"/>
      <c r="E473" s="445"/>
      <c r="F473" s="445"/>
      <c r="G473" s="1064"/>
      <c r="H473" s="445"/>
      <c r="I473" s="1064"/>
      <c r="J473" s="445"/>
      <c r="K473" s="1136"/>
      <c r="L473" s="1136"/>
      <c r="M473" s="1092"/>
      <c r="N473" s="445"/>
      <c r="O473" s="445"/>
      <c r="P473" s="1092"/>
    </row>
    <row r="474" spans="1:16">
      <c r="A474" s="445"/>
      <c r="B474" s="445"/>
      <c r="C474" s="445"/>
      <c r="D474" s="1064"/>
      <c r="E474" s="445"/>
      <c r="F474" s="445"/>
      <c r="G474" s="1064"/>
      <c r="H474" s="445"/>
      <c r="I474" s="1064"/>
      <c r="J474" s="445"/>
      <c r="K474" s="1136"/>
      <c r="L474" s="1136"/>
      <c r="M474" s="1092"/>
      <c r="N474" s="445"/>
      <c r="O474" s="445"/>
      <c r="P474" s="1092"/>
    </row>
    <row r="475" spans="1:16">
      <c r="A475" s="445"/>
      <c r="B475" s="445"/>
      <c r="C475" s="445"/>
      <c r="D475" s="1064"/>
      <c r="E475" s="445"/>
      <c r="F475" s="445"/>
      <c r="G475" s="1064"/>
      <c r="H475" s="445"/>
      <c r="I475" s="1064"/>
      <c r="J475" s="445"/>
      <c r="K475" s="1136"/>
      <c r="L475" s="1136"/>
      <c r="M475" s="1092"/>
      <c r="N475" s="445"/>
      <c r="O475" s="445"/>
      <c r="P475" s="1092"/>
    </row>
    <row r="476" spans="1:16">
      <c r="A476" s="445"/>
      <c r="B476" s="445"/>
      <c r="C476" s="445"/>
      <c r="D476" s="1064"/>
      <c r="E476" s="445"/>
      <c r="F476" s="445"/>
      <c r="G476" s="1064"/>
      <c r="H476" s="445"/>
      <c r="I476" s="1064"/>
      <c r="J476" s="445"/>
      <c r="K476" s="1136"/>
      <c r="L476" s="1136"/>
      <c r="M476" s="1092"/>
      <c r="N476" s="445"/>
      <c r="O476" s="445"/>
      <c r="P476" s="1092"/>
    </row>
    <row r="477" spans="1:16">
      <c r="A477" s="445"/>
      <c r="B477" s="445"/>
      <c r="C477" s="445"/>
      <c r="D477" s="1064"/>
      <c r="E477" s="445"/>
      <c r="F477" s="445"/>
      <c r="G477" s="1064"/>
      <c r="H477" s="445"/>
      <c r="I477" s="1064"/>
      <c r="J477" s="445"/>
      <c r="K477" s="1136"/>
      <c r="L477" s="1136"/>
      <c r="M477" s="1092"/>
      <c r="N477" s="445"/>
      <c r="O477" s="445"/>
      <c r="P477" s="1092"/>
    </row>
    <row r="478" spans="1:16">
      <c r="A478" s="445"/>
      <c r="B478" s="445"/>
      <c r="C478" s="445"/>
      <c r="D478" s="1064"/>
      <c r="E478" s="445"/>
      <c r="F478" s="445"/>
      <c r="G478" s="1064"/>
      <c r="H478" s="445"/>
      <c r="I478" s="1064"/>
      <c r="J478" s="445"/>
      <c r="K478" s="1136"/>
      <c r="L478" s="1136"/>
      <c r="M478" s="1092"/>
      <c r="N478" s="445"/>
      <c r="O478" s="445"/>
      <c r="P478" s="1092"/>
    </row>
  </sheetData>
  <mergeCells count="4">
    <mergeCell ref="A5:E5"/>
    <mergeCell ref="F5:J5"/>
    <mergeCell ref="K5:M5"/>
    <mergeCell ref="N5:P5"/>
  </mergeCells>
  <printOptions horizontalCentered="1"/>
  <pageMargins left="0.19685039370078741" right="0.19685039370078741" top="0.78740157480314965" bottom="0.78740157480314965" header="0.19685039370078741" footer="0.19685039370078741"/>
  <pageSetup paperSize="9" scale="61" fitToHeight="100" orientation="landscape" r:id="rId1"/>
  <headerFooter>
    <oddHeader>&amp;C&amp;"Arial,Negrita"&amp;20PROYECTO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2060"/>
    <pageSetUpPr fitToPage="1"/>
  </sheetPr>
  <dimension ref="A1:V478"/>
  <sheetViews>
    <sheetView view="pageBreakPreview" topLeftCell="D1" zoomScaleNormal="100" zoomScaleSheetLayoutView="100" workbookViewId="0">
      <selection activeCell="B8" sqref="B8"/>
    </sheetView>
  </sheetViews>
  <sheetFormatPr baseColWidth="10" defaultColWidth="11.42578125" defaultRowHeight="12"/>
  <cols>
    <col min="1" max="1" width="13.140625" style="265" customWidth="1"/>
    <col min="2" max="2" width="9.140625" style="265" customWidth="1"/>
    <col min="3" max="3" width="10.140625" style="265" customWidth="1"/>
    <col min="4" max="4" width="20.7109375" style="265" customWidth="1"/>
    <col min="5" max="5" width="10.7109375" style="285" customWidth="1"/>
    <col min="6" max="6" width="9" style="265" bestFit="1" customWidth="1"/>
    <col min="7" max="7" width="35.7109375" style="265" customWidth="1"/>
    <col min="8" max="8" width="20.7109375" style="265" customWidth="1"/>
    <col min="9" max="9" width="35.7109375" style="265" customWidth="1"/>
    <col min="10" max="10" width="20.7109375" style="265" customWidth="1"/>
    <col min="11" max="11" width="8.140625" style="276" bestFit="1" customWidth="1"/>
    <col min="12" max="12" width="5.5703125" style="276" bestFit="1" customWidth="1"/>
    <col min="13" max="13" width="13.7109375" style="265" bestFit="1" customWidth="1"/>
    <col min="14" max="14" width="8.140625" style="285" bestFit="1" customWidth="1"/>
    <col min="15" max="15" width="8.42578125" style="285" bestFit="1" customWidth="1"/>
    <col min="16" max="16" width="13.7109375" style="265" bestFit="1" customWidth="1"/>
    <col min="17" max="16384" width="11.42578125" style="265"/>
  </cols>
  <sheetData>
    <row r="1" spans="1:22" s="275" customFormat="1">
      <c r="A1" s="275" t="s">
        <v>473</v>
      </c>
      <c r="E1" s="444"/>
      <c r="N1" s="444"/>
      <c r="O1" s="444"/>
    </row>
    <row r="2" spans="1:22" s="264" customFormat="1">
      <c r="A2" s="69" t="s">
        <v>1655</v>
      </c>
      <c r="B2" s="69"/>
      <c r="C2" s="69"/>
      <c r="D2" s="69"/>
      <c r="E2" s="282"/>
      <c r="F2" s="69"/>
      <c r="G2" s="69"/>
      <c r="H2" s="69"/>
      <c r="I2" s="69"/>
      <c r="J2" s="69"/>
      <c r="K2" s="69"/>
      <c r="L2" s="69"/>
      <c r="M2" s="69"/>
      <c r="N2" s="282"/>
      <c r="O2" s="282"/>
      <c r="P2" s="69"/>
      <c r="Q2" s="69"/>
      <c r="R2" s="69"/>
      <c r="S2" s="69"/>
      <c r="T2" s="69"/>
      <c r="U2" s="69"/>
      <c r="V2" s="69"/>
    </row>
    <row r="3" spans="1:22" s="264" customFormat="1">
      <c r="A3" s="742" t="s">
        <v>1654</v>
      </c>
      <c r="B3" s="69"/>
      <c r="C3" s="69"/>
      <c r="D3" s="69"/>
      <c r="E3" s="282"/>
      <c r="F3" s="69"/>
      <c r="G3" s="69"/>
      <c r="H3" s="69"/>
      <c r="I3" s="69"/>
      <c r="J3" s="69"/>
      <c r="K3" s="69"/>
      <c r="L3" s="69"/>
      <c r="M3" s="69"/>
      <c r="N3" s="282"/>
      <c r="O3" s="282"/>
      <c r="P3" s="69"/>
      <c r="Q3" s="69"/>
      <c r="R3" s="69"/>
      <c r="S3" s="69"/>
      <c r="T3" s="69"/>
      <c r="U3" s="69"/>
      <c r="V3" s="69"/>
    </row>
    <row r="4" spans="1:22" ht="12.75" thickBot="1">
      <c r="A4" s="742" t="s">
        <v>1864</v>
      </c>
    </row>
    <row r="5" spans="1:22" s="277" customFormat="1" ht="12.75" thickBot="1">
      <c r="A5" s="2024" t="s">
        <v>131</v>
      </c>
      <c r="B5" s="2069"/>
      <c r="C5" s="2069"/>
      <c r="D5" s="2069"/>
      <c r="E5" s="2025"/>
      <c r="F5" s="2070" t="s">
        <v>132</v>
      </c>
      <c r="G5" s="2071"/>
      <c r="H5" s="2072"/>
      <c r="I5" s="2072"/>
      <c r="J5" s="2073"/>
      <c r="K5" s="2074" t="s">
        <v>1652</v>
      </c>
      <c r="L5" s="2075"/>
      <c r="M5" s="2076"/>
      <c r="N5" s="2074" t="s">
        <v>1651</v>
      </c>
      <c r="O5" s="2075"/>
      <c r="P5" s="2076"/>
    </row>
    <row r="6" spans="1:22" s="278" customFormat="1" ht="78" thickBot="1">
      <c r="A6" s="401" t="s">
        <v>94</v>
      </c>
      <c r="B6" s="139" t="s">
        <v>8</v>
      </c>
      <c r="C6" s="139" t="s">
        <v>91</v>
      </c>
      <c r="D6" s="402" t="s">
        <v>95</v>
      </c>
      <c r="E6" s="404" t="s">
        <v>115</v>
      </c>
      <c r="F6" s="401" t="s">
        <v>119</v>
      </c>
      <c r="G6" s="402" t="s">
        <v>120</v>
      </c>
      <c r="H6" s="402" t="s">
        <v>134</v>
      </c>
      <c r="I6" s="139" t="s">
        <v>135</v>
      </c>
      <c r="J6" s="400" t="s">
        <v>124</v>
      </c>
      <c r="K6" s="443" t="s">
        <v>121</v>
      </c>
      <c r="L6" s="140" t="s">
        <v>122</v>
      </c>
      <c r="M6" s="141" t="s">
        <v>123</v>
      </c>
      <c r="N6" s="443" t="s">
        <v>121</v>
      </c>
      <c r="O6" s="140" t="s">
        <v>122</v>
      </c>
      <c r="P6" s="141" t="s">
        <v>123</v>
      </c>
    </row>
    <row r="7" spans="1:22" s="740" customFormat="1">
      <c r="A7" s="1131" t="s">
        <v>1663</v>
      </c>
      <c r="B7" s="1095" t="s">
        <v>1662</v>
      </c>
      <c r="C7" s="1095" t="s">
        <v>504</v>
      </c>
      <c r="D7" s="1160" t="s">
        <v>1813</v>
      </c>
      <c r="E7" s="1161">
        <v>8000</v>
      </c>
      <c r="F7" s="1162">
        <v>8615399</v>
      </c>
      <c r="G7" s="1163" t="s">
        <v>1863</v>
      </c>
      <c r="H7" s="1107" t="s">
        <v>1788</v>
      </c>
      <c r="I7" s="1164" t="s">
        <v>507</v>
      </c>
      <c r="J7" s="1165" t="s">
        <v>1792</v>
      </c>
      <c r="K7" s="1166">
        <v>1</v>
      </c>
      <c r="L7" s="1167">
        <v>12</v>
      </c>
      <c r="M7" s="1168">
        <f t="shared" ref="M7:M14" si="0">E7*L7</f>
        <v>96000</v>
      </c>
      <c r="N7" s="1166">
        <v>1</v>
      </c>
      <c r="O7" s="1167">
        <v>6</v>
      </c>
      <c r="P7" s="1168">
        <f>O7*E7</f>
        <v>48000</v>
      </c>
    </row>
    <row r="8" spans="1:22" s="740" customFormat="1" ht="24">
      <c r="A8" s="1131" t="s">
        <v>1663</v>
      </c>
      <c r="B8" s="1095" t="s">
        <v>1662</v>
      </c>
      <c r="C8" s="1095" t="s">
        <v>504</v>
      </c>
      <c r="D8" s="1160" t="s">
        <v>1862</v>
      </c>
      <c r="E8" s="1161">
        <v>4000</v>
      </c>
      <c r="F8" s="1162">
        <v>25614397</v>
      </c>
      <c r="G8" s="1163" t="s">
        <v>1861</v>
      </c>
      <c r="H8" s="1107"/>
      <c r="I8" s="1164" t="s">
        <v>507</v>
      </c>
      <c r="J8" s="1165" t="s">
        <v>1860</v>
      </c>
      <c r="K8" s="1166">
        <v>1</v>
      </c>
      <c r="L8" s="1167">
        <v>12</v>
      </c>
      <c r="M8" s="1168">
        <f t="shared" si="0"/>
        <v>48000</v>
      </c>
      <c r="N8" s="1166">
        <v>1</v>
      </c>
      <c r="O8" s="1167">
        <v>6</v>
      </c>
      <c r="P8" s="1168">
        <f>O8*E8</f>
        <v>24000</v>
      </c>
    </row>
    <row r="9" spans="1:22" s="740" customFormat="1">
      <c r="A9" s="1131" t="s">
        <v>1663</v>
      </c>
      <c r="B9" s="1095" t="s">
        <v>1662</v>
      </c>
      <c r="C9" s="1095" t="s">
        <v>504</v>
      </c>
      <c r="D9" s="1160" t="s">
        <v>1439</v>
      </c>
      <c r="E9" s="1161">
        <v>6000</v>
      </c>
      <c r="F9" s="1162">
        <v>7580865</v>
      </c>
      <c r="G9" s="1163" t="s">
        <v>1859</v>
      </c>
      <c r="H9" s="1107" t="s">
        <v>1788</v>
      </c>
      <c r="I9" s="1164" t="s">
        <v>507</v>
      </c>
      <c r="J9" s="1165" t="s">
        <v>1792</v>
      </c>
      <c r="K9" s="1166">
        <v>1</v>
      </c>
      <c r="L9" s="1167">
        <v>12</v>
      </c>
      <c r="M9" s="1168">
        <f t="shared" si="0"/>
        <v>72000</v>
      </c>
      <c r="N9" s="1166">
        <v>1</v>
      </c>
      <c r="O9" s="1167">
        <v>6</v>
      </c>
      <c r="P9" s="1168">
        <f>O9*E9</f>
        <v>36000</v>
      </c>
    </row>
    <row r="10" spans="1:22" s="740" customFormat="1">
      <c r="A10" s="1131" t="s">
        <v>1663</v>
      </c>
      <c r="B10" s="1095" t="s">
        <v>1662</v>
      </c>
      <c r="C10" s="1095" t="s">
        <v>504</v>
      </c>
      <c r="D10" s="1160" t="s">
        <v>1858</v>
      </c>
      <c r="E10" s="1161">
        <v>7000</v>
      </c>
      <c r="F10" s="1162">
        <v>9043438</v>
      </c>
      <c r="G10" s="1163" t="s">
        <v>1857</v>
      </c>
      <c r="H10" s="1107" t="s">
        <v>1788</v>
      </c>
      <c r="I10" s="1164" t="s">
        <v>507</v>
      </c>
      <c r="J10" s="1165" t="s">
        <v>1792</v>
      </c>
      <c r="K10" s="1166">
        <v>1</v>
      </c>
      <c r="L10" s="1167">
        <v>12</v>
      </c>
      <c r="M10" s="1168">
        <f t="shared" si="0"/>
        <v>84000</v>
      </c>
      <c r="N10" s="1166">
        <v>1</v>
      </c>
      <c r="O10" s="1167">
        <v>6</v>
      </c>
      <c r="P10" s="1168">
        <f>E10*O10</f>
        <v>42000</v>
      </c>
    </row>
    <row r="11" spans="1:22" s="740" customFormat="1">
      <c r="A11" s="1131" t="s">
        <v>1663</v>
      </c>
      <c r="B11" s="1095" t="s">
        <v>1662</v>
      </c>
      <c r="C11" s="1095" t="s">
        <v>504</v>
      </c>
      <c r="D11" s="1160" t="s">
        <v>1856</v>
      </c>
      <c r="E11" s="1161">
        <v>3500</v>
      </c>
      <c r="F11" s="1162">
        <v>40349972</v>
      </c>
      <c r="G11" s="1163" t="s">
        <v>1855</v>
      </c>
      <c r="H11" s="1107" t="s">
        <v>1788</v>
      </c>
      <c r="I11" s="1164" t="s">
        <v>507</v>
      </c>
      <c r="J11" s="1165" t="s">
        <v>1792</v>
      </c>
      <c r="K11" s="1166">
        <v>1</v>
      </c>
      <c r="L11" s="1167">
        <v>12</v>
      </c>
      <c r="M11" s="1168">
        <f t="shared" si="0"/>
        <v>42000</v>
      </c>
      <c r="N11" s="1166">
        <v>1</v>
      </c>
      <c r="O11" s="1167">
        <v>6</v>
      </c>
      <c r="P11" s="1168">
        <f>E11*O11</f>
        <v>21000</v>
      </c>
    </row>
    <row r="12" spans="1:22" s="740" customFormat="1">
      <c r="A12" s="1131" t="s">
        <v>1663</v>
      </c>
      <c r="B12" s="1095" t="s">
        <v>1662</v>
      </c>
      <c r="C12" s="1095" t="s">
        <v>504</v>
      </c>
      <c r="D12" s="1160" t="s">
        <v>1854</v>
      </c>
      <c r="E12" s="1161">
        <v>3500</v>
      </c>
      <c r="F12" s="1162">
        <v>22194412</v>
      </c>
      <c r="G12" s="1163" t="s">
        <v>1853</v>
      </c>
      <c r="H12" s="1107" t="s">
        <v>1788</v>
      </c>
      <c r="I12" s="1164" t="s">
        <v>507</v>
      </c>
      <c r="J12" s="1165" t="s">
        <v>1792</v>
      </c>
      <c r="K12" s="1166">
        <v>1</v>
      </c>
      <c r="L12" s="1167">
        <v>12</v>
      </c>
      <c r="M12" s="1168">
        <f t="shared" si="0"/>
        <v>42000</v>
      </c>
      <c r="N12" s="1166">
        <v>1</v>
      </c>
      <c r="O12" s="1167">
        <v>6</v>
      </c>
      <c r="P12" s="1168">
        <f>E12*O12</f>
        <v>21000</v>
      </c>
    </row>
    <row r="13" spans="1:22" s="740" customFormat="1">
      <c r="A13" s="1131" t="s">
        <v>1663</v>
      </c>
      <c r="B13" s="1095" t="s">
        <v>1662</v>
      </c>
      <c r="C13" s="1095" t="s">
        <v>504</v>
      </c>
      <c r="D13" s="1160" t="s">
        <v>1852</v>
      </c>
      <c r="E13" s="1161">
        <v>6000</v>
      </c>
      <c r="F13" s="1162">
        <v>23865535</v>
      </c>
      <c r="G13" s="1163" t="s">
        <v>1851</v>
      </c>
      <c r="H13" s="1107" t="s">
        <v>511</v>
      </c>
      <c r="I13" s="1164" t="s">
        <v>507</v>
      </c>
      <c r="J13" s="1165" t="s">
        <v>511</v>
      </c>
      <c r="K13" s="1166">
        <v>1</v>
      </c>
      <c r="L13" s="1167">
        <v>9</v>
      </c>
      <c r="M13" s="1168">
        <f t="shared" si="0"/>
        <v>54000</v>
      </c>
      <c r="N13" s="1166">
        <v>1</v>
      </c>
      <c r="O13" s="1167">
        <v>6</v>
      </c>
      <c r="P13" s="1168">
        <f>E13*O13</f>
        <v>36000</v>
      </c>
    </row>
    <row r="14" spans="1:22" s="740" customFormat="1">
      <c r="A14" s="1131" t="s">
        <v>1663</v>
      </c>
      <c r="B14" s="1095" t="s">
        <v>1662</v>
      </c>
      <c r="C14" s="1095" t="s">
        <v>504</v>
      </c>
      <c r="D14" s="1160" t="s">
        <v>1850</v>
      </c>
      <c r="E14" s="1161">
        <v>6000</v>
      </c>
      <c r="F14" s="1162">
        <v>10238403</v>
      </c>
      <c r="G14" s="1163" t="s">
        <v>1849</v>
      </c>
      <c r="H14" s="1107" t="s">
        <v>1788</v>
      </c>
      <c r="I14" s="1164" t="s">
        <v>507</v>
      </c>
      <c r="J14" s="1165" t="s">
        <v>1792</v>
      </c>
      <c r="K14" s="1166">
        <v>1</v>
      </c>
      <c r="L14" s="1167">
        <v>12</v>
      </c>
      <c r="M14" s="1168">
        <f t="shared" si="0"/>
        <v>72000</v>
      </c>
      <c r="N14" s="1166">
        <v>1</v>
      </c>
      <c r="O14" s="1167">
        <v>6</v>
      </c>
      <c r="P14" s="1168">
        <f>E14*O14</f>
        <v>36000</v>
      </c>
    </row>
    <row r="15" spans="1:22" s="740" customFormat="1" ht="24">
      <c r="A15" s="1131" t="s">
        <v>1663</v>
      </c>
      <c r="B15" s="1095" t="s">
        <v>1662</v>
      </c>
      <c r="C15" s="1095" t="s">
        <v>504</v>
      </c>
      <c r="D15" s="1160" t="s">
        <v>1848</v>
      </c>
      <c r="E15" s="1161">
        <v>5000</v>
      </c>
      <c r="F15" s="1162">
        <v>43649196</v>
      </c>
      <c r="G15" s="1163" t="s">
        <v>1847</v>
      </c>
      <c r="H15" s="1107" t="s">
        <v>1754</v>
      </c>
      <c r="I15" s="1164" t="s">
        <v>507</v>
      </c>
      <c r="J15" s="1165" t="s">
        <v>1586</v>
      </c>
      <c r="K15" s="1166">
        <v>1</v>
      </c>
      <c r="L15" s="1167">
        <v>12</v>
      </c>
      <c r="M15" s="1168">
        <f>L15*E15</f>
        <v>60000</v>
      </c>
      <c r="N15" s="1166">
        <v>1</v>
      </c>
      <c r="O15" s="1167">
        <v>5</v>
      </c>
      <c r="P15" s="1168">
        <f t="shared" ref="P15:P22" si="1">O15*E15</f>
        <v>25000</v>
      </c>
    </row>
    <row r="16" spans="1:22" s="740" customFormat="1" ht="24">
      <c r="A16" s="1131" t="s">
        <v>1663</v>
      </c>
      <c r="B16" s="1095" t="s">
        <v>1662</v>
      </c>
      <c r="C16" s="1095" t="s">
        <v>504</v>
      </c>
      <c r="D16" s="1160" t="s">
        <v>787</v>
      </c>
      <c r="E16" s="1161">
        <v>3000</v>
      </c>
      <c r="F16" s="1162">
        <v>45864439</v>
      </c>
      <c r="G16" s="1163" t="s">
        <v>1846</v>
      </c>
      <c r="H16" s="1107" t="s">
        <v>1780</v>
      </c>
      <c r="I16" s="1164" t="s">
        <v>507</v>
      </c>
      <c r="J16" s="1165" t="s">
        <v>1845</v>
      </c>
      <c r="K16" s="1166">
        <v>1</v>
      </c>
      <c r="L16" s="1167">
        <v>12</v>
      </c>
      <c r="M16" s="1168">
        <f>L16*E16</f>
        <v>36000</v>
      </c>
      <c r="N16" s="1166">
        <v>1</v>
      </c>
      <c r="O16" s="1167">
        <v>1</v>
      </c>
      <c r="P16" s="1168">
        <f t="shared" si="1"/>
        <v>3000</v>
      </c>
    </row>
    <row r="17" spans="1:16" s="740" customFormat="1" ht="24">
      <c r="A17" s="1131" t="s">
        <v>1663</v>
      </c>
      <c r="B17" s="1095" t="s">
        <v>1662</v>
      </c>
      <c r="C17" s="1095" t="s">
        <v>504</v>
      </c>
      <c r="D17" s="1160" t="s">
        <v>1844</v>
      </c>
      <c r="E17" s="1161">
        <v>5000</v>
      </c>
      <c r="F17" s="1162">
        <v>44044382</v>
      </c>
      <c r="G17" s="1163" t="s">
        <v>1843</v>
      </c>
      <c r="H17" s="1107" t="s">
        <v>1842</v>
      </c>
      <c r="I17" s="1164" t="s">
        <v>507</v>
      </c>
      <c r="J17" s="1165" t="s">
        <v>1841</v>
      </c>
      <c r="K17" s="1166">
        <v>1</v>
      </c>
      <c r="L17" s="1167">
        <v>9</v>
      </c>
      <c r="M17" s="1168">
        <f>L17*E17</f>
        <v>45000</v>
      </c>
      <c r="N17" s="1166"/>
      <c r="O17" s="1167"/>
      <c r="P17" s="1168">
        <f t="shared" si="1"/>
        <v>0</v>
      </c>
    </row>
    <row r="18" spans="1:16" s="740" customFormat="1" ht="24">
      <c r="A18" s="1131" t="s">
        <v>1663</v>
      </c>
      <c r="B18" s="1095" t="s">
        <v>1662</v>
      </c>
      <c r="C18" s="1095" t="s">
        <v>504</v>
      </c>
      <c r="D18" s="1160" t="s">
        <v>1840</v>
      </c>
      <c r="E18" s="1161">
        <v>5000</v>
      </c>
      <c r="F18" s="1162">
        <v>43655204</v>
      </c>
      <c r="G18" s="1163" t="s">
        <v>1839</v>
      </c>
      <c r="H18" s="1107" t="s">
        <v>1754</v>
      </c>
      <c r="I18" s="1164" t="s">
        <v>507</v>
      </c>
      <c r="J18" s="1165" t="s">
        <v>1586</v>
      </c>
      <c r="K18" s="1166">
        <v>1</v>
      </c>
      <c r="L18" s="1167">
        <v>12</v>
      </c>
      <c r="M18" s="1168">
        <f>L18*E18</f>
        <v>60000</v>
      </c>
      <c r="N18" s="1166">
        <v>1</v>
      </c>
      <c r="O18" s="1167">
        <v>6</v>
      </c>
      <c r="P18" s="1168">
        <f t="shared" si="1"/>
        <v>30000</v>
      </c>
    </row>
    <row r="19" spans="1:16" s="740" customFormat="1">
      <c r="A19" s="1131" t="s">
        <v>1663</v>
      </c>
      <c r="B19" s="1095" t="s">
        <v>1662</v>
      </c>
      <c r="C19" s="1095" t="s">
        <v>504</v>
      </c>
      <c r="D19" s="1160" t="s">
        <v>1838</v>
      </c>
      <c r="E19" s="1161">
        <v>2350</v>
      </c>
      <c r="F19" s="1162">
        <v>33429468</v>
      </c>
      <c r="G19" s="1163" t="s">
        <v>1837</v>
      </c>
      <c r="H19" s="1107"/>
      <c r="I19" s="1164" t="s">
        <v>507</v>
      </c>
      <c r="J19" s="1165" t="s">
        <v>1836</v>
      </c>
      <c r="K19" s="1166">
        <v>1</v>
      </c>
      <c r="L19" s="1167">
        <v>12</v>
      </c>
      <c r="M19" s="1168">
        <f>E19*L19</f>
        <v>28200</v>
      </c>
      <c r="N19" s="1166">
        <v>1</v>
      </c>
      <c r="O19" s="1167">
        <v>6</v>
      </c>
      <c r="P19" s="1168">
        <f t="shared" si="1"/>
        <v>14100</v>
      </c>
    </row>
    <row r="20" spans="1:16" s="740" customFormat="1" ht="24">
      <c r="A20" s="1131" t="s">
        <v>1663</v>
      </c>
      <c r="B20" s="1095" t="s">
        <v>1662</v>
      </c>
      <c r="C20" s="1095" t="s">
        <v>504</v>
      </c>
      <c r="D20" s="1160" t="s">
        <v>859</v>
      </c>
      <c r="E20" s="1161">
        <v>5000</v>
      </c>
      <c r="F20" s="1162">
        <v>43313393</v>
      </c>
      <c r="G20" s="1163" t="s">
        <v>1835</v>
      </c>
      <c r="H20" s="1107" t="s">
        <v>1754</v>
      </c>
      <c r="I20" s="1164" t="s">
        <v>1834</v>
      </c>
      <c r="J20" s="1165" t="s">
        <v>1833</v>
      </c>
      <c r="K20" s="1166">
        <v>1</v>
      </c>
      <c r="L20" s="1167">
        <v>8</v>
      </c>
      <c r="M20" s="1168">
        <f>E20*L20</f>
        <v>40000</v>
      </c>
      <c r="N20" s="1166">
        <v>1</v>
      </c>
      <c r="O20" s="1167">
        <v>6</v>
      </c>
      <c r="P20" s="1168">
        <f t="shared" si="1"/>
        <v>30000</v>
      </c>
    </row>
    <row r="21" spans="1:16" s="740" customFormat="1" ht="24">
      <c r="A21" s="1131" t="s">
        <v>1663</v>
      </c>
      <c r="B21" s="1095" t="s">
        <v>1662</v>
      </c>
      <c r="C21" s="1095" t="s">
        <v>504</v>
      </c>
      <c r="D21" s="1160" t="s">
        <v>1832</v>
      </c>
      <c r="E21" s="1161">
        <v>2300</v>
      </c>
      <c r="F21" s="1162">
        <v>46270515</v>
      </c>
      <c r="G21" s="1163" t="s">
        <v>1831</v>
      </c>
      <c r="H21" s="1107"/>
      <c r="I21" s="1164" t="s">
        <v>507</v>
      </c>
      <c r="J21" s="1165" t="s">
        <v>1830</v>
      </c>
      <c r="K21" s="1166">
        <v>1</v>
      </c>
      <c r="L21" s="1167">
        <v>12</v>
      </c>
      <c r="M21" s="1168">
        <f t="shared" ref="M21:M26" si="2">L21*E21</f>
        <v>27600</v>
      </c>
      <c r="N21" s="1166">
        <v>1</v>
      </c>
      <c r="O21" s="1167">
        <v>6</v>
      </c>
      <c r="P21" s="1168">
        <f t="shared" si="1"/>
        <v>13800</v>
      </c>
    </row>
    <row r="22" spans="1:16" s="740" customFormat="1">
      <c r="A22" s="1131" t="s">
        <v>1663</v>
      </c>
      <c r="B22" s="1095" t="s">
        <v>1662</v>
      </c>
      <c r="C22" s="1095" t="s">
        <v>504</v>
      </c>
      <c r="D22" s="1160" t="s">
        <v>1829</v>
      </c>
      <c r="E22" s="1161">
        <v>1600</v>
      </c>
      <c r="F22" s="1162">
        <v>43589768</v>
      </c>
      <c r="G22" s="1163" t="s">
        <v>1828</v>
      </c>
      <c r="H22" s="1107"/>
      <c r="I22" s="1164" t="s">
        <v>507</v>
      </c>
      <c r="J22" s="1165" t="s">
        <v>1827</v>
      </c>
      <c r="K22" s="1166">
        <v>1</v>
      </c>
      <c r="L22" s="1167">
        <v>12</v>
      </c>
      <c r="M22" s="1168">
        <f t="shared" si="2"/>
        <v>19200</v>
      </c>
      <c r="N22" s="1166">
        <v>1</v>
      </c>
      <c r="O22" s="1167">
        <v>6</v>
      </c>
      <c r="P22" s="1168">
        <f t="shared" si="1"/>
        <v>9600</v>
      </c>
    </row>
    <row r="23" spans="1:16" s="740" customFormat="1">
      <c r="A23" s="1131" t="s">
        <v>1663</v>
      </c>
      <c r="B23" s="1095" t="s">
        <v>1662</v>
      </c>
      <c r="C23" s="1095" t="s">
        <v>504</v>
      </c>
      <c r="D23" s="1160" t="s">
        <v>1825</v>
      </c>
      <c r="E23" s="1161">
        <v>2000</v>
      </c>
      <c r="F23" s="1162">
        <v>7536388</v>
      </c>
      <c r="G23" s="1163" t="s">
        <v>1826</v>
      </c>
      <c r="H23" s="1107"/>
      <c r="I23" s="1164" t="s">
        <v>507</v>
      </c>
      <c r="J23" s="1165" t="s">
        <v>1825</v>
      </c>
      <c r="K23" s="1166">
        <v>1</v>
      </c>
      <c r="L23" s="1167">
        <v>12</v>
      </c>
      <c r="M23" s="1168">
        <f t="shared" si="2"/>
        <v>24000</v>
      </c>
      <c r="N23" s="1166">
        <v>1</v>
      </c>
      <c r="O23" s="1167">
        <v>6</v>
      </c>
      <c r="P23" s="1168">
        <f>E23*O23</f>
        <v>12000</v>
      </c>
    </row>
    <row r="24" spans="1:16" s="740" customFormat="1" ht="24">
      <c r="A24" s="1131" t="s">
        <v>1663</v>
      </c>
      <c r="B24" s="1095" t="s">
        <v>1662</v>
      </c>
      <c r="C24" s="1095" t="s">
        <v>504</v>
      </c>
      <c r="D24" s="1160" t="s">
        <v>859</v>
      </c>
      <c r="E24" s="1161">
        <v>5000</v>
      </c>
      <c r="F24" s="1162">
        <v>43267305</v>
      </c>
      <c r="G24" s="1163" t="s">
        <v>1824</v>
      </c>
      <c r="H24" s="1107" t="s">
        <v>925</v>
      </c>
      <c r="I24" s="1164" t="s">
        <v>1823</v>
      </c>
      <c r="J24" s="1165" t="s">
        <v>1822</v>
      </c>
      <c r="K24" s="1166">
        <v>1</v>
      </c>
      <c r="L24" s="1167">
        <v>12</v>
      </c>
      <c r="M24" s="1168">
        <f t="shared" si="2"/>
        <v>60000</v>
      </c>
      <c r="N24" s="1166">
        <v>1</v>
      </c>
      <c r="O24" s="1167">
        <v>6</v>
      </c>
      <c r="P24" s="1168">
        <f>O24*E24</f>
        <v>30000</v>
      </c>
    </row>
    <row r="25" spans="1:16" s="740" customFormat="1" ht="24">
      <c r="A25" s="1131" t="s">
        <v>1663</v>
      </c>
      <c r="B25" s="1095" t="s">
        <v>1662</v>
      </c>
      <c r="C25" s="1095" t="s">
        <v>504</v>
      </c>
      <c r="D25" s="1160" t="s">
        <v>1821</v>
      </c>
      <c r="E25" s="1161">
        <v>4000</v>
      </c>
      <c r="F25" s="1162">
        <v>8158371</v>
      </c>
      <c r="G25" s="1163" t="s">
        <v>1820</v>
      </c>
      <c r="H25" s="1107"/>
      <c r="I25" s="1164" t="s">
        <v>507</v>
      </c>
      <c r="J25" s="1165" t="s">
        <v>1819</v>
      </c>
      <c r="K25" s="1166">
        <v>1</v>
      </c>
      <c r="L25" s="1167">
        <v>12</v>
      </c>
      <c r="M25" s="1168">
        <f t="shared" si="2"/>
        <v>48000</v>
      </c>
      <c r="N25" s="1166">
        <v>1</v>
      </c>
      <c r="O25" s="1167">
        <v>2</v>
      </c>
      <c r="P25" s="1168">
        <f>O25*E25</f>
        <v>8000</v>
      </c>
    </row>
    <row r="26" spans="1:16" s="740" customFormat="1" ht="24">
      <c r="A26" s="1131" t="s">
        <v>1663</v>
      </c>
      <c r="B26" s="1095" t="s">
        <v>1662</v>
      </c>
      <c r="C26" s="1095" t="s">
        <v>504</v>
      </c>
      <c r="D26" s="1160" t="s">
        <v>787</v>
      </c>
      <c r="E26" s="1161">
        <v>5000</v>
      </c>
      <c r="F26" s="1162">
        <v>43333789</v>
      </c>
      <c r="G26" s="1163" t="s">
        <v>1818</v>
      </c>
      <c r="H26" s="1107" t="s">
        <v>1754</v>
      </c>
      <c r="I26" s="1164" t="s">
        <v>1817</v>
      </c>
      <c r="J26" s="1165" t="s">
        <v>1585</v>
      </c>
      <c r="K26" s="1166">
        <v>1</v>
      </c>
      <c r="L26" s="1167">
        <v>8</v>
      </c>
      <c r="M26" s="1168">
        <f t="shared" si="2"/>
        <v>40000</v>
      </c>
      <c r="N26" s="1166">
        <v>1</v>
      </c>
      <c r="O26" s="1167">
        <v>6</v>
      </c>
      <c r="P26" s="1168">
        <f>O26*E26</f>
        <v>30000</v>
      </c>
    </row>
    <row r="27" spans="1:16" s="740" customFormat="1" ht="24">
      <c r="A27" s="1131" t="s">
        <v>1663</v>
      </c>
      <c r="B27" s="1095" t="s">
        <v>1662</v>
      </c>
      <c r="C27" s="1095" t="s">
        <v>504</v>
      </c>
      <c r="D27" s="1160" t="s">
        <v>1673</v>
      </c>
      <c r="E27" s="1161">
        <v>3000</v>
      </c>
      <c r="F27" s="1162">
        <v>41150994</v>
      </c>
      <c r="G27" s="1163" t="s">
        <v>1816</v>
      </c>
      <c r="H27" s="1107" t="s">
        <v>1673</v>
      </c>
      <c r="I27" s="1164" t="s">
        <v>507</v>
      </c>
      <c r="J27" s="1165" t="s">
        <v>1815</v>
      </c>
      <c r="K27" s="1166">
        <v>1</v>
      </c>
      <c r="L27" s="1167">
        <v>12</v>
      </c>
      <c r="M27" s="1168">
        <f t="shared" ref="M27:M46" si="3">E27*L27</f>
        <v>36000</v>
      </c>
      <c r="N27" s="1166">
        <v>1</v>
      </c>
      <c r="O27" s="1167">
        <v>6</v>
      </c>
      <c r="P27" s="1168">
        <f>E27*O27</f>
        <v>18000</v>
      </c>
    </row>
    <row r="28" spans="1:16" s="740" customFormat="1" ht="24">
      <c r="A28" s="1131" t="s">
        <v>1663</v>
      </c>
      <c r="B28" s="1095" t="s">
        <v>1662</v>
      </c>
      <c r="C28" s="1095" t="s">
        <v>504</v>
      </c>
      <c r="D28" s="1160" t="s">
        <v>1757</v>
      </c>
      <c r="E28" s="1161">
        <v>8000</v>
      </c>
      <c r="F28" s="1162">
        <v>7477259</v>
      </c>
      <c r="G28" s="1163" t="s">
        <v>1814</v>
      </c>
      <c r="H28" s="1107" t="s">
        <v>1754</v>
      </c>
      <c r="I28" s="1164" t="s">
        <v>507</v>
      </c>
      <c r="J28" s="1165" t="s">
        <v>1586</v>
      </c>
      <c r="K28" s="1166">
        <v>1</v>
      </c>
      <c r="L28" s="1167">
        <v>12</v>
      </c>
      <c r="M28" s="1168">
        <f t="shared" si="3"/>
        <v>96000</v>
      </c>
      <c r="N28" s="1166">
        <v>1</v>
      </c>
      <c r="O28" s="1167">
        <v>6</v>
      </c>
      <c r="P28" s="1168">
        <f>E28*O28</f>
        <v>48000</v>
      </c>
    </row>
    <row r="29" spans="1:16" s="740" customFormat="1">
      <c r="A29" s="1131" t="s">
        <v>1663</v>
      </c>
      <c r="B29" s="1095" t="s">
        <v>1662</v>
      </c>
      <c r="C29" s="1095" t="s">
        <v>504</v>
      </c>
      <c r="D29" s="1160" t="s">
        <v>1813</v>
      </c>
      <c r="E29" s="1161">
        <v>8000</v>
      </c>
      <c r="F29" s="1162">
        <v>15727010</v>
      </c>
      <c r="G29" s="1163" t="s">
        <v>1812</v>
      </c>
      <c r="H29" s="1107" t="s">
        <v>1788</v>
      </c>
      <c r="I29" s="1164" t="s">
        <v>1811</v>
      </c>
      <c r="J29" s="1165" t="s">
        <v>1792</v>
      </c>
      <c r="K29" s="1166">
        <v>1</v>
      </c>
      <c r="L29" s="1167">
        <v>12</v>
      </c>
      <c r="M29" s="1168">
        <f t="shared" si="3"/>
        <v>96000</v>
      </c>
      <c r="N29" s="1166">
        <v>1</v>
      </c>
      <c r="O29" s="1167">
        <v>6</v>
      </c>
      <c r="P29" s="1168">
        <f t="shared" ref="P29:P46" si="4">O29*E29</f>
        <v>48000</v>
      </c>
    </row>
    <row r="30" spans="1:16" s="740" customFormat="1">
      <c r="A30" s="1131" t="s">
        <v>1663</v>
      </c>
      <c r="B30" s="1095" t="s">
        <v>1662</v>
      </c>
      <c r="C30" s="1095" t="s">
        <v>504</v>
      </c>
      <c r="D30" s="1160" t="s">
        <v>1439</v>
      </c>
      <c r="E30" s="1161">
        <v>6000</v>
      </c>
      <c r="F30" s="1162">
        <v>6250991</v>
      </c>
      <c r="G30" s="1163" t="s">
        <v>1810</v>
      </c>
      <c r="H30" s="1107" t="s">
        <v>1788</v>
      </c>
      <c r="I30" s="1164" t="s">
        <v>507</v>
      </c>
      <c r="J30" s="1165" t="s">
        <v>1792</v>
      </c>
      <c r="K30" s="1166">
        <v>1</v>
      </c>
      <c r="L30" s="1167">
        <v>12</v>
      </c>
      <c r="M30" s="1168">
        <f t="shared" si="3"/>
        <v>72000</v>
      </c>
      <c r="N30" s="1166">
        <v>1</v>
      </c>
      <c r="O30" s="1167">
        <v>6</v>
      </c>
      <c r="P30" s="1168">
        <f t="shared" si="4"/>
        <v>36000</v>
      </c>
    </row>
    <row r="31" spans="1:16" s="740" customFormat="1">
      <c r="A31" s="1131" t="s">
        <v>1663</v>
      </c>
      <c r="B31" s="1095" t="s">
        <v>1662</v>
      </c>
      <c r="C31" s="1095" t="s">
        <v>504</v>
      </c>
      <c r="D31" s="1160" t="s">
        <v>1439</v>
      </c>
      <c r="E31" s="1161">
        <v>6000</v>
      </c>
      <c r="F31" s="1162">
        <v>21463751</v>
      </c>
      <c r="G31" s="1163" t="s">
        <v>1809</v>
      </c>
      <c r="H31" s="1107" t="s">
        <v>1788</v>
      </c>
      <c r="I31" s="1164" t="s">
        <v>507</v>
      </c>
      <c r="J31" s="1165" t="s">
        <v>1792</v>
      </c>
      <c r="K31" s="1166">
        <v>1</v>
      </c>
      <c r="L31" s="1167">
        <v>12</v>
      </c>
      <c r="M31" s="1168">
        <f t="shared" si="3"/>
        <v>72000</v>
      </c>
      <c r="N31" s="1166">
        <v>1</v>
      </c>
      <c r="O31" s="1167">
        <v>6</v>
      </c>
      <c r="P31" s="1168">
        <f t="shared" si="4"/>
        <v>36000</v>
      </c>
    </row>
    <row r="32" spans="1:16" s="740" customFormat="1">
      <c r="A32" s="1131" t="s">
        <v>1663</v>
      </c>
      <c r="B32" s="1095" t="s">
        <v>1662</v>
      </c>
      <c r="C32" s="1095" t="s">
        <v>504</v>
      </c>
      <c r="D32" s="1160" t="s">
        <v>787</v>
      </c>
      <c r="E32" s="1161">
        <v>3000</v>
      </c>
      <c r="F32" s="1162">
        <v>45269221</v>
      </c>
      <c r="G32" s="1163" t="s">
        <v>1808</v>
      </c>
      <c r="H32" s="1107" t="s">
        <v>1788</v>
      </c>
      <c r="I32" s="1164" t="s">
        <v>507</v>
      </c>
      <c r="J32" s="1165" t="s">
        <v>1792</v>
      </c>
      <c r="K32" s="1166">
        <v>1</v>
      </c>
      <c r="L32" s="1167">
        <v>12</v>
      </c>
      <c r="M32" s="1168">
        <f t="shared" si="3"/>
        <v>36000</v>
      </c>
      <c r="N32" s="1166">
        <v>1</v>
      </c>
      <c r="O32" s="1167">
        <v>6</v>
      </c>
      <c r="P32" s="1168">
        <f t="shared" si="4"/>
        <v>18000</v>
      </c>
    </row>
    <row r="33" spans="1:16" s="740" customFormat="1">
      <c r="A33" s="1131" t="s">
        <v>1663</v>
      </c>
      <c r="B33" s="1095" t="s">
        <v>1662</v>
      </c>
      <c r="C33" s="1095" t="s">
        <v>504</v>
      </c>
      <c r="D33" s="1160" t="s">
        <v>511</v>
      </c>
      <c r="E33" s="1161">
        <v>7000</v>
      </c>
      <c r="F33" s="1162">
        <v>8538266</v>
      </c>
      <c r="G33" s="1163" t="s">
        <v>1807</v>
      </c>
      <c r="H33" s="1107" t="s">
        <v>511</v>
      </c>
      <c r="I33" s="1164" t="s">
        <v>507</v>
      </c>
      <c r="J33" s="1165" t="s">
        <v>511</v>
      </c>
      <c r="K33" s="1166">
        <v>1</v>
      </c>
      <c r="L33" s="1167">
        <v>12</v>
      </c>
      <c r="M33" s="1168">
        <f t="shared" si="3"/>
        <v>84000</v>
      </c>
      <c r="N33" s="1166">
        <v>1</v>
      </c>
      <c r="O33" s="1167">
        <v>6</v>
      </c>
      <c r="P33" s="1168">
        <f t="shared" si="4"/>
        <v>42000</v>
      </c>
    </row>
    <row r="34" spans="1:16" s="740" customFormat="1">
      <c r="A34" s="1131" t="s">
        <v>1663</v>
      </c>
      <c r="B34" s="1095" t="s">
        <v>1662</v>
      </c>
      <c r="C34" s="1095" t="s">
        <v>504</v>
      </c>
      <c r="D34" s="1160" t="s">
        <v>511</v>
      </c>
      <c r="E34" s="1161">
        <v>7000</v>
      </c>
      <c r="F34" s="1162">
        <v>45425720</v>
      </c>
      <c r="G34" s="1163" t="s">
        <v>1806</v>
      </c>
      <c r="H34" s="1107" t="s">
        <v>511</v>
      </c>
      <c r="I34" s="1164" t="s">
        <v>507</v>
      </c>
      <c r="J34" s="1165" t="s">
        <v>511</v>
      </c>
      <c r="K34" s="1166">
        <v>1</v>
      </c>
      <c r="L34" s="1167">
        <v>12</v>
      </c>
      <c r="M34" s="1168">
        <f t="shared" si="3"/>
        <v>84000</v>
      </c>
      <c r="N34" s="1166">
        <v>1</v>
      </c>
      <c r="O34" s="1167">
        <v>6</v>
      </c>
      <c r="P34" s="1168">
        <f t="shared" si="4"/>
        <v>42000</v>
      </c>
    </row>
    <row r="35" spans="1:16" s="740" customFormat="1" ht="24">
      <c r="A35" s="1131" t="s">
        <v>1663</v>
      </c>
      <c r="B35" s="1095" t="s">
        <v>1662</v>
      </c>
      <c r="C35" s="1095" t="s">
        <v>504</v>
      </c>
      <c r="D35" s="1160" t="s">
        <v>1805</v>
      </c>
      <c r="E35" s="1161">
        <v>4000</v>
      </c>
      <c r="F35" s="1162">
        <v>7612668</v>
      </c>
      <c r="G35" s="1163" t="s">
        <v>1804</v>
      </c>
      <c r="H35" s="1107" t="s">
        <v>1788</v>
      </c>
      <c r="I35" s="1164" t="s">
        <v>507</v>
      </c>
      <c r="J35" s="1165" t="s">
        <v>1790</v>
      </c>
      <c r="K35" s="1166">
        <v>1</v>
      </c>
      <c r="L35" s="1167">
        <v>12</v>
      </c>
      <c r="M35" s="1168">
        <f t="shared" si="3"/>
        <v>48000</v>
      </c>
      <c r="N35" s="1166">
        <v>1</v>
      </c>
      <c r="O35" s="1167">
        <v>6</v>
      </c>
      <c r="P35" s="1168">
        <f t="shared" si="4"/>
        <v>24000</v>
      </c>
    </row>
    <row r="36" spans="1:16" s="740" customFormat="1">
      <c r="A36" s="1131" t="s">
        <v>1663</v>
      </c>
      <c r="B36" s="1095" t="s">
        <v>1662</v>
      </c>
      <c r="C36" s="1095" t="s">
        <v>504</v>
      </c>
      <c r="D36" s="1160" t="s">
        <v>787</v>
      </c>
      <c r="E36" s="1161">
        <v>5000</v>
      </c>
      <c r="F36" s="1162">
        <v>6100319</v>
      </c>
      <c r="G36" s="1163" t="s">
        <v>1803</v>
      </c>
      <c r="H36" s="1107" t="s">
        <v>1788</v>
      </c>
      <c r="I36" s="1164" t="s">
        <v>507</v>
      </c>
      <c r="J36" s="1165" t="s">
        <v>1792</v>
      </c>
      <c r="K36" s="1166">
        <v>1</v>
      </c>
      <c r="L36" s="1167">
        <v>6</v>
      </c>
      <c r="M36" s="1168">
        <f t="shared" si="3"/>
        <v>30000</v>
      </c>
      <c r="N36" s="1166"/>
      <c r="O36" s="1167"/>
      <c r="P36" s="1168">
        <f t="shared" si="4"/>
        <v>0</v>
      </c>
    </row>
    <row r="37" spans="1:16" s="740" customFormat="1">
      <c r="A37" s="1131" t="s">
        <v>1663</v>
      </c>
      <c r="B37" s="1095" t="s">
        <v>1662</v>
      </c>
      <c r="C37" s="1095" t="s">
        <v>504</v>
      </c>
      <c r="D37" s="1160" t="s">
        <v>1802</v>
      </c>
      <c r="E37" s="1161">
        <v>9000</v>
      </c>
      <c r="F37" s="1162">
        <v>10477639</v>
      </c>
      <c r="G37" s="1163" t="s">
        <v>1801</v>
      </c>
      <c r="H37" s="1107" t="s">
        <v>1788</v>
      </c>
      <c r="I37" s="1164" t="s">
        <v>507</v>
      </c>
      <c r="J37" s="1165" t="s">
        <v>1792</v>
      </c>
      <c r="K37" s="1166">
        <v>1</v>
      </c>
      <c r="L37" s="1167">
        <v>12</v>
      </c>
      <c r="M37" s="1168">
        <f t="shared" si="3"/>
        <v>108000</v>
      </c>
      <c r="N37" s="1166">
        <v>1</v>
      </c>
      <c r="O37" s="1167">
        <v>6</v>
      </c>
      <c r="P37" s="1168">
        <f t="shared" si="4"/>
        <v>54000</v>
      </c>
    </row>
    <row r="38" spans="1:16" s="740" customFormat="1" ht="24">
      <c r="A38" s="1131" t="s">
        <v>1663</v>
      </c>
      <c r="B38" s="1095" t="s">
        <v>1662</v>
      </c>
      <c r="C38" s="1095" t="s">
        <v>504</v>
      </c>
      <c r="D38" s="1160" t="s">
        <v>1773</v>
      </c>
      <c r="E38" s="1161">
        <v>3000</v>
      </c>
      <c r="F38" s="1162">
        <v>9384189</v>
      </c>
      <c r="G38" s="1163" t="s">
        <v>1800</v>
      </c>
      <c r="H38" s="1107"/>
      <c r="I38" s="1164" t="s">
        <v>507</v>
      </c>
      <c r="J38" s="1165" t="s">
        <v>1784</v>
      </c>
      <c r="K38" s="1166">
        <v>1</v>
      </c>
      <c r="L38" s="1167">
        <v>10</v>
      </c>
      <c r="M38" s="1168">
        <f t="shared" si="3"/>
        <v>30000</v>
      </c>
      <c r="N38" s="1166">
        <v>1</v>
      </c>
      <c r="O38" s="1167">
        <v>6</v>
      </c>
      <c r="P38" s="1168">
        <f t="shared" si="4"/>
        <v>18000</v>
      </c>
    </row>
    <row r="39" spans="1:16" s="740" customFormat="1" ht="24">
      <c r="A39" s="1131" t="s">
        <v>1663</v>
      </c>
      <c r="B39" s="1095" t="s">
        <v>1662</v>
      </c>
      <c r="C39" s="1095" t="s">
        <v>504</v>
      </c>
      <c r="D39" s="1160" t="s">
        <v>787</v>
      </c>
      <c r="E39" s="1161">
        <v>7000</v>
      </c>
      <c r="F39" s="1162">
        <v>27049081</v>
      </c>
      <c r="G39" s="1163" t="s">
        <v>1799</v>
      </c>
      <c r="H39" s="1107" t="s">
        <v>1754</v>
      </c>
      <c r="I39" s="1164" t="s">
        <v>1798</v>
      </c>
      <c r="J39" s="1165" t="s">
        <v>1585</v>
      </c>
      <c r="K39" s="1166">
        <v>1</v>
      </c>
      <c r="L39" s="1167">
        <v>10</v>
      </c>
      <c r="M39" s="1168">
        <f t="shared" si="3"/>
        <v>70000</v>
      </c>
      <c r="N39" s="1166">
        <v>1</v>
      </c>
      <c r="O39" s="1167">
        <v>6</v>
      </c>
      <c r="P39" s="1168">
        <f t="shared" si="4"/>
        <v>42000</v>
      </c>
    </row>
    <row r="40" spans="1:16" s="740" customFormat="1" ht="24">
      <c r="A40" s="1131" t="s">
        <v>1663</v>
      </c>
      <c r="B40" s="1095" t="s">
        <v>1662</v>
      </c>
      <c r="C40" s="1095" t="s">
        <v>504</v>
      </c>
      <c r="D40" s="1160" t="s">
        <v>1797</v>
      </c>
      <c r="E40" s="1161">
        <v>3000</v>
      </c>
      <c r="F40" s="1162">
        <v>42379845</v>
      </c>
      <c r="G40" s="1163" t="s">
        <v>1796</v>
      </c>
      <c r="H40" s="1107"/>
      <c r="I40" s="1164"/>
      <c r="J40" s="1165" t="s">
        <v>1784</v>
      </c>
      <c r="K40" s="1166">
        <v>1</v>
      </c>
      <c r="L40" s="1167">
        <v>9</v>
      </c>
      <c r="M40" s="1168">
        <f t="shared" si="3"/>
        <v>27000</v>
      </c>
      <c r="N40" s="1166">
        <v>1</v>
      </c>
      <c r="O40" s="1167">
        <v>6</v>
      </c>
      <c r="P40" s="1168">
        <f t="shared" si="4"/>
        <v>18000</v>
      </c>
    </row>
    <row r="41" spans="1:16" s="740" customFormat="1" ht="24">
      <c r="A41" s="1131" t="s">
        <v>1663</v>
      </c>
      <c r="B41" s="1095" t="s">
        <v>1662</v>
      </c>
      <c r="C41" s="1095" t="s">
        <v>504</v>
      </c>
      <c r="D41" s="1160" t="s">
        <v>569</v>
      </c>
      <c r="E41" s="1161">
        <v>3000</v>
      </c>
      <c r="F41" s="1162">
        <v>10867352</v>
      </c>
      <c r="G41" s="1163" t="s">
        <v>1795</v>
      </c>
      <c r="H41" s="1107" t="s">
        <v>1788</v>
      </c>
      <c r="I41" s="1164" t="s">
        <v>507</v>
      </c>
      <c r="J41" s="1165" t="s">
        <v>1790</v>
      </c>
      <c r="K41" s="1166">
        <v>1</v>
      </c>
      <c r="L41" s="1167">
        <v>12</v>
      </c>
      <c r="M41" s="1168">
        <f t="shared" si="3"/>
        <v>36000</v>
      </c>
      <c r="N41" s="1166"/>
      <c r="O41" s="1167"/>
      <c r="P41" s="1168">
        <f t="shared" si="4"/>
        <v>0</v>
      </c>
    </row>
    <row r="42" spans="1:16" s="740" customFormat="1">
      <c r="A42" s="1131" t="s">
        <v>1663</v>
      </c>
      <c r="B42" s="1095" t="s">
        <v>1662</v>
      </c>
      <c r="C42" s="1095" t="s">
        <v>504</v>
      </c>
      <c r="D42" s="1160" t="s">
        <v>1439</v>
      </c>
      <c r="E42" s="1161">
        <v>6000</v>
      </c>
      <c r="F42" s="1162">
        <v>6193122</v>
      </c>
      <c r="G42" s="1163" t="s">
        <v>1794</v>
      </c>
      <c r="H42" s="1107" t="s">
        <v>1788</v>
      </c>
      <c r="I42" s="1164" t="s">
        <v>1793</v>
      </c>
      <c r="J42" s="1169" t="s">
        <v>1792</v>
      </c>
      <c r="K42" s="1166">
        <v>1</v>
      </c>
      <c r="L42" s="1167">
        <v>12</v>
      </c>
      <c r="M42" s="1168">
        <f t="shared" si="3"/>
        <v>72000</v>
      </c>
      <c r="N42" s="1166">
        <v>1</v>
      </c>
      <c r="O42" s="1167">
        <v>6</v>
      </c>
      <c r="P42" s="1168">
        <f t="shared" si="4"/>
        <v>36000</v>
      </c>
    </row>
    <row r="43" spans="1:16" s="740" customFormat="1" ht="24">
      <c r="A43" s="1131" t="s">
        <v>1663</v>
      </c>
      <c r="B43" s="1095" t="s">
        <v>1662</v>
      </c>
      <c r="C43" s="1095" t="s">
        <v>504</v>
      </c>
      <c r="D43" s="1160" t="s">
        <v>1439</v>
      </c>
      <c r="E43" s="1161">
        <v>6000</v>
      </c>
      <c r="F43" s="1162">
        <v>8537388</v>
      </c>
      <c r="G43" s="1163" t="s">
        <v>1791</v>
      </c>
      <c r="H43" s="1107" t="s">
        <v>1788</v>
      </c>
      <c r="I43" s="1164" t="s">
        <v>507</v>
      </c>
      <c r="J43" s="1165" t="s">
        <v>1790</v>
      </c>
      <c r="K43" s="1166">
        <v>1</v>
      </c>
      <c r="L43" s="1167">
        <v>12</v>
      </c>
      <c r="M43" s="1168">
        <f t="shared" si="3"/>
        <v>72000</v>
      </c>
      <c r="N43" s="1166"/>
      <c r="O43" s="1167"/>
      <c r="P43" s="1168">
        <f t="shared" si="4"/>
        <v>0</v>
      </c>
    </row>
    <row r="44" spans="1:16" s="740" customFormat="1" ht="36">
      <c r="A44" s="1131" t="s">
        <v>1663</v>
      </c>
      <c r="B44" s="1095" t="s">
        <v>1662</v>
      </c>
      <c r="C44" s="1095" t="s">
        <v>504</v>
      </c>
      <c r="D44" s="1160" t="s">
        <v>1439</v>
      </c>
      <c r="E44" s="1161">
        <v>6000</v>
      </c>
      <c r="F44" s="1162">
        <v>40127659</v>
      </c>
      <c r="G44" s="1163" t="s">
        <v>1789</v>
      </c>
      <c r="H44" s="1107" t="s">
        <v>1788</v>
      </c>
      <c r="I44" s="1164" t="s">
        <v>507</v>
      </c>
      <c r="J44" s="1165" t="s">
        <v>1787</v>
      </c>
      <c r="K44" s="1166">
        <v>1</v>
      </c>
      <c r="L44" s="1167">
        <v>9</v>
      </c>
      <c r="M44" s="1168">
        <f t="shared" si="3"/>
        <v>54000</v>
      </c>
      <c r="N44" s="1166">
        <v>1</v>
      </c>
      <c r="O44" s="1167">
        <v>6</v>
      </c>
      <c r="P44" s="1168">
        <f t="shared" si="4"/>
        <v>36000</v>
      </c>
    </row>
    <row r="45" spans="1:16" s="740" customFormat="1" ht="24">
      <c r="A45" s="1131" t="s">
        <v>1663</v>
      </c>
      <c r="B45" s="1095" t="s">
        <v>1662</v>
      </c>
      <c r="C45" s="1095" t="s">
        <v>504</v>
      </c>
      <c r="D45" s="1160" t="s">
        <v>1786</v>
      </c>
      <c r="E45" s="1161">
        <v>1800</v>
      </c>
      <c r="F45" s="1162">
        <v>70054495</v>
      </c>
      <c r="G45" s="1163" t="s">
        <v>1785</v>
      </c>
      <c r="H45" s="1107"/>
      <c r="I45" s="1164" t="s">
        <v>507</v>
      </c>
      <c r="J45" s="1165" t="s">
        <v>1784</v>
      </c>
      <c r="K45" s="1166">
        <v>1</v>
      </c>
      <c r="L45" s="1167">
        <v>6</v>
      </c>
      <c r="M45" s="1168">
        <f t="shared" si="3"/>
        <v>10800</v>
      </c>
      <c r="N45" s="1166"/>
      <c r="O45" s="1167"/>
      <c r="P45" s="1168">
        <f t="shared" si="4"/>
        <v>0</v>
      </c>
    </row>
    <row r="46" spans="1:16" s="740" customFormat="1">
      <c r="A46" s="1131" t="s">
        <v>1663</v>
      </c>
      <c r="B46" s="1095" t="s">
        <v>1662</v>
      </c>
      <c r="C46" s="1095" t="s">
        <v>504</v>
      </c>
      <c r="D46" s="1160" t="s">
        <v>1742</v>
      </c>
      <c r="E46" s="1161">
        <v>3500</v>
      </c>
      <c r="F46" s="1162">
        <v>41925770</v>
      </c>
      <c r="G46" s="1163" t="s">
        <v>1783</v>
      </c>
      <c r="H46" s="1107" t="s">
        <v>1780</v>
      </c>
      <c r="I46" s="1164" t="s">
        <v>507</v>
      </c>
      <c r="J46" s="1165" t="s">
        <v>1779</v>
      </c>
      <c r="K46" s="1166">
        <v>1</v>
      </c>
      <c r="L46" s="1167">
        <v>3</v>
      </c>
      <c r="M46" s="1168">
        <f t="shared" si="3"/>
        <v>10500</v>
      </c>
      <c r="N46" s="1166"/>
      <c r="O46" s="1167"/>
      <c r="P46" s="1168">
        <f t="shared" si="4"/>
        <v>0</v>
      </c>
    </row>
    <row r="47" spans="1:16" s="1151" customFormat="1">
      <c r="A47" s="1131" t="s">
        <v>1663</v>
      </c>
      <c r="B47" s="1095" t="s">
        <v>1662</v>
      </c>
      <c r="C47" s="1095" t="s">
        <v>504</v>
      </c>
      <c r="D47" s="1170" t="s">
        <v>511</v>
      </c>
      <c r="E47" s="1161">
        <v>6000</v>
      </c>
      <c r="F47" s="1171">
        <v>10586525</v>
      </c>
      <c r="G47" s="1172" t="s">
        <v>1782</v>
      </c>
      <c r="H47" s="1170" t="s">
        <v>511</v>
      </c>
      <c r="I47" s="1164" t="s">
        <v>507</v>
      </c>
      <c r="J47" s="1173" t="s">
        <v>511</v>
      </c>
      <c r="K47" s="1174">
        <v>1</v>
      </c>
      <c r="L47" s="1175">
        <v>5</v>
      </c>
      <c r="M47" s="1176">
        <f t="shared" ref="M47:M75" si="5">L47*E47</f>
        <v>30000</v>
      </c>
      <c r="N47" s="1174">
        <v>1</v>
      </c>
      <c r="O47" s="1175">
        <v>6</v>
      </c>
      <c r="P47" s="1176">
        <f t="shared" ref="P47:P75" si="6">E47*O47</f>
        <v>36000</v>
      </c>
    </row>
    <row r="48" spans="1:16" s="1151" customFormat="1">
      <c r="A48" s="1131" t="s">
        <v>1663</v>
      </c>
      <c r="B48" s="1095" t="s">
        <v>1662</v>
      </c>
      <c r="C48" s="1095" t="s">
        <v>504</v>
      </c>
      <c r="D48" s="1170" t="s">
        <v>1742</v>
      </c>
      <c r="E48" s="1161">
        <v>3500</v>
      </c>
      <c r="F48" s="1171">
        <v>45517731</v>
      </c>
      <c r="G48" s="1172" t="s">
        <v>1781</v>
      </c>
      <c r="H48" s="1170" t="s">
        <v>1780</v>
      </c>
      <c r="I48" s="1164" t="s">
        <v>507</v>
      </c>
      <c r="J48" s="1173" t="s">
        <v>1779</v>
      </c>
      <c r="K48" s="1174">
        <v>1</v>
      </c>
      <c r="L48" s="1175">
        <v>5</v>
      </c>
      <c r="M48" s="1176">
        <f t="shared" si="5"/>
        <v>17500</v>
      </c>
      <c r="N48" s="1174">
        <v>1</v>
      </c>
      <c r="O48" s="1175">
        <v>6</v>
      </c>
      <c r="P48" s="1176">
        <f t="shared" si="6"/>
        <v>21000</v>
      </c>
    </row>
    <row r="49" spans="1:16" s="1151" customFormat="1">
      <c r="A49" s="1131" t="s">
        <v>1663</v>
      </c>
      <c r="B49" s="1095" t="s">
        <v>1662</v>
      </c>
      <c r="C49" s="1095" t="s">
        <v>504</v>
      </c>
      <c r="D49" s="1170" t="s">
        <v>1778</v>
      </c>
      <c r="E49" s="1161">
        <v>2000</v>
      </c>
      <c r="F49" s="1171">
        <v>42217017</v>
      </c>
      <c r="G49" s="1172" t="s">
        <v>1777</v>
      </c>
      <c r="H49" s="1170"/>
      <c r="I49" s="1177"/>
      <c r="J49" s="1173"/>
      <c r="K49" s="1174">
        <v>1</v>
      </c>
      <c r="L49" s="1175">
        <v>5</v>
      </c>
      <c r="M49" s="1176">
        <f t="shared" si="5"/>
        <v>10000</v>
      </c>
      <c r="N49" s="1174">
        <v>1</v>
      </c>
      <c r="O49" s="1175">
        <v>6</v>
      </c>
      <c r="P49" s="1176">
        <f t="shared" si="6"/>
        <v>12000</v>
      </c>
    </row>
    <row r="50" spans="1:16" s="1151" customFormat="1">
      <c r="A50" s="1131" t="s">
        <v>1663</v>
      </c>
      <c r="B50" s="1095" t="s">
        <v>1662</v>
      </c>
      <c r="C50" s="1095" t="s">
        <v>504</v>
      </c>
      <c r="D50" s="1170" t="s">
        <v>1775</v>
      </c>
      <c r="E50" s="1161">
        <v>2500</v>
      </c>
      <c r="F50" s="1171">
        <v>15843569</v>
      </c>
      <c r="G50" s="1172" t="s">
        <v>1776</v>
      </c>
      <c r="H50" s="1170"/>
      <c r="I50" s="1177"/>
      <c r="J50" s="1173"/>
      <c r="K50" s="1174">
        <v>1</v>
      </c>
      <c r="L50" s="1175">
        <v>4</v>
      </c>
      <c r="M50" s="1176">
        <f t="shared" si="5"/>
        <v>10000</v>
      </c>
      <c r="N50" s="1174"/>
      <c r="O50" s="1175"/>
      <c r="P50" s="1176">
        <f t="shared" si="6"/>
        <v>0</v>
      </c>
    </row>
    <row r="51" spans="1:16" s="1151" customFormat="1">
      <c r="A51" s="1131" t="s">
        <v>1663</v>
      </c>
      <c r="B51" s="1095" t="s">
        <v>1662</v>
      </c>
      <c r="C51" s="1095" t="s">
        <v>504</v>
      </c>
      <c r="D51" s="1170" t="s">
        <v>1775</v>
      </c>
      <c r="E51" s="1161">
        <v>2500</v>
      </c>
      <c r="F51" s="1171">
        <v>71719146</v>
      </c>
      <c r="G51" s="1172" t="s">
        <v>1774</v>
      </c>
      <c r="H51" s="1170"/>
      <c r="I51" s="1177"/>
      <c r="J51" s="1173"/>
      <c r="K51" s="1174">
        <v>1</v>
      </c>
      <c r="L51" s="1175">
        <v>5</v>
      </c>
      <c r="M51" s="1176">
        <f t="shared" si="5"/>
        <v>12500</v>
      </c>
      <c r="N51" s="1174">
        <v>1</v>
      </c>
      <c r="O51" s="1175">
        <v>6</v>
      </c>
      <c r="P51" s="1176">
        <f t="shared" si="6"/>
        <v>15000</v>
      </c>
    </row>
    <row r="52" spans="1:16" s="1151" customFormat="1">
      <c r="A52" s="1131" t="s">
        <v>1663</v>
      </c>
      <c r="B52" s="1095" t="s">
        <v>1662</v>
      </c>
      <c r="C52" s="1095" t="s">
        <v>504</v>
      </c>
      <c r="D52" s="1170" t="s">
        <v>1773</v>
      </c>
      <c r="E52" s="1161">
        <v>2000</v>
      </c>
      <c r="F52" s="1171">
        <v>9728719</v>
      </c>
      <c r="G52" s="1172" t="s">
        <v>1772</v>
      </c>
      <c r="H52" s="1170"/>
      <c r="I52" s="1177"/>
      <c r="J52" s="1173"/>
      <c r="K52" s="1174">
        <v>1</v>
      </c>
      <c r="L52" s="1175">
        <v>5</v>
      </c>
      <c r="M52" s="1176">
        <f t="shared" si="5"/>
        <v>10000</v>
      </c>
      <c r="N52" s="1174">
        <v>1</v>
      </c>
      <c r="O52" s="1175">
        <v>6</v>
      </c>
      <c r="P52" s="1176">
        <f t="shared" si="6"/>
        <v>12000</v>
      </c>
    </row>
    <row r="53" spans="1:16" s="1151" customFormat="1">
      <c r="A53" s="1131" t="s">
        <v>1663</v>
      </c>
      <c r="B53" s="1095" t="s">
        <v>1662</v>
      </c>
      <c r="C53" s="1095" t="s">
        <v>504</v>
      </c>
      <c r="D53" s="1170" t="s">
        <v>1771</v>
      </c>
      <c r="E53" s="1161">
        <v>2500</v>
      </c>
      <c r="F53" s="1171">
        <v>75503326</v>
      </c>
      <c r="G53" s="1172" t="s">
        <v>1770</v>
      </c>
      <c r="H53" s="1170"/>
      <c r="I53" s="1177"/>
      <c r="J53" s="1173"/>
      <c r="K53" s="1174">
        <v>1</v>
      </c>
      <c r="L53" s="1175">
        <v>5</v>
      </c>
      <c r="M53" s="1176">
        <f t="shared" si="5"/>
        <v>12500</v>
      </c>
      <c r="N53" s="1174">
        <v>1</v>
      </c>
      <c r="O53" s="1175">
        <v>6</v>
      </c>
      <c r="P53" s="1176">
        <f t="shared" si="6"/>
        <v>15000</v>
      </c>
    </row>
    <row r="54" spans="1:16" s="1151" customFormat="1">
      <c r="A54" s="1131" t="s">
        <v>1663</v>
      </c>
      <c r="B54" s="1095" t="s">
        <v>1662</v>
      </c>
      <c r="C54" s="1095" t="s">
        <v>504</v>
      </c>
      <c r="D54" s="1170" t="s">
        <v>1769</v>
      </c>
      <c r="E54" s="1161">
        <v>2000</v>
      </c>
      <c r="F54" s="1171">
        <v>42113130</v>
      </c>
      <c r="G54" s="1172" t="s">
        <v>1768</v>
      </c>
      <c r="H54" s="1170"/>
      <c r="I54" s="1177"/>
      <c r="J54" s="1173"/>
      <c r="K54" s="1174">
        <v>1</v>
      </c>
      <c r="L54" s="1175">
        <v>5</v>
      </c>
      <c r="M54" s="1176">
        <f t="shared" si="5"/>
        <v>10000</v>
      </c>
      <c r="N54" s="1174">
        <v>1</v>
      </c>
      <c r="O54" s="1175">
        <v>6</v>
      </c>
      <c r="P54" s="1176">
        <f t="shared" si="6"/>
        <v>12000</v>
      </c>
    </row>
    <row r="55" spans="1:16" s="1151" customFormat="1">
      <c r="A55" s="1131" t="s">
        <v>1663</v>
      </c>
      <c r="B55" s="1095" t="s">
        <v>1662</v>
      </c>
      <c r="C55" s="1095" t="s">
        <v>504</v>
      </c>
      <c r="D55" s="1170" t="s">
        <v>1767</v>
      </c>
      <c r="E55" s="1161">
        <v>2000</v>
      </c>
      <c r="F55" s="1171">
        <v>6030783</v>
      </c>
      <c r="G55" s="1172" t="s">
        <v>1766</v>
      </c>
      <c r="H55" s="1170"/>
      <c r="I55" s="1177"/>
      <c r="J55" s="1173"/>
      <c r="K55" s="1174">
        <v>1</v>
      </c>
      <c r="L55" s="1175">
        <v>5</v>
      </c>
      <c r="M55" s="1176">
        <f t="shared" si="5"/>
        <v>10000</v>
      </c>
      <c r="N55" s="1174"/>
      <c r="O55" s="1175"/>
      <c r="P55" s="1176">
        <f t="shared" si="6"/>
        <v>0</v>
      </c>
    </row>
    <row r="56" spans="1:16" s="1151" customFormat="1">
      <c r="A56" s="1131" t="s">
        <v>1663</v>
      </c>
      <c r="B56" s="1095" t="s">
        <v>1662</v>
      </c>
      <c r="C56" s="1095" t="s">
        <v>504</v>
      </c>
      <c r="D56" s="1170" t="s">
        <v>1765</v>
      </c>
      <c r="E56" s="1161">
        <v>2000</v>
      </c>
      <c r="F56" s="1171">
        <v>44452204</v>
      </c>
      <c r="G56" s="1172" t="s">
        <v>1764</v>
      </c>
      <c r="H56" s="1170"/>
      <c r="I56" s="1177"/>
      <c r="J56" s="1173"/>
      <c r="K56" s="1174">
        <v>1</v>
      </c>
      <c r="L56" s="1175">
        <v>5</v>
      </c>
      <c r="M56" s="1176">
        <f t="shared" si="5"/>
        <v>10000</v>
      </c>
      <c r="N56" s="1174">
        <v>1</v>
      </c>
      <c r="O56" s="1175">
        <v>6</v>
      </c>
      <c r="P56" s="1176">
        <f t="shared" si="6"/>
        <v>12000</v>
      </c>
    </row>
    <row r="57" spans="1:16" s="1151" customFormat="1">
      <c r="A57" s="1131" t="s">
        <v>1663</v>
      </c>
      <c r="B57" s="1095" t="s">
        <v>1662</v>
      </c>
      <c r="C57" s="1095" t="s">
        <v>504</v>
      </c>
      <c r="D57" s="1170" t="s">
        <v>787</v>
      </c>
      <c r="E57" s="1161">
        <v>8000</v>
      </c>
      <c r="F57" s="1171">
        <v>42056375</v>
      </c>
      <c r="G57" s="1172" t="s">
        <v>1660</v>
      </c>
      <c r="H57" s="1170" t="s">
        <v>1754</v>
      </c>
      <c r="I57" s="1177"/>
      <c r="J57" s="1173"/>
      <c r="K57" s="1174">
        <v>1</v>
      </c>
      <c r="L57" s="1175">
        <v>5</v>
      </c>
      <c r="M57" s="1176">
        <f t="shared" si="5"/>
        <v>40000</v>
      </c>
      <c r="N57" s="1174"/>
      <c r="O57" s="1175"/>
      <c r="P57" s="1176">
        <f t="shared" si="6"/>
        <v>0</v>
      </c>
    </row>
    <row r="58" spans="1:16" s="1151" customFormat="1" ht="24">
      <c r="A58" s="1131" t="s">
        <v>1663</v>
      </c>
      <c r="B58" s="1095" t="s">
        <v>1662</v>
      </c>
      <c r="C58" s="1095" t="s">
        <v>504</v>
      </c>
      <c r="D58" s="1170" t="s">
        <v>1673</v>
      </c>
      <c r="E58" s="1161">
        <v>3000</v>
      </c>
      <c r="F58" s="1171">
        <v>40667081</v>
      </c>
      <c r="G58" s="1172" t="s">
        <v>1763</v>
      </c>
      <c r="H58" s="1170"/>
      <c r="I58" s="1177"/>
      <c r="J58" s="1173" t="s">
        <v>1673</v>
      </c>
      <c r="K58" s="1174">
        <v>1</v>
      </c>
      <c r="L58" s="1175">
        <v>5</v>
      </c>
      <c r="M58" s="1176">
        <f t="shared" si="5"/>
        <v>15000</v>
      </c>
      <c r="N58" s="1174">
        <v>1</v>
      </c>
      <c r="O58" s="1175">
        <v>6</v>
      </c>
      <c r="P58" s="1176">
        <f t="shared" si="6"/>
        <v>18000</v>
      </c>
    </row>
    <row r="59" spans="1:16" s="1151" customFormat="1">
      <c r="A59" s="1131" t="s">
        <v>1663</v>
      </c>
      <c r="B59" s="1095" t="s">
        <v>1662</v>
      </c>
      <c r="C59" s="1095" t="s">
        <v>504</v>
      </c>
      <c r="D59" s="1170" t="s">
        <v>1742</v>
      </c>
      <c r="E59" s="1161">
        <v>4000</v>
      </c>
      <c r="F59" s="1171">
        <v>43304477</v>
      </c>
      <c r="G59" s="1172" t="s">
        <v>1762</v>
      </c>
      <c r="H59" s="1170"/>
      <c r="I59" s="1177"/>
      <c r="J59" s="1173"/>
      <c r="K59" s="1174">
        <v>1</v>
      </c>
      <c r="L59" s="1175">
        <v>4</v>
      </c>
      <c r="M59" s="1176">
        <f t="shared" si="5"/>
        <v>16000</v>
      </c>
      <c r="N59" s="1174">
        <v>1</v>
      </c>
      <c r="O59" s="1175">
        <v>6</v>
      </c>
      <c r="P59" s="1176">
        <f t="shared" si="6"/>
        <v>24000</v>
      </c>
    </row>
    <row r="60" spans="1:16" s="1151" customFormat="1">
      <c r="A60" s="1131" t="s">
        <v>1663</v>
      </c>
      <c r="B60" s="1095" t="s">
        <v>1662</v>
      </c>
      <c r="C60" s="1095" t="s">
        <v>504</v>
      </c>
      <c r="D60" s="1170" t="s">
        <v>1742</v>
      </c>
      <c r="E60" s="1161">
        <v>4500</v>
      </c>
      <c r="F60" s="1171">
        <v>43298081</v>
      </c>
      <c r="G60" s="1172" t="s">
        <v>1761</v>
      </c>
      <c r="H60" s="1170"/>
      <c r="I60" s="1177"/>
      <c r="J60" s="1173"/>
      <c r="K60" s="1174">
        <v>1</v>
      </c>
      <c r="L60" s="1175">
        <v>4</v>
      </c>
      <c r="M60" s="1176">
        <f t="shared" si="5"/>
        <v>18000</v>
      </c>
      <c r="N60" s="1174">
        <v>1</v>
      </c>
      <c r="O60" s="1175">
        <v>6</v>
      </c>
      <c r="P60" s="1176">
        <f t="shared" si="6"/>
        <v>27000</v>
      </c>
    </row>
    <row r="61" spans="1:16" s="1151" customFormat="1">
      <c r="A61" s="1131" t="s">
        <v>1663</v>
      </c>
      <c r="B61" s="1095" t="s">
        <v>1662</v>
      </c>
      <c r="C61" s="1095" t="s">
        <v>504</v>
      </c>
      <c r="D61" s="1170" t="s">
        <v>859</v>
      </c>
      <c r="E61" s="1161">
        <v>8000</v>
      </c>
      <c r="F61" s="1171">
        <v>16597021</v>
      </c>
      <c r="G61" s="1172" t="s">
        <v>1760</v>
      </c>
      <c r="H61" s="1170"/>
      <c r="I61" s="1177"/>
      <c r="J61" s="1173"/>
      <c r="K61" s="1174">
        <v>1</v>
      </c>
      <c r="L61" s="1175">
        <v>4</v>
      </c>
      <c r="M61" s="1176">
        <f t="shared" si="5"/>
        <v>32000</v>
      </c>
      <c r="N61" s="1174">
        <v>1</v>
      </c>
      <c r="O61" s="1175">
        <v>6</v>
      </c>
      <c r="P61" s="1176">
        <f t="shared" si="6"/>
        <v>48000</v>
      </c>
    </row>
    <row r="62" spans="1:16" s="1151" customFormat="1">
      <c r="A62" s="1131" t="s">
        <v>1663</v>
      </c>
      <c r="B62" s="1095" t="s">
        <v>1662</v>
      </c>
      <c r="C62" s="1095" t="s">
        <v>504</v>
      </c>
      <c r="D62" s="1170" t="s">
        <v>787</v>
      </c>
      <c r="E62" s="1161">
        <v>5500</v>
      </c>
      <c r="F62" s="1171">
        <v>10212212</v>
      </c>
      <c r="G62" s="1172" t="s">
        <v>1759</v>
      </c>
      <c r="H62" s="1170"/>
      <c r="I62" s="1177"/>
      <c r="J62" s="1173"/>
      <c r="K62" s="1174">
        <v>1</v>
      </c>
      <c r="L62" s="1175">
        <v>4</v>
      </c>
      <c r="M62" s="1176">
        <f t="shared" si="5"/>
        <v>22000</v>
      </c>
      <c r="N62" s="1174">
        <v>1</v>
      </c>
      <c r="O62" s="1175">
        <v>1</v>
      </c>
      <c r="P62" s="1176">
        <f t="shared" si="6"/>
        <v>5500</v>
      </c>
    </row>
    <row r="63" spans="1:16" s="1151" customFormat="1">
      <c r="A63" s="1131" t="s">
        <v>1663</v>
      </c>
      <c r="B63" s="1095" t="s">
        <v>1662</v>
      </c>
      <c r="C63" s="1095" t="s">
        <v>504</v>
      </c>
      <c r="D63" s="1170" t="s">
        <v>499</v>
      </c>
      <c r="E63" s="1161">
        <v>3000</v>
      </c>
      <c r="F63" s="1171">
        <v>17525210</v>
      </c>
      <c r="G63" s="1172" t="s">
        <v>1758</v>
      </c>
      <c r="H63" s="1170"/>
      <c r="I63" s="1177"/>
      <c r="J63" s="1173"/>
      <c r="K63" s="1174">
        <v>1</v>
      </c>
      <c r="L63" s="1175">
        <v>4</v>
      </c>
      <c r="M63" s="1176">
        <f t="shared" si="5"/>
        <v>12000</v>
      </c>
      <c r="N63" s="1174">
        <v>1</v>
      </c>
      <c r="O63" s="1175">
        <v>6</v>
      </c>
      <c r="P63" s="1176">
        <f t="shared" si="6"/>
        <v>18000</v>
      </c>
    </row>
    <row r="64" spans="1:16" s="1151" customFormat="1">
      <c r="A64" s="1131" t="s">
        <v>1663</v>
      </c>
      <c r="B64" s="1095" t="s">
        <v>1662</v>
      </c>
      <c r="C64" s="1095" t="s">
        <v>504</v>
      </c>
      <c r="D64" s="1170" t="s">
        <v>1757</v>
      </c>
      <c r="E64" s="1161">
        <v>8000</v>
      </c>
      <c r="F64" s="1171">
        <v>7619460</v>
      </c>
      <c r="G64" s="1172" t="s">
        <v>1756</v>
      </c>
      <c r="H64" s="1170"/>
      <c r="I64" s="1177"/>
      <c r="J64" s="1173" t="s">
        <v>1673</v>
      </c>
      <c r="K64" s="1174">
        <v>1</v>
      </c>
      <c r="L64" s="1175">
        <v>4</v>
      </c>
      <c r="M64" s="1176">
        <f t="shared" si="5"/>
        <v>32000</v>
      </c>
      <c r="N64" s="1174">
        <v>1</v>
      </c>
      <c r="O64" s="1175">
        <v>6</v>
      </c>
      <c r="P64" s="1176">
        <f t="shared" si="6"/>
        <v>48000</v>
      </c>
    </row>
    <row r="65" spans="1:16" s="1151" customFormat="1">
      <c r="A65" s="1131" t="s">
        <v>1663</v>
      </c>
      <c r="B65" s="1095" t="s">
        <v>1662</v>
      </c>
      <c r="C65" s="1095" t="s">
        <v>504</v>
      </c>
      <c r="D65" s="1170" t="s">
        <v>787</v>
      </c>
      <c r="E65" s="1161">
        <v>5000</v>
      </c>
      <c r="F65" s="1171">
        <v>9351266</v>
      </c>
      <c r="G65" s="1172" t="s">
        <v>1755</v>
      </c>
      <c r="H65" s="1170" t="s">
        <v>1754</v>
      </c>
      <c r="I65" s="1177"/>
      <c r="J65" s="1173"/>
      <c r="K65" s="1174">
        <v>1</v>
      </c>
      <c r="L65" s="1175">
        <v>2</v>
      </c>
      <c r="M65" s="1176">
        <f t="shared" si="5"/>
        <v>10000</v>
      </c>
      <c r="N65" s="1174">
        <v>1</v>
      </c>
      <c r="O65" s="1175">
        <v>6</v>
      </c>
      <c r="P65" s="1176">
        <f t="shared" si="6"/>
        <v>30000</v>
      </c>
    </row>
    <row r="66" spans="1:16" s="1151" customFormat="1">
      <c r="A66" s="1131" t="s">
        <v>1663</v>
      </c>
      <c r="B66" s="1095" t="s">
        <v>1662</v>
      </c>
      <c r="C66" s="1095" t="s">
        <v>504</v>
      </c>
      <c r="D66" s="1170" t="s">
        <v>1753</v>
      </c>
      <c r="E66" s="1161">
        <v>2000</v>
      </c>
      <c r="F66" s="1171">
        <v>41424197</v>
      </c>
      <c r="G66" s="1172" t="s">
        <v>1752</v>
      </c>
      <c r="H66" s="1170"/>
      <c r="I66" s="1177"/>
      <c r="J66" s="1173"/>
      <c r="K66" s="1174">
        <v>1</v>
      </c>
      <c r="L66" s="1175">
        <v>2</v>
      </c>
      <c r="M66" s="1176">
        <f t="shared" si="5"/>
        <v>4000</v>
      </c>
      <c r="N66" s="1174"/>
      <c r="O66" s="1175"/>
      <c r="P66" s="1176">
        <f t="shared" si="6"/>
        <v>0</v>
      </c>
    </row>
    <row r="67" spans="1:16" s="1151" customFormat="1">
      <c r="A67" s="1131" t="s">
        <v>1663</v>
      </c>
      <c r="B67" s="1095" t="s">
        <v>1662</v>
      </c>
      <c r="C67" s="1095" t="s">
        <v>504</v>
      </c>
      <c r="D67" s="1170" t="s">
        <v>1751</v>
      </c>
      <c r="E67" s="1161">
        <v>2000</v>
      </c>
      <c r="F67" s="1171">
        <v>76177942</v>
      </c>
      <c r="G67" s="1172" t="s">
        <v>1750</v>
      </c>
      <c r="H67" s="1170"/>
      <c r="I67" s="1177"/>
      <c r="J67" s="1173"/>
      <c r="K67" s="1174">
        <v>1</v>
      </c>
      <c r="L67" s="1175">
        <v>2</v>
      </c>
      <c r="M67" s="1176">
        <f t="shared" si="5"/>
        <v>4000</v>
      </c>
      <c r="N67" s="1174"/>
      <c r="O67" s="1175"/>
      <c r="P67" s="1176">
        <f t="shared" si="6"/>
        <v>0</v>
      </c>
    </row>
    <row r="68" spans="1:16" s="1151" customFormat="1">
      <c r="A68" s="1131" t="s">
        <v>1663</v>
      </c>
      <c r="B68" s="1095" t="s">
        <v>1662</v>
      </c>
      <c r="C68" s="1095" t="s">
        <v>504</v>
      </c>
      <c r="D68" s="1170" t="s">
        <v>1749</v>
      </c>
      <c r="E68" s="1161">
        <v>2500</v>
      </c>
      <c r="F68" s="1171">
        <v>73816597</v>
      </c>
      <c r="G68" s="1172" t="s">
        <v>1748</v>
      </c>
      <c r="H68" s="1170"/>
      <c r="I68" s="1177"/>
      <c r="J68" s="1173"/>
      <c r="K68" s="1174">
        <v>1</v>
      </c>
      <c r="L68" s="1175">
        <v>2</v>
      </c>
      <c r="M68" s="1176">
        <f t="shared" si="5"/>
        <v>5000</v>
      </c>
      <c r="N68" s="1174"/>
      <c r="O68" s="1175"/>
      <c r="P68" s="1176">
        <f t="shared" si="6"/>
        <v>0</v>
      </c>
    </row>
    <row r="69" spans="1:16" s="1151" customFormat="1">
      <c r="A69" s="1131" t="s">
        <v>1663</v>
      </c>
      <c r="B69" s="1095" t="s">
        <v>1662</v>
      </c>
      <c r="C69" s="1095" t="s">
        <v>504</v>
      </c>
      <c r="D69" s="1170" t="s">
        <v>1747</v>
      </c>
      <c r="E69" s="1161">
        <v>2500</v>
      </c>
      <c r="F69" s="1171">
        <v>72187760</v>
      </c>
      <c r="G69" s="1172" t="s">
        <v>1746</v>
      </c>
      <c r="H69" s="1170"/>
      <c r="I69" s="1177"/>
      <c r="J69" s="1173"/>
      <c r="K69" s="1174">
        <v>1</v>
      </c>
      <c r="L69" s="1175">
        <v>2</v>
      </c>
      <c r="M69" s="1176">
        <f t="shared" si="5"/>
        <v>5000</v>
      </c>
      <c r="N69" s="1174"/>
      <c r="O69" s="1175"/>
      <c r="P69" s="1176">
        <f t="shared" si="6"/>
        <v>0</v>
      </c>
    </row>
    <row r="70" spans="1:16" s="1151" customFormat="1">
      <c r="A70" s="1131" t="s">
        <v>1663</v>
      </c>
      <c r="B70" s="1095" t="s">
        <v>1662</v>
      </c>
      <c r="C70" s="1095" t="s">
        <v>504</v>
      </c>
      <c r="D70" s="1170" t="s">
        <v>622</v>
      </c>
      <c r="E70" s="1161">
        <v>2000</v>
      </c>
      <c r="F70" s="1171">
        <v>8841659</v>
      </c>
      <c r="G70" s="1172" t="s">
        <v>1678</v>
      </c>
      <c r="H70" s="1170"/>
      <c r="I70" s="1177"/>
      <c r="J70" s="1173"/>
      <c r="K70" s="1174">
        <v>1</v>
      </c>
      <c r="L70" s="1175">
        <v>2</v>
      </c>
      <c r="M70" s="1176">
        <f t="shared" si="5"/>
        <v>4000</v>
      </c>
      <c r="N70" s="1174"/>
      <c r="O70" s="1175"/>
      <c r="P70" s="1176">
        <f t="shared" si="6"/>
        <v>0</v>
      </c>
    </row>
    <row r="71" spans="1:16" s="1151" customFormat="1">
      <c r="A71" s="1131" t="s">
        <v>1663</v>
      </c>
      <c r="B71" s="1095" t="s">
        <v>1662</v>
      </c>
      <c r="C71" s="1095" t="s">
        <v>504</v>
      </c>
      <c r="D71" s="1170" t="s">
        <v>1745</v>
      </c>
      <c r="E71" s="1161">
        <v>2500</v>
      </c>
      <c r="F71" s="1171">
        <v>70315244</v>
      </c>
      <c r="G71" s="1172" t="s">
        <v>1744</v>
      </c>
      <c r="H71" s="1170"/>
      <c r="I71" s="1177"/>
      <c r="J71" s="1173"/>
      <c r="K71" s="1174">
        <v>1</v>
      </c>
      <c r="L71" s="1175">
        <v>2</v>
      </c>
      <c r="M71" s="1176">
        <f t="shared" si="5"/>
        <v>5000</v>
      </c>
      <c r="N71" s="1174"/>
      <c r="O71" s="1175"/>
      <c r="P71" s="1176">
        <f t="shared" si="6"/>
        <v>0</v>
      </c>
    </row>
    <row r="72" spans="1:16" s="1151" customFormat="1">
      <c r="A72" s="1131" t="s">
        <v>1663</v>
      </c>
      <c r="B72" s="1095" t="s">
        <v>1662</v>
      </c>
      <c r="C72" s="1095" t="s">
        <v>504</v>
      </c>
      <c r="D72" s="1170" t="s">
        <v>618</v>
      </c>
      <c r="E72" s="1161">
        <v>2500</v>
      </c>
      <c r="F72" s="1171">
        <v>43304837</v>
      </c>
      <c r="G72" s="1172" t="s">
        <v>1743</v>
      </c>
      <c r="H72" s="1170"/>
      <c r="I72" s="1177"/>
      <c r="J72" s="1173"/>
      <c r="K72" s="1174">
        <v>1</v>
      </c>
      <c r="L72" s="1175">
        <v>2</v>
      </c>
      <c r="M72" s="1176">
        <f t="shared" si="5"/>
        <v>5000</v>
      </c>
      <c r="N72" s="1174"/>
      <c r="O72" s="1175"/>
      <c r="P72" s="1176">
        <f t="shared" si="6"/>
        <v>0</v>
      </c>
    </row>
    <row r="73" spans="1:16" s="1151" customFormat="1">
      <c r="A73" s="1131" t="s">
        <v>1663</v>
      </c>
      <c r="B73" s="1095" t="s">
        <v>1662</v>
      </c>
      <c r="C73" s="1095" t="s">
        <v>504</v>
      </c>
      <c r="D73" s="1170" t="s">
        <v>1742</v>
      </c>
      <c r="E73" s="1161">
        <v>3500</v>
      </c>
      <c r="F73" s="1171">
        <v>27717027</v>
      </c>
      <c r="G73" s="1172" t="s">
        <v>1741</v>
      </c>
      <c r="H73" s="1170"/>
      <c r="I73" s="1177"/>
      <c r="J73" s="1173"/>
      <c r="K73" s="1174">
        <v>1</v>
      </c>
      <c r="L73" s="1175">
        <v>2</v>
      </c>
      <c r="M73" s="1176">
        <f t="shared" si="5"/>
        <v>7000</v>
      </c>
      <c r="N73" s="1174"/>
      <c r="O73" s="1175"/>
      <c r="P73" s="1176">
        <f t="shared" si="6"/>
        <v>0</v>
      </c>
    </row>
    <row r="74" spans="1:16" s="1151" customFormat="1">
      <c r="A74" s="1131" t="s">
        <v>1663</v>
      </c>
      <c r="B74" s="1095" t="s">
        <v>1662</v>
      </c>
      <c r="C74" s="1095" t="s">
        <v>504</v>
      </c>
      <c r="D74" s="1170" t="s">
        <v>511</v>
      </c>
      <c r="E74" s="1161">
        <v>3500</v>
      </c>
      <c r="F74" s="1171">
        <v>42200384</v>
      </c>
      <c r="G74" s="1172" t="s">
        <v>1740</v>
      </c>
      <c r="H74" s="1170"/>
      <c r="I74" s="1177"/>
      <c r="J74" s="1173"/>
      <c r="K74" s="1174">
        <v>1</v>
      </c>
      <c r="L74" s="1175">
        <v>2</v>
      </c>
      <c r="M74" s="1176">
        <f t="shared" si="5"/>
        <v>7000</v>
      </c>
      <c r="N74" s="1174"/>
      <c r="O74" s="1175"/>
      <c r="P74" s="1176">
        <f t="shared" si="6"/>
        <v>0</v>
      </c>
    </row>
    <row r="75" spans="1:16" s="1151" customFormat="1">
      <c r="A75" s="1131" t="s">
        <v>1663</v>
      </c>
      <c r="B75" s="1095" t="s">
        <v>1662</v>
      </c>
      <c r="C75" s="1095" t="s">
        <v>504</v>
      </c>
      <c r="D75" s="1170" t="s">
        <v>1739</v>
      </c>
      <c r="E75" s="1161">
        <v>3000</v>
      </c>
      <c r="F75" s="1171">
        <v>43816582</v>
      </c>
      <c r="G75" s="1172" t="s">
        <v>1738</v>
      </c>
      <c r="H75" s="1170"/>
      <c r="I75" s="1177"/>
      <c r="J75" s="1173"/>
      <c r="K75" s="1174">
        <v>1</v>
      </c>
      <c r="L75" s="1175">
        <v>2</v>
      </c>
      <c r="M75" s="1176">
        <f t="shared" si="5"/>
        <v>6000</v>
      </c>
      <c r="N75" s="1174">
        <v>1</v>
      </c>
      <c r="O75" s="1175">
        <v>6</v>
      </c>
      <c r="P75" s="1176">
        <f t="shared" si="6"/>
        <v>18000</v>
      </c>
    </row>
    <row r="76" spans="1:16" s="740" customFormat="1">
      <c r="A76" s="1131" t="s">
        <v>1663</v>
      </c>
      <c r="B76" s="1095" t="s">
        <v>1662</v>
      </c>
      <c r="C76" s="1095" t="s">
        <v>1661</v>
      </c>
      <c r="D76" s="1160" t="s">
        <v>1722</v>
      </c>
      <c r="E76" s="1178"/>
      <c r="F76" s="1162">
        <v>42706901</v>
      </c>
      <c r="G76" s="1163" t="s">
        <v>1737</v>
      </c>
      <c r="H76" s="1107" t="s">
        <v>1724</v>
      </c>
      <c r="I76" s="1164" t="s">
        <v>1723</v>
      </c>
      <c r="J76" s="1165" t="s">
        <v>1723</v>
      </c>
      <c r="K76" s="1166" t="s">
        <v>1656</v>
      </c>
      <c r="L76" s="1167">
        <v>12</v>
      </c>
      <c r="M76" s="1179">
        <v>15600</v>
      </c>
      <c r="N76" s="1166" t="s">
        <v>1656</v>
      </c>
      <c r="O76" s="1180" t="s">
        <v>1691</v>
      </c>
      <c r="P76" s="1179">
        <f t="shared" ref="P76:P87" si="7">1600*6</f>
        <v>9600</v>
      </c>
    </row>
    <row r="77" spans="1:16" s="740" customFormat="1">
      <c r="A77" s="1131" t="s">
        <v>1663</v>
      </c>
      <c r="B77" s="447" t="s">
        <v>1662</v>
      </c>
      <c r="C77" s="447" t="s">
        <v>1661</v>
      </c>
      <c r="D77" s="1181" t="s">
        <v>1722</v>
      </c>
      <c r="E77" s="1182"/>
      <c r="F77" s="1183" t="s">
        <v>1736</v>
      </c>
      <c r="G77" s="1118" t="s">
        <v>1735</v>
      </c>
      <c r="H77" s="1100" t="s">
        <v>1724</v>
      </c>
      <c r="I77" s="1184" t="s">
        <v>1723</v>
      </c>
      <c r="J77" s="1185" t="s">
        <v>1723</v>
      </c>
      <c r="K77" s="1186" t="s">
        <v>1656</v>
      </c>
      <c r="L77" s="1187">
        <v>12</v>
      </c>
      <c r="M77" s="1188">
        <v>15600</v>
      </c>
      <c r="N77" s="1186" t="s">
        <v>1656</v>
      </c>
      <c r="O77" s="1189" t="s">
        <v>1691</v>
      </c>
      <c r="P77" s="1188">
        <f t="shared" si="7"/>
        <v>9600</v>
      </c>
    </row>
    <row r="78" spans="1:16" s="740" customFormat="1">
      <c r="A78" s="1131" t="s">
        <v>1663</v>
      </c>
      <c r="B78" s="447" t="s">
        <v>1662</v>
      </c>
      <c r="C78" s="447" t="s">
        <v>1661</v>
      </c>
      <c r="D78" s="1181" t="s">
        <v>1722</v>
      </c>
      <c r="E78" s="1182"/>
      <c r="F78" s="1190">
        <v>41479239</v>
      </c>
      <c r="G78" s="1118" t="s">
        <v>1734</v>
      </c>
      <c r="H78" s="1100" t="s">
        <v>1724</v>
      </c>
      <c r="I78" s="1184" t="s">
        <v>1723</v>
      </c>
      <c r="J78" s="1185" t="s">
        <v>1723</v>
      </c>
      <c r="K78" s="1186" t="s">
        <v>1656</v>
      </c>
      <c r="L78" s="1187">
        <v>12</v>
      </c>
      <c r="M78" s="1188">
        <v>15600</v>
      </c>
      <c r="N78" s="1186" t="s">
        <v>1656</v>
      </c>
      <c r="O78" s="1189" t="s">
        <v>1691</v>
      </c>
      <c r="P78" s="1188">
        <f t="shared" si="7"/>
        <v>9600</v>
      </c>
    </row>
    <row r="79" spans="1:16" s="740" customFormat="1">
      <c r="A79" s="1131" t="s">
        <v>1663</v>
      </c>
      <c r="B79" s="447" t="s">
        <v>1662</v>
      </c>
      <c r="C79" s="447" t="s">
        <v>1661</v>
      </c>
      <c r="D79" s="1181" t="s">
        <v>1722</v>
      </c>
      <c r="E79" s="1182"/>
      <c r="F79" s="1190">
        <v>43455091</v>
      </c>
      <c r="G79" s="1118" t="s">
        <v>1733</v>
      </c>
      <c r="H79" s="1100" t="s">
        <v>1724</v>
      </c>
      <c r="I79" s="1184" t="s">
        <v>1723</v>
      </c>
      <c r="J79" s="1185" t="s">
        <v>1723</v>
      </c>
      <c r="K79" s="1186" t="s">
        <v>1656</v>
      </c>
      <c r="L79" s="1187">
        <v>12</v>
      </c>
      <c r="M79" s="1188">
        <v>15600</v>
      </c>
      <c r="N79" s="1186" t="s">
        <v>1656</v>
      </c>
      <c r="O79" s="1189" t="s">
        <v>1691</v>
      </c>
      <c r="P79" s="1188">
        <f t="shared" si="7"/>
        <v>9600</v>
      </c>
    </row>
    <row r="80" spans="1:16" s="740" customFormat="1">
      <c r="A80" s="1131" t="s">
        <v>1663</v>
      </c>
      <c r="B80" s="447" t="s">
        <v>1662</v>
      </c>
      <c r="C80" s="447" t="s">
        <v>1661</v>
      </c>
      <c r="D80" s="1181" t="s">
        <v>1722</v>
      </c>
      <c r="E80" s="1182"/>
      <c r="F80" s="1190">
        <v>25566661</v>
      </c>
      <c r="G80" s="1118" t="s">
        <v>1732</v>
      </c>
      <c r="H80" s="1100" t="s">
        <v>1724</v>
      </c>
      <c r="I80" s="1184" t="s">
        <v>1723</v>
      </c>
      <c r="J80" s="1185" t="s">
        <v>1723</v>
      </c>
      <c r="K80" s="1186" t="s">
        <v>1656</v>
      </c>
      <c r="L80" s="1187">
        <v>12</v>
      </c>
      <c r="M80" s="1188">
        <v>15600</v>
      </c>
      <c r="N80" s="1186" t="s">
        <v>1656</v>
      </c>
      <c r="O80" s="1189" t="s">
        <v>1691</v>
      </c>
      <c r="P80" s="1188">
        <f t="shared" si="7"/>
        <v>9600</v>
      </c>
    </row>
    <row r="81" spans="1:16" s="740" customFormat="1">
      <c r="A81" s="1131" t="s">
        <v>1663</v>
      </c>
      <c r="B81" s="447" t="s">
        <v>1662</v>
      </c>
      <c r="C81" s="447" t="s">
        <v>1661</v>
      </c>
      <c r="D81" s="1181" t="s">
        <v>1722</v>
      </c>
      <c r="E81" s="1182"/>
      <c r="F81" s="1190">
        <v>76351139</v>
      </c>
      <c r="G81" s="1118" t="s">
        <v>1731</v>
      </c>
      <c r="H81" s="1100" t="s">
        <v>1724</v>
      </c>
      <c r="I81" s="1184" t="s">
        <v>1723</v>
      </c>
      <c r="J81" s="1185" t="s">
        <v>1723</v>
      </c>
      <c r="K81" s="1186" t="s">
        <v>1656</v>
      </c>
      <c r="L81" s="1187">
        <v>12</v>
      </c>
      <c r="M81" s="1188">
        <v>15600</v>
      </c>
      <c r="N81" s="1186" t="s">
        <v>1656</v>
      </c>
      <c r="O81" s="1189" t="s">
        <v>1691</v>
      </c>
      <c r="P81" s="1188">
        <f t="shared" si="7"/>
        <v>9600</v>
      </c>
    </row>
    <row r="82" spans="1:16" s="740" customFormat="1">
      <c r="A82" s="1131" t="s">
        <v>1663</v>
      </c>
      <c r="B82" s="447" t="s">
        <v>1662</v>
      </c>
      <c r="C82" s="447" t="s">
        <v>1661</v>
      </c>
      <c r="D82" s="1181" t="s">
        <v>1722</v>
      </c>
      <c r="E82" s="1182"/>
      <c r="F82" s="1190">
        <v>44046572</v>
      </c>
      <c r="G82" s="1118" t="s">
        <v>1730</v>
      </c>
      <c r="H82" s="1100" t="s">
        <v>1724</v>
      </c>
      <c r="I82" s="1184" t="s">
        <v>1723</v>
      </c>
      <c r="J82" s="1185" t="s">
        <v>1723</v>
      </c>
      <c r="K82" s="1186" t="s">
        <v>1656</v>
      </c>
      <c r="L82" s="1187">
        <v>12</v>
      </c>
      <c r="M82" s="1188">
        <v>15600</v>
      </c>
      <c r="N82" s="1186" t="s">
        <v>1656</v>
      </c>
      <c r="O82" s="1189" t="s">
        <v>1691</v>
      </c>
      <c r="P82" s="1188">
        <f t="shared" si="7"/>
        <v>9600</v>
      </c>
    </row>
    <row r="83" spans="1:16" s="740" customFormat="1">
      <c r="A83" s="1131" t="s">
        <v>1663</v>
      </c>
      <c r="B83" s="447" t="s">
        <v>1662</v>
      </c>
      <c r="C83" s="447" t="s">
        <v>1661</v>
      </c>
      <c r="D83" s="1181" t="s">
        <v>1722</v>
      </c>
      <c r="E83" s="1182"/>
      <c r="F83" s="1190">
        <v>10110359</v>
      </c>
      <c r="G83" s="1118" t="s">
        <v>1729</v>
      </c>
      <c r="H83" s="1100" t="s">
        <v>1724</v>
      </c>
      <c r="I83" s="1184" t="s">
        <v>1723</v>
      </c>
      <c r="J83" s="1185" t="s">
        <v>1723</v>
      </c>
      <c r="K83" s="1186" t="s">
        <v>1656</v>
      </c>
      <c r="L83" s="1187">
        <v>12</v>
      </c>
      <c r="M83" s="1188">
        <v>15600</v>
      </c>
      <c r="N83" s="1186" t="s">
        <v>1656</v>
      </c>
      <c r="O83" s="1189" t="s">
        <v>1691</v>
      </c>
      <c r="P83" s="1188">
        <f t="shared" si="7"/>
        <v>9600</v>
      </c>
    </row>
    <row r="84" spans="1:16" s="740" customFormat="1">
      <c r="A84" s="1131" t="s">
        <v>1663</v>
      </c>
      <c r="B84" s="447" t="s">
        <v>1662</v>
      </c>
      <c r="C84" s="447" t="s">
        <v>1661</v>
      </c>
      <c r="D84" s="1181" t="s">
        <v>1722</v>
      </c>
      <c r="E84" s="1182"/>
      <c r="F84" s="1190">
        <v>44366404</v>
      </c>
      <c r="G84" s="1118" t="s">
        <v>1728</v>
      </c>
      <c r="H84" s="1100" t="s">
        <v>1724</v>
      </c>
      <c r="I84" s="1184" t="s">
        <v>1723</v>
      </c>
      <c r="J84" s="1185" t="s">
        <v>1723</v>
      </c>
      <c r="K84" s="1186" t="s">
        <v>1656</v>
      </c>
      <c r="L84" s="1187">
        <v>12</v>
      </c>
      <c r="M84" s="1188">
        <v>15600</v>
      </c>
      <c r="N84" s="1186" t="s">
        <v>1656</v>
      </c>
      <c r="O84" s="1189" t="s">
        <v>1691</v>
      </c>
      <c r="P84" s="1188">
        <f t="shared" si="7"/>
        <v>9600</v>
      </c>
    </row>
    <row r="85" spans="1:16" s="740" customFormat="1">
      <c r="A85" s="1131" t="s">
        <v>1663</v>
      </c>
      <c r="B85" s="447" t="s">
        <v>1662</v>
      </c>
      <c r="C85" s="447" t="s">
        <v>1661</v>
      </c>
      <c r="D85" s="1181" t="s">
        <v>1722</v>
      </c>
      <c r="E85" s="1182"/>
      <c r="F85" s="1190">
        <v>40596669</v>
      </c>
      <c r="G85" s="1118" t="s">
        <v>1727</v>
      </c>
      <c r="H85" s="1100" t="s">
        <v>1724</v>
      </c>
      <c r="I85" s="1184" t="s">
        <v>1723</v>
      </c>
      <c r="J85" s="1185" t="s">
        <v>1723</v>
      </c>
      <c r="K85" s="1186" t="s">
        <v>1656</v>
      </c>
      <c r="L85" s="1187">
        <v>12</v>
      </c>
      <c r="M85" s="1188">
        <v>15600</v>
      </c>
      <c r="N85" s="1186" t="s">
        <v>1656</v>
      </c>
      <c r="O85" s="1189" t="s">
        <v>1691</v>
      </c>
      <c r="P85" s="1188">
        <f t="shared" si="7"/>
        <v>9600</v>
      </c>
    </row>
    <row r="86" spans="1:16" s="740" customFormat="1">
      <c r="A86" s="1131" t="s">
        <v>1663</v>
      </c>
      <c r="B86" s="447" t="s">
        <v>1662</v>
      </c>
      <c r="C86" s="447" t="s">
        <v>1661</v>
      </c>
      <c r="D86" s="1181" t="s">
        <v>1722</v>
      </c>
      <c r="E86" s="1182"/>
      <c r="F86" s="1190">
        <v>73937675</v>
      </c>
      <c r="G86" s="1118" t="s">
        <v>1726</v>
      </c>
      <c r="H86" s="1100" t="s">
        <v>1724</v>
      </c>
      <c r="I86" s="1184" t="s">
        <v>1723</v>
      </c>
      <c r="J86" s="1185" t="s">
        <v>1723</v>
      </c>
      <c r="K86" s="1186" t="s">
        <v>1656</v>
      </c>
      <c r="L86" s="1187">
        <v>12</v>
      </c>
      <c r="M86" s="1188">
        <v>15600</v>
      </c>
      <c r="N86" s="1186" t="s">
        <v>1656</v>
      </c>
      <c r="O86" s="1189" t="s">
        <v>1691</v>
      </c>
      <c r="P86" s="1188">
        <f t="shared" si="7"/>
        <v>9600</v>
      </c>
    </row>
    <row r="87" spans="1:16" s="740" customFormat="1">
      <c r="A87" s="1131" t="s">
        <v>1663</v>
      </c>
      <c r="B87" s="447" t="s">
        <v>1662</v>
      </c>
      <c r="C87" s="447" t="s">
        <v>1661</v>
      </c>
      <c r="D87" s="1181" t="s">
        <v>1722</v>
      </c>
      <c r="E87" s="1182"/>
      <c r="F87" s="1190">
        <v>43488298</v>
      </c>
      <c r="G87" s="1118" t="s">
        <v>1725</v>
      </c>
      <c r="H87" s="1100" t="s">
        <v>1724</v>
      </c>
      <c r="I87" s="1184" t="s">
        <v>1723</v>
      </c>
      <c r="J87" s="1185" t="s">
        <v>1723</v>
      </c>
      <c r="K87" s="1186" t="s">
        <v>1656</v>
      </c>
      <c r="L87" s="1187">
        <v>12</v>
      </c>
      <c r="M87" s="1188">
        <v>15600</v>
      </c>
      <c r="N87" s="1186" t="s">
        <v>1656</v>
      </c>
      <c r="O87" s="1189" t="s">
        <v>1691</v>
      </c>
      <c r="P87" s="1188">
        <f t="shared" si="7"/>
        <v>9600</v>
      </c>
    </row>
    <row r="88" spans="1:16" s="740" customFormat="1">
      <c r="A88" s="1131" t="s">
        <v>1663</v>
      </c>
      <c r="B88" s="447" t="s">
        <v>1662</v>
      </c>
      <c r="C88" s="447" t="s">
        <v>1661</v>
      </c>
      <c r="D88" s="1181" t="s">
        <v>1722</v>
      </c>
      <c r="E88" s="1182"/>
      <c r="F88" s="1190">
        <v>41424197</v>
      </c>
      <c r="G88" s="1118" t="s">
        <v>1721</v>
      </c>
      <c r="H88" s="1100" t="s">
        <v>1683</v>
      </c>
      <c r="I88" s="1184" t="s">
        <v>1664</v>
      </c>
      <c r="J88" s="1185" t="s">
        <v>1664</v>
      </c>
      <c r="K88" s="1186" t="s">
        <v>1656</v>
      </c>
      <c r="L88" s="1187">
        <v>12</v>
      </c>
      <c r="M88" s="1188">
        <v>24000</v>
      </c>
      <c r="N88" s="1186" t="s">
        <v>1656</v>
      </c>
      <c r="O88" s="1189" t="s">
        <v>1691</v>
      </c>
      <c r="P88" s="1188">
        <f>2000*6</f>
        <v>12000</v>
      </c>
    </row>
    <row r="89" spans="1:16" s="740" customFormat="1" ht="24">
      <c r="A89" s="1131" t="s">
        <v>1663</v>
      </c>
      <c r="B89" s="447" t="s">
        <v>1662</v>
      </c>
      <c r="C89" s="447" t="s">
        <v>1661</v>
      </c>
      <c r="D89" s="1100" t="s">
        <v>1682</v>
      </c>
      <c r="E89" s="1182"/>
      <c r="F89" s="1190">
        <v>73417657</v>
      </c>
      <c r="G89" s="1118" t="s">
        <v>1720</v>
      </c>
      <c r="H89" s="1100" t="s">
        <v>1719</v>
      </c>
      <c r="I89" s="1191" t="s">
        <v>1658</v>
      </c>
      <c r="J89" s="1182" t="s">
        <v>1657</v>
      </c>
      <c r="K89" s="1186" t="s">
        <v>1656</v>
      </c>
      <c r="L89" s="1187">
        <v>9</v>
      </c>
      <c r="M89" s="1188">
        <v>27000</v>
      </c>
      <c r="N89" s="1186" t="s">
        <v>1656</v>
      </c>
      <c r="O89" s="1189" t="s">
        <v>1691</v>
      </c>
      <c r="P89" s="1188">
        <f>3000*6</f>
        <v>18000</v>
      </c>
    </row>
    <row r="90" spans="1:16" s="740" customFormat="1" ht="24">
      <c r="A90" s="1131" t="s">
        <v>1663</v>
      </c>
      <c r="B90" s="447" t="s">
        <v>1662</v>
      </c>
      <c r="C90" s="447" t="s">
        <v>1661</v>
      </c>
      <c r="D90" s="1192" t="s">
        <v>1718</v>
      </c>
      <c r="E90" s="1182"/>
      <c r="F90" s="1190">
        <v>72287760</v>
      </c>
      <c r="G90" s="1193" t="s">
        <v>1717</v>
      </c>
      <c r="H90" s="1192" t="s">
        <v>1716</v>
      </c>
      <c r="I90" s="1191" t="s">
        <v>1664</v>
      </c>
      <c r="J90" s="1182" t="s">
        <v>1664</v>
      </c>
      <c r="K90" s="1186" t="s">
        <v>1656</v>
      </c>
      <c r="L90" s="1187">
        <v>6</v>
      </c>
      <c r="M90" s="1188">
        <v>12000</v>
      </c>
      <c r="N90" s="1186" t="s">
        <v>1656</v>
      </c>
      <c r="O90" s="1189" t="s">
        <v>1691</v>
      </c>
      <c r="P90" s="1188">
        <f>2500*6</f>
        <v>15000</v>
      </c>
    </row>
    <row r="91" spans="1:16" s="740" customFormat="1" ht="36">
      <c r="A91" s="1131" t="s">
        <v>1663</v>
      </c>
      <c r="B91" s="447" t="s">
        <v>1662</v>
      </c>
      <c r="C91" s="447" t="s">
        <v>1661</v>
      </c>
      <c r="D91" s="1192" t="s">
        <v>1715</v>
      </c>
      <c r="E91" s="1182"/>
      <c r="F91" s="1190">
        <v>70315244</v>
      </c>
      <c r="G91" s="1193" t="s">
        <v>1714</v>
      </c>
      <c r="H91" s="1192" t="s">
        <v>1713</v>
      </c>
      <c r="I91" s="1191" t="s">
        <v>1664</v>
      </c>
      <c r="J91" s="1182" t="s">
        <v>1664</v>
      </c>
      <c r="K91" s="1186" t="s">
        <v>1656</v>
      </c>
      <c r="L91" s="1187">
        <v>4</v>
      </c>
      <c r="M91" s="1188">
        <v>8000</v>
      </c>
      <c r="N91" s="1186" t="s">
        <v>1656</v>
      </c>
      <c r="O91" s="1189" t="s">
        <v>1691</v>
      </c>
      <c r="P91" s="1188">
        <f>2500*6</f>
        <v>15000</v>
      </c>
    </row>
    <row r="92" spans="1:16" s="740" customFormat="1">
      <c r="A92" s="1131" t="s">
        <v>1663</v>
      </c>
      <c r="B92" s="447" t="s">
        <v>1662</v>
      </c>
      <c r="C92" s="447" t="s">
        <v>1661</v>
      </c>
      <c r="D92" s="1192" t="s">
        <v>1712</v>
      </c>
      <c r="E92" s="1182"/>
      <c r="F92" s="1183" t="s">
        <v>1711</v>
      </c>
      <c r="G92" s="1193" t="s">
        <v>1710</v>
      </c>
      <c r="H92" s="1192" t="s">
        <v>1709</v>
      </c>
      <c r="I92" s="1191" t="s">
        <v>1664</v>
      </c>
      <c r="J92" s="1182" t="s">
        <v>1664</v>
      </c>
      <c r="K92" s="1186" t="s">
        <v>1656</v>
      </c>
      <c r="L92" s="1187">
        <v>12</v>
      </c>
      <c r="M92" s="1188">
        <v>24000</v>
      </c>
      <c r="N92" s="1186" t="s">
        <v>1656</v>
      </c>
      <c r="O92" s="1189" t="s">
        <v>1691</v>
      </c>
      <c r="P92" s="1188">
        <f>2500*6</f>
        <v>15000</v>
      </c>
    </row>
    <row r="93" spans="1:16" s="740" customFormat="1" ht="24">
      <c r="A93" s="1131" t="s">
        <v>1663</v>
      </c>
      <c r="B93" s="447" t="s">
        <v>1662</v>
      </c>
      <c r="C93" s="447" t="s">
        <v>1661</v>
      </c>
      <c r="D93" s="1192" t="s">
        <v>1708</v>
      </c>
      <c r="E93" s="1182"/>
      <c r="F93" s="1190">
        <v>73417657</v>
      </c>
      <c r="G93" s="1193" t="s">
        <v>1707</v>
      </c>
      <c r="H93" s="1192" t="s">
        <v>1667</v>
      </c>
      <c r="I93" s="1191" t="s">
        <v>1664</v>
      </c>
      <c r="J93" s="1182" t="s">
        <v>1664</v>
      </c>
      <c r="K93" s="1186" t="s">
        <v>1656</v>
      </c>
      <c r="L93" s="1187">
        <v>10</v>
      </c>
      <c r="M93" s="1188">
        <v>15000</v>
      </c>
      <c r="N93" s="1186" t="s">
        <v>1656</v>
      </c>
      <c r="O93" s="1189" t="s">
        <v>1691</v>
      </c>
      <c r="P93" s="1188">
        <f>2000*6</f>
        <v>12000</v>
      </c>
    </row>
    <row r="94" spans="1:16" s="740" customFormat="1">
      <c r="A94" s="1131" t="s">
        <v>1663</v>
      </c>
      <c r="B94" s="447" t="s">
        <v>1662</v>
      </c>
      <c r="C94" s="447" t="s">
        <v>1661</v>
      </c>
      <c r="D94" s="1100" t="s">
        <v>1703</v>
      </c>
      <c r="E94" s="1182"/>
      <c r="F94" s="1194" t="s">
        <v>1706</v>
      </c>
      <c r="G94" s="1118" t="s">
        <v>1705</v>
      </c>
      <c r="H94" s="1118" t="s">
        <v>1703</v>
      </c>
      <c r="I94" s="1191" t="s">
        <v>511</v>
      </c>
      <c r="J94" s="1182" t="s">
        <v>1657</v>
      </c>
      <c r="K94" s="1186"/>
      <c r="L94" s="1195"/>
      <c r="M94" s="1196"/>
      <c r="N94" s="1186" t="s">
        <v>1656</v>
      </c>
      <c r="O94" s="1189" t="s">
        <v>1691</v>
      </c>
      <c r="P94" s="1188">
        <f>4000*6</f>
        <v>24000</v>
      </c>
    </row>
    <row r="95" spans="1:16" s="740" customFormat="1">
      <c r="A95" s="1131" t="s">
        <v>1663</v>
      </c>
      <c r="B95" s="447" t="s">
        <v>1662</v>
      </c>
      <c r="C95" s="447" t="s">
        <v>1661</v>
      </c>
      <c r="D95" s="1100" t="s">
        <v>1703</v>
      </c>
      <c r="E95" s="1182"/>
      <c r="F95" s="1197">
        <v>42200384</v>
      </c>
      <c r="G95" s="1118" t="s">
        <v>1704</v>
      </c>
      <c r="H95" s="1118" t="s">
        <v>1703</v>
      </c>
      <c r="I95" s="1191" t="s">
        <v>511</v>
      </c>
      <c r="J95" s="1182" t="s">
        <v>1657</v>
      </c>
      <c r="K95" s="1186"/>
      <c r="L95" s="1195"/>
      <c r="M95" s="1196"/>
      <c r="N95" s="1186" t="s">
        <v>1656</v>
      </c>
      <c r="O95" s="1189" t="s">
        <v>1691</v>
      </c>
      <c r="P95" s="1188">
        <f>4000*6</f>
        <v>24000</v>
      </c>
    </row>
    <row r="96" spans="1:16" s="740" customFormat="1" ht="24">
      <c r="A96" s="1131" t="s">
        <v>1663</v>
      </c>
      <c r="B96" s="447" t="s">
        <v>1662</v>
      </c>
      <c r="C96" s="447" t="s">
        <v>1661</v>
      </c>
      <c r="D96" s="1100" t="s">
        <v>1701</v>
      </c>
      <c r="E96" s="1182"/>
      <c r="F96" s="1197">
        <v>27717027</v>
      </c>
      <c r="G96" s="1118" t="s">
        <v>1702</v>
      </c>
      <c r="H96" s="1118" t="s">
        <v>1701</v>
      </c>
      <c r="I96" s="1191" t="s">
        <v>1664</v>
      </c>
      <c r="J96" s="1182" t="s">
        <v>1664</v>
      </c>
      <c r="K96" s="1186"/>
      <c r="L96" s="1195"/>
      <c r="M96" s="1196"/>
      <c r="N96" s="1186" t="s">
        <v>1656</v>
      </c>
      <c r="O96" s="1189" t="s">
        <v>1691</v>
      </c>
      <c r="P96" s="1188">
        <f>6500*6</f>
        <v>39000</v>
      </c>
    </row>
    <row r="97" spans="1:16" s="740" customFormat="1">
      <c r="A97" s="1131" t="s">
        <v>1663</v>
      </c>
      <c r="B97" s="447" t="s">
        <v>1662</v>
      </c>
      <c r="C97" s="447" t="s">
        <v>1661</v>
      </c>
      <c r="D97" s="1100" t="s">
        <v>1672</v>
      </c>
      <c r="E97" s="1182"/>
      <c r="F97" s="1198">
        <v>46826403</v>
      </c>
      <c r="G97" s="1199" t="s">
        <v>1700</v>
      </c>
      <c r="H97" s="1118" t="s">
        <v>1672</v>
      </c>
      <c r="I97" s="1191" t="s">
        <v>1664</v>
      </c>
      <c r="J97" s="1182" t="s">
        <v>1664</v>
      </c>
      <c r="K97" s="1186"/>
      <c r="L97" s="1195"/>
      <c r="M97" s="1196"/>
      <c r="N97" s="1186" t="s">
        <v>1656</v>
      </c>
      <c r="O97" s="1189" t="s">
        <v>1691</v>
      </c>
      <c r="P97" s="1188">
        <f>2500*6</f>
        <v>15000</v>
      </c>
    </row>
    <row r="98" spans="1:16" s="740" customFormat="1" ht="24">
      <c r="A98" s="1131" t="s">
        <v>1663</v>
      </c>
      <c r="B98" s="447" t="s">
        <v>1662</v>
      </c>
      <c r="C98" s="447" t="s">
        <v>1661</v>
      </c>
      <c r="D98" s="1100" t="s">
        <v>1697</v>
      </c>
      <c r="E98" s="1182"/>
      <c r="F98" s="1194" t="s">
        <v>1699</v>
      </c>
      <c r="G98" s="1200" t="s">
        <v>1698</v>
      </c>
      <c r="H98" s="1118" t="s">
        <v>1697</v>
      </c>
      <c r="I98" s="1191" t="s">
        <v>511</v>
      </c>
      <c r="J98" s="1182" t="s">
        <v>1657</v>
      </c>
      <c r="K98" s="1186"/>
      <c r="L98" s="1195"/>
      <c r="M98" s="1196"/>
      <c r="N98" s="1186" t="s">
        <v>1656</v>
      </c>
      <c r="O98" s="1189" t="s">
        <v>1691</v>
      </c>
      <c r="P98" s="1188">
        <f>6500*6</f>
        <v>39000</v>
      </c>
    </row>
    <row r="99" spans="1:16" s="740" customFormat="1" ht="24">
      <c r="A99" s="1131" t="s">
        <v>1663</v>
      </c>
      <c r="B99" s="447" t="s">
        <v>1662</v>
      </c>
      <c r="C99" s="447" t="s">
        <v>1661</v>
      </c>
      <c r="D99" s="1100" t="s">
        <v>1145</v>
      </c>
      <c r="E99" s="1182"/>
      <c r="F99" s="1197">
        <v>45864439</v>
      </c>
      <c r="G99" s="1200" t="s">
        <v>1696</v>
      </c>
      <c r="H99" s="1118" t="s">
        <v>1145</v>
      </c>
      <c r="I99" s="1191" t="s">
        <v>1695</v>
      </c>
      <c r="J99" s="1182" t="s">
        <v>1657</v>
      </c>
      <c r="K99" s="1186"/>
      <c r="L99" s="1195"/>
      <c r="M99" s="1196"/>
      <c r="N99" s="1186" t="s">
        <v>1656</v>
      </c>
      <c r="O99" s="1189" t="s">
        <v>1691</v>
      </c>
      <c r="P99" s="1188">
        <f>7000*6</f>
        <v>42000</v>
      </c>
    </row>
    <row r="100" spans="1:16" s="740" customFormat="1">
      <c r="A100" s="1131" t="s">
        <v>1663</v>
      </c>
      <c r="B100" s="446" t="s">
        <v>1662</v>
      </c>
      <c r="C100" s="446" t="s">
        <v>1661</v>
      </c>
      <c r="D100" s="1201" t="s">
        <v>1692</v>
      </c>
      <c r="E100" s="1182"/>
      <c r="F100" s="1202" t="s">
        <v>1694</v>
      </c>
      <c r="G100" s="1118" t="s">
        <v>1693</v>
      </c>
      <c r="H100" s="1118" t="s">
        <v>1692</v>
      </c>
      <c r="I100" s="1191" t="s">
        <v>511</v>
      </c>
      <c r="J100" s="1182" t="s">
        <v>1657</v>
      </c>
      <c r="K100" s="1186"/>
      <c r="L100" s="1195"/>
      <c r="M100" s="1196"/>
      <c r="N100" s="1186" t="s">
        <v>1656</v>
      </c>
      <c r="O100" s="1189" t="s">
        <v>1691</v>
      </c>
      <c r="P100" s="1188">
        <f>8000*6</f>
        <v>48000</v>
      </c>
    </row>
    <row r="101" spans="1:16" s="740" customFormat="1" ht="24">
      <c r="A101" s="1131" t="s">
        <v>1663</v>
      </c>
      <c r="B101" s="446" t="s">
        <v>1662</v>
      </c>
      <c r="C101" s="446" t="s">
        <v>1661</v>
      </c>
      <c r="D101" s="1100" t="s">
        <v>1682</v>
      </c>
      <c r="E101" s="1182"/>
      <c r="F101" s="1190">
        <v>41593821</v>
      </c>
      <c r="G101" s="1118" t="s">
        <v>1690</v>
      </c>
      <c r="H101" s="1118" t="s">
        <v>1689</v>
      </c>
      <c r="I101" s="1099" t="s">
        <v>507</v>
      </c>
      <c r="J101" s="1185" t="s">
        <v>507</v>
      </c>
      <c r="K101" s="1186" t="s">
        <v>1656</v>
      </c>
      <c r="L101" s="1187">
        <v>3</v>
      </c>
      <c r="M101" s="1188">
        <f>3000*3</f>
        <v>9000</v>
      </c>
      <c r="N101" s="1186"/>
      <c r="O101" s="1203"/>
      <c r="P101" s="1204"/>
    </row>
    <row r="102" spans="1:16" s="740" customFormat="1" ht="24">
      <c r="A102" s="1131" t="s">
        <v>1663</v>
      </c>
      <c r="B102" s="446" t="s">
        <v>1662</v>
      </c>
      <c r="C102" s="446" t="s">
        <v>1661</v>
      </c>
      <c r="D102" s="1100" t="s">
        <v>1688</v>
      </c>
      <c r="E102" s="1182"/>
      <c r="F102" s="1190">
        <v>46789090</v>
      </c>
      <c r="G102" s="1200" t="s">
        <v>1687</v>
      </c>
      <c r="H102" s="1118" t="s">
        <v>1667</v>
      </c>
      <c r="I102" s="1099" t="s">
        <v>1664</v>
      </c>
      <c r="J102" s="1182" t="s">
        <v>1664</v>
      </c>
      <c r="K102" s="1186" t="s">
        <v>1656</v>
      </c>
      <c r="L102" s="1187">
        <v>3</v>
      </c>
      <c r="M102" s="1188">
        <f>3000*3</f>
        <v>9000</v>
      </c>
      <c r="N102" s="1186"/>
      <c r="O102" s="1099"/>
      <c r="P102" s="1196"/>
    </row>
    <row r="103" spans="1:16" s="740" customFormat="1">
      <c r="A103" s="1131" t="s">
        <v>1663</v>
      </c>
      <c r="B103" s="446" t="s">
        <v>1662</v>
      </c>
      <c r="C103" s="446" t="s">
        <v>1661</v>
      </c>
      <c r="D103" s="1100" t="s">
        <v>622</v>
      </c>
      <c r="E103" s="1182"/>
      <c r="F103" s="1190">
        <v>44452204</v>
      </c>
      <c r="G103" s="1200" t="s">
        <v>1686</v>
      </c>
      <c r="H103" s="1118" t="s">
        <v>1685</v>
      </c>
      <c r="I103" s="1099" t="s">
        <v>1664</v>
      </c>
      <c r="J103" s="1182" t="s">
        <v>1664</v>
      </c>
      <c r="K103" s="1186" t="s">
        <v>1656</v>
      </c>
      <c r="L103" s="1099">
        <v>3</v>
      </c>
      <c r="M103" s="1188">
        <f>3000*3</f>
        <v>9000</v>
      </c>
      <c r="N103" s="1186"/>
      <c r="O103" s="1099"/>
      <c r="P103" s="1196"/>
    </row>
    <row r="104" spans="1:16" s="740" customFormat="1">
      <c r="A104" s="1131" t="s">
        <v>1663</v>
      </c>
      <c r="B104" s="446" t="s">
        <v>1662</v>
      </c>
      <c r="C104" s="446" t="s">
        <v>1661</v>
      </c>
      <c r="D104" s="1181" t="s">
        <v>1683</v>
      </c>
      <c r="E104" s="1182"/>
      <c r="F104" s="1183" t="s">
        <v>1679</v>
      </c>
      <c r="G104" s="1200" t="s">
        <v>1684</v>
      </c>
      <c r="H104" s="1200" t="s">
        <v>1683</v>
      </c>
      <c r="I104" s="1191" t="s">
        <v>1664</v>
      </c>
      <c r="J104" s="1182" t="s">
        <v>1664</v>
      </c>
      <c r="K104" s="1186" t="s">
        <v>1656</v>
      </c>
      <c r="L104" s="1099">
        <v>10</v>
      </c>
      <c r="M104" s="1188">
        <f>2000*10</f>
        <v>20000</v>
      </c>
      <c r="N104" s="1186"/>
      <c r="O104" s="1099"/>
      <c r="P104" s="1196"/>
    </row>
    <row r="105" spans="1:16" s="740" customFormat="1" ht="24">
      <c r="A105" s="1131" t="s">
        <v>1663</v>
      </c>
      <c r="B105" s="446" t="s">
        <v>1662</v>
      </c>
      <c r="C105" s="446" t="s">
        <v>1661</v>
      </c>
      <c r="D105" s="1181" t="s">
        <v>1682</v>
      </c>
      <c r="E105" s="1182"/>
      <c r="F105" s="1197">
        <v>17525210</v>
      </c>
      <c r="G105" s="1118" t="s">
        <v>1681</v>
      </c>
      <c r="H105" s="1118" t="s">
        <v>1680</v>
      </c>
      <c r="I105" s="1099" t="s">
        <v>1664</v>
      </c>
      <c r="J105" s="1182" t="s">
        <v>1664</v>
      </c>
      <c r="K105" s="1186" t="s">
        <v>1656</v>
      </c>
      <c r="L105" s="1099">
        <v>8</v>
      </c>
      <c r="M105" s="1188">
        <f>3000*8</f>
        <v>24000</v>
      </c>
      <c r="N105" s="1186"/>
      <c r="O105" s="1099"/>
      <c r="P105" s="1196"/>
    </row>
    <row r="106" spans="1:16" s="740" customFormat="1">
      <c r="A106" s="1131" t="s">
        <v>1663</v>
      </c>
      <c r="B106" s="446" t="s">
        <v>1662</v>
      </c>
      <c r="C106" s="446" t="s">
        <v>1661</v>
      </c>
      <c r="D106" s="1181" t="s">
        <v>622</v>
      </c>
      <c r="E106" s="1182"/>
      <c r="F106" s="1194" t="s">
        <v>1679</v>
      </c>
      <c r="G106" s="1118" t="s">
        <v>1678</v>
      </c>
      <c r="H106" s="1118" t="s">
        <v>622</v>
      </c>
      <c r="I106" s="1099" t="s">
        <v>1664</v>
      </c>
      <c r="J106" s="1182" t="s">
        <v>1664</v>
      </c>
      <c r="K106" s="1186" t="s">
        <v>1656</v>
      </c>
      <c r="L106" s="1099">
        <v>8</v>
      </c>
      <c r="M106" s="1188">
        <f>2000*8</f>
        <v>16000</v>
      </c>
      <c r="N106" s="1186"/>
      <c r="O106" s="1099"/>
      <c r="P106" s="1196"/>
    </row>
    <row r="107" spans="1:16" s="740" customFormat="1">
      <c r="A107" s="1131" t="s">
        <v>1663</v>
      </c>
      <c r="B107" s="446" t="s">
        <v>1662</v>
      </c>
      <c r="C107" s="446" t="s">
        <v>1661</v>
      </c>
      <c r="D107" s="1181"/>
      <c r="E107" s="1182"/>
      <c r="F107" s="1197">
        <v>16597021</v>
      </c>
      <c r="G107" s="1200" t="s">
        <v>1677</v>
      </c>
      <c r="H107" s="1118" t="s">
        <v>1659</v>
      </c>
      <c r="I107" s="1099" t="s">
        <v>1658</v>
      </c>
      <c r="J107" s="1182" t="s">
        <v>1657</v>
      </c>
      <c r="K107" s="1186" t="s">
        <v>1656</v>
      </c>
      <c r="L107" s="1099">
        <v>8</v>
      </c>
      <c r="M107" s="1188">
        <f>8000*8</f>
        <v>64000</v>
      </c>
      <c r="N107" s="1186"/>
      <c r="O107" s="1099"/>
      <c r="P107" s="1196"/>
    </row>
    <row r="108" spans="1:16" s="740" customFormat="1">
      <c r="A108" s="1131" t="s">
        <v>1663</v>
      </c>
      <c r="B108" s="446" t="s">
        <v>1662</v>
      </c>
      <c r="C108" s="446" t="s">
        <v>1661</v>
      </c>
      <c r="D108" s="1181"/>
      <c r="E108" s="1182"/>
      <c r="F108" s="1197">
        <v>43281067</v>
      </c>
      <c r="G108" s="1118" t="s">
        <v>1676</v>
      </c>
      <c r="H108" s="1118" t="s">
        <v>1659</v>
      </c>
      <c r="I108" s="1099" t="s">
        <v>1658</v>
      </c>
      <c r="J108" s="1182" t="s">
        <v>1657</v>
      </c>
      <c r="K108" s="1186" t="s">
        <v>1656</v>
      </c>
      <c r="L108" s="1099">
        <v>6</v>
      </c>
      <c r="M108" s="1188">
        <f>8000*6</f>
        <v>48000</v>
      </c>
      <c r="N108" s="1186"/>
      <c r="O108" s="1099"/>
      <c r="P108" s="1196"/>
    </row>
    <row r="109" spans="1:16" s="740" customFormat="1">
      <c r="A109" s="1131" t="s">
        <v>1663</v>
      </c>
      <c r="B109" s="446" t="s">
        <v>1662</v>
      </c>
      <c r="C109" s="446" t="s">
        <v>1661</v>
      </c>
      <c r="D109" s="1181" t="s">
        <v>1575</v>
      </c>
      <c r="E109" s="1182"/>
      <c r="F109" s="1197">
        <v>43395665</v>
      </c>
      <c r="G109" s="1118" t="s">
        <v>1675</v>
      </c>
      <c r="H109" s="1118" t="s">
        <v>1659</v>
      </c>
      <c r="I109" s="1099" t="s">
        <v>1658</v>
      </c>
      <c r="J109" s="1182" t="s">
        <v>1657</v>
      </c>
      <c r="K109" s="1186" t="s">
        <v>1656</v>
      </c>
      <c r="L109" s="1099">
        <v>6</v>
      </c>
      <c r="M109" s="1188">
        <f>6000*6</f>
        <v>36000</v>
      </c>
      <c r="N109" s="1186"/>
      <c r="O109" s="1099"/>
      <c r="P109" s="1196"/>
    </row>
    <row r="110" spans="1:16" s="740" customFormat="1">
      <c r="A110" s="1131" t="s">
        <v>1663</v>
      </c>
      <c r="B110" s="446" t="s">
        <v>1662</v>
      </c>
      <c r="C110" s="446" t="s">
        <v>1661</v>
      </c>
      <c r="D110" s="1181" t="s">
        <v>1673</v>
      </c>
      <c r="E110" s="1182"/>
      <c r="F110" s="1197">
        <v>75503326</v>
      </c>
      <c r="G110" s="1118" t="s">
        <v>1674</v>
      </c>
      <c r="H110" s="1118" t="s">
        <v>1673</v>
      </c>
      <c r="I110" s="1099" t="s">
        <v>1673</v>
      </c>
      <c r="J110" s="1182" t="s">
        <v>1657</v>
      </c>
      <c r="K110" s="1186" t="s">
        <v>1656</v>
      </c>
      <c r="L110" s="1099">
        <v>8</v>
      </c>
      <c r="M110" s="1188">
        <f>2500*8</f>
        <v>20000</v>
      </c>
      <c r="N110" s="1186"/>
      <c r="O110" s="1099"/>
      <c r="P110" s="1196"/>
    </row>
    <row r="111" spans="1:16" s="740" customFormat="1">
      <c r="A111" s="1131" t="s">
        <v>1663</v>
      </c>
      <c r="B111" s="446" t="s">
        <v>1662</v>
      </c>
      <c r="C111" s="446" t="s">
        <v>1661</v>
      </c>
      <c r="D111" s="1181" t="s">
        <v>1672</v>
      </c>
      <c r="E111" s="1182"/>
      <c r="F111" s="1197">
        <v>43304477</v>
      </c>
      <c r="G111" s="1200" t="s">
        <v>1671</v>
      </c>
      <c r="H111" s="1118" t="s">
        <v>1670</v>
      </c>
      <c r="I111" s="1099" t="s">
        <v>1658</v>
      </c>
      <c r="J111" s="1182" t="s">
        <v>1664</v>
      </c>
      <c r="K111" s="1186" t="s">
        <v>1656</v>
      </c>
      <c r="L111" s="1099">
        <v>8</v>
      </c>
      <c r="M111" s="1188">
        <f>4000*8</f>
        <v>32000</v>
      </c>
      <c r="N111" s="1186"/>
      <c r="O111" s="1099"/>
      <c r="P111" s="1196"/>
    </row>
    <row r="112" spans="1:16" s="740" customFormat="1">
      <c r="A112" s="1131" t="s">
        <v>1663</v>
      </c>
      <c r="B112" s="446" t="s">
        <v>1662</v>
      </c>
      <c r="C112" s="446" t="s">
        <v>1661</v>
      </c>
      <c r="D112" s="1181" t="s">
        <v>1668</v>
      </c>
      <c r="E112" s="1182"/>
      <c r="F112" s="1197">
        <v>40304837</v>
      </c>
      <c r="G112" s="1200" t="s">
        <v>1669</v>
      </c>
      <c r="H112" s="1118" t="s">
        <v>1668</v>
      </c>
      <c r="I112" s="1099" t="s">
        <v>1664</v>
      </c>
      <c r="J112" s="1182" t="s">
        <v>1664</v>
      </c>
      <c r="K112" s="1186" t="s">
        <v>1656</v>
      </c>
      <c r="L112" s="1099">
        <v>8</v>
      </c>
      <c r="M112" s="1188">
        <f>2500*8</f>
        <v>20000</v>
      </c>
      <c r="N112" s="1186"/>
      <c r="O112" s="1099"/>
      <c r="P112" s="1196"/>
    </row>
    <row r="113" spans="1:16" s="740" customFormat="1" ht="24">
      <c r="A113" s="1131" t="s">
        <v>1663</v>
      </c>
      <c r="B113" s="446" t="s">
        <v>1662</v>
      </c>
      <c r="C113" s="446" t="s">
        <v>1661</v>
      </c>
      <c r="D113" s="1181" t="s">
        <v>1667</v>
      </c>
      <c r="E113" s="1182"/>
      <c r="F113" s="1194" t="s">
        <v>1666</v>
      </c>
      <c r="G113" s="1118" t="s">
        <v>1665</v>
      </c>
      <c r="H113" s="1118" t="s">
        <v>1664</v>
      </c>
      <c r="I113" s="1099" t="s">
        <v>1664</v>
      </c>
      <c r="J113" s="1182" t="s">
        <v>1664</v>
      </c>
      <c r="K113" s="1186" t="s">
        <v>1656</v>
      </c>
      <c r="L113" s="1099">
        <v>6</v>
      </c>
      <c r="M113" s="1188">
        <f>3000*6</f>
        <v>18000</v>
      </c>
      <c r="N113" s="1186"/>
      <c r="O113" s="1099"/>
      <c r="P113" s="1196"/>
    </row>
    <row r="114" spans="1:16" s="740" customFormat="1" ht="12.75" thickBot="1">
      <c r="A114" s="1131" t="s">
        <v>1663</v>
      </c>
      <c r="B114" s="1132" t="s">
        <v>1662</v>
      </c>
      <c r="C114" s="1132" t="s">
        <v>1661</v>
      </c>
      <c r="D114" s="1205"/>
      <c r="E114" s="1206"/>
      <c r="F114" s="1197">
        <v>42056375</v>
      </c>
      <c r="G114" s="1200" t="s">
        <v>1660</v>
      </c>
      <c r="H114" s="1118" t="s">
        <v>1659</v>
      </c>
      <c r="I114" s="1099" t="s">
        <v>1658</v>
      </c>
      <c r="J114" s="1182" t="s">
        <v>1657</v>
      </c>
      <c r="K114" s="1186" t="s">
        <v>1656</v>
      </c>
      <c r="L114" s="1099">
        <v>8</v>
      </c>
      <c r="M114" s="1188">
        <f>4000*8</f>
        <v>32000</v>
      </c>
      <c r="N114" s="1186"/>
      <c r="O114" s="1099"/>
      <c r="P114" s="1196"/>
    </row>
    <row r="115" spans="1:16" ht="12.75" thickBot="1">
      <c r="A115" s="1097"/>
      <c r="B115" s="1135"/>
      <c r="C115" s="1135"/>
      <c r="D115" s="1207"/>
      <c r="E115" s="1208"/>
      <c r="F115" s="1209"/>
      <c r="G115" s="1207"/>
      <c r="H115" s="1207"/>
      <c r="I115" s="1210"/>
      <c r="J115" s="1211"/>
      <c r="K115" s="1212"/>
      <c r="L115" s="1213"/>
      <c r="M115" s="1214">
        <f>SUM(M7:M114)</f>
        <v>3178000</v>
      </c>
      <c r="N115" s="1215"/>
      <c r="O115" s="1216"/>
      <c r="P115" s="1214">
        <f>SUM(P7:P114)</f>
        <v>1790200</v>
      </c>
    </row>
    <row r="116" spans="1:16" ht="24">
      <c r="A116" s="445" t="s">
        <v>449</v>
      </c>
      <c r="B116" s="445"/>
      <c r="C116" s="445"/>
      <c r="D116" s="445"/>
      <c r="E116" s="277"/>
      <c r="F116" s="445"/>
      <c r="G116" s="445"/>
      <c r="H116" s="445"/>
      <c r="I116" s="445"/>
      <c r="J116" s="445"/>
      <c r="K116" s="1136"/>
      <c r="L116" s="1136"/>
      <c r="M116" s="445"/>
      <c r="N116" s="277"/>
      <c r="O116" s="277"/>
      <c r="P116" s="445"/>
    </row>
    <row r="117" spans="1:16">
      <c r="A117" s="445"/>
      <c r="B117" s="445"/>
      <c r="C117" s="445"/>
      <c r="D117" s="445"/>
      <c r="E117" s="277"/>
      <c r="F117" s="445"/>
      <c r="G117" s="445"/>
      <c r="H117" s="445"/>
      <c r="I117" s="445"/>
      <c r="J117" s="445"/>
      <c r="K117" s="1136"/>
      <c r="L117" s="1136"/>
      <c r="M117" s="445"/>
      <c r="N117" s="277"/>
      <c r="O117" s="277"/>
      <c r="P117" s="445"/>
    </row>
    <row r="118" spans="1:16">
      <c r="A118" s="445"/>
      <c r="B118" s="445"/>
      <c r="C118" s="445"/>
      <c r="D118" s="445"/>
      <c r="E118" s="277"/>
      <c r="F118" s="445"/>
      <c r="G118" s="445"/>
      <c r="H118" s="445"/>
      <c r="I118" s="445"/>
      <c r="J118" s="445"/>
      <c r="K118" s="1136"/>
      <c r="L118" s="1136"/>
      <c r="M118" s="445"/>
      <c r="N118" s="277"/>
      <c r="O118" s="277"/>
      <c r="P118" s="445"/>
    </row>
    <row r="119" spans="1:16">
      <c r="A119" s="445"/>
      <c r="B119" s="445"/>
      <c r="C119" s="445"/>
      <c r="D119" s="445"/>
      <c r="E119" s="277"/>
      <c r="F119" s="445"/>
      <c r="G119" s="445"/>
      <c r="H119" s="445"/>
      <c r="I119" s="445"/>
      <c r="J119" s="445"/>
      <c r="K119" s="1136"/>
      <c r="L119" s="1136"/>
      <c r="M119" s="445"/>
      <c r="N119" s="277"/>
      <c r="O119" s="277"/>
      <c r="P119" s="445"/>
    </row>
    <row r="120" spans="1:16">
      <c r="A120" s="445"/>
      <c r="B120" s="445"/>
      <c r="C120" s="445"/>
      <c r="D120" s="445"/>
      <c r="E120" s="277"/>
      <c r="F120" s="445"/>
      <c r="G120" s="445"/>
      <c r="H120" s="445"/>
      <c r="I120" s="445"/>
      <c r="J120" s="445"/>
      <c r="K120" s="1136"/>
      <c r="L120" s="1136"/>
      <c r="M120" s="445"/>
      <c r="N120" s="277"/>
      <c r="O120" s="277"/>
      <c r="P120" s="445"/>
    </row>
    <row r="121" spans="1:16">
      <c r="A121" s="445"/>
      <c r="B121" s="445"/>
      <c r="C121" s="445"/>
      <c r="D121" s="445"/>
      <c r="E121" s="277"/>
      <c r="F121" s="445"/>
      <c r="G121" s="445"/>
      <c r="H121" s="445"/>
      <c r="I121" s="445"/>
      <c r="J121" s="445"/>
      <c r="K121" s="1136"/>
      <c r="L121" s="1136"/>
      <c r="M121" s="445"/>
      <c r="N121" s="277"/>
      <c r="O121" s="277"/>
      <c r="P121" s="445"/>
    </row>
    <row r="122" spans="1:16">
      <c r="A122" s="445"/>
      <c r="B122" s="445"/>
      <c r="C122" s="445"/>
      <c r="D122" s="445"/>
      <c r="E122" s="277"/>
      <c r="F122" s="445"/>
      <c r="G122" s="445"/>
      <c r="H122" s="445"/>
      <c r="I122" s="445"/>
      <c r="J122" s="445"/>
      <c r="K122" s="1136"/>
      <c r="L122" s="1136"/>
      <c r="M122" s="445"/>
      <c r="N122" s="277"/>
      <c r="O122" s="277"/>
      <c r="P122" s="445"/>
    </row>
    <row r="123" spans="1:16">
      <c r="A123" s="445"/>
      <c r="B123" s="445"/>
      <c r="C123" s="445"/>
      <c r="D123" s="445"/>
      <c r="E123" s="277"/>
      <c r="F123" s="445"/>
      <c r="G123" s="445"/>
      <c r="H123" s="445"/>
      <c r="I123" s="445"/>
      <c r="J123" s="445"/>
      <c r="K123" s="1136"/>
      <c r="L123" s="1136"/>
      <c r="M123" s="445"/>
      <c r="N123" s="277"/>
      <c r="O123" s="277"/>
      <c r="P123" s="445"/>
    </row>
    <row r="124" spans="1:16">
      <c r="A124" s="445"/>
      <c r="B124" s="445"/>
      <c r="C124" s="445"/>
      <c r="D124" s="445"/>
      <c r="E124" s="277"/>
      <c r="F124" s="445"/>
      <c r="G124" s="445"/>
      <c r="H124" s="445"/>
      <c r="I124" s="445"/>
      <c r="J124" s="445"/>
      <c r="K124" s="1136"/>
      <c r="L124" s="1136"/>
      <c r="M124" s="445"/>
      <c r="N124" s="277"/>
      <c r="O124" s="277"/>
      <c r="P124" s="445"/>
    </row>
    <row r="125" spans="1:16">
      <c r="A125" s="445"/>
      <c r="B125" s="445"/>
      <c r="C125" s="445"/>
      <c r="D125" s="445"/>
      <c r="E125" s="277"/>
      <c r="F125" s="445"/>
      <c r="G125" s="445"/>
      <c r="H125" s="445"/>
      <c r="I125" s="445"/>
      <c r="J125" s="445"/>
      <c r="K125" s="1136"/>
      <c r="L125" s="1136"/>
      <c r="M125" s="445"/>
      <c r="N125" s="277"/>
      <c r="O125" s="277"/>
      <c r="P125" s="445"/>
    </row>
    <row r="126" spans="1:16">
      <c r="A126" s="445"/>
      <c r="B126" s="445"/>
      <c r="C126" s="445"/>
      <c r="D126" s="445"/>
      <c r="E126" s="277"/>
      <c r="F126" s="445"/>
      <c r="G126" s="445"/>
      <c r="H126" s="445"/>
      <c r="I126" s="445"/>
      <c r="J126" s="445"/>
      <c r="K126" s="1136"/>
      <c r="L126" s="1136"/>
      <c r="M126" s="445"/>
      <c r="N126" s="277"/>
      <c r="O126" s="277"/>
      <c r="P126" s="445"/>
    </row>
    <row r="127" spans="1:16">
      <c r="A127" s="445"/>
      <c r="B127" s="445"/>
      <c r="C127" s="445"/>
      <c r="D127" s="445"/>
      <c r="E127" s="277"/>
      <c r="F127" s="445"/>
      <c r="G127" s="445"/>
      <c r="H127" s="445"/>
      <c r="I127" s="445"/>
      <c r="J127" s="445"/>
      <c r="K127" s="1136"/>
      <c r="L127" s="1136"/>
      <c r="M127" s="445"/>
      <c r="N127" s="277"/>
      <c r="O127" s="277"/>
      <c r="P127" s="445"/>
    </row>
    <row r="128" spans="1:16">
      <c r="A128" s="445"/>
      <c r="B128" s="445"/>
      <c r="C128" s="445"/>
      <c r="D128" s="445"/>
      <c r="E128" s="277"/>
      <c r="F128" s="445"/>
      <c r="G128" s="445"/>
      <c r="H128" s="445"/>
      <c r="I128" s="445"/>
      <c r="J128" s="445"/>
      <c r="K128" s="1136"/>
      <c r="L128" s="1136"/>
      <c r="M128" s="445"/>
      <c r="N128" s="277"/>
      <c r="O128" s="277"/>
      <c r="P128" s="445"/>
    </row>
    <row r="129" spans="1:16">
      <c r="A129" s="445"/>
      <c r="B129" s="445"/>
      <c r="C129" s="445"/>
      <c r="D129" s="445"/>
      <c r="E129" s="277"/>
      <c r="F129" s="445"/>
      <c r="G129" s="445"/>
      <c r="H129" s="445"/>
      <c r="I129" s="445"/>
      <c r="J129" s="445"/>
      <c r="K129" s="1136"/>
      <c r="L129" s="1136"/>
      <c r="M129" s="445"/>
      <c r="N129" s="277"/>
      <c r="O129" s="277"/>
      <c r="P129" s="445"/>
    </row>
    <row r="130" spans="1:16">
      <c r="A130" s="445"/>
      <c r="B130" s="445"/>
      <c r="C130" s="445"/>
      <c r="D130" s="445"/>
      <c r="E130" s="277"/>
      <c r="F130" s="445"/>
      <c r="G130" s="445"/>
      <c r="H130" s="445"/>
      <c r="I130" s="445"/>
      <c r="J130" s="445"/>
      <c r="K130" s="1136"/>
      <c r="L130" s="1136"/>
      <c r="M130" s="445"/>
      <c r="N130" s="277"/>
      <c r="O130" s="277"/>
      <c r="P130" s="445"/>
    </row>
    <row r="131" spans="1:16">
      <c r="A131" s="445"/>
      <c r="B131" s="445"/>
      <c r="C131" s="445"/>
      <c r="D131" s="445"/>
      <c r="E131" s="277"/>
      <c r="F131" s="445"/>
      <c r="G131" s="445"/>
      <c r="H131" s="445"/>
      <c r="I131" s="445"/>
      <c r="J131" s="445"/>
      <c r="K131" s="1136"/>
      <c r="L131" s="1136"/>
      <c r="M131" s="445"/>
      <c r="N131" s="277"/>
      <c r="O131" s="277"/>
      <c r="P131" s="445"/>
    </row>
    <row r="132" spans="1:16">
      <c r="A132" s="445"/>
      <c r="B132" s="445"/>
      <c r="C132" s="445"/>
      <c r="D132" s="445"/>
      <c r="E132" s="277"/>
      <c r="F132" s="445"/>
      <c r="G132" s="445"/>
      <c r="H132" s="445"/>
      <c r="I132" s="445"/>
      <c r="J132" s="445"/>
      <c r="K132" s="1136"/>
      <c r="L132" s="1136"/>
      <c r="M132" s="445"/>
      <c r="N132" s="277"/>
      <c r="O132" s="277"/>
      <c r="P132" s="445"/>
    </row>
    <row r="133" spans="1:16">
      <c r="A133" s="445"/>
      <c r="B133" s="445"/>
      <c r="C133" s="445"/>
      <c r="D133" s="445"/>
      <c r="E133" s="277"/>
      <c r="F133" s="445"/>
      <c r="G133" s="445"/>
      <c r="H133" s="445"/>
      <c r="I133" s="445"/>
      <c r="J133" s="445"/>
      <c r="K133" s="1136"/>
      <c r="L133" s="1136"/>
      <c r="M133" s="445"/>
      <c r="N133" s="277"/>
      <c r="O133" s="277"/>
      <c r="P133" s="445"/>
    </row>
    <row r="134" spans="1:16">
      <c r="A134" s="445"/>
      <c r="B134" s="445"/>
      <c r="C134" s="445"/>
      <c r="D134" s="445"/>
      <c r="E134" s="277"/>
      <c r="F134" s="445"/>
      <c r="G134" s="445"/>
      <c r="H134" s="445"/>
      <c r="I134" s="445"/>
      <c r="J134" s="445"/>
      <c r="K134" s="1136"/>
      <c r="L134" s="1136"/>
      <c r="M134" s="445"/>
      <c r="N134" s="277"/>
      <c r="O134" s="277"/>
      <c r="P134" s="445"/>
    </row>
    <row r="135" spans="1:16">
      <c r="A135" s="445"/>
      <c r="B135" s="445"/>
      <c r="C135" s="445"/>
      <c r="D135" s="445"/>
      <c r="E135" s="277"/>
      <c r="F135" s="445"/>
      <c r="G135" s="445"/>
      <c r="H135" s="445"/>
      <c r="I135" s="445"/>
      <c r="J135" s="445"/>
      <c r="K135" s="1136"/>
      <c r="L135" s="1136"/>
      <c r="M135" s="445"/>
      <c r="N135" s="277"/>
      <c r="O135" s="277"/>
      <c r="P135" s="445"/>
    </row>
    <row r="136" spans="1:16">
      <c r="A136" s="445"/>
      <c r="B136" s="445"/>
      <c r="C136" s="445"/>
      <c r="D136" s="445"/>
      <c r="E136" s="277"/>
      <c r="F136" s="445"/>
      <c r="G136" s="445"/>
      <c r="H136" s="445"/>
      <c r="I136" s="445"/>
      <c r="J136" s="445"/>
      <c r="K136" s="1136"/>
      <c r="L136" s="1136"/>
      <c r="M136" s="445"/>
      <c r="N136" s="277"/>
      <c r="O136" s="277"/>
      <c r="P136" s="445"/>
    </row>
    <row r="137" spans="1:16">
      <c r="A137" s="445"/>
      <c r="B137" s="445"/>
      <c r="C137" s="445"/>
      <c r="D137" s="445"/>
      <c r="E137" s="277"/>
      <c r="F137" s="445"/>
      <c r="G137" s="445"/>
      <c r="H137" s="445"/>
      <c r="I137" s="445"/>
      <c r="J137" s="445"/>
      <c r="K137" s="1136"/>
      <c r="L137" s="1136"/>
      <c r="M137" s="445"/>
      <c r="N137" s="277"/>
      <c r="O137" s="277"/>
      <c r="P137" s="445"/>
    </row>
    <row r="138" spans="1:16">
      <c r="A138" s="445"/>
      <c r="B138" s="445"/>
      <c r="C138" s="445"/>
      <c r="D138" s="445"/>
      <c r="E138" s="277"/>
      <c r="F138" s="445"/>
      <c r="G138" s="445"/>
      <c r="H138" s="445"/>
      <c r="I138" s="445"/>
      <c r="J138" s="445"/>
      <c r="K138" s="1136"/>
      <c r="L138" s="1136"/>
      <c r="M138" s="445"/>
      <c r="N138" s="277"/>
      <c r="O138" s="277"/>
      <c r="P138" s="445"/>
    </row>
    <row r="139" spans="1:16">
      <c r="A139" s="445"/>
      <c r="B139" s="445"/>
      <c r="C139" s="445"/>
      <c r="D139" s="445"/>
      <c r="E139" s="277"/>
      <c r="F139" s="445"/>
      <c r="G139" s="445"/>
      <c r="H139" s="445"/>
      <c r="I139" s="445"/>
      <c r="J139" s="445"/>
      <c r="K139" s="1136"/>
      <c r="L139" s="1136"/>
      <c r="M139" s="445"/>
      <c r="N139" s="277"/>
      <c r="O139" s="277"/>
      <c r="P139" s="445"/>
    </row>
    <row r="140" spans="1:16">
      <c r="A140" s="445"/>
      <c r="B140" s="445"/>
      <c r="C140" s="445"/>
      <c r="D140" s="445"/>
      <c r="E140" s="277"/>
      <c r="F140" s="445"/>
      <c r="G140" s="445"/>
      <c r="H140" s="445"/>
      <c r="I140" s="445"/>
      <c r="J140" s="445"/>
      <c r="K140" s="1136"/>
      <c r="L140" s="1136"/>
      <c r="M140" s="445"/>
      <c r="N140" s="277"/>
      <c r="O140" s="277"/>
      <c r="P140" s="445"/>
    </row>
    <row r="141" spans="1:16">
      <c r="A141" s="445"/>
      <c r="B141" s="445"/>
      <c r="C141" s="445"/>
      <c r="D141" s="445"/>
      <c r="E141" s="277"/>
      <c r="F141" s="445"/>
      <c r="G141" s="445"/>
      <c r="H141" s="445"/>
      <c r="I141" s="445"/>
      <c r="J141" s="445"/>
      <c r="K141" s="1136"/>
      <c r="L141" s="1136"/>
      <c r="M141" s="445"/>
      <c r="N141" s="277"/>
      <c r="O141" s="277"/>
      <c r="P141" s="445"/>
    </row>
    <row r="142" spans="1:16">
      <c r="A142" s="445"/>
      <c r="B142" s="445"/>
      <c r="C142" s="445"/>
      <c r="D142" s="445"/>
      <c r="E142" s="277"/>
      <c r="F142" s="445"/>
      <c r="G142" s="445"/>
      <c r="H142" s="445"/>
      <c r="I142" s="445"/>
      <c r="J142" s="445"/>
      <c r="K142" s="1136"/>
      <c r="L142" s="1136"/>
      <c r="M142" s="445"/>
      <c r="N142" s="277"/>
      <c r="O142" s="277"/>
      <c r="P142" s="445"/>
    </row>
    <row r="143" spans="1:16">
      <c r="A143" s="445"/>
      <c r="B143" s="445"/>
      <c r="C143" s="445"/>
      <c r="D143" s="445"/>
      <c r="E143" s="277"/>
      <c r="F143" s="445"/>
      <c r="G143" s="445"/>
      <c r="H143" s="445"/>
      <c r="I143" s="445"/>
      <c r="J143" s="445"/>
      <c r="K143" s="1136"/>
      <c r="L143" s="1136"/>
      <c r="M143" s="445"/>
      <c r="N143" s="277"/>
      <c r="O143" s="277"/>
      <c r="P143" s="445"/>
    </row>
    <row r="144" spans="1:16">
      <c r="A144" s="445"/>
      <c r="B144" s="445"/>
      <c r="C144" s="445"/>
      <c r="D144" s="445"/>
      <c r="E144" s="277"/>
      <c r="F144" s="445"/>
      <c r="G144" s="445"/>
      <c r="H144" s="445"/>
      <c r="I144" s="445"/>
      <c r="J144" s="445"/>
      <c r="K144" s="1136"/>
      <c r="L144" s="1136"/>
      <c r="M144" s="445"/>
      <c r="N144" s="277"/>
      <c r="O144" s="277"/>
      <c r="P144" s="445"/>
    </row>
    <row r="145" spans="1:16">
      <c r="A145" s="445"/>
      <c r="B145" s="445"/>
      <c r="C145" s="445"/>
      <c r="D145" s="445"/>
      <c r="E145" s="277"/>
      <c r="F145" s="445"/>
      <c r="G145" s="445"/>
      <c r="H145" s="445"/>
      <c r="I145" s="445"/>
      <c r="J145" s="445"/>
      <c r="K145" s="1136"/>
      <c r="L145" s="1136"/>
      <c r="M145" s="445"/>
      <c r="N145" s="277"/>
      <c r="O145" s="277"/>
      <c r="P145" s="445"/>
    </row>
    <row r="146" spans="1:16">
      <c r="A146" s="445"/>
      <c r="B146" s="445"/>
      <c r="C146" s="445"/>
      <c r="D146" s="445"/>
      <c r="E146" s="277"/>
      <c r="F146" s="445"/>
      <c r="G146" s="445"/>
      <c r="H146" s="445"/>
      <c r="I146" s="445"/>
      <c r="J146" s="445"/>
      <c r="K146" s="1136"/>
      <c r="L146" s="1136"/>
      <c r="M146" s="445"/>
      <c r="N146" s="277"/>
      <c r="O146" s="277"/>
      <c r="P146" s="445"/>
    </row>
    <row r="147" spans="1:16">
      <c r="A147" s="445"/>
      <c r="B147" s="445"/>
      <c r="C147" s="445"/>
      <c r="D147" s="445"/>
      <c r="E147" s="277"/>
      <c r="F147" s="445"/>
      <c r="G147" s="445"/>
      <c r="H147" s="445"/>
      <c r="I147" s="445"/>
      <c r="J147" s="445"/>
      <c r="K147" s="1136"/>
      <c r="L147" s="1136"/>
      <c r="M147" s="445"/>
      <c r="N147" s="277"/>
      <c r="O147" s="277"/>
      <c r="P147" s="445"/>
    </row>
    <row r="148" spans="1:16">
      <c r="A148" s="445"/>
      <c r="B148" s="445"/>
      <c r="C148" s="445"/>
      <c r="D148" s="445"/>
      <c r="E148" s="277"/>
      <c r="F148" s="445"/>
      <c r="G148" s="445"/>
      <c r="H148" s="445"/>
      <c r="I148" s="445"/>
      <c r="J148" s="445"/>
      <c r="K148" s="1136"/>
      <c r="L148" s="1136"/>
      <c r="M148" s="445"/>
      <c r="N148" s="277"/>
      <c r="O148" s="277"/>
      <c r="P148" s="445"/>
    </row>
    <row r="149" spans="1:16">
      <c r="A149" s="445"/>
      <c r="B149" s="445"/>
      <c r="C149" s="445"/>
      <c r="D149" s="445"/>
      <c r="E149" s="277"/>
      <c r="F149" s="445"/>
      <c r="G149" s="445"/>
      <c r="H149" s="445"/>
      <c r="I149" s="445"/>
      <c r="J149" s="445"/>
      <c r="K149" s="1136"/>
      <c r="L149" s="1136"/>
      <c r="M149" s="445"/>
      <c r="N149" s="277"/>
      <c r="O149" s="277"/>
      <c r="P149" s="445"/>
    </row>
    <row r="150" spans="1:16">
      <c r="A150" s="445"/>
      <c r="B150" s="445"/>
      <c r="C150" s="445"/>
      <c r="D150" s="445"/>
      <c r="E150" s="277"/>
      <c r="F150" s="445"/>
      <c r="G150" s="445"/>
      <c r="H150" s="445"/>
      <c r="I150" s="445"/>
      <c r="J150" s="445"/>
      <c r="K150" s="1136"/>
      <c r="L150" s="1136"/>
      <c r="M150" s="445"/>
      <c r="N150" s="277"/>
      <c r="O150" s="277"/>
      <c r="P150" s="445"/>
    </row>
    <row r="151" spans="1:16">
      <c r="A151" s="445"/>
      <c r="B151" s="445"/>
      <c r="C151" s="445"/>
      <c r="D151" s="445"/>
      <c r="E151" s="277"/>
      <c r="F151" s="445"/>
      <c r="G151" s="445"/>
      <c r="H151" s="445"/>
      <c r="I151" s="445"/>
      <c r="J151" s="445"/>
      <c r="K151" s="1136"/>
      <c r="L151" s="1136"/>
      <c r="M151" s="445"/>
      <c r="N151" s="277"/>
      <c r="O151" s="277"/>
      <c r="P151" s="445"/>
    </row>
    <row r="152" spans="1:16">
      <c r="A152" s="445"/>
      <c r="B152" s="445"/>
      <c r="C152" s="445"/>
      <c r="D152" s="445"/>
      <c r="E152" s="277"/>
      <c r="F152" s="445"/>
      <c r="G152" s="445"/>
      <c r="H152" s="445"/>
      <c r="I152" s="445"/>
      <c r="J152" s="445"/>
      <c r="K152" s="1136"/>
      <c r="L152" s="1136"/>
      <c r="M152" s="445"/>
      <c r="N152" s="277"/>
      <c r="O152" s="277"/>
      <c r="P152" s="445"/>
    </row>
    <row r="153" spans="1:16">
      <c r="A153" s="445"/>
      <c r="B153" s="445"/>
      <c r="C153" s="445"/>
      <c r="D153" s="445"/>
      <c r="E153" s="277"/>
      <c r="F153" s="445"/>
      <c r="G153" s="445"/>
      <c r="H153" s="445"/>
      <c r="I153" s="445"/>
      <c r="J153" s="445"/>
      <c r="K153" s="1136"/>
      <c r="L153" s="1136"/>
      <c r="M153" s="445"/>
      <c r="N153" s="277"/>
      <c r="O153" s="277"/>
      <c r="P153" s="445"/>
    </row>
    <row r="154" spans="1:16">
      <c r="A154" s="445"/>
      <c r="B154" s="445"/>
      <c r="C154" s="445"/>
      <c r="D154" s="445"/>
      <c r="E154" s="277"/>
      <c r="F154" s="445"/>
      <c r="G154" s="445"/>
      <c r="H154" s="445"/>
      <c r="I154" s="445"/>
      <c r="J154" s="445"/>
      <c r="K154" s="1136"/>
      <c r="L154" s="1136"/>
      <c r="M154" s="445"/>
      <c r="N154" s="277"/>
      <c r="O154" s="277"/>
      <c r="P154" s="445"/>
    </row>
    <row r="155" spans="1:16">
      <c r="A155" s="445"/>
      <c r="B155" s="445"/>
      <c r="C155" s="445"/>
      <c r="D155" s="445"/>
      <c r="E155" s="277"/>
      <c r="F155" s="445"/>
      <c r="G155" s="445"/>
      <c r="H155" s="445"/>
      <c r="I155" s="445"/>
      <c r="J155" s="445"/>
      <c r="K155" s="1136"/>
      <c r="L155" s="1136"/>
      <c r="M155" s="445"/>
      <c r="N155" s="277"/>
      <c r="O155" s="277"/>
      <c r="P155" s="445"/>
    </row>
    <row r="156" spans="1:16">
      <c r="A156" s="445"/>
      <c r="B156" s="445"/>
      <c r="C156" s="445"/>
      <c r="D156" s="445"/>
      <c r="E156" s="277"/>
      <c r="F156" s="445"/>
      <c r="G156" s="445"/>
      <c r="H156" s="445"/>
      <c r="I156" s="445"/>
      <c r="J156" s="445"/>
      <c r="K156" s="1136"/>
      <c r="L156" s="1136"/>
      <c r="M156" s="445"/>
      <c r="N156" s="277"/>
      <c r="O156" s="277"/>
      <c r="P156" s="445"/>
    </row>
    <row r="157" spans="1:16">
      <c r="A157" s="445"/>
      <c r="B157" s="445"/>
      <c r="C157" s="445"/>
      <c r="D157" s="445"/>
      <c r="E157" s="277"/>
      <c r="F157" s="445"/>
      <c r="G157" s="445"/>
      <c r="H157" s="445"/>
      <c r="I157" s="445"/>
      <c r="J157" s="445"/>
      <c r="K157" s="1136"/>
      <c r="L157" s="1136"/>
      <c r="M157" s="445"/>
      <c r="N157" s="277"/>
      <c r="O157" s="277"/>
      <c r="P157" s="445"/>
    </row>
    <row r="158" spans="1:16">
      <c r="A158" s="445"/>
      <c r="B158" s="445"/>
      <c r="C158" s="445"/>
      <c r="D158" s="445"/>
      <c r="E158" s="277"/>
      <c r="F158" s="445"/>
      <c r="G158" s="445"/>
      <c r="H158" s="445"/>
      <c r="I158" s="445"/>
      <c r="J158" s="445"/>
      <c r="K158" s="1136"/>
      <c r="L158" s="1136"/>
      <c r="M158" s="445"/>
      <c r="N158" s="277"/>
      <c r="O158" s="277"/>
      <c r="P158" s="445"/>
    </row>
    <row r="159" spans="1:16">
      <c r="A159" s="445"/>
      <c r="B159" s="445"/>
      <c r="C159" s="445"/>
      <c r="D159" s="445"/>
      <c r="E159" s="277"/>
      <c r="F159" s="445"/>
      <c r="G159" s="445"/>
      <c r="H159" s="445"/>
      <c r="I159" s="445"/>
      <c r="J159" s="445"/>
      <c r="K159" s="1136"/>
      <c r="L159" s="1136"/>
      <c r="M159" s="445"/>
      <c r="N159" s="277"/>
      <c r="O159" s="277"/>
      <c r="P159" s="445"/>
    </row>
    <row r="160" spans="1:16">
      <c r="A160" s="445"/>
      <c r="B160" s="445"/>
      <c r="C160" s="445"/>
      <c r="D160" s="445"/>
      <c r="E160" s="277"/>
      <c r="F160" s="445"/>
      <c r="G160" s="445"/>
      <c r="H160" s="445"/>
      <c r="I160" s="445"/>
      <c r="J160" s="445"/>
      <c r="K160" s="1136"/>
      <c r="L160" s="1136"/>
      <c r="M160" s="445"/>
      <c r="N160" s="277"/>
      <c r="O160" s="277"/>
      <c r="P160" s="445"/>
    </row>
    <row r="161" spans="1:16">
      <c r="A161" s="445"/>
      <c r="B161" s="445"/>
      <c r="C161" s="445"/>
      <c r="D161" s="445"/>
      <c r="E161" s="277"/>
      <c r="F161" s="445"/>
      <c r="G161" s="445"/>
      <c r="H161" s="445"/>
      <c r="I161" s="445"/>
      <c r="J161" s="445"/>
      <c r="K161" s="1136"/>
      <c r="L161" s="1136"/>
      <c r="M161" s="445"/>
      <c r="N161" s="277"/>
      <c r="O161" s="277"/>
      <c r="P161" s="445"/>
    </row>
    <row r="162" spans="1:16">
      <c r="A162" s="445"/>
      <c r="B162" s="445"/>
      <c r="C162" s="445"/>
      <c r="D162" s="445"/>
      <c r="E162" s="277"/>
      <c r="F162" s="445"/>
      <c r="G162" s="445"/>
      <c r="H162" s="445"/>
      <c r="I162" s="445"/>
      <c r="J162" s="445"/>
      <c r="K162" s="1136"/>
      <c r="L162" s="1136"/>
      <c r="M162" s="445"/>
      <c r="N162" s="277"/>
      <c r="O162" s="277"/>
      <c r="P162" s="445"/>
    </row>
    <row r="163" spans="1:16">
      <c r="A163" s="445"/>
      <c r="B163" s="445"/>
      <c r="C163" s="445"/>
      <c r="D163" s="445"/>
      <c r="E163" s="277"/>
      <c r="F163" s="445"/>
      <c r="G163" s="445"/>
      <c r="H163" s="445"/>
      <c r="I163" s="445"/>
      <c r="J163" s="445"/>
      <c r="K163" s="1136"/>
      <c r="L163" s="1136"/>
      <c r="M163" s="445"/>
      <c r="N163" s="277"/>
      <c r="O163" s="277"/>
      <c r="P163" s="445"/>
    </row>
    <row r="164" spans="1:16">
      <c r="A164" s="445"/>
      <c r="B164" s="445"/>
      <c r="C164" s="445"/>
      <c r="D164" s="445"/>
      <c r="E164" s="277"/>
      <c r="F164" s="445"/>
      <c r="G164" s="445"/>
      <c r="H164" s="445"/>
      <c r="I164" s="445"/>
      <c r="J164" s="445"/>
      <c r="K164" s="1136"/>
      <c r="L164" s="1136"/>
      <c r="M164" s="445"/>
      <c r="N164" s="277"/>
      <c r="O164" s="277"/>
      <c r="P164" s="445"/>
    </row>
    <row r="165" spans="1:16">
      <c r="A165" s="445"/>
      <c r="B165" s="445"/>
      <c r="C165" s="445"/>
      <c r="D165" s="445"/>
      <c r="E165" s="277"/>
      <c r="F165" s="445"/>
      <c r="G165" s="445"/>
      <c r="H165" s="445"/>
      <c r="I165" s="445"/>
      <c r="J165" s="445"/>
      <c r="K165" s="1136"/>
      <c r="L165" s="1136"/>
      <c r="M165" s="445"/>
      <c r="N165" s="277"/>
      <c r="O165" s="277"/>
      <c r="P165" s="445"/>
    </row>
    <row r="166" spans="1:16">
      <c r="A166" s="445"/>
      <c r="B166" s="445"/>
      <c r="C166" s="445"/>
      <c r="D166" s="445"/>
      <c r="E166" s="277"/>
      <c r="F166" s="445"/>
      <c r="G166" s="445"/>
      <c r="H166" s="445"/>
      <c r="I166" s="445"/>
      <c r="J166" s="445"/>
      <c r="K166" s="1136"/>
      <c r="L166" s="1136"/>
      <c r="M166" s="445"/>
      <c r="N166" s="277"/>
      <c r="O166" s="277"/>
      <c r="P166" s="445"/>
    </row>
    <row r="167" spans="1:16">
      <c r="A167" s="445"/>
      <c r="B167" s="445"/>
      <c r="C167" s="445"/>
      <c r="D167" s="445"/>
      <c r="E167" s="277"/>
      <c r="F167" s="445"/>
      <c r="G167" s="445"/>
      <c r="H167" s="445"/>
      <c r="I167" s="445"/>
      <c r="J167" s="445"/>
      <c r="K167" s="1136"/>
      <c r="L167" s="1136"/>
      <c r="M167" s="445"/>
      <c r="N167" s="277"/>
      <c r="O167" s="277"/>
      <c r="P167" s="445"/>
    </row>
    <row r="168" spans="1:16">
      <c r="A168" s="445"/>
      <c r="B168" s="445"/>
      <c r="C168" s="445"/>
      <c r="D168" s="445"/>
      <c r="E168" s="277"/>
      <c r="F168" s="445"/>
      <c r="G168" s="445"/>
      <c r="H168" s="445"/>
      <c r="I168" s="445"/>
      <c r="J168" s="445"/>
      <c r="K168" s="1136"/>
      <c r="L168" s="1136"/>
      <c r="M168" s="445"/>
      <c r="N168" s="277"/>
      <c r="O168" s="277"/>
      <c r="P168" s="445"/>
    </row>
    <row r="169" spans="1:16">
      <c r="A169" s="445"/>
      <c r="B169" s="445"/>
      <c r="C169" s="445"/>
      <c r="D169" s="445"/>
      <c r="E169" s="277"/>
      <c r="F169" s="445"/>
      <c r="G169" s="445"/>
      <c r="H169" s="445"/>
      <c r="I169" s="445"/>
      <c r="J169" s="445"/>
      <c r="K169" s="1136"/>
      <c r="L169" s="1136"/>
      <c r="M169" s="445"/>
      <c r="N169" s="277"/>
      <c r="O169" s="277"/>
      <c r="P169" s="445"/>
    </row>
    <row r="170" spans="1:16">
      <c r="A170" s="445"/>
      <c r="B170" s="445"/>
      <c r="C170" s="445"/>
      <c r="D170" s="445"/>
      <c r="E170" s="277"/>
      <c r="F170" s="445"/>
      <c r="G170" s="445"/>
      <c r="H170" s="445"/>
      <c r="I170" s="445"/>
      <c r="J170" s="445"/>
      <c r="K170" s="1136"/>
      <c r="L170" s="1136"/>
      <c r="M170" s="445"/>
      <c r="N170" s="277"/>
      <c r="O170" s="277"/>
      <c r="P170" s="445"/>
    </row>
    <row r="171" spans="1:16">
      <c r="A171" s="445"/>
      <c r="B171" s="445"/>
      <c r="C171" s="445"/>
      <c r="D171" s="445"/>
      <c r="E171" s="277"/>
      <c r="F171" s="445"/>
      <c r="G171" s="445"/>
      <c r="H171" s="445"/>
      <c r="I171" s="445"/>
      <c r="J171" s="445"/>
      <c r="K171" s="1136"/>
      <c r="L171" s="1136"/>
      <c r="M171" s="445"/>
      <c r="N171" s="277"/>
      <c r="O171" s="277"/>
      <c r="P171" s="445"/>
    </row>
    <row r="172" spans="1:16">
      <c r="A172" s="445"/>
      <c r="B172" s="445"/>
      <c r="C172" s="445"/>
      <c r="D172" s="445"/>
      <c r="E172" s="277"/>
      <c r="F172" s="445"/>
      <c r="G172" s="445"/>
      <c r="H172" s="445"/>
      <c r="I172" s="445"/>
      <c r="J172" s="445"/>
      <c r="K172" s="1136"/>
      <c r="L172" s="1136"/>
      <c r="M172" s="445"/>
      <c r="N172" s="277"/>
      <c r="O172" s="277"/>
      <c r="P172" s="445"/>
    </row>
    <row r="173" spans="1:16">
      <c r="A173" s="445"/>
      <c r="B173" s="445"/>
      <c r="C173" s="445"/>
      <c r="D173" s="445"/>
      <c r="E173" s="277"/>
      <c r="F173" s="445"/>
      <c r="G173" s="445"/>
      <c r="H173" s="445"/>
      <c r="I173" s="445"/>
      <c r="J173" s="445"/>
      <c r="K173" s="1136"/>
      <c r="L173" s="1136"/>
      <c r="M173" s="445"/>
      <c r="N173" s="277"/>
      <c r="O173" s="277"/>
      <c r="P173" s="445"/>
    </row>
    <row r="174" spans="1:16">
      <c r="A174" s="445"/>
      <c r="B174" s="445"/>
      <c r="C174" s="445"/>
      <c r="D174" s="445"/>
      <c r="E174" s="277"/>
      <c r="F174" s="445"/>
      <c r="G174" s="445"/>
      <c r="H174" s="445"/>
      <c r="I174" s="445"/>
      <c r="J174" s="445"/>
      <c r="K174" s="1136"/>
      <c r="L174" s="1136"/>
      <c r="M174" s="445"/>
      <c r="N174" s="277"/>
      <c r="O174" s="277"/>
      <c r="P174" s="445"/>
    </row>
    <row r="175" spans="1:16">
      <c r="A175" s="445"/>
      <c r="B175" s="445"/>
      <c r="C175" s="445"/>
      <c r="D175" s="445"/>
      <c r="E175" s="277"/>
      <c r="F175" s="445"/>
      <c r="G175" s="445"/>
      <c r="H175" s="445"/>
      <c r="I175" s="445"/>
      <c r="J175" s="445"/>
      <c r="K175" s="1136"/>
      <c r="L175" s="1136"/>
      <c r="M175" s="445"/>
      <c r="N175" s="277"/>
      <c r="O175" s="277"/>
      <c r="P175" s="445"/>
    </row>
    <row r="176" spans="1:16">
      <c r="A176" s="445"/>
      <c r="B176" s="445"/>
      <c r="C176" s="445"/>
      <c r="D176" s="445"/>
      <c r="E176" s="277"/>
      <c r="F176" s="445"/>
      <c r="G176" s="445"/>
      <c r="H176" s="445"/>
      <c r="I176" s="445"/>
      <c r="J176" s="445"/>
      <c r="K176" s="1136"/>
      <c r="L176" s="1136"/>
      <c r="M176" s="445"/>
      <c r="N176" s="277"/>
      <c r="O176" s="277"/>
      <c r="P176" s="445"/>
    </row>
    <row r="177" spans="1:16">
      <c r="A177" s="445"/>
      <c r="B177" s="445"/>
      <c r="C177" s="445"/>
      <c r="D177" s="445"/>
      <c r="E177" s="277"/>
      <c r="F177" s="445"/>
      <c r="G177" s="445"/>
      <c r="H177" s="445"/>
      <c r="I177" s="445"/>
      <c r="J177" s="445"/>
      <c r="K177" s="1136"/>
      <c r="L177" s="1136"/>
      <c r="M177" s="445"/>
      <c r="N177" s="277"/>
      <c r="O177" s="277"/>
      <c r="P177" s="445"/>
    </row>
    <row r="178" spans="1:16">
      <c r="A178" s="445"/>
      <c r="B178" s="445"/>
      <c r="C178" s="445"/>
      <c r="D178" s="445"/>
      <c r="E178" s="277"/>
      <c r="F178" s="445"/>
      <c r="G178" s="445"/>
      <c r="H178" s="445"/>
      <c r="I178" s="445"/>
      <c r="J178" s="445"/>
      <c r="K178" s="1136"/>
      <c r="L178" s="1136"/>
      <c r="M178" s="445"/>
      <c r="N178" s="277"/>
      <c r="O178" s="277"/>
      <c r="P178" s="445"/>
    </row>
    <row r="179" spans="1:16">
      <c r="A179" s="445"/>
      <c r="B179" s="445"/>
      <c r="C179" s="445"/>
      <c r="D179" s="445"/>
      <c r="E179" s="277"/>
      <c r="F179" s="445"/>
      <c r="G179" s="445"/>
      <c r="H179" s="445"/>
      <c r="I179" s="445"/>
      <c r="J179" s="445"/>
      <c r="K179" s="1136"/>
      <c r="L179" s="1136"/>
      <c r="M179" s="445"/>
      <c r="N179" s="277"/>
      <c r="O179" s="277"/>
      <c r="P179" s="445"/>
    </row>
    <row r="180" spans="1:16">
      <c r="A180" s="445"/>
      <c r="B180" s="445"/>
      <c r="C180" s="445"/>
      <c r="D180" s="445"/>
      <c r="E180" s="277"/>
      <c r="F180" s="445"/>
      <c r="G180" s="445"/>
      <c r="H180" s="445"/>
      <c r="I180" s="445"/>
      <c r="J180" s="445"/>
      <c r="K180" s="1136"/>
      <c r="L180" s="1136"/>
      <c r="M180" s="445"/>
      <c r="N180" s="277"/>
      <c r="O180" s="277"/>
      <c r="P180" s="445"/>
    </row>
    <row r="181" spans="1:16">
      <c r="A181" s="445"/>
      <c r="B181" s="445"/>
      <c r="C181" s="445"/>
      <c r="D181" s="445"/>
      <c r="E181" s="277"/>
      <c r="F181" s="445"/>
      <c r="G181" s="445"/>
      <c r="H181" s="445"/>
      <c r="I181" s="445"/>
      <c r="J181" s="445"/>
      <c r="K181" s="1136"/>
      <c r="L181" s="1136"/>
      <c r="M181" s="445"/>
      <c r="N181" s="277"/>
      <c r="O181" s="277"/>
      <c r="P181" s="445"/>
    </row>
    <row r="182" spans="1:16">
      <c r="A182" s="445"/>
      <c r="B182" s="445"/>
      <c r="C182" s="445"/>
      <c r="D182" s="445"/>
      <c r="E182" s="277"/>
      <c r="F182" s="445"/>
      <c r="G182" s="445"/>
      <c r="H182" s="445"/>
      <c r="I182" s="445"/>
      <c r="J182" s="445"/>
      <c r="K182" s="1136"/>
      <c r="L182" s="1136"/>
      <c r="M182" s="445"/>
      <c r="N182" s="277"/>
      <c r="O182" s="277"/>
      <c r="P182" s="445"/>
    </row>
    <row r="183" spans="1:16">
      <c r="A183" s="445"/>
      <c r="B183" s="445"/>
      <c r="C183" s="445"/>
      <c r="D183" s="445"/>
      <c r="E183" s="277"/>
      <c r="F183" s="445"/>
      <c r="G183" s="445"/>
      <c r="H183" s="445"/>
      <c r="I183" s="445"/>
      <c r="J183" s="445"/>
      <c r="K183" s="1136"/>
      <c r="L183" s="1136"/>
      <c r="M183" s="445"/>
      <c r="N183" s="277"/>
      <c r="O183" s="277"/>
      <c r="P183" s="445"/>
    </row>
    <row r="184" spans="1:16">
      <c r="A184" s="445"/>
      <c r="B184" s="445"/>
      <c r="C184" s="445"/>
      <c r="D184" s="445"/>
      <c r="E184" s="277"/>
      <c r="F184" s="445"/>
      <c r="G184" s="445"/>
      <c r="H184" s="445"/>
      <c r="I184" s="445"/>
      <c r="J184" s="445"/>
      <c r="K184" s="1136"/>
      <c r="L184" s="1136"/>
      <c r="M184" s="445"/>
      <c r="N184" s="277"/>
      <c r="O184" s="277"/>
      <c r="P184" s="445"/>
    </row>
    <row r="185" spans="1:16">
      <c r="A185" s="445"/>
      <c r="B185" s="445"/>
      <c r="C185" s="445"/>
      <c r="D185" s="445"/>
      <c r="E185" s="277"/>
      <c r="F185" s="445"/>
      <c r="G185" s="445"/>
      <c r="H185" s="445"/>
      <c r="I185" s="445"/>
      <c r="J185" s="445"/>
      <c r="K185" s="1136"/>
      <c r="L185" s="1136"/>
      <c r="M185" s="445"/>
      <c r="N185" s="277"/>
      <c r="O185" s="277"/>
      <c r="P185" s="445"/>
    </row>
    <row r="186" spans="1:16">
      <c r="A186" s="445"/>
      <c r="B186" s="445"/>
      <c r="C186" s="445"/>
      <c r="D186" s="445"/>
      <c r="E186" s="277"/>
      <c r="F186" s="445"/>
      <c r="G186" s="445"/>
      <c r="H186" s="445"/>
      <c r="I186" s="445"/>
      <c r="J186" s="445"/>
      <c r="K186" s="1136"/>
      <c r="L186" s="1136"/>
      <c r="M186" s="445"/>
      <c r="N186" s="277"/>
      <c r="O186" s="277"/>
      <c r="P186" s="445"/>
    </row>
    <row r="187" spans="1:16">
      <c r="A187" s="445"/>
      <c r="B187" s="445"/>
      <c r="C187" s="445"/>
      <c r="D187" s="445"/>
      <c r="E187" s="277"/>
      <c r="F187" s="445"/>
      <c r="G187" s="445"/>
      <c r="H187" s="445"/>
      <c r="I187" s="445"/>
      <c r="J187" s="445"/>
      <c r="K187" s="1136"/>
      <c r="L187" s="1136"/>
      <c r="M187" s="445"/>
      <c r="N187" s="277"/>
      <c r="O187" s="277"/>
      <c r="P187" s="445"/>
    </row>
    <row r="188" spans="1:16">
      <c r="A188" s="445"/>
      <c r="B188" s="445"/>
      <c r="C188" s="445"/>
      <c r="D188" s="445"/>
      <c r="E188" s="277"/>
      <c r="F188" s="445"/>
      <c r="G188" s="445"/>
      <c r="H188" s="445"/>
      <c r="I188" s="445"/>
      <c r="J188" s="445"/>
      <c r="K188" s="1136"/>
      <c r="L188" s="1136"/>
      <c r="M188" s="445"/>
      <c r="N188" s="277"/>
      <c r="O188" s="277"/>
      <c r="P188" s="445"/>
    </row>
    <row r="189" spans="1:16">
      <c r="A189" s="445"/>
      <c r="B189" s="445"/>
      <c r="C189" s="445"/>
      <c r="D189" s="445"/>
      <c r="E189" s="277"/>
      <c r="F189" s="445"/>
      <c r="G189" s="445"/>
      <c r="H189" s="445"/>
      <c r="I189" s="445"/>
      <c r="J189" s="445"/>
      <c r="K189" s="1136"/>
      <c r="L189" s="1136"/>
      <c r="M189" s="445"/>
      <c r="N189" s="277"/>
      <c r="O189" s="277"/>
      <c r="P189" s="445"/>
    </row>
    <row r="190" spans="1:16">
      <c r="A190" s="445"/>
      <c r="B190" s="445"/>
      <c r="C190" s="445"/>
      <c r="D190" s="445"/>
      <c r="E190" s="277"/>
      <c r="F190" s="445"/>
      <c r="G190" s="445"/>
      <c r="H190" s="445"/>
      <c r="I190" s="445"/>
      <c r="J190" s="445"/>
      <c r="K190" s="1136"/>
      <c r="L190" s="1136"/>
      <c r="M190" s="445"/>
      <c r="N190" s="277"/>
      <c r="O190" s="277"/>
      <c r="P190" s="445"/>
    </row>
    <row r="191" spans="1:16">
      <c r="A191" s="445"/>
      <c r="B191" s="445"/>
      <c r="C191" s="445"/>
      <c r="D191" s="445"/>
      <c r="E191" s="277"/>
      <c r="F191" s="445"/>
      <c r="G191" s="445"/>
      <c r="H191" s="445"/>
      <c r="I191" s="445"/>
      <c r="J191" s="445"/>
      <c r="K191" s="1136"/>
      <c r="L191" s="1136"/>
      <c r="M191" s="445"/>
      <c r="N191" s="277"/>
      <c r="O191" s="277"/>
      <c r="P191" s="445"/>
    </row>
    <row r="192" spans="1:16">
      <c r="A192" s="445"/>
      <c r="B192" s="445"/>
      <c r="C192" s="445"/>
      <c r="D192" s="445"/>
      <c r="E192" s="277"/>
      <c r="F192" s="445"/>
      <c r="G192" s="445"/>
      <c r="H192" s="445"/>
      <c r="I192" s="445"/>
      <c r="J192" s="445"/>
      <c r="K192" s="1136"/>
      <c r="L192" s="1136"/>
      <c r="M192" s="445"/>
      <c r="N192" s="277"/>
      <c r="O192" s="277"/>
      <c r="P192" s="445"/>
    </row>
    <row r="193" spans="1:16">
      <c r="A193" s="445"/>
      <c r="B193" s="445"/>
      <c r="C193" s="445"/>
      <c r="D193" s="445"/>
      <c r="E193" s="277"/>
      <c r="F193" s="445"/>
      <c r="G193" s="445"/>
      <c r="H193" s="445"/>
      <c r="I193" s="445"/>
      <c r="J193" s="445"/>
      <c r="K193" s="1136"/>
      <c r="L193" s="1136"/>
      <c r="M193" s="445"/>
      <c r="N193" s="277"/>
      <c r="O193" s="277"/>
      <c r="P193" s="445"/>
    </row>
    <row r="194" spans="1:16">
      <c r="A194" s="445"/>
      <c r="B194" s="445"/>
      <c r="C194" s="445"/>
      <c r="D194" s="445"/>
      <c r="E194" s="277"/>
      <c r="F194" s="445"/>
      <c r="G194" s="445"/>
      <c r="H194" s="445"/>
      <c r="I194" s="445"/>
      <c r="J194" s="445"/>
      <c r="K194" s="1136"/>
      <c r="L194" s="1136"/>
      <c r="M194" s="445"/>
      <c r="N194" s="277"/>
      <c r="O194" s="277"/>
      <c r="P194" s="445"/>
    </row>
    <row r="195" spans="1:16">
      <c r="A195" s="445"/>
      <c r="B195" s="445"/>
      <c r="C195" s="445"/>
      <c r="D195" s="445"/>
      <c r="E195" s="277"/>
      <c r="F195" s="445"/>
      <c r="G195" s="445"/>
      <c r="H195" s="445"/>
      <c r="I195" s="445"/>
      <c r="J195" s="445"/>
      <c r="K195" s="1136"/>
      <c r="L195" s="1136"/>
      <c r="M195" s="445"/>
      <c r="N195" s="277"/>
      <c r="O195" s="277"/>
      <c r="P195" s="445"/>
    </row>
    <row r="196" spans="1:16">
      <c r="A196" s="445"/>
      <c r="B196" s="445"/>
      <c r="C196" s="445"/>
      <c r="D196" s="445"/>
      <c r="E196" s="277"/>
      <c r="F196" s="445"/>
      <c r="G196" s="445"/>
      <c r="H196" s="445"/>
      <c r="I196" s="445"/>
      <c r="J196" s="445"/>
      <c r="K196" s="1136"/>
      <c r="L196" s="1136"/>
      <c r="M196" s="445"/>
      <c r="N196" s="277"/>
      <c r="O196" s="277"/>
      <c r="P196" s="445"/>
    </row>
    <row r="197" spans="1:16">
      <c r="A197" s="445"/>
      <c r="B197" s="445"/>
      <c r="C197" s="445"/>
      <c r="D197" s="445"/>
      <c r="E197" s="277"/>
      <c r="F197" s="445"/>
      <c r="G197" s="445"/>
      <c r="H197" s="445"/>
      <c r="I197" s="445"/>
      <c r="J197" s="445"/>
      <c r="K197" s="1136"/>
      <c r="L197" s="1136"/>
      <c r="M197" s="445"/>
      <c r="N197" s="277"/>
      <c r="O197" s="277"/>
      <c r="P197" s="445"/>
    </row>
    <row r="198" spans="1:16">
      <c r="A198" s="445"/>
      <c r="B198" s="445"/>
      <c r="C198" s="445"/>
      <c r="D198" s="445"/>
      <c r="E198" s="277"/>
      <c r="F198" s="445"/>
      <c r="G198" s="445"/>
      <c r="H198" s="445"/>
      <c r="I198" s="445"/>
      <c r="J198" s="445"/>
      <c r="K198" s="1136"/>
      <c r="L198" s="1136"/>
      <c r="M198" s="445"/>
      <c r="N198" s="277"/>
      <c r="O198" s="277"/>
      <c r="P198" s="445"/>
    </row>
    <row r="199" spans="1:16">
      <c r="A199" s="445"/>
      <c r="B199" s="445"/>
      <c r="C199" s="445"/>
      <c r="D199" s="445"/>
      <c r="E199" s="277"/>
      <c r="F199" s="445"/>
      <c r="G199" s="445"/>
      <c r="H199" s="445"/>
      <c r="I199" s="445"/>
      <c r="J199" s="445"/>
      <c r="K199" s="1136"/>
      <c r="L199" s="1136"/>
      <c r="M199" s="445"/>
      <c r="N199" s="277"/>
      <c r="O199" s="277"/>
      <c r="P199" s="445"/>
    </row>
    <row r="200" spans="1:16">
      <c r="A200" s="445"/>
      <c r="B200" s="445"/>
      <c r="C200" s="445"/>
      <c r="D200" s="445"/>
      <c r="E200" s="277"/>
      <c r="F200" s="445"/>
      <c r="G200" s="445"/>
      <c r="H200" s="445"/>
      <c r="I200" s="445"/>
      <c r="J200" s="445"/>
      <c r="K200" s="1136"/>
      <c r="L200" s="1136"/>
      <c r="M200" s="445"/>
      <c r="N200" s="277"/>
      <c r="O200" s="277"/>
      <c r="P200" s="445"/>
    </row>
    <row r="201" spans="1:16">
      <c r="A201" s="445"/>
      <c r="B201" s="445"/>
      <c r="C201" s="445"/>
      <c r="D201" s="445"/>
      <c r="E201" s="277"/>
      <c r="F201" s="445"/>
      <c r="G201" s="445"/>
      <c r="H201" s="445"/>
      <c r="I201" s="445"/>
      <c r="J201" s="445"/>
      <c r="K201" s="1136"/>
      <c r="L201" s="1136"/>
      <c r="M201" s="445"/>
      <c r="N201" s="277"/>
      <c r="O201" s="277"/>
      <c r="P201" s="445"/>
    </row>
    <row r="202" spans="1:16">
      <c r="A202" s="445"/>
      <c r="B202" s="445"/>
      <c r="C202" s="445"/>
      <c r="D202" s="445"/>
      <c r="E202" s="277"/>
      <c r="F202" s="445"/>
      <c r="G202" s="445"/>
      <c r="H202" s="445"/>
      <c r="I202" s="445"/>
      <c r="J202" s="445"/>
      <c r="K202" s="1136"/>
      <c r="L202" s="1136"/>
      <c r="M202" s="445"/>
      <c r="N202" s="277"/>
      <c r="O202" s="277"/>
      <c r="P202" s="445"/>
    </row>
    <row r="203" spans="1:16">
      <c r="A203" s="445"/>
      <c r="B203" s="445"/>
      <c r="C203" s="445"/>
      <c r="D203" s="445"/>
      <c r="E203" s="277"/>
      <c r="F203" s="445"/>
      <c r="G203" s="445"/>
      <c r="H203" s="445"/>
      <c r="I203" s="445"/>
      <c r="J203" s="445"/>
      <c r="K203" s="1136"/>
      <c r="L203" s="1136"/>
      <c r="M203" s="445"/>
      <c r="N203" s="277"/>
      <c r="O203" s="277"/>
      <c r="P203" s="445"/>
    </row>
    <row r="204" spans="1:16">
      <c r="A204" s="445"/>
      <c r="B204" s="445"/>
      <c r="C204" s="445"/>
      <c r="D204" s="445"/>
      <c r="E204" s="277"/>
      <c r="F204" s="445"/>
      <c r="G204" s="445"/>
      <c r="H204" s="445"/>
      <c r="I204" s="445"/>
      <c r="J204" s="445"/>
      <c r="K204" s="1136"/>
      <c r="L204" s="1136"/>
      <c r="M204" s="445"/>
      <c r="N204" s="277"/>
      <c r="O204" s="277"/>
      <c r="P204" s="445"/>
    </row>
    <row r="205" spans="1:16">
      <c r="A205" s="445"/>
      <c r="B205" s="445"/>
      <c r="C205" s="445"/>
      <c r="D205" s="445"/>
      <c r="E205" s="277"/>
      <c r="F205" s="445"/>
      <c r="G205" s="445"/>
      <c r="H205" s="445"/>
      <c r="I205" s="445"/>
      <c r="J205" s="445"/>
      <c r="K205" s="1136"/>
      <c r="L205" s="1136"/>
      <c r="M205" s="445"/>
      <c r="N205" s="277"/>
      <c r="O205" s="277"/>
      <c r="P205" s="445"/>
    </row>
    <row r="206" spans="1:16">
      <c r="A206" s="445"/>
      <c r="B206" s="445"/>
      <c r="C206" s="445"/>
      <c r="D206" s="445"/>
      <c r="E206" s="277"/>
      <c r="F206" s="445"/>
      <c r="G206" s="445"/>
      <c r="H206" s="445"/>
      <c r="I206" s="445"/>
      <c r="J206" s="445"/>
      <c r="K206" s="1136"/>
      <c r="L206" s="1136"/>
      <c r="M206" s="445"/>
      <c r="N206" s="277"/>
      <c r="O206" s="277"/>
      <c r="P206" s="445"/>
    </row>
    <row r="207" spans="1:16">
      <c r="A207" s="445"/>
      <c r="B207" s="445"/>
      <c r="C207" s="445"/>
      <c r="D207" s="445"/>
      <c r="E207" s="277"/>
      <c r="F207" s="445"/>
      <c r="G207" s="445"/>
      <c r="H207" s="445"/>
      <c r="I207" s="445"/>
      <c r="J207" s="445"/>
      <c r="K207" s="1136"/>
      <c r="L207" s="1136"/>
      <c r="M207" s="445"/>
      <c r="N207" s="277"/>
      <c r="O207" s="277"/>
      <c r="P207" s="445"/>
    </row>
    <row r="208" spans="1:16">
      <c r="A208" s="445"/>
      <c r="B208" s="445"/>
      <c r="C208" s="445"/>
      <c r="D208" s="445"/>
      <c r="E208" s="277"/>
      <c r="F208" s="445"/>
      <c r="G208" s="445"/>
      <c r="H208" s="445"/>
      <c r="I208" s="445"/>
      <c r="J208" s="445"/>
      <c r="K208" s="1136"/>
      <c r="L208" s="1136"/>
      <c r="M208" s="445"/>
      <c r="N208" s="277"/>
      <c r="O208" s="277"/>
      <c r="P208" s="445"/>
    </row>
    <row r="209" spans="1:16">
      <c r="A209" s="445"/>
      <c r="B209" s="445"/>
      <c r="C209" s="445"/>
      <c r="D209" s="445"/>
      <c r="E209" s="277"/>
      <c r="F209" s="445"/>
      <c r="G209" s="445"/>
      <c r="H209" s="445"/>
      <c r="I209" s="445"/>
      <c r="J209" s="445"/>
      <c r="K209" s="1136"/>
      <c r="L209" s="1136"/>
      <c r="M209" s="445"/>
      <c r="N209" s="277"/>
      <c r="O209" s="277"/>
      <c r="P209" s="445"/>
    </row>
    <row r="210" spans="1:16">
      <c r="A210" s="445"/>
      <c r="B210" s="445"/>
      <c r="C210" s="445"/>
      <c r="D210" s="445"/>
      <c r="E210" s="277"/>
      <c r="F210" s="445"/>
      <c r="G210" s="445"/>
      <c r="H210" s="445"/>
      <c r="I210" s="445"/>
      <c r="J210" s="445"/>
      <c r="K210" s="1136"/>
      <c r="L210" s="1136"/>
      <c r="M210" s="445"/>
      <c r="N210" s="277"/>
      <c r="O210" s="277"/>
      <c r="P210" s="445"/>
    </row>
    <row r="211" spans="1:16">
      <c r="A211" s="445"/>
      <c r="B211" s="445"/>
      <c r="C211" s="445"/>
      <c r="D211" s="445"/>
      <c r="E211" s="277"/>
      <c r="F211" s="445"/>
      <c r="G211" s="445"/>
      <c r="H211" s="445"/>
      <c r="I211" s="445"/>
      <c r="J211" s="445"/>
      <c r="K211" s="1136"/>
      <c r="L211" s="1136"/>
      <c r="M211" s="445"/>
      <c r="N211" s="277"/>
      <c r="O211" s="277"/>
      <c r="P211" s="445"/>
    </row>
    <row r="212" spans="1:16">
      <c r="A212" s="445"/>
      <c r="B212" s="445"/>
      <c r="C212" s="445"/>
      <c r="D212" s="445"/>
      <c r="E212" s="277"/>
      <c r="F212" s="445"/>
      <c r="G212" s="445"/>
      <c r="H212" s="445"/>
      <c r="I212" s="445"/>
      <c r="J212" s="445"/>
      <c r="K212" s="1136"/>
      <c r="L212" s="1136"/>
      <c r="M212" s="445"/>
      <c r="N212" s="277"/>
      <c r="O212" s="277"/>
      <c r="P212" s="445"/>
    </row>
    <row r="213" spans="1:16">
      <c r="A213" s="445"/>
      <c r="B213" s="445"/>
      <c r="C213" s="445"/>
      <c r="D213" s="445"/>
      <c r="E213" s="277"/>
      <c r="F213" s="445"/>
      <c r="G213" s="445"/>
      <c r="H213" s="445"/>
      <c r="I213" s="445"/>
      <c r="J213" s="445"/>
      <c r="K213" s="1136"/>
      <c r="L213" s="1136"/>
      <c r="M213" s="445"/>
      <c r="N213" s="277"/>
      <c r="O213" s="277"/>
      <c r="P213" s="445"/>
    </row>
    <row r="214" spans="1:16">
      <c r="A214" s="445"/>
      <c r="B214" s="445"/>
      <c r="C214" s="445"/>
      <c r="D214" s="445"/>
      <c r="E214" s="277"/>
      <c r="F214" s="445"/>
      <c r="G214" s="445"/>
      <c r="H214" s="445"/>
      <c r="I214" s="445"/>
      <c r="J214" s="445"/>
      <c r="K214" s="1136"/>
      <c r="L214" s="1136"/>
      <c r="M214" s="445"/>
      <c r="N214" s="277"/>
      <c r="O214" s="277"/>
      <c r="P214" s="445"/>
    </row>
    <row r="215" spans="1:16">
      <c r="A215" s="445"/>
      <c r="B215" s="445"/>
      <c r="C215" s="445"/>
      <c r="D215" s="445"/>
      <c r="E215" s="277"/>
      <c r="F215" s="445"/>
      <c r="G215" s="445"/>
      <c r="H215" s="445"/>
      <c r="I215" s="445"/>
      <c r="J215" s="445"/>
      <c r="K215" s="1136"/>
      <c r="L215" s="1136"/>
      <c r="M215" s="445"/>
      <c r="N215" s="277"/>
      <c r="O215" s="277"/>
      <c r="P215" s="445"/>
    </row>
    <row r="216" spans="1:16">
      <c r="A216" s="445"/>
      <c r="B216" s="445"/>
      <c r="C216" s="445"/>
      <c r="D216" s="445"/>
      <c r="E216" s="277"/>
      <c r="F216" s="445"/>
      <c r="G216" s="445"/>
      <c r="H216" s="445"/>
      <c r="I216" s="445"/>
      <c r="J216" s="445"/>
      <c r="K216" s="1136"/>
      <c r="L216" s="1136"/>
      <c r="M216" s="445"/>
      <c r="N216" s="277"/>
      <c r="O216" s="277"/>
      <c r="P216" s="445"/>
    </row>
    <row r="217" spans="1:16">
      <c r="A217" s="445"/>
      <c r="B217" s="445"/>
      <c r="C217" s="445"/>
      <c r="D217" s="445"/>
      <c r="E217" s="277"/>
      <c r="F217" s="445"/>
      <c r="G217" s="445"/>
      <c r="H217" s="445"/>
      <c r="I217" s="445"/>
      <c r="J217" s="445"/>
      <c r="K217" s="1136"/>
      <c r="L217" s="1136"/>
      <c r="M217" s="445"/>
      <c r="N217" s="277"/>
      <c r="O217" s="277"/>
      <c r="P217" s="445"/>
    </row>
    <row r="218" spans="1:16">
      <c r="A218" s="445"/>
      <c r="B218" s="445"/>
      <c r="C218" s="445"/>
      <c r="D218" s="445"/>
      <c r="E218" s="277"/>
      <c r="F218" s="445"/>
      <c r="G218" s="445"/>
      <c r="H218" s="445"/>
      <c r="I218" s="445"/>
      <c r="J218" s="445"/>
      <c r="K218" s="1136"/>
      <c r="L218" s="1136"/>
      <c r="M218" s="445"/>
      <c r="N218" s="277"/>
      <c r="O218" s="277"/>
      <c r="P218" s="445"/>
    </row>
    <row r="219" spans="1:16">
      <c r="A219" s="445"/>
      <c r="B219" s="445"/>
      <c r="C219" s="445"/>
      <c r="D219" s="445"/>
      <c r="E219" s="277"/>
      <c r="F219" s="445"/>
      <c r="G219" s="445"/>
      <c r="H219" s="445"/>
      <c r="I219" s="445"/>
      <c r="J219" s="445"/>
      <c r="K219" s="1136"/>
      <c r="L219" s="1136"/>
      <c r="M219" s="445"/>
      <c r="N219" s="277"/>
      <c r="O219" s="277"/>
      <c r="P219" s="445"/>
    </row>
    <row r="220" spans="1:16">
      <c r="A220" s="445"/>
      <c r="B220" s="445"/>
      <c r="C220" s="445"/>
      <c r="D220" s="445"/>
      <c r="E220" s="277"/>
      <c r="F220" s="445"/>
      <c r="G220" s="445"/>
      <c r="H220" s="445"/>
      <c r="I220" s="445"/>
      <c r="J220" s="445"/>
      <c r="K220" s="1136"/>
      <c r="L220" s="1136"/>
      <c r="M220" s="445"/>
      <c r="N220" s="277"/>
      <c r="O220" s="277"/>
      <c r="P220" s="445"/>
    </row>
    <row r="221" spans="1:16">
      <c r="A221" s="445"/>
      <c r="B221" s="445"/>
      <c r="C221" s="445"/>
      <c r="D221" s="445"/>
      <c r="E221" s="277"/>
      <c r="F221" s="445"/>
      <c r="G221" s="445"/>
      <c r="H221" s="445"/>
      <c r="I221" s="445"/>
      <c r="J221" s="445"/>
      <c r="K221" s="1136"/>
      <c r="L221" s="1136"/>
      <c r="M221" s="445"/>
      <c r="N221" s="277"/>
      <c r="O221" s="277"/>
      <c r="P221" s="445"/>
    </row>
    <row r="222" spans="1:16">
      <c r="A222" s="445"/>
      <c r="B222" s="445"/>
      <c r="C222" s="445"/>
      <c r="D222" s="445"/>
      <c r="E222" s="277"/>
      <c r="F222" s="445"/>
      <c r="G222" s="445"/>
      <c r="H222" s="445"/>
      <c r="I222" s="445"/>
      <c r="J222" s="445"/>
      <c r="K222" s="1136"/>
      <c r="L222" s="1136"/>
      <c r="M222" s="445"/>
      <c r="N222" s="277"/>
      <c r="O222" s="277"/>
      <c r="P222" s="445"/>
    </row>
    <row r="223" spans="1:16">
      <c r="A223" s="445"/>
      <c r="B223" s="445"/>
      <c r="C223" s="445"/>
      <c r="D223" s="445"/>
      <c r="E223" s="277"/>
      <c r="F223" s="445"/>
      <c r="G223" s="445"/>
      <c r="H223" s="445"/>
      <c r="I223" s="445"/>
      <c r="J223" s="445"/>
      <c r="K223" s="1136"/>
      <c r="L223" s="1136"/>
      <c r="M223" s="445"/>
      <c r="N223" s="277"/>
      <c r="O223" s="277"/>
      <c r="P223" s="445"/>
    </row>
    <row r="224" spans="1:16">
      <c r="A224" s="445"/>
      <c r="B224" s="445"/>
      <c r="C224" s="445"/>
      <c r="D224" s="445"/>
      <c r="E224" s="277"/>
      <c r="F224" s="445"/>
      <c r="G224" s="445"/>
      <c r="H224" s="445"/>
      <c r="I224" s="445"/>
      <c r="J224" s="445"/>
      <c r="K224" s="1136"/>
      <c r="L224" s="1136"/>
      <c r="M224" s="445"/>
      <c r="N224" s="277"/>
      <c r="O224" s="277"/>
      <c r="P224" s="445"/>
    </row>
    <row r="225" spans="1:16">
      <c r="A225" s="445"/>
      <c r="B225" s="445"/>
      <c r="C225" s="445"/>
      <c r="D225" s="445"/>
      <c r="E225" s="277"/>
      <c r="F225" s="445"/>
      <c r="G225" s="445"/>
      <c r="H225" s="445"/>
      <c r="I225" s="445"/>
      <c r="J225" s="445"/>
      <c r="K225" s="1136"/>
      <c r="L225" s="1136"/>
      <c r="M225" s="445"/>
      <c r="N225" s="277"/>
      <c r="O225" s="277"/>
      <c r="P225" s="445"/>
    </row>
    <row r="226" spans="1:16">
      <c r="A226" s="445"/>
      <c r="B226" s="445"/>
      <c r="C226" s="445"/>
      <c r="D226" s="445"/>
      <c r="E226" s="277"/>
      <c r="F226" s="445"/>
      <c r="G226" s="445"/>
      <c r="H226" s="445"/>
      <c r="I226" s="445"/>
      <c r="J226" s="445"/>
      <c r="K226" s="1136"/>
      <c r="L226" s="1136"/>
      <c r="M226" s="445"/>
      <c r="N226" s="277"/>
      <c r="O226" s="277"/>
      <c r="P226" s="445"/>
    </row>
    <row r="227" spans="1:16">
      <c r="A227" s="445"/>
      <c r="B227" s="445"/>
      <c r="C227" s="445"/>
      <c r="D227" s="445"/>
      <c r="E227" s="277"/>
      <c r="F227" s="445"/>
      <c r="G227" s="445"/>
      <c r="H227" s="445"/>
      <c r="I227" s="445"/>
      <c r="J227" s="445"/>
      <c r="K227" s="1136"/>
      <c r="L227" s="1136"/>
      <c r="M227" s="445"/>
      <c r="N227" s="277"/>
      <c r="O227" s="277"/>
      <c r="P227" s="445"/>
    </row>
    <row r="228" spans="1:16">
      <c r="A228" s="445"/>
      <c r="B228" s="445"/>
      <c r="C228" s="445"/>
      <c r="D228" s="445"/>
      <c r="E228" s="277"/>
      <c r="F228" s="445"/>
      <c r="G228" s="445"/>
      <c r="H228" s="445"/>
      <c r="I228" s="445"/>
      <c r="J228" s="445"/>
      <c r="K228" s="1136"/>
      <c r="L228" s="1136"/>
      <c r="M228" s="445"/>
      <c r="N228" s="277"/>
      <c r="O228" s="277"/>
      <c r="P228" s="445"/>
    </row>
    <row r="229" spans="1:16">
      <c r="A229" s="445"/>
      <c r="B229" s="445"/>
      <c r="C229" s="445"/>
      <c r="D229" s="445"/>
      <c r="E229" s="277"/>
      <c r="F229" s="445"/>
      <c r="G229" s="445"/>
      <c r="H229" s="445"/>
      <c r="I229" s="445"/>
      <c r="J229" s="445"/>
      <c r="K229" s="1136"/>
      <c r="L229" s="1136"/>
      <c r="M229" s="445"/>
      <c r="N229" s="277"/>
      <c r="O229" s="277"/>
      <c r="P229" s="445"/>
    </row>
    <row r="230" spans="1:16">
      <c r="A230" s="445"/>
      <c r="B230" s="445"/>
      <c r="C230" s="445"/>
      <c r="D230" s="445"/>
      <c r="E230" s="277"/>
      <c r="F230" s="445"/>
      <c r="G230" s="445"/>
      <c r="H230" s="445"/>
      <c r="I230" s="445"/>
      <c r="J230" s="445"/>
      <c r="K230" s="1136"/>
      <c r="L230" s="1136"/>
      <c r="M230" s="445"/>
      <c r="N230" s="277"/>
      <c r="O230" s="277"/>
      <c r="P230" s="445"/>
    </row>
    <row r="231" spans="1:16">
      <c r="A231" s="445"/>
      <c r="B231" s="445"/>
      <c r="C231" s="445"/>
      <c r="D231" s="445"/>
      <c r="E231" s="277"/>
      <c r="F231" s="445"/>
      <c r="G231" s="445"/>
      <c r="H231" s="445"/>
      <c r="I231" s="445"/>
      <c r="J231" s="445"/>
      <c r="K231" s="1136"/>
      <c r="L231" s="1136"/>
      <c r="M231" s="445"/>
      <c r="N231" s="277"/>
      <c r="O231" s="277"/>
      <c r="P231" s="445"/>
    </row>
    <row r="232" spans="1:16">
      <c r="A232" s="445"/>
      <c r="B232" s="445"/>
      <c r="C232" s="445"/>
      <c r="D232" s="445"/>
      <c r="E232" s="277"/>
      <c r="F232" s="445"/>
      <c r="G232" s="445"/>
      <c r="H232" s="445"/>
      <c r="I232" s="445"/>
      <c r="J232" s="445"/>
      <c r="K232" s="1136"/>
      <c r="L232" s="1136"/>
      <c r="M232" s="445"/>
      <c r="N232" s="277"/>
      <c r="O232" s="277"/>
      <c r="P232" s="445"/>
    </row>
    <row r="233" spans="1:16">
      <c r="A233" s="445"/>
      <c r="B233" s="445"/>
      <c r="C233" s="445"/>
      <c r="D233" s="445"/>
      <c r="E233" s="277"/>
      <c r="F233" s="445"/>
      <c r="G233" s="445"/>
      <c r="H233" s="445"/>
      <c r="I233" s="445"/>
      <c r="J233" s="445"/>
      <c r="K233" s="1136"/>
      <c r="L233" s="1136"/>
      <c r="M233" s="445"/>
      <c r="N233" s="277"/>
      <c r="O233" s="277"/>
      <c r="P233" s="445"/>
    </row>
    <row r="234" spans="1:16">
      <c r="A234" s="445"/>
      <c r="B234" s="445"/>
      <c r="C234" s="445"/>
      <c r="D234" s="445"/>
      <c r="E234" s="277"/>
      <c r="F234" s="445"/>
      <c r="G234" s="445"/>
      <c r="H234" s="445"/>
      <c r="I234" s="445"/>
      <c r="J234" s="445"/>
      <c r="K234" s="1136"/>
      <c r="L234" s="1136"/>
      <c r="M234" s="445"/>
      <c r="N234" s="277"/>
      <c r="O234" s="277"/>
      <c r="P234" s="445"/>
    </row>
    <row r="235" spans="1:16">
      <c r="A235" s="445"/>
      <c r="B235" s="445"/>
      <c r="C235" s="445"/>
      <c r="D235" s="445"/>
      <c r="E235" s="277"/>
      <c r="F235" s="445"/>
      <c r="G235" s="445"/>
      <c r="H235" s="445"/>
      <c r="I235" s="445"/>
      <c r="J235" s="445"/>
      <c r="K235" s="1136"/>
      <c r="L235" s="1136"/>
      <c r="M235" s="445"/>
      <c r="N235" s="277"/>
      <c r="O235" s="277"/>
      <c r="P235" s="445"/>
    </row>
    <row r="236" spans="1:16">
      <c r="A236" s="445"/>
      <c r="B236" s="445"/>
      <c r="C236" s="445"/>
      <c r="D236" s="445"/>
      <c r="E236" s="277"/>
      <c r="F236" s="445"/>
      <c r="G236" s="445"/>
      <c r="H236" s="445"/>
      <c r="I236" s="445"/>
      <c r="J236" s="445"/>
      <c r="K236" s="1136"/>
      <c r="L236" s="1136"/>
      <c r="M236" s="445"/>
      <c r="N236" s="277"/>
      <c r="O236" s="277"/>
      <c r="P236" s="445"/>
    </row>
    <row r="237" spans="1:16">
      <c r="A237" s="445"/>
      <c r="B237" s="445"/>
      <c r="C237" s="445"/>
      <c r="D237" s="445"/>
      <c r="E237" s="277"/>
      <c r="F237" s="445"/>
      <c r="G237" s="445"/>
      <c r="H237" s="445"/>
      <c r="I237" s="445"/>
      <c r="J237" s="445"/>
      <c r="K237" s="1136"/>
      <c r="L237" s="1136"/>
      <c r="M237" s="445"/>
      <c r="N237" s="277"/>
      <c r="O237" s="277"/>
      <c r="P237" s="445"/>
    </row>
    <row r="238" spans="1:16">
      <c r="A238" s="445"/>
      <c r="B238" s="445"/>
      <c r="C238" s="445"/>
      <c r="D238" s="445"/>
      <c r="E238" s="277"/>
      <c r="F238" s="445"/>
      <c r="G238" s="445"/>
      <c r="H238" s="445"/>
      <c r="I238" s="445"/>
      <c r="J238" s="445"/>
      <c r="K238" s="1136"/>
      <c r="L238" s="1136"/>
      <c r="M238" s="445"/>
      <c r="N238" s="277"/>
      <c r="O238" s="277"/>
      <c r="P238" s="445"/>
    </row>
    <row r="239" spans="1:16">
      <c r="A239" s="445"/>
      <c r="B239" s="445"/>
      <c r="C239" s="445"/>
      <c r="D239" s="445"/>
      <c r="E239" s="277"/>
      <c r="F239" s="445"/>
      <c r="G239" s="445"/>
      <c r="H239" s="445"/>
      <c r="I239" s="445"/>
      <c r="J239" s="445"/>
      <c r="K239" s="1136"/>
      <c r="L239" s="1136"/>
      <c r="M239" s="445"/>
      <c r="N239" s="277"/>
      <c r="O239" s="277"/>
      <c r="P239" s="445"/>
    </row>
    <row r="240" spans="1:16">
      <c r="A240" s="445"/>
      <c r="B240" s="445"/>
      <c r="C240" s="445"/>
      <c r="D240" s="445"/>
      <c r="E240" s="277"/>
      <c r="F240" s="445"/>
      <c r="G240" s="445"/>
      <c r="H240" s="445"/>
      <c r="I240" s="445"/>
      <c r="J240" s="445"/>
      <c r="K240" s="1136"/>
      <c r="L240" s="1136"/>
      <c r="M240" s="445"/>
      <c r="N240" s="277"/>
      <c r="O240" s="277"/>
      <c r="P240" s="445"/>
    </row>
    <row r="241" spans="1:16">
      <c r="A241" s="445"/>
      <c r="B241" s="445"/>
      <c r="C241" s="445"/>
      <c r="D241" s="445"/>
      <c r="E241" s="277"/>
      <c r="F241" s="445"/>
      <c r="G241" s="445"/>
      <c r="H241" s="445"/>
      <c r="I241" s="445"/>
      <c r="J241" s="445"/>
      <c r="K241" s="1136"/>
      <c r="L241" s="1136"/>
      <c r="M241" s="445"/>
      <c r="N241" s="277"/>
      <c r="O241" s="277"/>
      <c r="P241" s="445"/>
    </row>
    <row r="242" spans="1:16">
      <c r="A242" s="445"/>
      <c r="B242" s="445"/>
      <c r="C242" s="445"/>
      <c r="D242" s="445"/>
      <c r="E242" s="277"/>
      <c r="F242" s="445"/>
      <c r="G242" s="445"/>
      <c r="H242" s="445"/>
      <c r="I242" s="445"/>
      <c r="J242" s="445"/>
      <c r="K242" s="1136"/>
      <c r="L242" s="1136"/>
      <c r="M242" s="445"/>
      <c r="N242" s="277"/>
      <c r="O242" s="277"/>
      <c r="P242" s="445"/>
    </row>
    <row r="243" spans="1:16">
      <c r="A243" s="445"/>
      <c r="B243" s="445"/>
      <c r="C243" s="445"/>
      <c r="D243" s="445"/>
      <c r="E243" s="277"/>
      <c r="F243" s="445"/>
      <c r="G243" s="445"/>
      <c r="H243" s="445"/>
      <c r="I243" s="445"/>
      <c r="J243" s="445"/>
      <c r="K243" s="1136"/>
      <c r="L243" s="1136"/>
      <c r="M243" s="445"/>
      <c r="N243" s="277"/>
      <c r="O243" s="277"/>
      <c r="P243" s="445"/>
    </row>
    <row r="244" spans="1:16">
      <c r="A244" s="445"/>
      <c r="B244" s="445"/>
      <c r="C244" s="445"/>
      <c r="D244" s="445"/>
      <c r="E244" s="277"/>
      <c r="F244" s="445"/>
      <c r="G244" s="445"/>
      <c r="H244" s="445"/>
      <c r="I244" s="445"/>
      <c r="J244" s="445"/>
      <c r="K244" s="1136"/>
      <c r="L244" s="1136"/>
      <c r="M244" s="445"/>
      <c r="N244" s="277"/>
      <c r="O244" s="277"/>
      <c r="P244" s="445"/>
    </row>
    <row r="245" spans="1:16">
      <c r="A245" s="445"/>
      <c r="B245" s="445"/>
      <c r="C245" s="445"/>
      <c r="D245" s="445"/>
      <c r="E245" s="277"/>
      <c r="F245" s="445"/>
      <c r="G245" s="445"/>
      <c r="H245" s="445"/>
      <c r="I245" s="445"/>
      <c r="J245" s="445"/>
      <c r="K245" s="1136"/>
      <c r="L245" s="1136"/>
      <c r="M245" s="445"/>
      <c r="N245" s="277"/>
      <c r="O245" s="277"/>
      <c r="P245" s="445"/>
    </row>
    <row r="246" spans="1:16">
      <c r="A246" s="445"/>
      <c r="B246" s="445"/>
      <c r="C246" s="445"/>
      <c r="D246" s="445"/>
      <c r="E246" s="277"/>
      <c r="F246" s="445"/>
      <c r="G246" s="445"/>
      <c r="H246" s="445"/>
      <c r="I246" s="445"/>
      <c r="J246" s="445"/>
      <c r="K246" s="1136"/>
      <c r="L246" s="1136"/>
      <c r="M246" s="445"/>
      <c r="N246" s="277"/>
      <c r="O246" s="277"/>
      <c r="P246" s="445"/>
    </row>
    <row r="247" spans="1:16">
      <c r="A247" s="445"/>
      <c r="B247" s="445"/>
      <c r="C247" s="445"/>
      <c r="D247" s="445"/>
      <c r="E247" s="277"/>
      <c r="F247" s="445"/>
      <c r="G247" s="445"/>
      <c r="H247" s="445"/>
      <c r="I247" s="445"/>
      <c r="J247" s="445"/>
      <c r="K247" s="1136"/>
      <c r="L247" s="1136"/>
      <c r="M247" s="445"/>
      <c r="N247" s="277"/>
      <c r="O247" s="277"/>
      <c r="P247" s="445"/>
    </row>
    <row r="248" spans="1:16">
      <c r="A248" s="445"/>
      <c r="B248" s="445"/>
      <c r="C248" s="445"/>
      <c r="D248" s="445"/>
      <c r="E248" s="277"/>
      <c r="F248" s="445"/>
      <c r="G248" s="445"/>
      <c r="H248" s="445"/>
      <c r="I248" s="445"/>
      <c r="J248" s="445"/>
      <c r="K248" s="1136"/>
      <c r="L248" s="1136"/>
      <c r="M248" s="445"/>
      <c r="N248" s="277"/>
      <c r="O248" s="277"/>
      <c r="P248" s="445"/>
    </row>
    <row r="249" spans="1:16">
      <c r="A249" s="445"/>
      <c r="B249" s="445"/>
      <c r="C249" s="445"/>
      <c r="D249" s="445"/>
      <c r="E249" s="277"/>
      <c r="F249" s="445"/>
      <c r="G249" s="445"/>
      <c r="H249" s="445"/>
      <c r="I249" s="445"/>
      <c r="J249" s="445"/>
      <c r="K249" s="1136"/>
      <c r="L249" s="1136"/>
      <c r="M249" s="445"/>
      <c r="N249" s="277"/>
      <c r="O249" s="277"/>
      <c r="P249" s="445"/>
    </row>
    <row r="250" spans="1:16">
      <c r="A250" s="445"/>
      <c r="B250" s="445"/>
      <c r="C250" s="445"/>
      <c r="D250" s="445"/>
      <c r="E250" s="277"/>
      <c r="F250" s="445"/>
      <c r="G250" s="445"/>
      <c r="H250" s="445"/>
      <c r="I250" s="445"/>
      <c r="J250" s="445"/>
      <c r="K250" s="1136"/>
      <c r="L250" s="1136"/>
      <c r="M250" s="445"/>
      <c r="N250" s="277"/>
      <c r="O250" s="277"/>
      <c r="P250" s="445"/>
    </row>
    <row r="251" spans="1:16">
      <c r="A251" s="445"/>
      <c r="B251" s="445"/>
      <c r="C251" s="445"/>
      <c r="D251" s="445"/>
      <c r="E251" s="277"/>
      <c r="F251" s="445"/>
      <c r="G251" s="445"/>
      <c r="H251" s="445"/>
      <c r="I251" s="445"/>
      <c r="J251" s="445"/>
      <c r="K251" s="1136"/>
      <c r="L251" s="1136"/>
      <c r="M251" s="445"/>
      <c r="N251" s="277"/>
      <c r="O251" s="277"/>
      <c r="P251" s="445"/>
    </row>
    <row r="252" spans="1:16">
      <c r="A252" s="445"/>
      <c r="B252" s="445"/>
      <c r="C252" s="445"/>
      <c r="D252" s="445"/>
      <c r="E252" s="277"/>
      <c r="F252" s="445"/>
      <c r="G252" s="445"/>
      <c r="H252" s="445"/>
      <c r="I252" s="445"/>
      <c r="J252" s="445"/>
      <c r="K252" s="1136"/>
      <c r="L252" s="1136"/>
      <c r="M252" s="445"/>
      <c r="N252" s="277"/>
      <c r="O252" s="277"/>
      <c r="P252" s="445"/>
    </row>
    <row r="253" spans="1:16">
      <c r="A253" s="445"/>
      <c r="B253" s="445"/>
      <c r="C253" s="445"/>
      <c r="D253" s="445"/>
      <c r="E253" s="277"/>
      <c r="F253" s="445"/>
      <c r="G253" s="445"/>
      <c r="H253" s="445"/>
      <c r="I253" s="445"/>
      <c r="J253" s="445"/>
      <c r="K253" s="1136"/>
      <c r="L253" s="1136"/>
      <c r="M253" s="445"/>
      <c r="N253" s="277"/>
      <c r="O253" s="277"/>
      <c r="P253" s="445"/>
    </row>
    <row r="254" spans="1:16">
      <c r="A254" s="445"/>
      <c r="B254" s="445"/>
      <c r="C254" s="445"/>
      <c r="D254" s="445"/>
      <c r="E254" s="277"/>
      <c r="F254" s="445"/>
      <c r="G254" s="445"/>
      <c r="H254" s="445"/>
      <c r="I254" s="445"/>
      <c r="J254" s="445"/>
      <c r="K254" s="1136"/>
      <c r="L254" s="1136"/>
      <c r="M254" s="445"/>
      <c r="N254" s="277"/>
      <c r="O254" s="277"/>
      <c r="P254" s="445"/>
    </row>
    <row r="255" spans="1:16">
      <c r="A255" s="445"/>
      <c r="B255" s="445"/>
      <c r="C255" s="445"/>
      <c r="D255" s="445"/>
      <c r="E255" s="277"/>
      <c r="F255" s="445"/>
      <c r="G255" s="445"/>
      <c r="H255" s="445"/>
      <c r="I255" s="445"/>
      <c r="J255" s="445"/>
      <c r="K255" s="1136"/>
      <c r="L255" s="1136"/>
      <c r="M255" s="445"/>
      <c r="N255" s="277"/>
      <c r="O255" s="277"/>
      <c r="P255" s="445"/>
    </row>
    <row r="256" spans="1:16">
      <c r="A256" s="445"/>
      <c r="B256" s="445"/>
      <c r="C256" s="445"/>
      <c r="D256" s="445"/>
      <c r="E256" s="277"/>
      <c r="F256" s="445"/>
      <c r="G256" s="445"/>
      <c r="H256" s="445"/>
      <c r="I256" s="445"/>
      <c r="J256" s="445"/>
      <c r="K256" s="1136"/>
      <c r="L256" s="1136"/>
      <c r="M256" s="445"/>
      <c r="N256" s="277"/>
      <c r="O256" s="277"/>
      <c r="P256" s="445"/>
    </row>
    <row r="257" spans="1:16">
      <c r="A257" s="445"/>
      <c r="B257" s="445"/>
      <c r="C257" s="445"/>
      <c r="D257" s="445"/>
      <c r="E257" s="277"/>
      <c r="F257" s="445"/>
      <c r="G257" s="445"/>
      <c r="H257" s="445"/>
      <c r="I257" s="445"/>
      <c r="J257" s="445"/>
      <c r="K257" s="1136"/>
      <c r="L257" s="1136"/>
      <c r="M257" s="445"/>
      <c r="N257" s="277"/>
      <c r="O257" s="277"/>
      <c r="P257" s="445"/>
    </row>
    <row r="258" spans="1:16">
      <c r="A258" s="445"/>
      <c r="B258" s="445"/>
      <c r="C258" s="445"/>
      <c r="D258" s="445"/>
      <c r="E258" s="277"/>
      <c r="F258" s="445"/>
      <c r="G258" s="445"/>
      <c r="H258" s="445"/>
      <c r="I258" s="445"/>
      <c r="J258" s="445"/>
      <c r="K258" s="1136"/>
      <c r="L258" s="1136"/>
      <c r="M258" s="445"/>
      <c r="N258" s="277"/>
      <c r="O258" s="277"/>
      <c r="P258" s="445"/>
    </row>
    <row r="259" spans="1:16">
      <c r="A259" s="445"/>
      <c r="B259" s="445"/>
      <c r="C259" s="445"/>
      <c r="D259" s="445"/>
      <c r="E259" s="277"/>
      <c r="F259" s="445"/>
      <c r="G259" s="445"/>
      <c r="H259" s="445"/>
      <c r="I259" s="445"/>
      <c r="J259" s="445"/>
      <c r="K259" s="1136"/>
      <c r="L259" s="1136"/>
      <c r="M259" s="445"/>
      <c r="N259" s="277"/>
      <c r="O259" s="277"/>
      <c r="P259" s="445"/>
    </row>
    <row r="260" spans="1:16">
      <c r="A260" s="445"/>
      <c r="B260" s="445"/>
      <c r="C260" s="445"/>
      <c r="D260" s="445"/>
      <c r="E260" s="277"/>
      <c r="F260" s="445"/>
      <c r="G260" s="445"/>
      <c r="H260" s="445"/>
      <c r="I260" s="445"/>
      <c r="J260" s="445"/>
      <c r="K260" s="1136"/>
      <c r="L260" s="1136"/>
      <c r="M260" s="445"/>
      <c r="N260" s="277"/>
      <c r="O260" s="277"/>
      <c r="P260" s="445"/>
    </row>
    <row r="261" spans="1:16">
      <c r="A261" s="445"/>
      <c r="B261" s="445"/>
      <c r="C261" s="445"/>
      <c r="D261" s="445"/>
      <c r="E261" s="277"/>
      <c r="F261" s="445"/>
      <c r="G261" s="445"/>
      <c r="H261" s="445"/>
      <c r="I261" s="445"/>
      <c r="J261" s="445"/>
      <c r="K261" s="1136"/>
      <c r="L261" s="1136"/>
      <c r="M261" s="445"/>
      <c r="N261" s="277"/>
      <c r="O261" s="277"/>
      <c r="P261" s="445"/>
    </row>
    <row r="262" spans="1:16">
      <c r="A262" s="445"/>
      <c r="B262" s="445"/>
      <c r="C262" s="445"/>
      <c r="D262" s="445"/>
      <c r="E262" s="277"/>
      <c r="F262" s="445"/>
      <c r="G262" s="445"/>
      <c r="H262" s="445"/>
      <c r="I262" s="445"/>
      <c r="J262" s="445"/>
      <c r="K262" s="1136"/>
      <c r="L262" s="1136"/>
      <c r="M262" s="445"/>
      <c r="N262" s="277"/>
      <c r="O262" s="277"/>
      <c r="P262" s="445"/>
    </row>
    <row r="263" spans="1:16">
      <c r="A263" s="445"/>
      <c r="B263" s="445"/>
      <c r="C263" s="445"/>
      <c r="D263" s="445"/>
      <c r="E263" s="277"/>
      <c r="F263" s="445"/>
      <c r="G263" s="445"/>
      <c r="H263" s="445"/>
      <c r="I263" s="445"/>
      <c r="J263" s="445"/>
      <c r="K263" s="1136"/>
      <c r="L263" s="1136"/>
      <c r="M263" s="445"/>
      <c r="N263" s="277"/>
      <c r="O263" s="277"/>
      <c r="P263" s="445"/>
    </row>
    <row r="264" spans="1:16">
      <c r="A264" s="445"/>
      <c r="B264" s="445"/>
      <c r="C264" s="445"/>
      <c r="D264" s="445"/>
      <c r="E264" s="277"/>
      <c r="F264" s="445"/>
      <c r="G264" s="445"/>
      <c r="H264" s="445"/>
      <c r="I264" s="445"/>
      <c r="J264" s="445"/>
      <c r="K264" s="1136"/>
      <c r="L264" s="1136"/>
      <c r="M264" s="445"/>
      <c r="N264" s="277"/>
      <c r="O264" s="277"/>
      <c r="P264" s="445"/>
    </row>
    <row r="265" spans="1:16">
      <c r="A265" s="445"/>
      <c r="B265" s="445"/>
      <c r="C265" s="445"/>
      <c r="D265" s="445"/>
      <c r="E265" s="277"/>
      <c r="F265" s="445"/>
      <c r="G265" s="445"/>
      <c r="H265" s="445"/>
      <c r="I265" s="445"/>
      <c r="J265" s="445"/>
      <c r="K265" s="1136"/>
      <c r="L265" s="1136"/>
      <c r="M265" s="445"/>
      <c r="N265" s="277"/>
      <c r="O265" s="277"/>
      <c r="P265" s="445"/>
    </row>
    <row r="266" spans="1:16">
      <c r="A266" s="445"/>
      <c r="B266" s="445"/>
      <c r="C266" s="445"/>
      <c r="D266" s="445"/>
      <c r="E266" s="277"/>
      <c r="F266" s="445"/>
      <c r="G266" s="445"/>
      <c r="H266" s="445"/>
      <c r="I266" s="445"/>
      <c r="J266" s="445"/>
      <c r="K266" s="1136"/>
      <c r="L266" s="1136"/>
      <c r="M266" s="445"/>
      <c r="N266" s="277"/>
      <c r="O266" s="277"/>
      <c r="P266" s="445"/>
    </row>
    <row r="267" spans="1:16">
      <c r="A267" s="445"/>
      <c r="B267" s="445"/>
      <c r="C267" s="445"/>
      <c r="D267" s="445"/>
      <c r="E267" s="277"/>
      <c r="F267" s="445"/>
      <c r="G267" s="445"/>
      <c r="H267" s="445"/>
      <c r="I267" s="445"/>
      <c r="J267" s="445"/>
      <c r="K267" s="1136"/>
      <c r="L267" s="1136"/>
      <c r="M267" s="445"/>
      <c r="N267" s="277"/>
      <c r="O267" s="277"/>
      <c r="P267" s="445"/>
    </row>
    <row r="268" spans="1:16">
      <c r="A268" s="445"/>
      <c r="B268" s="445"/>
      <c r="C268" s="445"/>
      <c r="D268" s="445"/>
      <c r="E268" s="277"/>
      <c r="F268" s="445"/>
      <c r="G268" s="445"/>
      <c r="H268" s="445"/>
      <c r="I268" s="445"/>
      <c r="J268" s="445"/>
      <c r="K268" s="1136"/>
      <c r="L268" s="1136"/>
      <c r="M268" s="445"/>
      <c r="N268" s="277"/>
      <c r="O268" s="277"/>
      <c r="P268" s="445"/>
    </row>
    <row r="269" spans="1:16">
      <c r="A269" s="445"/>
      <c r="B269" s="445"/>
      <c r="C269" s="445"/>
      <c r="D269" s="445"/>
      <c r="E269" s="277"/>
      <c r="F269" s="445"/>
      <c r="G269" s="445"/>
      <c r="H269" s="445"/>
      <c r="I269" s="445"/>
      <c r="J269" s="445"/>
      <c r="K269" s="1136"/>
      <c r="L269" s="1136"/>
      <c r="M269" s="445"/>
      <c r="N269" s="277"/>
      <c r="O269" s="277"/>
      <c r="P269" s="445"/>
    </row>
    <row r="270" spans="1:16">
      <c r="A270" s="445"/>
      <c r="B270" s="445"/>
      <c r="C270" s="445"/>
      <c r="D270" s="445"/>
      <c r="E270" s="277"/>
      <c r="F270" s="445"/>
      <c r="G270" s="445"/>
      <c r="H270" s="445"/>
      <c r="I270" s="445"/>
      <c r="J270" s="445"/>
      <c r="K270" s="1136"/>
      <c r="L270" s="1136"/>
      <c r="M270" s="445"/>
      <c r="N270" s="277"/>
      <c r="O270" s="277"/>
      <c r="P270" s="445"/>
    </row>
    <row r="271" spans="1:16">
      <c r="A271" s="445"/>
      <c r="B271" s="445"/>
      <c r="C271" s="445"/>
      <c r="D271" s="445"/>
      <c r="E271" s="277"/>
      <c r="F271" s="445"/>
      <c r="G271" s="445"/>
      <c r="H271" s="445"/>
      <c r="I271" s="445"/>
      <c r="J271" s="445"/>
      <c r="K271" s="1136"/>
      <c r="L271" s="1136"/>
      <c r="M271" s="445"/>
      <c r="N271" s="277"/>
      <c r="O271" s="277"/>
      <c r="P271" s="445"/>
    </row>
    <row r="272" spans="1:16">
      <c r="A272" s="445"/>
      <c r="B272" s="445"/>
      <c r="C272" s="445"/>
      <c r="D272" s="445"/>
      <c r="E272" s="277"/>
      <c r="F272" s="445"/>
      <c r="G272" s="445"/>
      <c r="H272" s="445"/>
      <c r="I272" s="445"/>
      <c r="J272" s="445"/>
      <c r="K272" s="1136"/>
      <c r="L272" s="1136"/>
      <c r="M272" s="445"/>
      <c r="N272" s="277"/>
      <c r="O272" s="277"/>
      <c r="P272" s="445"/>
    </row>
    <row r="273" spans="1:16">
      <c r="A273" s="445"/>
      <c r="B273" s="445"/>
      <c r="C273" s="445"/>
      <c r="D273" s="445"/>
      <c r="E273" s="277"/>
      <c r="F273" s="445"/>
      <c r="G273" s="445"/>
      <c r="H273" s="445"/>
      <c r="I273" s="445"/>
      <c r="J273" s="445"/>
      <c r="K273" s="1136"/>
      <c r="L273" s="1136"/>
      <c r="M273" s="445"/>
      <c r="N273" s="277"/>
      <c r="O273" s="277"/>
      <c r="P273" s="445"/>
    </row>
    <row r="274" spans="1:16">
      <c r="A274" s="445"/>
      <c r="B274" s="445"/>
      <c r="C274" s="445"/>
      <c r="D274" s="445"/>
      <c r="E274" s="277"/>
      <c r="F274" s="445"/>
      <c r="G274" s="445"/>
      <c r="H274" s="445"/>
      <c r="I274" s="445"/>
      <c r="J274" s="445"/>
      <c r="K274" s="1136"/>
      <c r="L274" s="1136"/>
      <c r="M274" s="445"/>
      <c r="N274" s="277"/>
      <c r="O274" s="277"/>
      <c r="P274" s="445"/>
    </row>
    <row r="275" spans="1:16">
      <c r="A275" s="445"/>
      <c r="B275" s="445"/>
      <c r="C275" s="445"/>
      <c r="D275" s="445"/>
      <c r="E275" s="277"/>
      <c r="F275" s="445"/>
      <c r="G275" s="445"/>
      <c r="H275" s="445"/>
      <c r="I275" s="445"/>
      <c r="J275" s="445"/>
      <c r="K275" s="1136"/>
      <c r="L275" s="1136"/>
      <c r="M275" s="445"/>
      <c r="N275" s="277"/>
      <c r="O275" s="277"/>
      <c r="P275" s="445"/>
    </row>
    <row r="276" spans="1:16">
      <c r="A276" s="445"/>
      <c r="B276" s="445"/>
      <c r="C276" s="445"/>
      <c r="D276" s="445"/>
      <c r="E276" s="277"/>
      <c r="F276" s="445"/>
      <c r="G276" s="445"/>
      <c r="H276" s="445"/>
      <c r="I276" s="445"/>
      <c r="J276" s="445"/>
      <c r="K276" s="1136"/>
      <c r="L276" s="1136"/>
      <c r="M276" s="445"/>
      <c r="N276" s="277"/>
      <c r="O276" s="277"/>
      <c r="P276" s="445"/>
    </row>
    <row r="277" spans="1:16">
      <c r="A277" s="445"/>
      <c r="B277" s="445"/>
      <c r="C277" s="445"/>
      <c r="D277" s="445"/>
      <c r="E277" s="277"/>
      <c r="F277" s="445"/>
      <c r="G277" s="445"/>
      <c r="H277" s="445"/>
      <c r="I277" s="445"/>
      <c r="J277" s="445"/>
      <c r="K277" s="1136"/>
      <c r="L277" s="1136"/>
      <c r="M277" s="445"/>
      <c r="N277" s="277"/>
      <c r="O277" s="277"/>
      <c r="P277" s="445"/>
    </row>
    <row r="278" spans="1:16">
      <c r="A278" s="445"/>
      <c r="B278" s="445"/>
      <c r="C278" s="445"/>
      <c r="D278" s="445"/>
      <c r="E278" s="277"/>
      <c r="F278" s="445"/>
      <c r="G278" s="445"/>
      <c r="H278" s="445"/>
      <c r="I278" s="445"/>
      <c r="J278" s="445"/>
      <c r="K278" s="1136"/>
      <c r="L278" s="1136"/>
      <c r="M278" s="445"/>
      <c r="N278" s="277"/>
      <c r="O278" s="277"/>
      <c r="P278" s="445"/>
    </row>
    <row r="279" spans="1:16">
      <c r="A279" s="445"/>
      <c r="B279" s="445"/>
      <c r="C279" s="445"/>
      <c r="D279" s="445"/>
      <c r="E279" s="277"/>
      <c r="F279" s="445"/>
      <c r="G279" s="445"/>
      <c r="H279" s="445"/>
      <c r="I279" s="445"/>
      <c r="J279" s="445"/>
      <c r="K279" s="1136"/>
      <c r="L279" s="1136"/>
      <c r="M279" s="445"/>
      <c r="N279" s="277"/>
      <c r="O279" s="277"/>
      <c r="P279" s="445"/>
    </row>
    <row r="280" spans="1:16">
      <c r="A280" s="445"/>
      <c r="B280" s="445"/>
      <c r="C280" s="445"/>
      <c r="D280" s="445"/>
      <c r="E280" s="277"/>
      <c r="F280" s="445"/>
      <c r="G280" s="445"/>
      <c r="H280" s="445"/>
      <c r="I280" s="445"/>
      <c r="J280" s="445"/>
      <c r="K280" s="1136"/>
      <c r="L280" s="1136"/>
      <c r="M280" s="445"/>
      <c r="N280" s="277"/>
      <c r="O280" s="277"/>
      <c r="P280" s="445"/>
    </row>
    <row r="281" spans="1:16">
      <c r="A281" s="445"/>
      <c r="B281" s="445"/>
      <c r="C281" s="445"/>
      <c r="D281" s="445"/>
      <c r="E281" s="277"/>
      <c r="F281" s="445"/>
      <c r="G281" s="445"/>
      <c r="H281" s="445"/>
      <c r="I281" s="445"/>
      <c r="J281" s="445"/>
      <c r="K281" s="1136"/>
      <c r="L281" s="1136"/>
      <c r="M281" s="445"/>
      <c r="N281" s="277"/>
      <c r="O281" s="277"/>
      <c r="P281" s="445"/>
    </row>
    <row r="282" spans="1:16">
      <c r="A282" s="445"/>
      <c r="B282" s="445"/>
      <c r="C282" s="445"/>
      <c r="D282" s="445"/>
      <c r="E282" s="277"/>
      <c r="F282" s="445"/>
      <c r="G282" s="445"/>
      <c r="H282" s="445"/>
      <c r="I282" s="445"/>
      <c r="J282" s="445"/>
      <c r="K282" s="1136"/>
      <c r="L282" s="1136"/>
      <c r="M282" s="445"/>
      <c r="N282" s="277"/>
      <c r="O282" s="277"/>
      <c r="P282" s="445"/>
    </row>
    <row r="283" spans="1:16">
      <c r="A283" s="445"/>
      <c r="B283" s="445"/>
      <c r="C283" s="445"/>
      <c r="D283" s="445"/>
      <c r="E283" s="277"/>
      <c r="F283" s="445"/>
      <c r="G283" s="445"/>
      <c r="H283" s="445"/>
      <c r="I283" s="445"/>
      <c r="J283" s="445"/>
      <c r="K283" s="1136"/>
      <c r="L283" s="1136"/>
      <c r="M283" s="445"/>
      <c r="N283" s="277"/>
      <c r="O283" s="277"/>
      <c r="P283" s="445"/>
    </row>
    <row r="284" spans="1:16">
      <c r="A284" s="445"/>
      <c r="B284" s="445"/>
      <c r="C284" s="445"/>
      <c r="D284" s="445"/>
      <c r="E284" s="277"/>
      <c r="F284" s="445"/>
      <c r="G284" s="445"/>
      <c r="H284" s="445"/>
      <c r="I284" s="445"/>
      <c r="J284" s="445"/>
      <c r="K284" s="1136"/>
      <c r="L284" s="1136"/>
      <c r="M284" s="445"/>
      <c r="N284" s="277"/>
      <c r="O284" s="277"/>
      <c r="P284" s="445"/>
    </row>
    <row r="285" spans="1:16">
      <c r="A285" s="445"/>
      <c r="B285" s="445"/>
      <c r="C285" s="445"/>
      <c r="D285" s="445"/>
      <c r="E285" s="277"/>
      <c r="F285" s="445"/>
      <c r="G285" s="445"/>
      <c r="H285" s="445"/>
      <c r="I285" s="445"/>
      <c r="J285" s="445"/>
      <c r="K285" s="1136"/>
      <c r="L285" s="1136"/>
      <c r="M285" s="445"/>
      <c r="N285" s="277"/>
      <c r="O285" s="277"/>
      <c r="P285" s="445"/>
    </row>
    <row r="286" spans="1:16">
      <c r="A286" s="445"/>
      <c r="B286" s="445"/>
      <c r="C286" s="445"/>
      <c r="D286" s="445"/>
      <c r="E286" s="277"/>
      <c r="F286" s="445"/>
      <c r="G286" s="445"/>
      <c r="H286" s="445"/>
      <c r="I286" s="445"/>
      <c r="J286" s="445"/>
      <c r="K286" s="1136"/>
      <c r="L286" s="1136"/>
      <c r="M286" s="445"/>
      <c r="N286" s="277"/>
      <c r="O286" s="277"/>
      <c r="P286" s="445"/>
    </row>
    <row r="287" spans="1:16">
      <c r="A287" s="445"/>
      <c r="B287" s="445"/>
      <c r="C287" s="445"/>
      <c r="D287" s="445"/>
      <c r="E287" s="277"/>
      <c r="F287" s="445"/>
      <c r="G287" s="445"/>
      <c r="H287" s="445"/>
      <c r="I287" s="445"/>
      <c r="J287" s="445"/>
      <c r="K287" s="1136"/>
      <c r="L287" s="1136"/>
      <c r="M287" s="445"/>
      <c r="N287" s="277"/>
      <c r="O287" s="277"/>
      <c r="P287" s="445"/>
    </row>
    <row r="288" spans="1:16">
      <c r="A288" s="445"/>
      <c r="B288" s="445"/>
      <c r="C288" s="445"/>
      <c r="D288" s="445"/>
      <c r="E288" s="277"/>
      <c r="F288" s="445"/>
      <c r="G288" s="445"/>
      <c r="H288" s="445"/>
      <c r="I288" s="445"/>
      <c r="J288" s="445"/>
      <c r="K288" s="1136"/>
      <c r="L288" s="1136"/>
      <c r="M288" s="445"/>
      <c r="N288" s="277"/>
      <c r="O288" s="277"/>
      <c r="P288" s="445"/>
    </row>
    <row r="289" spans="1:16">
      <c r="A289" s="445"/>
      <c r="B289" s="445"/>
      <c r="C289" s="445"/>
      <c r="D289" s="445"/>
      <c r="E289" s="277"/>
      <c r="F289" s="445"/>
      <c r="G289" s="445"/>
      <c r="H289" s="445"/>
      <c r="I289" s="445"/>
      <c r="J289" s="445"/>
      <c r="K289" s="1136"/>
      <c r="L289" s="1136"/>
      <c r="M289" s="445"/>
      <c r="N289" s="277"/>
      <c r="O289" s="277"/>
      <c r="P289" s="445"/>
    </row>
    <row r="290" spans="1:16">
      <c r="A290" s="445"/>
      <c r="B290" s="445"/>
      <c r="C290" s="445"/>
      <c r="D290" s="445"/>
      <c r="E290" s="277"/>
      <c r="F290" s="445"/>
      <c r="G290" s="445"/>
      <c r="H290" s="445"/>
      <c r="I290" s="445"/>
      <c r="J290" s="445"/>
      <c r="K290" s="1136"/>
      <c r="L290" s="1136"/>
      <c r="M290" s="445"/>
      <c r="N290" s="277"/>
      <c r="O290" s="277"/>
      <c r="P290" s="445"/>
    </row>
    <row r="291" spans="1:16">
      <c r="A291" s="445"/>
      <c r="B291" s="445"/>
      <c r="C291" s="445"/>
      <c r="D291" s="445"/>
      <c r="E291" s="277"/>
      <c r="F291" s="445"/>
      <c r="G291" s="445"/>
      <c r="H291" s="445"/>
      <c r="I291" s="445"/>
      <c r="J291" s="445"/>
      <c r="K291" s="1136"/>
      <c r="L291" s="1136"/>
      <c r="M291" s="445"/>
      <c r="N291" s="277"/>
      <c r="O291" s="277"/>
      <c r="P291" s="445"/>
    </row>
    <row r="292" spans="1:16">
      <c r="A292" s="445"/>
      <c r="B292" s="445"/>
      <c r="C292" s="445"/>
      <c r="D292" s="445"/>
      <c r="E292" s="277"/>
      <c r="F292" s="445"/>
      <c r="G292" s="445"/>
      <c r="H292" s="445"/>
      <c r="I292" s="445"/>
      <c r="J292" s="445"/>
      <c r="K292" s="1136"/>
      <c r="L292" s="1136"/>
      <c r="M292" s="445"/>
      <c r="N292" s="277"/>
      <c r="O292" s="277"/>
      <c r="P292" s="445"/>
    </row>
    <row r="293" spans="1:16">
      <c r="A293" s="445"/>
      <c r="B293" s="445"/>
      <c r="C293" s="445"/>
      <c r="D293" s="445"/>
      <c r="E293" s="277"/>
      <c r="F293" s="445"/>
      <c r="G293" s="445"/>
      <c r="H293" s="445"/>
      <c r="I293" s="445"/>
      <c r="J293" s="445"/>
      <c r="K293" s="1136"/>
      <c r="L293" s="1136"/>
      <c r="M293" s="445"/>
      <c r="N293" s="277"/>
      <c r="O293" s="277"/>
      <c r="P293" s="445"/>
    </row>
    <row r="294" spans="1:16">
      <c r="A294" s="445"/>
      <c r="B294" s="445"/>
      <c r="C294" s="445"/>
      <c r="D294" s="445"/>
      <c r="E294" s="277"/>
      <c r="F294" s="445"/>
      <c r="G294" s="445"/>
      <c r="H294" s="445"/>
      <c r="I294" s="445"/>
      <c r="J294" s="445"/>
      <c r="K294" s="1136"/>
      <c r="L294" s="1136"/>
      <c r="M294" s="445"/>
      <c r="N294" s="277"/>
      <c r="O294" s="277"/>
      <c r="P294" s="445"/>
    </row>
    <row r="295" spans="1:16">
      <c r="A295" s="445"/>
      <c r="B295" s="445"/>
      <c r="C295" s="445"/>
      <c r="D295" s="445"/>
      <c r="E295" s="277"/>
      <c r="F295" s="445"/>
      <c r="G295" s="445"/>
      <c r="H295" s="445"/>
      <c r="I295" s="445"/>
      <c r="J295" s="445"/>
      <c r="K295" s="1136"/>
      <c r="L295" s="1136"/>
      <c r="M295" s="445"/>
      <c r="N295" s="277"/>
      <c r="O295" s="277"/>
      <c r="P295" s="445"/>
    </row>
    <row r="296" spans="1:16">
      <c r="A296" s="445"/>
      <c r="B296" s="445"/>
      <c r="C296" s="445"/>
      <c r="D296" s="445"/>
      <c r="E296" s="277"/>
      <c r="F296" s="445"/>
      <c r="G296" s="445"/>
      <c r="H296" s="445"/>
      <c r="I296" s="445"/>
      <c r="J296" s="445"/>
      <c r="K296" s="1136"/>
      <c r="L296" s="1136"/>
      <c r="M296" s="445"/>
      <c r="N296" s="277"/>
      <c r="O296" s="277"/>
      <c r="P296" s="445"/>
    </row>
    <row r="297" spans="1:16">
      <c r="A297" s="445"/>
      <c r="B297" s="445"/>
      <c r="C297" s="445"/>
      <c r="D297" s="445"/>
      <c r="E297" s="277"/>
      <c r="F297" s="445"/>
      <c r="G297" s="445"/>
      <c r="H297" s="445"/>
      <c r="I297" s="445"/>
      <c r="J297" s="445"/>
      <c r="K297" s="1136"/>
      <c r="L297" s="1136"/>
      <c r="M297" s="445"/>
      <c r="N297" s="277"/>
      <c r="O297" s="277"/>
      <c r="P297" s="445"/>
    </row>
    <row r="298" spans="1:16">
      <c r="A298" s="445"/>
      <c r="B298" s="445"/>
      <c r="C298" s="445"/>
      <c r="D298" s="445"/>
      <c r="E298" s="277"/>
      <c r="F298" s="445"/>
      <c r="G298" s="445"/>
      <c r="H298" s="445"/>
      <c r="I298" s="445"/>
      <c r="J298" s="445"/>
      <c r="K298" s="1136"/>
      <c r="L298" s="1136"/>
      <c r="M298" s="445"/>
      <c r="N298" s="277"/>
      <c r="O298" s="277"/>
      <c r="P298" s="445"/>
    </row>
    <row r="299" spans="1:16">
      <c r="A299" s="445"/>
      <c r="B299" s="445"/>
      <c r="C299" s="445"/>
      <c r="D299" s="445"/>
      <c r="E299" s="277"/>
      <c r="F299" s="445"/>
      <c r="G299" s="445"/>
      <c r="H299" s="445"/>
      <c r="I299" s="445"/>
      <c r="J299" s="445"/>
      <c r="K299" s="1136"/>
      <c r="L299" s="1136"/>
      <c r="M299" s="445"/>
      <c r="N299" s="277"/>
      <c r="O299" s="277"/>
      <c r="P299" s="445"/>
    </row>
    <row r="300" spans="1:16">
      <c r="A300" s="445"/>
      <c r="B300" s="445"/>
      <c r="C300" s="445"/>
      <c r="D300" s="445"/>
      <c r="E300" s="277"/>
      <c r="F300" s="445"/>
      <c r="G300" s="445"/>
      <c r="H300" s="445"/>
      <c r="I300" s="445"/>
      <c r="J300" s="445"/>
      <c r="K300" s="1136"/>
      <c r="L300" s="1136"/>
      <c r="M300" s="445"/>
      <c r="N300" s="277"/>
      <c r="O300" s="277"/>
      <c r="P300" s="445"/>
    </row>
    <row r="301" spans="1:16">
      <c r="A301" s="445"/>
      <c r="B301" s="445"/>
      <c r="C301" s="445"/>
      <c r="D301" s="445"/>
      <c r="E301" s="277"/>
      <c r="F301" s="445"/>
      <c r="G301" s="445"/>
      <c r="H301" s="445"/>
      <c r="I301" s="445"/>
      <c r="J301" s="445"/>
      <c r="K301" s="1136"/>
      <c r="L301" s="1136"/>
      <c r="M301" s="445"/>
      <c r="N301" s="277"/>
      <c r="O301" s="277"/>
      <c r="P301" s="445"/>
    </row>
    <row r="302" spans="1:16">
      <c r="A302" s="445"/>
      <c r="B302" s="445"/>
      <c r="C302" s="445"/>
      <c r="D302" s="445"/>
      <c r="E302" s="277"/>
      <c r="F302" s="445"/>
      <c r="G302" s="445"/>
      <c r="H302" s="445"/>
      <c r="I302" s="445"/>
      <c r="J302" s="445"/>
      <c r="K302" s="1136"/>
      <c r="L302" s="1136"/>
      <c r="M302" s="445"/>
      <c r="N302" s="277"/>
      <c r="O302" s="277"/>
      <c r="P302" s="445"/>
    </row>
    <row r="303" spans="1:16">
      <c r="A303" s="445"/>
      <c r="B303" s="445"/>
      <c r="C303" s="445"/>
      <c r="D303" s="445"/>
      <c r="E303" s="277"/>
      <c r="F303" s="445"/>
      <c r="G303" s="445"/>
      <c r="H303" s="445"/>
      <c r="I303" s="445"/>
      <c r="J303" s="445"/>
      <c r="K303" s="1136"/>
      <c r="L303" s="1136"/>
      <c r="M303" s="445"/>
      <c r="N303" s="277"/>
      <c r="O303" s="277"/>
      <c r="P303" s="445"/>
    </row>
    <row r="304" spans="1:16">
      <c r="A304" s="445"/>
      <c r="B304" s="445"/>
      <c r="C304" s="445"/>
      <c r="D304" s="445"/>
      <c r="E304" s="277"/>
      <c r="F304" s="445"/>
      <c r="G304" s="445"/>
      <c r="H304" s="445"/>
      <c r="I304" s="445"/>
      <c r="J304" s="445"/>
      <c r="K304" s="1136"/>
      <c r="L304" s="1136"/>
      <c r="M304" s="445"/>
      <c r="N304" s="277"/>
      <c r="O304" s="277"/>
      <c r="P304" s="445"/>
    </row>
    <row r="305" spans="1:16">
      <c r="A305" s="445"/>
      <c r="B305" s="445"/>
      <c r="C305" s="445"/>
      <c r="D305" s="445"/>
      <c r="E305" s="277"/>
      <c r="F305" s="445"/>
      <c r="G305" s="445"/>
      <c r="H305" s="445"/>
      <c r="I305" s="445"/>
      <c r="J305" s="445"/>
      <c r="K305" s="1136"/>
      <c r="L305" s="1136"/>
      <c r="M305" s="445"/>
      <c r="N305" s="277"/>
      <c r="O305" s="277"/>
      <c r="P305" s="445"/>
    </row>
    <row r="306" spans="1:16">
      <c r="A306" s="445"/>
      <c r="B306" s="445"/>
      <c r="C306" s="445"/>
      <c r="D306" s="445"/>
      <c r="E306" s="277"/>
      <c r="F306" s="445"/>
      <c r="G306" s="445"/>
      <c r="H306" s="445"/>
      <c r="I306" s="445"/>
      <c r="J306" s="445"/>
      <c r="K306" s="1136"/>
      <c r="L306" s="1136"/>
      <c r="M306" s="445"/>
      <c r="N306" s="277"/>
      <c r="O306" s="277"/>
      <c r="P306" s="445"/>
    </row>
    <row r="307" spans="1:16">
      <c r="A307" s="445"/>
      <c r="B307" s="445"/>
      <c r="C307" s="445"/>
      <c r="D307" s="445"/>
      <c r="E307" s="277"/>
      <c r="F307" s="445"/>
      <c r="G307" s="445"/>
      <c r="H307" s="445"/>
      <c r="I307" s="445"/>
      <c r="J307" s="445"/>
      <c r="K307" s="1136"/>
      <c r="L307" s="1136"/>
      <c r="M307" s="445"/>
      <c r="N307" s="277"/>
      <c r="O307" s="277"/>
      <c r="P307" s="445"/>
    </row>
    <row r="308" spans="1:16">
      <c r="A308" s="445"/>
      <c r="B308" s="445"/>
      <c r="C308" s="445"/>
      <c r="D308" s="445"/>
      <c r="E308" s="277"/>
      <c r="F308" s="445"/>
      <c r="G308" s="445"/>
      <c r="H308" s="445"/>
      <c r="I308" s="445"/>
      <c r="J308" s="445"/>
      <c r="K308" s="1136"/>
      <c r="L308" s="1136"/>
      <c r="M308" s="445"/>
      <c r="N308" s="277"/>
      <c r="O308" s="277"/>
      <c r="P308" s="445"/>
    </row>
    <row r="309" spans="1:16">
      <c r="A309" s="445"/>
      <c r="B309" s="445"/>
      <c r="C309" s="445"/>
      <c r="D309" s="445"/>
      <c r="E309" s="277"/>
      <c r="F309" s="445"/>
      <c r="G309" s="445"/>
      <c r="H309" s="445"/>
      <c r="I309" s="445"/>
      <c r="J309" s="445"/>
      <c r="K309" s="1136"/>
      <c r="L309" s="1136"/>
      <c r="M309" s="445"/>
      <c r="N309" s="277"/>
      <c r="O309" s="277"/>
      <c r="P309" s="445"/>
    </row>
    <row r="310" spans="1:16">
      <c r="A310" s="445"/>
      <c r="B310" s="445"/>
      <c r="C310" s="445"/>
      <c r="D310" s="445"/>
      <c r="E310" s="277"/>
      <c r="F310" s="445"/>
      <c r="G310" s="445"/>
      <c r="H310" s="445"/>
      <c r="I310" s="445"/>
      <c r="J310" s="445"/>
      <c r="K310" s="1136"/>
      <c r="L310" s="1136"/>
      <c r="M310" s="445"/>
      <c r="N310" s="277"/>
      <c r="O310" s="277"/>
      <c r="P310" s="445"/>
    </row>
    <row r="311" spans="1:16">
      <c r="A311" s="445"/>
      <c r="B311" s="445"/>
      <c r="C311" s="445"/>
      <c r="D311" s="445"/>
      <c r="E311" s="277"/>
      <c r="F311" s="445"/>
      <c r="G311" s="445"/>
      <c r="H311" s="445"/>
      <c r="I311" s="445"/>
      <c r="J311" s="445"/>
      <c r="K311" s="1136"/>
      <c r="L311" s="1136"/>
      <c r="M311" s="445"/>
      <c r="N311" s="277"/>
      <c r="O311" s="277"/>
      <c r="P311" s="445"/>
    </row>
    <row r="312" spans="1:16">
      <c r="A312" s="445"/>
      <c r="B312" s="445"/>
      <c r="C312" s="445"/>
      <c r="D312" s="445"/>
      <c r="E312" s="277"/>
      <c r="F312" s="445"/>
      <c r="G312" s="445"/>
      <c r="H312" s="445"/>
      <c r="I312" s="445"/>
      <c r="J312" s="445"/>
      <c r="K312" s="1136"/>
      <c r="L312" s="1136"/>
      <c r="M312" s="445"/>
      <c r="N312" s="277"/>
      <c r="O312" s="277"/>
      <c r="P312" s="445"/>
    </row>
    <row r="313" spans="1:16">
      <c r="A313" s="445"/>
      <c r="B313" s="445"/>
      <c r="C313" s="445"/>
      <c r="D313" s="445"/>
      <c r="E313" s="277"/>
      <c r="F313" s="445"/>
      <c r="G313" s="445"/>
      <c r="H313" s="445"/>
      <c r="I313" s="445"/>
      <c r="J313" s="445"/>
      <c r="K313" s="1136"/>
      <c r="L313" s="1136"/>
      <c r="M313" s="445"/>
      <c r="N313" s="277"/>
      <c r="O313" s="277"/>
      <c r="P313" s="445"/>
    </row>
    <row r="314" spans="1:16">
      <c r="A314" s="445"/>
      <c r="B314" s="445"/>
      <c r="C314" s="445"/>
      <c r="D314" s="445"/>
      <c r="E314" s="277"/>
      <c r="F314" s="445"/>
      <c r="G314" s="445"/>
      <c r="H314" s="445"/>
      <c r="I314" s="445"/>
      <c r="J314" s="445"/>
      <c r="K314" s="1136"/>
      <c r="L314" s="1136"/>
      <c r="M314" s="445"/>
      <c r="N314" s="277"/>
      <c r="O314" s="277"/>
      <c r="P314" s="445"/>
    </row>
    <row r="315" spans="1:16">
      <c r="A315" s="445"/>
      <c r="B315" s="445"/>
      <c r="C315" s="445"/>
      <c r="D315" s="445"/>
      <c r="E315" s="277"/>
      <c r="F315" s="445"/>
      <c r="G315" s="445"/>
      <c r="H315" s="445"/>
      <c r="I315" s="445"/>
      <c r="J315" s="445"/>
      <c r="K315" s="1136"/>
      <c r="L315" s="1136"/>
      <c r="M315" s="445"/>
      <c r="N315" s="277"/>
      <c r="O315" s="277"/>
      <c r="P315" s="445"/>
    </row>
    <row r="316" spans="1:16">
      <c r="A316" s="445"/>
      <c r="B316" s="445"/>
      <c r="C316" s="445"/>
      <c r="D316" s="445"/>
      <c r="E316" s="277"/>
      <c r="F316" s="445"/>
      <c r="G316" s="445"/>
      <c r="H316" s="445"/>
      <c r="I316" s="445"/>
      <c r="J316" s="445"/>
      <c r="K316" s="1136"/>
      <c r="L316" s="1136"/>
      <c r="M316" s="445"/>
      <c r="N316" s="277"/>
      <c r="O316" s="277"/>
      <c r="P316" s="445"/>
    </row>
    <row r="317" spans="1:16">
      <c r="A317" s="445"/>
      <c r="B317" s="445"/>
      <c r="C317" s="445"/>
      <c r="D317" s="445"/>
      <c r="E317" s="277"/>
      <c r="F317" s="445"/>
      <c r="G317" s="445"/>
      <c r="H317" s="445"/>
      <c r="I317" s="445"/>
      <c r="J317" s="445"/>
      <c r="K317" s="1136"/>
      <c r="L317" s="1136"/>
      <c r="M317" s="445"/>
      <c r="N317" s="277"/>
      <c r="O317" s="277"/>
      <c r="P317" s="445"/>
    </row>
    <row r="318" spans="1:16">
      <c r="A318" s="445"/>
      <c r="B318" s="445"/>
      <c r="C318" s="445"/>
      <c r="D318" s="445"/>
      <c r="E318" s="277"/>
      <c r="F318" s="445"/>
      <c r="G318" s="445"/>
      <c r="H318" s="445"/>
      <c r="I318" s="445"/>
      <c r="J318" s="445"/>
      <c r="K318" s="1136"/>
      <c r="L318" s="1136"/>
      <c r="M318" s="445"/>
      <c r="N318" s="277"/>
      <c r="O318" s="277"/>
      <c r="P318" s="445"/>
    </row>
    <row r="319" spans="1:16">
      <c r="A319" s="445"/>
      <c r="B319" s="445"/>
      <c r="C319" s="445"/>
      <c r="D319" s="445"/>
      <c r="E319" s="277"/>
      <c r="F319" s="445"/>
      <c r="G319" s="445"/>
      <c r="H319" s="445"/>
      <c r="I319" s="445"/>
      <c r="J319" s="445"/>
      <c r="K319" s="1136"/>
      <c r="L319" s="1136"/>
      <c r="M319" s="445"/>
      <c r="N319" s="277"/>
      <c r="O319" s="277"/>
      <c r="P319" s="445"/>
    </row>
    <row r="320" spans="1:16">
      <c r="A320" s="445"/>
      <c r="B320" s="445"/>
      <c r="C320" s="445"/>
      <c r="D320" s="445"/>
      <c r="E320" s="277"/>
      <c r="F320" s="445"/>
      <c r="G320" s="445"/>
      <c r="H320" s="445"/>
      <c r="I320" s="445"/>
      <c r="J320" s="445"/>
      <c r="K320" s="1136"/>
      <c r="L320" s="1136"/>
      <c r="M320" s="445"/>
      <c r="N320" s="277"/>
      <c r="O320" s="277"/>
      <c r="P320" s="445"/>
    </row>
    <row r="321" spans="1:16">
      <c r="A321" s="445"/>
      <c r="B321" s="445"/>
      <c r="C321" s="445"/>
      <c r="D321" s="445"/>
      <c r="E321" s="277"/>
      <c r="F321" s="445"/>
      <c r="G321" s="445"/>
      <c r="H321" s="445"/>
      <c r="I321" s="445"/>
      <c r="J321" s="445"/>
      <c r="K321" s="1136"/>
      <c r="L321" s="1136"/>
      <c r="M321" s="445"/>
      <c r="N321" s="277"/>
      <c r="O321" s="277"/>
      <c r="P321" s="445"/>
    </row>
    <row r="322" spans="1:16">
      <c r="A322" s="445"/>
      <c r="B322" s="445"/>
      <c r="C322" s="445"/>
      <c r="D322" s="445"/>
      <c r="E322" s="277"/>
      <c r="F322" s="445"/>
      <c r="G322" s="445"/>
      <c r="H322" s="445"/>
      <c r="I322" s="445"/>
      <c r="J322" s="445"/>
      <c r="K322" s="1136"/>
      <c r="L322" s="1136"/>
      <c r="M322" s="445"/>
      <c r="N322" s="277"/>
      <c r="O322" s="277"/>
      <c r="P322" s="445"/>
    </row>
    <row r="323" spans="1:16">
      <c r="A323" s="445"/>
      <c r="B323" s="445"/>
      <c r="C323" s="445"/>
      <c r="D323" s="445"/>
      <c r="E323" s="277"/>
      <c r="F323" s="445"/>
      <c r="G323" s="445"/>
      <c r="H323" s="445"/>
      <c r="I323" s="445"/>
      <c r="J323" s="445"/>
      <c r="K323" s="1136"/>
      <c r="L323" s="1136"/>
      <c r="M323" s="445"/>
      <c r="N323" s="277"/>
      <c r="O323" s="277"/>
      <c r="P323" s="445"/>
    </row>
    <row r="324" spans="1:16">
      <c r="A324" s="445"/>
      <c r="B324" s="445"/>
      <c r="C324" s="445"/>
      <c r="D324" s="445"/>
      <c r="E324" s="277"/>
      <c r="F324" s="445"/>
      <c r="G324" s="445"/>
      <c r="H324" s="445"/>
      <c r="I324" s="445"/>
      <c r="J324" s="445"/>
      <c r="K324" s="1136"/>
      <c r="L324" s="1136"/>
      <c r="M324" s="445"/>
      <c r="N324" s="277"/>
      <c r="O324" s="277"/>
      <c r="P324" s="445"/>
    </row>
    <row r="325" spans="1:16">
      <c r="A325" s="445"/>
      <c r="B325" s="445"/>
      <c r="C325" s="445"/>
      <c r="D325" s="445"/>
      <c r="E325" s="277"/>
      <c r="F325" s="445"/>
      <c r="G325" s="445"/>
      <c r="H325" s="445"/>
      <c r="I325" s="445"/>
      <c r="J325" s="445"/>
      <c r="K325" s="1136"/>
      <c r="L325" s="1136"/>
      <c r="M325" s="445"/>
      <c r="N325" s="277"/>
      <c r="O325" s="277"/>
      <c r="P325" s="445"/>
    </row>
    <row r="326" spans="1:16">
      <c r="A326" s="445"/>
      <c r="B326" s="445"/>
      <c r="C326" s="445"/>
      <c r="D326" s="445"/>
      <c r="E326" s="277"/>
      <c r="F326" s="445"/>
      <c r="G326" s="445"/>
      <c r="H326" s="445"/>
      <c r="I326" s="445"/>
      <c r="J326" s="445"/>
      <c r="K326" s="1136"/>
      <c r="L326" s="1136"/>
      <c r="M326" s="445"/>
      <c r="N326" s="277"/>
      <c r="O326" s="277"/>
      <c r="P326" s="445"/>
    </row>
    <row r="327" spans="1:16">
      <c r="A327" s="445"/>
      <c r="B327" s="445"/>
      <c r="C327" s="445"/>
      <c r="D327" s="445"/>
      <c r="E327" s="277"/>
      <c r="F327" s="445"/>
      <c r="G327" s="445"/>
      <c r="H327" s="445"/>
      <c r="I327" s="445"/>
      <c r="J327" s="445"/>
      <c r="K327" s="1136"/>
      <c r="L327" s="1136"/>
      <c r="M327" s="445"/>
      <c r="N327" s="277"/>
      <c r="O327" s="277"/>
      <c r="P327" s="445"/>
    </row>
    <row r="328" spans="1:16">
      <c r="A328" s="445"/>
      <c r="B328" s="445"/>
      <c r="C328" s="445"/>
      <c r="D328" s="445"/>
      <c r="E328" s="277"/>
      <c r="F328" s="445"/>
      <c r="G328" s="445"/>
      <c r="H328" s="445"/>
      <c r="I328" s="445"/>
      <c r="J328" s="445"/>
      <c r="K328" s="1136"/>
      <c r="L328" s="1136"/>
      <c r="M328" s="445"/>
      <c r="N328" s="277"/>
      <c r="O328" s="277"/>
      <c r="P328" s="445"/>
    </row>
    <row r="329" spans="1:16">
      <c r="A329" s="445"/>
      <c r="B329" s="445"/>
      <c r="C329" s="445"/>
      <c r="D329" s="445"/>
      <c r="E329" s="277"/>
      <c r="F329" s="445"/>
      <c r="G329" s="445"/>
      <c r="H329" s="445"/>
      <c r="I329" s="445"/>
      <c r="J329" s="445"/>
      <c r="K329" s="1136"/>
      <c r="L329" s="1136"/>
      <c r="M329" s="445"/>
      <c r="N329" s="277"/>
      <c r="O329" s="277"/>
      <c r="P329" s="445"/>
    </row>
    <row r="330" spans="1:16">
      <c r="A330" s="445"/>
      <c r="B330" s="445"/>
      <c r="C330" s="445"/>
      <c r="D330" s="445"/>
      <c r="E330" s="277"/>
      <c r="F330" s="445"/>
      <c r="G330" s="445"/>
      <c r="H330" s="445"/>
      <c r="I330" s="445"/>
      <c r="J330" s="445"/>
      <c r="K330" s="1136"/>
      <c r="L330" s="1136"/>
      <c r="M330" s="445"/>
      <c r="N330" s="277"/>
      <c r="O330" s="277"/>
      <c r="P330" s="445"/>
    </row>
    <row r="331" spans="1:16">
      <c r="A331" s="445"/>
      <c r="B331" s="445"/>
      <c r="C331" s="445"/>
      <c r="D331" s="445"/>
      <c r="E331" s="277"/>
      <c r="F331" s="445"/>
      <c r="G331" s="445"/>
      <c r="H331" s="445"/>
      <c r="I331" s="445"/>
      <c r="J331" s="445"/>
      <c r="K331" s="1136"/>
      <c r="L331" s="1136"/>
      <c r="M331" s="445"/>
      <c r="N331" s="277"/>
      <c r="O331" s="277"/>
      <c r="P331" s="445"/>
    </row>
    <row r="332" spans="1:16">
      <c r="A332" s="445"/>
      <c r="B332" s="445"/>
      <c r="C332" s="445"/>
      <c r="D332" s="445"/>
      <c r="E332" s="277"/>
      <c r="F332" s="445"/>
      <c r="G332" s="445"/>
      <c r="H332" s="445"/>
      <c r="I332" s="445"/>
      <c r="J332" s="445"/>
      <c r="K332" s="1136"/>
      <c r="L332" s="1136"/>
      <c r="M332" s="445"/>
      <c r="N332" s="277"/>
      <c r="O332" s="277"/>
      <c r="P332" s="445"/>
    </row>
    <row r="333" spans="1:16">
      <c r="A333" s="445"/>
      <c r="B333" s="445"/>
      <c r="C333" s="445"/>
      <c r="D333" s="445"/>
      <c r="E333" s="277"/>
      <c r="F333" s="445"/>
      <c r="G333" s="445"/>
      <c r="H333" s="445"/>
      <c r="I333" s="445"/>
      <c r="J333" s="445"/>
      <c r="K333" s="1136"/>
      <c r="L333" s="1136"/>
      <c r="M333" s="445"/>
      <c r="N333" s="277"/>
      <c r="O333" s="277"/>
      <c r="P333" s="445"/>
    </row>
    <row r="334" spans="1:16">
      <c r="A334" s="445"/>
      <c r="B334" s="445"/>
      <c r="C334" s="445"/>
      <c r="D334" s="445"/>
      <c r="E334" s="277"/>
      <c r="F334" s="445"/>
      <c r="G334" s="445"/>
      <c r="H334" s="445"/>
      <c r="I334" s="445"/>
      <c r="J334" s="445"/>
      <c r="K334" s="1136"/>
      <c r="L334" s="1136"/>
      <c r="M334" s="445"/>
      <c r="N334" s="277"/>
      <c r="O334" s="277"/>
      <c r="P334" s="445"/>
    </row>
    <row r="335" spans="1:16">
      <c r="A335" s="445"/>
      <c r="B335" s="445"/>
      <c r="C335" s="445"/>
      <c r="D335" s="445"/>
      <c r="E335" s="277"/>
      <c r="F335" s="445"/>
      <c r="G335" s="445"/>
      <c r="H335" s="445"/>
      <c r="I335" s="445"/>
      <c r="J335" s="445"/>
      <c r="K335" s="1136"/>
      <c r="L335" s="1136"/>
      <c r="M335" s="445"/>
      <c r="N335" s="277"/>
      <c r="O335" s="277"/>
      <c r="P335" s="445"/>
    </row>
    <row r="336" spans="1:16">
      <c r="A336" s="445"/>
      <c r="B336" s="445"/>
      <c r="C336" s="445"/>
      <c r="D336" s="445"/>
      <c r="E336" s="277"/>
      <c r="F336" s="445"/>
      <c r="G336" s="445"/>
      <c r="H336" s="445"/>
      <c r="I336" s="445"/>
      <c r="J336" s="445"/>
      <c r="K336" s="1136"/>
      <c r="L336" s="1136"/>
      <c r="M336" s="445"/>
      <c r="N336" s="277"/>
      <c r="O336" s="277"/>
      <c r="P336" s="445"/>
    </row>
    <row r="337" spans="1:16">
      <c r="A337" s="445"/>
      <c r="B337" s="445"/>
      <c r="C337" s="445"/>
      <c r="D337" s="445"/>
      <c r="E337" s="277"/>
      <c r="F337" s="445"/>
      <c r="G337" s="445"/>
      <c r="H337" s="445"/>
      <c r="I337" s="445"/>
      <c r="J337" s="445"/>
      <c r="K337" s="1136"/>
      <c r="L337" s="1136"/>
      <c r="M337" s="445"/>
      <c r="N337" s="277"/>
      <c r="O337" s="277"/>
      <c r="P337" s="445"/>
    </row>
    <row r="338" spans="1:16">
      <c r="A338" s="445"/>
      <c r="B338" s="445"/>
      <c r="C338" s="445"/>
      <c r="D338" s="445"/>
      <c r="E338" s="277"/>
      <c r="F338" s="445"/>
      <c r="G338" s="445"/>
      <c r="H338" s="445"/>
      <c r="I338" s="445"/>
      <c r="J338" s="445"/>
      <c r="K338" s="1136"/>
      <c r="L338" s="1136"/>
      <c r="M338" s="445"/>
      <c r="N338" s="277"/>
      <c r="O338" s="277"/>
      <c r="P338" s="445"/>
    </row>
    <row r="339" spans="1:16">
      <c r="A339" s="445"/>
      <c r="B339" s="445"/>
      <c r="C339" s="445"/>
      <c r="D339" s="445"/>
      <c r="E339" s="277"/>
      <c r="F339" s="445"/>
      <c r="G339" s="445"/>
      <c r="H339" s="445"/>
      <c r="I339" s="445"/>
      <c r="J339" s="445"/>
      <c r="K339" s="1136"/>
      <c r="L339" s="1136"/>
      <c r="M339" s="445"/>
      <c r="N339" s="277"/>
      <c r="O339" s="277"/>
      <c r="P339" s="445"/>
    </row>
    <row r="340" spans="1:16">
      <c r="A340" s="445"/>
      <c r="B340" s="445"/>
      <c r="C340" s="445"/>
      <c r="D340" s="445"/>
      <c r="E340" s="277"/>
      <c r="F340" s="445"/>
      <c r="G340" s="445"/>
      <c r="H340" s="445"/>
      <c r="I340" s="445"/>
      <c r="J340" s="445"/>
      <c r="K340" s="1136"/>
      <c r="L340" s="1136"/>
      <c r="M340" s="445"/>
      <c r="N340" s="277"/>
      <c r="O340" s="277"/>
      <c r="P340" s="445"/>
    </row>
    <row r="341" spans="1:16">
      <c r="A341" s="445"/>
      <c r="B341" s="445"/>
      <c r="C341" s="445"/>
      <c r="D341" s="445"/>
      <c r="E341" s="277"/>
      <c r="F341" s="445"/>
      <c r="G341" s="445"/>
      <c r="H341" s="445"/>
      <c r="I341" s="445"/>
      <c r="J341" s="445"/>
      <c r="K341" s="1136"/>
      <c r="L341" s="1136"/>
      <c r="M341" s="445"/>
      <c r="N341" s="277"/>
      <c r="O341" s="277"/>
      <c r="P341" s="445"/>
    </row>
    <row r="342" spans="1:16">
      <c r="A342" s="445"/>
      <c r="B342" s="445"/>
      <c r="C342" s="445"/>
      <c r="D342" s="445"/>
      <c r="E342" s="277"/>
      <c r="F342" s="445"/>
      <c r="G342" s="445"/>
      <c r="H342" s="445"/>
      <c r="I342" s="445"/>
      <c r="J342" s="445"/>
      <c r="K342" s="1136"/>
      <c r="L342" s="1136"/>
      <c r="M342" s="445"/>
      <c r="N342" s="277"/>
      <c r="O342" s="277"/>
      <c r="P342" s="445"/>
    </row>
    <row r="343" spans="1:16">
      <c r="A343" s="445"/>
      <c r="B343" s="445"/>
      <c r="C343" s="445"/>
      <c r="D343" s="445"/>
      <c r="E343" s="277"/>
      <c r="F343" s="445"/>
      <c r="G343" s="445"/>
      <c r="H343" s="445"/>
      <c r="I343" s="445"/>
      <c r="J343" s="445"/>
      <c r="K343" s="1136"/>
      <c r="L343" s="1136"/>
      <c r="M343" s="445"/>
      <c r="N343" s="277"/>
      <c r="O343" s="277"/>
      <c r="P343" s="445"/>
    </row>
    <row r="344" spans="1:16">
      <c r="A344" s="445"/>
      <c r="B344" s="445"/>
      <c r="C344" s="445"/>
      <c r="D344" s="445"/>
      <c r="E344" s="277"/>
      <c r="F344" s="445"/>
      <c r="G344" s="445"/>
      <c r="H344" s="445"/>
      <c r="I344" s="445"/>
      <c r="J344" s="445"/>
      <c r="K344" s="1136"/>
      <c r="L344" s="1136"/>
      <c r="M344" s="445"/>
      <c r="N344" s="277"/>
      <c r="O344" s="277"/>
      <c r="P344" s="445"/>
    </row>
    <row r="345" spans="1:16">
      <c r="A345" s="445"/>
      <c r="B345" s="445"/>
      <c r="C345" s="445"/>
      <c r="D345" s="445"/>
      <c r="E345" s="277"/>
      <c r="F345" s="445"/>
      <c r="G345" s="445"/>
      <c r="H345" s="445"/>
      <c r="I345" s="445"/>
      <c r="J345" s="445"/>
      <c r="K345" s="1136"/>
      <c r="L345" s="1136"/>
      <c r="M345" s="445"/>
      <c r="N345" s="277"/>
      <c r="O345" s="277"/>
      <c r="P345" s="445"/>
    </row>
    <row r="346" spans="1:16">
      <c r="A346" s="445"/>
      <c r="B346" s="445"/>
      <c r="C346" s="445"/>
      <c r="D346" s="445"/>
      <c r="E346" s="277"/>
      <c r="F346" s="445"/>
      <c r="G346" s="445"/>
      <c r="H346" s="445"/>
      <c r="I346" s="445"/>
      <c r="J346" s="445"/>
      <c r="K346" s="1136"/>
      <c r="L346" s="1136"/>
      <c r="M346" s="445"/>
      <c r="N346" s="277"/>
      <c r="O346" s="277"/>
      <c r="P346" s="445"/>
    </row>
    <row r="347" spans="1:16">
      <c r="A347" s="445"/>
      <c r="B347" s="445"/>
      <c r="C347" s="445"/>
      <c r="D347" s="445"/>
      <c r="E347" s="277"/>
      <c r="F347" s="445"/>
      <c r="G347" s="445"/>
      <c r="H347" s="445"/>
      <c r="I347" s="445"/>
      <c r="J347" s="445"/>
      <c r="K347" s="1136"/>
      <c r="L347" s="1136"/>
      <c r="M347" s="445"/>
      <c r="N347" s="277"/>
      <c r="O347" s="277"/>
      <c r="P347" s="445"/>
    </row>
    <row r="348" spans="1:16">
      <c r="A348" s="445"/>
      <c r="B348" s="445"/>
      <c r="C348" s="445"/>
      <c r="D348" s="445"/>
      <c r="E348" s="277"/>
      <c r="F348" s="445"/>
      <c r="G348" s="445"/>
      <c r="H348" s="445"/>
      <c r="I348" s="445"/>
      <c r="J348" s="445"/>
      <c r="K348" s="1136"/>
      <c r="L348" s="1136"/>
      <c r="M348" s="445"/>
      <c r="N348" s="277"/>
      <c r="O348" s="277"/>
      <c r="P348" s="445"/>
    </row>
    <row r="349" spans="1:16">
      <c r="A349" s="445"/>
      <c r="B349" s="445"/>
      <c r="C349" s="445"/>
      <c r="D349" s="445"/>
      <c r="E349" s="277"/>
      <c r="F349" s="445"/>
      <c r="G349" s="445"/>
      <c r="H349" s="445"/>
      <c r="I349" s="445"/>
      <c r="J349" s="445"/>
      <c r="K349" s="1136"/>
      <c r="L349" s="1136"/>
      <c r="M349" s="445"/>
      <c r="N349" s="277"/>
      <c r="O349" s="277"/>
      <c r="P349" s="445"/>
    </row>
    <row r="350" spans="1:16">
      <c r="A350" s="445"/>
      <c r="B350" s="445"/>
      <c r="C350" s="445"/>
      <c r="D350" s="445"/>
      <c r="E350" s="277"/>
      <c r="F350" s="445"/>
      <c r="G350" s="445"/>
      <c r="H350" s="445"/>
      <c r="I350" s="445"/>
      <c r="J350" s="445"/>
      <c r="K350" s="1136"/>
      <c r="L350" s="1136"/>
      <c r="M350" s="445"/>
      <c r="N350" s="277"/>
      <c r="O350" s="277"/>
      <c r="P350" s="445"/>
    </row>
    <row r="351" spans="1:16">
      <c r="A351" s="445"/>
      <c r="B351" s="445"/>
      <c r="C351" s="445"/>
      <c r="D351" s="445"/>
      <c r="E351" s="277"/>
      <c r="F351" s="445"/>
      <c r="G351" s="445"/>
      <c r="H351" s="445"/>
      <c r="I351" s="445"/>
      <c r="J351" s="445"/>
      <c r="K351" s="1136"/>
      <c r="L351" s="1136"/>
      <c r="M351" s="445"/>
      <c r="N351" s="277"/>
      <c r="O351" s="277"/>
      <c r="P351" s="445"/>
    </row>
    <row r="352" spans="1:16">
      <c r="A352" s="445"/>
      <c r="B352" s="445"/>
      <c r="C352" s="445"/>
      <c r="D352" s="445"/>
      <c r="E352" s="277"/>
      <c r="F352" s="445"/>
      <c r="G352" s="445"/>
      <c r="H352" s="445"/>
      <c r="I352" s="445"/>
      <c r="J352" s="445"/>
      <c r="K352" s="1136"/>
      <c r="L352" s="1136"/>
      <c r="M352" s="445"/>
      <c r="N352" s="277"/>
      <c r="O352" s="277"/>
      <c r="P352" s="445"/>
    </row>
    <row r="353" spans="1:16">
      <c r="A353" s="445"/>
      <c r="B353" s="445"/>
      <c r="C353" s="445"/>
      <c r="D353" s="445"/>
      <c r="E353" s="277"/>
      <c r="F353" s="445"/>
      <c r="G353" s="445"/>
      <c r="H353" s="445"/>
      <c r="I353" s="445"/>
      <c r="J353" s="445"/>
      <c r="K353" s="1136"/>
      <c r="L353" s="1136"/>
      <c r="M353" s="445"/>
      <c r="N353" s="277"/>
      <c r="O353" s="277"/>
      <c r="P353" s="445"/>
    </row>
    <row r="354" spans="1:16">
      <c r="A354" s="445"/>
      <c r="B354" s="445"/>
      <c r="C354" s="445"/>
      <c r="D354" s="445"/>
      <c r="E354" s="277"/>
      <c r="F354" s="445"/>
      <c r="G354" s="445"/>
      <c r="H354" s="445"/>
      <c r="I354" s="445"/>
      <c r="J354" s="445"/>
      <c r="K354" s="1136"/>
      <c r="L354" s="1136"/>
      <c r="M354" s="445"/>
      <c r="N354" s="277"/>
      <c r="O354" s="277"/>
      <c r="P354" s="445"/>
    </row>
    <row r="355" spans="1:16">
      <c r="A355" s="445"/>
      <c r="B355" s="445"/>
      <c r="C355" s="445"/>
      <c r="D355" s="445"/>
      <c r="E355" s="277"/>
      <c r="F355" s="445"/>
      <c r="G355" s="445"/>
      <c r="H355" s="445"/>
      <c r="I355" s="445"/>
      <c r="J355" s="445"/>
      <c r="K355" s="1136"/>
      <c r="L355" s="1136"/>
      <c r="M355" s="445"/>
      <c r="N355" s="277"/>
      <c r="O355" s="277"/>
      <c r="P355" s="445"/>
    </row>
    <row r="356" spans="1:16">
      <c r="A356" s="445"/>
      <c r="B356" s="445"/>
      <c r="C356" s="445"/>
      <c r="D356" s="445"/>
      <c r="E356" s="277"/>
      <c r="F356" s="445"/>
      <c r="G356" s="445"/>
      <c r="H356" s="445"/>
      <c r="I356" s="445"/>
      <c r="J356" s="445"/>
      <c r="K356" s="1136"/>
      <c r="L356" s="1136"/>
      <c r="M356" s="445"/>
      <c r="N356" s="277"/>
      <c r="O356" s="277"/>
      <c r="P356" s="445"/>
    </row>
    <row r="357" spans="1:16">
      <c r="A357" s="445"/>
      <c r="B357" s="445"/>
      <c r="C357" s="445"/>
      <c r="D357" s="445"/>
      <c r="E357" s="277"/>
      <c r="F357" s="445"/>
      <c r="G357" s="445"/>
      <c r="H357" s="445"/>
      <c r="I357" s="445"/>
      <c r="J357" s="445"/>
      <c r="K357" s="1136"/>
      <c r="L357" s="1136"/>
      <c r="M357" s="445"/>
      <c r="N357" s="277"/>
      <c r="O357" s="277"/>
      <c r="P357" s="445"/>
    </row>
    <row r="358" spans="1:16">
      <c r="A358" s="445"/>
      <c r="B358" s="445"/>
      <c r="C358" s="445"/>
      <c r="D358" s="445"/>
      <c r="E358" s="277"/>
      <c r="F358" s="445"/>
      <c r="G358" s="445"/>
      <c r="H358" s="445"/>
      <c r="I358" s="445"/>
      <c r="J358" s="445"/>
      <c r="K358" s="1136"/>
      <c r="L358" s="1136"/>
      <c r="M358" s="445"/>
      <c r="N358" s="277"/>
      <c r="O358" s="277"/>
      <c r="P358" s="445"/>
    </row>
    <row r="359" spans="1:16">
      <c r="A359" s="445"/>
      <c r="B359" s="445"/>
      <c r="C359" s="445"/>
      <c r="D359" s="445"/>
      <c r="E359" s="277"/>
      <c r="F359" s="445"/>
      <c r="G359" s="445"/>
      <c r="H359" s="445"/>
      <c r="I359" s="445"/>
      <c r="J359" s="445"/>
      <c r="K359" s="1136"/>
      <c r="L359" s="1136"/>
      <c r="M359" s="445"/>
      <c r="N359" s="277"/>
      <c r="O359" s="277"/>
      <c r="P359" s="445"/>
    </row>
    <row r="360" spans="1:16">
      <c r="A360" s="445"/>
      <c r="B360" s="445"/>
      <c r="C360" s="445"/>
      <c r="D360" s="445"/>
      <c r="E360" s="277"/>
      <c r="F360" s="445"/>
      <c r="G360" s="445"/>
      <c r="H360" s="445"/>
      <c r="I360" s="445"/>
      <c r="J360" s="445"/>
      <c r="K360" s="1136"/>
      <c r="L360" s="1136"/>
      <c r="M360" s="445"/>
      <c r="N360" s="277"/>
      <c r="O360" s="277"/>
      <c r="P360" s="445"/>
    </row>
    <row r="361" spans="1:16">
      <c r="A361" s="445"/>
      <c r="B361" s="445"/>
      <c r="C361" s="445"/>
      <c r="D361" s="445"/>
      <c r="E361" s="277"/>
      <c r="F361" s="445"/>
      <c r="G361" s="445"/>
      <c r="H361" s="445"/>
      <c r="I361" s="445"/>
      <c r="J361" s="445"/>
      <c r="K361" s="1136"/>
      <c r="L361" s="1136"/>
      <c r="M361" s="445"/>
      <c r="N361" s="277"/>
      <c r="O361" s="277"/>
      <c r="P361" s="445"/>
    </row>
    <row r="362" spans="1:16">
      <c r="A362" s="445"/>
      <c r="B362" s="445"/>
      <c r="C362" s="445"/>
      <c r="D362" s="445"/>
      <c r="E362" s="277"/>
      <c r="F362" s="445"/>
      <c r="G362" s="445"/>
      <c r="H362" s="445"/>
      <c r="I362" s="445"/>
      <c r="J362" s="445"/>
      <c r="K362" s="1136"/>
      <c r="L362" s="1136"/>
      <c r="M362" s="445"/>
      <c r="N362" s="277"/>
      <c r="O362" s="277"/>
      <c r="P362" s="445"/>
    </row>
    <row r="363" spans="1:16">
      <c r="A363" s="445"/>
      <c r="B363" s="445"/>
      <c r="C363" s="445"/>
      <c r="D363" s="445"/>
      <c r="E363" s="277"/>
      <c r="F363" s="445"/>
      <c r="G363" s="445"/>
      <c r="H363" s="445"/>
      <c r="I363" s="445"/>
      <c r="J363" s="445"/>
      <c r="K363" s="1136"/>
      <c r="L363" s="1136"/>
      <c r="M363" s="445"/>
      <c r="N363" s="277"/>
      <c r="O363" s="277"/>
      <c r="P363" s="445"/>
    </row>
    <row r="364" spans="1:16">
      <c r="A364" s="445"/>
      <c r="B364" s="445"/>
      <c r="C364" s="445"/>
      <c r="D364" s="445"/>
      <c r="E364" s="277"/>
      <c r="F364" s="445"/>
      <c r="G364" s="445"/>
      <c r="H364" s="445"/>
      <c r="I364" s="445"/>
      <c r="J364" s="445"/>
      <c r="K364" s="1136"/>
      <c r="L364" s="1136"/>
      <c r="M364" s="445"/>
      <c r="N364" s="277"/>
      <c r="O364" s="277"/>
      <c r="P364" s="445"/>
    </row>
    <row r="365" spans="1:16">
      <c r="A365" s="445"/>
      <c r="B365" s="445"/>
      <c r="C365" s="445"/>
      <c r="D365" s="445"/>
      <c r="E365" s="277"/>
      <c r="F365" s="445"/>
      <c r="G365" s="445"/>
      <c r="H365" s="445"/>
      <c r="I365" s="445"/>
      <c r="J365" s="445"/>
      <c r="K365" s="1136"/>
      <c r="L365" s="1136"/>
      <c r="M365" s="445"/>
      <c r="N365" s="277"/>
      <c r="O365" s="277"/>
      <c r="P365" s="445"/>
    </row>
    <row r="366" spans="1:16">
      <c r="A366" s="445"/>
      <c r="B366" s="445"/>
      <c r="C366" s="445"/>
      <c r="D366" s="445"/>
      <c r="E366" s="277"/>
      <c r="F366" s="445"/>
      <c r="G366" s="445"/>
      <c r="H366" s="445"/>
      <c r="I366" s="445"/>
      <c r="J366" s="445"/>
      <c r="K366" s="1136"/>
      <c r="L366" s="1136"/>
      <c r="M366" s="445"/>
      <c r="N366" s="277"/>
      <c r="O366" s="277"/>
      <c r="P366" s="445"/>
    </row>
    <row r="367" spans="1:16">
      <c r="A367" s="445"/>
      <c r="B367" s="445"/>
      <c r="C367" s="445"/>
      <c r="D367" s="445"/>
      <c r="E367" s="277"/>
      <c r="F367" s="445"/>
      <c r="G367" s="445"/>
      <c r="H367" s="445"/>
      <c r="I367" s="445"/>
      <c r="J367" s="445"/>
      <c r="K367" s="1136"/>
      <c r="L367" s="1136"/>
      <c r="M367" s="445"/>
      <c r="N367" s="277"/>
      <c r="O367" s="277"/>
      <c r="P367" s="445"/>
    </row>
    <row r="368" spans="1:16">
      <c r="A368" s="445"/>
      <c r="B368" s="445"/>
      <c r="C368" s="445"/>
      <c r="D368" s="445"/>
      <c r="E368" s="277"/>
      <c r="F368" s="445"/>
      <c r="G368" s="445"/>
      <c r="H368" s="445"/>
      <c r="I368" s="445"/>
      <c r="J368" s="445"/>
      <c r="K368" s="1136"/>
      <c r="L368" s="1136"/>
      <c r="M368" s="445"/>
      <c r="N368" s="277"/>
      <c r="O368" s="277"/>
      <c r="P368" s="445"/>
    </row>
    <row r="369" spans="1:16">
      <c r="A369" s="445"/>
      <c r="B369" s="445"/>
      <c r="C369" s="445"/>
      <c r="D369" s="445"/>
      <c r="E369" s="277"/>
      <c r="F369" s="445"/>
      <c r="G369" s="445"/>
      <c r="H369" s="445"/>
      <c r="I369" s="445"/>
      <c r="J369" s="445"/>
      <c r="K369" s="1136"/>
      <c r="L369" s="1136"/>
      <c r="M369" s="445"/>
      <c r="N369" s="277"/>
      <c r="O369" s="277"/>
      <c r="P369" s="445"/>
    </row>
    <row r="370" spans="1:16">
      <c r="A370" s="445"/>
      <c r="B370" s="445"/>
      <c r="C370" s="445"/>
      <c r="D370" s="445"/>
      <c r="E370" s="277"/>
      <c r="F370" s="445"/>
      <c r="G370" s="445"/>
      <c r="H370" s="445"/>
      <c r="I370" s="445"/>
      <c r="J370" s="445"/>
      <c r="K370" s="1136"/>
      <c r="L370" s="1136"/>
      <c r="M370" s="445"/>
      <c r="N370" s="277"/>
      <c r="O370" s="277"/>
      <c r="P370" s="445"/>
    </row>
    <row r="371" spans="1:16">
      <c r="A371" s="445"/>
      <c r="B371" s="445"/>
      <c r="C371" s="445"/>
      <c r="D371" s="445"/>
      <c r="E371" s="277"/>
      <c r="F371" s="445"/>
      <c r="G371" s="445"/>
      <c r="H371" s="445"/>
      <c r="I371" s="445"/>
      <c r="J371" s="445"/>
      <c r="K371" s="1136"/>
      <c r="L371" s="1136"/>
      <c r="M371" s="445"/>
      <c r="N371" s="277"/>
      <c r="O371" s="277"/>
      <c r="P371" s="445"/>
    </row>
    <row r="372" spans="1:16">
      <c r="A372" s="445"/>
      <c r="B372" s="445"/>
      <c r="C372" s="445"/>
      <c r="D372" s="445"/>
      <c r="E372" s="277"/>
      <c r="F372" s="445"/>
      <c r="G372" s="445"/>
      <c r="H372" s="445"/>
      <c r="I372" s="445"/>
      <c r="J372" s="445"/>
      <c r="K372" s="1136"/>
      <c r="L372" s="1136"/>
      <c r="M372" s="445"/>
      <c r="N372" s="277"/>
      <c r="O372" s="277"/>
      <c r="P372" s="445"/>
    </row>
    <row r="373" spans="1:16">
      <c r="A373" s="445"/>
      <c r="B373" s="445"/>
      <c r="C373" s="445"/>
      <c r="D373" s="445"/>
      <c r="E373" s="277"/>
      <c r="F373" s="445"/>
      <c r="G373" s="445"/>
      <c r="H373" s="445"/>
      <c r="I373" s="445"/>
      <c r="J373" s="445"/>
      <c r="K373" s="1136"/>
      <c r="L373" s="1136"/>
      <c r="M373" s="445"/>
      <c r="N373" s="277"/>
      <c r="O373" s="277"/>
      <c r="P373" s="445"/>
    </row>
    <row r="374" spans="1:16">
      <c r="A374" s="445"/>
      <c r="B374" s="445"/>
      <c r="C374" s="445"/>
      <c r="D374" s="445"/>
      <c r="E374" s="277"/>
      <c r="F374" s="445"/>
      <c r="G374" s="445"/>
      <c r="H374" s="445"/>
      <c r="I374" s="445"/>
      <c r="J374" s="445"/>
      <c r="K374" s="1136"/>
      <c r="L374" s="1136"/>
      <c r="M374" s="445"/>
      <c r="N374" s="277"/>
      <c r="O374" s="277"/>
      <c r="P374" s="445"/>
    </row>
    <row r="375" spans="1:16">
      <c r="A375" s="445"/>
      <c r="B375" s="445"/>
      <c r="C375" s="445"/>
      <c r="D375" s="445"/>
      <c r="E375" s="277"/>
      <c r="F375" s="445"/>
      <c r="G375" s="445"/>
      <c r="H375" s="445"/>
      <c r="I375" s="445"/>
      <c r="J375" s="445"/>
      <c r="K375" s="1136"/>
      <c r="L375" s="1136"/>
      <c r="M375" s="445"/>
      <c r="N375" s="277"/>
      <c r="O375" s="277"/>
      <c r="P375" s="445"/>
    </row>
    <row r="376" spans="1:16">
      <c r="A376" s="445"/>
      <c r="B376" s="445"/>
      <c r="C376" s="445"/>
      <c r="D376" s="445"/>
      <c r="E376" s="277"/>
      <c r="F376" s="445"/>
      <c r="G376" s="445"/>
      <c r="H376" s="445"/>
      <c r="I376" s="445"/>
      <c r="J376" s="445"/>
      <c r="K376" s="1136"/>
      <c r="L376" s="1136"/>
      <c r="M376" s="445"/>
      <c r="N376" s="277"/>
      <c r="O376" s="277"/>
      <c r="P376" s="445"/>
    </row>
    <row r="377" spans="1:16">
      <c r="A377" s="445"/>
      <c r="B377" s="445"/>
      <c r="C377" s="445"/>
      <c r="D377" s="445"/>
      <c r="E377" s="277"/>
      <c r="F377" s="445"/>
      <c r="G377" s="445"/>
      <c r="H377" s="445"/>
      <c r="I377" s="445"/>
      <c r="J377" s="445"/>
      <c r="K377" s="1136"/>
      <c r="L377" s="1136"/>
      <c r="M377" s="445"/>
      <c r="N377" s="277"/>
      <c r="O377" s="277"/>
      <c r="P377" s="445"/>
    </row>
    <row r="378" spans="1:16">
      <c r="A378" s="445"/>
      <c r="B378" s="445"/>
      <c r="C378" s="445"/>
      <c r="D378" s="445"/>
      <c r="E378" s="277"/>
      <c r="F378" s="445"/>
      <c r="G378" s="445"/>
      <c r="H378" s="445"/>
      <c r="I378" s="445"/>
      <c r="J378" s="445"/>
      <c r="K378" s="1136"/>
      <c r="L378" s="1136"/>
      <c r="M378" s="445"/>
      <c r="N378" s="277"/>
      <c r="O378" s="277"/>
      <c r="P378" s="445"/>
    </row>
    <row r="379" spans="1:16">
      <c r="A379" s="445"/>
      <c r="B379" s="445"/>
      <c r="C379" s="445"/>
      <c r="D379" s="445"/>
      <c r="E379" s="277"/>
      <c r="F379" s="445"/>
      <c r="G379" s="445"/>
      <c r="H379" s="445"/>
      <c r="I379" s="445"/>
      <c r="J379" s="445"/>
      <c r="K379" s="1136"/>
      <c r="L379" s="1136"/>
      <c r="M379" s="445"/>
      <c r="N379" s="277"/>
      <c r="O379" s="277"/>
      <c r="P379" s="445"/>
    </row>
    <row r="380" spans="1:16">
      <c r="A380" s="445"/>
      <c r="B380" s="445"/>
      <c r="C380" s="445"/>
      <c r="D380" s="445"/>
      <c r="E380" s="277"/>
      <c r="F380" s="445"/>
      <c r="G380" s="445"/>
      <c r="H380" s="445"/>
      <c r="I380" s="445"/>
      <c r="J380" s="445"/>
      <c r="K380" s="1136"/>
      <c r="L380" s="1136"/>
      <c r="M380" s="445"/>
      <c r="N380" s="277"/>
      <c r="O380" s="277"/>
      <c r="P380" s="445"/>
    </row>
    <row r="381" spans="1:16">
      <c r="A381" s="445"/>
      <c r="B381" s="445"/>
      <c r="C381" s="445"/>
      <c r="D381" s="445"/>
      <c r="E381" s="277"/>
      <c r="F381" s="445"/>
      <c r="G381" s="445"/>
      <c r="H381" s="445"/>
      <c r="I381" s="445"/>
      <c r="J381" s="445"/>
      <c r="K381" s="1136"/>
      <c r="L381" s="1136"/>
      <c r="M381" s="445"/>
      <c r="N381" s="277"/>
      <c r="O381" s="277"/>
      <c r="P381" s="445"/>
    </row>
    <row r="382" spans="1:16">
      <c r="A382" s="445"/>
      <c r="B382" s="445"/>
      <c r="C382" s="445"/>
      <c r="D382" s="445"/>
      <c r="E382" s="277"/>
      <c r="F382" s="445"/>
      <c r="G382" s="445"/>
      <c r="H382" s="445"/>
      <c r="I382" s="445"/>
      <c r="J382" s="445"/>
      <c r="K382" s="1136"/>
      <c r="L382" s="1136"/>
      <c r="M382" s="445"/>
      <c r="N382" s="277"/>
      <c r="O382" s="277"/>
      <c r="P382" s="445"/>
    </row>
    <row r="383" spans="1:16">
      <c r="A383" s="445"/>
      <c r="B383" s="445"/>
      <c r="C383" s="445"/>
      <c r="D383" s="445"/>
      <c r="E383" s="277"/>
      <c r="F383" s="445"/>
      <c r="G383" s="445"/>
      <c r="H383" s="445"/>
      <c r="I383" s="445"/>
      <c r="J383" s="445"/>
      <c r="K383" s="1136"/>
      <c r="L383" s="1136"/>
      <c r="M383" s="445"/>
      <c r="N383" s="277"/>
      <c r="O383" s="277"/>
      <c r="P383" s="445"/>
    </row>
    <row r="384" spans="1:16">
      <c r="A384" s="445"/>
      <c r="B384" s="445"/>
      <c r="C384" s="445"/>
      <c r="D384" s="445"/>
      <c r="E384" s="277"/>
      <c r="F384" s="445"/>
      <c r="G384" s="445"/>
      <c r="H384" s="445"/>
      <c r="I384" s="445"/>
      <c r="J384" s="445"/>
      <c r="K384" s="1136"/>
      <c r="L384" s="1136"/>
      <c r="M384" s="445"/>
      <c r="N384" s="277"/>
      <c r="O384" s="277"/>
      <c r="P384" s="445"/>
    </row>
    <row r="385" spans="1:16">
      <c r="A385" s="445"/>
      <c r="B385" s="445"/>
      <c r="C385" s="445"/>
      <c r="D385" s="445"/>
      <c r="E385" s="277"/>
      <c r="F385" s="445"/>
      <c r="G385" s="445"/>
      <c r="H385" s="445"/>
      <c r="I385" s="445"/>
      <c r="J385" s="445"/>
      <c r="K385" s="1136"/>
      <c r="L385" s="1136"/>
      <c r="M385" s="445"/>
      <c r="N385" s="277"/>
      <c r="O385" s="277"/>
      <c r="P385" s="445"/>
    </row>
    <row r="386" spans="1:16">
      <c r="A386" s="445"/>
      <c r="B386" s="445"/>
      <c r="C386" s="445"/>
      <c r="D386" s="445"/>
      <c r="E386" s="277"/>
      <c r="F386" s="445"/>
      <c r="G386" s="445"/>
      <c r="H386" s="445"/>
      <c r="I386" s="445"/>
      <c r="J386" s="445"/>
      <c r="K386" s="1136"/>
      <c r="L386" s="1136"/>
      <c r="M386" s="445"/>
      <c r="N386" s="277"/>
      <c r="O386" s="277"/>
      <c r="P386" s="445"/>
    </row>
    <row r="387" spans="1:16">
      <c r="A387" s="445"/>
      <c r="B387" s="445"/>
      <c r="C387" s="445"/>
      <c r="D387" s="445"/>
      <c r="E387" s="277"/>
      <c r="F387" s="445"/>
      <c r="G387" s="445"/>
      <c r="H387" s="445"/>
      <c r="I387" s="445"/>
      <c r="J387" s="445"/>
      <c r="K387" s="1136"/>
      <c r="L387" s="1136"/>
      <c r="M387" s="445"/>
      <c r="N387" s="277"/>
      <c r="O387" s="277"/>
      <c r="P387" s="445"/>
    </row>
    <row r="388" spans="1:16">
      <c r="A388" s="445"/>
      <c r="B388" s="445"/>
      <c r="C388" s="445"/>
      <c r="D388" s="445"/>
      <c r="E388" s="277"/>
      <c r="F388" s="445"/>
      <c r="G388" s="445"/>
      <c r="H388" s="445"/>
      <c r="I388" s="445"/>
      <c r="J388" s="445"/>
      <c r="K388" s="1136"/>
      <c r="L388" s="1136"/>
      <c r="M388" s="445"/>
      <c r="N388" s="277"/>
      <c r="O388" s="277"/>
      <c r="P388" s="445"/>
    </row>
    <row r="389" spans="1:16">
      <c r="A389" s="445"/>
      <c r="B389" s="445"/>
      <c r="C389" s="445"/>
      <c r="D389" s="445"/>
      <c r="E389" s="277"/>
      <c r="F389" s="445"/>
      <c r="G389" s="445"/>
      <c r="H389" s="445"/>
      <c r="I389" s="445"/>
      <c r="J389" s="445"/>
      <c r="K389" s="1136"/>
      <c r="L389" s="1136"/>
      <c r="M389" s="445"/>
      <c r="N389" s="277"/>
      <c r="O389" s="277"/>
      <c r="P389" s="445"/>
    </row>
    <row r="390" spans="1:16">
      <c r="A390" s="445"/>
      <c r="B390" s="445"/>
      <c r="C390" s="445"/>
      <c r="D390" s="445"/>
      <c r="E390" s="277"/>
      <c r="F390" s="445"/>
      <c r="G390" s="445"/>
      <c r="H390" s="445"/>
      <c r="I390" s="445"/>
      <c r="J390" s="445"/>
      <c r="K390" s="1136"/>
      <c r="L390" s="1136"/>
      <c r="M390" s="445"/>
      <c r="N390" s="277"/>
      <c r="O390" s="277"/>
      <c r="P390" s="445"/>
    </row>
    <row r="391" spans="1:16">
      <c r="A391" s="445"/>
      <c r="B391" s="445"/>
      <c r="C391" s="445"/>
      <c r="D391" s="445"/>
      <c r="E391" s="277"/>
      <c r="F391" s="445"/>
      <c r="G391" s="445"/>
      <c r="H391" s="445"/>
      <c r="I391" s="445"/>
      <c r="J391" s="445"/>
      <c r="K391" s="1136"/>
      <c r="L391" s="1136"/>
      <c r="M391" s="445"/>
      <c r="N391" s="277"/>
      <c r="O391" s="277"/>
      <c r="P391" s="445"/>
    </row>
    <row r="392" spans="1:16">
      <c r="A392" s="445"/>
      <c r="B392" s="445"/>
      <c r="C392" s="445"/>
      <c r="D392" s="445"/>
      <c r="E392" s="277"/>
      <c r="F392" s="445"/>
      <c r="G392" s="445"/>
      <c r="H392" s="445"/>
      <c r="I392" s="445"/>
      <c r="J392" s="445"/>
      <c r="K392" s="1136"/>
      <c r="L392" s="1136"/>
      <c r="M392" s="445"/>
      <c r="N392" s="277"/>
      <c r="O392" s="277"/>
      <c r="P392" s="445"/>
    </row>
    <row r="393" spans="1:16">
      <c r="A393" s="445"/>
      <c r="B393" s="445"/>
      <c r="C393" s="445"/>
      <c r="D393" s="445"/>
      <c r="E393" s="277"/>
      <c r="F393" s="445"/>
      <c r="G393" s="445"/>
      <c r="H393" s="445"/>
      <c r="I393" s="445"/>
      <c r="J393" s="445"/>
      <c r="K393" s="1136"/>
      <c r="L393" s="1136"/>
      <c r="M393" s="445"/>
      <c r="N393" s="277"/>
      <c r="O393" s="277"/>
      <c r="P393" s="445"/>
    </row>
    <row r="394" spans="1:16">
      <c r="A394" s="445"/>
      <c r="B394" s="445"/>
      <c r="C394" s="445"/>
      <c r="D394" s="445"/>
      <c r="E394" s="277"/>
      <c r="F394" s="445"/>
      <c r="G394" s="445"/>
      <c r="H394" s="445"/>
      <c r="I394" s="445"/>
      <c r="J394" s="445"/>
      <c r="K394" s="1136"/>
      <c r="L394" s="1136"/>
      <c r="M394" s="445"/>
      <c r="N394" s="277"/>
      <c r="O394" s="277"/>
      <c r="P394" s="445"/>
    </row>
    <row r="395" spans="1:16">
      <c r="A395" s="445"/>
      <c r="B395" s="445"/>
      <c r="C395" s="445"/>
      <c r="D395" s="445"/>
      <c r="E395" s="277"/>
      <c r="F395" s="445"/>
      <c r="G395" s="445"/>
      <c r="H395" s="445"/>
      <c r="I395" s="445"/>
      <c r="J395" s="445"/>
      <c r="K395" s="1136"/>
      <c r="L395" s="1136"/>
      <c r="M395" s="445"/>
      <c r="N395" s="277"/>
      <c r="O395" s="277"/>
      <c r="P395" s="445"/>
    </row>
    <row r="396" spans="1:16">
      <c r="A396" s="445"/>
      <c r="B396" s="445"/>
      <c r="C396" s="445"/>
      <c r="D396" s="445"/>
      <c r="E396" s="277"/>
      <c r="F396" s="445"/>
      <c r="G396" s="445"/>
      <c r="H396" s="445"/>
      <c r="I396" s="445"/>
      <c r="J396" s="445"/>
      <c r="K396" s="1136"/>
      <c r="L396" s="1136"/>
      <c r="M396" s="445"/>
      <c r="N396" s="277"/>
      <c r="O396" s="277"/>
      <c r="P396" s="445"/>
    </row>
    <row r="397" spans="1:16">
      <c r="A397" s="445"/>
      <c r="B397" s="445"/>
      <c r="C397" s="445"/>
      <c r="D397" s="445"/>
      <c r="E397" s="277"/>
      <c r="F397" s="445"/>
      <c r="G397" s="445"/>
      <c r="H397" s="445"/>
      <c r="I397" s="445"/>
      <c r="J397" s="445"/>
      <c r="K397" s="1136"/>
      <c r="L397" s="1136"/>
      <c r="M397" s="445"/>
      <c r="N397" s="277"/>
      <c r="O397" s="277"/>
      <c r="P397" s="445"/>
    </row>
    <row r="398" spans="1:16">
      <c r="A398" s="445"/>
      <c r="B398" s="445"/>
      <c r="C398" s="445"/>
      <c r="D398" s="445"/>
      <c r="E398" s="277"/>
      <c r="F398" s="445"/>
      <c r="G398" s="445"/>
      <c r="H398" s="445"/>
      <c r="I398" s="445"/>
      <c r="J398" s="445"/>
      <c r="K398" s="1136"/>
      <c r="L398" s="1136"/>
      <c r="M398" s="445"/>
      <c r="N398" s="277"/>
      <c r="O398" s="277"/>
      <c r="P398" s="445"/>
    </row>
    <row r="399" spans="1:16">
      <c r="A399" s="445"/>
      <c r="B399" s="445"/>
      <c r="C399" s="445"/>
      <c r="D399" s="445"/>
      <c r="E399" s="277"/>
      <c r="F399" s="445"/>
      <c r="G399" s="445"/>
      <c r="H399" s="445"/>
      <c r="I399" s="445"/>
      <c r="J399" s="445"/>
      <c r="K399" s="1136"/>
      <c r="L399" s="1136"/>
      <c r="M399" s="445"/>
      <c r="N399" s="277"/>
      <c r="O399" s="277"/>
      <c r="P399" s="445"/>
    </row>
    <row r="400" spans="1:16">
      <c r="A400" s="445"/>
      <c r="B400" s="445"/>
      <c r="C400" s="445"/>
      <c r="D400" s="445"/>
      <c r="E400" s="277"/>
      <c r="F400" s="445"/>
      <c r="G400" s="445"/>
      <c r="H400" s="445"/>
      <c r="I400" s="445"/>
      <c r="J400" s="445"/>
      <c r="K400" s="1136"/>
      <c r="L400" s="1136"/>
      <c r="M400" s="445"/>
      <c r="N400" s="277"/>
      <c r="O400" s="277"/>
      <c r="P400" s="445"/>
    </row>
    <row r="401" spans="1:16">
      <c r="A401" s="445"/>
      <c r="B401" s="445"/>
      <c r="C401" s="445"/>
      <c r="D401" s="445"/>
      <c r="E401" s="277"/>
      <c r="F401" s="445"/>
      <c r="G401" s="445"/>
      <c r="H401" s="445"/>
      <c r="I401" s="445"/>
      <c r="J401" s="445"/>
      <c r="K401" s="1136"/>
      <c r="L401" s="1136"/>
      <c r="M401" s="445"/>
      <c r="N401" s="277"/>
      <c r="O401" s="277"/>
      <c r="P401" s="445"/>
    </row>
    <row r="402" spans="1:16">
      <c r="A402" s="445"/>
      <c r="B402" s="445"/>
      <c r="C402" s="445"/>
      <c r="D402" s="445"/>
      <c r="E402" s="277"/>
      <c r="F402" s="445"/>
      <c r="G402" s="445"/>
      <c r="H402" s="445"/>
      <c r="I402" s="445"/>
      <c r="J402" s="445"/>
      <c r="K402" s="1136"/>
      <c r="L402" s="1136"/>
      <c r="M402" s="445"/>
      <c r="N402" s="277"/>
      <c r="O402" s="277"/>
      <c r="P402" s="445"/>
    </row>
    <row r="403" spans="1:16">
      <c r="A403" s="445"/>
      <c r="B403" s="445"/>
      <c r="C403" s="445"/>
      <c r="D403" s="445"/>
      <c r="E403" s="277"/>
      <c r="F403" s="445"/>
      <c r="G403" s="445"/>
      <c r="H403" s="445"/>
      <c r="I403" s="445"/>
      <c r="J403" s="445"/>
      <c r="K403" s="1136"/>
      <c r="L403" s="1136"/>
      <c r="M403" s="445"/>
      <c r="N403" s="277"/>
      <c r="O403" s="277"/>
      <c r="P403" s="445"/>
    </row>
    <row r="404" spans="1:16">
      <c r="A404" s="445"/>
      <c r="B404" s="445"/>
      <c r="C404" s="445"/>
      <c r="D404" s="445"/>
      <c r="E404" s="277"/>
      <c r="F404" s="445"/>
      <c r="G404" s="445"/>
      <c r="H404" s="445"/>
      <c r="I404" s="445"/>
      <c r="J404" s="445"/>
      <c r="K404" s="1136"/>
      <c r="L404" s="1136"/>
      <c r="M404" s="445"/>
      <c r="N404" s="277"/>
      <c r="O404" s="277"/>
      <c r="P404" s="445"/>
    </row>
    <row r="405" spans="1:16">
      <c r="A405" s="445"/>
      <c r="B405" s="445"/>
      <c r="C405" s="445"/>
      <c r="D405" s="445"/>
      <c r="E405" s="277"/>
      <c r="F405" s="445"/>
      <c r="G405" s="445"/>
      <c r="H405" s="445"/>
      <c r="I405" s="445"/>
      <c r="J405" s="445"/>
      <c r="K405" s="1136"/>
      <c r="L405" s="1136"/>
      <c r="M405" s="445"/>
      <c r="N405" s="277"/>
      <c r="O405" s="277"/>
      <c r="P405" s="445"/>
    </row>
    <row r="406" spans="1:16">
      <c r="A406" s="445"/>
      <c r="B406" s="445"/>
      <c r="C406" s="445"/>
      <c r="D406" s="445"/>
      <c r="E406" s="277"/>
      <c r="F406" s="445"/>
      <c r="G406" s="445"/>
      <c r="H406" s="445"/>
      <c r="I406" s="445"/>
      <c r="J406" s="445"/>
      <c r="K406" s="1136"/>
      <c r="L406" s="1136"/>
      <c r="M406" s="445"/>
      <c r="N406" s="277"/>
      <c r="O406" s="277"/>
      <c r="P406" s="445"/>
    </row>
    <row r="407" spans="1:16">
      <c r="A407" s="445"/>
      <c r="B407" s="445"/>
      <c r="C407" s="445"/>
      <c r="D407" s="445"/>
      <c r="E407" s="277"/>
      <c r="F407" s="445"/>
      <c r="G407" s="445"/>
      <c r="H407" s="445"/>
      <c r="I407" s="445"/>
      <c r="J407" s="445"/>
      <c r="K407" s="1136"/>
      <c r="L407" s="1136"/>
      <c r="M407" s="445"/>
      <c r="N407" s="277"/>
      <c r="O407" s="277"/>
      <c r="P407" s="445"/>
    </row>
    <row r="408" spans="1:16">
      <c r="A408" s="445"/>
      <c r="B408" s="445"/>
      <c r="C408" s="445"/>
      <c r="D408" s="445"/>
      <c r="E408" s="277"/>
      <c r="F408" s="445"/>
      <c r="G408" s="445"/>
      <c r="H408" s="445"/>
      <c r="I408" s="445"/>
      <c r="J408" s="445"/>
      <c r="K408" s="1136"/>
      <c r="L408" s="1136"/>
      <c r="M408" s="445"/>
      <c r="N408" s="277"/>
      <c r="O408" s="277"/>
      <c r="P408" s="445"/>
    </row>
    <row r="409" spans="1:16">
      <c r="A409" s="445"/>
      <c r="B409" s="445"/>
      <c r="C409" s="445"/>
      <c r="D409" s="445"/>
      <c r="E409" s="277"/>
      <c r="F409" s="445"/>
      <c r="G409" s="445"/>
      <c r="H409" s="445"/>
      <c r="I409" s="445"/>
      <c r="J409" s="445"/>
      <c r="K409" s="1136"/>
      <c r="L409" s="1136"/>
      <c r="M409" s="445"/>
      <c r="N409" s="277"/>
      <c r="O409" s="277"/>
      <c r="P409" s="445"/>
    </row>
    <row r="410" spans="1:16">
      <c r="A410" s="445"/>
      <c r="B410" s="445"/>
      <c r="C410" s="445"/>
      <c r="D410" s="445"/>
      <c r="E410" s="277"/>
      <c r="F410" s="445"/>
      <c r="G410" s="445"/>
      <c r="H410" s="445"/>
      <c r="I410" s="445"/>
      <c r="J410" s="445"/>
      <c r="K410" s="1136"/>
      <c r="L410" s="1136"/>
      <c r="M410" s="445"/>
      <c r="N410" s="277"/>
      <c r="O410" s="277"/>
      <c r="P410" s="445"/>
    </row>
    <row r="411" spans="1:16">
      <c r="A411" s="445"/>
      <c r="B411" s="445"/>
      <c r="C411" s="445"/>
      <c r="D411" s="445"/>
      <c r="E411" s="277"/>
      <c r="F411" s="445"/>
      <c r="G411" s="445"/>
      <c r="H411" s="445"/>
      <c r="I411" s="445"/>
      <c r="J411" s="445"/>
      <c r="K411" s="1136"/>
      <c r="L411" s="1136"/>
      <c r="M411" s="445"/>
      <c r="N411" s="277"/>
      <c r="O411" s="277"/>
      <c r="P411" s="445"/>
    </row>
    <row r="412" spans="1:16">
      <c r="A412" s="445"/>
      <c r="B412" s="445"/>
      <c r="C412" s="445"/>
      <c r="D412" s="445"/>
      <c r="E412" s="277"/>
      <c r="F412" s="445"/>
      <c r="G412" s="445"/>
      <c r="H412" s="445"/>
      <c r="I412" s="445"/>
      <c r="J412" s="445"/>
      <c r="K412" s="1136"/>
      <c r="L412" s="1136"/>
      <c r="M412" s="445"/>
      <c r="N412" s="277"/>
      <c r="O412" s="277"/>
      <c r="P412" s="445"/>
    </row>
    <row r="413" spans="1:16">
      <c r="A413" s="445"/>
      <c r="B413" s="445"/>
      <c r="C413" s="445"/>
      <c r="D413" s="445"/>
      <c r="E413" s="277"/>
      <c r="F413" s="445"/>
      <c r="G413" s="445"/>
      <c r="H413" s="445"/>
      <c r="I413" s="445"/>
      <c r="J413" s="445"/>
      <c r="K413" s="1136"/>
      <c r="L413" s="1136"/>
      <c r="M413" s="445"/>
      <c r="N413" s="277"/>
      <c r="O413" s="277"/>
      <c r="P413" s="445"/>
    </row>
    <row r="414" spans="1:16">
      <c r="A414" s="445"/>
      <c r="B414" s="445"/>
      <c r="C414" s="445"/>
      <c r="D414" s="445"/>
      <c r="E414" s="277"/>
      <c r="F414" s="445"/>
      <c r="G414" s="445"/>
      <c r="H414" s="445"/>
      <c r="I414" s="445"/>
      <c r="J414" s="445"/>
      <c r="K414" s="1136"/>
      <c r="L414" s="1136"/>
      <c r="M414" s="445"/>
      <c r="N414" s="277"/>
      <c r="O414" s="277"/>
      <c r="P414" s="445"/>
    </row>
    <row r="415" spans="1:16">
      <c r="A415" s="445"/>
      <c r="B415" s="445"/>
      <c r="C415" s="445"/>
      <c r="D415" s="445"/>
      <c r="E415" s="277"/>
      <c r="F415" s="445"/>
      <c r="G415" s="445"/>
      <c r="H415" s="445"/>
      <c r="I415" s="445"/>
      <c r="J415" s="445"/>
      <c r="K415" s="1136"/>
      <c r="L415" s="1136"/>
      <c r="M415" s="445"/>
      <c r="N415" s="277"/>
      <c r="O415" s="277"/>
      <c r="P415" s="445"/>
    </row>
    <row r="416" spans="1:16">
      <c r="A416" s="445"/>
      <c r="B416" s="445"/>
      <c r="C416" s="445"/>
      <c r="D416" s="445"/>
      <c r="E416" s="277"/>
      <c r="F416" s="445"/>
      <c r="G416" s="445"/>
      <c r="H416" s="445"/>
      <c r="I416" s="445"/>
      <c r="J416" s="445"/>
      <c r="K416" s="1136"/>
      <c r="L416" s="1136"/>
      <c r="M416" s="445"/>
      <c r="N416" s="277"/>
      <c r="O416" s="277"/>
      <c r="P416" s="445"/>
    </row>
    <row r="417" spans="1:16">
      <c r="A417" s="445"/>
      <c r="B417" s="445"/>
      <c r="C417" s="445"/>
      <c r="D417" s="445"/>
      <c r="E417" s="277"/>
      <c r="F417" s="445"/>
      <c r="G417" s="445"/>
      <c r="H417" s="445"/>
      <c r="I417" s="445"/>
      <c r="J417" s="445"/>
      <c r="K417" s="1136"/>
      <c r="L417" s="1136"/>
      <c r="M417" s="445"/>
      <c r="N417" s="277"/>
      <c r="O417" s="277"/>
      <c r="P417" s="445"/>
    </row>
    <row r="418" spans="1:16">
      <c r="A418" s="445"/>
      <c r="B418" s="445"/>
      <c r="C418" s="445"/>
      <c r="D418" s="445"/>
      <c r="E418" s="277"/>
      <c r="F418" s="445"/>
      <c r="G418" s="445"/>
      <c r="H418" s="445"/>
      <c r="I418" s="445"/>
      <c r="J418" s="445"/>
      <c r="K418" s="1136"/>
      <c r="L418" s="1136"/>
      <c r="M418" s="445"/>
      <c r="N418" s="277"/>
      <c r="O418" s="277"/>
      <c r="P418" s="445"/>
    </row>
    <row r="419" spans="1:16">
      <c r="A419" s="445"/>
      <c r="B419" s="445"/>
      <c r="C419" s="445"/>
      <c r="D419" s="445"/>
      <c r="E419" s="277"/>
      <c r="F419" s="445"/>
      <c r="G419" s="445"/>
      <c r="H419" s="445"/>
      <c r="I419" s="445"/>
      <c r="J419" s="445"/>
      <c r="K419" s="1136"/>
      <c r="L419" s="1136"/>
      <c r="M419" s="445"/>
      <c r="N419" s="277"/>
      <c r="O419" s="277"/>
      <c r="P419" s="445"/>
    </row>
    <row r="420" spans="1:16">
      <c r="A420" s="445"/>
      <c r="B420" s="445"/>
      <c r="C420" s="445"/>
      <c r="D420" s="445"/>
      <c r="E420" s="277"/>
      <c r="F420" s="445"/>
      <c r="G420" s="445"/>
      <c r="H420" s="445"/>
      <c r="I420" s="445"/>
      <c r="J420" s="445"/>
      <c r="K420" s="1136"/>
      <c r="L420" s="1136"/>
      <c r="M420" s="445"/>
      <c r="N420" s="277"/>
      <c r="O420" s="277"/>
      <c r="P420" s="445"/>
    </row>
    <row r="421" spans="1:16">
      <c r="A421" s="445"/>
      <c r="B421" s="445"/>
      <c r="C421" s="445"/>
      <c r="D421" s="445"/>
      <c r="E421" s="277"/>
      <c r="F421" s="445"/>
      <c r="G421" s="445"/>
      <c r="H421" s="445"/>
      <c r="I421" s="445"/>
      <c r="J421" s="445"/>
      <c r="K421" s="1136"/>
      <c r="L421" s="1136"/>
      <c r="M421" s="445"/>
      <c r="N421" s="277"/>
      <c r="O421" s="277"/>
      <c r="P421" s="445"/>
    </row>
    <row r="422" spans="1:16">
      <c r="A422" s="445"/>
      <c r="B422" s="445"/>
      <c r="C422" s="445"/>
      <c r="D422" s="445"/>
      <c r="E422" s="277"/>
      <c r="F422" s="445"/>
      <c r="G422" s="445"/>
      <c r="H422" s="445"/>
      <c r="I422" s="445"/>
      <c r="J422" s="445"/>
      <c r="K422" s="1136"/>
      <c r="L422" s="1136"/>
      <c r="M422" s="445"/>
      <c r="N422" s="277"/>
      <c r="O422" s="277"/>
      <c r="P422" s="445"/>
    </row>
    <row r="423" spans="1:16">
      <c r="A423" s="445"/>
      <c r="B423" s="445"/>
      <c r="C423" s="445"/>
      <c r="D423" s="445"/>
      <c r="E423" s="277"/>
      <c r="F423" s="445"/>
      <c r="G423" s="445"/>
      <c r="H423" s="445"/>
      <c r="I423" s="445"/>
      <c r="J423" s="445"/>
      <c r="K423" s="1136"/>
      <c r="L423" s="1136"/>
      <c r="M423" s="445"/>
      <c r="N423" s="277"/>
      <c r="O423" s="277"/>
      <c r="P423" s="445"/>
    </row>
    <row r="424" spans="1:16">
      <c r="A424" s="445"/>
      <c r="B424" s="445"/>
      <c r="C424" s="445"/>
      <c r="D424" s="445"/>
      <c r="E424" s="277"/>
      <c r="F424" s="445"/>
      <c r="G424" s="445"/>
      <c r="H424" s="445"/>
      <c r="I424" s="445"/>
      <c r="J424" s="445"/>
      <c r="K424" s="1136"/>
      <c r="L424" s="1136"/>
      <c r="M424" s="445"/>
      <c r="N424" s="277"/>
      <c r="O424" s="277"/>
      <c r="P424" s="445"/>
    </row>
    <row r="425" spans="1:16">
      <c r="A425" s="445"/>
      <c r="B425" s="445"/>
      <c r="C425" s="445"/>
      <c r="D425" s="445"/>
      <c r="E425" s="277"/>
      <c r="F425" s="445"/>
      <c r="G425" s="445"/>
      <c r="H425" s="445"/>
      <c r="I425" s="445"/>
      <c r="J425" s="445"/>
      <c r="K425" s="1136"/>
      <c r="L425" s="1136"/>
      <c r="M425" s="445"/>
      <c r="N425" s="277"/>
      <c r="O425" s="277"/>
      <c r="P425" s="445"/>
    </row>
    <row r="426" spans="1:16">
      <c r="A426" s="445"/>
      <c r="B426" s="445"/>
      <c r="C426" s="445"/>
      <c r="D426" s="445"/>
      <c r="E426" s="277"/>
      <c r="F426" s="445"/>
      <c r="G426" s="445"/>
      <c r="H426" s="445"/>
      <c r="I426" s="445"/>
      <c r="J426" s="445"/>
      <c r="K426" s="1136"/>
      <c r="L426" s="1136"/>
      <c r="M426" s="445"/>
      <c r="N426" s="277"/>
      <c r="O426" s="277"/>
      <c r="P426" s="445"/>
    </row>
    <row r="427" spans="1:16">
      <c r="A427" s="445"/>
      <c r="B427" s="445"/>
      <c r="C427" s="445"/>
      <c r="D427" s="445"/>
      <c r="E427" s="277"/>
      <c r="F427" s="445"/>
      <c r="G427" s="445"/>
      <c r="H427" s="445"/>
      <c r="I427" s="445"/>
      <c r="J427" s="445"/>
      <c r="K427" s="1136"/>
      <c r="L427" s="1136"/>
      <c r="M427" s="445"/>
      <c r="N427" s="277"/>
      <c r="O427" s="277"/>
      <c r="P427" s="445"/>
    </row>
    <row r="428" spans="1:16">
      <c r="A428" s="445"/>
      <c r="B428" s="445"/>
      <c r="C428" s="445"/>
      <c r="D428" s="445"/>
      <c r="E428" s="277"/>
      <c r="F428" s="445"/>
      <c r="G428" s="445"/>
      <c r="H428" s="445"/>
      <c r="I428" s="445"/>
      <c r="J428" s="445"/>
      <c r="K428" s="1136"/>
      <c r="L428" s="1136"/>
      <c r="M428" s="445"/>
      <c r="N428" s="277"/>
      <c r="O428" s="277"/>
      <c r="P428" s="445"/>
    </row>
    <row r="429" spans="1:16">
      <c r="A429" s="445"/>
      <c r="B429" s="445"/>
      <c r="C429" s="445"/>
      <c r="D429" s="445"/>
      <c r="E429" s="277"/>
      <c r="F429" s="445"/>
      <c r="G429" s="445"/>
      <c r="H429" s="445"/>
      <c r="I429" s="445"/>
      <c r="J429" s="445"/>
      <c r="K429" s="1136"/>
      <c r="L429" s="1136"/>
      <c r="M429" s="445"/>
      <c r="N429" s="277"/>
      <c r="O429" s="277"/>
      <c r="P429" s="445"/>
    </row>
    <row r="430" spans="1:16">
      <c r="A430" s="445"/>
      <c r="B430" s="445"/>
      <c r="C430" s="445"/>
      <c r="D430" s="445"/>
      <c r="E430" s="277"/>
      <c r="F430" s="445"/>
      <c r="G430" s="445"/>
      <c r="H430" s="445"/>
      <c r="I430" s="445"/>
      <c r="J430" s="445"/>
      <c r="K430" s="1136"/>
      <c r="L430" s="1136"/>
      <c r="M430" s="445"/>
      <c r="N430" s="277"/>
      <c r="O430" s="277"/>
      <c r="P430" s="445"/>
    </row>
    <row r="431" spans="1:16">
      <c r="A431" s="445"/>
      <c r="B431" s="445"/>
      <c r="C431" s="445"/>
      <c r="D431" s="445"/>
      <c r="E431" s="277"/>
      <c r="F431" s="445"/>
      <c r="G431" s="445"/>
      <c r="H431" s="445"/>
      <c r="I431" s="445"/>
      <c r="J431" s="445"/>
      <c r="K431" s="1136"/>
      <c r="L431" s="1136"/>
      <c r="M431" s="445"/>
      <c r="N431" s="277"/>
      <c r="O431" s="277"/>
      <c r="P431" s="445"/>
    </row>
    <row r="432" spans="1:16">
      <c r="A432" s="445"/>
      <c r="B432" s="445"/>
      <c r="C432" s="445"/>
      <c r="D432" s="445"/>
      <c r="E432" s="277"/>
      <c r="F432" s="445"/>
      <c r="G432" s="445"/>
      <c r="H432" s="445"/>
      <c r="I432" s="445"/>
      <c r="J432" s="445"/>
      <c r="K432" s="1136"/>
      <c r="L432" s="1136"/>
      <c r="M432" s="445"/>
      <c r="N432" s="277"/>
      <c r="O432" s="277"/>
      <c r="P432" s="445"/>
    </row>
    <row r="433" spans="1:16">
      <c r="A433" s="445"/>
      <c r="B433" s="445"/>
      <c r="C433" s="445"/>
      <c r="D433" s="445"/>
      <c r="E433" s="277"/>
      <c r="F433" s="445"/>
      <c r="G433" s="445"/>
      <c r="H433" s="445"/>
      <c r="I433" s="445"/>
      <c r="J433" s="445"/>
      <c r="K433" s="1136"/>
      <c r="L433" s="1136"/>
      <c r="M433" s="445"/>
      <c r="N433" s="277"/>
      <c r="O433" s="277"/>
      <c r="P433" s="445"/>
    </row>
    <row r="434" spans="1:16">
      <c r="A434" s="445"/>
      <c r="B434" s="445"/>
      <c r="C434" s="445"/>
      <c r="D434" s="445"/>
      <c r="E434" s="277"/>
      <c r="F434" s="445"/>
      <c r="G434" s="445"/>
      <c r="H434" s="445"/>
      <c r="I434" s="445"/>
      <c r="J434" s="445"/>
      <c r="K434" s="1136"/>
      <c r="L434" s="1136"/>
      <c r="M434" s="445"/>
      <c r="N434" s="277"/>
      <c r="O434" s="277"/>
      <c r="P434" s="445"/>
    </row>
    <row r="435" spans="1:16">
      <c r="A435" s="445"/>
      <c r="B435" s="445"/>
      <c r="C435" s="445"/>
      <c r="D435" s="445"/>
      <c r="E435" s="277"/>
      <c r="F435" s="445"/>
      <c r="G435" s="445"/>
      <c r="H435" s="445"/>
      <c r="I435" s="445"/>
      <c r="J435" s="445"/>
      <c r="K435" s="1136"/>
      <c r="L435" s="1136"/>
      <c r="M435" s="445"/>
      <c r="N435" s="277"/>
      <c r="O435" s="277"/>
      <c r="P435" s="445"/>
    </row>
    <row r="436" spans="1:16">
      <c r="A436" s="445"/>
      <c r="B436" s="445"/>
      <c r="C436" s="445"/>
      <c r="D436" s="445"/>
      <c r="E436" s="277"/>
      <c r="F436" s="445"/>
      <c r="G436" s="445"/>
      <c r="H436" s="445"/>
      <c r="I436" s="445"/>
      <c r="J436" s="445"/>
      <c r="K436" s="1136"/>
      <c r="L436" s="1136"/>
      <c r="M436" s="445"/>
      <c r="N436" s="277"/>
      <c r="O436" s="277"/>
      <c r="P436" s="445"/>
    </row>
    <row r="437" spans="1:16">
      <c r="A437" s="445"/>
      <c r="B437" s="445"/>
      <c r="C437" s="445"/>
      <c r="D437" s="445"/>
      <c r="E437" s="277"/>
      <c r="F437" s="445"/>
      <c r="G437" s="445"/>
      <c r="H437" s="445"/>
      <c r="I437" s="445"/>
      <c r="J437" s="445"/>
      <c r="K437" s="1136"/>
      <c r="L437" s="1136"/>
      <c r="M437" s="445"/>
      <c r="N437" s="277"/>
      <c r="O437" s="277"/>
      <c r="P437" s="445"/>
    </row>
    <row r="438" spans="1:16">
      <c r="A438" s="445"/>
      <c r="B438" s="445"/>
      <c r="C438" s="445"/>
      <c r="D438" s="445"/>
      <c r="E438" s="277"/>
      <c r="F438" s="445"/>
      <c r="G438" s="445"/>
      <c r="H438" s="445"/>
      <c r="I438" s="445"/>
      <c r="J438" s="445"/>
      <c r="K438" s="1136"/>
      <c r="L438" s="1136"/>
      <c r="M438" s="445"/>
      <c r="N438" s="277"/>
      <c r="O438" s="277"/>
      <c r="P438" s="445"/>
    </row>
    <row r="439" spans="1:16">
      <c r="A439" s="445"/>
      <c r="B439" s="445"/>
      <c r="C439" s="445"/>
      <c r="D439" s="445"/>
      <c r="E439" s="277"/>
      <c r="F439" s="445"/>
      <c r="G439" s="445"/>
      <c r="H439" s="445"/>
      <c r="I439" s="445"/>
      <c r="J439" s="445"/>
      <c r="K439" s="1136"/>
      <c r="L439" s="1136"/>
      <c r="M439" s="445"/>
      <c r="N439" s="277"/>
      <c r="O439" s="277"/>
      <c r="P439" s="445"/>
    </row>
    <row r="440" spans="1:16">
      <c r="A440" s="445"/>
      <c r="B440" s="445"/>
      <c r="C440" s="445"/>
      <c r="D440" s="445"/>
      <c r="E440" s="277"/>
      <c r="F440" s="445"/>
      <c r="G440" s="445"/>
      <c r="H440" s="445"/>
      <c r="I440" s="445"/>
      <c r="J440" s="445"/>
      <c r="K440" s="1136"/>
      <c r="L440" s="1136"/>
      <c r="M440" s="445"/>
      <c r="N440" s="277"/>
      <c r="O440" s="277"/>
      <c r="P440" s="445"/>
    </row>
    <row r="441" spans="1:16">
      <c r="A441" s="445"/>
      <c r="B441" s="445"/>
      <c r="C441" s="445"/>
      <c r="D441" s="445"/>
      <c r="E441" s="277"/>
      <c r="F441" s="445"/>
      <c r="G441" s="445"/>
      <c r="H441" s="445"/>
      <c r="I441" s="445"/>
      <c r="J441" s="445"/>
      <c r="K441" s="1136"/>
      <c r="L441" s="1136"/>
      <c r="M441" s="445"/>
      <c r="N441" s="277"/>
      <c r="O441" s="277"/>
      <c r="P441" s="445"/>
    </row>
    <row r="442" spans="1:16">
      <c r="A442" s="445"/>
      <c r="B442" s="445"/>
      <c r="C442" s="445"/>
      <c r="D442" s="445"/>
      <c r="E442" s="277"/>
      <c r="F442" s="445"/>
      <c r="G442" s="445"/>
      <c r="H442" s="445"/>
      <c r="I442" s="445"/>
      <c r="J442" s="445"/>
      <c r="K442" s="1136"/>
      <c r="L442" s="1136"/>
      <c r="M442" s="445"/>
      <c r="N442" s="277"/>
      <c r="O442" s="277"/>
      <c r="P442" s="445"/>
    </row>
    <row r="443" spans="1:16">
      <c r="A443" s="445"/>
      <c r="B443" s="445"/>
      <c r="C443" s="445"/>
      <c r="D443" s="445"/>
      <c r="E443" s="277"/>
      <c r="F443" s="445"/>
      <c r="G443" s="445"/>
      <c r="H443" s="445"/>
      <c r="I443" s="445"/>
      <c r="J443" s="445"/>
      <c r="K443" s="1136"/>
      <c r="L443" s="1136"/>
      <c r="M443" s="445"/>
      <c r="N443" s="277"/>
      <c r="O443" s="277"/>
      <c r="P443" s="445"/>
    </row>
    <row r="444" spans="1:16">
      <c r="A444" s="445"/>
      <c r="B444" s="445"/>
      <c r="C444" s="445"/>
      <c r="D444" s="445"/>
      <c r="E444" s="277"/>
      <c r="F444" s="445"/>
      <c r="G444" s="445"/>
      <c r="H444" s="445"/>
      <c r="I444" s="445"/>
      <c r="J444" s="445"/>
      <c r="K444" s="1136"/>
      <c r="L444" s="1136"/>
      <c r="M444" s="445"/>
      <c r="N444" s="277"/>
      <c r="O444" s="277"/>
      <c r="P444" s="445"/>
    </row>
    <row r="445" spans="1:16">
      <c r="A445" s="445"/>
      <c r="B445" s="445"/>
      <c r="C445" s="445"/>
      <c r="D445" s="445"/>
      <c r="E445" s="277"/>
      <c r="F445" s="445"/>
      <c r="G445" s="445"/>
      <c r="H445" s="445"/>
      <c r="I445" s="445"/>
      <c r="J445" s="445"/>
      <c r="K445" s="1136"/>
      <c r="L445" s="1136"/>
      <c r="M445" s="445"/>
      <c r="N445" s="277"/>
      <c r="O445" s="277"/>
      <c r="P445" s="445"/>
    </row>
    <row r="446" spans="1:16">
      <c r="A446" s="445"/>
      <c r="B446" s="445"/>
      <c r="C446" s="445"/>
      <c r="D446" s="445"/>
      <c r="E446" s="277"/>
      <c r="F446" s="445"/>
      <c r="G446" s="445"/>
      <c r="H446" s="445"/>
      <c r="I446" s="445"/>
      <c r="J446" s="445"/>
      <c r="K446" s="1136"/>
      <c r="L446" s="1136"/>
      <c r="M446" s="445"/>
      <c r="N446" s="277"/>
      <c r="O446" s="277"/>
      <c r="P446" s="445"/>
    </row>
    <row r="447" spans="1:16">
      <c r="A447" s="445"/>
      <c r="B447" s="445"/>
      <c r="C447" s="445"/>
      <c r="D447" s="445"/>
      <c r="E447" s="277"/>
      <c r="F447" s="445"/>
      <c r="G447" s="445"/>
      <c r="H447" s="445"/>
      <c r="I447" s="445"/>
      <c r="J447" s="445"/>
      <c r="K447" s="1136"/>
      <c r="L447" s="1136"/>
      <c r="M447" s="445"/>
      <c r="N447" s="277"/>
      <c r="O447" s="277"/>
      <c r="P447" s="445"/>
    </row>
    <row r="448" spans="1:16">
      <c r="A448" s="445"/>
      <c r="B448" s="445"/>
      <c r="C448" s="445"/>
      <c r="D448" s="445"/>
      <c r="E448" s="277"/>
      <c r="F448" s="445"/>
      <c r="G448" s="445"/>
      <c r="H448" s="445"/>
      <c r="I448" s="445"/>
      <c r="J448" s="445"/>
      <c r="K448" s="1136"/>
      <c r="L448" s="1136"/>
      <c r="M448" s="445"/>
      <c r="N448" s="277"/>
      <c r="O448" s="277"/>
      <c r="P448" s="445"/>
    </row>
    <row r="449" spans="1:16">
      <c r="A449" s="445"/>
      <c r="B449" s="445"/>
      <c r="C449" s="445"/>
      <c r="D449" s="445"/>
      <c r="E449" s="277"/>
      <c r="F449" s="445"/>
      <c r="G449" s="445"/>
      <c r="H449" s="445"/>
      <c r="I449" s="445"/>
      <c r="J449" s="445"/>
      <c r="K449" s="1136"/>
      <c r="L449" s="1136"/>
      <c r="M449" s="445"/>
      <c r="N449" s="277"/>
      <c r="O449" s="277"/>
      <c r="P449" s="445"/>
    </row>
    <row r="450" spans="1:16">
      <c r="A450" s="445"/>
      <c r="B450" s="445"/>
      <c r="C450" s="445"/>
      <c r="D450" s="445"/>
      <c r="E450" s="277"/>
      <c r="F450" s="445"/>
      <c r="G450" s="445"/>
      <c r="H450" s="445"/>
      <c r="I450" s="445"/>
      <c r="J450" s="445"/>
      <c r="K450" s="1136"/>
      <c r="L450" s="1136"/>
      <c r="M450" s="445"/>
      <c r="N450" s="277"/>
      <c r="O450" s="277"/>
      <c r="P450" s="445"/>
    </row>
    <row r="451" spans="1:16">
      <c r="A451" s="445"/>
      <c r="B451" s="445"/>
      <c r="C451" s="445"/>
      <c r="D451" s="445"/>
      <c r="E451" s="277"/>
      <c r="F451" s="445"/>
      <c r="G451" s="445"/>
      <c r="H451" s="445"/>
      <c r="I451" s="445"/>
      <c r="J451" s="445"/>
      <c r="K451" s="1136"/>
      <c r="L451" s="1136"/>
      <c r="M451" s="445"/>
      <c r="N451" s="277"/>
      <c r="O451" s="277"/>
      <c r="P451" s="445"/>
    </row>
    <row r="452" spans="1:16">
      <c r="A452" s="445"/>
      <c r="B452" s="445"/>
      <c r="C452" s="445"/>
      <c r="D452" s="445"/>
      <c r="E452" s="277"/>
      <c r="F452" s="445"/>
      <c r="G452" s="445"/>
      <c r="H452" s="445"/>
      <c r="I452" s="445"/>
      <c r="J452" s="445"/>
      <c r="K452" s="1136"/>
      <c r="L452" s="1136"/>
      <c r="M452" s="445"/>
      <c r="N452" s="277"/>
      <c r="O452" s="277"/>
      <c r="P452" s="445"/>
    </row>
    <row r="453" spans="1:16">
      <c r="A453" s="445"/>
      <c r="B453" s="445"/>
      <c r="C453" s="445"/>
      <c r="D453" s="445"/>
      <c r="E453" s="277"/>
      <c r="F453" s="445"/>
      <c r="G453" s="445"/>
      <c r="H453" s="445"/>
      <c r="I453" s="445"/>
      <c r="J453" s="445"/>
      <c r="K453" s="1136"/>
      <c r="L453" s="1136"/>
      <c r="M453" s="445"/>
      <c r="N453" s="277"/>
      <c r="O453" s="277"/>
      <c r="P453" s="445"/>
    </row>
    <row r="454" spans="1:16">
      <c r="A454" s="445"/>
      <c r="B454" s="445"/>
      <c r="C454" s="445"/>
      <c r="D454" s="445"/>
      <c r="E454" s="277"/>
      <c r="F454" s="445"/>
      <c r="G454" s="445"/>
      <c r="H454" s="445"/>
      <c r="I454" s="445"/>
      <c r="J454" s="445"/>
      <c r="K454" s="1136"/>
      <c r="L454" s="1136"/>
      <c r="M454" s="445"/>
      <c r="N454" s="277"/>
      <c r="O454" s="277"/>
      <c r="P454" s="445"/>
    </row>
    <row r="455" spans="1:16">
      <c r="A455" s="445"/>
      <c r="B455" s="445"/>
      <c r="C455" s="445"/>
      <c r="D455" s="445"/>
      <c r="E455" s="277"/>
      <c r="F455" s="445"/>
      <c r="G455" s="445"/>
      <c r="H455" s="445"/>
      <c r="I455" s="445"/>
      <c r="J455" s="445"/>
      <c r="K455" s="1136"/>
      <c r="L455" s="1136"/>
      <c r="M455" s="445"/>
      <c r="N455" s="277"/>
      <c r="O455" s="277"/>
      <c r="P455" s="445"/>
    </row>
    <row r="456" spans="1:16">
      <c r="A456" s="445"/>
      <c r="B456" s="445"/>
      <c r="C456" s="445"/>
      <c r="D456" s="445"/>
      <c r="E456" s="277"/>
      <c r="F456" s="445"/>
      <c r="G456" s="445"/>
      <c r="H456" s="445"/>
      <c r="I456" s="445"/>
      <c r="J456" s="445"/>
      <c r="K456" s="1136"/>
      <c r="L456" s="1136"/>
      <c r="M456" s="445"/>
      <c r="N456" s="277"/>
      <c r="O456" s="277"/>
      <c r="P456" s="445"/>
    </row>
    <row r="457" spans="1:16">
      <c r="A457" s="445"/>
      <c r="B457" s="445"/>
      <c r="C457" s="445"/>
      <c r="D457" s="445"/>
      <c r="E457" s="277"/>
      <c r="F457" s="445"/>
      <c r="G457" s="445"/>
      <c r="H457" s="445"/>
      <c r="I457" s="445"/>
      <c r="J457" s="445"/>
      <c r="K457" s="1136"/>
      <c r="L457" s="1136"/>
      <c r="M457" s="445"/>
      <c r="N457" s="277"/>
      <c r="O457" s="277"/>
      <c r="P457" s="445"/>
    </row>
    <row r="458" spans="1:16">
      <c r="A458" s="445"/>
      <c r="B458" s="445"/>
      <c r="C458" s="445"/>
      <c r="D458" s="445"/>
      <c r="E458" s="277"/>
      <c r="F458" s="445"/>
      <c r="G458" s="445"/>
      <c r="H458" s="445"/>
      <c r="I458" s="445"/>
      <c r="J458" s="445"/>
      <c r="K458" s="1136"/>
      <c r="L458" s="1136"/>
      <c r="M458" s="445"/>
      <c r="N458" s="277"/>
      <c r="O458" s="277"/>
      <c r="P458" s="445"/>
    </row>
    <row r="459" spans="1:16">
      <c r="A459" s="445"/>
      <c r="B459" s="445"/>
      <c r="C459" s="445"/>
      <c r="D459" s="445"/>
      <c r="E459" s="277"/>
      <c r="F459" s="445"/>
      <c r="G459" s="445"/>
      <c r="H459" s="445"/>
      <c r="I459" s="445"/>
      <c r="J459" s="445"/>
      <c r="K459" s="1136"/>
      <c r="L459" s="1136"/>
      <c r="M459" s="445"/>
      <c r="N459" s="277"/>
      <c r="O459" s="277"/>
      <c r="P459" s="445"/>
    </row>
    <row r="460" spans="1:16">
      <c r="A460" s="445"/>
      <c r="B460" s="445"/>
      <c r="C460" s="445"/>
      <c r="D460" s="445"/>
      <c r="E460" s="277"/>
      <c r="F460" s="445"/>
      <c r="G460" s="445"/>
      <c r="H460" s="445"/>
      <c r="I460" s="445"/>
      <c r="J460" s="445"/>
      <c r="K460" s="1136"/>
      <c r="L460" s="1136"/>
      <c r="M460" s="445"/>
      <c r="N460" s="277"/>
      <c r="O460" s="277"/>
      <c r="P460" s="445"/>
    </row>
    <row r="461" spans="1:16">
      <c r="A461" s="445"/>
      <c r="B461" s="445"/>
      <c r="C461" s="445"/>
      <c r="D461" s="445"/>
      <c r="E461" s="277"/>
      <c r="F461" s="445"/>
      <c r="G461" s="445"/>
      <c r="H461" s="445"/>
      <c r="I461" s="445"/>
      <c r="J461" s="445"/>
      <c r="K461" s="1136"/>
      <c r="L461" s="1136"/>
      <c r="M461" s="445"/>
      <c r="N461" s="277"/>
      <c r="O461" s="277"/>
      <c r="P461" s="445"/>
    </row>
    <row r="462" spans="1:16">
      <c r="A462" s="445"/>
      <c r="B462" s="445"/>
      <c r="C462" s="445"/>
      <c r="D462" s="445"/>
      <c r="E462" s="277"/>
      <c r="F462" s="445"/>
      <c r="G462" s="445"/>
      <c r="H462" s="445"/>
      <c r="I462" s="445"/>
      <c r="J462" s="445"/>
      <c r="K462" s="1136"/>
      <c r="L462" s="1136"/>
      <c r="M462" s="445"/>
      <c r="N462" s="277"/>
      <c r="O462" s="277"/>
      <c r="P462" s="445"/>
    </row>
    <row r="463" spans="1:16">
      <c r="A463" s="445"/>
      <c r="B463" s="445"/>
      <c r="C463" s="445"/>
      <c r="D463" s="445"/>
      <c r="E463" s="277"/>
      <c r="F463" s="445"/>
      <c r="G463" s="445"/>
      <c r="H463" s="445"/>
      <c r="I463" s="445"/>
      <c r="J463" s="445"/>
      <c r="K463" s="1136"/>
      <c r="L463" s="1136"/>
      <c r="M463" s="445"/>
      <c r="N463" s="277"/>
      <c r="O463" s="277"/>
      <c r="P463" s="445"/>
    </row>
    <row r="464" spans="1:16">
      <c r="A464" s="445"/>
      <c r="B464" s="445"/>
      <c r="C464" s="445"/>
      <c r="D464" s="445"/>
      <c r="E464" s="277"/>
      <c r="F464" s="445"/>
      <c r="G464" s="445"/>
      <c r="H464" s="445"/>
      <c r="I464" s="445"/>
      <c r="J464" s="445"/>
      <c r="K464" s="1136"/>
      <c r="L464" s="1136"/>
      <c r="M464" s="445"/>
      <c r="N464" s="277"/>
      <c r="O464" s="277"/>
      <c r="P464" s="445"/>
    </row>
    <row r="465" spans="1:16">
      <c r="A465" s="445"/>
      <c r="B465" s="445"/>
      <c r="C465" s="445"/>
      <c r="D465" s="445"/>
      <c r="E465" s="277"/>
      <c r="F465" s="445"/>
      <c r="G465" s="445"/>
      <c r="H465" s="445"/>
      <c r="I465" s="445"/>
      <c r="J465" s="445"/>
      <c r="K465" s="1136"/>
      <c r="L465" s="1136"/>
      <c r="M465" s="445"/>
      <c r="N465" s="277"/>
      <c r="O465" s="277"/>
      <c r="P465" s="445"/>
    </row>
    <row r="466" spans="1:16">
      <c r="A466" s="445"/>
      <c r="B466" s="445"/>
      <c r="C466" s="445"/>
      <c r="D466" s="445"/>
      <c r="E466" s="277"/>
      <c r="F466" s="445"/>
      <c r="G466" s="445"/>
      <c r="H466" s="445"/>
      <c r="I466" s="445"/>
      <c r="J466" s="445"/>
      <c r="K466" s="1136"/>
      <c r="L466" s="1136"/>
      <c r="M466" s="445"/>
      <c r="N466" s="277"/>
      <c r="O466" s="277"/>
      <c r="P466" s="445"/>
    </row>
    <row r="467" spans="1:16">
      <c r="A467" s="445"/>
      <c r="B467" s="445"/>
      <c r="C467" s="445"/>
      <c r="D467" s="445"/>
      <c r="E467" s="277"/>
      <c r="F467" s="445"/>
      <c r="G467" s="445"/>
      <c r="H467" s="445"/>
      <c r="I467" s="445"/>
      <c r="J467" s="445"/>
      <c r="K467" s="1136"/>
      <c r="L467" s="1136"/>
      <c r="M467" s="445"/>
      <c r="N467" s="277"/>
      <c r="O467" s="277"/>
      <c r="P467" s="445"/>
    </row>
    <row r="468" spans="1:16">
      <c r="A468" s="445"/>
      <c r="B468" s="445"/>
      <c r="C468" s="445"/>
      <c r="D468" s="445"/>
      <c r="E468" s="277"/>
      <c r="F468" s="445"/>
      <c r="G468" s="445"/>
      <c r="H468" s="445"/>
      <c r="I468" s="445"/>
      <c r="J468" s="445"/>
      <c r="K468" s="1136"/>
      <c r="L468" s="1136"/>
      <c r="M468" s="445"/>
      <c r="N468" s="277"/>
      <c r="O468" s="277"/>
      <c r="P468" s="445"/>
    </row>
    <row r="469" spans="1:16">
      <c r="A469" s="445"/>
      <c r="B469" s="445"/>
      <c r="C469" s="445"/>
      <c r="D469" s="445"/>
      <c r="E469" s="277"/>
      <c r="F469" s="445"/>
      <c r="G469" s="445"/>
      <c r="H469" s="445"/>
      <c r="I469" s="445"/>
      <c r="J469" s="445"/>
      <c r="K469" s="1136"/>
      <c r="L469" s="1136"/>
      <c r="M469" s="445"/>
      <c r="N469" s="277"/>
      <c r="O469" s="277"/>
      <c r="P469" s="445"/>
    </row>
    <row r="470" spans="1:16">
      <c r="A470" s="445"/>
      <c r="B470" s="445"/>
      <c r="C470" s="445"/>
      <c r="D470" s="445"/>
      <c r="E470" s="277"/>
      <c r="F470" s="445"/>
      <c r="G470" s="445"/>
      <c r="H470" s="445"/>
      <c r="I470" s="445"/>
      <c r="J470" s="445"/>
      <c r="K470" s="1136"/>
      <c r="L470" s="1136"/>
      <c r="M470" s="445"/>
      <c r="N470" s="277"/>
      <c r="O470" s="277"/>
      <c r="P470" s="445"/>
    </row>
    <row r="471" spans="1:16">
      <c r="A471" s="445"/>
      <c r="B471" s="445"/>
      <c r="C471" s="445"/>
      <c r="D471" s="445"/>
      <c r="E471" s="277"/>
      <c r="F471" s="445"/>
      <c r="G471" s="445"/>
      <c r="H471" s="445"/>
      <c r="I471" s="445"/>
      <c r="J471" s="445"/>
      <c r="K471" s="1136"/>
      <c r="L471" s="1136"/>
      <c r="M471" s="445"/>
      <c r="N471" s="277"/>
      <c r="O471" s="277"/>
      <c r="P471" s="445"/>
    </row>
    <row r="472" spans="1:16">
      <c r="A472" s="445"/>
      <c r="B472" s="445"/>
      <c r="C472" s="445"/>
      <c r="D472" s="445"/>
      <c r="E472" s="277"/>
      <c r="F472" s="445"/>
      <c r="G472" s="445"/>
      <c r="H472" s="445"/>
      <c r="I472" s="445"/>
      <c r="J472" s="445"/>
      <c r="K472" s="1136"/>
      <c r="L472" s="1136"/>
      <c r="M472" s="445"/>
      <c r="N472" s="277"/>
      <c r="O472" s="277"/>
      <c r="P472" s="445"/>
    </row>
    <row r="473" spans="1:16">
      <c r="A473" s="445"/>
      <c r="B473" s="445"/>
      <c r="C473" s="445"/>
      <c r="D473" s="445"/>
      <c r="E473" s="277"/>
      <c r="F473" s="445"/>
      <c r="G473" s="445"/>
      <c r="H473" s="445"/>
      <c r="I473" s="445"/>
      <c r="J473" s="445"/>
      <c r="K473" s="1136"/>
      <c r="L473" s="1136"/>
      <c r="M473" s="445"/>
      <c r="N473" s="277"/>
      <c r="O473" s="277"/>
      <c r="P473" s="445"/>
    </row>
    <row r="474" spans="1:16">
      <c r="A474" s="445"/>
      <c r="B474" s="445"/>
      <c r="C474" s="445"/>
      <c r="D474" s="445"/>
      <c r="E474" s="277"/>
      <c r="F474" s="445"/>
      <c r="G474" s="445"/>
      <c r="H474" s="445"/>
      <c r="I474" s="445"/>
      <c r="J474" s="445"/>
      <c r="K474" s="1136"/>
      <c r="L474" s="1136"/>
      <c r="M474" s="445"/>
      <c r="N474" s="277"/>
      <c r="O474" s="277"/>
      <c r="P474" s="445"/>
    </row>
    <row r="475" spans="1:16">
      <c r="A475" s="445"/>
      <c r="B475" s="445"/>
      <c r="C475" s="445"/>
      <c r="D475" s="445"/>
      <c r="E475" s="277"/>
      <c r="F475" s="445"/>
      <c r="G475" s="445"/>
      <c r="H475" s="445"/>
      <c r="I475" s="445"/>
      <c r="J475" s="445"/>
      <c r="K475" s="1136"/>
      <c r="L475" s="1136"/>
      <c r="M475" s="445"/>
      <c r="N475" s="277"/>
      <c r="O475" s="277"/>
      <c r="P475" s="445"/>
    </row>
    <row r="476" spans="1:16">
      <c r="A476" s="445"/>
      <c r="B476" s="445"/>
      <c r="C476" s="445"/>
      <c r="D476" s="445"/>
      <c r="E476" s="277"/>
      <c r="F476" s="445"/>
      <c r="G476" s="445"/>
      <c r="H476" s="445"/>
      <c r="I476" s="445"/>
      <c r="J476" s="445"/>
      <c r="K476" s="1136"/>
      <c r="L476" s="1136"/>
      <c r="M476" s="445"/>
      <c r="N476" s="277"/>
      <c r="O476" s="277"/>
      <c r="P476" s="445"/>
    </row>
    <row r="477" spans="1:16">
      <c r="A477" s="445"/>
      <c r="B477" s="445"/>
      <c r="C477" s="445"/>
      <c r="D477" s="445"/>
      <c r="E477" s="277"/>
      <c r="F477" s="445"/>
      <c r="G477" s="445"/>
      <c r="H477" s="445"/>
      <c r="I477" s="445"/>
      <c r="J477" s="445"/>
      <c r="K477" s="1136"/>
      <c r="L477" s="1136"/>
      <c r="M477" s="445"/>
      <c r="N477" s="277"/>
      <c r="O477" s="277"/>
      <c r="P477" s="445"/>
    </row>
    <row r="478" spans="1:16">
      <c r="A478" s="445"/>
      <c r="B478" s="445"/>
      <c r="C478" s="445"/>
      <c r="D478" s="445"/>
      <c r="E478" s="277"/>
      <c r="F478" s="445"/>
      <c r="G478" s="445"/>
      <c r="H478" s="445"/>
      <c r="I478" s="445"/>
      <c r="J478" s="445"/>
      <c r="K478" s="1136"/>
      <c r="L478" s="1136"/>
      <c r="M478" s="445"/>
      <c r="N478" s="277"/>
      <c r="O478" s="277"/>
      <c r="P478" s="445"/>
    </row>
  </sheetData>
  <mergeCells count="4">
    <mergeCell ref="A5:E5"/>
    <mergeCell ref="F5:J5"/>
    <mergeCell ref="K5:M5"/>
    <mergeCell ref="N5:P5"/>
  </mergeCells>
  <printOptions horizontalCentered="1"/>
  <pageMargins left="0.19685039370078741" right="0.19685039370078741" top="0.78740157480314965" bottom="0.78740157480314965" header="0.19685039370078741" footer="0.19685039370078741"/>
  <pageSetup paperSize="9" scale="60" fitToHeight="100" orientation="landscape" r:id="rId1"/>
  <headerFooter>
    <oddHeader>&amp;C&amp;"Arial,Negrita"&amp;20PROYECTO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2060"/>
    <pageSetUpPr fitToPage="1"/>
  </sheetPr>
  <dimension ref="A1:V478"/>
  <sheetViews>
    <sheetView view="pageBreakPreview" zoomScaleNormal="100" zoomScaleSheetLayoutView="100" workbookViewId="0">
      <selection activeCell="B8" sqref="B8"/>
    </sheetView>
  </sheetViews>
  <sheetFormatPr baseColWidth="10" defaultColWidth="11.42578125" defaultRowHeight="12"/>
  <cols>
    <col min="1" max="1" width="13.140625" style="265" customWidth="1"/>
    <col min="2" max="2" width="9.140625" style="285" customWidth="1"/>
    <col min="3" max="3" width="10.140625" style="285" customWidth="1"/>
    <col min="4" max="4" width="20.7109375" style="265" customWidth="1"/>
    <col min="5" max="5" width="10.7109375" style="265" customWidth="1"/>
    <col min="6" max="6" width="9" style="265" bestFit="1" customWidth="1"/>
    <col min="7" max="7" width="35.7109375" style="265" customWidth="1"/>
    <col min="8" max="8" width="20.7109375" style="265" customWidth="1"/>
    <col min="9" max="9" width="35.7109375" style="265" customWidth="1"/>
    <col min="10" max="10" width="20.7109375" style="265" customWidth="1"/>
    <col min="11" max="11" width="7.7109375" style="276" bestFit="1" customWidth="1"/>
    <col min="12" max="12" width="5.42578125" style="276" bestFit="1" customWidth="1"/>
    <col min="13" max="13" width="8.85546875" style="265" bestFit="1" customWidth="1"/>
    <col min="14" max="14" width="7.7109375" style="265" bestFit="1" customWidth="1"/>
    <col min="15" max="15" width="5.42578125" style="265" bestFit="1" customWidth="1"/>
    <col min="16" max="16" width="8.85546875" style="265" bestFit="1" customWidth="1"/>
    <col min="17" max="16384" width="11.42578125" style="265"/>
  </cols>
  <sheetData>
    <row r="1" spans="1:22" s="275" customFormat="1">
      <c r="A1" s="275" t="s">
        <v>473</v>
      </c>
      <c r="B1" s="444"/>
      <c r="C1" s="444"/>
    </row>
    <row r="2" spans="1:22" s="264" customFormat="1">
      <c r="A2" s="69" t="s">
        <v>1655</v>
      </c>
      <c r="B2" s="282"/>
      <c r="C2" s="282"/>
      <c r="D2" s="69"/>
      <c r="E2" s="69"/>
      <c r="F2" s="69"/>
      <c r="G2" s="69"/>
      <c r="H2" s="69"/>
      <c r="I2" s="69"/>
      <c r="J2" s="69"/>
      <c r="K2" s="69"/>
      <c r="L2" s="69"/>
      <c r="M2" s="69"/>
      <c r="N2" s="69"/>
      <c r="O2" s="69"/>
      <c r="P2" s="69"/>
      <c r="Q2" s="69"/>
      <c r="R2" s="69"/>
      <c r="S2" s="69"/>
      <c r="T2" s="69"/>
      <c r="U2" s="69"/>
      <c r="V2" s="69"/>
    </row>
    <row r="3" spans="1:22" s="264" customFormat="1">
      <c r="A3" s="69" t="s">
        <v>2415</v>
      </c>
      <c r="B3" s="282"/>
      <c r="C3" s="282"/>
      <c r="D3" s="69"/>
      <c r="E3" s="69"/>
      <c r="F3" s="69"/>
      <c r="G3" s="69"/>
      <c r="H3" s="69"/>
      <c r="I3" s="69"/>
      <c r="J3" s="69"/>
      <c r="K3" s="69"/>
      <c r="L3" s="69"/>
      <c r="M3" s="69"/>
      <c r="N3" s="69"/>
      <c r="O3" s="69"/>
      <c r="P3" s="69"/>
      <c r="Q3" s="69"/>
      <c r="R3" s="69"/>
      <c r="S3" s="69"/>
      <c r="T3" s="69"/>
      <c r="U3" s="69"/>
      <c r="V3" s="69"/>
    </row>
    <row r="4" spans="1:22" ht="12.75" thickBot="1">
      <c r="A4" s="69" t="s">
        <v>2414</v>
      </c>
    </row>
    <row r="5" spans="1:22" s="277" customFormat="1" ht="12.75" thickBot="1">
      <c r="A5" s="2024" t="s">
        <v>131</v>
      </c>
      <c r="B5" s="2069"/>
      <c r="C5" s="2069"/>
      <c r="D5" s="2069"/>
      <c r="E5" s="2069"/>
      <c r="F5" s="2070" t="s">
        <v>132</v>
      </c>
      <c r="G5" s="2071"/>
      <c r="H5" s="2072"/>
      <c r="I5" s="2072"/>
      <c r="J5" s="2073"/>
      <c r="K5" s="2074" t="s">
        <v>1652</v>
      </c>
      <c r="L5" s="2075"/>
      <c r="M5" s="2076"/>
      <c r="N5" s="2074" t="s">
        <v>1651</v>
      </c>
      <c r="O5" s="2075"/>
      <c r="P5" s="2076"/>
    </row>
    <row r="6" spans="1:22" s="278" customFormat="1" ht="78" thickBot="1">
      <c r="A6" s="401" t="s">
        <v>94</v>
      </c>
      <c r="B6" s="139" t="s">
        <v>8</v>
      </c>
      <c r="C6" s="139" t="s">
        <v>91</v>
      </c>
      <c r="D6" s="402" t="s">
        <v>95</v>
      </c>
      <c r="E6" s="403" t="s">
        <v>115</v>
      </c>
      <c r="F6" s="401" t="s">
        <v>119</v>
      </c>
      <c r="G6" s="402" t="s">
        <v>120</v>
      </c>
      <c r="H6" s="402" t="s">
        <v>134</v>
      </c>
      <c r="I6" s="139" t="s">
        <v>135</v>
      </c>
      <c r="J6" s="400" t="s">
        <v>124</v>
      </c>
      <c r="K6" s="443" t="s">
        <v>121</v>
      </c>
      <c r="L6" s="140" t="s">
        <v>122</v>
      </c>
      <c r="M6" s="141" t="s">
        <v>123</v>
      </c>
      <c r="N6" s="443" t="s">
        <v>121</v>
      </c>
      <c r="O6" s="140" t="s">
        <v>122</v>
      </c>
      <c r="P6" s="141" t="s">
        <v>123</v>
      </c>
    </row>
    <row r="7" spans="1:22" s="1150" customFormat="1" ht="24">
      <c r="A7" s="1217" t="s">
        <v>1874</v>
      </c>
      <c r="B7" s="1218" t="s">
        <v>1869</v>
      </c>
      <c r="C7" s="1218" t="s">
        <v>504</v>
      </c>
      <c r="D7" s="1217" t="s">
        <v>2413</v>
      </c>
      <c r="E7" s="1219">
        <v>1200</v>
      </c>
      <c r="F7" s="1220" t="s">
        <v>2412</v>
      </c>
      <c r="G7" s="1217" t="s">
        <v>2411</v>
      </c>
      <c r="H7" s="1217"/>
      <c r="I7" s="1217"/>
      <c r="J7" s="1221" t="s">
        <v>569</v>
      </c>
      <c r="K7" s="1222">
        <v>5</v>
      </c>
      <c r="L7" s="1223">
        <v>12</v>
      </c>
      <c r="M7" s="1224">
        <f t="shared" ref="M7:M70" si="0">+E7*L7</f>
        <v>14400</v>
      </c>
      <c r="N7" s="1225">
        <v>5</v>
      </c>
      <c r="O7" s="1226">
        <v>6</v>
      </c>
      <c r="P7" s="1224">
        <f t="shared" ref="P7:P38" si="1">+E7*O7</f>
        <v>7200</v>
      </c>
    </row>
    <row r="8" spans="1:22" s="1150" customFormat="1" ht="24">
      <c r="A8" s="1217" t="s">
        <v>1870</v>
      </c>
      <c r="B8" s="1218" t="s">
        <v>1869</v>
      </c>
      <c r="C8" s="1218" t="s">
        <v>504</v>
      </c>
      <c r="D8" s="1217" t="s">
        <v>2410</v>
      </c>
      <c r="E8" s="1219">
        <v>930</v>
      </c>
      <c r="F8" s="1220" t="s">
        <v>2409</v>
      </c>
      <c r="G8" s="1217" t="s">
        <v>2408</v>
      </c>
      <c r="H8" s="1217"/>
      <c r="I8" s="1217"/>
      <c r="J8" s="1221" t="s">
        <v>1865</v>
      </c>
      <c r="K8" s="1222">
        <v>11</v>
      </c>
      <c r="L8" s="1227">
        <v>12</v>
      </c>
      <c r="M8" s="1224">
        <f t="shared" si="0"/>
        <v>11160</v>
      </c>
      <c r="N8" s="1228">
        <v>11</v>
      </c>
      <c r="O8" s="1229">
        <v>6</v>
      </c>
      <c r="P8" s="1224">
        <f t="shared" si="1"/>
        <v>5580</v>
      </c>
    </row>
    <row r="9" spans="1:22" s="1150" customFormat="1" ht="24">
      <c r="A9" s="1217" t="s">
        <v>1870</v>
      </c>
      <c r="B9" s="1218" t="s">
        <v>1869</v>
      </c>
      <c r="C9" s="1218" t="s">
        <v>504</v>
      </c>
      <c r="D9" s="1217" t="s">
        <v>1933</v>
      </c>
      <c r="E9" s="1219">
        <v>930</v>
      </c>
      <c r="F9" s="1220" t="s">
        <v>2407</v>
      </c>
      <c r="G9" s="1217" t="s">
        <v>2406</v>
      </c>
      <c r="H9" s="1217"/>
      <c r="I9" s="1217"/>
      <c r="J9" s="1221" t="s">
        <v>618</v>
      </c>
      <c r="K9" s="1222">
        <v>11</v>
      </c>
      <c r="L9" s="1227">
        <v>12</v>
      </c>
      <c r="M9" s="1224">
        <f t="shared" si="0"/>
        <v>11160</v>
      </c>
      <c r="N9" s="1228">
        <v>11</v>
      </c>
      <c r="O9" s="1229">
        <v>6</v>
      </c>
      <c r="P9" s="1224">
        <f t="shared" si="1"/>
        <v>5580</v>
      </c>
    </row>
    <row r="10" spans="1:22" s="1150" customFormat="1" ht="24">
      <c r="A10" s="1217" t="s">
        <v>1874</v>
      </c>
      <c r="B10" s="1218" t="s">
        <v>1869</v>
      </c>
      <c r="C10" s="1218" t="s">
        <v>504</v>
      </c>
      <c r="D10" s="1217" t="s">
        <v>1930</v>
      </c>
      <c r="E10" s="1219">
        <v>1000</v>
      </c>
      <c r="F10" s="1220" t="s">
        <v>2405</v>
      </c>
      <c r="G10" s="1217" t="s">
        <v>2404</v>
      </c>
      <c r="H10" s="1217"/>
      <c r="I10" s="1217"/>
      <c r="J10" s="1221" t="s">
        <v>618</v>
      </c>
      <c r="K10" s="1222">
        <v>11</v>
      </c>
      <c r="L10" s="1223">
        <v>12</v>
      </c>
      <c r="M10" s="1224">
        <f t="shared" si="0"/>
        <v>12000</v>
      </c>
      <c r="N10" s="1228">
        <v>11</v>
      </c>
      <c r="O10" s="1229">
        <v>6</v>
      </c>
      <c r="P10" s="1224">
        <f t="shared" si="1"/>
        <v>6000</v>
      </c>
    </row>
    <row r="11" spans="1:22" s="1150" customFormat="1" ht="24">
      <c r="A11" s="1217" t="s">
        <v>1870</v>
      </c>
      <c r="B11" s="1218" t="s">
        <v>1880</v>
      </c>
      <c r="C11" s="1218" t="s">
        <v>504</v>
      </c>
      <c r="D11" s="1217" t="s">
        <v>960</v>
      </c>
      <c r="E11" s="1219">
        <v>930</v>
      </c>
      <c r="F11" s="1220" t="s">
        <v>2403</v>
      </c>
      <c r="G11" s="1217" t="s">
        <v>2402</v>
      </c>
      <c r="H11" s="1217"/>
      <c r="I11" s="1217"/>
      <c r="J11" s="1221" t="s">
        <v>569</v>
      </c>
      <c r="K11" s="1222">
        <v>8</v>
      </c>
      <c r="L11" s="1227">
        <v>12</v>
      </c>
      <c r="M11" s="1224">
        <f t="shared" si="0"/>
        <v>11160</v>
      </c>
      <c r="N11" s="1228">
        <v>8</v>
      </c>
      <c r="O11" s="1229">
        <v>6</v>
      </c>
      <c r="P11" s="1224">
        <f t="shared" si="1"/>
        <v>5580</v>
      </c>
    </row>
    <row r="12" spans="1:22" s="1150" customFormat="1" ht="24">
      <c r="A12" s="1217" t="s">
        <v>1870</v>
      </c>
      <c r="B12" s="1218" t="s">
        <v>1869</v>
      </c>
      <c r="C12" s="1218" t="s">
        <v>504</v>
      </c>
      <c r="D12" s="1217" t="s">
        <v>1952</v>
      </c>
      <c r="E12" s="1219">
        <v>930</v>
      </c>
      <c r="F12" s="1220" t="s">
        <v>2401</v>
      </c>
      <c r="G12" s="1217" t="s">
        <v>2400</v>
      </c>
      <c r="H12" s="1217"/>
      <c r="I12" s="1217"/>
      <c r="J12" s="1221" t="s">
        <v>618</v>
      </c>
      <c r="K12" s="1222">
        <v>4</v>
      </c>
      <c r="L12" s="1227">
        <v>12</v>
      </c>
      <c r="M12" s="1224">
        <f t="shared" si="0"/>
        <v>11160</v>
      </c>
      <c r="N12" s="1228">
        <v>4</v>
      </c>
      <c r="O12" s="1229">
        <v>6</v>
      </c>
      <c r="P12" s="1224">
        <f t="shared" si="1"/>
        <v>5580</v>
      </c>
    </row>
    <row r="13" spans="1:22" s="1150" customFormat="1" ht="24">
      <c r="A13" s="1217" t="s">
        <v>1870</v>
      </c>
      <c r="B13" s="1218" t="s">
        <v>1880</v>
      </c>
      <c r="C13" s="1218" t="s">
        <v>504</v>
      </c>
      <c r="D13" s="1217" t="s">
        <v>1925</v>
      </c>
      <c r="E13" s="1219">
        <v>930</v>
      </c>
      <c r="F13" s="1220" t="s">
        <v>2399</v>
      </c>
      <c r="G13" s="1217" t="s">
        <v>2398</v>
      </c>
      <c r="H13" s="1217"/>
      <c r="I13" s="1217"/>
      <c r="J13" s="1221" t="s">
        <v>1865</v>
      </c>
      <c r="K13" s="1222">
        <v>10</v>
      </c>
      <c r="L13" s="1227">
        <v>12</v>
      </c>
      <c r="M13" s="1224">
        <f t="shared" si="0"/>
        <v>11160</v>
      </c>
      <c r="N13" s="1228">
        <v>10</v>
      </c>
      <c r="O13" s="1229">
        <v>6</v>
      </c>
      <c r="P13" s="1224">
        <f t="shared" si="1"/>
        <v>5580</v>
      </c>
    </row>
    <row r="14" spans="1:22" s="1150" customFormat="1" ht="24">
      <c r="A14" s="1217" t="s">
        <v>1870</v>
      </c>
      <c r="B14" s="1218" t="s">
        <v>1869</v>
      </c>
      <c r="C14" s="1218" t="s">
        <v>504</v>
      </c>
      <c r="D14" s="1217" t="s">
        <v>1980</v>
      </c>
      <c r="E14" s="1219">
        <v>930</v>
      </c>
      <c r="F14" s="1220" t="s">
        <v>2397</v>
      </c>
      <c r="G14" s="1217" t="s">
        <v>2396</v>
      </c>
      <c r="H14" s="1217"/>
      <c r="I14" s="1217"/>
      <c r="J14" s="1221" t="s">
        <v>618</v>
      </c>
      <c r="K14" s="1222">
        <v>5</v>
      </c>
      <c r="L14" s="1227">
        <v>12</v>
      </c>
      <c r="M14" s="1224">
        <f t="shared" si="0"/>
        <v>11160</v>
      </c>
      <c r="N14" s="1228">
        <v>5</v>
      </c>
      <c r="O14" s="1229">
        <v>6</v>
      </c>
      <c r="P14" s="1224">
        <f t="shared" si="1"/>
        <v>5580</v>
      </c>
    </row>
    <row r="15" spans="1:22" s="1150" customFormat="1" ht="36">
      <c r="A15" s="1217" t="s">
        <v>1874</v>
      </c>
      <c r="B15" s="1218" t="s">
        <v>1880</v>
      </c>
      <c r="C15" s="1218" t="s">
        <v>504</v>
      </c>
      <c r="D15" s="1217" t="s">
        <v>2102</v>
      </c>
      <c r="E15" s="1219">
        <v>1000</v>
      </c>
      <c r="F15" s="1220" t="s">
        <v>2395</v>
      </c>
      <c r="G15" s="1217" t="s">
        <v>2394</v>
      </c>
      <c r="H15" s="1217"/>
      <c r="I15" s="1217"/>
      <c r="J15" s="1221" t="s">
        <v>618</v>
      </c>
      <c r="K15" s="1222">
        <v>10</v>
      </c>
      <c r="L15" s="1223">
        <v>12</v>
      </c>
      <c r="M15" s="1224">
        <f t="shared" si="0"/>
        <v>12000</v>
      </c>
      <c r="N15" s="1228">
        <v>10</v>
      </c>
      <c r="O15" s="1229">
        <v>6</v>
      </c>
      <c r="P15" s="1224">
        <f t="shared" si="1"/>
        <v>6000</v>
      </c>
    </row>
    <row r="16" spans="1:22" s="1150" customFormat="1" ht="36">
      <c r="A16" s="1217" t="s">
        <v>1874</v>
      </c>
      <c r="B16" s="1218" t="s">
        <v>1880</v>
      </c>
      <c r="C16" s="1218" t="s">
        <v>504</v>
      </c>
      <c r="D16" s="1217" t="s">
        <v>2102</v>
      </c>
      <c r="E16" s="1219">
        <v>1000</v>
      </c>
      <c r="F16" s="1220" t="s">
        <v>2393</v>
      </c>
      <c r="G16" s="1217" t="s">
        <v>2392</v>
      </c>
      <c r="H16" s="1217"/>
      <c r="I16" s="1217"/>
      <c r="J16" s="1221" t="s">
        <v>618</v>
      </c>
      <c r="K16" s="1222">
        <v>10</v>
      </c>
      <c r="L16" s="1223">
        <v>12</v>
      </c>
      <c r="M16" s="1224">
        <f t="shared" si="0"/>
        <v>12000</v>
      </c>
      <c r="N16" s="1228">
        <v>10</v>
      </c>
      <c r="O16" s="1229">
        <v>6</v>
      </c>
      <c r="P16" s="1224">
        <f t="shared" si="1"/>
        <v>6000</v>
      </c>
    </row>
    <row r="17" spans="1:16" s="1150" customFormat="1" ht="24">
      <c r="A17" s="1217" t="s">
        <v>1870</v>
      </c>
      <c r="B17" s="1218" t="s">
        <v>1869</v>
      </c>
      <c r="C17" s="1218" t="s">
        <v>504</v>
      </c>
      <c r="D17" s="1217" t="s">
        <v>1922</v>
      </c>
      <c r="E17" s="1219">
        <v>930</v>
      </c>
      <c r="F17" s="1220" t="s">
        <v>2391</v>
      </c>
      <c r="G17" s="1217" t="s">
        <v>2390</v>
      </c>
      <c r="H17" s="1217"/>
      <c r="I17" s="1217"/>
      <c r="J17" s="1221" t="s">
        <v>618</v>
      </c>
      <c r="K17" s="1222">
        <v>11</v>
      </c>
      <c r="L17" s="1227">
        <v>12</v>
      </c>
      <c r="M17" s="1224">
        <f t="shared" si="0"/>
        <v>11160</v>
      </c>
      <c r="N17" s="1228">
        <v>11</v>
      </c>
      <c r="O17" s="1229">
        <v>6</v>
      </c>
      <c r="P17" s="1224">
        <f t="shared" si="1"/>
        <v>5580</v>
      </c>
    </row>
    <row r="18" spans="1:16" s="1150" customFormat="1" ht="24">
      <c r="A18" s="1217" t="s">
        <v>1870</v>
      </c>
      <c r="B18" s="1218" t="s">
        <v>1869</v>
      </c>
      <c r="C18" s="1218" t="s">
        <v>504</v>
      </c>
      <c r="D18" s="1217" t="s">
        <v>1930</v>
      </c>
      <c r="E18" s="1219">
        <v>930</v>
      </c>
      <c r="F18" s="1220" t="s">
        <v>2389</v>
      </c>
      <c r="G18" s="1217" t="s">
        <v>2388</v>
      </c>
      <c r="H18" s="1217"/>
      <c r="I18" s="1217"/>
      <c r="J18" s="1221" t="s">
        <v>618</v>
      </c>
      <c r="K18" s="1222">
        <v>11</v>
      </c>
      <c r="L18" s="1227">
        <v>12</v>
      </c>
      <c r="M18" s="1224">
        <f t="shared" si="0"/>
        <v>11160</v>
      </c>
      <c r="N18" s="1228">
        <v>11</v>
      </c>
      <c r="O18" s="1229">
        <v>6</v>
      </c>
      <c r="P18" s="1224">
        <f t="shared" si="1"/>
        <v>5580</v>
      </c>
    </row>
    <row r="19" spans="1:16" s="1150" customFormat="1" ht="24">
      <c r="A19" s="1217" t="s">
        <v>1870</v>
      </c>
      <c r="B19" s="1218" t="s">
        <v>1869</v>
      </c>
      <c r="C19" s="1218" t="s">
        <v>504</v>
      </c>
      <c r="D19" s="1217" t="s">
        <v>1944</v>
      </c>
      <c r="E19" s="1219">
        <v>930</v>
      </c>
      <c r="F19" s="1220" t="s">
        <v>2387</v>
      </c>
      <c r="G19" s="1217" t="s">
        <v>2386</v>
      </c>
      <c r="H19" s="1217"/>
      <c r="I19" s="1217"/>
      <c r="J19" s="1221" t="s">
        <v>618</v>
      </c>
      <c r="K19" s="1222">
        <v>11</v>
      </c>
      <c r="L19" s="1227">
        <v>12</v>
      </c>
      <c r="M19" s="1224">
        <f t="shared" si="0"/>
        <v>11160</v>
      </c>
      <c r="N19" s="1228">
        <v>11</v>
      </c>
      <c r="O19" s="1229">
        <v>6</v>
      </c>
      <c r="P19" s="1224">
        <f t="shared" si="1"/>
        <v>5580</v>
      </c>
    </row>
    <row r="20" spans="1:16" s="1150" customFormat="1" ht="24">
      <c r="A20" s="1217" t="s">
        <v>1870</v>
      </c>
      <c r="B20" s="1218" t="s">
        <v>1880</v>
      </c>
      <c r="C20" s="1218" t="s">
        <v>504</v>
      </c>
      <c r="D20" s="1217" t="s">
        <v>1930</v>
      </c>
      <c r="E20" s="1219">
        <v>930</v>
      </c>
      <c r="F20" s="1220" t="s">
        <v>2385</v>
      </c>
      <c r="G20" s="1217" t="s">
        <v>2384</v>
      </c>
      <c r="H20" s="1217"/>
      <c r="I20" s="1217"/>
      <c r="J20" s="1221" t="s">
        <v>618</v>
      </c>
      <c r="K20" s="1222">
        <v>10</v>
      </c>
      <c r="L20" s="1227">
        <v>12</v>
      </c>
      <c r="M20" s="1224">
        <f t="shared" si="0"/>
        <v>11160</v>
      </c>
      <c r="N20" s="1228">
        <v>10</v>
      </c>
      <c r="O20" s="1229">
        <v>6</v>
      </c>
      <c r="P20" s="1224">
        <f t="shared" si="1"/>
        <v>5580</v>
      </c>
    </row>
    <row r="21" spans="1:16" s="1150" customFormat="1" ht="24">
      <c r="A21" s="1217" t="s">
        <v>1874</v>
      </c>
      <c r="B21" s="1218" t="s">
        <v>1869</v>
      </c>
      <c r="C21" s="1218" t="s">
        <v>504</v>
      </c>
      <c r="D21" s="1217" t="s">
        <v>2383</v>
      </c>
      <c r="E21" s="1219">
        <v>1400</v>
      </c>
      <c r="F21" s="1220" t="s">
        <v>2382</v>
      </c>
      <c r="G21" s="1217" t="s">
        <v>2381</v>
      </c>
      <c r="H21" s="1217"/>
      <c r="I21" s="1217"/>
      <c r="J21" s="1221" t="s">
        <v>5</v>
      </c>
      <c r="K21" s="1222">
        <v>11</v>
      </c>
      <c r="L21" s="1223">
        <v>12</v>
      </c>
      <c r="M21" s="1224">
        <f t="shared" si="0"/>
        <v>16800</v>
      </c>
      <c r="N21" s="1228">
        <v>11</v>
      </c>
      <c r="O21" s="1229">
        <v>6</v>
      </c>
      <c r="P21" s="1224">
        <f t="shared" si="1"/>
        <v>8400</v>
      </c>
    </row>
    <row r="22" spans="1:16" s="1150" customFormat="1" ht="24">
      <c r="A22" s="1217" t="s">
        <v>1870</v>
      </c>
      <c r="B22" s="1218" t="s">
        <v>1869</v>
      </c>
      <c r="C22" s="1218" t="s">
        <v>504</v>
      </c>
      <c r="D22" s="1217" t="s">
        <v>2303</v>
      </c>
      <c r="E22" s="1219">
        <v>930</v>
      </c>
      <c r="F22" s="1220" t="s">
        <v>2380</v>
      </c>
      <c r="G22" s="1217" t="s">
        <v>2379</v>
      </c>
      <c r="H22" s="1217"/>
      <c r="I22" s="1217"/>
      <c r="J22" s="1221" t="s">
        <v>618</v>
      </c>
      <c r="K22" s="1222">
        <v>11</v>
      </c>
      <c r="L22" s="1227">
        <v>12</v>
      </c>
      <c r="M22" s="1224">
        <f t="shared" si="0"/>
        <v>11160</v>
      </c>
      <c r="N22" s="1228">
        <v>11</v>
      </c>
      <c r="O22" s="1229">
        <v>6</v>
      </c>
      <c r="P22" s="1224">
        <f t="shared" si="1"/>
        <v>5580</v>
      </c>
    </row>
    <row r="23" spans="1:16" s="1150" customFormat="1" ht="36">
      <c r="A23" s="1217" t="s">
        <v>1870</v>
      </c>
      <c r="B23" s="1218" t="s">
        <v>1869</v>
      </c>
      <c r="C23" s="1218" t="s">
        <v>504</v>
      </c>
      <c r="D23" s="1217" t="s">
        <v>2102</v>
      </c>
      <c r="E23" s="1219">
        <v>930</v>
      </c>
      <c r="F23" s="1220" t="s">
        <v>2378</v>
      </c>
      <c r="G23" s="1217" t="s">
        <v>2377</v>
      </c>
      <c r="H23" s="1217"/>
      <c r="I23" s="1217"/>
      <c r="J23" s="1221" t="s">
        <v>618</v>
      </c>
      <c r="K23" s="1222">
        <v>11</v>
      </c>
      <c r="L23" s="1227">
        <v>12</v>
      </c>
      <c r="M23" s="1224">
        <f t="shared" si="0"/>
        <v>11160</v>
      </c>
      <c r="N23" s="1228">
        <v>11</v>
      </c>
      <c r="O23" s="1229">
        <v>6</v>
      </c>
      <c r="P23" s="1224">
        <f t="shared" si="1"/>
        <v>5580</v>
      </c>
    </row>
    <row r="24" spans="1:16" s="1150" customFormat="1" ht="24">
      <c r="A24" s="1217" t="s">
        <v>1870</v>
      </c>
      <c r="B24" s="1218" t="s">
        <v>1880</v>
      </c>
      <c r="C24" s="1218" t="s">
        <v>504</v>
      </c>
      <c r="D24" s="1217" t="s">
        <v>1922</v>
      </c>
      <c r="E24" s="1219">
        <v>930</v>
      </c>
      <c r="F24" s="1220" t="s">
        <v>2376</v>
      </c>
      <c r="G24" s="1217" t="s">
        <v>2375</v>
      </c>
      <c r="H24" s="1217"/>
      <c r="I24" s="1217"/>
      <c r="J24" s="1221" t="s">
        <v>618</v>
      </c>
      <c r="K24" s="1222">
        <v>4</v>
      </c>
      <c r="L24" s="1227">
        <v>12</v>
      </c>
      <c r="M24" s="1224">
        <f t="shared" si="0"/>
        <v>11160</v>
      </c>
      <c r="N24" s="1228">
        <v>4</v>
      </c>
      <c r="O24" s="1229">
        <v>6</v>
      </c>
      <c r="P24" s="1224">
        <f t="shared" si="1"/>
        <v>5580</v>
      </c>
    </row>
    <row r="25" spans="1:16" s="1150" customFormat="1" ht="24">
      <c r="A25" s="1217" t="s">
        <v>1870</v>
      </c>
      <c r="B25" s="1218" t="s">
        <v>1869</v>
      </c>
      <c r="C25" s="1218" t="s">
        <v>504</v>
      </c>
      <c r="D25" s="1217" t="s">
        <v>1941</v>
      </c>
      <c r="E25" s="1219">
        <v>930</v>
      </c>
      <c r="F25" s="1220" t="s">
        <v>2374</v>
      </c>
      <c r="G25" s="1217" t="s">
        <v>2373</v>
      </c>
      <c r="H25" s="1217"/>
      <c r="I25" s="1217"/>
      <c r="J25" s="1221" t="s">
        <v>618</v>
      </c>
      <c r="K25" s="1222">
        <v>8</v>
      </c>
      <c r="L25" s="1227">
        <v>12</v>
      </c>
      <c r="M25" s="1224">
        <f t="shared" si="0"/>
        <v>11160</v>
      </c>
      <c r="N25" s="1228">
        <v>8</v>
      </c>
      <c r="O25" s="1229">
        <v>6</v>
      </c>
      <c r="P25" s="1224">
        <f t="shared" si="1"/>
        <v>5580</v>
      </c>
    </row>
    <row r="26" spans="1:16" s="1150" customFormat="1" ht="24">
      <c r="A26" s="1217" t="s">
        <v>1870</v>
      </c>
      <c r="B26" s="1218" t="s">
        <v>1869</v>
      </c>
      <c r="C26" s="1218" t="s">
        <v>504</v>
      </c>
      <c r="D26" s="1217" t="s">
        <v>1724</v>
      </c>
      <c r="E26" s="1219">
        <v>930</v>
      </c>
      <c r="F26" s="1220" t="s">
        <v>2372</v>
      </c>
      <c r="G26" s="1217" t="s">
        <v>2371</v>
      </c>
      <c r="H26" s="1217"/>
      <c r="I26" s="1217"/>
      <c r="J26" s="1221" t="s">
        <v>618</v>
      </c>
      <c r="K26" s="1222">
        <v>10</v>
      </c>
      <c r="L26" s="1227">
        <v>12</v>
      </c>
      <c r="M26" s="1224">
        <f t="shared" si="0"/>
        <v>11160</v>
      </c>
      <c r="N26" s="1228">
        <v>10</v>
      </c>
      <c r="O26" s="1229">
        <v>6</v>
      </c>
      <c r="P26" s="1224">
        <f t="shared" si="1"/>
        <v>5580</v>
      </c>
    </row>
    <row r="27" spans="1:16" s="1150" customFormat="1" ht="24">
      <c r="A27" s="1217" t="s">
        <v>1870</v>
      </c>
      <c r="B27" s="1218" t="s">
        <v>1880</v>
      </c>
      <c r="C27" s="1218" t="s">
        <v>504</v>
      </c>
      <c r="D27" s="1217" t="s">
        <v>1922</v>
      </c>
      <c r="E27" s="1219">
        <v>930</v>
      </c>
      <c r="F27" s="1220" t="s">
        <v>2370</v>
      </c>
      <c r="G27" s="1217" t="s">
        <v>2369</v>
      </c>
      <c r="H27" s="1217"/>
      <c r="I27" s="1217"/>
      <c r="J27" s="1221" t="s">
        <v>618</v>
      </c>
      <c r="K27" s="1222">
        <v>10</v>
      </c>
      <c r="L27" s="1227">
        <v>12</v>
      </c>
      <c r="M27" s="1224">
        <f t="shared" si="0"/>
        <v>11160</v>
      </c>
      <c r="N27" s="1228">
        <v>10</v>
      </c>
      <c r="O27" s="1229">
        <v>6</v>
      </c>
      <c r="P27" s="1224">
        <f t="shared" si="1"/>
        <v>5580</v>
      </c>
    </row>
    <row r="28" spans="1:16" s="1150" customFormat="1" ht="24">
      <c r="A28" s="1217" t="s">
        <v>1870</v>
      </c>
      <c r="B28" s="1218" t="s">
        <v>1869</v>
      </c>
      <c r="C28" s="1218" t="s">
        <v>504</v>
      </c>
      <c r="D28" s="1217" t="s">
        <v>2051</v>
      </c>
      <c r="E28" s="1219">
        <v>930</v>
      </c>
      <c r="F28" s="1220" t="s">
        <v>2368</v>
      </c>
      <c r="G28" s="1217" t="s">
        <v>2367</v>
      </c>
      <c r="H28" s="1217"/>
      <c r="I28" s="1217"/>
      <c r="J28" s="1221" t="s">
        <v>1865</v>
      </c>
      <c r="K28" s="1222">
        <v>10</v>
      </c>
      <c r="L28" s="1227">
        <v>12</v>
      </c>
      <c r="M28" s="1224">
        <f t="shared" si="0"/>
        <v>11160</v>
      </c>
      <c r="N28" s="1228">
        <v>10</v>
      </c>
      <c r="O28" s="1229">
        <v>6</v>
      </c>
      <c r="P28" s="1224">
        <f t="shared" si="1"/>
        <v>5580</v>
      </c>
    </row>
    <row r="29" spans="1:16" s="1150" customFormat="1" ht="24">
      <c r="A29" s="1217" t="s">
        <v>1870</v>
      </c>
      <c r="B29" s="1218" t="s">
        <v>1869</v>
      </c>
      <c r="C29" s="1218" t="s">
        <v>504</v>
      </c>
      <c r="D29" s="1217" t="s">
        <v>1952</v>
      </c>
      <c r="E29" s="1219">
        <v>930</v>
      </c>
      <c r="F29" s="1220" t="s">
        <v>2366</v>
      </c>
      <c r="G29" s="1217" t="s">
        <v>2365</v>
      </c>
      <c r="H29" s="1217"/>
      <c r="I29" s="1217"/>
      <c r="J29" s="1221" t="s">
        <v>618</v>
      </c>
      <c r="K29" s="1222">
        <v>11</v>
      </c>
      <c r="L29" s="1227">
        <v>12</v>
      </c>
      <c r="M29" s="1224">
        <f t="shared" si="0"/>
        <v>11160</v>
      </c>
      <c r="N29" s="1228">
        <v>11</v>
      </c>
      <c r="O29" s="1229">
        <v>6</v>
      </c>
      <c r="P29" s="1224">
        <f t="shared" si="1"/>
        <v>5580</v>
      </c>
    </row>
    <row r="30" spans="1:16" s="1150" customFormat="1" ht="24">
      <c r="A30" s="1217" t="s">
        <v>1874</v>
      </c>
      <c r="B30" s="1218" t="s">
        <v>1880</v>
      </c>
      <c r="C30" s="1218" t="s">
        <v>504</v>
      </c>
      <c r="D30" s="1217" t="s">
        <v>1784</v>
      </c>
      <c r="E30" s="1219">
        <v>1000</v>
      </c>
      <c r="F30" s="1220" t="s">
        <v>2364</v>
      </c>
      <c r="G30" s="1217" t="s">
        <v>2363</v>
      </c>
      <c r="H30" s="1217"/>
      <c r="I30" s="1217"/>
      <c r="J30" s="1221" t="s">
        <v>5</v>
      </c>
      <c r="K30" s="1222">
        <v>4</v>
      </c>
      <c r="L30" s="1223">
        <v>12</v>
      </c>
      <c r="M30" s="1224">
        <f t="shared" si="0"/>
        <v>12000</v>
      </c>
      <c r="N30" s="1228">
        <v>4</v>
      </c>
      <c r="O30" s="1229">
        <v>6</v>
      </c>
      <c r="P30" s="1224">
        <f t="shared" si="1"/>
        <v>6000</v>
      </c>
    </row>
    <row r="31" spans="1:16" s="1150" customFormat="1" ht="24">
      <c r="A31" s="1217" t="s">
        <v>1870</v>
      </c>
      <c r="B31" s="1218" t="s">
        <v>1880</v>
      </c>
      <c r="C31" s="1218" t="s">
        <v>504</v>
      </c>
      <c r="D31" s="1217" t="s">
        <v>2362</v>
      </c>
      <c r="E31" s="1219">
        <v>930</v>
      </c>
      <c r="F31" s="1220" t="s">
        <v>2361</v>
      </c>
      <c r="G31" s="1217" t="s">
        <v>2360</v>
      </c>
      <c r="H31" s="1217"/>
      <c r="I31" s="1217"/>
      <c r="J31" s="1221" t="s">
        <v>618</v>
      </c>
      <c r="K31" s="1222">
        <v>10</v>
      </c>
      <c r="L31" s="1227">
        <v>12</v>
      </c>
      <c r="M31" s="1224">
        <f t="shared" si="0"/>
        <v>11160</v>
      </c>
      <c r="N31" s="1228">
        <v>10</v>
      </c>
      <c r="O31" s="1229">
        <v>6</v>
      </c>
      <c r="P31" s="1224">
        <f t="shared" si="1"/>
        <v>5580</v>
      </c>
    </row>
    <row r="32" spans="1:16" s="1150" customFormat="1" ht="24">
      <c r="A32" s="1217" t="s">
        <v>1870</v>
      </c>
      <c r="B32" s="1218" t="s">
        <v>1880</v>
      </c>
      <c r="C32" s="1218" t="s">
        <v>504</v>
      </c>
      <c r="D32" s="1217" t="s">
        <v>1925</v>
      </c>
      <c r="E32" s="1219">
        <v>930</v>
      </c>
      <c r="F32" s="1220" t="s">
        <v>2359</v>
      </c>
      <c r="G32" s="1217" t="s">
        <v>2358</v>
      </c>
      <c r="H32" s="1217"/>
      <c r="I32" s="1217"/>
      <c r="J32" s="1221" t="s">
        <v>1865</v>
      </c>
      <c r="K32" s="1222">
        <v>10</v>
      </c>
      <c r="L32" s="1227">
        <v>12</v>
      </c>
      <c r="M32" s="1224">
        <f t="shared" si="0"/>
        <v>11160</v>
      </c>
      <c r="N32" s="1228">
        <v>10</v>
      </c>
      <c r="O32" s="1229">
        <v>6</v>
      </c>
      <c r="P32" s="1224">
        <f t="shared" si="1"/>
        <v>5580</v>
      </c>
    </row>
    <row r="33" spans="1:16" s="1150" customFormat="1" ht="24">
      <c r="A33" s="1217" t="s">
        <v>1870</v>
      </c>
      <c r="B33" s="1218" t="s">
        <v>1869</v>
      </c>
      <c r="C33" s="1218" t="s">
        <v>504</v>
      </c>
      <c r="D33" s="1217" t="s">
        <v>1944</v>
      </c>
      <c r="E33" s="1219">
        <v>930</v>
      </c>
      <c r="F33" s="1220" t="s">
        <v>2357</v>
      </c>
      <c r="G33" s="1217" t="s">
        <v>2356</v>
      </c>
      <c r="H33" s="1217"/>
      <c r="I33" s="1217"/>
      <c r="J33" s="1221" t="s">
        <v>618</v>
      </c>
      <c r="K33" s="1222">
        <v>5</v>
      </c>
      <c r="L33" s="1227">
        <v>12</v>
      </c>
      <c r="M33" s="1224">
        <f t="shared" si="0"/>
        <v>11160</v>
      </c>
      <c r="N33" s="1228">
        <v>5</v>
      </c>
      <c r="O33" s="1229">
        <v>6</v>
      </c>
      <c r="P33" s="1224">
        <f t="shared" si="1"/>
        <v>5580</v>
      </c>
    </row>
    <row r="34" spans="1:16" s="1150" customFormat="1" ht="24">
      <c r="A34" s="1217" t="s">
        <v>1870</v>
      </c>
      <c r="B34" s="1218" t="s">
        <v>1869</v>
      </c>
      <c r="C34" s="1218" t="s">
        <v>504</v>
      </c>
      <c r="D34" s="1217" t="s">
        <v>1941</v>
      </c>
      <c r="E34" s="1219">
        <v>930</v>
      </c>
      <c r="F34" s="1220" t="s">
        <v>2355</v>
      </c>
      <c r="G34" s="1217" t="s">
        <v>2354</v>
      </c>
      <c r="H34" s="1217"/>
      <c r="I34" s="1217"/>
      <c r="J34" s="1221" t="s">
        <v>618</v>
      </c>
      <c r="K34" s="1222">
        <v>11</v>
      </c>
      <c r="L34" s="1227">
        <v>12</v>
      </c>
      <c r="M34" s="1224">
        <f t="shared" si="0"/>
        <v>11160</v>
      </c>
      <c r="N34" s="1228">
        <v>11</v>
      </c>
      <c r="O34" s="1229">
        <v>6</v>
      </c>
      <c r="P34" s="1224">
        <f t="shared" si="1"/>
        <v>5580</v>
      </c>
    </row>
    <row r="35" spans="1:16" s="1150" customFormat="1" ht="24">
      <c r="A35" s="1217" t="s">
        <v>1870</v>
      </c>
      <c r="B35" s="1218" t="s">
        <v>1880</v>
      </c>
      <c r="C35" s="1218" t="s">
        <v>504</v>
      </c>
      <c r="D35" s="1217" t="s">
        <v>1922</v>
      </c>
      <c r="E35" s="1219">
        <v>930</v>
      </c>
      <c r="F35" s="1220" t="s">
        <v>2353</v>
      </c>
      <c r="G35" s="1217" t="s">
        <v>2352</v>
      </c>
      <c r="H35" s="1217"/>
      <c r="I35" s="1217"/>
      <c r="J35" s="1221" t="s">
        <v>618</v>
      </c>
      <c r="K35" s="1222">
        <v>5</v>
      </c>
      <c r="L35" s="1227">
        <v>12</v>
      </c>
      <c r="M35" s="1224">
        <f t="shared" si="0"/>
        <v>11160</v>
      </c>
      <c r="N35" s="1228">
        <v>5</v>
      </c>
      <c r="O35" s="1229">
        <v>6</v>
      </c>
      <c r="P35" s="1224">
        <f t="shared" si="1"/>
        <v>5580</v>
      </c>
    </row>
    <row r="36" spans="1:16" s="1150" customFormat="1" ht="24">
      <c r="A36" s="1217" t="s">
        <v>1874</v>
      </c>
      <c r="B36" s="1218" t="s">
        <v>1880</v>
      </c>
      <c r="C36" s="1218" t="s">
        <v>504</v>
      </c>
      <c r="D36" s="1217" t="s">
        <v>1713</v>
      </c>
      <c r="E36" s="1219">
        <v>1500</v>
      </c>
      <c r="F36" s="1220" t="s">
        <v>2351</v>
      </c>
      <c r="G36" s="1217" t="s">
        <v>2350</v>
      </c>
      <c r="H36" s="1217"/>
      <c r="I36" s="1217"/>
      <c r="J36" s="1221" t="s">
        <v>5</v>
      </c>
      <c r="K36" s="1222">
        <v>4</v>
      </c>
      <c r="L36" s="1223">
        <v>12</v>
      </c>
      <c r="M36" s="1224">
        <f t="shared" si="0"/>
        <v>18000</v>
      </c>
      <c r="N36" s="1228">
        <v>4</v>
      </c>
      <c r="O36" s="1229">
        <v>6</v>
      </c>
      <c r="P36" s="1224">
        <f t="shared" si="1"/>
        <v>9000</v>
      </c>
    </row>
    <row r="37" spans="1:16" s="1150" customFormat="1" ht="24">
      <c r="A37" s="1217" t="s">
        <v>1874</v>
      </c>
      <c r="B37" s="1218" t="s">
        <v>1880</v>
      </c>
      <c r="C37" s="1218" t="s">
        <v>504</v>
      </c>
      <c r="D37" s="1217" t="s">
        <v>2349</v>
      </c>
      <c r="E37" s="1219">
        <v>2500</v>
      </c>
      <c r="F37" s="1220" t="s">
        <v>2348</v>
      </c>
      <c r="G37" s="1217" t="s">
        <v>2347</v>
      </c>
      <c r="H37" s="1217"/>
      <c r="I37" s="1217"/>
      <c r="J37" s="1221" t="s">
        <v>4</v>
      </c>
      <c r="K37" s="1222">
        <v>4</v>
      </c>
      <c r="L37" s="1223">
        <v>12</v>
      </c>
      <c r="M37" s="1224">
        <f t="shared" si="0"/>
        <v>30000</v>
      </c>
      <c r="N37" s="1228">
        <v>4</v>
      </c>
      <c r="O37" s="1229">
        <v>6</v>
      </c>
      <c r="P37" s="1224">
        <f t="shared" si="1"/>
        <v>15000</v>
      </c>
    </row>
    <row r="38" spans="1:16" s="1150" customFormat="1" ht="24">
      <c r="A38" s="1217" t="s">
        <v>1870</v>
      </c>
      <c r="B38" s="1218" t="s">
        <v>1869</v>
      </c>
      <c r="C38" s="1218" t="s">
        <v>504</v>
      </c>
      <c r="D38" s="1217" t="s">
        <v>1941</v>
      </c>
      <c r="E38" s="1219">
        <v>930</v>
      </c>
      <c r="F38" s="1220" t="s">
        <v>2346</v>
      </c>
      <c r="G38" s="1217" t="s">
        <v>2345</v>
      </c>
      <c r="H38" s="1217"/>
      <c r="I38" s="1217"/>
      <c r="J38" s="1221" t="s">
        <v>618</v>
      </c>
      <c r="K38" s="1222">
        <v>6</v>
      </c>
      <c r="L38" s="1227">
        <v>12</v>
      </c>
      <c r="M38" s="1224">
        <f t="shared" si="0"/>
        <v>11160</v>
      </c>
      <c r="N38" s="1228">
        <v>6</v>
      </c>
      <c r="O38" s="1229">
        <v>6</v>
      </c>
      <c r="P38" s="1224">
        <f t="shared" si="1"/>
        <v>5580</v>
      </c>
    </row>
    <row r="39" spans="1:16" s="1150" customFormat="1" ht="24">
      <c r="A39" s="1217" t="s">
        <v>1870</v>
      </c>
      <c r="B39" s="1218" t="s">
        <v>1869</v>
      </c>
      <c r="C39" s="1218" t="s">
        <v>504</v>
      </c>
      <c r="D39" s="1217" t="s">
        <v>1888</v>
      </c>
      <c r="E39" s="1219">
        <v>930</v>
      </c>
      <c r="F39" s="1220" t="s">
        <v>2344</v>
      </c>
      <c r="G39" s="1217" t="s">
        <v>2343</v>
      </c>
      <c r="H39" s="1217"/>
      <c r="I39" s="1217"/>
      <c r="J39" s="1221" t="s">
        <v>1664</v>
      </c>
      <c r="K39" s="1222">
        <v>5</v>
      </c>
      <c r="L39" s="1227">
        <v>12</v>
      </c>
      <c r="M39" s="1224">
        <f t="shared" si="0"/>
        <v>11160</v>
      </c>
      <c r="N39" s="1228">
        <v>5</v>
      </c>
      <c r="O39" s="1229">
        <v>6</v>
      </c>
      <c r="P39" s="1224">
        <f t="shared" ref="P39:P70" si="2">+E39*O39</f>
        <v>5580</v>
      </c>
    </row>
    <row r="40" spans="1:16" s="1150" customFormat="1" ht="24">
      <c r="A40" s="1217" t="s">
        <v>1870</v>
      </c>
      <c r="B40" s="1218" t="s">
        <v>1869</v>
      </c>
      <c r="C40" s="1218" t="s">
        <v>504</v>
      </c>
      <c r="D40" s="1217" t="s">
        <v>2051</v>
      </c>
      <c r="E40" s="1219">
        <v>930</v>
      </c>
      <c r="F40" s="1220" t="s">
        <v>2342</v>
      </c>
      <c r="G40" s="1217" t="s">
        <v>2341</v>
      </c>
      <c r="H40" s="1217"/>
      <c r="I40" s="1217"/>
      <c r="J40" s="1221" t="s">
        <v>1865</v>
      </c>
      <c r="K40" s="1222">
        <v>11</v>
      </c>
      <c r="L40" s="1227">
        <v>12</v>
      </c>
      <c r="M40" s="1224">
        <f t="shared" si="0"/>
        <v>11160</v>
      </c>
      <c r="N40" s="1228">
        <v>11</v>
      </c>
      <c r="O40" s="1229">
        <v>6</v>
      </c>
      <c r="P40" s="1224">
        <f t="shared" si="2"/>
        <v>5580</v>
      </c>
    </row>
    <row r="41" spans="1:16" s="1150" customFormat="1" ht="24">
      <c r="A41" s="1217" t="s">
        <v>1870</v>
      </c>
      <c r="B41" s="1218" t="s">
        <v>1880</v>
      </c>
      <c r="C41" s="1218" t="s">
        <v>504</v>
      </c>
      <c r="D41" s="1217" t="s">
        <v>2120</v>
      </c>
      <c r="E41" s="1219">
        <v>930</v>
      </c>
      <c r="F41" s="1220" t="s">
        <v>2340</v>
      </c>
      <c r="G41" s="1217" t="s">
        <v>2339</v>
      </c>
      <c r="H41" s="1217"/>
      <c r="I41" s="1217"/>
      <c r="J41" s="1221" t="s">
        <v>618</v>
      </c>
      <c r="K41" s="1222">
        <v>6</v>
      </c>
      <c r="L41" s="1227">
        <v>12</v>
      </c>
      <c r="M41" s="1224">
        <f t="shared" si="0"/>
        <v>11160</v>
      </c>
      <c r="N41" s="1228">
        <v>6</v>
      </c>
      <c r="O41" s="1229">
        <v>6</v>
      </c>
      <c r="P41" s="1224">
        <f t="shared" si="2"/>
        <v>5580</v>
      </c>
    </row>
    <row r="42" spans="1:16" s="1150" customFormat="1" ht="24">
      <c r="A42" s="1217" t="s">
        <v>1870</v>
      </c>
      <c r="B42" s="1218" t="s">
        <v>1869</v>
      </c>
      <c r="C42" s="1218" t="s">
        <v>504</v>
      </c>
      <c r="D42" s="1217" t="s">
        <v>1922</v>
      </c>
      <c r="E42" s="1219">
        <v>930</v>
      </c>
      <c r="F42" s="1220" t="s">
        <v>2338</v>
      </c>
      <c r="G42" s="1217" t="s">
        <v>2337</v>
      </c>
      <c r="H42" s="1217"/>
      <c r="I42" s="1217"/>
      <c r="J42" s="1221" t="s">
        <v>618</v>
      </c>
      <c r="K42" s="1222">
        <v>8</v>
      </c>
      <c r="L42" s="1227">
        <v>12</v>
      </c>
      <c r="M42" s="1224">
        <f t="shared" si="0"/>
        <v>11160</v>
      </c>
      <c r="N42" s="1228">
        <v>8</v>
      </c>
      <c r="O42" s="1229">
        <v>6</v>
      </c>
      <c r="P42" s="1224">
        <f t="shared" si="2"/>
        <v>5580</v>
      </c>
    </row>
    <row r="43" spans="1:16" s="1150" customFormat="1" ht="24">
      <c r="A43" s="1217" t="s">
        <v>1870</v>
      </c>
      <c r="B43" s="1218" t="s">
        <v>1869</v>
      </c>
      <c r="C43" s="1218" t="s">
        <v>504</v>
      </c>
      <c r="D43" s="1217" t="s">
        <v>1944</v>
      </c>
      <c r="E43" s="1219">
        <v>930</v>
      </c>
      <c r="F43" s="1220" t="s">
        <v>2336</v>
      </c>
      <c r="G43" s="1217" t="s">
        <v>2335</v>
      </c>
      <c r="H43" s="1217"/>
      <c r="I43" s="1217"/>
      <c r="J43" s="1221" t="s">
        <v>618</v>
      </c>
      <c r="K43" s="1222">
        <v>9</v>
      </c>
      <c r="L43" s="1227">
        <v>12</v>
      </c>
      <c r="M43" s="1224">
        <f t="shared" si="0"/>
        <v>11160</v>
      </c>
      <c r="N43" s="1228">
        <v>9</v>
      </c>
      <c r="O43" s="1229">
        <v>6</v>
      </c>
      <c r="P43" s="1224">
        <f t="shared" si="2"/>
        <v>5580</v>
      </c>
    </row>
    <row r="44" spans="1:16" s="1150" customFormat="1" ht="24">
      <c r="A44" s="1217" t="s">
        <v>1874</v>
      </c>
      <c r="B44" s="1218" t="s">
        <v>1880</v>
      </c>
      <c r="C44" s="1218" t="s">
        <v>504</v>
      </c>
      <c r="D44" s="1217" t="s">
        <v>1930</v>
      </c>
      <c r="E44" s="1219">
        <v>1000</v>
      </c>
      <c r="F44" s="1220" t="s">
        <v>2334</v>
      </c>
      <c r="G44" s="1217" t="s">
        <v>2333</v>
      </c>
      <c r="H44" s="1217"/>
      <c r="I44" s="1217"/>
      <c r="J44" s="1221" t="s">
        <v>4</v>
      </c>
      <c r="K44" s="1222">
        <v>4</v>
      </c>
      <c r="L44" s="1223">
        <v>12</v>
      </c>
      <c r="M44" s="1224">
        <f t="shared" si="0"/>
        <v>12000</v>
      </c>
      <c r="N44" s="1228">
        <v>4</v>
      </c>
      <c r="O44" s="1229">
        <v>6</v>
      </c>
      <c r="P44" s="1224">
        <f t="shared" si="2"/>
        <v>6000</v>
      </c>
    </row>
    <row r="45" spans="1:16" s="1150" customFormat="1" ht="24">
      <c r="A45" s="1217" t="s">
        <v>1874</v>
      </c>
      <c r="B45" s="1218" t="s">
        <v>1880</v>
      </c>
      <c r="C45" s="1218" t="s">
        <v>504</v>
      </c>
      <c r="D45" s="1217" t="s">
        <v>2182</v>
      </c>
      <c r="E45" s="1219">
        <v>1500</v>
      </c>
      <c r="F45" s="1220" t="s">
        <v>2332</v>
      </c>
      <c r="G45" s="1217" t="s">
        <v>2331</v>
      </c>
      <c r="H45" s="1217"/>
      <c r="I45" s="1217"/>
      <c r="J45" s="1221" t="s">
        <v>5</v>
      </c>
      <c r="K45" s="1222">
        <v>4</v>
      </c>
      <c r="L45" s="1223">
        <v>12</v>
      </c>
      <c r="M45" s="1224">
        <f t="shared" si="0"/>
        <v>18000</v>
      </c>
      <c r="N45" s="1228">
        <v>4</v>
      </c>
      <c r="O45" s="1229">
        <v>6</v>
      </c>
      <c r="P45" s="1224">
        <f t="shared" si="2"/>
        <v>9000</v>
      </c>
    </row>
    <row r="46" spans="1:16" s="1150" customFormat="1" ht="24">
      <c r="A46" s="1217" t="s">
        <v>1874</v>
      </c>
      <c r="B46" s="1218" t="s">
        <v>1880</v>
      </c>
      <c r="C46" s="1218" t="s">
        <v>504</v>
      </c>
      <c r="D46" s="1217" t="s">
        <v>960</v>
      </c>
      <c r="E46" s="1219">
        <v>1300</v>
      </c>
      <c r="F46" s="1220" t="s">
        <v>2330</v>
      </c>
      <c r="G46" s="1217" t="s">
        <v>2329</v>
      </c>
      <c r="H46" s="1217"/>
      <c r="I46" s="1217"/>
      <c r="J46" s="1221" t="s">
        <v>4</v>
      </c>
      <c r="K46" s="1222">
        <v>5</v>
      </c>
      <c r="L46" s="1223">
        <v>12</v>
      </c>
      <c r="M46" s="1224">
        <f t="shared" si="0"/>
        <v>15600</v>
      </c>
      <c r="N46" s="1228">
        <v>5</v>
      </c>
      <c r="O46" s="1229">
        <v>6</v>
      </c>
      <c r="P46" s="1224">
        <f t="shared" si="2"/>
        <v>7800</v>
      </c>
    </row>
    <row r="47" spans="1:16" s="1150" customFormat="1" ht="24">
      <c r="A47" s="1217" t="s">
        <v>1870</v>
      </c>
      <c r="B47" s="1218" t="s">
        <v>1869</v>
      </c>
      <c r="C47" s="1218" t="s">
        <v>504</v>
      </c>
      <c r="D47" s="1217" t="s">
        <v>1784</v>
      </c>
      <c r="E47" s="1219">
        <v>930</v>
      </c>
      <c r="F47" s="1220" t="s">
        <v>2328</v>
      </c>
      <c r="G47" s="1217" t="s">
        <v>2327</v>
      </c>
      <c r="H47" s="1217"/>
      <c r="I47" s="1217"/>
      <c r="J47" s="1221" t="s">
        <v>1865</v>
      </c>
      <c r="K47" s="1222">
        <v>4</v>
      </c>
      <c r="L47" s="1227">
        <v>12</v>
      </c>
      <c r="M47" s="1224">
        <f t="shared" si="0"/>
        <v>11160</v>
      </c>
      <c r="N47" s="1228">
        <v>4</v>
      </c>
      <c r="O47" s="1229">
        <v>6</v>
      </c>
      <c r="P47" s="1224">
        <f t="shared" si="2"/>
        <v>5580</v>
      </c>
    </row>
    <row r="48" spans="1:16" s="1150" customFormat="1" ht="24">
      <c r="A48" s="1217" t="s">
        <v>1870</v>
      </c>
      <c r="B48" s="1218" t="s">
        <v>1869</v>
      </c>
      <c r="C48" s="1218" t="s">
        <v>504</v>
      </c>
      <c r="D48" s="1217" t="s">
        <v>2088</v>
      </c>
      <c r="E48" s="1219">
        <v>930</v>
      </c>
      <c r="F48" s="1220" t="s">
        <v>2326</v>
      </c>
      <c r="G48" s="1217" t="s">
        <v>2325</v>
      </c>
      <c r="H48" s="1217"/>
      <c r="I48" s="1217"/>
      <c r="J48" s="1221" t="s">
        <v>618</v>
      </c>
      <c r="K48" s="1222">
        <v>11</v>
      </c>
      <c r="L48" s="1227">
        <v>12</v>
      </c>
      <c r="M48" s="1224">
        <f t="shared" si="0"/>
        <v>11160</v>
      </c>
      <c r="N48" s="1228">
        <v>11</v>
      </c>
      <c r="O48" s="1229">
        <v>6</v>
      </c>
      <c r="P48" s="1224">
        <f t="shared" si="2"/>
        <v>5580</v>
      </c>
    </row>
    <row r="49" spans="1:16" s="1150" customFormat="1" ht="24">
      <c r="A49" s="1217" t="s">
        <v>1870</v>
      </c>
      <c r="B49" s="1218" t="s">
        <v>1869</v>
      </c>
      <c r="C49" s="1218" t="s">
        <v>504</v>
      </c>
      <c r="D49" s="1217" t="s">
        <v>1922</v>
      </c>
      <c r="E49" s="1219">
        <v>930</v>
      </c>
      <c r="F49" s="1220" t="s">
        <v>2324</v>
      </c>
      <c r="G49" s="1217" t="s">
        <v>2323</v>
      </c>
      <c r="H49" s="1217"/>
      <c r="I49" s="1217"/>
      <c r="J49" s="1221" t="s">
        <v>618</v>
      </c>
      <c r="K49" s="1222">
        <v>11</v>
      </c>
      <c r="L49" s="1227">
        <v>12</v>
      </c>
      <c r="M49" s="1224">
        <f t="shared" si="0"/>
        <v>11160</v>
      </c>
      <c r="N49" s="1228">
        <v>11</v>
      </c>
      <c r="O49" s="1229">
        <v>6</v>
      </c>
      <c r="P49" s="1224">
        <f t="shared" si="2"/>
        <v>5580</v>
      </c>
    </row>
    <row r="50" spans="1:16" s="1150" customFormat="1" ht="24">
      <c r="A50" s="1217" t="s">
        <v>1870</v>
      </c>
      <c r="B50" s="1218" t="s">
        <v>1869</v>
      </c>
      <c r="C50" s="1218" t="s">
        <v>504</v>
      </c>
      <c r="D50" s="1217" t="s">
        <v>1952</v>
      </c>
      <c r="E50" s="1219">
        <v>930</v>
      </c>
      <c r="F50" s="1220" t="s">
        <v>2322</v>
      </c>
      <c r="G50" s="1217" t="s">
        <v>2321</v>
      </c>
      <c r="H50" s="1217"/>
      <c r="I50" s="1217"/>
      <c r="J50" s="1221" t="s">
        <v>618</v>
      </c>
      <c r="K50" s="1222">
        <v>6</v>
      </c>
      <c r="L50" s="1227">
        <v>12</v>
      </c>
      <c r="M50" s="1224">
        <f t="shared" si="0"/>
        <v>11160</v>
      </c>
      <c r="N50" s="1228">
        <v>6</v>
      </c>
      <c r="O50" s="1229">
        <v>6</v>
      </c>
      <c r="P50" s="1224">
        <f t="shared" si="2"/>
        <v>5580</v>
      </c>
    </row>
    <row r="51" spans="1:16" s="1150" customFormat="1" ht="24">
      <c r="A51" s="1217" t="s">
        <v>1870</v>
      </c>
      <c r="B51" s="1218" t="s">
        <v>1880</v>
      </c>
      <c r="C51" s="1218" t="s">
        <v>504</v>
      </c>
      <c r="D51" s="1217" t="s">
        <v>1930</v>
      </c>
      <c r="E51" s="1219">
        <v>930</v>
      </c>
      <c r="F51" s="1220" t="s">
        <v>2320</v>
      </c>
      <c r="G51" s="1217" t="s">
        <v>2319</v>
      </c>
      <c r="H51" s="1217"/>
      <c r="I51" s="1217"/>
      <c r="J51" s="1221" t="s">
        <v>618</v>
      </c>
      <c r="K51" s="1222">
        <v>10</v>
      </c>
      <c r="L51" s="1227">
        <v>12</v>
      </c>
      <c r="M51" s="1224">
        <f t="shared" si="0"/>
        <v>11160</v>
      </c>
      <c r="N51" s="1228">
        <v>10</v>
      </c>
      <c r="O51" s="1229">
        <v>6</v>
      </c>
      <c r="P51" s="1224">
        <f t="shared" si="2"/>
        <v>5580</v>
      </c>
    </row>
    <row r="52" spans="1:16" s="1150" customFormat="1" ht="24">
      <c r="A52" s="1217" t="s">
        <v>1870</v>
      </c>
      <c r="B52" s="1218" t="s">
        <v>1869</v>
      </c>
      <c r="C52" s="1218" t="s">
        <v>504</v>
      </c>
      <c r="D52" s="1217" t="s">
        <v>1980</v>
      </c>
      <c r="E52" s="1219">
        <v>930</v>
      </c>
      <c r="F52" s="1220" t="s">
        <v>2318</v>
      </c>
      <c r="G52" s="1217" t="s">
        <v>2317</v>
      </c>
      <c r="H52" s="1217"/>
      <c r="I52" s="1217"/>
      <c r="J52" s="1221" t="s">
        <v>618</v>
      </c>
      <c r="K52" s="1222">
        <v>11</v>
      </c>
      <c r="L52" s="1227">
        <v>12</v>
      </c>
      <c r="M52" s="1224">
        <f t="shared" si="0"/>
        <v>11160</v>
      </c>
      <c r="N52" s="1228">
        <v>11</v>
      </c>
      <c r="O52" s="1229">
        <v>6</v>
      </c>
      <c r="P52" s="1224">
        <f t="shared" si="2"/>
        <v>5580</v>
      </c>
    </row>
    <row r="53" spans="1:16" s="1150" customFormat="1" ht="24">
      <c r="A53" s="1217" t="s">
        <v>1870</v>
      </c>
      <c r="B53" s="1218" t="s">
        <v>1880</v>
      </c>
      <c r="C53" s="1218" t="s">
        <v>504</v>
      </c>
      <c r="D53" s="1217" t="s">
        <v>1925</v>
      </c>
      <c r="E53" s="1219">
        <v>930</v>
      </c>
      <c r="F53" s="1220" t="s">
        <v>2316</v>
      </c>
      <c r="G53" s="1217" t="s">
        <v>2315</v>
      </c>
      <c r="H53" s="1217"/>
      <c r="I53" s="1217"/>
      <c r="J53" s="1221" t="s">
        <v>1865</v>
      </c>
      <c r="K53" s="1222">
        <v>8</v>
      </c>
      <c r="L53" s="1227">
        <v>12</v>
      </c>
      <c r="M53" s="1224">
        <f t="shared" si="0"/>
        <v>11160</v>
      </c>
      <c r="N53" s="1228">
        <v>8</v>
      </c>
      <c r="O53" s="1229">
        <v>6</v>
      </c>
      <c r="P53" s="1224">
        <f t="shared" si="2"/>
        <v>5580</v>
      </c>
    </row>
    <row r="54" spans="1:16" s="1150" customFormat="1" ht="24">
      <c r="A54" s="1217" t="s">
        <v>1870</v>
      </c>
      <c r="B54" s="1218" t="s">
        <v>1880</v>
      </c>
      <c r="C54" s="1218" t="s">
        <v>504</v>
      </c>
      <c r="D54" s="1217" t="s">
        <v>1922</v>
      </c>
      <c r="E54" s="1219">
        <v>930</v>
      </c>
      <c r="F54" s="1220" t="s">
        <v>2314</v>
      </c>
      <c r="G54" s="1217" t="s">
        <v>2313</v>
      </c>
      <c r="H54" s="1217"/>
      <c r="I54" s="1217"/>
      <c r="J54" s="1221" t="s">
        <v>618</v>
      </c>
      <c r="K54" s="1222">
        <v>8</v>
      </c>
      <c r="L54" s="1227">
        <v>12</v>
      </c>
      <c r="M54" s="1224">
        <f t="shared" si="0"/>
        <v>11160</v>
      </c>
      <c r="N54" s="1228">
        <v>8</v>
      </c>
      <c r="O54" s="1229">
        <v>6</v>
      </c>
      <c r="P54" s="1224">
        <f t="shared" si="2"/>
        <v>5580</v>
      </c>
    </row>
    <row r="55" spans="1:16" s="1150" customFormat="1" ht="24">
      <c r="A55" s="1217" t="s">
        <v>1870</v>
      </c>
      <c r="B55" s="1218" t="s">
        <v>1869</v>
      </c>
      <c r="C55" s="1218" t="s">
        <v>504</v>
      </c>
      <c r="D55" s="1217" t="s">
        <v>1980</v>
      </c>
      <c r="E55" s="1219">
        <v>930</v>
      </c>
      <c r="F55" s="1220" t="s">
        <v>2312</v>
      </c>
      <c r="G55" s="1217" t="s">
        <v>2311</v>
      </c>
      <c r="H55" s="1217"/>
      <c r="I55" s="1217"/>
      <c r="J55" s="1221" t="s">
        <v>618</v>
      </c>
      <c r="K55" s="1222">
        <v>11</v>
      </c>
      <c r="L55" s="1227">
        <v>12</v>
      </c>
      <c r="M55" s="1224">
        <f t="shared" si="0"/>
        <v>11160</v>
      </c>
      <c r="N55" s="1228">
        <v>11</v>
      </c>
      <c r="O55" s="1229">
        <v>6</v>
      </c>
      <c r="P55" s="1224">
        <f t="shared" si="2"/>
        <v>5580</v>
      </c>
    </row>
    <row r="56" spans="1:16" s="1150" customFormat="1" ht="24">
      <c r="A56" s="1217" t="s">
        <v>1870</v>
      </c>
      <c r="B56" s="1218" t="s">
        <v>1869</v>
      </c>
      <c r="C56" s="1218" t="s">
        <v>504</v>
      </c>
      <c r="D56" s="1217" t="s">
        <v>2137</v>
      </c>
      <c r="E56" s="1219">
        <v>930</v>
      </c>
      <c r="F56" s="1220" t="s">
        <v>2310</v>
      </c>
      <c r="G56" s="1217" t="s">
        <v>2309</v>
      </c>
      <c r="H56" s="1217"/>
      <c r="I56" s="1217"/>
      <c r="J56" s="1221" t="s">
        <v>618</v>
      </c>
      <c r="K56" s="1222">
        <v>8</v>
      </c>
      <c r="L56" s="1227">
        <v>12</v>
      </c>
      <c r="M56" s="1224">
        <f t="shared" si="0"/>
        <v>11160</v>
      </c>
      <c r="N56" s="1228">
        <v>8</v>
      </c>
      <c r="O56" s="1229">
        <v>6</v>
      </c>
      <c r="P56" s="1224">
        <f t="shared" si="2"/>
        <v>5580</v>
      </c>
    </row>
    <row r="57" spans="1:16" s="1150" customFormat="1" ht="24">
      <c r="A57" s="1217" t="s">
        <v>1870</v>
      </c>
      <c r="B57" s="1218" t="s">
        <v>1869</v>
      </c>
      <c r="C57" s="1218" t="s">
        <v>504</v>
      </c>
      <c r="D57" s="1217" t="s">
        <v>2308</v>
      </c>
      <c r="E57" s="1219">
        <v>930</v>
      </c>
      <c r="F57" s="1220" t="s">
        <v>2307</v>
      </c>
      <c r="G57" s="1217" t="s">
        <v>2306</v>
      </c>
      <c r="H57" s="1217"/>
      <c r="I57" s="1217"/>
      <c r="J57" s="1221" t="s">
        <v>1865</v>
      </c>
      <c r="K57" s="1222">
        <v>5</v>
      </c>
      <c r="L57" s="1227">
        <v>12</v>
      </c>
      <c r="M57" s="1224">
        <f t="shared" si="0"/>
        <v>11160</v>
      </c>
      <c r="N57" s="1228">
        <v>5</v>
      </c>
      <c r="O57" s="1229">
        <v>6</v>
      </c>
      <c r="P57" s="1224">
        <f t="shared" si="2"/>
        <v>5580</v>
      </c>
    </row>
    <row r="58" spans="1:16" s="1150" customFormat="1" ht="24">
      <c r="A58" s="1217" t="s">
        <v>1874</v>
      </c>
      <c r="B58" s="1218" t="s">
        <v>1869</v>
      </c>
      <c r="C58" s="1218" t="s">
        <v>504</v>
      </c>
      <c r="D58" s="1217" t="s">
        <v>1925</v>
      </c>
      <c r="E58" s="1219">
        <v>1100</v>
      </c>
      <c r="F58" s="1220" t="s">
        <v>2305</v>
      </c>
      <c r="G58" s="1217" t="s">
        <v>2304</v>
      </c>
      <c r="H58" s="1217"/>
      <c r="I58" s="1217"/>
      <c r="J58" s="1221" t="s">
        <v>618</v>
      </c>
      <c r="K58" s="1222">
        <v>4</v>
      </c>
      <c r="L58" s="1223">
        <v>12</v>
      </c>
      <c r="M58" s="1224">
        <f t="shared" si="0"/>
        <v>13200</v>
      </c>
      <c r="N58" s="1228">
        <v>4</v>
      </c>
      <c r="O58" s="1229">
        <v>6</v>
      </c>
      <c r="P58" s="1224">
        <f t="shared" si="2"/>
        <v>6600</v>
      </c>
    </row>
    <row r="59" spans="1:16" s="1150" customFormat="1" ht="24">
      <c r="A59" s="1217" t="s">
        <v>1870</v>
      </c>
      <c r="B59" s="1218" t="s">
        <v>1869</v>
      </c>
      <c r="C59" s="1218" t="s">
        <v>504</v>
      </c>
      <c r="D59" s="1217" t="s">
        <v>2303</v>
      </c>
      <c r="E59" s="1219">
        <v>930</v>
      </c>
      <c r="F59" s="1220" t="s">
        <v>2302</v>
      </c>
      <c r="G59" s="1217" t="s">
        <v>2301</v>
      </c>
      <c r="H59" s="1217"/>
      <c r="I59" s="1217"/>
      <c r="J59" s="1221" t="s">
        <v>618</v>
      </c>
      <c r="K59" s="1222">
        <v>6</v>
      </c>
      <c r="L59" s="1227">
        <v>12</v>
      </c>
      <c r="M59" s="1224">
        <f t="shared" si="0"/>
        <v>11160</v>
      </c>
      <c r="N59" s="1228">
        <v>6</v>
      </c>
      <c r="O59" s="1229">
        <v>6</v>
      </c>
      <c r="P59" s="1224">
        <f t="shared" si="2"/>
        <v>5580</v>
      </c>
    </row>
    <row r="60" spans="1:16" s="1150" customFormat="1" ht="24">
      <c r="A60" s="1217" t="s">
        <v>1870</v>
      </c>
      <c r="B60" s="1218" t="s">
        <v>1869</v>
      </c>
      <c r="C60" s="1218" t="s">
        <v>504</v>
      </c>
      <c r="D60" s="1217" t="s">
        <v>1952</v>
      </c>
      <c r="E60" s="1219">
        <v>930</v>
      </c>
      <c r="F60" s="1220" t="s">
        <v>2300</v>
      </c>
      <c r="G60" s="1217" t="s">
        <v>2299</v>
      </c>
      <c r="H60" s="1217"/>
      <c r="I60" s="1217"/>
      <c r="J60" s="1221" t="s">
        <v>618</v>
      </c>
      <c r="K60" s="1222">
        <v>11</v>
      </c>
      <c r="L60" s="1227">
        <v>12</v>
      </c>
      <c r="M60" s="1224">
        <f t="shared" si="0"/>
        <v>11160</v>
      </c>
      <c r="N60" s="1228">
        <v>11</v>
      </c>
      <c r="O60" s="1229">
        <v>6</v>
      </c>
      <c r="P60" s="1224">
        <f t="shared" si="2"/>
        <v>5580</v>
      </c>
    </row>
    <row r="61" spans="1:16" s="1150" customFormat="1" ht="24">
      <c r="A61" s="1217" t="s">
        <v>1870</v>
      </c>
      <c r="B61" s="1218" t="s">
        <v>1869</v>
      </c>
      <c r="C61" s="1218" t="s">
        <v>504</v>
      </c>
      <c r="D61" s="1217" t="s">
        <v>1952</v>
      </c>
      <c r="E61" s="1219">
        <v>930</v>
      </c>
      <c r="F61" s="1220" t="s">
        <v>2298</v>
      </c>
      <c r="G61" s="1217" t="s">
        <v>2297</v>
      </c>
      <c r="H61" s="1217"/>
      <c r="I61" s="1217"/>
      <c r="J61" s="1221" t="s">
        <v>618</v>
      </c>
      <c r="K61" s="1222">
        <v>11</v>
      </c>
      <c r="L61" s="1227">
        <v>12</v>
      </c>
      <c r="M61" s="1224">
        <f t="shared" si="0"/>
        <v>11160</v>
      </c>
      <c r="N61" s="1228">
        <v>11</v>
      </c>
      <c r="O61" s="1229">
        <v>6</v>
      </c>
      <c r="P61" s="1224">
        <f t="shared" si="2"/>
        <v>5580</v>
      </c>
    </row>
    <row r="62" spans="1:16" s="1150" customFormat="1" ht="24">
      <c r="A62" s="1217" t="s">
        <v>1870</v>
      </c>
      <c r="B62" s="1218" t="s">
        <v>1880</v>
      </c>
      <c r="C62" s="1218" t="s">
        <v>504</v>
      </c>
      <c r="D62" s="1217" t="s">
        <v>1930</v>
      </c>
      <c r="E62" s="1219">
        <v>930</v>
      </c>
      <c r="F62" s="1220" t="s">
        <v>2296</v>
      </c>
      <c r="G62" s="1217" t="s">
        <v>2295</v>
      </c>
      <c r="H62" s="1217"/>
      <c r="I62" s="1217"/>
      <c r="J62" s="1221" t="s">
        <v>618</v>
      </c>
      <c r="K62" s="1222">
        <v>8</v>
      </c>
      <c r="L62" s="1227">
        <v>12</v>
      </c>
      <c r="M62" s="1224">
        <f t="shared" si="0"/>
        <v>11160</v>
      </c>
      <c r="N62" s="1228">
        <v>8</v>
      </c>
      <c r="O62" s="1229">
        <v>6</v>
      </c>
      <c r="P62" s="1224">
        <f t="shared" si="2"/>
        <v>5580</v>
      </c>
    </row>
    <row r="63" spans="1:16" s="1150" customFormat="1" ht="24">
      <c r="A63" s="1217" t="s">
        <v>1870</v>
      </c>
      <c r="B63" s="1218" t="s">
        <v>1880</v>
      </c>
      <c r="C63" s="1218" t="s">
        <v>504</v>
      </c>
      <c r="D63" s="1217" t="s">
        <v>1913</v>
      </c>
      <c r="E63" s="1219">
        <v>930</v>
      </c>
      <c r="F63" s="1220" t="s">
        <v>2294</v>
      </c>
      <c r="G63" s="1217" t="s">
        <v>2293</v>
      </c>
      <c r="H63" s="1217"/>
      <c r="I63" s="1217"/>
      <c r="J63" s="1221" t="s">
        <v>618</v>
      </c>
      <c r="K63" s="1222">
        <v>5</v>
      </c>
      <c r="L63" s="1227">
        <v>12</v>
      </c>
      <c r="M63" s="1224">
        <f t="shared" si="0"/>
        <v>11160</v>
      </c>
      <c r="N63" s="1228">
        <v>5</v>
      </c>
      <c r="O63" s="1229">
        <v>6</v>
      </c>
      <c r="P63" s="1224">
        <f t="shared" si="2"/>
        <v>5580</v>
      </c>
    </row>
    <row r="64" spans="1:16" s="1150" customFormat="1" ht="24">
      <c r="A64" s="1217" t="s">
        <v>1870</v>
      </c>
      <c r="B64" s="1218" t="s">
        <v>1869</v>
      </c>
      <c r="C64" s="1218" t="s">
        <v>504</v>
      </c>
      <c r="D64" s="1217" t="s">
        <v>1888</v>
      </c>
      <c r="E64" s="1219">
        <v>930</v>
      </c>
      <c r="F64" s="1220" t="s">
        <v>2292</v>
      </c>
      <c r="G64" s="1217" t="s">
        <v>2291</v>
      </c>
      <c r="H64" s="1217"/>
      <c r="I64" s="1217"/>
      <c r="J64" s="1221" t="s">
        <v>1664</v>
      </c>
      <c r="K64" s="1222">
        <v>11</v>
      </c>
      <c r="L64" s="1227">
        <v>12</v>
      </c>
      <c r="M64" s="1224">
        <f t="shared" si="0"/>
        <v>11160</v>
      </c>
      <c r="N64" s="1228">
        <v>11</v>
      </c>
      <c r="O64" s="1229">
        <v>6</v>
      </c>
      <c r="P64" s="1224">
        <f t="shared" si="2"/>
        <v>5580</v>
      </c>
    </row>
    <row r="65" spans="1:16" s="1150" customFormat="1" ht="24">
      <c r="A65" s="1217" t="s">
        <v>1870</v>
      </c>
      <c r="B65" s="1218" t="s">
        <v>1869</v>
      </c>
      <c r="C65" s="1218" t="s">
        <v>504</v>
      </c>
      <c r="D65" s="1217" t="s">
        <v>1910</v>
      </c>
      <c r="E65" s="1219">
        <v>930</v>
      </c>
      <c r="F65" s="1220" t="s">
        <v>2290</v>
      </c>
      <c r="G65" s="1217" t="s">
        <v>2289</v>
      </c>
      <c r="H65" s="1217"/>
      <c r="I65" s="1217"/>
      <c r="J65" s="1221" t="s">
        <v>618</v>
      </c>
      <c r="K65" s="1222">
        <v>11</v>
      </c>
      <c r="L65" s="1227">
        <v>12</v>
      </c>
      <c r="M65" s="1224">
        <f t="shared" si="0"/>
        <v>11160</v>
      </c>
      <c r="N65" s="1228">
        <v>11</v>
      </c>
      <c r="O65" s="1229">
        <v>6</v>
      </c>
      <c r="P65" s="1224">
        <f t="shared" si="2"/>
        <v>5580</v>
      </c>
    </row>
    <row r="66" spans="1:16" s="1150" customFormat="1" ht="24">
      <c r="A66" s="1217" t="s">
        <v>1874</v>
      </c>
      <c r="B66" s="1218" t="s">
        <v>1880</v>
      </c>
      <c r="C66" s="1218" t="s">
        <v>504</v>
      </c>
      <c r="D66" s="1217" t="s">
        <v>2288</v>
      </c>
      <c r="E66" s="1219">
        <v>1000</v>
      </c>
      <c r="F66" s="1220" t="s">
        <v>2287</v>
      </c>
      <c r="G66" s="1217" t="s">
        <v>2286</v>
      </c>
      <c r="H66" s="1217"/>
      <c r="I66" s="1217"/>
      <c r="J66" s="1221" t="s">
        <v>5</v>
      </c>
      <c r="K66" s="1222">
        <v>4</v>
      </c>
      <c r="L66" s="1223">
        <v>12</v>
      </c>
      <c r="M66" s="1224">
        <f t="shared" si="0"/>
        <v>12000</v>
      </c>
      <c r="N66" s="1228">
        <v>4</v>
      </c>
      <c r="O66" s="1229">
        <v>6</v>
      </c>
      <c r="P66" s="1224">
        <f t="shared" si="2"/>
        <v>6000</v>
      </c>
    </row>
    <row r="67" spans="1:16" s="1150" customFormat="1" ht="24">
      <c r="A67" s="1217" t="s">
        <v>1874</v>
      </c>
      <c r="B67" s="1218" t="s">
        <v>1869</v>
      </c>
      <c r="C67" s="1218" t="s">
        <v>504</v>
      </c>
      <c r="D67" s="1217" t="s">
        <v>1930</v>
      </c>
      <c r="E67" s="1219">
        <v>1000</v>
      </c>
      <c r="F67" s="1220" t="s">
        <v>2285</v>
      </c>
      <c r="G67" s="1217" t="s">
        <v>2284</v>
      </c>
      <c r="H67" s="1217"/>
      <c r="I67" s="1217"/>
      <c r="J67" s="1221" t="s">
        <v>618</v>
      </c>
      <c r="K67" s="1222">
        <v>10</v>
      </c>
      <c r="L67" s="1223">
        <v>12</v>
      </c>
      <c r="M67" s="1224">
        <f t="shared" si="0"/>
        <v>12000</v>
      </c>
      <c r="N67" s="1228">
        <v>10</v>
      </c>
      <c r="O67" s="1229">
        <v>6</v>
      </c>
      <c r="P67" s="1224">
        <f t="shared" si="2"/>
        <v>6000</v>
      </c>
    </row>
    <row r="68" spans="1:16" s="1150" customFormat="1" ht="24">
      <c r="A68" s="1217" t="s">
        <v>1870</v>
      </c>
      <c r="B68" s="1218" t="s">
        <v>1880</v>
      </c>
      <c r="C68" s="1218" t="s">
        <v>504</v>
      </c>
      <c r="D68" s="1217" t="s">
        <v>1980</v>
      </c>
      <c r="E68" s="1219">
        <v>930</v>
      </c>
      <c r="F68" s="1220" t="s">
        <v>2283</v>
      </c>
      <c r="G68" s="1217" t="s">
        <v>2282</v>
      </c>
      <c r="H68" s="1217"/>
      <c r="I68" s="1217"/>
      <c r="J68" s="1221" t="s">
        <v>618</v>
      </c>
      <c r="K68" s="1222">
        <v>10</v>
      </c>
      <c r="L68" s="1227">
        <v>12</v>
      </c>
      <c r="M68" s="1224">
        <f t="shared" si="0"/>
        <v>11160</v>
      </c>
      <c r="N68" s="1228">
        <v>10</v>
      </c>
      <c r="O68" s="1229">
        <v>6</v>
      </c>
      <c r="P68" s="1224">
        <f t="shared" si="2"/>
        <v>5580</v>
      </c>
    </row>
    <row r="69" spans="1:16" s="1150" customFormat="1" ht="24">
      <c r="A69" s="1217" t="s">
        <v>1870</v>
      </c>
      <c r="B69" s="1218" t="s">
        <v>1869</v>
      </c>
      <c r="C69" s="1218" t="s">
        <v>504</v>
      </c>
      <c r="D69" s="1217" t="s">
        <v>1888</v>
      </c>
      <c r="E69" s="1219">
        <v>930</v>
      </c>
      <c r="F69" s="1220" t="s">
        <v>2281</v>
      </c>
      <c r="G69" s="1217" t="s">
        <v>2280</v>
      </c>
      <c r="H69" s="1217"/>
      <c r="I69" s="1217"/>
      <c r="J69" s="1221" t="s">
        <v>1664</v>
      </c>
      <c r="K69" s="1222">
        <v>5</v>
      </c>
      <c r="L69" s="1227">
        <v>12</v>
      </c>
      <c r="M69" s="1224">
        <f t="shared" si="0"/>
        <v>11160</v>
      </c>
      <c r="N69" s="1228">
        <v>5</v>
      </c>
      <c r="O69" s="1229">
        <v>6</v>
      </c>
      <c r="P69" s="1224">
        <f t="shared" si="2"/>
        <v>5580</v>
      </c>
    </row>
    <row r="70" spans="1:16" s="1150" customFormat="1" ht="24">
      <c r="A70" s="1217" t="s">
        <v>1870</v>
      </c>
      <c r="B70" s="1218" t="s">
        <v>1869</v>
      </c>
      <c r="C70" s="1218" t="s">
        <v>504</v>
      </c>
      <c r="D70" s="1217" t="s">
        <v>1910</v>
      </c>
      <c r="E70" s="1219">
        <v>930</v>
      </c>
      <c r="F70" s="1220" t="s">
        <v>2279</v>
      </c>
      <c r="G70" s="1217" t="s">
        <v>2278</v>
      </c>
      <c r="H70" s="1217"/>
      <c r="I70" s="1217"/>
      <c r="J70" s="1221" t="s">
        <v>618</v>
      </c>
      <c r="K70" s="1222">
        <v>8</v>
      </c>
      <c r="L70" s="1227">
        <v>12</v>
      </c>
      <c r="M70" s="1224">
        <f t="shared" si="0"/>
        <v>11160</v>
      </c>
      <c r="N70" s="1228">
        <v>8</v>
      </c>
      <c r="O70" s="1229">
        <v>6</v>
      </c>
      <c r="P70" s="1224">
        <f t="shared" si="2"/>
        <v>5580</v>
      </c>
    </row>
    <row r="71" spans="1:16" s="1150" customFormat="1" ht="24">
      <c r="A71" s="1217" t="s">
        <v>1870</v>
      </c>
      <c r="B71" s="1218" t="s">
        <v>1869</v>
      </c>
      <c r="C71" s="1218" t="s">
        <v>504</v>
      </c>
      <c r="D71" s="1217" t="s">
        <v>1977</v>
      </c>
      <c r="E71" s="1219">
        <v>930</v>
      </c>
      <c r="F71" s="1220" t="s">
        <v>2277</v>
      </c>
      <c r="G71" s="1217" t="s">
        <v>2276</v>
      </c>
      <c r="H71" s="1217"/>
      <c r="I71" s="1217"/>
      <c r="J71" s="1221" t="s">
        <v>618</v>
      </c>
      <c r="K71" s="1222">
        <v>10</v>
      </c>
      <c r="L71" s="1227">
        <v>12</v>
      </c>
      <c r="M71" s="1224">
        <f t="shared" ref="M71:M134" si="3">+E71*L71</f>
        <v>11160</v>
      </c>
      <c r="N71" s="1228">
        <v>10</v>
      </c>
      <c r="O71" s="1229">
        <v>6</v>
      </c>
      <c r="P71" s="1224">
        <f t="shared" ref="P71:P102" si="4">+E71*O71</f>
        <v>5580</v>
      </c>
    </row>
    <row r="72" spans="1:16" s="1150" customFormat="1" ht="24">
      <c r="A72" s="1217" t="s">
        <v>1870</v>
      </c>
      <c r="B72" s="1218" t="s">
        <v>1880</v>
      </c>
      <c r="C72" s="1218" t="s">
        <v>504</v>
      </c>
      <c r="D72" s="1217" t="s">
        <v>1930</v>
      </c>
      <c r="E72" s="1219">
        <v>930</v>
      </c>
      <c r="F72" s="1220" t="s">
        <v>2275</v>
      </c>
      <c r="G72" s="1217" t="s">
        <v>2274</v>
      </c>
      <c r="H72" s="1217"/>
      <c r="I72" s="1217"/>
      <c r="J72" s="1221" t="s">
        <v>618</v>
      </c>
      <c r="K72" s="1222">
        <v>7</v>
      </c>
      <c r="L72" s="1227">
        <v>12</v>
      </c>
      <c r="M72" s="1224">
        <f t="shared" si="3"/>
        <v>11160</v>
      </c>
      <c r="N72" s="1228">
        <v>7</v>
      </c>
      <c r="O72" s="1229">
        <v>6</v>
      </c>
      <c r="P72" s="1224">
        <f t="shared" si="4"/>
        <v>5580</v>
      </c>
    </row>
    <row r="73" spans="1:16" s="1150" customFormat="1" ht="24">
      <c r="A73" s="1217" t="s">
        <v>1874</v>
      </c>
      <c r="B73" s="1218" t="s">
        <v>1880</v>
      </c>
      <c r="C73" s="1218" t="s">
        <v>504</v>
      </c>
      <c r="D73" s="1217" t="s">
        <v>2150</v>
      </c>
      <c r="E73" s="1219">
        <v>1200</v>
      </c>
      <c r="F73" s="1220" t="s">
        <v>2273</v>
      </c>
      <c r="G73" s="1217" t="s">
        <v>2272</v>
      </c>
      <c r="H73" s="1217"/>
      <c r="I73" s="1217"/>
      <c r="J73" s="1221" t="s">
        <v>5</v>
      </c>
      <c r="K73" s="1222">
        <v>5</v>
      </c>
      <c r="L73" s="1223">
        <v>12</v>
      </c>
      <c r="M73" s="1224">
        <f t="shared" si="3"/>
        <v>14400</v>
      </c>
      <c r="N73" s="1228">
        <v>5</v>
      </c>
      <c r="O73" s="1229">
        <v>6</v>
      </c>
      <c r="P73" s="1224">
        <f t="shared" si="4"/>
        <v>7200</v>
      </c>
    </row>
    <row r="74" spans="1:16" s="1150" customFormat="1" ht="24">
      <c r="A74" s="1217" t="s">
        <v>1870</v>
      </c>
      <c r="B74" s="1218" t="s">
        <v>1869</v>
      </c>
      <c r="C74" s="1218" t="s">
        <v>504</v>
      </c>
      <c r="D74" s="1217" t="s">
        <v>1888</v>
      </c>
      <c r="E74" s="1219">
        <v>930</v>
      </c>
      <c r="F74" s="1220" t="s">
        <v>2271</v>
      </c>
      <c r="G74" s="1217" t="s">
        <v>2270</v>
      </c>
      <c r="H74" s="1217"/>
      <c r="I74" s="1217"/>
      <c r="J74" s="1221" t="s">
        <v>1664</v>
      </c>
      <c r="K74" s="1222">
        <v>10</v>
      </c>
      <c r="L74" s="1227">
        <v>12</v>
      </c>
      <c r="M74" s="1224">
        <f t="shared" si="3"/>
        <v>11160</v>
      </c>
      <c r="N74" s="1228">
        <v>10</v>
      </c>
      <c r="O74" s="1229">
        <v>6</v>
      </c>
      <c r="P74" s="1224">
        <f t="shared" si="4"/>
        <v>5580</v>
      </c>
    </row>
    <row r="75" spans="1:16" s="1150" customFormat="1" ht="24">
      <c r="A75" s="1217" t="s">
        <v>1870</v>
      </c>
      <c r="B75" s="1218" t="s">
        <v>1880</v>
      </c>
      <c r="C75" s="1218" t="s">
        <v>504</v>
      </c>
      <c r="D75" s="1217" t="s">
        <v>1925</v>
      </c>
      <c r="E75" s="1219">
        <v>930</v>
      </c>
      <c r="F75" s="1220" t="s">
        <v>2269</v>
      </c>
      <c r="G75" s="1217" t="s">
        <v>2268</v>
      </c>
      <c r="H75" s="1217"/>
      <c r="I75" s="1217"/>
      <c r="J75" s="1221" t="s">
        <v>1865</v>
      </c>
      <c r="K75" s="1222">
        <v>7</v>
      </c>
      <c r="L75" s="1227">
        <v>12</v>
      </c>
      <c r="M75" s="1224">
        <f t="shared" si="3"/>
        <v>11160</v>
      </c>
      <c r="N75" s="1228">
        <v>7</v>
      </c>
      <c r="O75" s="1229">
        <v>6</v>
      </c>
      <c r="P75" s="1224">
        <f t="shared" si="4"/>
        <v>5580</v>
      </c>
    </row>
    <row r="76" spans="1:16" s="1150" customFormat="1" ht="24">
      <c r="A76" s="1217" t="s">
        <v>1870</v>
      </c>
      <c r="B76" s="1218" t="s">
        <v>1869</v>
      </c>
      <c r="C76" s="1218" t="s">
        <v>504</v>
      </c>
      <c r="D76" s="1217" t="s">
        <v>1910</v>
      </c>
      <c r="E76" s="1219">
        <v>930</v>
      </c>
      <c r="F76" s="1220" t="s">
        <v>2267</v>
      </c>
      <c r="G76" s="1217" t="s">
        <v>2266</v>
      </c>
      <c r="H76" s="1217"/>
      <c r="I76" s="1217"/>
      <c r="J76" s="1221" t="s">
        <v>618</v>
      </c>
      <c r="K76" s="1222">
        <v>10</v>
      </c>
      <c r="L76" s="1227">
        <v>12</v>
      </c>
      <c r="M76" s="1224">
        <f t="shared" si="3"/>
        <v>11160</v>
      </c>
      <c r="N76" s="1228">
        <v>10</v>
      </c>
      <c r="O76" s="1229">
        <v>6</v>
      </c>
      <c r="P76" s="1224">
        <f t="shared" si="4"/>
        <v>5580</v>
      </c>
    </row>
    <row r="77" spans="1:16" s="1150" customFormat="1" ht="24">
      <c r="A77" s="1217" t="s">
        <v>1870</v>
      </c>
      <c r="B77" s="1218" t="s">
        <v>1869</v>
      </c>
      <c r="C77" s="1218" t="s">
        <v>504</v>
      </c>
      <c r="D77" s="1217" t="s">
        <v>2064</v>
      </c>
      <c r="E77" s="1219">
        <v>930</v>
      </c>
      <c r="F77" s="1220" t="s">
        <v>2265</v>
      </c>
      <c r="G77" s="1217" t="s">
        <v>2264</v>
      </c>
      <c r="H77" s="1217"/>
      <c r="I77" s="1217"/>
      <c r="J77" s="1221" t="s">
        <v>1664</v>
      </c>
      <c r="K77" s="1222">
        <v>5</v>
      </c>
      <c r="L77" s="1227">
        <v>12</v>
      </c>
      <c r="M77" s="1224">
        <f t="shared" si="3"/>
        <v>11160</v>
      </c>
      <c r="N77" s="1228">
        <v>5</v>
      </c>
      <c r="O77" s="1229">
        <v>6</v>
      </c>
      <c r="P77" s="1224">
        <f t="shared" si="4"/>
        <v>5580</v>
      </c>
    </row>
    <row r="78" spans="1:16" s="1150" customFormat="1" ht="24">
      <c r="A78" s="1217" t="s">
        <v>1870</v>
      </c>
      <c r="B78" s="1218" t="s">
        <v>1869</v>
      </c>
      <c r="C78" s="1218" t="s">
        <v>504</v>
      </c>
      <c r="D78" s="1217" t="s">
        <v>1672</v>
      </c>
      <c r="E78" s="1219">
        <v>930</v>
      </c>
      <c r="F78" s="1220" t="s">
        <v>2263</v>
      </c>
      <c r="G78" s="1217" t="s">
        <v>2262</v>
      </c>
      <c r="H78" s="1217"/>
      <c r="I78" s="1217"/>
      <c r="J78" s="1221" t="s">
        <v>1865</v>
      </c>
      <c r="K78" s="1222">
        <v>10</v>
      </c>
      <c r="L78" s="1227">
        <v>12</v>
      </c>
      <c r="M78" s="1224">
        <f t="shared" si="3"/>
        <v>11160</v>
      </c>
      <c r="N78" s="1228">
        <v>10</v>
      </c>
      <c r="O78" s="1229">
        <v>6</v>
      </c>
      <c r="P78" s="1224">
        <f t="shared" si="4"/>
        <v>5580</v>
      </c>
    </row>
    <row r="79" spans="1:16" s="1150" customFormat="1" ht="24">
      <c r="A79" s="1217" t="s">
        <v>1870</v>
      </c>
      <c r="B79" s="1218" t="s">
        <v>1880</v>
      </c>
      <c r="C79" s="1218" t="s">
        <v>504</v>
      </c>
      <c r="D79" s="1217" t="s">
        <v>1925</v>
      </c>
      <c r="E79" s="1219">
        <v>930</v>
      </c>
      <c r="F79" s="1220" t="s">
        <v>2261</v>
      </c>
      <c r="G79" s="1217" t="s">
        <v>2260</v>
      </c>
      <c r="H79" s="1217"/>
      <c r="I79" s="1217"/>
      <c r="J79" s="1221" t="s">
        <v>1865</v>
      </c>
      <c r="K79" s="1222">
        <v>10</v>
      </c>
      <c r="L79" s="1227">
        <v>12</v>
      </c>
      <c r="M79" s="1224">
        <f t="shared" si="3"/>
        <v>11160</v>
      </c>
      <c r="N79" s="1228">
        <v>10</v>
      </c>
      <c r="O79" s="1229">
        <v>6</v>
      </c>
      <c r="P79" s="1224">
        <f t="shared" si="4"/>
        <v>5580</v>
      </c>
    </row>
    <row r="80" spans="1:16" s="1150" customFormat="1" ht="24">
      <c r="A80" s="1217" t="s">
        <v>1870</v>
      </c>
      <c r="B80" s="1218" t="s">
        <v>1869</v>
      </c>
      <c r="C80" s="1218" t="s">
        <v>504</v>
      </c>
      <c r="D80" s="1217" t="s">
        <v>2064</v>
      </c>
      <c r="E80" s="1219">
        <v>930</v>
      </c>
      <c r="F80" s="1220" t="s">
        <v>2259</v>
      </c>
      <c r="G80" s="1217" t="s">
        <v>2258</v>
      </c>
      <c r="H80" s="1217"/>
      <c r="I80" s="1217"/>
      <c r="J80" s="1221" t="s">
        <v>1664</v>
      </c>
      <c r="K80" s="1222">
        <v>10</v>
      </c>
      <c r="L80" s="1227">
        <v>12</v>
      </c>
      <c r="M80" s="1224">
        <f t="shared" si="3"/>
        <v>11160</v>
      </c>
      <c r="N80" s="1228">
        <v>10</v>
      </c>
      <c r="O80" s="1229">
        <v>6</v>
      </c>
      <c r="P80" s="1224">
        <f t="shared" si="4"/>
        <v>5580</v>
      </c>
    </row>
    <row r="81" spans="1:16" s="1150" customFormat="1" ht="24">
      <c r="A81" s="1217" t="s">
        <v>1870</v>
      </c>
      <c r="B81" s="1218" t="s">
        <v>1869</v>
      </c>
      <c r="C81" s="1218" t="s">
        <v>504</v>
      </c>
      <c r="D81" s="1217" t="s">
        <v>1910</v>
      </c>
      <c r="E81" s="1219">
        <v>930</v>
      </c>
      <c r="F81" s="1220" t="s">
        <v>2257</v>
      </c>
      <c r="G81" s="1217" t="s">
        <v>2256</v>
      </c>
      <c r="H81" s="1217"/>
      <c r="I81" s="1217"/>
      <c r="J81" s="1221" t="s">
        <v>618</v>
      </c>
      <c r="K81" s="1222">
        <v>8</v>
      </c>
      <c r="L81" s="1227">
        <v>12</v>
      </c>
      <c r="M81" s="1224">
        <f t="shared" si="3"/>
        <v>11160</v>
      </c>
      <c r="N81" s="1228">
        <v>8</v>
      </c>
      <c r="O81" s="1229">
        <v>6</v>
      </c>
      <c r="P81" s="1224">
        <f t="shared" si="4"/>
        <v>5580</v>
      </c>
    </row>
    <row r="82" spans="1:16" s="1150" customFormat="1" ht="24">
      <c r="A82" s="1217" t="s">
        <v>1870</v>
      </c>
      <c r="B82" s="1218" t="s">
        <v>1880</v>
      </c>
      <c r="C82" s="1218" t="s">
        <v>504</v>
      </c>
      <c r="D82" s="1217" t="s">
        <v>1925</v>
      </c>
      <c r="E82" s="1219">
        <v>930</v>
      </c>
      <c r="F82" s="1220" t="s">
        <v>2255</v>
      </c>
      <c r="G82" s="1217" t="s">
        <v>2254</v>
      </c>
      <c r="H82" s="1217"/>
      <c r="I82" s="1217"/>
      <c r="J82" s="1221" t="s">
        <v>1865</v>
      </c>
      <c r="K82" s="1222">
        <v>10</v>
      </c>
      <c r="L82" s="1227">
        <v>12</v>
      </c>
      <c r="M82" s="1224">
        <f t="shared" si="3"/>
        <v>11160</v>
      </c>
      <c r="N82" s="1228">
        <v>10</v>
      </c>
      <c r="O82" s="1229">
        <v>6</v>
      </c>
      <c r="P82" s="1224">
        <f t="shared" si="4"/>
        <v>5580</v>
      </c>
    </row>
    <row r="83" spans="1:16" s="1150" customFormat="1" ht="24">
      <c r="A83" s="1217" t="s">
        <v>1870</v>
      </c>
      <c r="B83" s="1218" t="s">
        <v>1869</v>
      </c>
      <c r="C83" s="1218" t="s">
        <v>504</v>
      </c>
      <c r="D83" s="1217" t="s">
        <v>1910</v>
      </c>
      <c r="E83" s="1219">
        <v>930</v>
      </c>
      <c r="F83" s="1220" t="s">
        <v>2253</v>
      </c>
      <c r="G83" s="1217" t="s">
        <v>2252</v>
      </c>
      <c r="H83" s="1217"/>
      <c r="I83" s="1217"/>
      <c r="J83" s="1221" t="s">
        <v>618</v>
      </c>
      <c r="K83" s="1222">
        <v>10</v>
      </c>
      <c r="L83" s="1227">
        <v>12</v>
      </c>
      <c r="M83" s="1224">
        <f t="shared" si="3"/>
        <v>11160</v>
      </c>
      <c r="N83" s="1228">
        <v>10</v>
      </c>
      <c r="O83" s="1229">
        <v>6</v>
      </c>
      <c r="P83" s="1224">
        <f t="shared" si="4"/>
        <v>5580</v>
      </c>
    </row>
    <row r="84" spans="1:16" s="1150" customFormat="1" ht="24">
      <c r="A84" s="1217" t="s">
        <v>1870</v>
      </c>
      <c r="B84" s="1218" t="s">
        <v>1869</v>
      </c>
      <c r="C84" s="1218" t="s">
        <v>504</v>
      </c>
      <c r="D84" s="1217" t="s">
        <v>1980</v>
      </c>
      <c r="E84" s="1219">
        <v>930</v>
      </c>
      <c r="F84" s="1220" t="s">
        <v>2251</v>
      </c>
      <c r="G84" s="1217" t="s">
        <v>2250</v>
      </c>
      <c r="H84" s="1217"/>
      <c r="I84" s="1217"/>
      <c r="J84" s="1221" t="s">
        <v>618</v>
      </c>
      <c r="K84" s="1222">
        <v>10</v>
      </c>
      <c r="L84" s="1227">
        <v>12</v>
      </c>
      <c r="M84" s="1224">
        <f t="shared" si="3"/>
        <v>11160</v>
      </c>
      <c r="N84" s="1228">
        <v>10</v>
      </c>
      <c r="O84" s="1229">
        <v>6</v>
      </c>
      <c r="P84" s="1224">
        <f t="shared" si="4"/>
        <v>5580</v>
      </c>
    </row>
    <row r="85" spans="1:16" s="1150" customFormat="1" ht="24">
      <c r="A85" s="1217" t="s">
        <v>1870</v>
      </c>
      <c r="B85" s="1218" t="s">
        <v>1869</v>
      </c>
      <c r="C85" s="1218" t="s">
        <v>504</v>
      </c>
      <c r="D85" s="1217" t="s">
        <v>2064</v>
      </c>
      <c r="E85" s="1219">
        <v>930</v>
      </c>
      <c r="F85" s="1220" t="s">
        <v>2249</v>
      </c>
      <c r="G85" s="1217" t="s">
        <v>2248</v>
      </c>
      <c r="H85" s="1217"/>
      <c r="I85" s="1217"/>
      <c r="J85" s="1221" t="s">
        <v>1664</v>
      </c>
      <c r="K85" s="1222">
        <v>9</v>
      </c>
      <c r="L85" s="1227">
        <v>12</v>
      </c>
      <c r="M85" s="1224">
        <f t="shared" si="3"/>
        <v>11160</v>
      </c>
      <c r="N85" s="1228">
        <v>9</v>
      </c>
      <c r="O85" s="1229">
        <v>6</v>
      </c>
      <c r="P85" s="1224">
        <f t="shared" si="4"/>
        <v>5580</v>
      </c>
    </row>
    <row r="86" spans="1:16" s="1150" customFormat="1" ht="24">
      <c r="A86" s="1217" t="s">
        <v>1874</v>
      </c>
      <c r="B86" s="1218" t="s">
        <v>1880</v>
      </c>
      <c r="C86" s="1218" t="s">
        <v>504</v>
      </c>
      <c r="D86" s="1217" t="s">
        <v>1987</v>
      </c>
      <c r="E86" s="1219">
        <v>3500</v>
      </c>
      <c r="F86" s="1220" t="s">
        <v>2247</v>
      </c>
      <c r="G86" s="1217" t="s">
        <v>2246</v>
      </c>
      <c r="H86" s="1217"/>
      <c r="I86" s="1217"/>
      <c r="J86" s="1221" t="s">
        <v>4</v>
      </c>
      <c r="K86" s="1222">
        <v>5</v>
      </c>
      <c r="L86" s="1223">
        <v>12</v>
      </c>
      <c r="M86" s="1224">
        <f t="shared" si="3"/>
        <v>42000</v>
      </c>
      <c r="N86" s="1228">
        <v>5</v>
      </c>
      <c r="O86" s="1229">
        <v>6</v>
      </c>
      <c r="P86" s="1224">
        <f t="shared" si="4"/>
        <v>21000</v>
      </c>
    </row>
    <row r="87" spans="1:16" s="1150" customFormat="1" ht="24">
      <c r="A87" s="1217" t="s">
        <v>1874</v>
      </c>
      <c r="B87" s="1218" t="s">
        <v>1869</v>
      </c>
      <c r="C87" s="1218" t="s">
        <v>504</v>
      </c>
      <c r="D87" s="1217" t="s">
        <v>1672</v>
      </c>
      <c r="E87" s="1219">
        <v>950</v>
      </c>
      <c r="F87" s="1220" t="s">
        <v>2245</v>
      </c>
      <c r="G87" s="1217" t="s">
        <v>2244</v>
      </c>
      <c r="H87" s="1217"/>
      <c r="I87" s="1217"/>
      <c r="J87" s="1221" t="s">
        <v>5</v>
      </c>
      <c r="K87" s="1222">
        <v>11</v>
      </c>
      <c r="L87" s="1223">
        <v>12</v>
      </c>
      <c r="M87" s="1224">
        <f t="shared" si="3"/>
        <v>11400</v>
      </c>
      <c r="N87" s="1228">
        <v>11</v>
      </c>
      <c r="O87" s="1229">
        <v>6</v>
      </c>
      <c r="P87" s="1224">
        <f t="shared" si="4"/>
        <v>5700</v>
      </c>
    </row>
    <row r="88" spans="1:16" s="1150" customFormat="1" ht="24">
      <c r="A88" s="1217" t="s">
        <v>1870</v>
      </c>
      <c r="B88" s="1218" t="s">
        <v>1869</v>
      </c>
      <c r="C88" s="1218" t="s">
        <v>504</v>
      </c>
      <c r="D88" s="1217" t="s">
        <v>1980</v>
      </c>
      <c r="E88" s="1219">
        <v>930</v>
      </c>
      <c r="F88" s="1220" t="s">
        <v>2243</v>
      </c>
      <c r="G88" s="1217" t="s">
        <v>2242</v>
      </c>
      <c r="H88" s="1217"/>
      <c r="I88" s="1217"/>
      <c r="J88" s="1221" t="s">
        <v>618</v>
      </c>
      <c r="K88" s="1222">
        <v>10</v>
      </c>
      <c r="L88" s="1227">
        <v>12</v>
      </c>
      <c r="M88" s="1224">
        <f t="shared" si="3"/>
        <v>11160</v>
      </c>
      <c r="N88" s="1228">
        <v>10</v>
      </c>
      <c r="O88" s="1229">
        <v>6</v>
      </c>
      <c r="P88" s="1224">
        <f t="shared" si="4"/>
        <v>5580</v>
      </c>
    </row>
    <row r="89" spans="1:16" s="1150" customFormat="1" ht="24">
      <c r="A89" s="1217" t="s">
        <v>1870</v>
      </c>
      <c r="B89" s="1218" t="s">
        <v>1869</v>
      </c>
      <c r="C89" s="1218" t="s">
        <v>504</v>
      </c>
      <c r="D89" s="1217" t="s">
        <v>1724</v>
      </c>
      <c r="E89" s="1219">
        <v>930</v>
      </c>
      <c r="F89" s="1220" t="s">
        <v>2241</v>
      </c>
      <c r="G89" s="1217" t="s">
        <v>2240</v>
      </c>
      <c r="H89" s="1217"/>
      <c r="I89" s="1217"/>
      <c r="J89" s="1221" t="s">
        <v>618</v>
      </c>
      <c r="K89" s="1222">
        <v>11</v>
      </c>
      <c r="L89" s="1227">
        <v>12</v>
      </c>
      <c r="M89" s="1224">
        <f t="shared" si="3"/>
        <v>11160</v>
      </c>
      <c r="N89" s="1228">
        <v>11</v>
      </c>
      <c r="O89" s="1229">
        <v>6</v>
      </c>
      <c r="P89" s="1224">
        <f t="shared" si="4"/>
        <v>5580</v>
      </c>
    </row>
    <row r="90" spans="1:16" s="1150" customFormat="1" ht="24">
      <c r="A90" s="1217" t="s">
        <v>1870</v>
      </c>
      <c r="B90" s="1218" t="s">
        <v>1869</v>
      </c>
      <c r="C90" s="1218" t="s">
        <v>504</v>
      </c>
      <c r="D90" s="1217" t="s">
        <v>1888</v>
      </c>
      <c r="E90" s="1219">
        <v>930</v>
      </c>
      <c r="F90" s="1220" t="s">
        <v>2239</v>
      </c>
      <c r="G90" s="1217" t="s">
        <v>2238</v>
      </c>
      <c r="H90" s="1217"/>
      <c r="I90" s="1217"/>
      <c r="J90" s="1221" t="s">
        <v>1664</v>
      </c>
      <c r="K90" s="1222">
        <v>6</v>
      </c>
      <c r="L90" s="1227">
        <v>12</v>
      </c>
      <c r="M90" s="1224">
        <f t="shared" si="3"/>
        <v>11160</v>
      </c>
      <c r="N90" s="1228">
        <v>6</v>
      </c>
      <c r="O90" s="1229">
        <v>6</v>
      </c>
      <c r="P90" s="1224">
        <f t="shared" si="4"/>
        <v>5580</v>
      </c>
    </row>
    <row r="91" spans="1:16" s="1150" customFormat="1" ht="24">
      <c r="A91" s="1217" t="s">
        <v>1874</v>
      </c>
      <c r="B91" s="1218" t="s">
        <v>1869</v>
      </c>
      <c r="C91" s="1218" t="s">
        <v>504</v>
      </c>
      <c r="D91" s="1217" t="s">
        <v>2237</v>
      </c>
      <c r="E91" s="1219">
        <v>3500</v>
      </c>
      <c r="F91" s="1220" t="s">
        <v>2236</v>
      </c>
      <c r="G91" s="1217" t="s">
        <v>2235</v>
      </c>
      <c r="H91" s="1217"/>
      <c r="I91" s="1217"/>
      <c r="J91" s="1221" t="s">
        <v>569</v>
      </c>
      <c r="K91" s="1222">
        <v>4</v>
      </c>
      <c r="L91" s="1223">
        <v>12</v>
      </c>
      <c r="M91" s="1224">
        <f t="shared" si="3"/>
        <v>42000</v>
      </c>
      <c r="N91" s="1228">
        <v>4</v>
      </c>
      <c r="O91" s="1229">
        <v>6</v>
      </c>
      <c r="P91" s="1224">
        <f t="shared" si="4"/>
        <v>21000</v>
      </c>
    </row>
    <row r="92" spans="1:16" s="1150" customFormat="1" ht="24">
      <c r="A92" s="1217" t="s">
        <v>1870</v>
      </c>
      <c r="B92" s="1218" t="s">
        <v>1869</v>
      </c>
      <c r="C92" s="1218" t="s">
        <v>504</v>
      </c>
      <c r="D92" s="1217" t="s">
        <v>2064</v>
      </c>
      <c r="E92" s="1219">
        <v>930</v>
      </c>
      <c r="F92" s="1220" t="s">
        <v>2234</v>
      </c>
      <c r="G92" s="1217" t="s">
        <v>2233</v>
      </c>
      <c r="H92" s="1217"/>
      <c r="I92" s="1217"/>
      <c r="J92" s="1221" t="s">
        <v>1664</v>
      </c>
      <c r="K92" s="1222">
        <v>10</v>
      </c>
      <c r="L92" s="1227">
        <v>12</v>
      </c>
      <c r="M92" s="1224">
        <f t="shared" si="3"/>
        <v>11160</v>
      </c>
      <c r="N92" s="1228">
        <v>10</v>
      </c>
      <c r="O92" s="1229">
        <v>6</v>
      </c>
      <c r="P92" s="1224">
        <f t="shared" si="4"/>
        <v>5580</v>
      </c>
    </row>
    <row r="93" spans="1:16" s="1150" customFormat="1" ht="24">
      <c r="A93" s="1217" t="s">
        <v>1870</v>
      </c>
      <c r="B93" s="1218" t="s">
        <v>1869</v>
      </c>
      <c r="C93" s="1218" t="s">
        <v>504</v>
      </c>
      <c r="D93" s="1217" t="s">
        <v>2215</v>
      </c>
      <c r="E93" s="1219">
        <v>930</v>
      </c>
      <c r="F93" s="1220" t="s">
        <v>2232</v>
      </c>
      <c r="G93" s="1217" t="s">
        <v>2231</v>
      </c>
      <c r="H93" s="1217"/>
      <c r="I93" s="1217"/>
      <c r="J93" s="1221" t="s">
        <v>618</v>
      </c>
      <c r="K93" s="1222">
        <v>10</v>
      </c>
      <c r="L93" s="1227">
        <v>12</v>
      </c>
      <c r="M93" s="1224">
        <f t="shared" si="3"/>
        <v>11160</v>
      </c>
      <c r="N93" s="1228">
        <v>10</v>
      </c>
      <c r="O93" s="1229">
        <v>6</v>
      </c>
      <c r="P93" s="1224">
        <f t="shared" si="4"/>
        <v>5580</v>
      </c>
    </row>
    <row r="94" spans="1:16" s="1150" customFormat="1" ht="24">
      <c r="A94" s="1217" t="s">
        <v>1870</v>
      </c>
      <c r="B94" s="1218" t="s">
        <v>1869</v>
      </c>
      <c r="C94" s="1218" t="s">
        <v>504</v>
      </c>
      <c r="D94" s="1217" t="s">
        <v>1930</v>
      </c>
      <c r="E94" s="1219">
        <v>930</v>
      </c>
      <c r="F94" s="1220" t="s">
        <v>2230</v>
      </c>
      <c r="G94" s="1217" t="s">
        <v>2229</v>
      </c>
      <c r="H94" s="1217"/>
      <c r="I94" s="1217"/>
      <c r="J94" s="1221" t="s">
        <v>618</v>
      </c>
      <c r="K94" s="1222">
        <v>5</v>
      </c>
      <c r="L94" s="1227">
        <v>12</v>
      </c>
      <c r="M94" s="1224">
        <f t="shared" si="3"/>
        <v>11160</v>
      </c>
      <c r="N94" s="1228">
        <v>5</v>
      </c>
      <c r="O94" s="1229">
        <v>6</v>
      </c>
      <c r="P94" s="1224">
        <f t="shared" si="4"/>
        <v>5580</v>
      </c>
    </row>
    <row r="95" spans="1:16" s="1150" customFormat="1" ht="24">
      <c r="A95" s="1217" t="s">
        <v>1870</v>
      </c>
      <c r="B95" s="1218" t="s">
        <v>1869</v>
      </c>
      <c r="C95" s="1218" t="s">
        <v>504</v>
      </c>
      <c r="D95" s="1217" t="s">
        <v>1888</v>
      </c>
      <c r="E95" s="1219">
        <v>930</v>
      </c>
      <c r="F95" s="1220" t="s">
        <v>2228</v>
      </c>
      <c r="G95" s="1217" t="s">
        <v>2227</v>
      </c>
      <c r="H95" s="1217"/>
      <c r="I95" s="1217"/>
      <c r="J95" s="1221" t="s">
        <v>1664</v>
      </c>
      <c r="K95" s="1222">
        <v>5</v>
      </c>
      <c r="L95" s="1227">
        <v>12</v>
      </c>
      <c r="M95" s="1224">
        <f t="shared" si="3"/>
        <v>11160</v>
      </c>
      <c r="N95" s="1228">
        <v>5</v>
      </c>
      <c r="O95" s="1229">
        <v>6</v>
      </c>
      <c r="P95" s="1224">
        <f t="shared" si="4"/>
        <v>5580</v>
      </c>
    </row>
    <row r="96" spans="1:16" s="1150" customFormat="1" ht="24">
      <c r="A96" s="1217" t="s">
        <v>1870</v>
      </c>
      <c r="B96" s="1218" t="s">
        <v>1869</v>
      </c>
      <c r="C96" s="1218" t="s">
        <v>504</v>
      </c>
      <c r="D96" s="1217" t="s">
        <v>2150</v>
      </c>
      <c r="E96" s="1219">
        <v>930</v>
      </c>
      <c r="F96" s="1220" t="s">
        <v>2226</v>
      </c>
      <c r="G96" s="1217" t="s">
        <v>2225</v>
      </c>
      <c r="H96" s="1217"/>
      <c r="I96" s="1217"/>
      <c r="J96" s="1221" t="s">
        <v>1865</v>
      </c>
      <c r="K96" s="1222">
        <v>11</v>
      </c>
      <c r="L96" s="1227">
        <v>12</v>
      </c>
      <c r="M96" s="1224">
        <f t="shared" si="3"/>
        <v>11160</v>
      </c>
      <c r="N96" s="1228">
        <v>11</v>
      </c>
      <c r="O96" s="1229">
        <v>6</v>
      </c>
      <c r="P96" s="1224">
        <f t="shared" si="4"/>
        <v>5580</v>
      </c>
    </row>
    <row r="97" spans="1:16" s="1150" customFormat="1" ht="24">
      <c r="A97" s="1217" t="s">
        <v>1870</v>
      </c>
      <c r="B97" s="1218" t="s">
        <v>1869</v>
      </c>
      <c r="C97" s="1218" t="s">
        <v>504</v>
      </c>
      <c r="D97" s="1217" t="s">
        <v>2064</v>
      </c>
      <c r="E97" s="1219">
        <v>930</v>
      </c>
      <c r="F97" s="1220" t="s">
        <v>2224</v>
      </c>
      <c r="G97" s="1217" t="s">
        <v>2223</v>
      </c>
      <c r="H97" s="1217"/>
      <c r="I97" s="1217"/>
      <c r="J97" s="1221" t="s">
        <v>1664</v>
      </c>
      <c r="K97" s="1222">
        <v>11</v>
      </c>
      <c r="L97" s="1227">
        <v>12</v>
      </c>
      <c r="M97" s="1224">
        <f t="shared" si="3"/>
        <v>11160</v>
      </c>
      <c r="N97" s="1228">
        <v>11</v>
      </c>
      <c r="O97" s="1229">
        <v>6</v>
      </c>
      <c r="P97" s="1224">
        <f t="shared" si="4"/>
        <v>5580</v>
      </c>
    </row>
    <row r="98" spans="1:16" s="1150" customFormat="1" ht="24">
      <c r="A98" s="1217" t="s">
        <v>1874</v>
      </c>
      <c r="B98" s="1218" t="s">
        <v>1869</v>
      </c>
      <c r="C98" s="1218" t="s">
        <v>504</v>
      </c>
      <c r="D98" s="1217" t="s">
        <v>2097</v>
      </c>
      <c r="E98" s="1219">
        <v>1200</v>
      </c>
      <c r="F98" s="1220" t="s">
        <v>2222</v>
      </c>
      <c r="G98" s="1217" t="s">
        <v>2221</v>
      </c>
      <c r="H98" s="1217"/>
      <c r="I98" s="1217"/>
      <c r="J98" s="1221" t="s">
        <v>569</v>
      </c>
      <c r="K98" s="1222">
        <v>5</v>
      </c>
      <c r="L98" s="1223">
        <v>12</v>
      </c>
      <c r="M98" s="1224">
        <f t="shared" si="3"/>
        <v>14400</v>
      </c>
      <c r="N98" s="1228">
        <v>5</v>
      </c>
      <c r="O98" s="1229">
        <v>6</v>
      </c>
      <c r="P98" s="1224">
        <f t="shared" si="4"/>
        <v>7200</v>
      </c>
    </row>
    <row r="99" spans="1:16" s="1150" customFormat="1" ht="24">
      <c r="A99" s="1217" t="s">
        <v>1870</v>
      </c>
      <c r="B99" s="1218" t="s">
        <v>1869</v>
      </c>
      <c r="C99" s="1218" t="s">
        <v>504</v>
      </c>
      <c r="D99" s="1217" t="s">
        <v>2220</v>
      </c>
      <c r="E99" s="1219">
        <v>930</v>
      </c>
      <c r="F99" s="1220" t="s">
        <v>2219</v>
      </c>
      <c r="G99" s="1217" t="s">
        <v>2218</v>
      </c>
      <c r="H99" s="1217"/>
      <c r="I99" s="1217"/>
      <c r="J99" s="1221" t="s">
        <v>1865</v>
      </c>
      <c r="K99" s="1222">
        <v>11</v>
      </c>
      <c r="L99" s="1227">
        <v>12</v>
      </c>
      <c r="M99" s="1224">
        <f t="shared" si="3"/>
        <v>11160</v>
      </c>
      <c r="N99" s="1228">
        <v>11</v>
      </c>
      <c r="O99" s="1229">
        <v>6</v>
      </c>
      <c r="P99" s="1224">
        <f t="shared" si="4"/>
        <v>5580</v>
      </c>
    </row>
    <row r="100" spans="1:16" s="1150" customFormat="1" ht="24">
      <c r="A100" s="1217" t="s">
        <v>1874</v>
      </c>
      <c r="B100" s="1218" t="s">
        <v>1869</v>
      </c>
      <c r="C100" s="1218" t="s">
        <v>504</v>
      </c>
      <c r="D100" s="1217" t="s">
        <v>511</v>
      </c>
      <c r="E100" s="1219">
        <v>3000</v>
      </c>
      <c r="F100" s="1220" t="s">
        <v>2217</v>
      </c>
      <c r="G100" s="1217" t="s">
        <v>2216</v>
      </c>
      <c r="H100" s="1217"/>
      <c r="I100" s="1217"/>
      <c r="J100" s="1221" t="s">
        <v>569</v>
      </c>
      <c r="K100" s="1222">
        <v>4</v>
      </c>
      <c r="L100" s="1223">
        <v>12</v>
      </c>
      <c r="M100" s="1224">
        <f t="shared" si="3"/>
        <v>36000</v>
      </c>
      <c r="N100" s="1228">
        <v>4</v>
      </c>
      <c r="O100" s="1229">
        <v>6</v>
      </c>
      <c r="P100" s="1224">
        <f t="shared" si="4"/>
        <v>18000</v>
      </c>
    </row>
    <row r="101" spans="1:16" s="1150" customFormat="1" ht="24">
      <c r="A101" s="1217" t="s">
        <v>1870</v>
      </c>
      <c r="B101" s="1218" t="s">
        <v>1869</v>
      </c>
      <c r="C101" s="1218" t="s">
        <v>504</v>
      </c>
      <c r="D101" s="1217" t="s">
        <v>2215</v>
      </c>
      <c r="E101" s="1219">
        <v>930</v>
      </c>
      <c r="F101" s="1220" t="s">
        <v>2214</v>
      </c>
      <c r="G101" s="1217" t="s">
        <v>2213</v>
      </c>
      <c r="H101" s="1217"/>
      <c r="I101" s="1217"/>
      <c r="J101" s="1221" t="s">
        <v>618</v>
      </c>
      <c r="K101" s="1222">
        <v>11</v>
      </c>
      <c r="L101" s="1227">
        <v>12</v>
      </c>
      <c r="M101" s="1224">
        <f t="shared" si="3"/>
        <v>11160</v>
      </c>
      <c r="N101" s="1228">
        <v>11</v>
      </c>
      <c r="O101" s="1229">
        <v>6</v>
      </c>
      <c r="P101" s="1224">
        <f t="shared" si="4"/>
        <v>5580</v>
      </c>
    </row>
    <row r="102" spans="1:16" s="1150" customFormat="1" ht="24">
      <c r="A102" s="1217" t="s">
        <v>1870</v>
      </c>
      <c r="B102" s="1218" t="s">
        <v>1869</v>
      </c>
      <c r="C102" s="1218" t="s">
        <v>504</v>
      </c>
      <c r="D102" s="1217" t="s">
        <v>2051</v>
      </c>
      <c r="E102" s="1219">
        <v>930</v>
      </c>
      <c r="F102" s="1220" t="s">
        <v>2212</v>
      </c>
      <c r="G102" s="1217" t="s">
        <v>2211</v>
      </c>
      <c r="H102" s="1217"/>
      <c r="I102" s="1217"/>
      <c r="J102" s="1221" t="s">
        <v>1865</v>
      </c>
      <c r="K102" s="1222">
        <v>11</v>
      </c>
      <c r="L102" s="1227">
        <v>12</v>
      </c>
      <c r="M102" s="1224">
        <f t="shared" si="3"/>
        <v>11160</v>
      </c>
      <c r="N102" s="1228">
        <v>11</v>
      </c>
      <c r="O102" s="1229">
        <v>6</v>
      </c>
      <c r="P102" s="1224">
        <f t="shared" si="4"/>
        <v>5580</v>
      </c>
    </row>
    <row r="103" spans="1:16" s="1150" customFormat="1" ht="24">
      <c r="A103" s="1217" t="s">
        <v>1870</v>
      </c>
      <c r="B103" s="1218" t="s">
        <v>1869</v>
      </c>
      <c r="C103" s="1218" t="s">
        <v>504</v>
      </c>
      <c r="D103" s="1217" t="s">
        <v>1925</v>
      </c>
      <c r="E103" s="1219">
        <v>1100</v>
      </c>
      <c r="F103" s="1220" t="s">
        <v>2210</v>
      </c>
      <c r="G103" s="1217" t="s">
        <v>2209</v>
      </c>
      <c r="H103" s="1217"/>
      <c r="I103" s="1217"/>
      <c r="J103" s="1221" t="s">
        <v>1865</v>
      </c>
      <c r="K103" s="1222">
        <v>4</v>
      </c>
      <c r="L103" s="1227">
        <v>12</v>
      </c>
      <c r="M103" s="1224">
        <f t="shared" si="3"/>
        <v>13200</v>
      </c>
      <c r="N103" s="1228">
        <v>4</v>
      </c>
      <c r="O103" s="1229">
        <v>6</v>
      </c>
      <c r="P103" s="1224">
        <f t="shared" ref="P103:P134" si="5">+E103*O103</f>
        <v>6600</v>
      </c>
    </row>
    <row r="104" spans="1:16" s="1150" customFormat="1" ht="24">
      <c r="A104" s="1217" t="s">
        <v>1870</v>
      </c>
      <c r="B104" s="1218" t="s">
        <v>1869</v>
      </c>
      <c r="C104" s="1218" t="s">
        <v>504</v>
      </c>
      <c r="D104" s="1217" t="s">
        <v>1888</v>
      </c>
      <c r="E104" s="1219">
        <v>930</v>
      </c>
      <c r="F104" s="1220" t="s">
        <v>2208</v>
      </c>
      <c r="G104" s="1217" t="s">
        <v>2207</v>
      </c>
      <c r="H104" s="1217"/>
      <c r="I104" s="1217"/>
      <c r="J104" s="1221" t="s">
        <v>1664</v>
      </c>
      <c r="K104" s="1222">
        <v>6</v>
      </c>
      <c r="L104" s="1227">
        <v>12</v>
      </c>
      <c r="M104" s="1224">
        <f t="shared" si="3"/>
        <v>11160</v>
      </c>
      <c r="N104" s="1228">
        <v>6</v>
      </c>
      <c r="O104" s="1229">
        <v>6</v>
      </c>
      <c r="P104" s="1224">
        <f t="shared" si="5"/>
        <v>5580</v>
      </c>
    </row>
    <row r="105" spans="1:16" s="1150" customFormat="1" ht="24">
      <c r="A105" s="1217" t="s">
        <v>1870</v>
      </c>
      <c r="B105" s="1218" t="s">
        <v>1869</v>
      </c>
      <c r="C105" s="1218" t="s">
        <v>504</v>
      </c>
      <c r="D105" s="1217" t="s">
        <v>1913</v>
      </c>
      <c r="E105" s="1219">
        <v>930</v>
      </c>
      <c r="F105" s="1220" t="s">
        <v>2206</v>
      </c>
      <c r="G105" s="1217" t="s">
        <v>2205</v>
      </c>
      <c r="H105" s="1217"/>
      <c r="I105" s="1217"/>
      <c r="J105" s="1221" t="s">
        <v>618</v>
      </c>
      <c r="K105" s="1222">
        <v>10</v>
      </c>
      <c r="L105" s="1227">
        <v>12</v>
      </c>
      <c r="M105" s="1224">
        <f t="shared" si="3"/>
        <v>11160</v>
      </c>
      <c r="N105" s="1228">
        <v>10</v>
      </c>
      <c r="O105" s="1229">
        <v>6</v>
      </c>
      <c r="P105" s="1224">
        <f t="shared" si="5"/>
        <v>5580</v>
      </c>
    </row>
    <row r="106" spans="1:16" s="1150" customFormat="1" ht="24">
      <c r="A106" s="1217" t="s">
        <v>1870</v>
      </c>
      <c r="B106" s="1218" t="s">
        <v>1869</v>
      </c>
      <c r="C106" s="1218" t="s">
        <v>504</v>
      </c>
      <c r="D106" s="1217" t="s">
        <v>1980</v>
      </c>
      <c r="E106" s="1219">
        <v>930</v>
      </c>
      <c r="F106" s="1220" t="s">
        <v>2204</v>
      </c>
      <c r="G106" s="1217" t="s">
        <v>2203</v>
      </c>
      <c r="H106" s="1217"/>
      <c r="I106" s="1217"/>
      <c r="J106" s="1221" t="s">
        <v>618</v>
      </c>
      <c r="K106" s="1222">
        <v>5</v>
      </c>
      <c r="L106" s="1227">
        <v>12</v>
      </c>
      <c r="M106" s="1224">
        <f t="shared" si="3"/>
        <v>11160</v>
      </c>
      <c r="N106" s="1228">
        <v>5</v>
      </c>
      <c r="O106" s="1229">
        <v>6</v>
      </c>
      <c r="P106" s="1224">
        <f t="shared" si="5"/>
        <v>5580</v>
      </c>
    </row>
    <row r="107" spans="1:16" s="1150" customFormat="1" ht="24">
      <c r="A107" s="1217" t="s">
        <v>1870</v>
      </c>
      <c r="B107" s="1218" t="s">
        <v>1869</v>
      </c>
      <c r="C107" s="1218" t="s">
        <v>504</v>
      </c>
      <c r="D107" s="1217" t="s">
        <v>1952</v>
      </c>
      <c r="E107" s="1219">
        <v>930</v>
      </c>
      <c r="F107" s="1220" t="s">
        <v>2202</v>
      </c>
      <c r="G107" s="1217" t="s">
        <v>2201</v>
      </c>
      <c r="H107" s="1217"/>
      <c r="I107" s="1217"/>
      <c r="J107" s="1221" t="s">
        <v>618</v>
      </c>
      <c r="K107" s="1222">
        <v>11</v>
      </c>
      <c r="L107" s="1227">
        <v>12</v>
      </c>
      <c r="M107" s="1224">
        <f t="shared" si="3"/>
        <v>11160</v>
      </c>
      <c r="N107" s="1228">
        <v>11</v>
      </c>
      <c r="O107" s="1229">
        <v>6</v>
      </c>
      <c r="P107" s="1224">
        <f t="shared" si="5"/>
        <v>5580</v>
      </c>
    </row>
    <row r="108" spans="1:16" s="1150" customFormat="1" ht="24">
      <c r="A108" s="1217" t="s">
        <v>1870</v>
      </c>
      <c r="B108" s="1218" t="s">
        <v>1880</v>
      </c>
      <c r="C108" s="1218" t="s">
        <v>504</v>
      </c>
      <c r="D108" s="1217" t="s">
        <v>1930</v>
      </c>
      <c r="E108" s="1219">
        <v>930</v>
      </c>
      <c r="F108" s="1220" t="s">
        <v>2200</v>
      </c>
      <c r="G108" s="1217" t="s">
        <v>2199</v>
      </c>
      <c r="H108" s="1217"/>
      <c r="I108" s="1217"/>
      <c r="J108" s="1221" t="s">
        <v>618</v>
      </c>
      <c r="K108" s="1222">
        <v>10</v>
      </c>
      <c r="L108" s="1227">
        <v>12</v>
      </c>
      <c r="M108" s="1224">
        <f t="shared" si="3"/>
        <v>11160</v>
      </c>
      <c r="N108" s="1228">
        <v>10</v>
      </c>
      <c r="O108" s="1229">
        <v>6</v>
      </c>
      <c r="P108" s="1224">
        <f t="shared" si="5"/>
        <v>5580</v>
      </c>
    </row>
    <row r="109" spans="1:16" s="1150" customFormat="1" ht="24">
      <c r="A109" s="1217" t="s">
        <v>1870</v>
      </c>
      <c r="B109" s="1218" t="s">
        <v>1869</v>
      </c>
      <c r="C109" s="1218" t="s">
        <v>504</v>
      </c>
      <c r="D109" s="1217" t="s">
        <v>1952</v>
      </c>
      <c r="E109" s="1219">
        <v>930</v>
      </c>
      <c r="F109" s="1220" t="s">
        <v>2198</v>
      </c>
      <c r="G109" s="1217" t="s">
        <v>2197</v>
      </c>
      <c r="H109" s="1217"/>
      <c r="I109" s="1217"/>
      <c r="J109" s="1221" t="s">
        <v>618</v>
      </c>
      <c r="K109" s="1222">
        <v>11</v>
      </c>
      <c r="L109" s="1227">
        <v>12</v>
      </c>
      <c r="M109" s="1224">
        <f t="shared" si="3"/>
        <v>11160</v>
      </c>
      <c r="N109" s="1228">
        <v>11</v>
      </c>
      <c r="O109" s="1229">
        <v>6</v>
      </c>
      <c r="P109" s="1224">
        <f t="shared" si="5"/>
        <v>5580</v>
      </c>
    </row>
    <row r="110" spans="1:16" s="1150" customFormat="1" ht="24">
      <c r="A110" s="1217" t="s">
        <v>1870</v>
      </c>
      <c r="B110" s="1218" t="s">
        <v>1880</v>
      </c>
      <c r="C110" s="1218" t="s">
        <v>504</v>
      </c>
      <c r="D110" s="1217" t="s">
        <v>1961</v>
      </c>
      <c r="E110" s="1219">
        <v>2500</v>
      </c>
      <c r="F110" s="1220" t="s">
        <v>2196</v>
      </c>
      <c r="G110" s="1217" t="s">
        <v>2195</v>
      </c>
      <c r="H110" s="1217"/>
      <c r="I110" s="1217"/>
      <c r="J110" s="1221" t="s">
        <v>569</v>
      </c>
      <c r="K110" s="1222">
        <v>5</v>
      </c>
      <c r="L110" s="1227">
        <v>12</v>
      </c>
      <c r="M110" s="1224">
        <f t="shared" si="3"/>
        <v>30000</v>
      </c>
      <c r="N110" s="1228">
        <v>5</v>
      </c>
      <c r="O110" s="1229">
        <v>6</v>
      </c>
      <c r="P110" s="1224">
        <f t="shared" si="5"/>
        <v>15000</v>
      </c>
    </row>
    <row r="111" spans="1:16" s="1150" customFormat="1" ht="24">
      <c r="A111" s="1217" t="s">
        <v>1874</v>
      </c>
      <c r="B111" s="1218" t="s">
        <v>1869</v>
      </c>
      <c r="C111" s="1218" t="s">
        <v>504</v>
      </c>
      <c r="D111" s="1217" t="s">
        <v>2083</v>
      </c>
      <c r="E111" s="1219">
        <v>2000</v>
      </c>
      <c r="F111" s="1220" t="s">
        <v>2194</v>
      </c>
      <c r="G111" s="1217" t="s">
        <v>2193</v>
      </c>
      <c r="H111" s="1217"/>
      <c r="I111" s="1217"/>
      <c r="J111" s="1221" t="s">
        <v>569</v>
      </c>
      <c r="K111" s="1222">
        <v>5</v>
      </c>
      <c r="L111" s="1223">
        <v>12</v>
      </c>
      <c r="M111" s="1224">
        <f t="shared" si="3"/>
        <v>24000</v>
      </c>
      <c r="N111" s="1228">
        <v>5</v>
      </c>
      <c r="O111" s="1229">
        <v>6</v>
      </c>
      <c r="P111" s="1224">
        <f t="shared" si="5"/>
        <v>12000</v>
      </c>
    </row>
    <row r="112" spans="1:16" s="1150" customFormat="1" ht="24">
      <c r="A112" s="1217" t="s">
        <v>1870</v>
      </c>
      <c r="B112" s="1218" t="s">
        <v>1869</v>
      </c>
      <c r="C112" s="1218" t="s">
        <v>504</v>
      </c>
      <c r="D112" s="1217" t="s">
        <v>1952</v>
      </c>
      <c r="E112" s="1219">
        <v>930</v>
      </c>
      <c r="F112" s="1220" t="s">
        <v>2192</v>
      </c>
      <c r="G112" s="1217" t="s">
        <v>2191</v>
      </c>
      <c r="H112" s="1217"/>
      <c r="I112" s="1217"/>
      <c r="J112" s="1221" t="s">
        <v>618</v>
      </c>
      <c r="K112" s="1222">
        <v>11</v>
      </c>
      <c r="L112" s="1227">
        <v>12</v>
      </c>
      <c r="M112" s="1224">
        <f t="shared" si="3"/>
        <v>11160</v>
      </c>
      <c r="N112" s="1228">
        <v>11</v>
      </c>
      <c r="O112" s="1229">
        <v>6</v>
      </c>
      <c r="P112" s="1224">
        <f t="shared" si="5"/>
        <v>5580</v>
      </c>
    </row>
    <row r="113" spans="1:16" s="1150" customFormat="1" ht="24">
      <c r="A113" s="1217" t="s">
        <v>1870</v>
      </c>
      <c r="B113" s="1218" t="s">
        <v>1869</v>
      </c>
      <c r="C113" s="1218" t="s">
        <v>504</v>
      </c>
      <c r="D113" s="1217" t="s">
        <v>1952</v>
      </c>
      <c r="E113" s="1219">
        <v>930</v>
      </c>
      <c r="F113" s="1220" t="s">
        <v>2190</v>
      </c>
      <c r="G113" s="1217" t="s">
        <v>2189</v>
      </c>
      <c r="H113" s="1217"/>
      <c r="I113" s="1217"/>
      <c r="J113" s="1221" t="s">
        <v>618</v>
      </c>
      <c r="K113" s="1222">
        <v>10</v>
      </c>
      <c r="L113" s="1227">
        <v>12</v>
      </c>
      <c r="M113" s="1224">
        <f t="shared" si="3"/>
        <v>11160</v>
      </c>
      <c r="N113" s="1228">
        <v>10</v>
      </c>
      <c r="O113" s="1229">
        <v>6</v>
      </c>
      <c r="P113" s="1224">
        <f t="shared" si="5"/>
        <v>5580</v>
      </c>
    </row>
    <row r="114" spans="1:16" s="1150" customFormat="1" ht="24">
      <c r="A114" s="1217" t="s">
        <v>1870</v>
      </c>
      <c r="B114" s="1218" t="s">
        <v>1869</v>
      </c>
      <c r="C114" s="1218" t="s">
        <v>504</v>
      </c>
      <c r="D114" s="1217" t="s">
        <v>1941</v>
      </c>
      <c r="E114" s="1219">
        <v>930</v>
      </c>
      <c r="F114" s="1220" t="s">
        <v>2188</v>
      </c>
      <c r="G114" s="1217" t="s">
        <v>2187</v>
      </c>
      <c r="H114" s="1217"/>
      <c r="I114" s="1217"/>
      <c r="J114" s="1221" t="s">
        <v>618</v>
      </c>
      <c r="K114" s="1222">
        <v>5</v>
      </c>
      <c r="L114" s="1227">
        <v>12</v>
      </c>
      <c r="M114" s="1224">
        <f t="shared" si="3"/>
        <v>11160</v>
      </c>
      <c r="N114" s="1228">
        <v>5</v>
      </c>
      <c r="O114" s="1229">
        <v>6</v>
      </c>
      <c r="P114" s="1224">
        <f t="shared" si="5"/>
        <v>5580</v>
      </c>
    </row>
    <row r="115" spans="1:16" s="1150" customFormat="1" ht="24">
      <c r="A115" s="1217" t="s">
        <v>1870</v>
      </c>
      <c r="B115" s="1218" t="s">
        <v>1880</v>
      </c>
      <c r="C115" s="1218" t="s">
        <v>504</v>
      </c>
      <c r="D115" s="1217" t="s">
        <v>1724</v>
      </c>
      <c r="E115" s="1219">
        <v>930</v>
      </c>
      <c r="F115" s="1220" t="s">
        <v>2186</v>
      </c>
      <c r="G115" s="1217" t="s">
        <v>2185</v>
      </c>
      <c r="H115" s="1217"/>
      <c r="I115" s="1217"/>
      <c r="J115" s="1221" t="s">
        <v>618</v>
      </c>
      <c r="K115" s="1222">
        <v>8</v>
      </c>
      <c r="L115" s="1227">
        <v>12</v>
      </c>
      <c r="M115" s="1224">
        <f t="shared" si="3"/>
        <v>11160</v>
      </c>
      <c r="N115" s="1228">
        <v>8</v>
      </c>
      <c r="O115" s="1229">
        <v>6</v>
      </c>
      <c r="P115" s="1224">
        <f t="shared" si="5"/>
        <v>5580</v>
      </c>
    </row>
    <row r="116" spans="1:16" s="1150" customFormat="1" ht="24">
      <c r="A116" s="1217" t="s">
        <v>1870</v>
      </c>
      <c r="B116" s="1218" t="s">
        <v>1869</v>
      </c>
      <c r="C116" s="1218" t="s">
        <v>504</v>
      </c>
      <c r="D116" s="1217" t="s">
        <v>1910</v>
      </c>
      <c r="E116" s="1219">
        <v>930</v>
      </c>
      <c r="F116" s="1220" t="s">
        <v>2184</v>
      </c>
      <c r="G116" s="1217" t="s">
        <v>2183</v>
      </c>
      <c r="H116" s="1217"/>
      <c r="I116" s="1217"/>
      <c r="J116" s="1221" t="s">
        <v>618</v>
      </c>
      <c r="K116" s="1222">
        <v>11</v>
      </c>
      <c r="L116" s="1227">
        <v>12</v>
      </c>
      <c r="M116" s="1224">
        <f t="shared" si="3"/>
        <v>11160</v>
      </c>
      <c r="N116" s="1228">
        <v>11</v>
      </c>
      <c r="O116" s="1229">
        <v>6</v>
      </c>
      <c r="P116" s="1224">
        <f t="shared" si="5"/>
        <v>5580</v>
      </c>
    </row>
    <row r="117" spans="1:16" s="1150" customFormat="1" ht="24">
      <c r="A117" s="1217" t="s">
        <v>1874</v>
      </c>
      <c r="B117" s="1218" t="s">
        <v>1880</v>
      </c>
      <c r="C117" s="1218" t="s">
        <v>504</v>
      </c>
      <c r="D117" s="1217" t="s">
        <v>2182</v>
      </c>
      <c r="E117" s="1219">
        <v>1200</v>
      </c>
      <c r="F117" s="1220" t="s">
        <v>2181</v>
      </c>
      <c r="G117" s="1217" t="s">
        <v>2180</v>
      </c>
      <c r="H117" s="1217"/>
      <c r="I117" s="1217"/>
      <c r="J117" s="1221" t="s">
        <v>5</v>
      </c>
      <c r="K117" s="1222">
        <v>5</v>
      </c>
      <c r="L117" s="1223">
        <v>12</v>
      </c>
      <c r="M117" s="1224">
        <f t="shared" si="3"/>
        <v>14400</v>
      </c>
      <c r="N117" s="1228">
        <v>5</v>
      </c>
      <c r="O117" s="1229">
        <v>6</v>
      </c>
      <c r="P117" s="1224">
        <f t="shared" si="5"/>
        <v>7200</v>
      </c>
    </row>
    <row r="118" spans="1:16" s="1150" customFormat="1" ht="24">
      <c r="A118" s="1217" t="s">
        <v>1870</v>
      </c>
      <c r="B118" s="1218" t="s">
        <v>1869</v>
      </c>
      <c r="C118" s="1218" t="s">
        <v>504</v>
      </c>
      <c r="D118" s="1217" t="s">
        <v>1944</v>
      </c>
      <c r="E118" s="1219">
        <v>930</v>
      </c>
      <c r="F118" s="1220" t="s">
        <v>2179</v>
      </c>
      <c r="G118" s="1217" t="s">
        <v>2178</v>
      </c>
      <c r="H118" s="1217"/>
      <c r="I118" s="1217"/>
      <c r="J118" s="1221" t="s">
        <v>618</v>
      </c>
      <c r="K118" s="1222">
        <v>11</v>
      </c>
      <c r="L118" s="1227">
        <v>12</v>
      </c>
      <c r="M118" s="1224">
        <f t="shared" si="3"/>
        <v>11160</v>
      </c>
      <c r="N118" s="1228">
        <v>11</v>
      </c>
      <c r="O118" s="1229">
        <v>6</v>
      </c>
      <c r="P118" s="1224">
        <f t="shared" si="5"/>
        <v>5580</v>
      </c>
    </row>
    <row r="119" spans="1:16" s="1150" customFormat="1" ht="24">
      <c r="A119" s="1217" t="s">
        <v>1874</v>
      </c>
      <c r="B119" s="1218" t="s">
        <v>1880</v>
      </c>
      <c r="C119" s="1218" t="s">
        <v>504</v>
      </c>
      <c r="D119" s="1217" t="s">
        <v>1925</v>
      </c>
      <c r="E119" s="1219">
        <v>996</v>
      </c>
      <c r="F119" s="1220" t="s">
        <v>2177</v>
      </c>
      <c r="G119" s="1217" t="s">
        <v>2176</v>
      </c>
      <c r="H119" s="1217"/>
      <c r="I119" s="1217"/>
      <c r="J119" s="1221" t="s">
        <v>5</v>
      </c>
      <c r="K119" s="1222">
        <v>10</v>
      </c>
      <c r="L119" s="1223">
        <v>12</v>
      </c>
      <c r="M119" s="1224">
        <f t="shared" si="3"/>
        <v>11952</v>
      </c>
      <c r="N119" s="1228">
        <v>10</v>
      </c>
      <c r="O119" s="1229">
        <v>6</v>
      </c>
      <c r="P119" s="1224">
        <f t="shared" si="5"/>
        <v>5976</v>
      </c>
    </row>
    <row r="120" spans="1:16" s="1150" customFormat="1" ht="24">
      <c r="A120" s="1217" t="s">
        <v>1870</v>
      </c>
      <c r="B120" s="1218" t="s">
        <v>1880</v>
      </c>
      <c r="C120" s="1218" t="s">
        <v>504</v>
      </c>
      <c r="D120" s="1217" t="s">
        <v>1925</v>
      </c>
      <c r="E120" s="1219">
        <v>930</v>
      </c>
      <c r="F120" s="1220" t="s">
        <v>2175</v>
      </c>
      <c r="G120" s="1217" t="s">
        <v>2174</v>
      </c>
      <c r="H120" s="1217"/>
      <c r="I120" s="1217"/>
      <c r="J120" s="1221" t="s">
        <v>1865</v>
      </c>
      <c r="K120" s="1222">
        <v>10</v>
      </c>
      <c r="L120" s="1227">
        <v>12</v>
      </c>
      <c r="M120" s="1224">
        <f t="shared" si="3"/>
        <v>11160</v>
      </c>
      <c r="N120" s="1228">
        <v>10</v>
      </c>
      <c r="O120" s="1229">
        <v>6</v>
      </c>
      <c r="P120" s="1224">
        <f t="shared" si="5"/>
        <v>5580</v>
      </c>
    </row>
    <row r="121" spans="1:16" s="1150" customFormat="1" ht="24">
      <c r="A121" s="1217" t="s">
        <v>1870</v>
      </c>
      <c r="B121" s="1218" t="s">
        <v>1869</v>
      </c>
      <c r="C121" s="1218" t="s">
        <v>504</v>
      </c>
      <c r="D121" s="1217" t="s">
        <v>1892</v>
      </c>
      <c r="E121" s="1219">
        <v>930</v>
      </c>
      <c r="F121" s="1220" t="s">
        <v>2173</v>
      </c>
      <c r="G121" s="1217" t="s">
        <v>2172</v>
      </c>
      <c r="H121" s="1217"/>
      <c r="I121" s="1217"/>
      <c r="J121" s="1221" t="s">
        <v>618</v>
      </c>
      <c r="K121" s="1222">
        <v>5</v>
      </c>
      <c r="L121" s="1227">
        <v>12</v>
      </c>
      <c r="M121" s="1224">
        <f t="shared" si="3"/>
        <v>11160</v>
      </c>
      <c r="N121" s="1228">
        <v>5</v>
      </c>
      <c r="O121" s="1229">
        <v>6</v>
      </c>
      <c r="P121" s="1224">
        <f t="shared" si="5"/>
        <v>5580</v>
      </c>
    </row>
    <row r="122" spans="1:16" s="1150" customFormat="1" ht="24">
      <c r="A122" s="1217" t="s">
        <v>1870</v>
      </c>
      <c r="B122" s="1218" t="s">
        <v>1869</v>
      </c>
      <c r="C122" s="1218" t="s">
        <v>504</v>
      </c>
      <c r="D122" s="1217" t="s">
        <v>2171</v>
      </c>
      <c r="E122" s="1219">
        <v>930</v>
      </c>
      <c r="F122" s="1220" t="s">
        <v>2170</v>
      </c>
      <c r="G122" s="1217" t="s">
        <v>2169</v>
      </c>
      <c r="H122" s="1217"/>
      <c r="I122" s="1217"/>
      <c r="J122" s="1221" t="s">
        <v>618</v>
      </c>
      <c r="K122" s="1222">
        <v>11</v>
      </c>
      <c r="L122" s="1227">
        <v>12</v>
      </c>
      <c r="M122" s="1224">
        <f t="shared" si="3"/>
        <v>11160</v>
      </c>
      <c r="N122" s="1228">
        <v>11</v>
      </c>
      <c r="O122" s="1229">
        <v>6</v>
      </c>
      <c r="P122" s="1224">
        <f t="shared" si="5"/>
        <v>5580</v>
      </c>
    </row>
    <row r="123" spans="1:16" s="1150" customFormat="1" ht="24">
      <c r="A123" s="1217" t="s">
        <v>1870</v>
      </c>
      <c r="B123" s="1218" t="s">
        <v>1869</v>
      </c>
      <c r="C123" s="1218" t="s">
        <v>504</v>
      </c>
      <c r="D123" s="1217" t="s">
        <v>2051</v>
      </c>
      <c r="E123" s="1219">
        <v>930</v>
      </c>
      <c r="F123" s="1220" t="s">
        <v>2168</v>
      </c>
      <c r="G123" s="1217" t="s">
        <v>2167</v>
      </c>
      <c r="H123" s="1217"/>
      <c r="I123" s="1217"/>
      <c r="J123" s="1221" t="s">
        <v>1865</v>
      </c>
      <c r="K123" s="1222">
        <v>9</v>
      </c>
      <c r="L123" s="1227">
        <v>12</v>
      </c>
      <c r="M123" s="1224">
        <f t="shared" si="3"/>
        <v>11160</v>
      </c>
      <c r="N123" s="1228">
        <v>9</v>
      </c>
      <c r="O123" s="1229">
        <v>6</v>
      </c>
      <c r="P123" s="1224">
        <f t="shared" si="5"/>
        <v>5580</v>
      </c>
    </row>
    <row r="124" spans="1:16" s="1150" customFormat="1" ht="24">
      <c r="A124" s="1217" t="s">
        <v>1870</v>
      </c>
      <c r="B124" s="1218" t="s">
        <v>1869</v>
      </c>
      <c r="C124" s="1218" t="s">
        <v>504</v>
      </c>
      <c r="D124" s="1217" t="s">
        <v>1922</v>
      </c>
      <c r="E124" s="1219">
        <v>930</v>
      </c>
      <c r="F124" s="1220" t="s">
        <v>2166</v>
      </c>
      <c r="G124" s="1217" t="s">
        <v>2165</v>
      </c>
      <c r="H124" s="1217"/>
      <c r="I124" s="1217"/>
      <c r="J124" s="1221" t="s">
        <v>618</v>
      </c>
      <c r="K124" s="1222">
        <v>11</v>
      </c>
      <c r="L124" s="1227">
        <v>12</v>
      </c>
      <c r="M124" s="1224">
        <f t="shared" si="3"/>
        <v>11160</v>
      </c>
      <c r="N124" s="1228">
        <v>11</v>
      </c>
      <c r="O124" s="1229">
        <v>6</v>
      </c>
      <c r="P124" s="1224">
        <f t="shared" si="5"/>
        <v>5580</v>
      </c>
    </row>
    <row r="125" spans="1:16" s="1150" customFormat="1" ht="24">
      <c r="A125" s="1217" t="s">
        <v>1870</v>
      </c>
      <c r="B125" s="1218" t="s">
        <v>1880</v>
      </c>
      <c r="C125" s="1218" t="s">
        <v>504</v>
      </c>
      <c r="D125" s="1217" t="s">
        <v>2164</v>
      </c>
      <c r="E125" s="1219">
        <v>1200</v>
      </c>
      <c r="F125" s="1220" t="s">
        <v>2163</v>
      </c>
      <c r="G125" s="1217" t="s">
        <v>2162</v>
      </c>
      <c r="H125" s="1217"/>
      <c r="I125" s="1217"/>
      <c r="J125" s="1221" t="s">
        <v>569</v>
      </c>
      <c r="K125" s="1222">
        <v>10</v>
      </c>
      <c r="L125" s="1227">
        <v>12</v>
      </c>
      <c r="M125" s="1224">
        <f t="shared" si="3"/>
        <v>14400</v>
      </c>
      <c r="N125" s="1228">
        <v>10</v>
      </c>
      <c r="O125" s="1229">
        <v>6</v>
      </c>
      <c r="P125" s="1224">
        <f t="shared" si="5"/>
        <v>7200</v>
      </c>
    </row>
    <row r="126" spans="1:16" s="1150" customFormat="1" ht="24">
      <c r="A126" s="1217" t="s">
        <v>1870</v>
      </c>
      <c r="B126" s="1218" t="s">
        <v>1869</v>
      </c>
      <c r="C126" s="1218" t="s">
        <v>504</v>
      </c>
      <c r="D126" s="1217" t="s">
        <v>2161</v>
      </c>
      <c r="E126" s="1219">
        <v>930</v>
      </c>
      <c r="F126" s="1220" t="s">
        <v>2160</v>
      </c>
      <c r="G126" s="1217" t="s">
        <v>2159</v>
      </c>
      <c r="H126" s="1217"/>
      <c r="I126" s="1217"/>
      <c r="J126" s="1221" t="s">
        <v>618</v>
      </c>
      <c r="K126" s="1222">
        <v>11</v>
      </c>
      <c r="L126" s="1227">
        <v>12</v>
      </c>
      <c r="M126" s="1224">
        <f t="shared" si="3"/>
        <v>11160</v>
      </c>
      <c r="N126" s="1228">
        <v>11</v>
      </c>
      <c r="O126" s="1229">
        <v>6</v>
      </c>
      <c r="P126" s="1224">
        <f t="shared" si="5"/>
        <v>5580</v>
      </c>
    </row>
    <row r="127" spans="1:16" s="1150" customFormat="1" ht="24">
      <c r="A127" s="1217" t="s">
        <v>1870</v>
      </c>
      <c r="B127" s="1218" t="s">
        <v>1869</v>
      </c>
      <c r="C127" s="1218" t="s">
        <v>504</v>
      </c>
      <c r="D127" s="1217" t="s">
        <v>1952</v>
      </c>
      <c r="E127" s="1219">
        <v>930</v>
      </c>
      <c r="F127" s="1220" t="s">
        <v>2158</v>
      </c>
      <c r="G127" s="1217" t="s">
        <v>2157</v>
      </c>
      <c r="H127" s="1217"/>
      <c r="I127" s="1217"/>
      <c r="J127" s="1221" t="s">
        <v>618</v>
      </c>
      <c r="K127" s="1222">
        <v>11</v>
      </c>
      <c r="L127" s="1227">
        <v>12</v>
      </c>
      <c r="M127" s="1224">
        <f t="shared" si="3"/>
        <v>11160</v>
      </c>
      <c r="N127" s="1228">
        <v>11</v>
      </c>
      <c r="O127" s="1229">
        <v>6</v>
      </c>
      <c r="P127" s="1224">
        <f t="shared" si="5"/>
        <v>5580</v>
      </c>
    </row>
    <row r="128" spans="1:16" s="1150" customFormat="1" ht="24">
      <c r="A128" s="1217" t="s">
        <v>1870</v>
      </c>
      <c r="B128" s="1218" t="s">
        <v>1869</v>
      </c>
      <c r="C128" s="1218" t="s">
        <v>504</v>
      </c>
      <c r="D128" s="1217" t="s">
        <v>1888</v>
      </c>
      <c r="E128" s="1219">
        <v>930</v>
      </c>
      <c r="F128" s="1220" t="s">
        <v>2156</v>
      </c>
      <c r="G128" s="1217" t="s">
        <v>2155</v>
      </c>
      <c r="H128" s="1217"/>
      <c r="I128" s="1217"/>
      <c r="J128" s="1221" t="s">
        <v>1664</v>
      </c>
      <c r="K128" s="1222">
        <v>10</v>
      </c>
      <c r="L128" s="1227">
        <v>12</v>
      </c>
      <c r="M128" s="1224">
        <f t="shared" si="3"/>
        <v>11160</v>
      </c>
      <c r="N128" s="1228">
        <v>10</v>
      </c>
      <c r="O128" s="1229">
        <v>6</v>
      </c>
      <c r="P128" s="1224">
        <f t="shared" si="5"/>
        <v>5580</v>
      </c>
    </row>
    <row r="129" spans="1:16" s="1150" customFormat="1" ht="24">
      <c r="A129" s="1217" t="s">
        <v>1870</v>
      </c>
      <c r="B129" s="1218" t="s">
        <v>1869</v>
      </c>
      <c r="C129" s="1218" t="s">
        <v>504</v>
      </c>
      <c r="D129" s="1217" t="s">
        <v>1888</v>
      </c>
      <c r="E129" s="1219">
        <v>930</v>
      </c>
      <c r="F129" s="1220" t="s">
        <v>2154</v>
      </c>
      <c r="G129" s="1217" t="s">
        <v>2153</v>
      </c>
      <c r="H129" s="1217"/>
      <c r="I129" s="1217"/>
      <c r="J129" s="1221" t="s">
        <v>1664</v>
      </c>
      <c r="K129" s="1222">
        <v>6</v>
      </c>
      <c r="L129" s="1227">
        <v>12</v>
      </c>
      <c r="M129" s="1224">
        <f t="shared" si="3"/>
        <v>11160</v>
      </c>
      <c r="N129" s="1228">
        <v>6</v>
      </c>
      <c r="O129" s="1229">
        <v>6</v>
      </c>
      <c r="P129" s="1224">
        <f t="shared" si="5"/>
        <v>5580</v>
      </c>
    </row>
    <row r="130" spans="1:16" s="1150" customFormat="1" ht="24">
      <c r="A130" s="1217" t="s">
        <v>1870</v>
      </c>
      <c r="B130" s="1218" t="s">
        <v>1869</v>
      </c>
      <c r="C130" s="1218" t="s">
        <v>504</v>
      </c>
      <c r="D130" s="1217" t="s">
        <v>2051</v>
      </c>
      <c r="E130" s="1219">
        <v>930</v>
      </c>
      <c r="F130" s="1220" t="s">
        <v>2152</v>
      </c>
      <c r="G130" s="1217" t="s">
        <v>2151</v>
      </c>
      <c r="H130" s="1217"/>
      <c r="I130" s="1217"/>
      <c r="J130" s="1221" t="s">
        <v>1865</v>
      </c>
      <c r="K130" s="1222">
        <v>11</v>
      </c>
      <c r="L130" s="1227">
        <v>12</v>
      </c>
      <c r="M130" s="1224">
        <f t="shared" si="3"/>
        <v>11160</v>
      </c>
      <c r="N130" s="1228">
        <v>11</v>
      </c>
      <c r="O130" s="1229">
        <v>6</v>
      </c>
      <c r="P130" s="1224">
        <f t="shared" si="5"/>
        <v>5580</v>
      </c>
    </row>
    <row r="131" spans="1:16" s="1150" customFormat="1" ht="24">
      <c r="A131" s="1217" t="s">
        <v>1870</v>
      </c>
      <c r="B131" s="1218" t="s">
        <v>1869</v>
      </c>
      <c r="C131" s="1218" t="s">
        <v>504</v>
      </c>
      <c r="D131" s="1217" t="s">
        <v>2150</v>
      </c>
      <c r="E131" s="1219">
        <v>930</v>
      </c>
      <c r="F131" s="1220" t="s">
        <v>2149</v>
      </c>
      <c r="G131" s="1217" t="s">
        <v>2148</v>
      </c>
      <c r="H131" s="1217"/>
      <c r="I131" s="1217"/>
      <c r="J131" s="1221" t="s">
        <v>1865</v>
      </c>
      <c r="K131" s="1222">
        <v>9</v>
      </c>
      <c r="L131" s="1227">
        <v>12</v>
      </c>
      <c r="M131" s="1224">
        <f t="shared" si="3"/>
        <v>11160</v>
      </c>
      <c r="N131" s="1228">
        <v>9</v>
      </c>
      <c r="O131" s="1229">
        <v>6</v>
      </c>
      <c r="P131" s="1224">
        <f t="shared" si="5"/>
        <v>5580</v>
      </c>
    </row>
    <row r="132" spans="1:16" s="1150" customFormat="1" ht="24">
      <c r="A132" s="1217" t="s">
        <v>1870</v>
      </c>
      <c r="B132" s="1218" t="s">
        <v>1869</v>
      </c>
      <c r="C132" s="1218" t="s">
        <v>504</v>
      </c>
      <c r="D132" s="1217" t="s">
        <v>2051</v>
      </c>
      <c r="E132" s="1219">
        <v>930</v>
      </c>
      <c r="F132" s="1220" t="s">
        <v>2147</v>
      </c>
      <c r="G132" s="1217" t="s">
        <v>2146</v>
      </c>
      <c r="H132" s="1217"/>
      <c r="I132" s="1217"/>
      <c r="J132" s="1221" t="s">
        <v>1865</v>
      </c>
      <c r="K132" s="1222">
        <v>5</v>
      </c>
      <c r="L132" s="1227">
        <v>12</v>
      </c>
      <c r="M132" s="1224">
        <f t="shared" si="3"/>
        <v>11160</v>
      </c>
      <c r="N132" s="1228">
        <v>5</v>
      </c>
      <c r="O132" s="1229">
        <v>6</v>
      </c>
      <c r="P132" s="1224">
        <f t="shared" si="5"/>
        <v>5580</v>
      </c>
    </row>
    <row r="133" spans="1:16" s="1150" customFormat="1" ht="24">
      <c r="A133" s="1217" t="s">
        <v>1870</v>
      </c>
      <c r="B133" s="1218" t="s">
        <v>1869</v>
      </c>
      <c r="C133" s="1218" t="s">
        <v>504</v>
      </c>
      <c r="D133" s="1217" t="s">
        <v>1922</v>
      </c>
      <c r="E133" s="1219">
        <v>930</v>
      </c>
      <c r="F133" s="1220" t="s">
        <v>2145</v>
      </c>
      <c r="G133" s="1217" t="s">
        <v>2144</v>
      </c>
      <c r="H133" s="1217"/>
      <c r="I133" s="1217"/>
      <c r="J133" s="1221" t="s">
        <v>618</v>
      </c>
      <c r="K133" s="1222">
        <v>4</v>
      </c>
      <c r="L133" s="1227">
        <v>12</v>
      </c>
      <c r="M133" s="1224">
        <f t="shared" si="3"/>
        <v>11160</v>
      </c>
      <c r="N133" s="1228">
        <v>4</v>
      </c>
      <c r="O133" s="1229">
        <v>6</v>
      </c>
      <c r="P133" s="1224">
        <f t="shared" si="5"/>
        <v>5580</v>
      </c>
    </row>
    <row r="134" spans="1:16" s="1150" customFormat="1" ht="24">
      <c r="A134" s="1217" t="s">
        <v>1870</v>
      </c>
      <c r="B134" s="1218" t="s">
        <v>1869</v>
      </c>
      <c r="C134" s="1218" t="s">
        <v>504</v>
      </c>
      <c r="D134" s="1217" t="s">
        <v>1922</v>
      </c>
      <c r="E134" s="1219">
        <v>930</v>
      </c>
      <c r="F134" s="1220" t="s">
        <v>2143</v>
      </c>
      <c r="G134" s="1217" t="s">
        <v>2142</v>
      </c>
      <c r="H134" s="1217"/>
      <c r="I134" s="1217"/>
      <c r="J134" s="1221" t="s">
        <v>618</v>
      </c>
      <c r="K134" s="1222">
        <v>10</v>
      </c>
      <c r="L134" s="1227">
        <v>12</v>
      </c>
      <c r="M134" s="1224">
        <f t="shared" si="3"/>
        <v>11160</v>
      </c>
      <c r="N134" s="1228">
        <v>10</v>
      </c>
      <c r="O134" s="1229">
        <v>6</v>
      </c>
      <c r="P134" s="1224">
        <f t="shared" si="5"/>
        <v>5580</v>
      </c>
    </row>
    <row r="135" spans="1:16" s="1150" customFormat="1" ht="24">
      <c r="A135" s="1217" t="s">
        <v>1870</v>
      </c>
      <c r="B135" s="1218" t="s">
        <v>1880</v>
      </c>
      <c r="C135" s="1218" t="s">
        <v>504</v>
      </c>
      <c r="D135" s="1217" t="s">
        <v>1925</v>
      </c>
      <c r="E135" s="1219">
        <v>930</v>
      </c>
      <c r="F135" s="1220" t="s">
        <v>2141</v>
      </c>
      <c r="G135" s="1217" t="s">
        <v>2140</v>
      </c>
      <c r="H135" s="1217"/>
      <c r="I135" s="1217"/>
      <c r="J135" s="1221" t="s">
        <v>1865</v>
      </c>
      <c r="K135" s="1222">
        <v>10</v>
      </c>
      <c r="L135" s="1227">
        <v>12</v>
      </c>
      <c r="M135" s="1224">
        <f t="shared" ref="M135:M198" si="6">+E135*L135</f>
        <v>11160</v>
      </c>
      <c r="N135" s="1228">
        <v>10</v>
      </c>
      <c r="O135" s="1229">
        <v>6</v>
      </c>
      <c r="P135" s="1224">
        <f t="shared" ref="P135:P142" si="7">+E135*O135</f>
        <v>5580</v>
      </c>
    </row>
    <row r="136" spans="1:16" s="1150" customFormat="1" ht="24">
      <c r="A136" s="1217" t="s">
        <v>1870</v>
      </c>
      <c r="B136" s="1218" t="s">
        <v>1869</v>
      </c>
      <c r="C136" s="1218" t="s">
        <v>504</v>
      </c>
      <c r="D136" s="1217" t="s">
        <v>1910</v>
      </c>
      <c r="E136" s="1219">
        <v>930</v>
      </c>
      <c r="F136" s="1220" t="s">
        <v>2139</v>
      </c>
      <c r="G136" s="1217" t="s">
        <v>2138</v>
      </c>
      <c r="H136" s="1217"/>
      <c r="I136" s="1217"/>
      <c r="J136" s="1221" t="s">
        <v>618</v>
      </c>
      <c r="K136" s="1222">
        <v>11</v>
      </c>
      <c r="L136" s="1227">
        <v>12</v>
      </c>
      <c r="M136" s="1224">
        <f t="shared" si="6"/>
        <v>11160</v>
      </c>
      <c r="N136" s="1228">
        <v>11</v>
      </c>
      <c r="O136" s="1229">
        <v>6</v>
      </c>
      <c r="P136" s="1224">
        <f t="shared" si="7"/>
        <v>5580</v>
      </c>
    </row>
    <row r="137" spans="1:16" s="1150" customFormat="1" ht="24">
      <c r="A137" s="1217" t="s">
        <v>1870</v>
      </c>
      <c r="B137" s="1218" t="s">
        <v>1869</v>
      </c>
      <c r="C137" s="1218" t="s">
        <v>504</v>
      </c>
      <c r="D137" s="1217" t="s">
        <v>2137</v>
      </c>
      <c r="E137" s="1219">
        <v>930</v>
      </c>
      <c r="F137" s="1220" t="s">
        <v>2136</v>
      </c>
      <c r="G137" s="1217" t="s">
        <v>2135</v>
      </c>
      <c r="H137" s="1217"/>
      <c r="I137" s="1217"/>
      <c r="J137" s="1221" t="s">
        <v>618</v>
      </c>
      <c r="K137" s="1222">
        <v>11</v>
      </c>
      <c r="L137" s="1227">
        <v>12</v>
      </c>
      <c r="M137" s="1224">
        <f t="shared" si="6"/>
        <v>11160</v>
      </c>
      <c r="N137" s="1228">
        <v>11</v>
      </c>
      <c r="O137" s="1229">
        <v>6</v>
      </c>
      <c r="P137" s="1224">
        <f t="shared" si="7"/>
        <v>5580</v>
      </c>
    </row>
    <row r="138" spans="1:16" s="1150" customFormat="1" ht="24">
      <c r="A138" s="1217" t="s">
        <v>1870</v>
      </c>
      <c r="B138" s="1218" t="s">
        <v>1880</v>
      </c>
      <c r="C138" s="1218" t="s">
        <v>504</v>
      </c>
      <c r="D138" s="1217" t="s">
        <v>1922</v>
      </c>
      <c r="E138" s="1219">
        <v>930</v>
      </c>
      <c r="F138" s="1220" t="s">
        <v>2134</v>
      </c>
      <c r="G138" s="1217" t="s">
        <v>2133</v>
      </c>
      <c r="H138" s="1217"/>
      <c r="I138" s="1217"/>
      <c r="J138" s="1221" t="s">
        <v>618</v>
      </c>
      <c r="K138" s="1222">
        <v>10</v>
      </c>
      <c r="L138" s="1227">
        <v>12</v>
      </c>
      <c r="M138" s="1224">
        <f t="shared" si="6"/>
        <v>11160</v>
      </c>
      <c r="N138" s="1228">
        <v>10</v>
      </c>
      <c r="O138" s="1229">
        <v>6</v>
      </c>
      <c r="P138" s="1224">
        <f t="shared" si="7"/>
        <v>5580</v>
      </c>
    </row>
    <row r="139" spans="1:16" s="1150" customFormat="1" ht="24">
      <c r="A139" s="1217" t="s">
        <v>1870</v>
      </c>
      <c r="B139" s="1218" t="s">
        <v>1880</v>
      </c>
      <c r="C139" s="1218" t="s">
        <v>504</v>
      </c>
      <c r="D139" s="1217" t="s">
        <v>1922</v>
      </c>
      <c r="E139" s="1219">
        <v>930</v>
      </c>
      <c r="F139" s="1220" t="s">
        <v>2132</v>
      </c>
      <c r="G139" s="1217" t="s">
        <v>2131</v>
      </c>
      <c r="H139" s="1217"/>
      <c r="I139" s="1217"/>
      <c r="J139" s="1221" t="s">
        <v>618</v>
      </c>
      <c r="K139" s="1222">
        <v>10</v>
      </c>
      <c r="L139" s="1227">
        <v>12</v>
      </c>
      <c r="M139" s="1224">
        <f t="shared" si="6"/>
        <v>11160</v>
      </c>
      <c r="N139" s="1228">
        <v>10</v>
      </c>
      <c r="O139" s="1229">
        <v>6</v>
      </c>
      <c r="P139" s="1224">
        <f t="shared" si="7"/>
        <v>5580</v>
      </c>
    </row>
    <row r="140" spans="1:16" s="1150" customFormat="1" ht="24">
      <c r="A140" s="1217" t="s">
        <v>1870</v>
      </c>
      <c r="B140" s="1218" t="s">
        <v>1880</v>
      </c>
      <c r="C140" s="1218" t="s">
        <v>504</v>
      </c>
      <c r="D140" s="1217" t="s">
        <v>1925</v>
      </c>
      <c r="E140" s="1219">
        <v>930</v>
      </c>
      <c r="F140" s="1220" t="s">
        <v>2130</v>
      </c>
      <c r="G140" s="1217" t="s">
        <v>2129</v>
      </c>
      <c r="H140" s="1217"/>
      <c r="I140" s="1217"/>
      <c r="J140" s="1221" t="s">
        <v>1865</v>
      </c>
      <c r="K140" s="1222">
        <v>10</v>
      </c>
      <c r="L140" s="1227">
        <v>12</v>
      </c>
      <c r="M140" s="1224">
        <f t="shared" si="6"/>
        <v>11160</v>
      </c>
      <c r="N140" s="1228">
        <v>10</v>
      </c>
      <c r="O140" s="1229">
        <v>6</v>
      </c>
      <c r="P140" s="1224">
        <f t="shared" si="7"/>
        <v>5580</v>
      </c>
    </row>
    <row r="141" spans="1:16" s="1150" customFormat="1" ht="24">
      <c r="A141" s="1217" t="s">
        <v>1870</v>
      </c>
      <c r="B141" s="1218" t="s">
        <v>1869</v>
      </c>
      <c r="C141" s="1218" t="s">
        <v>504</v>
      </c>
      <c r="D141" s="1217" t="s">
        <v>2128</v>
      </c>
      <c r="E141" s="1219">
        <v>930</v>
      </c>
      <c r="F141" s="1220" t="s">
        <v>2127</v>
      </c>
      <c r="G141" s="1217" t="s">
        <v>2126</v>
      </c>
      <c r="H141" s="1217"/>
      <c r="I141" s="1217"/>
      <c r="J141" s="1221" t="s">
        <v>618</v>
      </c>
      <c r="K141" s="1222">
        <v>5</v>
      </c>
      <c r="L141" s="1227">
        <v>12</v>
      </c>
      <c r="M141" s="1224">
        <f t="shared" si="6"/>
        <v>11160</v>
      </c>
      <c r="N141" s="1228">
        <v>5</v>
      </c>
      <c r="O141" s="1229">
        <v>6</v>
      </c>
      <c r="P141" s="1224">
        <f t="shared" si="7"/>
        <v>5580</v>
      </c>
    </row>
    <row r="142" spans="1:16" s="1150" customFormat="1" ht="24">
      <c r="A142" s="1217" t="s">
        <v>1870</v>
      </c>
      <c r="B142" s="1218" t="s">
        <v>1869</v>
      </c>
      <c r="C142" s="1218" t="s">
        <v>504</v>
      </c>
      <c r="D142" s="1217" t="s">
        <v>1922</v>
      </c>
      <c r="E142" s="1219">
        <v>930</v>
      </c>
      <c r="F142" s="1220" t="s">
        <v>2125</v>
      </c>
      <c r="G142" s="1217" t="s">
        <v>2124</v>
      </c>
      <c r="H142" s="1217"/>
      <c r="I142" s="1217"/>
      <c r="J142" s="1221" t="s">
        <v>618</v>
      </c>
      <c r="K142" s="1222">
        <v>11</v>
      </c>
      <c r="L142" s="1227">
        <v>12</v>
      </c>
      <c r="M142" s="1224">
        <f t="shared" si="6"/>
        <v>11160</v>
      </c>
      <c r="N142" s="1228">
        <v>11</v>
      </c>
      <c r="O142" s="1229">
        <v>6</v>
      </c>
      <c r="P142" s="1224">
        <f t="shared" si="7"/>
        <v>5580</v>
      </c>
    </row>
    <row r="143" spans="1:16" s="1150" customFormat="1" ht="24">
      <c r="A143" s="1217" t="s">
        <v>1870</v>
      </c>
      <c r="B143" s="1218" t="s">
        <v>1880</v>
      </c>
      <c r="C143" s="1218" t="s">
        <v>504</v>
      </c>
      <c r="D143" s="1217" t="s">
        <v>2123</v>
      </c>
      <c r="E143" s="1219">
        <v>1800</v>
      </c>
      <c r="F143" s="1220" t="s">
        <v>2122</v>
      </c>
      <c r="G143" s="1217" t="s">
        <v>2121</v>
      </c>
      <c r="H143" s="1217"/>
      <c r="I143" s="1217"/>
      <c r="J143" s="1221" t="s">
        <v>1865</v>
      </c>
      <c r="K143" s="1222">
        <v>5</v>
      </c>
      <c r="L143" s="1227">
        <v>12</v>
      </c>
      <c r="M143" s="1224">
        <f t="shared" si="6"/>
        <v>21600</v>
      </c>
      <c r="N143" s="1228"/>
      <c r="O143" s="1229"/>
      <c r="P143" s="1224"/>
    </row>
    <row r="144" spans="1:16" s="1150" customFormat="1" ht="24">
      <c r="A144" s="1217" t="s">
        <v>1870</v>
      </c>
      <c r="B144" s="1218" t="s">
        <v>1880</v>
      </c>
      <c r="C144" s="1218" t="s">
        <v>504</v>
      </c>
      <c r="D144" s="1217" t="s">
        <v>2120</v>
      </c>
      <c r="E144" s="1219">
        <v>930</v>
      </c>
      <c r="F144" s="1220" t="s">
        <v>2119</v>
      </c>
      <c r="G144" s="1217" t="s">
        <v>2118</v>
      </c>
      <c r="H144" s="1217"/>
      <c r="I144" s="1217"/>
      <c r="J144" s="1221" t="s">
        <v>618</v>
      </c>
      <c r="K144" s="1222">
        <v>5</v>
      </c>
      <c r="L144" s="1227">
        <v>12</v>
      </c>
      <c r="M144" s="1224">
        <f t="shared" si="6"/>
        <v>11160</v>
      </c>
      <c r="N144" s="1228">
        <v>5</v>
      </c>
      <c r="O144" s="1229">
        <v>6</v>
      </c>
      <c r="P144" s="1224">
        <f t="shared" ref="P144:P181" si="8">+E144*O144</f>
        <v>5580</v>
      </c>
    </row>
    <row r="145" spans="1:16" s="1150" customFormat="1" ht="24">
      <c r="A145" s="1217" t="s">
        <v>1870</v>
      </c>
      <c r="B145" s="1218" t="s">
        <v>1869</v>
      </c>
      <c r="C145" s="1218" t="s">
        <v>504</v>
      </c>
      <c r="D145" s="1217" t="s">
        <v>2064</v>
      </c>
      <c r="E145" s="1219">
        <v>930</v>
      </c>
      <c r="F145" s="1220" t="s">
        <v>2117</v>
      </c>
      <c r="G145" s="1217" t="s">
        <v>2116</v>
      </c>
      <c r="H145" s="1217"/>
      <c r="I145" s="1217"/>
      <c r="J145" s="1221" t="s">
        <v>1664</v>
      </c>
      <c r="K145" s="1222">
        <v>6</v>
      </c>
      <c r="L145" s="1227">
        <v>12</v>
      </c>
      <c r="M145" s="1224">
        <f t="shared" si="6"/>
        <v>11160</v>
      </c>
      <c r="N145" s="1228">
        <v>6</v>
      </c>
      <c r="O145" s="1229">
        <v>6</v>
      </c>
      <c r="P145" s="1224">
        <f t="shared" si="8"/>
        <v>5580</v>
      </c>
    </row>
    <row r="146" spans="1:16" s="1150" customFormat="1" ht="24">
      <c r="A146" s="1217" t="s">
        <v>1870</v>
      </c>
      <c r="B146" s="1218" t="s">
        <v>1880</v>
      </c>
      <c r="C146" s="1218" t="s">
        <v>504</v>
      </c>
      <c r="D146" s="1217" t="s">
        <v>2115</v>
      </c>
      <c r="E146" s="1219">
        <v>2500</v>
      </c>
      <c r="F146" s="1220" t="s">
        <v>2114</v>
      </c>
      <c r="G146" s="1217" t="s">
        <v>2113</v>
      </c>
      <c r="H146" s="1217"/>
      <c r="I146" s="1217"/>
      <c r="J146" s="1221" t="s">
        <v>569</v>
      </c>
      <c r="K146" s="1222">
        <v>5</v>
      </c>
      <c r="L146" s="1227">
        <v>12</v>
      </c>
      <c r="M146" s="1224">
        <f t="shared" si="6"/>
        <v>30000</v>
      </c>
      <c r="N146" s="1228">
        <v>5</v>
      </c>
      <c r="O146" s="1229">
        <v>6</v>
      </c>
      <c r="P146" s="1224">
        <f t="shared" si="8"/>
        <v>15000</v>
      </c>
    </row>
    <row r="147" spans="1:16" s="1150" customFormat="1" ht="24">
      <c r="A147" s="1217" t="s">
        <v>1870</v>
      </c>
      <c r="B147" s="1218" t="s">
        <v>1880</v>
      </c>
      <c r="C147" s="1218" t="s">
        <v>504</v>
      </c>
      <c r="D147" s="1217" t="s">
        <v>1925</v>
      </c>
      <c r="E147" s="1219">
        <v>930</v>
      </c>
      <c r="F147" s="1220" t="s">
        <v>2112</v>
      </c>
      <c r="G147" s="1217" t="s">
        <v>2111</v>
      </c>
      <c r="H147" s="1217"/>
      <c r="I147" s="1217"/>
      <c r="J147" s="1221" t="s">
        <v>1865</v>
      </c>
      <c r="K147" s="1222">
        <v>10</v>
      </c>
      <c r="L147" s="1227">
        <v>12</v>
      </c>
      <c r="M147" s="1224">
        <f t="shared" si="6"/>
        <v>11160</v>
      </c>
      <c r="N147" s="1228">
        <v>10</v>
      </c>
      <c r="O147" s="1229">
        <v>6</v>
      </c>
      <c r="P147" s="1224">
        <f t="shared" si="8"/>
        <v>5580</v>
      </c>
    </row>
    <row r="148" spans="1:16" s="1150" customFormat="1" ht="24">
      <c r="A148" s="1217" t="s">
        <v>1870</v>
      </c>
      <c r="B148" s="1218" t="s">
        <v>1880</v>
      </c>
      <c r="C148" s="1218" t="s">
        <v>504</v>
      </c>
      <c r="D148" s="1217" t="s">
        <v>2110</v>
      </c>
      <c r="E148" s="1219">
        <v>930</v>
      </c>
      <c r="F148" s="1220" t="s">
        <v>2109</v>
      </c>
      <c r="G148" s="1217" t="s">
        <v>2108</v>
      </c>
      <c r="H148" s="1217"/>
      <c r="I148" s="1217"/>
      <c r="J148" s="1221" t="s">
        <v>2107</v>
      </c>
      <c r="K148" s="1222">
        <v>5</v>
      </c>
      <c r="L148" s="1227">
        <v>12</v>
      </c>
      <c r="M148" s="1224">
        <f t="shared" si="6"/>
        <v>11160</v>
      </c>
      <c r="N148" s="1228">
        <v>5</v>
      </c>
      <c r="O148" s="1229">
        <v>6</v>
      </c>
      <c r="P148" s="1224">
        <f t="shared" si="8"/>
        <v>5580</v>
      </c>
    </row>
    <row r="149" spans="1:16" s="1150" customFormat="1" ht="24">
      <c r="A149" s="1217" t="s">
        <v>1870</v>
      </c>
      <c r="B149" s="1218" t="s">
        <v>1869</v>
      </c>
      <c r="C149" s="1218" t="s">
        <v>504</v>
      </c>
      <c r="D149" s="1217" t="s">
        <v>1910</v>
      </c>
      <c r="E149" s="1219">
        <v>930</v>
      </c>
      <c r="F149" s="1220" t="s">
        <v>2106</v>
      </c>
      <c r="G149" s="1217" t="s">
        <v>2105</v>
      </c>
      <c r="H149" s="1217"/>
      <c r="I149" s="1217"/>
      <c r="J149" s="1221" t="s">
        <v>618</v>
      </c>
      <c r="K149" s="1222">
        <v>5</v>
      </c>
      <c r="L149" s="1227">
        <v>12</v>
      </c>
      <c r="M149" s="1224">
        <f t="shared" si="6"/>
        <v>11160</v>
      </c>
      <c r="N149" s="1228">
        <v>5</v>
      </c>
      <c r="O149" s="1229">
        <v>6</v>
      </c>
      <c r="P149" s="1224">
        <f t="shared" si="8"/>
        <v>5580</v>
      </c>
    </row>
    <row r="150" spans="1:16" s="1150" customFormat="1" ht="24">
      <c r="A150" s="1217" t="s">
        <v>1870</v>
      </c>
      <c r="B150" s="1218" t="s">
        <v>1869</v>
      </c>
      <c r="C150" s="1218" t="s">
        <v>504</v>
      </c>
      <c r="D150" s="1217" t="s">
        <v>1944</v>
      </c>
      <c r="E150" s="1219">
        <v>930</v>
      </c>
      <c r="F150" s="1220" t="s">
        <v>2104</v>
      </c>
      <c r="G150" s="1217" t="s">
        <v>2103</v>
      </c>
      <c r="H150" s="1217"/>
      <c r="I150" s="1217"/>
      <c r="J150" s="1221" t="s">
        <v>618</v>
      </c>
      <c r="K150" s="1222">
        <v>11</v>
      </c>
      <c r="L150" s="1227">
        <v>12</v>
      </c>
      <c r="M150" s="1224">
        <f t="shared" si="6"/>
        <v>11160</v>
      </c>
      <c r="N150" s="1228">
        <v>11</v>
      </c>
      <c r="O150" s="1229">
        <v>6</v>
      </c>
      <c r="P150" s="1224">
        <f t="shared" si="8"/>
        <v>5580</v>
      </c>
    </row>
    <row r="151" spans="1:16" s="1150" customFormat="1" ht="36">
      <c r="A151" s="1217" t="s">
        <v>1874</v>
      </c>
      <c r="B151" s="1218" t="s">
        <v>1880</v>
      </c>
      <c r="C151" s="1218" t="s">
        <v>504</v>
      </c>
      <c r="D151" s="1217" t="s">
        <v>2102</v>
      </c>
      <c r="E151" s="1219">
        <v>1000</v>
      </c>
      <c r="F151" s="1220" t="s">
        <v>2101</v>
      </c>
      <c r="G151" s="1217" t="s">
        <v>2100</v>
      </c>
      <c r="H151" s="1217"/>
      <c r="I151" s="1217"/>
      <c r="J151" s="1221" t="s">
        <v>618</v>
      </c>
      <c r="K151" s="1222">
        <v>10</v>
      </c>
      <c r="L151" s="1223">
        <v>12</v>
      </c>
      <c r="M151" s="1224">
        <f t="shared" si="6"/>
        <v>12000</v>
      </c>
      <c r="N151" s="1228">
        <v>10</v>
      </c>
      <c r="O151" s="1229">
        <v>6</v>
      </c>
      <c r="P151" s="1224">
        <f t="shared" si="8"/>
        <v>6000</v>
      </c>
    </row>
    <row r="152" spans="1:16" s="1150" customFormat="1" ht="24">
      <c r="A152" s="1217" t="s">
        <v>1870</v>
      </c>
      <c r="B152" s="1218" t="s">
        <v>1869</v>
      </c>
      <c r="C152" s="1218" t="s">
        <v>504</v>
      </c>
      <c r="D152" s="1217" t="s">
        <v>1941</v>
      </c>
      <c r="E152" s="1219">
        <v>930</v>
      </c>
      <c r="F152" s="1220" t="s">
        <v>2099</v>
      </c>
      <c r="G152" s="1217" t="s">
        <v>2098</v>
      </c>
      <c r="H152" s="1217"/>
      <c r="I152" s="1217"/>
      <c r="J152" s="1221" t="s">
        <v>618</v>
      </c>
      <c r="K152" s="1222">
        <v>11</v>
      </c>
      <c r="L152" s="1227">
        <v>12</v>
      </c>
      <c r="M152" s="1224">
        <f t="shared" si="6"/>
        <v>11160</v>
      </c>
      <c r="N152" s="1228">
        <v>11</v>
      </c>
      <c r="O152" s="1229">
        <v>6</v>
      </c>
      <c r="P152" s="1224">
        <f t="shared" si="8"/>
        <v>5580</v>
      </c>
    </row>
    <row r="153" spans="1:16" s="1150" customFormat="1" ht="24">
      <c r="A153" s="1217" t="s">
        <v>1870</v>
      </c>
      <c r="B153" s="1218" t="s">
        <v>1869</v>
      </c>
      <c r="C153" s="1218" t="s">
        <v>504</v>
      </c>
      <c r="D153" s="1217" t="s">
        <v>2097</v>
      </c>
      <c r="E153" s="1219">
        <v>4000</v>
      </c>
      <c r="F153" s="1220" t="s">
        <v>2096</v>
      </c>
      <c r="G153" s="1217" t="s">
        <v>2095</v>
      </c>
      <c r="H153" s="1217"/>
      <c r="I153" s="1217"/>
      <c r="J153" s="1221" t="s">
        <v>569</v>
      </c>
      <c r="K153" s="1222">
        <v>11</v>
      </c>
      <c r="L153" s="1227">
        <v>12</v>
      </c>
      <c r="M153" s="1224">
        <f t="shared" si="6"/>
        <v>48000</v>
      </c>
      <c r="N153" s="1228">
        <v>11</v>
      </c>
      <c r="O153" s="1229">
        <v>6</v>
      </c>
      <c r="P153" s="1224">
        <f t="shared" si="8"/>
        <v>24000</v>
      </c>
    </row>
    <row r="154" spans="1:16" s="1150" customFormat="1" ht="24">
      <c r="A154" s="1217" t="s">
        <v>1870</v>
      </c>
      <c r="B154" s="1218" t="s">
        <v>1880</v>
      </c>
      <c r="C154" s="1218" t="s">
        <v>504</v>
      </c>
      <c r="D154" s="1217" t="s">
        <v>1925</v>
      </c>
      <c r="E154" s="1219">
        <v>930</v>
      </c>
      <c r="F154" s="1220" t="s">
        <v>2094</v>
      </c>
      <c r="G154" s="1217" t="s">
        <v>2093</v>
      </c>
      <c r="H154" s="1217"/>
      <c r="I154" s="1217"/>
      <c r="J154" s="1221" t="s">
        <v>1865</v>
      </c>
      <c r="K154" s="1222">
        <v>10</v>
      </c>
      <c r="L154" s="1227">
        <v>12</v>
      </c>
      <c r="M154" s="1224">
        <f t="shared" si="6"/>
        <v>11160</v>
      </c>
      <c r="N154" s="1228">
        <v>10</v>
      </c>
      <c r="O154" s="1229">
        <v>6</v>
      </c>
      <c r="P154" s="1224">
        <f t="shared" si="8"/>
        <v>5580</v>
      </c>
    </row>
    <row r="155" spans="1:16" s="1150" customFormat="1" ht="24">
      <c r="A155" s="1217" t="s">
        <v>1870</v>
      </c>
      <c r="B155" s="1218" t="s">
        <v>1869</v>
      </c>
      <c r="C155" s="1218" t="s">
        <v>504</v>
      </c>
      <c r="D155" s="1217" t="s">
        <v>1980</v>
      </c>
      <c r="E155" s="1219">
        <v>930</v>
      </c>
      <c r="F155" s="1220" t="s">
        <v>2092</v>
      </c>
      <c r="G155" s="1217" t="s">
        <v>2091</v>
      </c>
      <c r="H155" s="1217"/>
      <c r="I155" s="1217"/>
      <c r="J155" s="1221" t="s">
        <v>618</v>
      </c>
      <c r="K155" s="1222">
        <v>6</v>
      </c>
      <c r="L155" s="1227">
        <v>12</v>
      </c>
      <c r="M155" s="1224">
        <f t="shared" si="6"/>
        <v>11160</v>
      </c>
      <c r="N155" s="1228">
        <v>6</v>
      </c>
      <c r="O155" s="1229">
        <v>6</v>
      </c>
      <c r="P155" s="1224">
        <f t="shared" si="8"/>
        <v>5580</v>
      </c>
    </row>
    <row r="156" spans="1:16" s="1150" customFormat="1" ht="24">
      <c r="A156" s="1217" t="s">
        <v>1870</v>
      </c>
      <c r="B156" s="1218" t="s">
        <v>1880</v>
      </c>
      <c r="C156" s="1218" t="s">
        <v>504</v>
      </c>
      <c r="D156" s="1217" t="s">
        <v>1922</v>
      </c>
      <c r="E156" s="1219">
        <v>930</v>
      </c>
      <c r="F156" s="1220" t="s">
        <v>2090</v>
      </c>
      <c r="G156" s="1217" t="s">
        <v>2089</v>
      </c>
      <c r="H156" s="1217"/>
      <c r="I156" s="1217"/>
      <c r="J156" s="1221" t="s">
        <v>618</v>
      </c>
      <c r="K156" s="1222">
        <v>10</v>
      </c>
      <c r="L156" s="1227">
        <v>12</v>
      </c>
      <c r="M156" s="1224">
        <f t="shared" si="6"/>
        <v>11160</v>
      </c>
      <c r="N156" s="1228">
        <v>10</v>
      </c>
      <c r="O156" s="1229">
        <v>6</v>
      </c>
      <c r="P156" s="1224">
        <f t="shared" si="8"/>
        <v>5580</v>
      </c>
    </row>
    <row r="157" spans="1:16" s="1150" customFormat="1" ht="24">
      <c r="A157" s="1217" t="s">
        <v>1870</v>
      </c>
      <c r="B157" s="1218" t="s">
        <v>1869</v>
      </c>
      <c r="C157" s="1218" t="s">
        <v>504</v>
      </c>
      <c r="D157" s="1217" t="s">
        <v>2088</v>
      </c>
      <c r="E157" s="1219">
        <v>930</v>
      </c>
      <c r="F157" s="1220" t="s">
        <v>2087</v>
      </c>
      <c r="G157" s="1217" t="s">
        <v>2086</v>
      </c>
      <c r="H157" s="1217"/>
      <c r="I157" s="1217"/>
      <c r="J157" s="1221" t="s">
        <v>618</v>
      </c>
      <c r="K157" s="1222">
        <v>11</v>
      </c>
      <c r="L157" s="1227">
        <v>12</v>
      </c>
      <c r="M157" s="1224">
        <f t="shared" si="6"/>
        <v>11160</v>
      </c>
      <c r="N157" s="1228">
        <v>11</v>
      </c>
      <c r="O157" s="1229">
        <v>6</v>
      </c>
      <c r="P157" s="1224">
        <f t="shared" si="8"/>
        <v>5580</v>
      </c>
    </row>
    <row r="158" spans="1:16" s="1150" customFormat="1" ht="24">
      <c r="A158" s="1217" t="s">
        <v>1870</v>
      </c>
      <c r="B158" s="1218" t="s">
        <v>1869</v>
      </c>
      <c r="C158" s="1218" t="s">
        <v>504</v>
      </c>
      <c r="D158" s="1217" t="s">
        <v>1944</v>
      </c>
      <c r="E158" s="1219">
        <v>930</v>
      </c>
      <c r="F158" s="1220" t="s">
        <v>2085</v>
      </c>
      <c r="G158" s="1217" t="s">
        <v>2084</v>
      </c>
      <c r="H158" s="1217"/>
      <c r="I158" s="1217"/>
      <c r="J158" s="1221" t="s">
        <v>618</v>
      </c>
      <c r="K158" s="1222">
        <v>11</v>
      </c>
      <c r="L158" s="1227">
        <v>12</v>
      </c>
      <c r="M158" s="1224">
        <f t="shared" si="6"/>
        <v>11160</v>
      </c>
      <c r="N158" s="1228">
        <v>11</v>
      </c>
      <c r="O158" s="1229">
        <v>6</v>
      </c>
      <c r="P158" s="1224">
        <f t="shared" si="8"/>
        <v>5580</v>
      </c>
    </row>
    <row r="159" spans="1:16" s="1150" customFormat="1" ht="24">
      <c r="A159" s="1217" t="s">
        <v>1874</v>
      </c>
      <c r="B159" s="1218" t="s">
        <v>1869</v>
      </c>
      <c r="C159" s="1218" t="s">
        <v>504</v>
      </c>
      <c r="D159" s="1217" t="s">
        <v>2083</v>
      </c>
      <c r="E159" s="1219">
        <v>1600</v>
      </c>
      <c r="F159" s="1220" t="s">
        <v>2082</v>
      </c>
      <c r="G159" s="1217" t="s">
        <v>2081</v>
      </c>
      <c r="H159" s="1217"/>
      <c r="I159" s="1217"/>
      <c r="J159" s="1221" t="s">
        <v>569</v>
      </c>
      <c r="K159" s="1222">
        <v>11</v>
      </c>
      <c r="L159" s="1223">
        <v>12</v>
      </c>
      <c r="M159" s="1224">
        <f t="shared" si="6"/>
        <v>19200</v>
      </c>
      <c r="N159" s="1228">
        <v>11</v>
      </c>
      <c r="O159" s="1229">
        <v>6</v>
      </c>
      <c r="P159" s="1224">
        <f t="shared" si="8"/>
        <v>9600</v>
      </c>
    </row>
    <row r="160" spans="1:16" s="1150" customFormat="1" ht="24">
      <c r="A160" s="1217" t="s">
        <v>1870</v>
      </c>
      <c r="B160" s="1218" t="s">
        <v>1869</v>
      </c>
      <c r="C160" s="1218" t="s">
        <v>504</v>
      </c>
      <c r="D160" s="1217" t="s">
        <v>2051</v>
      </c>
      <c r="E160" s="1219">
        <v>930</v>
      </c>
      <c r="F160" s="1220" t="s">
        <v>2080</v>
      </c>
      <c r="G160" s="1217" t="s">
        <v>2079</v>
      </c>
      <c r="H160" s="1217"/>
      <c r="I160" s="1217"/>
      <c r="J160" s="1221" t="s">
        <v>1865</v>
      </c>
      <c r="K160" s="1222">
        <v>6</v>
      </c>
      <c r="L160" s="1227">
        <v>12</v>
      </c>
      <c r="M160" s="1224">
        <f t="shared" si="6"/>
        <v>11160</v>
      </c>
      <c r="N160" s="1228">
        <v>6</v>
      </c>
      <c r="O160" s="1229">
        <v>6</v>
      </c>
      <c r="P160" s="1224">
        <f t="shared" si="8"/>
        <v>5580</v>
      </c>
    </row>
    <row r="161" spans="1:16" s="1150" customFormat="1" ht="24">
      <c r="A161" s="1217" t="s">
        <v>1870</v>
      </c>
      <c r="B161" s="1218" t="s">
        <v>1869</v>
      </c>
      <c r="C161" s="1218" t="s">
        <v>504</v>
      </c>
      <c r="D161" s="1217" t="s">
        <v>1941</v>
      </c>
      <c r="E161" s="1219">
        <v>930</v>
      </c>
      <c r="F161" s="1220" t="s">
        <v>2078</v>
      </c>
      <c r="G161" s="1217" t="s">
        <v>2077</v>
      </c>
      <c r="H161" s="1217"/>
      <c r="I161" s="1217"/>
      <c r="J161" s="1221" t="s">
        <v>618</v>
      </c>
      <c r="K161" s="1222">
        <v>9</v>
      </c>
      <c r="L161" s="1227">
        <v>12</v>
      </c>
      <c r="M161" s="1224">
        <f t="shared" si="6"/>
        <v>11160</v>
      </c>
      <c r="N161" s="1228">
        <v>9</v>
      </c>
      <c r="O161" s="1229">
        <v>6</v>
      </c>
      <c r="P161" s="1224">
        <f t="shared" si="8"/>
        <v>5580</v>
      </c>
    </row>
    <row r="162" spans="1:16" s="1150" customFormat="1" ht="24">
      <c r="A162" s="1217" t="s">
        <v>1870</v>
      </c>
      <c r="B162" s="1218" t="s">
        <v>1880</v>
      </c>
      <c r="C162" s="1218" t="s">
        <v>504</v>
      </c>
      <c r="D162" s="1217" t="s">
        <v>1925</v>
      </c>
      <c r="E162" s="1219">
        <v>930</v>
      </c>
      <c r="F162" s="1220" t="s">
        <v>2076</v>
      </c>
      <c r="G162" s="1217" t="s">
        <v>2075</v>
      </c>
      <c r="H162" s="1217"/>
      <c r="I162" s="1217"/>
      <c r="J162" s="1221" t="s">
        <v>1865</v>
      </c>
      <c r="K162" s="1222">
        <v>10</v>
      </c>
      <c r="L162" s="1227">
        <v>12</v>
      </c>
      <c r="M162" s="1224">
        <f t="shared" si="6"/>
        <v>11160</v>
      </c>
      <c r="N162" s="1228">
        <v>10</v>
      </c>
      <c r="O162" s="1229">
        <v>6</v>
      </c>
      <c r="P162" s="1224">
        <f t="shared" si="8"/>
        <v>5580</v>
      </c>
    </row>
    <row r="163" spans="1:16" s="1150" customFormat="1" ht="24">
      <c r="A163" s="1217" t="s">
        <v>1870</v>
      </c>
      <c r="B163" s="1218" t="s">
        <v>1869</v>
      </c>
      <c r="C163" s="1218" t="s">
        <v>504</v>
      </c>
      <c r="D163" s="1217" t="s">
        <v>1888</v>
      </c>
      <c r="E163" s="1219">
        <v>930</v>
      </c>
      <c r="F163" s="1220" t="s">
        <v>2074</v>
      </c>
      <c r="G163" s="1217" t="s">
        <v>2073</v>
      </c>
      <c r="H163" s="1217"/>
      <c r="I163" s="1217"/>
      <c r="J163" s="1221" t="s">
        <v>1664</v>
      </c>
      <c r="K163" s="1222">
        <v>5</v>
      </c>
      <c r="L163" s="1227">
        <v>12</v>
      </c>
      <c r="M163" s="1224">
        <f t="shared" si="6"/>
        <v>11160</v>
      </c>
      <c r="N163" s="1228">
        <v>5</v>
      </c>
      <c r="O163" s="1229">
        <v>6</v>
      </c>
      <c r="P163" s="1224">
        <f t="shared" si="8"/>
        <v>5580</v>
      </c>
    </row>
    <row r="164" spans="1:16" s="1150" customFormat="1" ht="24">
      <c r="A164" s="1217" t="s">
        <v>1870</v>
      </c>
      <c r="B164" s="1218" t="s">
        <v>1880</v>
      </c>
      <c r="C164" s="1218" t="s">
        <v>504</v>
      </c>
      <c r="D164" s="1217" t="s">
        <v>1925</v>
      </c>
      <c r="E164" s="1219">
        <v>930</v>
      </c>
      <c r="F164" s="1220" t="s">
        <v>2072</v>
      </c>
      <c r="G164" s="1217" t="s">
        <v>2071</v>
      </c>
      <c r="H164" s="1217"/>
      <c r="I164" s="1217"/>
      <c r="J164" s="1221" t="s">
        <v>1865</v>
      </c>
      <c r="K164" s="1222">
        <v>10</v>
      </c>
      <c r="L164" s="1227">
        <v>12</v>
      </c>
      <c r="M164" s="1224">
        <f t="shared" si="6"/>
        <v>11160</v>
      </c>
      <c r="N164" s="1228">
        <v>10</v>
      </c>
      <c r="O164" s="1229">
        <v>6</v>
      </c>
      <c r="P164" s="1224">
        <f t="shared" si="8"/>
        <v>5580</v>
      </c>
    </row>
    <row r="165" spans="1:16" s="1150" customFormat="1" ht="24">
      <c r="A165" s="1217" t="s">
        <v>1870</v>
      </c>
      <c r="B165" s="1218" t="s">
        <v>1869</v>
      </c>
      <c r="C165" s="1218" t="s">
        <v>504</v>
      </c>
      <c r="D165" s="1217" t="s">
        <v>1969</v>
      </c>
      <c r="E165" s="1219">
        <v>930</v>
      </c>
      <c r="F165" s="1220" t="s">
        <v>2070</v>
      </c>
      <c r="G165" s="1217" t="s">
        <v>2069</v>
      </c>
      <c r="H165" s="1217"/>
      <c r="I165" s="1217"/>
      <c r="J165" s="1221" t="s">
        <v>618</v>
      </c>
      <c r="K165" s="1222">
        <v>9</v>
      </c>
      <c r="L165" s="1227">
        <v>12</v>
      </c>
      <c r="M165" s="1224">
        <f t="shared" si="6"/>
        <v>11160</v>
      </c>
      <c r="N165" s="1228">
        <v>9</v>
      </c>
      <c r="O165" s="1229">
        <v>6</v>
      </c>
      <c r="P165" s="1224">
        <f t="shared" si="8"/>
        <v>5580</v>
      </c>
    </row>
    <row r="166" spans="1:16" s="1150" customFormat="1" ht="24">
      <c r="A166" s="1217" t="s">
        <v>1870</v>
      </c>
      <c r="B166" s="1218" t="s">
        <v>1869</v>
      </c>
      <c r="C166" s="1218" t="s">
        <v>504</v>
      </c>
      <c r="D166" s="1217" t="s">
        <v>2064</v>
      </c>
      <c r="E166" s="1219">
        <v>930</v>
      </c>
      <c r="F166" s="1220" t="s">
        <v>2068</v>
      </c>
      <c r="G166" s="1217" t="s">
        <v>2067</v>
      </c>
      <c r="H166" s="1217"/>
      <c r="I166" s="1217"/>
      <c r="J166" s="1221" t="s">
        <v>1664</v>
      </c>
      <c r="K166" s="1222">
        <v>10</v>
      </c>
      <c r="L166" s="1227">
        <v>12</v>
      </c>
      <c r="M166" s="1224">
        <f t="shared" si="6"/>
        <v>11160</v>
      </c>
      <c r="N166" s="1228">
        <v>10</v>
      </c>
      <c r="O166" s="1229">
        <v>6</v>
      </c>
      <c r="P166" s="1224">
        <f t="shared" si="8"/>
        <v>5580</v>
      </c>
    </row>
    <row r="167" spans="1:16" s="1150" customFormat="1" ht="24">
      <c r="A167" s="1217" t="s">
        <v>1870</v>
      </c>
      <c r="B167" s="1218" t="s">
        <v>1869</v>
      </c>
      <c r="C167" s="1218" t="s">
        <v>504</v>
      </c>
      <c r="D167" s="1217" t="s">
        <v>2051</v>
      </c>
      <c r="E167" s="1219">
        <v>930</v>
      </c>
      <c r="F167" s="1220" t="s">
        <v>2066</v>
      </c>
      <c r="G167" s="1217" t="s">
        <v>2065</v>
      </c>
      <c r="H167" s="1217"/>
      <c r="I167" s="1217"/>
      <c r="J167" s="1221" t="s">
        <v>1865</v>
      </c>
      <c r="K167" s="1222">
        <v>10</v>
      </c>
      <c r="L167" s="1227">
        <v>12</v>
      </c>
      <c r="M167" s="1224">
        <f t="shared" si="6"/>
        <v>11160</v>
      </c>
      <c r="N167" s="1228">
        <v>10</v>
      </c>
      <c r="O167" s="1229">
        <v>6</v>
      </c>
      <c r="P167" s="1224">
        <f t="shared" si="8"/>
        <v>5580</v>
      </c>
    </row>
    <row r="168" spans="1:16" s="1150" customFormat="1" ht="24">
      <c r="A168" s="1217" t="s">
        <v>1870</v>
      </c>
      <c r="B168" s="1218" t="s">
        <v>1869</v>
      </c>
      <c r="C168" s="1218" t="s">
        <v>504</v>
      </c>
      <c r="D168" s="1217" t="s">
        <v>2064</v>
      </c>
      <c r="E168" s="1219">
        <v>930</v>
      </c>
      <c r="F168" s="1220" t="s">
        <v>2063</v>
      </c>
      <c r="G168" s="1217" t="s">
        <v>2062</v>
      </c>
      <c r="H168" s="1217"/>
      <c r="I168" s="1217"/>
      <c r="J168" s="1221" t="s">
        <v>1664</v>
      </c>
      <c r="K168" s="1222">
        <v>10</v>
      </c>
      <c r="L168" s="1227">
        <v>12</v>
      </c>
      <c r="M168" s="1224">
        <f t="shared" si="6"/>
        <v>11160</v>
      </c>
      <c r="N168" s="1228">
        <v>10</v>
      </c>
      <c r="O168" s="1229">
        <v>6</v>
      </c>
      <c r="P168" s="1224">
        <f t="shared" si="8"/>
        <v>5580</v>
      </c>
    </row>
    <row r="169" spans="1:16" s="1150" customFormat="1" ht="24">
      <c r="A169" s="1217" t="s">
        <v>1870</v>
      </c>
      <c r="B169" s="1218" t="s">
        <v>1869</v>
      </c>
      <c r="C169" s="1218" t="s">
        <v>504</v>
      </c>
      <c r="D169" s="1217" t="s">
        <v>1944</v>
      </c>
      <c r="E169" s="1219">
        <v>930</v>
      </c>
      <c r="F169" s="1220" t="s">
        <v>2061</v>
      </c>
      <c r="G169" s="1217" t="s">
        <v>2060</v>
      </c>
      <c r="H169" s="1217"/>
      <c r="I169" s="1217"/>
      <c r="J169" s="1221" t="s">
        <v>618</v>
      </c>
      <c r="K169" s="1222">
        <v>10</v>
      </c>
      <c r="L169" s="1227">
        <v>12</v>
      </c>
      <c r="M169" s="1224">
        <f t="shared" si="6"/>
        <v>11160</v>
      </c>
      <c r="N169" s="1228">
        <v>10</v>
      </c>
      <c r="O169" s="1229">
        <v>6</v>
      </c>
      <c r="P169" s="1224">
        <f t="shared" si="8"/>
        <v>5580</v>
      </c>
    </row>
    <row r="170" spans="1:16" s="1150" customFormat="1" ht="24">
      <c r="A170" s="1217" t="s">
        <v>1870</v>
      </c>
      <c r="B170" s="1218" t="s">
        <v>1869</v>
      </c>
      <c r="C170" s="1218" t="s">
        <v>504</v>
      </c>
      <c r="D170" s="1217" t="s">
        <v>1952</v>
      </c>
      <c r="E170" s="1219">
        <v>930</v>
      </c>
      <c r="F170" s="1220" t="s">
        <v>2059</v>
      </c>
      <c r="G170" s="1217" t="s">
        <v>2058</v>
      </c>
      <c r="H170" s="1217"/>
      <c r="I170" s="1217"/>
      <c r="J170" s="1221" t="s">
        <v>618</v>
      </c>
      <c r="K170" s="1222">
        <v>10</v>
      </c>
      <c r="L170" s="1227">
        <v>12</v>
      </c>
      <c r="M170" s="1224">
        <f t="shared" si="6"/>
        <v>11160</v>
      </c>
      <c r="N170" s="1228">
        <v>10</v>
      </c>
      <c r="O170" s="1229">
        <v>6</v>
      </c>
      <c r="P170" s="1224">
        <f t="shared" si="8"/>
        <v>5580</v>
      </c>
    </row>
    <row r="171" spans="1:16" s="1150" customFormat="1" ht="24">
      <c r="A171" s="1217" t="s">
        <v>1870</v>
      </c>
      <c r="B171" s="1218" t="s">
        <v>1869</v>
      </c>
      <c r="C171" s="1218" t="s">
        <v>504</v>
      </c>
      <c r="D171" s="1217" t="s">
        <v>1936</v>
      </c>
      <c r="E171" s="1219">
        <v>930</v>
      </c>
      <c r="F171" s="1220" t="s">
        <v>2057</v>
      </c>
      <c r="G171" s="1217" t="s">
        <v>2056</v>
      </c>
      <c r="H171" s="1217"/>
      <c r="I171" s="1217"/>
      <c r="J171" s="1221" t="s">
        <v>618</v>
      </c>
      <c r="K171" s="1222">
        <v>10</v>
      </c>
      <c r="L171" s="1227">
        <v>12</v>
      </c>
      <c r="M171" s="1224">
        <f t="shared" si="6"/>
        <v>11160</v>
      </c>
      <c r="N171" s="1228">
        <v>10</v>
      </c>
      <c r="O171" s="1229">
        <v>6</v>
      </c>
      <c r="P171" s="1224">
        <f t="shared" si="8"/>
        <v>5580</v>
      </c>
    </row>
    <row r="172" spans="1:16" s="1150" customFormat="1" ht="24">
      <c r="A172" s="1217" t="s">
        <v>1870</v>
      </c>
      <c r="B172" s="1218" t="s">
        <v>1869</v>
      </c>
      <c r="C172" s="1218" t="s">
        <v>504</v>
      </c>
      <c r="D172" s="1217" t="s">
        <v>1922</v>
      </c>
      <c r="E172" s="1219">
        <v>930</v>
      </c>
      <c r="F172" s="1220" t="s">
        <v>2055</v>
      </c>
      <c r="G172" s="1217" t="s">
        <v>2054</v>
      </c>
      <c r="H172" s="1217"/>
      <c r="I172" s="1217"/>
      <c r="J172" s="1221" t="s">
        <v>618</v>
      </c>
      <c r="K172" s="1222">
        <v>9</v>
      </c>
      <c r="L172" s="1227">
        <v>12</v>
      </c>
      <c r="M172" s="1224">
        <f t="shared" si="6"/>
        <v>11160</v>
      </c>
      <c r="N172" s="1228">
        <v>9</v>
      </c>
      <c r="O172" s="1229">
        <v>6</v>
      </c>
      <c r="P172" s="1224">
        <f t="shared" si="8"/>
        <v>5580</v>
      </c>
    </row>
    <row r="173" spans="1:16" s="1150" customFormat="1" ht="24">
      <c r="A173" s="1217" t="s">
        <v>1870</v>
      </c>
      <c r="B173" s="1218" t="s">
        <v>1869</v>
      </c>
      <c r="C173" s="1218" t="s">
        <v>504</v>
      </c>
      <c r="D173" s="1217" t="s">
        <v>1980</v>
      </c>
      <c r="E173" s="1219">
        <v>930</v>
      </c>
      <c r="F173" s="1220" t="s">
        <v>2053</v>
      </c>
      <c r="G173" s="1217" t="s">
        <v>2052</v>
      </c>
      <c r="H173" s="1217"/>
      <c r="I173" s="1217"/>
      <c r="J173" s="1221" t="s">
        <v>618</v>
      </c>
      <c r="K173" s="1222">
        <v>10</v>
      </c>
      <c r="L173" s="1227">
        <v>12</v>
      </c>
      <c r="M173" s="1224">
        <f t="shared" si="6"/>
        <v>11160</v>
      </c>
      <c r="N173" s="1228">
        <v>10</v>
      </c>
      <c r="O173" s="1229">
        <v>6</v>
      </c>
      <c r="P173" s="1224">
        <f t="shared" si="8"/>
        <v>5580</v>
      </c>
    </row>
    <row r="174" spans="1:16" s="1150" customFormat="1" ht="24">
      <c r="A174" s="1217" t="s">
        <v>1870</v>
      </c>
      <c r="B174" s="1218" t="s">
        <v>1880</v>
      </c>
      <c r="C174" s="1218" t="s">
        <v>504</v>
      </c>
      <c r="D174" s="1217" t="s">
        <v>2051</v>
      </c>
      <c r="E174" s="1219">
        <v>930</v>
      </c>
      <c r="F174" s="1220" t="s">
        <v>2050</v>
      </c>
      <c r="G174" s="1217" t="s">
        <v>2049</v>
      </c>
      <c r="H174" s="1217"/>
      <c r="I174" s="1217"/>
      <c r="J174" s="1221" t="s">
        <v>1865</v>
      </c>
      <c r="K174" s="1222">
        <v>10</v>
      </c>
      <c r="L174" s="1227">
        <v>12</v>
      </c>
      <c r="M174" s="1224">
        <f t="shared" si="6"/>
        <v>11160</v>
      </c>
      <c r="N174" s="1228">
        <v>10</v>
      </c>
      <c r="O174" s="1229">
        <v>6</v>
      </c>
      <c r="P174" s="1224">
        <f t="shared" si="8"/>
        <v>5580</v>
      </c>
    </row>
    <row r="175" spans="1:16" s="1150" customFormat="1" ht="24">
      <c r="A175" s="1217" t="s">
        <v>1870</v>
      </c>
      <c r="B175" s="1218" t="s">
        <v>1869</v>
      </c>
      <c r="C175" s="1218" t="s">
        <v>504</v>
      </c>
      <c r="D175" s="1217" t="s">
        <v>2048</v>
      </c>
      <c r="E175" s="1219">
        <v>930</v>
      </c>
      <c r="F175" s="1220" t="s">
        <v>2047</v>
      </c>
      <c r="G175" s="1217" t="s">
        <v>2046</v>
      </c>
      <c r="H175" s="1217"/>
      <c r="I175" s="1217"/>
      <c r="J175" s="1221" t="s">
        <v>1664</v>
      </c>
      <c r="K175" s="1222">
        <v>10</v>
      </c>
      <c r="L175" s="1227">
        <v>12</v>
      </c>
      <c r="M175" s="1224">
        <f t="shared" si="6"/>
        <v>11160</v>
      </c>
      <c r="N175" s="1228">
        <v>10</v>
      </c>
      <c r="O175" s="1229">
        <v>6</v>
      </c>
      <c r="P175" s="1224">
        <f t="shared" si="8"/>
        <v>5580</v>
      </c>
    </row>
    <row r="176" spans="1:16" s="1150" customFormat="1" ht="24">
      <c r="A176" s="1217" t="s">
        <v>1870</v>
      </c>
      <c r="B176" s="1218" t="s">
        <v>1880</v>
      </c>
      <c r="C176" s="1218" t="s">
        <v>504</v>
      </c>
      <c r="D176" s="1217" t="s">
        <v>1922</v>
      </c>
      <c r="E176" s="1219">
        <v>930</v>
      </c>
      <c r="F176" s="1220" t="s">
        <v>2045</v>
      </c>
      <c r="G176" s="1217" t="s">
        <v>2044</v>
      </c>
      <c r="H176" s="1217"/>
      <c r="I176" s="1217"/>
      <c r="J176" s="1221" t="s">
        <v>618</v>
      </c>
      <c r="K176" s="1222">
        <v>10</v>
      </c>
      <c r="L176" s="1227">
        <v>12</v>
      </c>
      <c r="M176" s="1224">
        <f t="shared" si="6"/>
        <v>11160</v>
      </c>
      <c r="N176" s="1228">
        <v>10</v>
      </c>
      <c r="O176" s="1229">
        <v>6</v>
      </c>
      <c r="P176" s="1224">
        <f t="shared" si="8"/>
        <v>5580</v>
      </c>
    </row>
    <row r="177" spans="1:16" s="1150" customFormat="1" ht="24">
      <c r="A177" s="1217" t="s">
        <v>1874</v>
      </c>
      <c r="B177" s="1218" t="s">
        <v>1869</v>
      </c>
      <c r="C177" s="1218" t="s">
        <v>504</v>
      </c>
      <c r="D177" s="1217" t="s">
        <v>2043</v>
      </c>
      <c r="E177" s="1219">
        <v>1500</v>
      </c>
      <c r="F177" s="1220" t="s">
        <v>2042</v>
      </c>
      <c r="G177" s="1217" t="s">
        <v>2041</v>
      </c>
      <c r="H177" s="1217"/>
      <c r="I177" s="1217"/>
      <c r="J177" s="1221" t="s">
        <v>569</v>
      </c>
      <c r="K177" s="1222">
        <v>10</v>
      </c>
      <c r="L177" s="1223">
        <v>12</v>
      </c>
      <c r="M177" s="1224">
        <f t="shared" si="6"/>
        <v>18000</v>
      </c>
      <c r="N177" s="1228">
        <v>10</v>
      </c>
      <c r="O177" s="1229">
        <v>6</v>
      </c>
      <c r="P177" s="1224">
        <f t="shared" si="8"/>
        <v>9000</v>
      </c>
    </row>
    <row r="178" spans="1:16" s="1150" customFormat="1" ht="24">
      <c r="A178" s="1217" t="s">
        <v>1870</v>
      </c>
      <c r="B178" s="1218" t="s">
        <v>1869</v>
      </c>
      <c r="C178" s="1218" t="s">
        <v>504</v>
      </c>
      <c r="D178" s="1217" t="s">
        <v>1952</v>
      </c>
      <c r="E178" s="1219">
        <v>930</v>
      </c>
      <c r="F178" s="1220" t="s">
        <v>2040</v>
      </c>
      <c r="G178" s="1217" t="s">
        <v>2039</v>
      </c>
      <c r="H178" s="1217"/>
      <c r="I178" s="1217"/>
      <c r="J178" s="1221" t="s">
        <v>618</v>
      </c>
      <c r="K178" s="1222">
        <v>10</v>
      </c>
      <c r="L178" s="1227">
        <v>12</v>
      </c>
      <c r="M178" s="1224">
        <f t="shared" si="6"/>
        <v>11160</v>
      </c>
      <c r="N178" s="1228">
        <v>10</v>
      </c>
      <c r="O178" s="1229">
        <v>6</v>
      </c>
      <c r="P178" s="1224">
        <f t="shared" si="8"/>
        <v>5580</v>
      </c>
    </row>
    <row r="179" spans="1:16" s="1150" customFormat="1" ht="24">
      <c r="A179" s="1217" t="s">
        <v>1870</v>
      </c>
      <c r="B179" s="1218" t="s">
        <v>1869</v>
      </c>
      <c r="C179" s="1218" t="s">
        <v>504</v>
      </c>
      <c r="D179" s="1217" t="s">
        <v>1888</v>
      </c>
      <c r="E179" s="1219">
        <v>930</v>
      </c>
      <c r="F179" s="1220" t="s">
        <v>2038</v>
      </c>
      <c r="G179" s="1217" t="s">
        <v>2037</v>
      </c>
      <c r="H179" s="1217"/>
      <c r="I179" s="1217"/>
      <c r="J179" s="1221" t="s">
        <v>1664</v>
      </c>
      <c r="K179" s="1222">
        <v>5</v>
      </c>
      <c r="L179" s="1227">
        <v>12</v>
      </c>
      <c r="M179" s="1224">
        <f t="shared" si="6"/>
        <v>11160</v>
      </c>
      <c r="N179" s="1228">
        <v>5</v>
      </c>
      <c r="O179" s="1229">
        <v>6</v>
      </c>
      <c r="P179" s="1224">
        <f t="shared" si="8"/>
        <v>5580</v>
      </c>
    </row>
    <row r="180" spans="1:16" s="1150" customFormat="1" ht="24">
      <c r="A180" s="1217" t="s">
        <v>1870</v>
      </c>
      <c r="B180" s="1218" t="s">
        <v>1869</v>
      </c>
      <c r="C180" s="1218" t="s">
        <v>504</v>
      </c>
      <c r="D180" s="1217" t="s">
        <v>1944</v>
      </c>
      <c r="E180" s="1219">
        <v>930</v>
      </c>
      <c r="F180" s="1220" t="s">
        <v>2036</v>
      </c>
      <c r="G180" s="1217" t="s">
        <v>2035</v>
      </c>
      <c r="H180" s="1217"/>
      <c r="I180" s="1217"/>
      <c r="J180" s="1221" t="s">
        <v>618</v>
      </c>
      <c r="K180" s="1222">
        <v>10</v>
      </c>
      <c r="L180" s="1227">
        <v>12</v>
      </c>
      <c r="M180" s="1224">
        <f t="shared" si="6"/>
        <v>11160</v>
      </c>
      <c r="N180" s="1228">
        <v>10</v>
      </c>
      <c r="O180" s="1229">
        <v>6</v>
      </c>
      <c r="P180" s="1224">
        <f t="shared" si="8"/>
        <v>5580</v>
      </c>
    </row>
    <row r="181" spans="1:16" s="1150" customFormat="1" ht="24">
      <c r="A181" s="1217" t="s">
        <v>1870</v>
      </c>
      <c r="B181" s="1218" t="s">
        <v>1869</v>
      </c>
      <c r="C181" s="1218" t="s">
        <v>504</v>
      </c>
      <c r="D181" s="1217" t="s">
        <v>1969</v>
      </c>
      <c r="E181" s="1219">
        <v>930</v>
      </c>
      <c r="F181" s="1220" t="s">
        <v>2034</v>
      </c>
      <c r="G181" s="1217" t="s">
        <v>2033</v>
      </c>
      <c r="H181" s="1217"/>
      <c r="I181" s="1217"/>
      <c r="J181" s="1221" t="s">
        <v>1889</v>
      </c>
      <c r="K181" s="1222">
        <v>9</v>
      </c>
      <c r="L181" s="1227">
        <v>12</v>
      </c>
      <c r="M181" s="1224">
        <f t="shared" si="6"/>
        <v>11160</v>
      </c>
      <c r="N181" s="1228">
        <v>9</v>
      </c>
      <c r="O181" s="1229">
        <v>6</v>
      </c>
      <c r="P181" s="1224">
        <f t="shared" si="8"/>
        <v>5580</v>
      </c>
    </row>
    <row r="182" spans="1:16" s="1150" customFormat="1" ht="24">
      <c r="A182" s="1217" t="s">
        <v>1870</v>
      </c>
      <c r="B182" s="1218" t="s">
        <v>1880</v>
      </c>
      <c r="C182" s="1218" t="s">
        <v>504</v>
      </c>
      <c r="D182" s="1217" t="s">
        <v>2032</v>
      </c>
      <c r="E182" s="1219">
        <v>930</v>
      </c>
      <c r="F182" s="1220" t="s">
        <v>2031</v>
      </c>
      <c r="G182" s="1217" t="s">
        <v>2030</v>
      </c>
      <c r="H182" s="1217"/>
      <c r="I182" s="1217"/>
      <c r="J182" s="1221" t="s">
        <v>618</v>
      </c>
      <c r="K182" s="1222">
        <v>10</v>
      </c>
      <c r="L182" s="1227">
        <v>12</v>
      </c>
      <c r="M182" s="1224">
        <f t="shared" si="6"/>
        <v>11160</v>
      </c>
      <c r="N182" s="1228"/>
      <c r="O182" s="1229"/>
      <c r="P182" s="1224"/>
    </row>
    <row r="183" spans="1:16" s="1150" customFormat="1" ht="24">
      <c r="A183" s="1217" t="s">
        <v>1870</v>
      </c>
      <c r="B183" s="1218" t="s">
        <v>1869</v>
      </c>
      <c r="C183" s="1218" t="s">
        <v>504</v>
      </c>
      <c r="D183" s="1217" t="s">
        <v>1672</v>
      </c>
      <c r="E183" s="1219">
        <v>930</v>
      </c>
      <c r="F183" s="1220" t="s">
        <v>2029</v>
      </c>
      <c r="G183" s="1217" t="s">
        <v>2028</v>
      </c>
      <c r="H183" s="1217"/>
      <c r="I183" s="1217"/>
      <c r="J183" s="1221" t="s">
        <v>1865</v>
      </c>
      <c r="K183" s="1222">
        <v>9</v>
      </c>
      <c r="L183" s="1227">
        <v>12</v>
      </c>
      <c r="M183" s="1224">
        <f t="shared" si="6"/>
        <v>11160</v>
      </c>
      <c r="N183" s="1228">
        <v>9</v>
      </c>
      <c r="O183" s="1229">
        <v>6</v>
      </c>
      <c r="P183" s="1224">
        <f t="shared" ref="P183:P214" si="9">+E183*O183</f>
        <v>5580</v>
      </c>
    </row>
    <row r="184" spans="1:16" s="1150" customFormat="1" ht="24">
      <c r="A184" s="1217" t="s">
        <v>1870</v>
      </c>
      <c r="B184" s="1218" t="s">
        <v>1869</v>
      </c>
      <c r="C184" s="1218" t="s">
        <v>504</v>
      </c>
      <c r="D184" s="1217" t="s">
        <v>1922</v>
      </c>
      <c r="E184" s="1219">
        <v>930</v>
      </c>
      <c r="F184" s="1220" t="s">
        <v>2027</v>
      </c>
      <c r="G184" s="1217" t="s">
        <v>2026</v>
      </c>
      <c r="H184" s="1217"/>
      <c r="I184" s="1217"/>
      <c r="J184" s="1221" t="s">
        <v>618</v>
      </c>
      <c r="K184" s="1222">
        <v>4</v>
      </c>
      <c r="L184" s="1227">
        <v>12</v>
      </c>
      <c r="M184" s="1224">
        <f t="shared" si="6"/>
        <v>11160</v>
      </c>
      <c r="N184" s="1228">
        <v>4</v>
      </c>
      <c r="O184" s="1229">
        <v>6</v>
      </c>
      <c r="P184" s="1224">
        <f t="shared" si="9"/>
        <v>5580</v>
      </c>
    </row>
    <row r="185" spans="1:16" s="1150" customFormat="1" ht="24">
      <c r="A185" s="1217" t="s">
        <v>1874</v>
      </c>
      <c r="B185" s="1218" t="s">
        <v>1880</v>
      </c>
      <c r="C185" s="1218" t="s">
        <v>504</v>
      </c>
      <c r="D185" s="1217" t="s">
        <v>1571</v>
      </c>
      <c r="E185" s="1219">
        <v>1200</v>
      </c>
      <c r="F185" s="1220" t="s">
        <v>2025</v>
      </c>
      <c r="G185" s="1217" t="s">
        <v>2024</v>
      </c>
      <c r="H185" s="1217"/>
      <c r="I185" s="1217"/>
      <c r="J185" s="1221" t="s">
        <v>4</v>
      </c>
      <c r="K185" s="1222">
        <v>5</v>
      </c>
      <c r="L185" s="1223">
        <v>12</v>
      </c>
      <c r="M185" s="1224">
        <f t="shared" si="6"/>
        <v>14400</v>
      </c>
      <c r="N185" s="1228">
        <v>5</v>
      </c>
      <c r="O185" s="1229">
        <v>6</v>
      </c>
      <c r="P185" s="1224">
        <f t="shared" si="9"/>
        <v>7200</v>
      </c>
    </row>
    <row r="186" spans="1:16" s="1150" customFormat="1" ht="24">
      <c r="A186" s="1217" t="s">
        <v>1870</v>
      </c>
      <c r="B186" s="1218" t="s">
        <v>1869</v>
      </c>
      <c r="C186" s="1218" t="s">
        <v>504</v>
      </c>
      <c r="D186" s="1217" t="s">
        <v>1724</v>
      </c>
      <c r="E186" s="1219">
        <v>930</v>
      </c>
      <c r="F186" s="1220" t="s">
        <v>2023</v>
      </c>
      <c r="G186" s="1217" t="s">
        <v>2022</v>
      </c>
      <c r="H186" s="1217"/>
      <c r="I186" s="1217"/>
      <c r="J186" s="1221" t="s">
        <v>618</v>
      </c>
      <c r="K186" s="1222">
        <v>10</v>
      </c>
      <c r="L186" s="1227">
        <v>12</v>
      </c>
      <c r="M186" s="1224">
        <f t="shared" si="6"/>
        <v>11160</v>
      </c>
      <c r="N186" s="1228">
        <v>10</v>
      </c>
      <c r="O186" s="1229">
        <v>6</v>
      </c>
      <c r="P186" s="1224">
        <f t="shared" si="9"/>
        <v>5580</v>
      </c>
    </row>
    <row r="187" spans="1:16" s="1150" customFormat="1" ht="24">
      <c r="A187" s="1217" t="s">
        <v>1870</v>
      </c>
      <c r="B187" s="1218" t="s">
        <v>1869</v>
      </c>
      <c r="C187" s="1218" t="s">
        <v>504</v>
      </c>
      <c r="D187" s="1217" t="s">
        <v>1892</v>
      </c>
      <c r="E187" s="1219">
        <v>930</v>
      </c>
      <c r="F187" s="1220" t="s">
        <v>2021</v>
      </c>
      <c r="G187" s="1217" t="s">
        <v>2020</v>
      </c>
      <c r="H187" s="1217"/>
      <c r="I187" s="1217"/>
      <c r="J187" s="1221" t="s">
        <v>618</v>
      </c>
      <c r="K187" s="1222">
        <v>10</v>
      </c>
      <c r="L187" s="1227">
        <v>12</v>
      </c>
      <c r="M187" s="1224">
        <f t="shared" si="6"/>
        <v>11160</v>
      </c>
      <c r="N187" s="1228">
        <v>10</v>
      </c>
      <c r="O187" s="1229">
        <v>6</v>
      </c>
      <c r="P187" s="1224">
        <f t="shared" si="9"/>
        <v>5580</v>
      </c>
    </row>
    <row r="188" spans="1:16" s="1150" customFormat="1" ht="24">
      <c r="A188" s="1217" t="s">
        <v>1870</v>
      </c>
      <c r="B188" s="1218" t="s">
        <v>1869</v>
      </c>
      <c r="C188" s="1218" t="s">
        <v>504</v>
      </c>
      <c r="D188" s="1217" t="s">
        <v>2019</v>
      </c>
      <c r="E188" s="1219">
        <v>930</v>
      </c>
      <c r="F188" s="1220" t="s">
        <v>2018</v>
      </c>
      <c r="G188" s="1217" t="s">
        <v>2017</v>
      </c>
      <c r="H188" s="1217"/>
      <c r="I188" s="1217"/>
      <c r="J188" s="1221" t="s">
        <v>1865</v>
      </c>
      <c r="K188" s="1222">
        <v>10</v>
      </c>
      <c r="L188" s="1227">
        <v>12</v>
      </c>
      <c r="M188" s="1224">
        <f t="shared" si="6"/>
        <v>11160</v>
      </c>
      <c r="N188" s="1228">
        <v>10</v>
      </c>
      <c r="O188" s="1229">
        <v>6</v>
      </c>
      <c r="P188" s="1224">
        <f t="shared" si="9"/>
        <v>5580</v>
      </c>
    </row>
    <row r="189" spans="1:16" s="1150" customFormat="1" ht="24">
      <c r="A189" s="1217" t="s">
        <v>1870</v>
      </c>
      <c r="B189" s="1218" t="s">
        <v>1869</v>
      </c>
      <c r="C189" s="1218" t="s">
        <v>504</v>
      </c>
      <c r="D189" s="1217" t="s">
        <v>1995</v>
      </c>
      <c r="E189" s="1219">
        <v>930</v>
      </c>
      <c r="F189" s="1220" t="s">
        <v>2016</v>
      </c>
      <c r="G189" s="1217" t="s">
        <v>2015</v>
      </c>
      <c r="H189" s="1217"/>
      <c r="I189" s="1217"/>
      <c r="J189" s="1221" t="s">
        <v>618</v>
      </c>
      <c r="K189" s="1222">
        <v>10</v>
      </c>
      <c r="L189" s="1227">
        <v>12</v>
      </c>
      <c r="M189" s="1224">
        <f t="shared" si="6"/>
        <v>11160</v>
      </c>
      <c r="N189" s="1228">
        <v>10</v>
      </c>
      <c r="O189" s="1229">
        <v>6</v>
      </c>
      <c r="P189" s="1224">
        <f t="shared" si="9"/>
        <v>5580</v>
      </c>
    </row>
    <row r="190" spans="1:16" s="1150" customFormat="1" ht="24">
      <c r="A190" s="1217" t="s">
        <v>1874</v>
      </c>
      <c r="B190" s="1218" t="s">
        <v>1880</v>
      </c>
      <c r="C190" s="1218" t="s">
        <v>504</v>
      </c>
      <c r="D190" s="1217" t="s">
        <v>1925</v>
      </c>
      <c r="E190" s="1219">
        <v>1100</v>
      </c>
      <c r="F190" s="1220" t="s">
        <v>2014</v>
      </c>
      <c r="G190" s="1217" t="s">
        <v>2013</v>
      </c>
      <c r="H190" s="1217"/>
      <c r="I190" s="1217"/>
      <c r="J190" s="1221" t="s">
        <v>5</v>
      </c>
      <c r="K190" s="1222">
        <v>10</v>
      </c>
      <c r="L190" s="1223">
        <v>12</v>
      </c>
      <c r="M190" s="1224">
        <f t="shared" si="6"/>
        <v>13200</v>
      </c>
      <c r="N190" s="1228">
        <v>10</v>
      </c>
      <c r="O190" s="1229">
        <v>6</v>
      </c>
      <c r="P190" s="1224">
        <f t="shared" si="9"/>
        <v>6600</v>
      </c>
    </row>
    <row r="191" spans="1:16" s="1150" customFormat="1" ht="24">
      <c r="A191" s="1217" t="s">
        <v>1870</v>
      </c>
      <c r="B191" s="1218" t="s">
        <v>1869</v>
      </c>
      <c r="C191" s="1218" t="s">
        <v>504</v>
      </c>
      <c r="D191" s="1217" t="s">
        <v>1672</v>
      </c>
      <c r="E191" s="1219">
        <v>930</v>
      </c>
      <c r="F191" s="1220" t="s">
        <v>2012</v>
      </c>
      <c r="G191" s="1217" t="s">
        <v>2011</v>
      </c>
      <c r="H191" s="1217"/>
      <c r="I191" s="1217"/>
      <c r="J191" s="1221" t="s">
        <v>1865</v>
      </c>
      <c r="K191" s="1222">
        <v>10</v>
      </c>
      <c r="L191" s="1227">
        <v>12</v>
      </c>
      <c r="M191" s="1224">
        <f t="shared" si="6"/>
        <v>11160</v>
      </c>
      <c r="N191" s="1228">
        <v>10</v>
      </c>
      <c r="O191" s="1229">
        <v>6</v>
      </c>
      <c r="P191" s="1224">
        <f t="shared" si="9"/>
        <v>5580</v>
      </c>
    </row>
    <row r="192" spans="1:16" s="1150" customFormat="1" ht="24">
      <c r="A192" s="1217" t="s">
        <v>1870</v>
      </c>
      <c r="B192" s="1218" t="s">
        <v>1880</v>
      </c>
      <c r="C192" s="1218" t="s">
        <v>504</v>
      </c>
      <c r="D192" s="1217" t="s">
        <v>1922</v>
      </c>
      <c r="E192" s="1219">
        <v>930</v>
      </c>
      <c r="F192" s="1220" t="s">
        <v>2010</v>
      </c>
      <c r="G192" s="1217" t="s">
        <v>2009</v>
      </c>
      <c r="H192" s="1217"/>
      <c r="I192" s="1217"/>
      <c r="J192" s="1221" t="s">
        <v>618</v>
      </c>
      <c r="K192" s="1222">
        <v>7</v>
      </c>
      <c r="L192" s="1227">
        <v>12</v>
      </c>
      <c r="M192" s="1224">
        <f t="shared" si="6"/>
        <v>11160</v>
      </c>
      <c r="N192" s="1228">
        <v>7</v>
      </c>
      <c r="O192" s="1229">
        <v>6</v>
      </c>
      <c r="P192" s="1224">
        <f t="shared" si="9"/>
        <v>5580</v>
      </c>
    </row>
    <row r="193" spans="1:16" s="1150" customFormat="1" ht="24">
      <c r="A193" s="1217" t="s">
        <v>1870</v>
      </c>
      <c r="B193" s="1218" t="s">
        <v>1880</v>
      </c>
      <c r="C193" s="1218" t="s">
        <v>504</v>
      </c>
      <c r="D193" s="1217" t="s">
        <v>1922</v>
      </c>
      <c r="E193" s="1219">
        <v>930</v>
      </c>
      <c r="F193" s="1220" t="s">
        <v>2008</v>
      </c>
      <c r="G193" s="1217" t="s">
        <v>2007</v>
      </c>
      <c r="H193" s="1217"/>
      <c r="I193" s="1217"/>
      <c r="J193" s="1221" t="s">
        <v>618</v>
      </c>
      <c r="K193" s="1222">
        <v>10</v>
      </c>
      <c r="L193" s="1227">
        <v>12</v>
      </c>
      <c r="M193" s="1224">
        <f t="shared" si="6"/>
        <v>11160</v>
      </c>
      <c r="N193" s="1228">
        <v>10</v>
      </c>
      <c r="O193" s="1229">
        <v>6</v>
      </c>
      <c r="P193" s="1224">
        <f t="shared" si="9"/>
        <v>5580</v>
      </c>
    </row>
    <row r="194" spans="1:16" s="1150" customFormat="1" ht="24">
      <c r="A194" s="1217" t="s">
        <v>1870</v>
      </c>
      <c r="B194" s="1218" t="s">
        <v>1869</v>
      </c>
      <c r="C194" s="1218" t="s">
        <v>504</v>
      </c>
      <c r="D194" s="1217" t="s">
        <v>1952</v>
      </c>
      <c r="E194" s="1219">
        <v>930</v>
      </c>
      <c r="F194" s="1220" t="s">
        <v>2006</v>
      </c>
      <c r="G194" s="1217" t="s">
        <v>2005</v>
      </c>
      <c r="H194" s="1217"/>
      <c r="I194" s="1217"/>
      <c r="J194" s="1221" t="s">
        <v>618</v>
      </c>
      <c r="K194" s="1222">
        <v>10</v>
      </c>
      <c r="L194" s="1227">
        <v>12</v>
      </c>
      <c r="M194" s="1224">
        <f t="shared" si="6"/>
        <v>11160</v>
      </c>
      <c r="N194" s="1228">
        <v>10</v>
      </c>
      <c r="O194" s="1229">
        <v>6</v>
      </c>
      <c r="P194" s="1224">
        <f t="shared" si="9"/>
        <v>5580</v>
      </c>
    </row>
    <row r="195" spans="1:16" s="1150" customFormat="1" ht="24">
      <c r="A195" s="1217" t="s">
        <v>1870</v>
      </c>
      <c r="B195" s="1218" t="s">
        <v>1880</v>
      </c>
      <c r="C195" s="1218" t="s">
        <v>504</v>
      </c>
      <c r="D195" s="1217" t="s">
        <v>1925</v>
      </c>
      <c r="E195" s="1219">
        <v>930</v>
      </c>
      <c r="F195" s="1220" t="s">
        <v>2004</v>
      </c>
      <c r="G195" s="1217" t="s">
        <v>2003</v>
      </c>
      <c r="H195" s="1217"/>
      <c r="I195" s="1217"/>
      <c r="J195" s="1221" t="s">
        <v>1865</v>
      </c>
      <c r="K195" s="1222">
        <v>10</v>
      </c>
      <c r="L195" s="1227">
        <v>12</v>
      </c>
      <c r="M195" s="1224">
        <f t="shared" si="6"/>
        <v>11160</v>
      </c>
      <c r="N195" s="1228">
        <v>10</v>
      </c>
      <c r="O195" s="1229">
        <v>6</v>
      </c>
      <c r="P195" s="1224">
        <f t="shared" si="9"/>
        <v>5580</v>
      </c>
    </row>
    <row r="196" spans="1:16" s="1150" customFormat="1" ht="24">
      <c r="A196" s="1217" t="s">
        <v>1870</v>
      </c>
      <c r="B196" s="1218" t="s">
        <v>1869</v>
      </c>
      <c r="C196" s="1218" t="s">
        <v>504</v>
      </c>
      <c r="D196" s="1217" t="s">
        <v>1944</v>
      </c>
      <c r="E196" s="1219">
        <v>930</v>
      </c>
      <c r="F196" s="1220" t="s">
        <v>2002</v>
      </c>
      <c r="G196" s="1217" t="s">
        <v>2001</v>
      </c>
      <c r="H196" s="1217"/>
      <c r="I196" s="1217"/>
      <c r="J196" s="1221" t="s">
        <v>618</v>
      </c>
      <c r="K196" s="1222">
        <v>10</v>
      </c>
      <c r="L196" s="1227">
        <v>12</v>
      </c>
      <c r="M196" s="1224">
        <f t="shared" si="6"/>
        <v>11160</v>
      </c>
      <c r="N196" s="1228">
        <v>10</v>
      </c>
      <c r="O196" s="1229">
        <v>6</v>
      </c>
      <c r="P196" s="1224">
        <f t="shared" si="9"/>
        <v>5580</v>
      </c>
    </row>
    <row r="197" spans="1:16" s="1150" customFormat="1" ht="24">
      <c r="A197" s="1217" t="s">
        <v>1870</v>
      </c>
      <c r="B197" s="1218" t="s">
        <v>1869</v>
      </c>
      <c r="C197" s="1218" t="s">
        <v>504</v>
      </c>
      <c r="D197" s="1217" t="s">
        <v>1969</v>
      </c>
      <c r="E197" s="1219">
        <v>930</v>
      </c>
      <c r="F197" s="1220" t="s">
        <v>2000</v>
      </c>
      <c r="G197" s="1217" t="s">
        <v>1999</v>
      </c>
      <c r="H197" s="1217"/>
      <c r="I197" s="1217"/>
      <c r="J197" s="1221" t="s">
        <v>618</v>
      </c>
      <c r="K197" s="1222">
        <v>10</v>
      </c>
      <c r="L197" s="1227">
        <v>12</v>
      </c>
      <c r="M197" s="1224">
        <f t="shared" si="6"/>
        <v>11160</v>
      </c>
      <c r="N197" s="1228">
        <v>10</v>
      </c>
      <c r="O197" s="1229">
        <v>6</v>
      </c>
      <c r="P197" s="1224">
        <f t="shared" si="9"/>
        <v>5580</v>
      </c>
    </row>
    <row r="198" spans="1:16" s="1150" customFormat="1" ht="24">
      <c r="A198" s="1217" t="s">
        <v>1874</v>
      </c>
      <c r="B198" s="1218" t="s">
        <v>1869</v>
      </c>
      <c r="C198" s="1218" t="s">
        <v>504</v>
      </c>
      <c r="D198" s="1217" t="s">
        <v>1998</v>
      </c>
      <c r="E198" s="1219">
        <v>1250</v>
      </c>
      <c r="F198" s="1220" t="s">
        <v>1997</v>
      </c>
      <c r="G198" s="1217" t="s">
        <v>1996</v>
      </c>
      <c r="H198" s="1217"/>
      <c r="I198" s="1217"/>
      <c r="J198" s="1221" t="s">
        <v>5</v>
      </c>
      <c r="K198" s="1222">
        <v>4</v>
      </c>
      <c r="L198" s="1223">
        <v>12</v>
      </c>
      <c r="M198" s="1224">
        <f t="shared" si="6"/>
        <v>15000</v>
      </c>
      <c r="N198" s="1228">
        <v>4</v>
      </c>
      <c r="O198" s="1229">
        <v>6</v>
      </c>
      <c r="P198" s="1224">
        <f t="shared" si="9"/>
        <v>7500</v>
      </c>
    </row>
    <row r="199" spans="1:16" s="1150" customFormat="1" ht="24">
      <c r="A199" s="1217" t="s">
        <v>1870</v>
      </c>
      <c r="B199" s="1218" t="s">
        <v>1869</v>
      </c>
      <c r="C199" s="1218" t="s">
        <v>504</v>
      </c>
      <c r="D199" s="1217" t="s">
        <v>1995</v>
      </c>
      <c r="E199" s="1219">
        <v>930</v>
      </c>
      <c r="F199" s="1220" t="s">
        <v>1994</v>
      </c>
      <c r="G199" s="1217" t="s">
        <v>1993</v>
      </c>
      <c r="H199" s="1217"/>
      <c r="I199" s="1217"/>
      <c r="J199" s="1221" t="s">
        <v>618</v>
      </c>
      <c r="K199" s="1222">
        <v>10</v>
      </c>
      <c r="L199" s="1227">
        <v>12</v>
      </c>
      <c r="M199" s="1224">
        <f t="shared" ref="M199:M244" si="10">+E199*L199</f>
        <v>11160</v>
      </c>
      <c r="N199" s="1228">
        <v>10</v>
      </c>
      <c r="O199" s="1229">
        <v>6</v>
      </c>
      <c r="P199" s="1224">
        <f t="shared" si="9"/>
        <v>5580</v>
      </c>
    </row>
    <row r="200" spans="1:16" s="1150" customFormat="1" ht="24">
      <c r="A200" s="1217" t="s">
        <v>1870</v>
      </c>
      <c r="B200" s="1218" t="s">
        <v>1869</v>
      </c>
      <c r="C200" s="1218" t="s">
        <v>504</v>
      </c>
      <c r="D200" s="1217" t="s">
        <v>1992</v>
      </c>
      <c r="E200" s="1219">
        <v>930</v>
      </c>
      <c r="F200" s="1220" t="s">
        <v>1991</v>
      </c>
      <c r="G200" s="1217" t="s">
        <v>1990</v>
      </c>
      <c r="H200" s="1217"/>
      <c r="I200" s="1217"/>
      <c r="J200" s="1221" t="s">
        <v>618</v>
      </c>
      <c r="K200" s="1222">
        <v>10</v>
      </c>
      <c r="L200" s="1227">
        <v>12</v>
      </c>
      <c r="M200" s="1224">
        <f t="shared" si="10"/>
        <v>11160</v>
      </c>
      <c r="N200" s="1228">
        <v>10</v>
      </c>
      <c r="O200" s="1229">
        <v>6</v>
      </c>
      <c r="P200" s="1224">
        <f t="shared" si="9"/>
        <v>5580</v>
      </c>
    </row>
    <row r="201" spans="1:16" s="1150" customFormat="1" ht="24">
      <c r="A201" s="1217" t="s">
        <v>1874</v>
      </c>
      <c r="B201" s="1218" t="s">
        <v>1880</v>
      </c>
      <c r="C201" s="1218" t="s">
        <v>504</v>
      </c>
      <c r="D201" s="1217" t="s">
        <v>1919</v>
      </c>
      <c r="E201" s="1219">
        <v>2375</v>
      </c>
      <c r="F201" s="1220" t="s">
        <v>1989</v>
      </c>
      <c r="G201" s="1217" t="s">
        <v>1988</v>
      </c>
      <c r="H201" s="1217"/>
      <c r="I201" s="1217"/>
      <c r="J201" s="1221" t="s">
        <v>4</v>
      </c>
      <c r="K201" s="1222">
        <v>5</v>
      </c>
      <c r="L201" s="1223">
        <v>12</v>
      </c>
      <c r="M201" s="1224">
        <f t="shared" si="10"/>
        <v>28500</v>
      </c>
      <c r="N201" s="1228">
        <v>5</v>
      </c>
      <c r="O201" s="1229">
        <v>6</v>
      </c>
      <c r="P201" s="1224">
        <f t="shared" si="9"/>
        <v>14250</v>
      </c>
    </row>
    <row r="202" spans="1:16" s="1150" customFormat="1" ht="24">
      <c r="A202" s="1217" t="s">
        <v>1870</v>
      </c>
      <c r="B202" s="1218" t="s">
        <v>1880</v>
      </c>
      <c r="C202" s="1218" t="s">
        <v>504</v>
      </c>
      <c r="D202" s="1217" t="s">
        <v>1987</v>
      </c>
      <c r="E202" s="1219">
        <v>930</v>
      </c>
      <c r="F202" s="1220" t="s">
        <v>1986</v>
      </c>
      <c r="G202" s="1217" t="s">
        <v>1985</v>
      </c>
      <c r="H202" s="1217"/>
      <c r="I202" s="1217"/>
      <c r="J202" s="1221" t="s">
        <v>569</v>
      </c>
      <c r="K202" s="1222">
        <v>8</v>
      </c>
      <c r="L202" s="1227">
        <v>12</v>
      </c>
      <c r="M202" s="1224">
        <f t="shared" si="10"/>
        <v>11160</v>
      </c>
      <c r="N202" s="1228">
        <v>8</v>
      </c>
      <c r="O202" s="1229">
        <v>6</v>
      </c>
      <c r="P202" s="1224">
        <f t="shared" si="9"/>
        <v>5580</v>
      </c>
    </row>
    <row r="203" spans="1:16" s="1150" customFormat="1" ht="24">
      <c r="A203" s="1217" t="s">
        <v>1870</v>
      </c>
      <c r="B203" s="1218" t="s">
        <v>1869</v>
      </c>
      <c r="C203" s="1218" t="s">
        <v>504</v>
      </c>
      <c r="D203" s="1217" t="s">
        <v>1910</v>
      </c>
      <c r="E203" s="1219">
        <v>930</v>
      </c>
      <c r="F203" s="1220" t="s">
        <v>1984</v>
      </c>
      <c r="G203" s="1217" t="s">
        <v>1983</v>
      </c>
      <c r="H203" s="1217"/>
      <c r="I203" s="1217"/>
      <c r="J203" s="1221" t="s">
        <v>618</v>
      </c>
      <c r="K203" s="1222">
        <v>4</v>
      </c>
      <c r="L203" s="1227">
        <v>12</v>
      </c>
      <c r="M203" s="1224">
        <f t="shared" si="10"/>
        <v>11160</v>
      </c>
      <c r="N203" s="1228">
        <v>4</v>
      </c>
      <c r="O203" s="1229">
        <v>6</v>
      </c>
      <c r="P203" s="1224">
        <f t="shared" si="9"/>
        <v>5580</v>
      </c>
    </row>
    <row r="204" spans="1:16" s="1150" customFormat="1" ht="24">
      <c r="A204" s="1217" t="s">
        <v>1870</v>
      </c>
      <c r="B204" s="1218" t="s">
        <v>1869</v>
      </c>
      <c r="C204" s="1218" t="s">
        <v>504</v>
      </c>
      <c r="D204" s="1217" t="s">
        <v>1888</v>
      </c>
      <c r="E204" s="1219">
        <v>930</v>
      </c>
      <c r="F204" s="1220" t="s">
        <v>1982</v>
      </c>
      <c r="G204" s="1217" t="s">
        <v>1981</v>
      </c>
      <c r="H204" s="1217"/>
      <c r="I204" s="1217"/>
      <c r="J204" s="1221" t="s">
        <v>1664</v>
      </c>
      <c r="K204" s="1222">
        <v>10</v>
      </c>
      <c r="L204" s="1227">
        <v>12</v>
      </c>
      <c r="M204" s="1224">
        <f t="shared" si="10"/>
        <v>11160</v>
      </c>
      <c r="N204" s="1228">
        <v>10</v>
      </c>
      <c r="O204" s="1229">
        <v>6</v>
      </c>
      <c r="P204" s="1224">
        <f t="shared" si="9"/>
        <v>5580</v>
      </c>
    </row>
    <row r="205" spans="1:16" s="1150" customFormat="1" ht="24">
      <c r="A205" s="1217" t="s">
        <v>1870</v>
      </c>
      <c r="B205" s="1218" t="s">
        <v>1869</v>
      </c>
      <c r="C205" s="1218" t="s">
        <v>504</v>
      </c>
      <c r="D205" s="1217" t="s">
        <v>1980</v>
      </c>
      <c r="E205" s="1219">
        <v>930</v>
      </c>
      <c r="F205" s="1220" t="s">
        <v>1979</v>
      </c>
      <c r="G205" s="1217" t="s">
        <v>1978</v>
      </c>
      <c r="H205" s="1217"/>
      <c r="I205" s="1217"/>
      <c r="J205" s="1221" t="s">
        <v>618</v>
      </c>
      <c r="K205" s="1222">
        <v>10</v>
      </c>
      <c r="L205" s="1227">
        <v>12</v>
      </c>
      <c r="M205" s="1224">
        <f t="shared" si="10"/>
        <v>11160</v>
      </c>
      <c r="N205" s="1228">
        <v>10</v>
      </c>
      <c r="O205" s="1229">
        <v>6</v>
      </c>
      <c r="P205" s="1224">
        <f t="shared" si="9"/>
        <v>5580</v>
      </c>
    </row>
    <row r="206" spans="1:16" s="1150" customFormat="1" ht="24">
      <c r="A206" s="1217" t="s">
        <v>1870</v>
      </c>
      <c r="B206" s="1218" t="s">
        <v>1869</v>
      </c>
      <c r="C206" s="1218" t="s">
        <v>504</v>
      </c>
      <c r="D206" s="1217" t="s">
        <v>1977</v>
      </c>
      <c r="E206" s="1219">
        <v>930</v>
      </c>
      <c r="F206" s="1220" t="s">
        <v>1976</v>
      </c>
      <c r="G206" s="1217" t="s">
        <v>1975</v>
      </c>
      <c r="H206" s="1217"/>
      <c r="I206" s="1217"/>
      <c r="J206" s="1221" t="s">
        <v>1664</v>
      </c>
      <c r="K206" s="1222">
        <v>4</v>
      </c>
      <c r="L206" s="1227">
        <v>12</v>
      </c>
      <c r="M206" s="1224">
        <f t="shared" si="10"/>
        <v>11160</v>
      </c>
      <c r="N206" s="1228">
        <v>4</v>
      </c>
      <c r="O206" s="1229">
        <v>6</v>
      </c>
      <c r="P206" s="1224">
        <f t="shared" si="9"/>
        <v>5580</v>
      </c>
    </row>
    <row r="207" spans="1:16" s="1150" customFormat="1" ht="24">
      <c r="A207" s="1217" t="s">
        <v>1870</v>
      </c>
      <c r="B207" s="1218" t="s">
        <v>1880</v>
      </c>
      <c r="C207" s="1218" t="s">
        <v>504</v>
      </c>
      <c r="D207" s="1217" t="s">
        <v>1925</v>
      </c>
      <c r="E207" s="1219">
        <v>930</v>
      </c>
      <c r="F207" s="1220" t="s">
        <v>1974</v>
      </c>
      <c r="G207" s="1217" t="s">
        <v>1973</v>
      </c>
      <c r="H207" s="1217"/>
      <c r="I207" s="1217"/>
      <c r="J207" s="1221" t="s">
        <v>1865</v>
      </c>
      <c r="K207" s="1222">
        <v>10</v>
      </c>
      <c r="L207" s="1227">
        <v>12</v>
      </c>
      <c r="M207" s="1224">
        <f t="shared" si="10"/>
        <v>11160</v>
      </c>
      <c r="N207" s="1228">
        <v>10</v>
      </c>
      <c r="O207" s="1229">
        <v>6</v>
      </c>
      <c r="P207" s="1224">
        <f t="shared" si="9"/>
        <v>5580</v>
      </c>
    </row>
    <row r="208" spans="1:16" s="1150" customFormat="1" ht="24">
      <c r="A208" s="1217" t="s">
        <v>1870</v>
      </c>
      <c r="B208" s="1218" t="s">
        <v>1869</v>
      </c>
      <c r="C208" s="1218" t="s">
        <v>504</v>
      </c>
      <c r="D208" s="1217" t="s">
        <v>1972</v>
      </c>
      <c r="E208" s="1219">
        <v>930</v>
      </c>
      <c r="F208" s="1220" t="s">
        <v>1971</v>
      </c>
      <c r="G208" s="1217" t="s">
        <v>1970</v>
      </c>
      <c r="H208" s="1217"/>
      <c r="I208" s="1217"/>
      <c r="J208" s="1221" t="s">
        <v>1664</v>
      </c>
      <c r="K208" s="1222">
        <v>10</v>
      </c>
      <c r="L208" s="1227">
        <v>12</v>
      </c>
      <c r="M208" s="1224">
        <f t="shared" si="10"/>
        <v>11160</v>
      </c>
      <c r="N208" s="1228">
        <v>10</v>
      </c>
      <c r="O208" s="1229">
        <v>6</v>
      </c>
      <c r="P208" s="1224">
        <f t="shared" si="9"/>
        <v>5580</v>
      </c>
    </row>
    <row r="209" spans="1:16" s="1150" customFormat="1" ht="24">
      <c r="A209" s="1217" t="s">
        <v>1870</v>
      </c>
      <c r="B209" s="1218" t="s">
        <v>1869</v>
      </c>
      <c r="C209" s="1218" t="s">
        <v>504</v>
      </c>
      <c r="D209" s="1217" t="s">
        <v>1969</v>
      </c>
      <c r="E209" s="1219">
        <v>930</v>
      </c>
      <c r="F209" s="1220" t="s">
        <v>1968</v>
      </c>
      <c r="G209" s="1217" t="s">
        <v>1967</v>
      </c>
      <c r="H209" s="1217"/>
      <c r="I209" s="1217"/>
      <c r="J209" s="1221" t="s">
        <v>618</v>
      </c>
      <c r="K209" s="1222">
        <v>10</v>
      </c>
      <c r="L209" s="1227">
        <v>12</v>
      </c>
      <c r="M209" s="1224">
        <f t="shared" si="10"/>
        <v>11160</v>
      </c>
      <c r="N209" s="1228">
        <v>10</v>
      </c>
      <c r="O209" s="1229">
        <v>6</v>
      </c>
      <c r="P209" s="1224">
        <f t="shared" si="9"/>
        <v>5580</v>
      </c>
    </row>
    <row r="210" spans="1:16" s="1150" customFormat="1" ht="24">
      <c r="A210" s="1217" t="s">
        <v>1870</v>
      </c>
      <c r="B210" s="1218" t="s">
        <v>1880</v>
      </c>
      <c r="C210" s="1218" t="s">
        <v>504</v>
      </c>
      <c r="D210" s="1217" t="s">
        <v>1966</v>
      </c>
      <c r="E210" s="1219">
        <v>2510</v>
      </c>
      <c r="F210" s="1220" t="s">
        <v>1965</v>
      </c>
      <c r="G210" s="1217" t="s">
        <v>1964</v>
      </c>
      <c r="H210" s="1217"/>
      <c r="I210" s="1217"/>
      <c r="J210" s="1221" t="s">
        <v>569</v>
      </c>
      <c r="K210" s="1222">
        <v>10</v>
      </c>
      <c r="L210" s="1227">
        <v>12</v>
      </c>
      <c r="M210" s="1224">
        <f t="shared" si="10"/>
        <v>30120</v>
      </c>
      <c r="N210" s="1228">
        <v>10</v>
      </c>
      <c r="O210" s="1229">
        <v>6</v>
      </c>
      <c r="P210" s="1224">
        <f t="shared" si="9"/>
        <v>15060</v>
      </c>
    </row>
    <row r="211" spans="1:16" s="1150" customFormat="1" ht="24">
      <c r="A211" s="1217" t="s">
        <v>1870</v>
      </c>
      <c r="B211" s="1218" t="s">
        <v>1869</v>
      </c>
      <c r="C211" s="1218" t="s">
        <v>504</v>
      </c>
      <c r="D211" s="1217" t="s">
        <v>1784</v>
      </c>
      <c r="E211" s="1219">
        <v>930</v>
      </c>
      <c r="F211" s="1220" t="s">
        <v>1963</v>
      </c>
      <c r="G211" s="1217" t="s">
        <v>1962</v>
      </c>
      <c r="H211" s="1217"/>
      <c r="I211" s="1217"/>
      <c r="J211" s="1221" t="s">
        <v>1664</v>
      </c>
      <c r="K211" s="1222">
        <v>9</v>
      </c>
      <c r="L211" s="1227">
        <v>12</v>
      </c>
      <c r="M211" s="1224">
        <f t="shared" si="10"/>
        <v>11160</v>
      </c>
      <c r="N211" s="1228">
        <v>9</v>
      </c>
      <c r="O211" s="1229">
        <v>6</v>
      </c>
      <c r="P211" s="1224">
        <f t="shared" si="9"/>
        <v>5580</v>
      </c>
    </row>
    <row r="212" spans="1:16" s="1150" customFormat="1" ht="24">
      <c r="A212" s="1217" t="s">
        <v>1870</v>
      </c>
      <c r="B212" s="1218" t="s">
        <v>1880</v>
      </c>
      <c r="C212" s="1218" t="s">
        <v>504</v>
      </c>
      <c r="D212" s="1217" t="s">
        <v>1961</v>
      </c>
      <c r="E212" s="1219">
        <v>2500</v>
      </c>
      <c r="F212" s="1220" t="s">
        <v>1960</v>
      </c>
      <c r="G212" s="1217" t="s">
        <v>1959</v>
      </c>
      <c r="H212" s="1217"/>
      <c r="I212" s="1217"/>
      <c r="J212" s="1221" t="s">
        <v>569</v>
      </c>
      <c r="K212" s="1222">
        <v>5</v>
      </c>
      <c r="L212" s="1227">
        <v>12</v>
      </c>
      <c r="M212" s="1224">
        <f t="shared" si="10"/>
        <v>30000</v>
      </c>
      <c r="N212" s="1228">
        <v>5</v>
      </c>
      <c r="O212" s="1229">
        <v>6</v>
      </c>
      <c r="P212" s="1224">
        <f t="shared" si="9"/>
        <v>15000</v>
      </c>
    </row>
    <row r="213" spans="1:16" s="1150" customFormat="1" ht="24">
      <c r="A213" s="1217" t="s">
        <v>1870</v>
      </c>
      <c r="B213" s="1218" t="s">
        <v>1880</v>
      </c>
      <c r="C213" s="1218" t="s">
        <v>504</v>
      </c>
      <c r="D213" s="1217" t="s">
        <v>1947</v>
      </c>
      <c r="E213" s="1219">
        <v>2500</v>
      </c>
      <c r="F213" s="1220" t="s">
        <v>1958</v>
      </c>
      <c r="G213" s="1217" t="s">
        <v>1957</v>
      </c>
      <c r="H213" s="1217"/>
      <c r="I213" s="1217"/>
      <c r="J213" s="1221" t="s">
        <v>569</v>
      </c>
      <c r="K213" s="1222">
        <v>10</v>
      </c>
      <c r="L213" s="1227">
        <v>12</v>
      </c>
      <c r="M213" s="1224">
        <f t="shared" si="10"/>
        <v>30000</v>
      </c>
      <c r="N213" s="1228">
        <v>10</v>
      </c>
      <c r="O213" s="1229">
        <v>6</v>
      </c>
      <c r="P213" s="1224">
        <f t="shared" si="9"/>
        <v>15000</v>
      </c>
    </row>
    <row r="214" spans="1:16" s="1150" customFormat="1" ht="24">
      <c r="A214" s="1217" t="s">
        <v>1870</v>
      </c>
      <c r="B214" s="1218" t="s">
        <v>1869</v>
      </c>
      <c r="C214" s="1218" t="s">
        <v>504</v>
      </c>
      <c r="D214" s="1217" t="s">
        <v>1922</v>
      </c>
      <c r="E214" s="1219">
        <v>930</v>
      </c>
      <c r="F214" s="1220" t="s">
        <v>1956</v>
      </c>
      <c r="G214" s="1217" t="s">
        <v>1955</v>
      </c>
      <c r="H214" s="1217"/>
      <c r="I214" s="1217"/>
      <c r="J214" s="1221" t="s">
        <v>618</v>
      </c>
      <c r="K214" s="1222">
        <v>4</v>
      </c>
      <c r="L214" s="1227">
        <v>12</v>
      </c>
      <c r="M214" s="1224">
        <f t="shared" si="10"/>
        <v>11160</v>
      </c>
      <c r="N214" s="1228">
        <v>4</v>
      </c>
      <c r="O214" s="1229">
        <v>6</v>
      </c>
      <c r="P214" s="1224">
        <f t="shared" si="9"/>
        <v>5580</v>
      </c>
    </row>
    <row r="215" spans="1:16" s="1150" customFormat="1" ht="24">
      <c r="A215" s="1217" t="s">
        <v>1870</v>
      </c>
      <c r="B215" s="1218" t="s">
        <v>1869</v>
      </c>
      <c r="C215" s="1218" t="s">
        <v>504</v>
      </c>
      <c r="D215" s="1217" t="s">
        <v>1888</v>
      </c>
      <c r="E215" s="1219">
        <v>930</v>
      </c>
      <c r="F215" s="1220" t="s">
        <v>1954</v>
      </c>
      <c r="G215" s="1217" t="s">
        <v>1953</v>
      </c>
      <c r="H215" s="1217"/>
      <c r="I215" s="1217"/>
      <c r="J215" s="1221" t="s">
        <v>1664</v>
      </c>
      <c r="K215" s="1222">
        <v>5</v>
      </c>
      <c r="L215" s="1227">
        <v>12</v>
      </c>
      <c r="M215" s="1224">
        <f t="shared" si="10"/>
        <v>11160</v>
      </c>
      <c r="N215" s="1228">
        <v>5</v>
      </c>
      <c r="O215" s="1229">
        <v>6</v>
      </c>
      <c r="P215" s="1224">
        <f t="shared" ref="P215:P244" si="11">+E215*O215</f>
        <v>5580</v>
      </c>
    </row>
    <row r="216" spans="1:16" s="1150" customFormat="1" ht="24">
      <c r="A216" s="1217" t="s">
        <v>1870</v>
      </c>
      <c r="B216" s="1218" t="s">
        <v>1869</v>
      </c>
      <c r="C216" s="1218" t="s">
        <v>504</v>
      </c>
      <c r="D216" s="1217" t="s">
        <v>1952</v>
      </c>
      <c r="E216" s="1219">
        <v>930</v>
      </c>
      <c r="F216" s="1220" t="s">
        <v>1951</v>
      </c>
      <c r="G216" s="1217" t="s">
        <v>1950</v>
      </c>
      <c r="H216" s="1217"/>
      <c r="I216" s="1217"/>
      <c r="J216" s="1221" t="s">
        <v>618</v>
      </c>
      <c r="K216" s="1222">
        <v>10</v>
      </c>
      <c r="L216" s="1227">
        <v>12</v>
      </c>
      <c r="M216" s="1224">
        <f t="shared" si="10"/>
        <v>11160</v>
      </c>
      <c r="N216" s="1228">
        <v>10</v>
      </c>
      <c r="O216" s="1229">
        <v>6</v>
      </c>
      <c r="P216" s="1224">
        <f t="shared" si="11"/>
        <v>5580</v>
      </c>
    </row>
    <row r="217" spans="1:16" s="1150" customFormat="1" ht="24">
      <c r="A217" s="1217" t="s">
        <v>1870</v>
      </c>
      <c r="B217" s="1218" t="s">
        <v>1869</v>
      </c>
      <c r="C217" s="1218" t="s">
        <v>504</v>
      </c>
      <c r="D217" s="1217" t="s">
        <v>1944</v>
      </c>
      <c r="E217" s="1219">
        <v>930</v>
      </c>
      <c r="F217" s="1220" t="s">
        <v>1949</v>
      </c>
      <c r="G217" s="1217" t="s">
        <v>1948</v>
      </c>
      <c r="H217" s="1217"/>
      <c r="I217" s="1217"/>
      <c r="J217" s="1221" t="s">
        <v>1664</v>
      </c>
      <c r="K217" s="1222">
        <v>10</v>
      </c>
      <c r="L217" s="1227">
        <v>12</v>
      </c>
      <c r="M217" s="1224">
        <f t="shared" si="10"/>
        <v>11160</v>
      </c>
      <c r="N217" s="1228">
        <v>10</v>
      </c>
      <c r="O217" s="1229">
        <v>6</v>
      </c>
      <c r="P217" s="1224">
        <f t="shared" si="11"/>
        <v>5580</v>
      </c>
    </row>
    <row r="218" spans="1:16" s="1150" customFormat="1" ht="24">
      <c r="A218" s="1217" t="s">
        <v>1870</v>
      </c>
      <c r="B218" s="1218" t="s">
        <v>1880</v>
      </c>
      <c r="C218" s="1218" t="s">
        <v>504</v>
      </c>
      <c r="D218" s="1217" t="s">
        <v>1947</v>
      </c>
      <c r="E218" s="1219">
        <v>2500</v>
      </c>
      <c r="F218" s="1220" t="s">
        <v>1946</v>
      </c>
      <c r="G218" s="1217" t="s">
        <v>1945</v>
      </c>
      <c r="H218" s="1217"/>
      <c r="I218" s="1217"/>
      <c r="J218" s="1221" t="s">
        <v>569</v>
      </c>
      <c r="K218" s="1222">
        <v>8</v>
      </c>
      <c r="L218" s="1227">
        <v>12</v>
      </c>
      <c r="M218" s="1224">
        <f t="shared" si="10"/>
        <v>30000</v>
      </c>
      <c r="N218" s="1228">
        <v>8</v>
      </c>
      <c r="O218" s="1229">
        <v>6</v>
      </c>
      <c r="P218" s="1224">
        <f t="shared" si="11"/>
        <v>15000</v>
      </c>
    </row>
    <row r="219" spans="1:16" s="1150" customFormat="1" ht="24">
      <c r="A219" s="1217" t="s">
        <v>1870</v>
      </c>
      <c r="B219" s="1218" t="s">
        <v>1869</v>
      </c>
      <c r="C219" s="1218" t="s">
        <v>504</v>
      </c>
      <c r="D219" s="1217" t="s">
        <v>1944</v>
      </c>
      <c r="E219" s="1219">
        <v>930</v>
      </c>
      <c r="F219" s="1220" t="s">
        <v>1943</v>
      </c>
      <c r="G219" s="1217" t="s">
        <v>1942</v>
      </c>
      <c r="H219" s="1217"/>
      <c r="I219" s="1217"/>
      <c r="J219" s="1221" t="s">
        <v>1664</v>
      </c>
      <c r="K219" s="1222">
        <v>10</v>
      </c>
      <c r="L219" s="1227">
        <v>12</v>
      </c>
      <c r="M219" s="1224">
        <f t="shared" si="10"/>
        <v>11160</v>
      </c>
      <c r="N219" s="1228">
        <v>10</v>
      </c>
      <c r="O219" s="1229">
        <v>6</v>
      </c>
      <c r="P219" s="1224">
        <f t="shared" si="11"/>
        <v>5580</v>
      </c>
    </row>
    <row r="220" spans="1:16" s="1150" customFormat="1" ht="24">
      <c r="A220" s="1217" t="s">
        <v>1870</v>
      </c>
      <c r="B220" s="1218" t="s">
        <v>1869</v>
      </c>
      <c r="C220" s="1218" t="s">
        <v>504</v>
      </c>
      <c r="D220" s="1217" t="s">
        <v>1941</v>
      </c>
      <c r="E220" s="1219">
        <v>930</v>
      </c>
      <c r="F220" s="1220" t="s">
        <v>1940</v>
      </c>
      <c r="G220" s="1217" t="s">
        <v>1939</v>
      </c>
      <c r="H220" s="1217"/>
      <c r="I220" s="1217"/>
      <c r="J220" s="1221" t="s">
        <v>618</v>
      </c>
      <c r="K220" s="1222">
        <v>10</v>
      </c>
      <c r="L220" s="1227">
        <v>12</v>
      </c>
      <c r="M220" s="1224">
        <f t="shared" si="10"/>
        <v>11160</v>
      </c>
      <c r="N220" s="1228">
        <v>10</v>
      </c>
      <c r="O220" s="1229">
        <v>6</v>
      </c>
      <c r="P220" s="1224">
        <f t="shared" si="11"/>
        <v>5580</v>
      </c>
    </row>
    <row r="221" spans="1:16" s="1150" customFormat="1" ht="24">
      <c r="A221" s="1217" t="s">
        <v>1874</v>
      </c>
      <c r="B221" s="1218" t="s">
        <v>1880</v>
      </c>
      <c r="C221" s="1218" t="s">
        <v>504</v>
      </c>
      <c r="D221" s="1217" t="s">
        <v>1930</v>
      </c>
      <c r="E221" s="1219">
        <v>1000</v>
      </c>
      <c r="F221" s="1220" t="s">
        <v>1938</v>
      </c>
      <c r="G221" s="1217" t="s">
        <v>1937</v>
      </c>
      <c r="H221" s="1217"/>
      <c r="I221" s="1217"/>
      <c r="J221" s="1221" t="s">
        <v>4</v>
      </c>
      <c r="K221" s="1222">
        <v>4</v>
      </c>
      <c r="L221" s="1223">
        <v>12</v>
      </c>
      <c r="M221" s="1224">
        <f t="shared" si="10"/>
        <v>12000</v>
      </c>
      <c r="N221" s="1228">
        <v>4</v>
      </c>
      <c r="O221" s="1229">
        <v>6</v>
      </c>
      <c r="P221" s="1224">
        <f t="shared" si="11"/>
        <v>6000</v>
      </c>
    </row>
    <row r="222" spans="1:16" s="1150" customFormat="1" ht="24">
      <c r="A222" s="1217" t="s">
        <v>1870</v>
      </c>
      <c r="B222" s="1218" t="s">
        <v>1869</v>
      </c>
      <c r="C222" s="1218" t="s">
        <v>504</v>
      </c>
      <c r="D222" s="1217" t="s">
        <v>1936</v>
      </c>
      <c r="E222" s="1219">
        <v>930</v>
      </c>
      <c r="F222" s="1220" t="s">
        <v>1935</v>
      </c>
      <c r="G222" s="1217" t="s">
        <v>1934</v>
      </c>
      <c r="H222" s="1217"/>
      <c r="I222" s="1217"/>
      <c r="J222" s="1221" t="s">
        <v>1889</v>
      </c>
      <c r="K222" s="1222">
        <v>9</v>
      </c>
      <c r="L222" s="1227">
        <v>12</v>
      </c>
      <c r="M222" s="1224">
        <f t="shared" si="10"/>
        <v>11160</v>
      </c>
      <c r="N222" s="1228">
        <v>9</v>
      </c>
      <c r="O222" s="1229">
        <v>6</v>
      </c>
      <c r="P222" s="1224">
        <f t="shared" si="11"/>
        <v>5580</v>
      </c>
    </row>
    <row r="223" spans="1:16" s="1150" customFormat="1" ht="24">
      <c r="A223" s="1217" t="s">
        <v>1870</v>
      </c>
      <c r="B223" s="1218" t="s">
        <v>1869</v>
      </c>
      <c r="C223" s="1218" t="s">
        <v>504</v>
      </c>
      <c r="D223" s="1217" t="s">
        <v>1933</v>
      </c>
      <c r="E223" s="1219">
        <v>930</v>
      </c>
      <c r="F223" s="1220" t="s">
        <v>1932</v>
      </c>
      <c r="G223" s="1217" t="s">
        <v>1931</v>
      </c>
      <c r="H223" s="1217"/>
      <c r="I223" s="1217"/>
      <c r="J223" s="1221" t="s">
        <v>618</v>
      </c>
      <c r="K223" s="1222">
        <v>10</v>
      </c>
      <c r="L223" s="1227">
        <v>12</v>
      </c>
      <c r="M223" s="1224">
        <f t="shared" si="10"/>
        <v>11160</v>
      </c>
      <c r="N223" s="1228">
        <v>10</v>
      </c>
      <c r="O223" s="1229">
        <v>6</v>
      </c>
      <c r="P223" s="1224">
        <f t="shared" si="11"/>
        <v>5580</v>
      </c>
    </row>
    <row r="224" spans="1:16" s="1150" customFormat="1" ht="24">
      <c r="A224" s="1217" t="s">
        <v>1870</v>
      </c>
      <c r="B224" s="1218" t="s">
        <v>1880</v>
      </c>
      <c r="C224" s="1218" t="s">
        <v>504</v>
      </c>
      <c r="D224" s="1217" t="s">
        <v>1930</v>
      </c>
      <c r="E224" s="1219">
        <v>930</v>
      </c>
      <c r="F224" s="1220" t="s">
        <v>1929</v>
      </c>
      <c r="G224" s="1217" t="s">
        <v>1928</v>
      </c>
      <c r="H224" s="1217"/>
      <c r="I224" s="1217"/>
      <c r="J224" s="1221" t="s">
        <v>618</v>
      </c>
      <c r="K224" s="1222">
        <v>7</v>
      </c>
      <c r="L224" s="1227">
        <v>12</v>
      </c>
      <c r="M224" s="1224">
        <f t="shared" si="10"/>
        <v>11160</v>
      </c>
      <c r="N224" s="1228">
        <v>7</v>
      </c>
      <c r="O224" s="1229">
        <v>6</v>
      </c>
      <c r="P224" s="1224">
        <f t="shared" si="11"/>
        <v>5580</v>
      </c>
    </row>
    <row r="225" spans="1:16" s="1150" customFormat="1" ht="24">
      <c r="A225" s="1217" t="s">
        <v>1870</v>
      </c>
      <c r="B225" s="1218" t="s">
        <v>1880</v>
      </c>
      <c r="C225" s="1218" t="s">
        <v>504</v>
      </c>
      <c r="D225" s="1217" t="s">
        <v>1925</v>
      </c>
      <c r="E225" s="1219">
        <v>930</v>
      </c>
      <c r="F225" s="1220" t="s">
        <v>1927</v>
      </c>
      <c r="G225" s="1217" t="s">
        <v>1926</v>
      </c>
      <c r="H225" s="1217"/>
      <c r="I225" s="1217"/>
      <c r="J225" s="1221" t="s">
        <v>1865</v>
      </c>
      <c r="K225" s="1222">
        <v>10</v>
      </c>
      <c r="L225" s="1227">
        <v>12</v>
      </c>
      <c r="M225" s="1224">
        <f t="shared" si="10"/>
        <v>11160</v>
      </c>
      <c r="N225" s="1228">
        <v>10</v>
      </c>
      <c r="O225" s="1229">
        <v>6</v>
      </c>
      <c r="P225" s="1224">
        <f t="shared" si="11"/>
        <v>5580</v>
      </c>
    </row>
    <row r="226" spans="1:16" s="1150" customFormat="1" ht="24">
      <c r="A226" s="1217" t="s">
        <v>1870</v>
      </c>
      <c r="B226" s="1218" t="s">
        <v>1880</v>
      </c>
      <c r="C226" s="1218" t="s">
        <v>504</v>
      </c>
      <c r="D226" s="1217" t="s">
        <v>1925</v>
      </c>
      <c r="E226" s="1219">
        <v>930</v>
      </c>
      <c r="F226" s="1220" t="s">
        <v>1924</v>
      </c>
      <c r="G226" s="1217" t="s">
        <v>1923</v>
      </c>
      <c r="H226" s="1217"/>
      <c r="I226" s="1217"/>
      <c r="J226" s="1221" t="s">
        <v>1865</v>
      </c>
      <c r="K226" s="1222">
        <v>10</v>
      </c>
      <c r="L226" s="1227">
        <v>12</v>
      </c>
      <c r="M226" s="1224">
        <f t="shared" si="10"/>
        <v>11160</v>
      </c>
      <c r="N226" s="1228">
        <v>10</v>
      </c>
      <c r="O226" s="1229">
        <v>6</v>
      </c>
      <c r="P226" s="1224">
        <f t="shared" si="11"/>
        <v>5580</v>
      </c>
    </row>
    <row r="227" spans="1:16" s="1150" customFormat="1" ht="24">
      <c r="A227" s="1217" t="s">
        <v>1870</v>
      </c>
      <c r="B227" s="1218" t="s">
        <v>1869</v>
      </c>
      <c r="C227" s="1218" t="s">
        <v>504</v>
      </c>
      <c r="D227" s="1217" t="s">
        <v>1922</v>
      </c>
      <c r="E227" s="1219">
        <v>930</v>
      </c>
      <c r="F227" s="1220" t="s">
        <v>1921</v>
      </c>
      <c r="G227" s="1217" t="s">
        <v>1920</v>
      </c>
      <c r="H227" s="1217"/>
      <c r="I227" s="1217"/>
      <c r="J227" s="1221" t="s">
        <v>618</v>
      </c>
      <c r="K227" s="1222">
        <v>10</v>
      </c>
      <c r="L227" s="1227">
        <v>12</v>
      </c>
      <c r="M227" s="1224">
        <f t="shared" si="10"/>
        <v>11160</v>
      </c>
      <c r="N227" s="1228">
        <v>10</v>
      </c>
      <c r="O227" s="1229">
        <v>6</v>
      </c>
      <c r="P227" s="1224">
        <f t="shared" si="11"/>
        <v>5580</v>
      </c>
    </row>
    <row r="228" spans="1:16" s="1150" customFormat="1" ht="24">
      <c r="A228" s="1217" t="s">
        <v>1874</v>
      </c>
      <c r="B228" s="1218" t="s">
        <v>1880</v>
      </c>
      <c r="C228" s="1218" t="s">
        <v>504</v>
      </c>
      <c r="D228" s="1217" t="s">
        <v>1919</v>
      </c>
      <c r="E228" s="1219">
        <v>2375</v>
      </c>
      <c r="F228" s="1220" t="s">
        <v>1918</v>
      </c>
      <c r="G228" s="1217" t="s">
        <v>1917</v>
      </c>
      <c r="H228" s="1217"/>
      <c r="I228" s="1217"/>
      <c r="J228" s="1221" t="s">
        <v>4</v>
      </c>
      <c r="K228" s="1222">
        <v>5</v>
      </c>
      <c r="L228" s="1223">
        <v>12</v>
      </c>
      <c r="M228" s="1224">
        <f t="shared" si="10"/>
        <v>28500</v>
      </c>
      <c r="N228" s="1228">
        <v>5</v>
      </c>
      <c r="O228" s="1229">
        <v>6</v>
      </c>
      <c r="P228" s="1224">
        <f t="shared" si="11"/>
        <v>14250</v>
      </c>
    </row>
    <row r="229" spans="1:16" s="1150" customFormat="1" ht="24">
      <c r="A229" s="1217" t="s">
        <v>1870</v>
      </c>
      <c r="B229" s="1218" t="s">
        <v>1869</v>
      </c>
      <c r="C229" s="1218" t="s">
        <v>504</v>
      </c>
      <c r="D229" s="1217" t="s">
        <v>1916</v>
      </c>
      <c r="E229" s="1219">
        <v>930</v>
      </c>
      <c r="F229" s="1220" t="s">
        <v>1915</v>
      </c>
      <c r="G229" s="1217" t="s">
        <v>1914</v>
      </c>
      <c r="H229" s="1217"/>
      <c r="I229" s="1217"/>
      <c r="J229" s="1221" t="s">
        <v>1889</v>
      </c>
      <c r="K229" s="1222">
        <v>10</v>
      </c>
      <c r="L229" s="1227">
        <v>12</v>
      </c>
      <c r="M229" s="1224">
        <f t="shared" si="10"/>
        <v>11160</v>
      </c>
      <c r="N229" s="1228">
        <v>10</v>
      </c>
      <c r="O229" s="1229">
        <v>6</v>
      </c>
      <c r="P229" s="1224">
        <f t="shared" si="11"/>
        <v>5580</v>
      </c>
    </row>
    <row r="230" spans="1:16" s="1150" customFormat="1" ht="24">
      <c r="A230" s="1217" t="s">
        <v>1870</v>
      </c>
      <c r="B230" s="1218" t="s">
        <v>1869</v>
      </c>
      <c r="C230" s="1218" t="s">
        <v>504</v>
      </c>
      <c r="D230" s="1217" t="s">
        <v>1913</v>
      </c>
      <c r="E230" s="1219">
        <v>930</v>
      </c>
      <c r="F230" s="1220" t="s">
        <v>1912</v>
      </c>
      <c r="G230" s="1217" t="s">
        <v>1911</v>
      </c>
      <c r="H230" s="1217"/>
      <c r="I230" s="1217"/>
      <c r="J230" s="1221" t="s">
        <v>618</v>
      </c>
      <c r="K230" s="1222">
        <v>10</v>
      </c>
      <c r="L230" s="1227">
        <v>12</v>
      </c>
      <c r="M230" s="1224">
        <f t="shared" si="10"/>
        <v>11160</v>
      </c>
      <c r="N230" s="1228">
        <v>10</v>
      </c>
      <c r="O230" s="1229">
        <v>6</v>
      </c>
      <c r="P230" s="1224">
        <f t="shared" si="11"/>
        <v>5580</v>
      </c>
    </row>
    <row r="231" spans="1:16" s="1150" customFormat="1" ht="24">
      <c r="A231" s="1217" t="s">
        <v>1870</v>
      </c>
      <c r="B231" s="1218" t="s">
        <v>1869</v>
      </c>
      <c r="C231" s="1218" t="s">
        <v>504</v>
      </c>
      <c r="D231" s="1217" t="s">
        <v>1910</v>
      </c>
      <c r="E231" s="1219">
        <v>930</v>
      </c>
      <c r="F231" s="1220" t="s">
        <v>1909</v>
      </c>
      <c r="G231" s="1217" t="s">
        <v>1908</v>
      </c>
      <c r="H231" s="1217"/>
      <c r="I231" s="1217"/>
      <c r="J231" s="1221" t="s">
        <v>618</v>
      </c>
      <c r="K231" s="1222">
        <v>5</v>
      </c>
      <c r="L231" s="1227">
        <v>12</v>
      </c>
      <c r="M231" s="1224">
        <f t="shared" si="10"/>
        <v>11160</v>
      </c>
      <c r="N231" s="1228">
        <v>5</v>
      </c>
      <c r="O231" s="1229">
        <v>6</v>
      </c>
      <c r="P231" s="1224">
        <f t="shared" si="11"/>
        <v>5580</v>
      </c>
    </row>
    <row r="232" spans="1:16" s="1150" customFormat="1" ht="24">
      <c r="A232" s="1217" t="s">
        <v>1870</v>
      </c>
      <c r="B232" s="1218" t="s">
        <v>1869</v>
      </c>
      <c r="C232" s="1218" t="s">
        <v>504</v>
      </c>
      <c r="D232" s="1217" t="s">
        <v>1907</v>
      </c>
      <c r="E232" s="1219">
        <v>930</v>
      </c>
      <c r="F232" s="1220" t="s">
        <v>1906</v>
      </c>
      <c r="G232" s="1217" t="s">
        <v>1905</v>
      </c>
      <c r="H232" s="1217"/>
      <c r="I232" s="1217"/>
      <c r="J232" s="1221" t="s">
        <v>1664</v>
      </c>
      <c r="K232" s="1222">
        <v>5</v>
      </c>
      <c r="L232" s="1227">
        <v>12</v>
      </c>
      <c r="M232" s="1224">
        <f t="shared" si="10"/>
        <v>11160</v>
      </c>
      <c r="N232" s="1228">
        <v>5</v>
      </c>
      <c r="O232" s="1229">
        <v>6</v>
      </c>
      <c r="P232" s="1224">
        <f t="shared" si="11"/>
        <v>5580</v>
      </c>
    </row>
    <row r="233" spans="1:16" s="1150" customFormat="1" ht="24">
      <c r="A233" s="1217" t="s">
        <v>1874</v>
      </c>
      <c r="B233" s="1218" t="s">
        <v>1880</v>
      </c>
      <c r="C233" s="1218" t="s">
        <v>504</v>
      </c>
      <c r="D233" s="1217" t="s">
        <v>1904</v>
      </c>
      <c r="E233" s="1219">
        <v>2500</v>
      </c>
      <c r="F233" s="1220" t="s">
        <v>1903</v>
      </c>
      <c r="G233" s="1217" t="s">
        <v>1902</v>
      </c>
      <c r="H233" s="1217"/>
      <c r="I233" s="1217"/>
      <c r="J233" s="1221" t="s">
        <v>4</v>
      </c>
      <c r="K233" s="1222">
        <v>10</v>
      </c>
      <c r="L233" s="1223">
        <v>12</v>
      </c>
      <c r="M233" s="1224">
        <f t="shared" si="10"/>
        <v>30000</v>
      </c>
      <c r="N233" s="1228">
        <v>10</v>
      </c>
      <c r="O233" s="1229">
        <v>6</v>
      </c>
      <c r="P233" s="1224">
        <f t="shared" si="11"/>
        <v>15000</v>
      </c>
    </row>
    <row r="234" spans="1:16" s="1150" customFormat="1" ht="24">
      <c r="A234" s="1217" t="s">
        <v>1870</v>
      </c>
      <c r="B234" s="1218" t="s">
        <v>1869</v>
      </c>
      <c r="C234" s="1218" t="s">
        <v>504</v>
      </c>
      <c r="D234" s="1217" t="s">
        <v>1901</v>
      </c>
      <c r="E234" s="1219">
        <v>930</v>
      </c>
      <c r="F234" s="1220" t="s">
        <v>1900</v>
      </c>
      <c r="G234" s="1217" t="s">
        <v>1899</v>
      </c>
      <c r="H234" s="1217"/>
      <c r="I234" s="1217"/>
      <c r="J234" s="1221" t="s">
        <v>1664</v>
      </c>
      <c r="K234" s="1222">
        <v>11</v>
      </c>
      <c r="L234" s="1227">
        <v>12</v>
      </c>
      <c r="M234" s="1224">
        <f t="shared" si="10"/>
        <v>11160</v>
      </c>
      <c r="N234" s="1228">
        <v>11</v>
      </c>
      <c r="O234" s="1229">
        <v>6</v>
      </c>
      <c r="P234" s="1224">
        <f t="shared" si="11"/>
        <v>5580</v>
      </c>
    </row>
    <row r="235" spans="1:16" s="1150" customFormat="1" ht="24">
      <c r="A235" s="1217" t="s">
        <v>1870</v>
      </c>
      <c r="B235" s="1218" t="s">
        <v>1869</v>
      </c>
      <c r="C235" s="1218" t="s">
        <v>504</v>
      </c>
      <c r="D235" s="1217" t="s">
        <v>1898</v>
      </c>
      <c r="E235" s="1219">
        <v>930</v>
      </c>
      <c r="F235" s="1220" t="s">
        <v>1897</v>
      </c>
      <c r="G235" s="1217" t="s">
        <v>1896</v>
      </c>
      <c r="H235" s="1217"/>
      <c r="I235" s="1217"/>
      <c r="J235" s="1221" t="s">
        <v>1664</v>
      </c>
      <c r="K235" s="1222">
        <v>6</v>
      </c>
      <c r="L235" s="1227">
        <v>12</v>
      </c>
      <c r="M235" s="1224">
        <f t="shared" si="10"/>
        <v>11160</v>
      </c>
      <c r="N235" s="1228">
        <v>6</v>
      </c>
      <c r="O235" s="1229">
        <v>6</v>
      </c>
      <c r="P235" s="1224">
        <f t="shared" si="11"/>
        <v>5580</v>
      </c>
    </row>
    <row r="236" spans="1:16" s="1150" customFormat="1" ht="24">
      <c r="A236" s="1217" t="s">
        <v>1870</v>
      </c>
      <c r="B236" s="1218" t="s">
        <v>1869</v>
      </c>
      <c r="C236" s="1218" t="s">
        <v>504</v>
      </c>
      <c r="D236" s="1217" t="s">
        <v>1895</v>
      </c>
      <c r="E236" s="1219">
        <v>930</v>
      </c>
      <c r="F236" s="1220" t="s">
        <v>1894</v>
      </c>
      <c r="G236" s="1217" t="s">
        <v>1893</v>
      </c>
      <c r="H236" s="1217"/>
      <c r="I236" s="1217"/>
      <c r="J236" s="1221" t="s">
        <v>1664</v>
      </c>
      <c r="K236" s="1222">
        <v>10</v>
      </c>
      <c r="L236" s="1227">
        <v>12</v>
      </c>
      <c r="M236" s="1224">
        <f t="shared" si="10"/>
        <v>11160</v>
      </c>
      <c r="N236" s="1228">
        <v>10</v>
      </c>
      <c r="O236" s="1229">
        <v>6</v>
      </c>
      <c r="P236" s="1224">
        <f t="shared" si="11"/>
        <v>5580</v>
      </c>
    </row>
    <row r="237" spans="1:16" s="1150" customFormat="1" ht="24">
      <c r="A237" s="1217" t="s">
        <v>1870</v>
      </c>
      <c r="B237" s="1218" t="s">
        <v>1869</v>
      </c>
      <c r="C237" s="1218" t="s">
        <v>504</v>
      </c>
      <c r="D237" s="1217" t="s">
        <v>1892</v>
      </c>
      <c r="E237" s="1219">
        <v>930</v>
      </c>
      <c r="F237" s="1220" t="s">
        <v>1891</v>
      </c>
      <c r="G237" s="1217" t="s">
        <v>1890</v>
      </c>
      <c r="H237" s="1217"/>
      <c r="I237" s="1217"/>
      <c r="J237" s="1221" t="s">
        <v>1889</v>
      </c>
      <c r="K237" s="1222">
        <v>10</v>
      </c>
      <c r="L237" s="1227">
        <v>12</v>
      </c>
      <c r="M237" s="1224">
        <f t="shared" si="10"/>
        <v>11160</v>
      </c>
      <c r="N237" s="1228">
        <v>10</v>
      </c>
      <c r="O237" s="1229">
        <v>6</v>
      </c>
      <c r="P237" s="1224">
        <f t="shared" si="11"/>
        <v>5580</v>
      </c>
    </row>
    <row r="238" spans="1:16" s="1150" customFormat="1" ht="24">
      <c r="A238" s="1217" t="s">
        <v>1870</v>
      </c>
      <c r="B238" s="1218" t="s">
        <v>1869</v>
      </c>
      <c r="C238" s="1218" t="s">
        <v>504</v>
      </c>
      <c r="D238" s="1217" t="s">
        <v>1888</v>
      </c>
      <c r="E238" s="1219">
        <v>930</v>
      </c>
      <c r="F238" s="1220" t="s">
        <v>1887</v>
      </c>
      <c r="G238" s="1217" t="s">
        <v>1886</v>
      </c>
      <c r="H238" s="1217"/>
      <c r="I238" s="1217"/>
      <c r="J238" s="1221" t="s">
        <v>1664</v>
      </c>
      <c r="K238" s="1222">
        <v>5</v>
      </c>
      <c r="L238" s="1227">
        <v>12</v>
      </c>
      <c r="M238" s="1224">
        <f t="shared" si="10"/>
        <v>11160</v>
      </c>
      <c r="N238" s="1228">
        <v>5</v>
      </c>
      <c r="O238" s="1229">
        <v>6</v>
      </c>
      <c r="P238" s="1224">
        <f t="shared" si="11"/>
        <v>5580</v>
      </c>
    </row>
    <row r="239" spans="1:16" s="1150" customFormat="1" ht="36">
      <c r="A239" s="1217" t="s">
        <v>1870</v>
      </c>
      <c r="B239" s="1218" t="s">
        <v>1869</v>
      </c>
      <c r="C239" s="1218" t="s">
        <v>504</v>
      </c>
      <c r="D239" s="1217" t="s">
        <v>1885</v>
      </c>
      <c r="E239" s="1219">
        <v>930</v>
      </c>
      <c r="F239" s="1220" t="s">
        <v>1884</v>
      </c>
      <c r="G239" s="1217" t="s">
        <v>1883</v>
      </c>
      <c r="H239" s="1217"/>
      <c r="I239" s="1217"/>
      <c r="J239" s="1221" t="s">
        <v>618</v>
      </c>
      <c r="K239" s="1222">
        <v>5</v>
      </c>
      <c r="L239" s="1227">
        <v>12</v>
      </c>
      <c r="M239" s="1224">
        <f t="shared" si="10"/>
        <v>11160</v>
      </c>
      <c r="N239" s="1228">
        <v>5</v>
      </c>
      <c r="O239" s="1229">
        <v>6</v>
      </c>
      <c r="P239" s="1224">
        <f t="shared" si="11"/>
        <v>5580</v>
      </c>
    </row>
    <row r="240" spans="1:16" s="1150" customFormat="1" ht="24">
      <c r="A240" s="1217" t="s">
        <v>1870</v>
      </c>
      <c r="B240" s="1218" t="s">
        <v>1869</v>
      </c>
      <c r="C240" s="1218" t="s">
        <v>504</v>
      </c>
      <c r="D240" s="1217" t="s">
        <v>1683</v>
      </c>
      <c r="E240" s="1219">
        <v>930</v>
      </c>
      <c r="F240" s="1220" t="s">
        <v>1882</v>
      </c>
      <c r="G240" s="1217" t="s">
        <v>1881</v>
      </c>
      <c r="H240" s="1217"/>
      <c r="I240" s="1217"/>
      <c r="J240" s="1221" t="s">
        <v>1865</v>
      </c>
      <c r="K240" s="1222">
        <v>10</v>
      </c>
      <c r="L240" s="1227">
        <v>12</v>
      </c>
      <c r="M240" s="1224">
        <f t="shared" si="10"/>
        <v>11160</v>
      </c>
      <c r="N240" s="1228">
        <v>10</v>
      </c>
      <c r="O240" s="1229">
        <v>6</v>
      </c>
      <c r="P240" s="1224">
        <f t="shared" si="11"/>
        <v>5580</v>
      </c>
    </row>
    <row r="241" spans="1:16" s="1150" customFormat="1" ht="24">
      <c r="A241" s="1217" t="s">
        <v>1870</v>
      </c>
      <c r="B241" s="1218" t="s">
        <v>1880</v>
      </c>
      <c r="C241" s="1218" t="s">
        <v>504</v>
      </c>
      <c r="D241" s="1217" t="s">
        <v>604</v>
      </c>
      <c r="E241" s="1219">
        <v>930</v>
      </c>
      <c r="F241" s="1220" t="s">
        <v>1879</v>
      </c>
      <c r="G241" s="1217" t="s">
        <v>1878</v>
      </c>
      <c r="H241" s="1217"/>
      <c r="I241" s="1217"/>
      <c r="J241" s="1221" t="s">
        <v>569</v>
      </c>
      <c r="K241" s="1222">
        <v>10</v>
      </c>
      <c r="L241" s="1227">
        <v>12</v>
      </c>
      <c r="M241" s="1224">
        <f t="shared" si="10"/>
        <v>11160</v>
      </c>
      <c r="N241" s="1228">
        <v>10</v>
      </c>
      <c r="O241" s="1229">
        <v>6</v>
      </c>
      <c r="P241" s="1224">
        <f t="shared" si="11"/>
        <v>5580</v>
      </c>
    </row>
    <row r="242" spans="1:16" s="1150" customFormat="1" ht="24">
      <c r="A242" s="1217" t="s">
        <v>1870</v>
      </c>
      <c r="B242" s="1218" t="s">
        <v>1869</v>
      </c>
      <c r="C242" s="1218" t="s">
        <v>504</v>
      </c>
      <c r="D242" s="1217" t="s">
        <v>1877</v>
      </c>
      <c r="E242" s="1219">
        <v>930</v>
      </c>
      <c r="F242" s="1220" t="s">
        <v>1876</v>
      </c>
      <c r="G242" s="1217" t="s">
        <v>1875</v>
      </c>
      <c r="H242" s="1217"/>
      <c r="I242" s="1217"/>
      <c r="J242" s="1221" t="s">
        <v>1865</v>
      </c>
      <c r="K242" s="1222">
        <v>10</v>
      </c>
      <c r="L242" s="1227">
        <v>12</v>
      </c>
      <c r="M242" s="1224">
        <f t="shared" si="10"/>
        <v>11160</v>
      </c>
      <c r="N242" s="1228">
        <v>10</v>
      </c>
      <c r="O242" s="1229">
        <v>6</v>
      </c>
      <c r="P242" s="1224">
        <f t="shared" si="11"/>
        <v>5580</v>
      </c>
    </row>
    <row r="243" spans="1:16" s="1150" customFormat="1" ht="24">
      <c r="A243" s="1217" t="s">
        <v>1874</v>
      </c>
      <c r="B243" s="1218" t="s">
        <v>1869</v>
      </c>
      <c r="C243" s="1218" t="s">
        <v>504</v>
      </c>
      <c r="D243" s="1217" t="s">
        <v>1873</v>
      </c>
      <c r="E243" s="1219">
        <v>1200</v>
      </c>
      <c r="F243" s="1220" t="s">
        <v>1872</v>
      </c>
      <c r="G243" s="1217" t="s">
        <v>1871</v>
      </c>
      <c r="H243" s="1217"/>
      <c r="I243" s="1217"/>
      <c r="J243" s="1221" t="s">
        <v>569</v>
      </c>
      <c r="K243" s="1222">
        <v>4</v>
      </c>
      <c r="L243" s="1223">
        <v>12</v>
      </c>
      <c r="M243" s="1224">
        <f t="shared" si="10"/>
        <v>14400</v>
      </c>
      <c r="N243" s="1228">
        <v>4</v>
      </c>
      <c r="O243" s="1229">
        <v>6</v>
      </c>
      <c r="P243" s="1224">
        <f t="shared" si="11"/>
        <v>7200</v>
      </c>
    </row>
    <row r="244" spans="1:16" s="1150" customFormat="1" ht="24.75" thickBot="1">
      <c r="A244" s="1217" t="s">
        <v>1870</v>
      </c>
      <c r="B244" s="1218" t="s">
        <v>1869</v>
      </c>
      <c r="C244" s="1218" t="s">
        <v>504</v>
      </c>
      <c r="D244" s="1217" t="s">
        <v>1868</v>
      </c>
      <c r="E244" s="1219">
        <v>930</v>
      </c>
      <c r="F244" s="1220" t="s">
        <v>1867</v>
      </c>
      <c r="G244" s="1217" t="s">
        <v>1866</v>
      </c>
      <c r="H244" s="1217"/>
      <c r="I244" s="1217"/>
      <c r="J244" s="1221" t="s">
        <v>1865</v>
      </c>
      <c r="K244" s="1222">
        <v>5</v>
      </c>
      <c r="L244" s="1227">
        <v>12</v>
      </c>
      <c r="M244" s="1224">
        <f t="shared" si="10"/>
        <v>11160</v>
      </c>
      <c r="N244" s="1228">
        <v>5</v>
      </c>
      <c r="O244" s="1229">
        <v>6</v>
      </c>
      <c r="P244" s="1224">
        <f t="shared" si="11"/>
        <v>5580</v>
      </c>
    </row>
    <row r="245" spans="1:16" ht="12.75" thickBot="1">
      <c r="A245" s="1209"/>
      <c r="B245" s="1230"/>
      <c r="C245" s="1230"/>
      <c r="D245" s="1207"/>
      <c r="E245" s="1231"/>
      <c r="F245" s="1209"/>
      <c r="G245" s="1207"/>
      <c r="H245" s="1207"/>
      <c r="I245" s="1210"/>
      <c r="J245" s="1211"/>
      <c r="K245" s="1212"/>
      <c r="L245" s="1213"/>
      <c r="M245" s="1232">
        <f>SUM(M7:M244)</f>
        <v>3068112</v>
      </c>
      <c r="N245" s="1232"/>
      <c r="O245" s="1232"/>
      <c r="P245" s="1232">
        <f>SUM(P7:P244)</f>
        <v>1517676</v>
      </c>
    </row>
    <row r="246" spans="1:16" ht="24">
      <c r="A246" s="445" t="s">
        <v>449</v>
      </c>
      <c r="B246" s="277"/>
      <c r="C246" s="277"/>
      <c r="D246" s="445"/>
      <c r="E246" s="445"/>
      <c r="F246" s="445"/>
      <c r="G246" s="445"/>
      <c r="H246" s="445"/>
      <c r="I246" s="445"/>
      <c r="J246" s="445"/>
      <c r="K246" s="1136"/>
      <c r="L246" s="1136"/>
      <c r="M246" s="445"/>
      <c r="N246" s="445"/>
      <c r="O246" s="445"/>
      <c r="P246" s="445"/>
    </row>
    <row r="247" spans="1:16">
      <c r="A247" s="445"/>
      <c r="B247" s="277"/>
      <c r="C247" s="277"/>
      <c r="D247" s="445"/>
      <c r="E247" s="445"/>
      <c r="F247" s="445"/>
      <c r="G247" s="445"/>
      <c r="H247" s="445"/>
      <c r="I247" s="445"/>
      <c r="J247" s="445"/>
      <c r="K247" s="1136"/>
      <c r="L247" s="1136"/>
      <c r="M247" s="445"/>
      <c r="N247" s="445"/>
      <c r="O247" s="445"/>
      <c r="P247" s="445"/>
    </row>
    <row r="248" spans="1:16">
      <c r="A248" s="445"/>
      <c r="B248" s="277"/>
      <c r="C248" s="277"/>
      <c r="D248" s="445"/>
      <c r="E248" s="445"/>
      <c r="F248" s="445"/>
      <c r="G248" s="445"/>
      <c r="H248" s="445"/>
      <c r="I248" s="445"/>
      <c r="J248" s="445"/>
      <c r="K248" s="1136"/>
      <c r="L248" s="1136"/>
      <c r="M248" s="445"/>
      <c r="N248" s="445"/>
      <c r="O248" s="445"/>
      <c r="P248" s="445"/>
    </row>
    <row r="249" spans="1:16">
      <c r="A249" s="445"/>
      <c r="B249" s="277"/>
      <c r="C249" s="277"/>
      <c r="D249" s="445"/>
      <c r="E249" s="445"/>
      <c r="F249" s="445"/>
      <c r="G249" s="445"/>
      <c r="H249" s="445"/>
      <c r="I249" s="445"/>
      <c r="J249" s="445"/>
      <c r="K249" s="1136"/>
      <c r="L249" s="1136"/>
      <c r="M249" s="445"/>
      <c r="N249" s="445"/>
      <c r="O249" s="445"/>
      <c r="P249" s="445"/>
    </row>
    <row r="250" spans="1:16">
      <c r="A250" s="445"/>
      <c r="B250" s="277"/>
      <c r="C250" s="277"/>
      <c r="D250" s="445"/>
      <c r="E250" s="445"/>
      <c r="F250" s="445"/>
      <c r="G250" s="445"/>
      <c r="H250" s="445"/>
      <c r="I250" s="445"/>
      <c r="J250" s="445"/>
      <c r="K250" s="1136"/>
      <c r="L250" s="1136"/>
      <c r="M250" s="445"/>
      <c r="N250" s="445"/>
      <c r="O250" s="445"/>
      <c r="P250" s="445"/>
    </row>
    <row r="251" spans="1:16">
      <c r="A251" s="445"/>
      <c r="B251" s="277"/>
      <c r="C251" s="277"/>
      <c r="D251" s="445"/>
      <c r="E251" s="445"/>
      <c r="F251" s="445"/>
      <c r="G251" s="445"/>
      <c r="H251" s="445"/>
      <c r="I251" s="445"/>
      <c r="J251" s="445"/>
      <c r="K251" s="1136"/>
      <c r="L251" s="1136"/>
      <c r="M251" s="445"/>
      <c r="N251" s="445"/>
      <c r="O251" s="445"/>
      <c r="P251" s="445"/>
    </row>
    <row r="252" spans="1:16">
      <c r="A252" s="445"/>
      <c r="B252" s="277"/>
      <c r="C252" s="277"/>
      <c r="D252" s="445"/>
      <c r="E252" s="445"/>
      <c r="F252" s="445"/>
      <c r="G252" s="445"/>
      <c r="H252" s="445"/>
      <c r="I252" s="445"/>
      <c r="J252" s="445"/>
      <c r="K252" s="1136"/>
      <c r="L252" s="1136"/>
      <c r="M252" s="445"/>
      <c r="N252" s="445"/>
      <c r="O252" s="445"/>
      <c r="P252" s="445"/>
    </row>
    <row r="253" spans="1:16">
      <c r="A253" s="445"/>
      <c r="B253" s="277"/>
      <c r="C253" s="277"/>
      <c r="D253" s="445"/>
      <c r="E253" s="445"/>
      <c r="F253" s="445"/>
      <c r="G253" s="445"/>
      <c r="H253" s="445"/>
      <c r="I253" s="445"/>
      <c r="J253" s="445"/>
      <c r="K253" s="1136"/>
      <c r="L253" s="1136"/>
      <c r="M253" s="445"/>
      <c r="N253" s="445"/>
      <c r="O253" s="445"/>
      <c r="P253" s="445"/>
    </row>
    <row r="254" spans="1:16">
      <c r="A254" s="445"/>
      <c r="B254" s="277"/>
      <c r="C254" s="277"/>
      <c r="D254" s="445"/>
      <c r="E254" s="445"/>
      <c r="F254" s="445"/>
      <c r="G254" s="445"/>
      <c r="H254" s="445"/>
      <c r="I254" s="445"/>
      <c r="J254" s="445"/>
      <c r="K254" s="1136"/>
      <c r="L254" s="1136"/>
      <c r="M254" s="445"/>
      <c r="N254" s="445"/>
      <c r="O254" s="445"/>
      <c r="P254" s="445"/>
    </row>
    <row r="255" spans="1:16">
      <c r="A255" s="445"/>
      <c r="B255" s="277"/>
      <c r="C255" s="277"/>
      <c r="D255" s="445"/>
      <c r="E255" s="445"/>
      <c r="F255" s="445"/>
      <c r="G255" s="445"/>
      <c r="H255" s="445"/>
      <c r="I255" s="445"/>
      <c r="J255" s="445"/>
      <c r="K255" s="1136"/>
      <c r="L255" s="1136"/>
      <c r="M255" s="445"/>
      <c r="N255" s="445"/>
      <c r="O255" s="445"/>
      <c r="P255" s="445"/>
    </row>
    <row r="256" spans="1:16">
      <c r="A256" s="445"/>
      <c r="B256" s="277"/>
      <c r="C256" s="277"/>
      <c r="D256" s="445"/>
      <c r="E256" s="445"/>
      <c r="F256" s="445"/>
      <c r="G256" s="445"/>
      <c r="H256" s="445"/>
      <c r="I256" s="445"/>
      <c r="J256" s="445"/>
      <c r="K256" s="1136"/>
      <c r="L256" s="1136"/>
      <c r="M256" s="445"/>
      <c r="N256" s="445"/>
      <c r="O256" s="445"/>
      <c r="P256" s="445"/>
    </row>
    <row r="257" spans="1:16">
      <c r="A257" s="445"/>
      <c r="B257" s="277"/>
      <c r="C257" s="277"/>
      <c r="D257" s="445"/>
      <c r="E257" s="445"/>
      <c r="F257" s="445"/>
      <c r="G257" s="445"/>
      <c r="H257" s="445"/>
      <c r="I257" s="445"/>
      <c r="J257" s="445"/>
      <c r="K257" s="1136"/>
      <c r="L257" s="1136"/>
      <c r="M257" s="445"/>
      <c r="N257" s="445"/>
      <c r="O257" s="445"/>
      <c r="P257" s="445"/>
    </row>
    <row r="258" spans="1:16">
      <c r="A258" s="445"/>
      <c r="B258" s="277"/>
      <c r="C258" s="277"/>
      <c r="D258" s="445"/>
      <c r="E258" s="445"/>
      <c r="F258" s="445"/>
      <c r="G258" s="445"/>
      <c r="H258" s="445"/>
      <c r="I258" s="445"/>
      <c r="J258" s="445"/>
      <c r="K258" s="1136"/>
      <c r="L258" s="1136"/>
      <c r="M258" s="445"/>
      <c r="N258" s="445"/>
      <c r="O258" s="445"/>
      <c r="P258" s="445"/>
    </row>
    <row r="259" spans="1:16">
      <c r="A259" s="445"/>
      <c r="B259" s="277"/>
      <c r="C259" s="277"/>
      <c r="D259" s="445"/>
      <c r="E259" s="445"/>
      <c r="F259" s="445"/>
      <c r="G259" s="445"/>
      <c r="H259" s="445"/>
      <c r="I259" s="445"/>
      <c r="J259" s="445"/>
      <c r="K259" s="1136"/>
      <c r="L259" s="1136"/>
      <c r="M259" s="445"/>
      <c r="N259" s="445"/>
      <c r="O259" s="445"/>
      <c r="P259" s="445"/>
    </row>
    <row r="260" spans="1:16">
      <c r="A260" s="445"/>
      <c r="B260" s="277"/>
      <c r="C260" s="277"/>
      <c r="D260" s="445"/>
      <c r="E260" s="445"/>
      <c r="F260" s="445"/>
      <c r="G260" s="445"/>
      <c r="H260" s="445"/>
      <c r="I260" s="445"/>
      <c r="J260" s="445"/>
      <c r="K260" s="1136"/>
      <c r="L260" s="1136"/>
      <c r="M260" s="445"/>
      <c r="N260" s="445"/>
      <c r="O260" s="445"/>
      <c r="P260" s="445"/>
    </row>
    <row r="261" spans="1:16">
      <c r="A261" s="445"/>
      <c r="B261" s="277"/>
      <c r="C261" s="277"/>
      <c r="D261" s="445"/>
      <c r="E261" s="445"/>
      <c r="F261" s="445"/>
      <c r="G261" s="445"/>
      <c r="H261" s="445"/>
      <c r="I261" s="445"/>
      <c r="J261" s="445"/>
      <c r="K261" s="1136"/>
      <c r="L261" s="1136"/>
      <c r="M261" s="445"/>
      <c r="N261" s="445"/>
      <c r="O261" s="445"/>
      <c r="P261" s="445"/>
    </row>
    <row r="262" spans="1:16">
      <c r="A262" s="445"/>
      <c r="B262" s="277"/>
      <c r="C262" s="277"/>
      <c r="D262" s="445"/>
      <c r="E262" s="445"/>
      <c r="F262" s="445"/>
      <c r="G262" s="445"/>
      <c r="H262" s="445"/>
      <c r="I262" s="445"/>
      <c r="J262" s="445"/>
      <c r="K262" s="1136"/>
      <c r="L262" s="1136"/>
      <c r="M262" s="445"/>
      <c r="N262" s="445"/>
      <c r="O262" s="445"/>
      <c r="P262" s="445"/>
    </row>
    <row r="263" spans="1:16">
      <c r="A263" s="445"/>
      <c r="B263" s="277"/>
      <c r="C263" s="277"/>
      <c r="D263" s="445"/>
      <c r="E263" s="445"/>
      <c r="F263" s="445"/>
      <c r="G263" s="445"/>
      <c r="H263" s="445"/>
      <c r="I263" s="445"/>
      <c r="J263" s="445"/>
      <c r="K263" s="1136"/>
      <c r="L263" s="1136"/>
      <c r="M263" s="445"/>
      <c r="N263" s="445"/>
      <c r="O263" s="445"/>
      <c r="P263" s="445"/>
    </row>
    <row r="264" spans="1:16">
      <c r="A264" s="445"/>
      <c r="B264" s="277"/>
      <c r="C264" s="277"/>
      <c r="D264" s="445"/>
      <c r="E264" s="445"/>
      <c r="F264" s="445"/>
      <c r="G264" s="445"/>
      <c r="H264" s="445"/>
      <c r="I264" s="445"/>
      <c r="J264" s="445"/>
      <c r="K264" s="1136"/>
      <c r="L264" s="1136"/>
      <c r="M264" s="445"/>
      <c r="N264" s="445"/>
      <c r="O264" s="445"/>
      <c r="P264" s="445"/>
    </row>
    <row r="265" spans="1:16">
      <c r="A265" s="445"/>
      <c r="B265" s="277"/>
      <c r="C265" s="277"/>
      <c r="D265" s="445"/>
      <c r="E265" s="445"/>
      <c r="F265" s="445"/>
      <c r="G265" s="445"/>
      <c r="H265" s="445"/>
      <c r="I265" s="445"/>
      <c r="J265" s="445"/>
      <c r="K265" s="1136"/>
      <c r="L265" s="1136"/>
      <c r="M265" s="445"/>
      <c r="N265" s="445"/>
      <c r="O265" s="445"/>
      <c r="P265" s="445"/>
    </row>
    <row r="266" spans="1:16">
      <c r="A266" s="445"/>
      <c r="B266" s="277"/>
      <c r="C266" s="277"/>
      <c r="D266" s="445"/>
      <c r="E266" s="445"/>
      <c r="F266" s="445"/>
      <c r="G266" s="445"/>
      <c r="H266" s="445"/>
      <c r="I266" s="445"/>
      <c r="J266" s="445"/>
      <c r="K266" s="1136"/>
      <c r="L266" s="1136"/>
      <c r="M266" s="445"/>
      <c r="N266" s="445"/>
      <c r="O266" s="445"/>
      <c r="P266" s="445"/>
    </row>
    <row r="267" spans="1:16">
      <c r="A267" s="445"/>
      <c r="B267" s="277"/>
      <c r="C267" s="277"/>
      <c r="D267" s="445"/>
      <c r="E267" s="445"/>
      <c r="F267" s="445"/>
      <c r="G267" s="445"/>
      <c r="H267" s="445"/>
      <c r="I267" s="445"/>
      <c r="J267" s="445"/>
      <c r="K267" s="1136"/>
      <c r="L267" s="1136"/>
      <c r="M267" s="445"/>
      <c r="N267" s="445"/>
      <c r="O267" s="445"/>
      <c r="P267" s="445"/>
    </row>
    <row r="268" spans="1:16">
      <c r="A268" s="445"/>
      <c r="B268" s="277"/>
      <c r="C268" s="277"/>
      <c r="D268" s="445"/>
      <c r="E268" s="445"/>
      <c r="F268" s="445"/>
      <c r="G268" s="445"/>
      <c r="H268" s="445"/>
      <c r="I268" s="445"/>
      <c r="J268" s="445"/>
      <c r="K268" s="1136"/>
      <c r="L268" s="1136"/>
      <c r="M268" s="445"/>
      <c r="N268" s="445"/>
      <c r="O268" s="445"/>
      <c r="P268" s="445"/>
    </row>
    <row r="269" spans="1:16">
      <c r="A269" s="445"/>
      <c r="B269" s="277"/>
      <c r="C269" s="277"/>
      <c r="D269" s="445"/>
      <c r="E269" s="445"/>
      <c r="F269" s="445"/>
      <c r="G269" s="445"/>
      <c r="H269" s="445"/>
      <c r="I269" s="445"/>
      <c r="J269" s="445"/>
      <c r="K269" s="1136"/>
      <c r="L269" s="1136"/>
      <c r="M269" s="445"/>
      <c r="N269" s="445"/>
      <c r="O269" s="445"/>
      <c r="P269" s="445"/>
    </row>
    <row r="270" spans="1:16">
      <c r="A270" s="445"/>
      <c r="B270" s="277"/>
      <c r="C270" s="277"/>
      <c r="D270" s="445"/>
      <c r="E270" s="445"/>
      <c r="F270" s="445"/>
      <c r="G270" s="445"/>
      <c r="H270" s="445"/>
      <c r="I270" s="445"/>
      <c r="J270" s="445"/>
      <c r="K270" s="1136"/>
      <c r="L270" s="1136"/>
      <c r="M270" s="445"/>
      <c r="N270" s="445"/>
      <c r="O270" s="445"/>
      <c r="P270" s="445"/>
    </row>
    <row r="271" spans="1:16">
      <c r="A271" s="445"/>
      <c r="B271" s="277"/>
      <c r="C271" s="277"/>
      <c r="D271" s="445"/>
      <c r="E271" s="445"/>
      <c r="F271" s="445"/>
      <c r="G271" s="445"/>
      <c r="H271" s="445"/>
      <c r="I271" s="445"/>
      <c r="J271" s="445"/>
      <c r="K271" s="1136"/>
      <c r="L271" s="1136"/>
      <c r="M271" s="445"/>
      <c r="N271" s="445"/>
      <c r="O271" s="445"/>
      <c r="P271" s="445"/>
    </row>
    <row r="272" spans="1:16">
      <c r="A272" s="445"/>
      <c r="B272" s="277"/>
      <c r="C272" s="277"/>
      <c r="D272" s="445"/>
      <c r="E272" s="445"/>
      <c r="F272" s="445"/>
      <c r="G272" s="445"/>
      <c r="H272" s="445"/>
      <c r="I272" s="445"/>
      <c r="J272" s="445"/>
      <c r="K272" s="1136"/>
      <c r="L272" s="1136"/>
      <c r="M272" s="445"/>
      <c r="N272" s="445"/>
      <c r="O272" s="445"/>
      <c r="P272" s="445"/>
    </row>
    <row r="273" spans="1:16">
      <c r="A273" s="445"/>
      <c r="B273" s="277"/>
      <c r="C273" s="277"/>
      <c r="D273" s="445"/>
      <c r="E273" s="445"/>
      <c r="F273" s="445"/>
      <c r="G273" s="445"/>
      <c r="H273" s="445"/>
      <c r="I273" s="445"/>
      <c r="J273" s="445"/>
      <c r="K273" s="1136"/>
      <c r="L273" s="1136"/>
      <c r="M273" s="445"/>
      <c r="N273" s="445"/>
      <c r="O273" s="445"/>
      <c r="P273" s="445"/>
    </row>
    <row r="274" spans="1:16">
      <c r="A274" s="445"/>
      <c r="B274" s="277"/>
      <c r="C274" s="277"/>
      <c r="D274" s="445"/>
      <c r="E274" s="445"/>
      <c r="F274" s="445"/>
      <c r="G274" s="445"/>
      <c r="H274" s="445"/>
      <c r="I274" s="445"/>
      <c r="J274" s="445"/>
      <c r="K274" s="1136"/>
      <c r="L274" s="1136"/>
      <c r="M274" s="445"/>
      <c r="N274" s="445"/>
      <c r="O274" s="445"/>
      <c r="P274" s="445"/>
    </row>
    <row r="275" spans="1:16">
      <c r="A275" s="445"/>
      <c r="B275" s="277"/>
      <c r="C275" s="277"/>
      <c r="D275" s="445"/>
      <c r="E275" s="445"/>
      <c r="F275" s="445"/>
      <c r="G275" s="445"/>
      <c r="H275" s="445"/>
      <c r="I275" s="445"/>
      <c r="J275" s="445"/>
      <c r="K275" s="1136"/>
      <c r="L275" s="1136"/>
      <c r="M275" s="445"/>
      <c r="N275" s="445"/>
      <c r="O275" s="445"/>
      <c r="P275" s="445"/>
    </row>
    <row r="276" spans="1:16">
      <c r="A276" s="445"/>
      <c r="B276" s="277"/>
      <c r="C276" s="277"/>
      <c r="D276" s="445"/>
      <c r="E276" s="445"/>
      <c r="F276" s="445"/>
      <c r="G276" s="445"/>
      <c r="H276" s="445"/>
      <c r="I276" s="445"/>
      <c r="J276" s="445"/>
      <c r="K276" s="1136"/>
      <c r="L276" s="1136"/>
      <c r="M276" s="445"/>
      <c r="N276" s="445"/>
      <c r="O276" s="445"/>
      <c r="P276" s="445"/>
    </row>
    <row r="277" spans="1:16">
      <c r="A277" s="445"/>
      <c r="B277" s="277"/>
      <c r="C277" s="277"/>
      <c r="D277" s="445"/>
      <c r="E277" s="445"/>
      <c r="F277" s="445"/>
      <c r="G277" s="445"/>
      <c r="H277" s="445"/>
      <c r="I277" s="445"/>
      <c r="J277" s="445"/>
      <c r="K277" s="1136"/>
      <c r="L277" s="1136"/>
      <c r="M277" s="445"/>
      <c r="N277" s="445"/>
      <c r="O277" s="445"/>
      <c r="P277" s="445"/>
    </row>
    <row r="278" spans="1:16">
      <c r="A278" s="445"/>
      <c r="B278" s="277"/>
      <c r="C278" s="277"/>
      <c r="D278" s="445"/>
      <c r="E278" s="445"/>
      <c r="F278" s="445"/>
      <c r="G278" s="445"/>
      <c r="H278" s="445"/>
      <c r="I278" s="445"/>
      <c r="J278" s="445"/>
      <c r="K278" s="1136"/>
      <c r="L278" s="1136"/>
      <c r="M278" s="445"/>
      <c r="N278" s="445"/>
      <c r="O278" s="445"/>
      <c r="P278" s="445"/>
    </row>
    <row r="279" spans="1:16">
      <c r="A279" s="445"/>
      <c r="B279" s="277"/>
      <c r="C279" s="277"/>
      <c r="D279" s="445"/>
      <c r="E279" s="445"/>
      <c r="F279" s="445"/>
      <c r="G279" s="445"/>
      <c r="H279" s="445"/>
      <c r="I279" s="445"/>
      <c r="J279" s="445"/>
      <c r="K279" s="1136"/>
      <c r="L279" s="1136"/>
      <c r="M279" s="445"/>
      <c r="N279" s="445"/>
      <c r="O279" s="445"/>
      <c r="P279" s="445"/>
    </row>
    <row r="280" spans="1:16">
      <c r="A280" s="445"/>
      <c r="B280" s="277"/>
      <c r="C280" s="277"/>
      <c r="D280" s="445"/>
      <c r="E280" s="445"/>
      <c r="F280" s="445"/>
      <c r="G280" s="445"/>
      <c r="H280" s="445"/>
      <c r="I280" s="445"/>
      <c r="J280" s="445"/>
      <c r="K280" s="1136"/>
      <c r="L280" s="1136"/>
      <c r="M280" s="445"/>
      <c r="N280" s="445"/>
      <c r="O280" s="445"/>
      <c r="P280" s="445"/>
    </row>
    <row r="281" spans="1:16">
      <c r="A281" s="445"/>
      <c r="B281" s="277"/>
      <c r="C281" s="277"/>
      <c r="D281" s="445"/>
      <c r="E281" s="445"/>
      <c r="F281" s="445"/>
      <c r="G281" s="445"/>
      <c r="H281" s="445"/>
      <c r="I281" s="445"/>
      <c r="J281" s="445"/>
      <c r="K281" s="1136"/>
      <c r="L281" s="1136"/>
      <c r="M281" s="445"/>
      <c r="N281" s="445"/>
      <c r="O281" s="445"/>
      <c r="P281" s="445"/>
    </row>
    <row r="282" spans="1:16">
      <c r="A282" s="445"/>
      <c r="B282" s="277"/>
      <c r="C282" s="277"/>
      <c r="D282" s="445"/>
      <c r="E282" s="445"/>
      <c r="F282" s="445"/>
      <c r="G282" s="445"/>
      <c r="H282" s="445"/>
      <c r="I282" s="445"/>
      <c r="J282" s="445"/>
      <c r="K282" s="1136"/>
      <c r="L282" s="1136"/>
      <c r="M282" s="445"/>
      <c r="N282" s="445"/>
      <c r="O282" s="445"/>
      <c r="P282" s="445"/>
    </row>
    <row r="283" spans="1:16">
      <c r="A283" s="445"/>
      <c r="B283" s="277"/>
      <c r="C283" s="277"/>
      <c r="D283" s="445"/>
      <c r="E283" s="445"/>
      <c r="F283" s="445"/>
      <c r="G283" s="445"/>
      <c r="H283" s="445"/>
      <c r="I283" s="445"/>
      <c r="J283" s="445"/>
      <c r="K283" s="1136"/>
      <c r="L283" s="1136"/>
      <c r="M283" s="445"/>
      <c r="N283" s="445"/>
      <c r="O283" s="445"/>
      <c r="P283" s="445"/>
    </row>
    <row r="284" spans="1:16">
      <c r="A284" s="445"/>
      <c r="B284" s="277"/>
      <c r="C284" s="277"/>
      <c r="D284" s="445"/>
      <c r="E284" s="445"/>
      <c r="F284" s="445"/>
      <c r="G284" s="445"/>
      <c r="H284" s="445"/>
      <c r="I284" s="445"/>
      <c r="J284" s="445"/>
      <c r="K284" s="1136"/>
      <c r="L284" s="1136"/>
      <c r="M284" s="445"/>
      <c r="N284" s="445"/>
      <c r="O284" s="445"/>
      <c r="P284" s="445"/>
    </row>
    <row r="285" spans="1:16">
      <c r="A285" s="445"/>
      <c r="B285" s="277"/>
      <c r="C285" s="277"/>
      <c r="D285" s="445"/>
      <c r="E285" s="445"/>
      <c r="F285" s="445"/>
      <c r="G285" s="445"/>
      <c r="H285" s="445"/>
      <c r="I285" s="445"/>
      <c r="J285" s="445"/>
      <c r="K285" s="1136"/>
      <c r="L285" s="1136"/>
      <c r="M285" s="445"/>
      <c r="N285" s="445"/>
      <c r="O285" s="445"/>
      <c r="P285" s="445"/>
    </row>
    <row r="286" spans="1:16">
      <c r="A286" s="445"/>
      <c r="B286" s="277"/>
      <c r="C286" s="277"/>
      <c r="D286" s="445"/>
      <c r="E286" s="445"/>
      <c r="F286" s="445"/>
      <c r="G286" s="445"/>
      <c r="H286" s="445"/>
      <c r="I286" s="445"/>
      <c r="J286" s="445"/>
      <c r="K286" s="1136"/>
      <c r="L286" s="1136"/>
      <c r="M286" s="445"/>
      <c r="N286" s="445"/>
      <c r="O286" s="445"/>
      <c r="P286" s="445"/>
    </row>
    <row r="287" spans="1:16">
      <c r="A287" s="445"/>
      <c r="B287" s="277"/>
      <c r="C287" s="277"/>
      <c r="D287" s="445"/>
      <c r="E287" s="445"/>
      <c r="F287" s="445"/>
      <c r="G287" s="445"/>
      <c r="H287" s="445"/>
      <c r="I287" s="445"/>
      <c r="J287" s="445"/>
      <c r="K287" s="1136"/>
      <c r="L287" s="1136"/>
      <c r="M287" s="445"/>
      <c r="N287" s="445"/>
      <c r="O287" s="445"/>
      <c r="P287" s="445"/>
    </row>
    <row r="288" spans="1:16">
      <c r="A288" s="445"/>
      <c r="B288" s="277"/>
      <c r="C288" s="277"/>
      <c r="D288" s="445"/>
      <c r="E288" s="445"/>
      <c r="F288" s="445"/>
      <c r="G288" s="445"/>
      <c r="H288" s="445"/>
      <c r="I288" s="445"/>
      <c r="J288" s="445"/>
      <c r="K288" s="1136"/>
      <c r="L288" s="1136"/>
      <c r="M288" s="445"/>
      <c r="N288" s="445"/>
      <c r="O288" s="445"/>
      <c r="P288" s="445"/>
    </row>
    <row r="289" spans="1:16">
      <c r="A289" s="445"/>
      <c r="B289" s="277"/>
      <c r="C289" s="277"/>
      <c r="D289" s="445"/>
      <c r="E289" s="445"/>
      <c r="F289" s="445"/>
      <c r="G289" s="445"/>
      <c r="H289" s="445"/>
      <c r="I289" s="445"/>
      <c r="J289" s="445"/>
      <c r="K289" s="1136"/>
      <c r="L289" s="1136"/>
      <c r="M289" s="445"/>
      <c r="N289" s="445"/>
      <c r="O289" s="445"/>
      <c r="P289" s="445"/>
    </row>
    <row r="290" spans="1:16">
      <c r="A290" s="445"/>
      <c r="B290" s="277"/>
      <c r="C290" s="277"/>
      <c r="D290" s="445"/>
      <c r="E290" s="445"/>
      <c r="F290" s="445"/>
      <c r="G290" s="445"/>
      <c r="H290" s="445"/>
      <c r="I290" s="445"/>
      <c r="J290" s="445"/>
      <c r="K290" s="1136"/>
      <c r="L290" s="1136"/>
      <c r="M290" s="445"/>
      <c r="N290" s="445"/>
      <c r="O290" s="445"/>
      <c r="P290" s="445"/>
    </row>
    <row r="291" spans="1:16">
      <c r="A291" s="445"/>
      <c r="B291" s="277"/>
      <c r="C291" s="277"/>
      <c r="D291" s="445"/>
      <c r="E291" s="445"/>
      <c r="F291" s="445"/>
      <c r="G291" s="445"/>
      <c r="H291" s="445"/>
      <c r="I291" s="445"/>
      <c r="J291" s="445"/>
      <c r="K291" s="1136"/>
      <c r="L291" s="1136"/>
      <c r="M291" s="445"/>
      <c r="N291" s="445"/>
      <c r="O291" s="445"/>
      <c r="P291" s="445"/>
    </row>
    <row r="292" spans="1:16">
      <c r="A292" s="445"/>
      <c r="B292" s="277"/>
      <c r="C292" s="277"/>
      <c r="D292" s="445"/>
      <c r="E292" s="445"/>
      <c r="F292" s="445"/>
      <c r="G292" s="445"/>
      <c r="H292" s="445"/>
      <c r="I292" s="445"/>
      <c r="J292" s="445"/>
      <c r="K292" s="1136"/>
      <c r="L292" s="1136"/>
      <c r="M292" s="445"/>
      <c r="N292" s="445"/>
      <c r="O292" s="445"/>
      <c r="P292" s="445"/>
    </row>
    <row r="293" spans="1:16">
      <c r="A293" s="445"/>
      <c r="B293" s="277"/>
      <c r="C293" s="277"/>
      <c r="D293" s="445"/>
      <c r="E293" s="445"/>
      <c r="F293" s="445"/>
      <c r="G293" s="445"/>
      <c r="H293" s="445"/>
      <c r="I293" s="445"/>
      <c r="J293" s="445"/>
      <c r="K293" s="1136"/>
      <c r="L293" s="1136"/>
      <c r="M293" s="445"/>
      <c r="N293" s="445"/>
      <c r="O293" s="445"/>
      <c r="P293" s="445"/>
    </row>
    <row r="294" spans="1:16">
      <c r="A294" s="445"/>
      <c r="B294" s="277"/>
      <c r="C294" s="277"/>
      <c r="D294" s="445"/>
      <c r="E294" s="445"/>
      <c r="F294" s="445"/>
      <c r="G294" s="445"/>
      <c r="H294" s="445"/>
      <c r="I294" s="445"/>
      <c r="J294" s="445"/>
      <c r="K294" s="1136"/>
      <c r="L294" s="1136"/>
      <c r="M294" s="445"/>
      <c r="N294" s="445"/>
      <c r="O294" s="445"/>
      <c r="P294" s="445"/>
    </row>
    <row r="295" spans="1:16">
      <c r="A295" s="445"/>
      <c r="B295" s="277"/>
      <c r="C295" s="277"/>
      <c r="D295" s="445"/>
      <c r="E295" s="445"/>
      <c r="F295" s="445"/>
      <c r="G295" s="445"/>
      <c r="H295" s="445"/>
      <c r="I295" s="445"/>
      <c r="J295" s="445"/>
      <c r="K295" s="1136"/>
      <c r="L295" s="1136"/>
      <c r="M295" s="445"/>
      <c r="N295" s="445"/>
      <c r="O295" s="445"/>
      <c r="P295" s="445"/>
    </row>
    <row r="296" spans="1:16">
      <c r="A296" s="445"/>
      <c r="B296" s="277"/>
      <c r="C296" s="277"/>
      <c r="D296" s="445"/>
      <c r="E296" s="445"/>
      <c r="F296" s="445"/>
      <c r="G296" s="445"/>
      <c r="H296" s="445"/>
      <c r="I296" s="445"/>
      <c r="J296" s="445"/>
      <c r="K296" s="1136"/>
      <c r="L296" s="1136"/>
      <c r="M296" s="445"/>
      <c r="N296" s="445"/>
      <c r="O296" s="445"/>
      <c r="P296" s="445"/>
    </row>
    <row r="297" spans="1:16">
      <c r="A297" s="445"/>
      <c r="B297" s="277"/>
      <c r="C297" s="277"/>
      <c r="D297" s="445"/>
      <c r="E297" s="445"/>
      <c r="F297" s="445"/>
      <c r="G297" s="445"/>
      <c r="H297" s="445"/>
      <c r="I297" s="445"/>
      <c r="J297" s="445"/>
      <c r="K297" s="1136"/>
      <c r="L297" s="1136"/>
      <c r="M297" s="445"/>
      <c r="N297" s="445"/>
      <c r="O297" s="445"/>
      <c r="P297" s="445"/>
    </row>
    <row r="298" spans="1:16">
      <c r="A298" s="445"/>
      <c r="B298" s="277"/>
      <c r="C298" s="277"/>
      <c r="D298" s="445"/>
      <c r="E298" s="445"/>
      <c r="F298" s="445"/>
      <c r="G298" s="445"/>
      <c r="H298" s="445"/>
      <c r="I298" s="445"/>
      <c r="J298" s="445"/>
      <c r="K298" s="1136"/>
      <c r="L298" s="1136"/>
      <c r="M298" s="445"/>
      <c r="N298" s="445"/>
      <c r="O298" s="445"/>
      <c r="P298" s="445"/>
    </row>
    <row r="299" spans="1:16">
      <c r="A299" s="445"/>
      <c r="B299" s="277"/>
      <c r="C299" s="277"/>
      <c r="D299" s="445"/>
      <c r="E299" s="445"/>
      <c r="F299" s="445"/>
      <c r="G299" s="445"/>
      <c r="H299" s="445"/>
      <c r="I299" s="445"/>
      <c r="J299" s="445"/>
      <c r="K299" s="1136"/>
      <c r="L299" s="1136"/>
      <c r="M299" s="445"/>
      <c r="N299" s="445"/>
      <c r="O299" s="445"/>
      <c r="P299" s="445"/>
    </row>
    <row r="300" spans="1:16">
      <c r="A300" s="445"/>
      <c r="B300" s="277"/>
      <c r="C300" s="277"/>
      <c r="D300" s="445"/>
      <c r="E300" s="445"/>
      <c r="F300" s="445"/>
      <c r="G300" s="445"/>
      <c r="H300" s="445"/>
      <c r="I300" s="445"/>
      <c r="J300" s="445"/>
      <c r="K300" s="1136"/>
      <c r="L300" s="1136"/>
      <c r="M300" s="445"/>
      <c r="N300" s="445"/>
      <c r="O300" s="445"/>
      <c r="P300" s="445"/>
    </row>
    <row r="301" spans="1:16">
      <c r="A301" s="445"/>
      <c r="B301" s="277"/>
      <c r="C301" s="277"/>
      <c r="D301" s="445"/>
      <c r="E301" s="445"/>
      <c r="F301" s="445"/>
      <c r="G301" s="445"/>
      <c r="H301" s="445"/>
      <c r="I301" s="445"/>
      <c r="J301" s="445"/>
      <c r="K301" s="1136"/>
      <c r="L301" s="1136"/>
      <c r="M301" s="445"/>
      <c r="N301" s="445"/>
      <c r="O301" s="445"/>
      <c r="P301" s="445"/>
    </row>
    <row r="302" spans="1:16">
      <c r="A302" s="445"/>
      <c r="B302" s="277"/>
      <c r="C302" s="277"/>
      <c r="D302" s="445"/>
      <c r="E302" s="445"/>
      <c r="F302" s="445"/>
      <c r="G302" s="445"/>
      <c r="H302" s="445"/>
      <c r="I302" s="445"/>
      <c r="J302" s="445"/>
      <c r="K302" s="1136"/>
      <c r="L302" s="1136"/>
      <c r="M302" s="445"/>
      <c r="N302" s="445"/>
      <c r="O302" s="445"/>
      <c r="P302" s="445"/>
    </row>
    <row r="303" spans="1:16">
      <c r="A303" s="445"/>
      <c r="B303" s="277"/>
      <c r="C303" s="277"/>
      <c r="D303" s="445"/>
      <c r="E303" s="445"/>
      <c r="F303" s="445"/>
      <c r="G303" s="445"/>
      <c r="H303" s="445"/>
      <c r="I303" s="445"/>
      <c r="J303" s="445"/>
      <c r="K303" s="1136"/>
      <c r="L303" s="1136"/>
      <c r="M303" s="445"/>
      <c r="N303" s="445"/>
      <c r="O303" s="445"/>
      <c r="P303" s="445"/>
    </row>
    <row r="304" spans="1:16">
      <c r="A304" s="445"/>
      <c r="B304" s="277"/>
      <c r="C304" s="277"/>
      <c r="D304" s="445"/>
      <c r="E304" s="445"/>
      <c r="F304" s="445"/>
      <c r="G304" s="445"/>
      <c r="H304" s="445"/>
      <c r="I304" s="445"/>
      <c r="J304" s="445"/>
      <c r="K304" s="1136"/>
      <c r="L304" s="1136"/>
      <c r="M304" s="445"/>
      <c r="N304" s="445"/>
      <c r="O304" s="445"/>
      <c r="P304" s="445"/>
    </row>
    <row r="305" spans="1:16">
      <c r="A305" s="445"/>
      <c r="B305" s="277"/>
      <c r="C305" s="277"/>
      <c r="D305" s="445"/>
      <c r="E305" s="445"/>
      <c r="F305" s="445"/>
      <c r="G305" s="445"/>
      <c r="H305" s="445"/>
      <c r="I305" s="445"/>
      <c r="J305" s="445"/>
      <c r="K305" s="1136"/>
      <c r="L305" s="1136"/>
      <c r="M305" s="445"/>
      <c r="N305" s="445"/>
      <c r="O305" s="445"/>
      <c r="P305" s="445"/>
    </row>
    <row r="306" spans="1:16">
      <c r="A306" s="445"/>
      <c r="B306" s="277"/>
      <c r="C306" s="277"/>
      <c r="D306" s="445"/>
      <c r="E306" s="445"/>
      <c r="F306" s="445"/>
      <c r="G306" s="445"/>
      <c r="H306" s="445"/>
      <c r="I306" s="445"/>
      <c r="J306" s="445"/>
      <c r="K306" s="1136"/>
      <c r="L306" s="1136"/>
      <c r="M306" s="445"/>
      <c r="N306" s="445"/>
      <c r="O306" s="445"/>
      <c r="P306" s="445"/>
    </row>
    <row r="307" spans="1:16">
      <c r="A307" s="445"/>
      <c r="B307" s="277"/>
      <c r="C307" s="277"/>
      <c r="D307" s="445"/>
      <c r="E307" s="445"/>
      <c r="F307" s="445"/>
      <c r="G307" s="445"/>
      <c r="H307" s="445"/>
      <c r="I307" s="445"/>
      <c r="J307" s="445"/>
      <c r="K307" s="1136"/>
      <c r="L307" s="1136"/>
      <c r="M307" s="445"/>
      <c r="N307" s="445"/>
      <c r="O307" s="445"/>
      <c r="P307" s="445"/>
    </row>
    <row r="308" spans="1:16">
      <c r="A308" s="445"/>
      <c r="B308" s="277"/>
      <c r="C308" s="277"/>
      <c r="D308" s="445"/>
      <c r="E308" s="445"/>
      <c r="F308" s="445"/>
      <c r="G308" s="445"/>
      <c r="H308" s="445"/>
      <c r="I308" s="445"/>
      <c r="J308" s="445"/>
      <c r="K308" s="1136"/>
      <c r="L308" s="1136"/>
      <c r="M308" s="445"/>
      <c r="N308" s="445"/>
      <c r="O308" s="445"/>
      <c r="P308" s="445"/>
    </row>
    <row r="309" spans="1:16">
      <c r="A309" s="445"/>
      <c r="B309" s="277"/>
      <c r="C309" s="277"/>
      <c r="D309" s="445"/>
      <c r="E309" s="445"/>
      <c r="F309" s="445"/>
      <c r="G309" s="445"/>
      <c r="H309" s="445"/>
      <c r="I309" s="445"/>
      <c r="J309" s="445"/>
      <c r="K309" s="1136"/>
      <c r="L309" s="1136"/>
      <c r="M309" s="445"/>
      <c r="N309" s="445"/>
      <c r="O309" s="445"/>
      <c r="P309" s="445"/>
    </row>
    <row r="310" spans="1:16">
      <c r="A310" s="445"/>
      <c r="B310" s="277"/>
      <c r="C310" s="277"/>
      <c r="D310" s="445"/>
      <c r="E310" s="445"/>
      <c r="F310" s="445"/>
      <c r="G310" s="445"/>
      <c r="H310" s="445"/>
      <c r="I310" s="445"/>
      <c r="J310" s="445"/>
      <c r="K310" s="1136"/>
      <c r="L310" s="1136"/>
      <c r="M310" s="445"/>
      <c r="N310" s="445"/>
      <c r="O310" s="445"/>
      <c r="P310" s="445"/>
    </row>
    <row r="311" spans="1:16">
      <c r="A311" s="445"/>
      <c r="B311" s="277"/>
      <c r="C311" s="277"/>
      <c r="D311" s="445"/>
      <c r="E311" s="445"/>
      <c r="F311" s="445"/>
      <c r="G311" s="445"/>
      <c r="H311" s="445"/>
      <c r="I311" s="445"/>
      <c r="J311" s="445"/>
      <c r="K311" s="1136"/>
      <c r="L311" s="1136"/>
      <c r="M311" s="445"/>
      <c r="N311" s="445"/>
      <c r="O311" s="445"/>
      <c r="P311" s="445"/>
    </row>
    <row r="312" spans="1:16">
      <c r="A312" s="445"/>
      <c r="B312" s="277"/>
      <c r="C312" s="277"/>
      <c r="D312" s="445"/>
      <c r="E312" s="445"/>
      <c r="F312" s="445"/>
      <c r="G312" s="445"/>
      <c r="H312" s="445"/>
      <c r="I312" s="445"/>
      <c r="J312" s="445"/>
      <c r="K312" s="1136"/>
      <c r="L312" s="1136"/>
      <c r="M312" s="445"/>
      <c r="N312" s="445"/>
      <c r="O312" s="445"/>
      <c r="P312" s="445"/>
    </row>
    <row r="313" spans="1:16">
      <c r="A313" s="445"/>
      <c r="B313" s="277"/>
      <c r="C313" s="277"/>
      <c r="D313" s="445"/>
      <c r="E313" s="445"/>
      <c r="F313" s="445"/>
      <c r="G313" s="445"/>
      <c r="H313" s="445"/>
      <c r="I313" s="445"/>
      <c r="J313" s="445"/>
      <c r="K313" s="1136"/>
      <c r="L313" s="1136"/>
      <c r="M313" s="445"/>
      <c r="N313" s="445"/>
      <c r="O313" s="445"/>
      <c r="P313" s="445"/>
    </row>
    <row r="314" spans="1:16">
      <c r="A314" s="445"/>
      <c r="B314" s="277"/>
      <c r="C314" s="277"/>
      <c r="D314" s="445"/>
      <c r="E314" s="445"/>
      <c r="F314" s="445"/>
      <c r="G314" s="445"/>
      <c r="H314" s="445"/>
      <c r="I314" s="445"/>
      <c r="J314" s="445"/>
      <c r="K314" s="1136"/>
      <c r="L314" s="1136"/>
      <c r="M314" s="445"/>
      <c r="N314" s="445"/>
      <c r="O314" s="445"/>
      <c r="P314" s="445"/>
    </row>
    <row r="315" spans="1:16">
      <c r="A315" s="445"/>
      <c r="B315" s="277"/>
      <c r="C315" s="277"/>
      <c r="D315" s="445"/>
      <c r="E315" s="445"/>
      <c r="F315" s="445"/>
      <c r="G315" s="445"/>
      <c r="H315" s="445"/>
      <c r="I315" s="445"/>
      <c r="J315" s="445"/>
      <c r="K315" s="1136"/>
      <c r="L315" s="1136"/>
      <c r="M315" s="445"/>
      <c r="N315" s="445"/>
      <c r="O315" s="445"/>
      <c r="P315" s="445"/>
    </row>
    <row r="316" spans="1:16">
      <c r="A316" s="445"/>
      <c r="B316" s="277"/>
      <c r="C316" s="277"/>
      <c r="D316" s="445"/>
      <c r="E316" s="445"/>
      <c r="F316" s="445"/>
      <c r="G316" s="445"/>
      <c r="H316" s="445"/>
      <c r="I316" s="445"/>
      <c r="J316" s="445"/>
      <c r="K316" s="1136"/>
      <c r="L316" s="1136"/>
      <c r="M316" s="445"/>
      <c r="N316" s="445"/>
      <c r="O316" s="445"/>
      <c r="P316" s="445"/>
    </row>
    <row r="317" spans="1:16">
      <c r="A317" s="445"/>
      <c r="B317" s="277"/>
      <c r="C317" s="277"/>
      <c r="D317" s="445"/>
      <c r="E317" s="445"/>
      <c r="F317" s="445"/>
      <c r="G317" s="445"/>
      <c r="H317" s="445"/>
      <c r="I317" s="445"/>
      <c r="J317" s="445"/>
      <c r="K317" s="1136"/>
      <c r="L317" s="1136"/>
      <c r="M317" s="445"/>
      <c r="N317" s="445"/>
      <c r="O317" s="445"/>
      <c r="P317" s="445"/>
    </row>
    <row r="318" spans="1:16">
      <c r="A318" s="445"/>
      <c r="B318" s="277"/>
      <c r="C318" s="277"/>
      <c r="D318" s="445"/>
      <c r="E318" s="445"/>
      <c r="F318" s="445"/>
      <c r="G318" s="445"/>
      <c r="H318" s="445"/>
      <c r="I318" s="445"/>
      <c r="J318" s="445"/>
      <c r="K318" s="1136"/>
      <c r="L318" s="1136"/>
      <c r="M318" s="445"/>
      <c r="N318" s="445"/>
      <c r="O318" s="445"/>
      <c r="P318" s="445"/>
    </row>
    <row r="319" spans="1:16">
      <c r="A319" s="445"/>
      <c r="B319" s="277"/>
      <c r="C319" s="277"/>
      <c r="D319" s="445"/>
      <c r="E319" s="445"/>
      <c r="F319" s="445"/>
      <c r="G319" s="445"/>
      <c r="H319" s="445"/>
      <c r="I319" s="445"/>
      <c r="J319" s="445"/>
      <c r="K319" s="1136"/>
      <c r="L319" s="1136"/>
      <c r="M319" s="445"/>
      <c r="N319" s="445"/>
      <c r="O319" s="445"/>
      <c r="P319" s="445"/>
    </row>
    <row r="320" spans="1:16">
      <c r="A320" s="445"/>
      <c r="B320" s="277"/>
      <c r="C320" s="277"/>
      <c r="D320" s="445"/>
      <c r="E320" s="445"/>
      <c r="F320" s="445"/>
      <c r="G320" s="445"/>
      <c r="H320" s="445"/>
      <c r="I320" s="445"/>
      <c r="J320" s="445"/>
      <c r="K320" s="1136"/>
      <c r="L320" s="1136"/>
      <c r="M320" s="445"/>
      <c r="N320" s="445"/>
      <c r="O320" s="445"/>
      <c r="P320" s="445"/>
    </row>
    <row r="321" spans="1:16">
      <c r="A321" s="445"/>
      <c r="B321" s="277"/>
      <c r="C321" s="277"/>
      <c r="D321" s="445"/>
      <c r="E321" s="445"/>
      <c r="F321" s="445"/>
      <c r="G321" s="445"/>
      <c r="H321" s="445"/>
      <c r="I321" s="445"/>
      <c r="J321" s="445"/>
      <c r="K321" s="1136"/>
      <c r="L321" s="1136"/>
      <c r="M321" s="445"/>
      <c r="N321" s="445"/>
      <c r="O321" s="445"/>
      <c r="P321" s="445"/>
    </row>
    <row r="322" spans="1:16">
      <c r="A322" s="445"/>
      <c r="B322" s="277"/>
      <c r="C322" s="277"/>
      <c r="D322" s="445"/>
      <c r="E322" s="445"/>
      <c r="F322" s="445"/>
      <c r="G322" s="445"/>
      <c r="H322" s="445"/>
      <c r="I322" s="445"/>
      <c r="J322" s="445"/>
      <c r="K322" s="1136"/>
      <c r="L322" s="1136"/>
      <c r="M322" s="445"/>
      <c r="N322" s="445"/>
      <c r="O322" s="445"/>
      <c r="P322" s="445"/>
    </row>
    <row r="323" spans="1:16">
      <c r="A323" s="445"/>
      <c r="B323" s="277"/>
      <c r="C323" s="277"/>
      <c r="D323" s="445"/>
      <c r="E323" s="445"/>
      <c r="F323" s="445"/>
      <c r="G323" s="445"/>
      <c r="H323" s="445"/>
      <c r="I323" s="445"/>
      <c r="J323" s="445"/>
      <c r="K323" s="1136"/>
      <c r="L323" s="1136"/>
      <c r="M323" s="445"/>
      <c r="N323" s="445"/>
      <c r="O323" s="445"/>
      <c r="P323" s="445"/>
    </row>
    <row r="324" spans="1:16">
      <c r="A324" s="445"/>
      <c r="B324" s="277"/>
      <c r="C324" s="277"/>
      <c r="D324" s="445"/>
      <c r="E324" s="445"/>
      <c r="F324" s="445"/>
      <c r="G324" s="445"/>
      <c r="H324" s="445"/>
      <c r="I324" s="445"/>
      <c r="J324" s="445"/>
      <c r="K324" s="1136"/>
      <c r="L324" s="1136"/>
      <c r="M324" s="445"/>
      <c r="N324" s="445"/>
      <c r="O324" s="445"/>
      <c r="P324" s="445"/>
    </row>
    <row r="325" spans="1:16">
      <c r="A325" s="445"/>
      <c r="B325" s="277"/>
      <c r="C325" s="277"/>
      <c r="D325" s="445"/>
      <c r="E325" s="445"/>
      <c r="F325" s="445"/>
      <c r="G325" s="445"/>
      <c r="H325" s="445"/>
      <c r="I325" s="445"/>
      <c r="J325" s="445"/>
      <c r="K325" s="1136"/>
      <c r="L325" s="1136"/>
      <c r="M325" s="445"/>
      <c r="N325" s="445"/>
      <c r="O325" s="445"/>
      <c r="P325" s="445"/>
    </row>
    <row r="326" spans="1:16">
      <c r="A326" s="445"/>
      <c r="B326" s="277"/>
      <c r="C326" s="277"/>
      <c r="D326" s="445"/>
      <c r="E326" s="445"/>
      <c r="F326" s="445"/>
      <c r="G326" s="445"/>
      <c r="H326" s="445"/>
      <c r="I326" s="445"/>
      <c r="J326" s="445"/>
      <c r="K326" s="1136"/>
      <c r="L326" s="1136"/>
      <c r="M326" s="445"/>
      <c r="N326" s="445"/>
      <c r="O326" s="445"/>
      <c r="P326" s="445"/>
    </row>
    <row r="327" spans="1:16">
      <c r="A327" s="445"/>
      <c r="B327" s="277"/>
      <c r="C327" s="277"/>
      <c r="D327" s="445"/>
      <c r="E327" s="445"/>
      <c r="F327" s="445"/>
      <c r="G327" s="445"/>
      <c r="H327" s="445"/>
      <c r="I327" s="445"/>
      <c r="J327" s="445"/>
      <c r="K327" s="1136"/>
      <c r="L327" s="1136"/>
      <c r="M327" s="445"/>
      <c r="N327" s="445"/>
      <c r="O327" s="445"/>
      <c r="P327" s="445"/>
    </row>
    <row r="328" spans="1:16">
      <c r="A328" s="445"/>
      <c r="B328" s="277"/>
      <c r="C328" s="277"/>
      <c r="D328" s="445"/>
      <c r="E328" s="445"/>
      <c r="F328" s="445"/>
      <c r="G328" s="445"/>
      <c r="H328" s="445"/>
      <c r="I328" s="445"/>
      <c r="J328" s="445"/>
      <c r="K328" s="1136"/>
      <c r="L328" s="1136"/>
      <c r="M328" s="445"/>
      <c r="N328" s="445"/>
      <c r="O328" s="445"/>
      <c r="P328" s="445"/>
    </row>
    <row r="329" spans="1:16">
      <c r="A329" s="445"/>
      <c r="B329" s="277"/>
      <c r="C329" s="277"/>
      <c r="D329" s="445"/>
      <c r="E329" s="445"/>
      <c r="F329" s="445"/>
      <c r="G329" s="445"/>
      <c r="H329" s="445"/>
      <c r="I329" s="445"/>
      <c r="J329" s="445"/>
      <c r="K329" s="1136"/>
      <c r="L329" s="1136"/>
      <c r="M329" s="445"/>
      <c r="N329" s="445"/>
      <c r="O329" s="445"/>
      <c r="P329" s="445"/>
    </row>
    <row r="330" spans="1:16">
      <c r="A330" s="445"/>
      <c r="B330" s="277"/>
      <c r="C330" s="277"/>
      <c r="D330" s="445"/>
      <c r="E330" s="445"/>
      <c r="F330" s="445"/>
      <c r="G330" s="445"/>
      <c r="H330" s="445"/>
      <c r="I330" s="445"/>
      <c r="J330" s="445"/>
      <c r="K330" s="1136"/>
      <c r="L330" s="1136"/>
      <c r="M330" s="445"/>
      <c r="N330" s="445"/>
      <c r="O330" s="445"/>
      <c r="P330" s="445"/>
    </row>
    <row r="331" spans="1:16">
      <c r="A331" s="445"/>
      <c r="B331" s="277"/>
      <c r="C331" s="277"/>
      <c r="D331" s="445"/>
      <c r="E331" s="445"/>
      <c r="F331" s="445"/>
      <c r="G331" s="445"/>
      <c r="H331" s="445"/>
      <c r="I331" s="445"/>
      <c r="J331" s="445"/>
      <c r="K331" s="1136"/>
      <c r="L331" s="1136"/>
      <c r="M331" s="445"/>
      <c r="N331" s="445"/>
      <c r="O331" s="445"/>
      <c r="P331" s="445"/>
    </row>
    <row r="332" spans="1:16">
      <c r="A332" s="445"/>
      <c r="B332" s="277"/>
      <c r="C332" s="277"/>
      <c r="D332" s="445"/>
      <c r="E332" s="445"/>
      <c r="F332" s="445"/>
      <c r="G332" s="445"/>
      <c r="H332" s="445"/>
      <c r="I332" s="445"/>
      <c r="J332" s="445"/>
      <c r="K332" s="1136"/>
      <c r="L332" s="1136"/>
      <c r="M332" s="445"/>
      <c r="N332" s="445"/>
      <c r="O332" s="445"/>
      <c r="P332" s="445"/>
    </row>
    <row r="333" spans="1:16">
      <c r="A333" s="445"/>
      <c r="B333" s="277"/>
      <c r="C333" s="277"/>
      <c r="D333" s="445"/>
      <c r="E333" s="445"/>
      <c r="F333" s="445"/>
      <c r="G333" s="445"/>
      <c r="H333" s="445"/>
      <c r="I333" s="445"/>
      <c r="J333" s="445"/>
      <c r="K333" s="1136"/>
      <c r="L333" s="1136"/>
      <c r="M333" s="445"/>
      <c r="N333" s="445"/>
      <c r="O333" s="445"/>
      <c r="P333" s="445"/>
    </row>
    <row r="334" spans="1:16">
      <c r="A334" s="445"/>
      <c r="B334" s="277"/>
      <c r="C334" s="277"/>
      <c r="D334" s="445"/>
      <c r="E334" s="445"/>
      <c r="F334" s="445"/>
      <c r="G334" s="445"/>
      <c r="H334" s="445"/>
      <c r="I334" s="445"/>
      <c r="J334" s="445"/>
      <c r="K334" s="1136"/>
      <c r="L334" s="1136"/>
      <c r="M334" s="445"/>
      <c r="N334" s="445"/>
      <c r="O334" s="445"/>
      <c r="P334" s="445"/>
    </row>
    <row r="335" spans="1:16">
      <c r="A335" s="445"/>
      <c r="B335" s="277"/>
      <c r="C335" s="277"/>
      <c r="D335" s="445"/>
      <c r="E335" s="445"/>
      <c r="F335" s="445"/>
      <c r="G335" s="445"/>
      <c r="H335" s="445"/>
      <c r="I335" s="445"/>
      <c r="J335" s="445"/>
      <c r="K335" s="1136"/>
      <c r="L335" s="1136"/>
      <c r="M335" s="445"/>
      <c r="N335" s="445"/>
      <c r="O335" s="445"/>
      <c r="P335" s="445"/>
    </row>
    <row r="336" spans="1:16">
      <c r="A336" s="445"/>
      <c r="B336" s="277"/>
      <c r="C336" s="277"/>
      <c r="D336" s="445"/>
      <c r="E336" s="445"/>
      <c r="F336" s="445"/>
      <c r="G336" s="445"/>
      <c r="H336" s="445"/>
      <c r="I336" s="445"/>
      <c r="J336" s="445"/>
      <c r="K336" s="1136"/>
      <c r="L336" s="1136"/>
      <c r="M336" s="445"/>
      <c r="N336" s="445"/>
      <c r="O336" s="445"/>
      <c r="P336" s="445"/>
    </row>
    <row r="337" spans="1:16">
      <c r="A337" s="445"/>
      <c r="B337" s="277"/>
      <c r="C337" s="277"/>
      <c r="D337" s="445"/>
      <c r="E337" s="445"/>
      <c r="F337" s="445"/>
      <c r="G337" s="445"/>
      <c r="H337" s="445"/>
      <c r="I337" s="445"/>
      <c r="J337" s="445"/>
      <c r="K337" s="1136"/>
      <c r="L337" s="1136"/>
      <c r="M337" s="445"/>
      <c r="N337" s="445"/>
      <c r="O337" s="445"/>
      <c r="P337" s="445"/>
    </row>
    <row r="338" spans="1:16">
      <c r="A338" s="445"/>
      <c r="B338" s="277"/>
      <c r="C338" s="277"/>
      <c r="D338" s="445"/>
      <c r="E338" s="445"/>
      <c r="F338" s="445"/>
      <c r="G338" s="445"/>
      <c r="H338" s="445"/>
      <c r="I338" s="445"/>
      <c r="J338" s="445"/>
      <c r="K338" s="1136"/>
      <c r="L338" s="1136"/>
      <c r="M338" s="445"/>
      <c r="N338" s="445"/>
      <c r="O338" s="445"/>
      <c r="P338" s="445"/>
    </row>
    <row r="339" spans="1:16">
      <c r="A339" s="445"/>
      <c r="B339" s="277"/>
      <c r="C339" s="277"/>
      <c r="D339" s="445"/>
      <c r="E339" s="445"/>
      <c r="F339" s="445"/>
      <c r="G339" s="445"/>
      <c r="H339" s="445"/>
      <c r="I339" s="445"/>
      <c r="J339" s="445"/>
      <c r="K339" s="1136"/>
      <c r="L339" s="1136"/>
      <c r="M339" s="445"/>
      <c r="N339" s="445"/>
      <c r="O339" s="445"/>
      <c r="P339" s="445"/>
    </row>
    <row r="340" spans="1:16">
      <c r="A340" s="445"/>
      <c r="B340" s="277"/>
      <c r="C340" s="277"/>
      <c r="D340" s="445"/>
      <c r="E340" s="445"/>
      <c r="F340" s="445"/>
      <c r="G340" s="445"/>
      <c r="H340" s="445"/>
      <c r="I340" s="445"/>
      <c r="J340" s="445"/>
      <c r="K340" s="1136"/>
      <c r="L340" s="1136"/>
      <c r="M340" s="445"/>
      <c r="N340" s="445"/>
      <c r="O340" s="445"/>
      <c r="P340" s="445"/>
    </row>
    <row r="341" spans="1:16">
      <c r="A341" s="445"/>
      <c r="B341" s="277"/>
      <c r="C341" s="277"/>
      <c r="D341" s="445"/>
      <c r="E341" s="445"/>
      <c r="F341" s="445"/>
      <c r="G341" s="445"/>
      <c r="H341" s="445"/>
      <c r="I341" s="445"/>
      <c r="J341" s="445"/>
      <c r="K341" s="1136"/>
      <c r="L341" s="1136"/>
      <c r="M341" s="445"/>
      <c r="N341" s="445"/>
      <c r="O341" s="445"/>
      <c r="P341" s="445"/>
    </row>
    <row r="342" spans="1:16">
      <c r="A342" s="445"/>
      <c r="B342" s="277"/>
      <c r="C342" s="277"/>
      <c r="D342" s="445"/>
      <c r="E342" s="445"/>
      <c r="F342" s="445"/>
      <c r="G342" s="445"/>
      <c r="H342" s="445"/>
      <c r="I342" s="445"/>
      <c r="J342" s="445"/>
      <c r="K342" s="1136"/>
      <c r="L342" s="1136"/>
      <c r="M342" s="445"/>
      <c r="N342" s="445"/>
      <c r="O342" s="445"/>
      <c r="P342" s="445"/>
    </row>
    <row r="343" spans="1:16">
      <c r="A343" s="445"/>
      <c r="B343" s="277"/>
      <c r="C343" s="277"/>
      <c r="D343" s="445"/>
      <c r="E343" s="445"/>
      <c r="F343" s="445"/>
      <c r="G343" s="445"/>
      <c r="H343" s="445"/>
      <c r="I343" s="445"/>
      <c r="J343" s="445"/>
      <c r="K343" s="1136"/>
      <c r="L343" s="1136"/>
      <c r="M343" s="445"/>
      <c r="N343" s="445"/>
      <c r="O343" s="445"/>
      <c r="P343" s="445"/>
    </row>
    <row r="344" spans="1:16">
      <c r="A344" s="445"/>
      <c r="B344" s="277"/>
      <c r="C344" s="277"/>
      <c r="D344" s="445"/>
      <c r="E344" s="445"/>
      <c r="F344" s="445"/>
      <c r="G344" s="445"/>
      <c r="H344" s="445"/>
      <c r="I344" s="445"/>
      <c r="J344" s="445"/>
      <c r="K344" s="1136"/>
      <c r="L344" s="1136"/>
      <c r="M344" s="445"/>
      <c r="N344" s="445"/>
      <c r="O344" s="445"/>
      <c r="P344" s="445"/>
    </row>
    <row r="345" spans="1:16">
      <c r="A345" s="445"/>
      <c r="B345" s="277"/>
      <c r="C345" s="277"/>
      <c r="D345" s="445"/>
      <c r="E345" s="445"/>
      <c r="F345" s="445"/>
      <c r="G345" s="445"/>
      <c r="H345" s="445"/>
      <c r="I345" s="445"/>
      <c r="J345" s="445"/>
      <c r="K345" s="1136"/>
      <c r="L345" s="1136"/>
      <c r="M345" s="445"/>
      <c r="N345" s="445"/>
      <c r="O345" s="445"/>
      <c r="P345" s="445"/>
    </row>
    <row r="346" spans="1:16">
      <c r="A346" s="445"/>
      <c r="B346" s="277"/>
      <c r="C346" s="277"/>
      <c r="D346" s="445"/>
      <c r="E346" s="445"/>
      <c r="F346" s="445"/>
      <c r="G346" s="445"/>
      <c r="H346" s="445"/>
      <c r="I346" s="445"/>
      <c r="J346" s="445"/>
      <c r="K346" s="1136"/>
      <c r="L346" s="1136"/>
      <c r="M346" s="445"/>
      <c r="N346" s="445"/>
      <c r="O346" s="445"/>
      <c r="P346" s="445"/>
    </row>
    <row r="347" spans="1:16">
      <c r="A347" s="445"/>
      <c r="B347" s="277"/>
      <c r="C347" s="277"/>
      <c r="D347" s="445"/>
      <c r="E347" s="445"/>
      <c r="F347" s="445"/>
      <c r="G347" s="445"/>
      <c r="H347" s="445"/>
      <c r="I347" s="445"/>
      <c r="J347" s="445"/>
      <c r="K347" s="1136"/>
      <c r="L347" s="1136"/>
      <c r="M347" s="445"/>
      <c r="N347" s="445"/>
      <c r="O347" s="445"/>
      <c r="P347" s="445"/>
    </row>
    <row r="348" spans="1:16">
      <c r="A348" s="445"/>
      <c r="B348" s="277"/>
      <c r="C348" s="277"/>
      <c r="D348" s="445"/>
      <c r="E348" s="445"/>
      <c r="F348" s="445"/>
      <c r="G348" s="445"/>
      <c r="H348" s="445"/>
      <c r="I348" s="445"/>
      <c r="J348" s="445"/>
      <c r="K348" s="1136"/>
      <c r="L348" s="1136"/>
      <c r="M348" s="445"/>
      <c r="N348" s="445"/>
      <c r="O348" s="445"/>
      <c r="P348" s="445"/>
    </row>
    <row r="349" spans="1:16">
      <c r="A349" s="445"/>
      <c r="B349" s="277"/>
      <c r="C349" s="277"/>
      <c r="D349" s="445"/>
      <c r="E349" s="445"/>
      <c r="F349" s="445"/>
      <c r="G349" s="445"/>
      <c r="H349" s="445"/>
      <c r="I349" s="445"/>
      <c r="J349" s="445"/>
      <c r="K349" s="1136"/>
      <c r="L349" s="1136"/>
      <c r="M349" s="445"/>
      <c r="N349" s="445"/>
      <c r="O349" s="445"/>
      <c r="P349" s="445"/>
    </row>
    <row r="350" spans="1:16">
      <c r="A350" s="445"/>
      <c r="B350" s="277"/>
      <c r="C350" s="277"/>
      <c r="D350" s="445"/>
      <c r="E350" s="445"/>
      <c r="F350" s="445"/>
      <c r="G350" s="445"/>
      <c r="H350" s="445"/>
      <c r="I350" s="445"/>
      <c r="J350" s="445"/>
      <c r="K350" s="1136"/>
      <c r="L350" s="1136"/>
      <c r="M350" s="445"/>
      <c r="N350" s="445"/>
      <c r="O350" s="445"/>
      <c r="P350" s="445"/>
    </row>
    <row r="351" spans="1:16">
      <c r="A351" s="445"/>
      <c r="B351" s="277"/>
      <c r="C351" s="277"/>
      <c r="D351" s="445"/>
      <c r="E351" s="445"/>
      <c r="F351" s="445"/>
      <c r="G351" s="445"/>
      <c r="H351" s="445"/>
      <c r="I351" s="445"/>
      <c r="J351" s="445"/>
      <c r="K351" s="1136"/>
      <c r="L351" s="1136"/>
      <c r="M351" s="445"/>
      <c r="N351" s="445"/>
      <c r="O351" s="445"/>
      <c r="P351" s="445"/>
    </row>
    <row r="352" spans="1:16">
      <c r="A352" s="445"/>
      <c r="B352" s="277"/>
      <c r="C352" s="277"/>
      <c r="D352" s="445"/>
      <c r="E352" s="445"/>
      <c r="F352" s="445"/>
      <c r="G352" s="445"/>
      <c r="H352" s="445"/>
      <c r="I352" s="445"/>
      <c r="J352" s="445"/>
      <c r="K352" s="1136"/>
      <c r="L352" s="1136"/>
      <c r="M352" s="445"/>
      <c r="N352" s="445"/>
      <c r="O352" s="445"/>
      <c r="P352" s="445"/>
    </row>
    <row r="353" spans="1:16">
      <c r="A353" s="445"/>
      <c r="B353" s="277"/>
      <c r="C353" s="277"/>
      <c r="D353" s="445"/>
      <c r="E353" s="445"/>
      <c r="F353" s="445"/>
      <c r="G353" s="445"/>
      <c r="H353" s="445"/>
      <c r="I353" s="445"/>
      <c r="J353" s="445"/>
      <c r="K353" s="1136"/>
      <c r="L353" s="1136"/>
      <c r="M353" s="445"/>
      <c r="N353" s="445"/>
      <c r="O353" s="445"/>
      <c r="P353" s="445"/>
    </row>
    <row r="354" spans="1:16">
      <c r="A354" s="445"/>
      <c r="B354" s="277"/>
      <c r="C354" s="277"/>
      <c r="D354" s="445"/>
      <c r="E354" s="445"/>
      <c r="F354" s="445"/>
      <c r="G354" s="445"/>
      <c r="H354" s="445"/>
      <c r="I354" s="445"/>
      <c r="J354" s="445"/>
      <c r="K354" s="1136"/>
      <c r="L354" s="1136"/>
      <c r="M354" s="445"/>
      <c r="N354" s="445"/>
      <c r="O354" s="445"/>
      <c r="P354" s="445"/>
    </row>
    <row r="355" spans="1:16">
      <c r="A355" s="445"/>
      <c r="B355" s="277"/>
      <c r="C355" s="277"/>
      <c r="D355" s="445"/>
      <c r="E355" s="445"/>
      <c r="F355" s="445"/>
      <c r="G355" s="445"/>
      <c r="H355" s="445"/>
      <c r="I355" s="445"/>
      <c r="J355" s="445"/>
      <c r="K355" s="1136"/>
      <c r="L355" s="1136"/>
      <c r="M355" s="445"/>
      <c r="N355" s="445"/>
      <c r="O355" s="445"/>
      <c r="P355" s="445"/>
    </row>
    <row r="356" spans="1:16">
      <c r="A356" s="445"/>
      <c r="B356" s="277"/>
      <c r="C356" s="277"/>
      <c r="D356" s="445"/>
      <c r="E356" s="445"/>
      <c r="F356" s="445"/>
      <c r="G356" s="445"/>
      <c r="H356" s="445"/>
      <c r="I356" s="445"/>
      <c r="J356" s="445"/>
      <c r="K356" s="1136"/>
      <c r="L356" s="1136"/>
      <c r="M356" s="445"/>
      <c r="N356" s="445"/>
      <c r="O356" s="445"/>
      <c r="P356" s="445"/>
    </row>
    <row r="357" spans="1:16">
      <c r="A357" s="445"/>
      <c r="B357" s="277"/>
      <c r="C357" s="277"/>
      <c r="D357" s="445"/>
      <c r="E357" s="445"/>
      <c r="F357" s="445"/>
      <c r="G357" s="445"/>
      <c r="H357" s="445"/>
      <c r="I357" s="445"/>
      <c r="J357" s="445"/>
      <c r="K357" s="1136"/>
      <c r="L357" s="1136"/>
      <c r="M357" s="445"/>
      <c r="N357" s="445"/>
      <c r="O357" s="445"/>
      <c r="P357" s="445"/>
    </row>
    <row r="358" spans="1:16">
      <c r="A358" s="445"/>
      <c r="B358" s="277"/>
      <c r="C358" s="277"/>
      <c r="D358" s="445"/>
      <c r="E358" s="445"/>
      <c r="F358" s="445"/>
      <c r="G358" s="445"/>
      <c r="H358" s="445"/>
      <c r="I358" s="445"/>
      <c r="J358" s="445"/>
      <c r="K358" s="1136"/>
      <c r="L358" s="1136"/>
      <c r="M358" s="445"/>
      <c r="N358" s="445"/>
      <c r="O358" s="445"/>
      <c r="P358" s="445"/>
    </row>
    <row r="359" spans="1:16">
      <c r="A359" s="445"/>
      <c r="B359" s="277"/>
      <c r="C359" s="277"/>
      <c r="D359" s="445"/>
      <c r="E359" s="445"/>
      <c r="F359" s="445"/>
      <c r="G359" s="445"/>
      <c r="H359" s="445"/>
      <c r="I359" s="445"/>
      <c r="J359" s="445"/>
      <c r="K359" s="1136"/>
      <c r="L359" s="1136"/>
      <c r="M359" s="445"/>
      <c r="N359" s="445"/>
      <c r="O359" s="445"/>
      <c r="P359" s="445"/>
    </row>
    <row r="360" spans="1:16">
      <c r="A360" s="445"/>
      <c r="B360" s="277"/>
      <c r="C360" s="277"/>
      <c r="D360" s="445"/>
      <c r="E360" s="445"/>
      <c r="F360" s="445"/>
      <c r="G360" s="445"/>
      <c r="H360" s="445"/>
      <c r="I360" s="445"/>
      <c r="J360" s="445"/>
      <c r="K360" s="1136"/>
      <c r="L360" s="1136"/>
      <c r="M360" s="445"/>
      <c r="N360" s="445"/>
      <c r="O360" s="445"/>
      <c r="P360" s="445"/>
    </row>
    <row r="361" spans="1:16">
      <c r="A361" s="445"/>
      <c r="B361" s="277"/>
      <c r="C361" s="277"/>
      <c r="D361" s="445"/>
      <c r="E361" s="445"/>
      <c r="F361" s="445"/>
      <c r="G361" s="445"/>
      <c r="H361" s="445"/>
      <c r="I361" s="445"/>
      <c r="J361" s="445"/>
      <c r="K361" s="1136"/>
      <c r="L361" s="1136"/>
      <c r="M361" s="445"/>
      <c r="N361" s="445"/>
      <c r="O361" s="445"/>
      <c r="P361" s="445"/>
    </row>
    <row r="362" spans="1:16">
      <c r="A362" s="445"/>
      <c r="B362" s="277"/>
      <c r="C362" s="277"/>
      <c r="D362" s="445"/>
      <c r="E362" s="445"/>
      <c r="F362" s="445"/>
      <c r="G362" s="445"/>
      <c r="H362" s="445"/>
      <c r="I362" s="445"/>
      <c r="J362" s="445"/>
      <c r="K362" s="1136"/>
      <c r="L362" s="1136"/>
      <c r="M362" s="445"/>
      <c r="N362" s="445"/>
      <c r="O362" s="445"/>
      <c r="P362" s="445"/>
    </row>
    <row r="363" spans="1:16">
      <c r="A363" s="445"/>
      <c r="B363" s="277"/>
      <c r="C363" s="277"/>
      <c r="D363" s="445"/>
      <c r="E363" s="445"/>
      <c r="F363" s="445"/>
      <c r="G363" s="445"/>
      <c r="H363" s="445"/>
      <c r="I363" s="445"/>
      <c r="J363" s="445"/>
      <c r="K363" s="1136"/>
      <c r="L363" s="1136"/>
      <c r="M363" s="445"/>
      <c r="N363" s="445"/>
      <c r="O363" s="445"/>
      <c r="P363" s="445"/>
    </row>
    <row r="364" spans="1:16">
      <c r="A364" s="445"/>
      <c r="B364" s="277"/>
      <c r="C364" s="277"/>
      <c r="D364" s="445"/>
      <c r="E364" s="445"/>
      <c r="F364" s="445"/>
      <c r="G364" s="445"/>
      <c r="H364" s="445"/>
      <c r="I364" s="445"/>
      <c r="J364" s="445"/>
      <c r="K364" s="1136"/>
      <c r="L364" s="1136"/>
      <c r="M364" s="445"/>
      <c r="N364" s="445"/>
      <c r="O364" s="445"/>
      <c r="P364" s="445"/>
    </row>
    <row r="365" spans="1:16">
      <c r="A365" s="445"/>
      <c r="B365" s="277"/>
      <c r="C365" s="277"/>
      <c r="D365" s="445"/>
      <c r="E365" s="445"/>
      <c r="F365" s="445"/>
      <c r="G365" s="445"/>
      <c r="H365" s="445"/>
      <c r="I365" s="445"/>
      <c r="J365" s="445"/>
      <c r="K365" s="1136"/>
      <c r="L365" s="1136"/>
      <c r="M365" s="445"/>
      <c r="N365" s="445"/>
      <c r="O365" s="445"/>
      <c r="P365" s="445"/>
    </row>
    <row r="366" spans="1:16">
      <c r="A366" s="445"/>
      <c r="B366" s="277"/>
      <c r="C366" s="277"/>
      <c r="D366" s="445"/>
      <c r="E366" s="445"/>
      <c r="F366" s="445"/>
      <c r="G366" s="445"/>
      <c r="H366" s="445"/>
      <c r="I366" s="445"/>
      <c r="J366" s="445"/>
      <c r="K366" s="1136"/>
      <c r="L366" s="1136"/>
      <c r="M366" s="445"/>
      <c r="N366" s="445"/>
      <c r="O366" s="445"/>
      <c r="P366" s="445"/>
    </row>
    <row r="367" spans="1:16">
      <c r="A367" s="445"/>
      <c r="B367" s="277"/>
      <c r="C367" s="277"/>
      <c r="D367" s="445"/>
      <c r="E367" s="445"/>
      <c r="F367" s="445"/>
      <c r="G367" s="445"/>
      <c r="H367" s="445"/>
      <c r="I367" s="445"/>
      <c r="J367" s="445"/>
      <c r="K367" s="1136"/>
      <c r="L367" s="1136"/>
      <c r="M367" s="445"/>
      <c r="N367" s="445"/>
      <c r="O367" s="445"/>
      <c r="P367" s="445"/>
    </row>
    <row r="368" spans="1:16">
      <c r="A368" s="445"/>
      <c r="B368" s="277"/>
      <c r="C368" s="277"/>
      <c r="D368" s="445"/>
      <c r="E368" s="445"/>
      <c r="F368" s="445"/>
      <c r="G368" s="445"/>
      <c r="H368" s="445"/>
      <c r="I368" s="445"/>
      <c r="J368" s="445"/>
      <c r="K368" s="1136"/>
      <c r="L368" s="1136"/>
      <c r="M368" s="445"/>
      <c r="N368" s="445"/>
      <c r="O368" s="445"/>
      <c r="P368" s="445"/>
    </row>
    <row r="369" spans="1:16">
      <c r="A369" s="445"/>
      <c r="B369" s="277"/>
      <c r="C369" s="277"/>
      <c r="D369" s="445"/>
      <c r="E369" s="445"/>
      <c r="F369" s="445"/>
      <c r="G369" s="445"/>
      <c r="H369" s="445"/>
      <c r="I369" s="445"/>
      <c r="J369" s="445"/>
      <c r="K369" s="1136"/>
      <c r="L369" s="1136"/>
      <c r="M369" s="445"/>
      <c r="N369" s="445"/>
      <c r="O369" s="445"/>
      <c r="P369" s="445"/>
    </row>
    <row r="370" spans="1:16">
      <c r="A370" s="445"/>
      <c r="B370" s="277"/>
      <c r="C370" s="277"/>
      <c r="D370" s="445"/>
      <c r="E370" s="445"/>
      <c r="F370" s="445"/>
      <c r="G370" s="445"/>
      <c r="H370" s="445"/>
      <c r="I370" s="445"/>
      <c r="J370" s="445"/>
      <c r="K370" s="1136"/>
      <c r="L370" s="1136"/>
      <c r="M370" s="445"/>
      <c r="N370" s="445"/>
      <c r="O370" s="445"/>
      <c r="P370" s="445"/>
    </row>
    <row r="371" spans="1:16">
      <c r="A371" s="445"/>
      <c r="B371" s="277"/>
      <c r="C371" s="277"/>
      <c r="D371" s="445"/>
      <c r="E371" s="445"/>
      <c r="F371" s="445"/>
      <c r="G371" s="445"/>
      <c r="H371" s="445"/>
      <c r="I371" s="445"/>
      <c r="J371" s="445"/>
      <c r="K371" s="1136"/>
      <c r="L371" s="1136"/>
      <c r="M371" s="445"/>
      <c r="N371" s="445"/>
      <c r="O371" s="445"/>
      <c r="P371" s="445"/>
    </row>
    <row r="372" spans="1:16">
      <c r="A372" s="445"/>
      <c r="B372" s="277"/>
      <c r="C372" s="277"/>
      <c r="D372" s="445"/>
      <c r="E372" s="445"/>
      <c r="F372" s="445"/>
      <c r="G372" s="445"/>
      <c r="H372" s="445"/>
      <c r="I372" s="445"/>
      <c r="J372" s="445"/>
      <c r="K372" s="1136"/>
      <c r="L372" s="1136"/>
      <c r="M372" s="445"/>
      <c r="N372" s="445"/>
      <c r="O372" s="445"/>
      <c r="P372" s="445"/>
    </row>
    <row r="373" spans="1:16">
      <c r="A373" s="445"/>
      <c r="B373" s="277"/>
      <c r="C373" s="277"/>
      <c r="D373" s="445"/>
      <c r="E373" s="445"/>
      <c r="F373" s="445"/>
      <c r="G373" s="445"/>
      <c r="H373" s="445"/>
      <c r="I373" s="445"/>
      <c r="J373" s="445"/>
      <c r="K373" s="1136"/>
      <c r="L373" s="1136"/>
      <c r="M373" s="445"/>
      <c r="N373" s="445"/>
      <c r="O373" s="445"/>
      <c r="P373" s="445"/>
    </row>
    <row r="374" spans="1:16">
      <c r="A374" s="445"/>
      <c r="B374" s="277"/>
      <c r="C374" s="277"/>
      <c r="D374" s="445"/>
      <c r="E374" s="445"/>
      <c r="F374" s="445"/>
      <c r="G374" s="445"/>
      <c r="H374" s="445"/>
      <c r="I374" s="445"/>
      <c r="J374" s="445"/>
      <c r="K374" s="1136"/>
      <c r="L374" s="1136"/>
      <c r="M374" s="445"/>
      <c r="N374" s="445"/>
      <c r="O374" s="445"/>
      <c r="P374" s="445"/>
    </row>
    <row r="375" spans="1:16">
      <c r="A375" s="445"/>
      <c r="B375" s="277"/>
      <c r="C375" s="277"/>
      <c r="D375" s="445"/>
      <c r="E375" s="445"/>
      <c r="F375" s="445"/>
      <c r="G375" s="445"/>
      <c r="H375" s="445"/>
      <c r="I375" s="445"/>
      <c r="J375" s="445"/>
      <c r="K375" s="1136"/>
      <c r="L375" s="1136"/>
      <c r="M375" s="445"/>
      <c r="N375" s="445"/>
      <c r="O375" s="445"/>
      <c r="P375" s="445"/>
    </row>
    <row r="376" spans="1:16">
      <c r="A376" s="445"/>
      <c r="B376" s="277"/>
      <c r="C376" s="277"/>
      <c r="D376" s="445"/>
      <c r="E376" s="445"/>
      <c r="F376" s="445"/>
      <c r="G376" s="445"/>
      <c r="H376" s="445"/>
      <c r="I376" s="445"/>
      <c r="J376" s="445"/>
      <c r="K376" s="1136"/>
      <c r="L376" s="1136"/>
      <c r="M376" s="445"/>
      <c r="N376" s="445"/>
      <c r="O376" s="445"/>
      <c r="P376" s="445"/>
    </row>
    <row r="377" spans="1:16">
      <c r="A377" s="445"/>
      <c r="B377" s="277"/>
      <c r="C377" s="277"/>
      <c r="D377" s="445"/>
      <c r="E377" s="445"/>
      <c r="F377" s="445"/>
      <c r="G377" s="445"/>
      <c r="H377" s="445"/>
      <c r="I377" s="445"/>
      <c r="J377" s="445"/>
      <c r="K377" s="1136"/>
      <c r="L377" s="1136"/>
      <c r="M377" s="445"/>
      <c r="N377" s="445"/>
      <c r="O377" s="445"/>
      <c r="P377" s="445"/>
    </row>
    <row r="378" spans="1:16">
      <c r="A378" s="445"/>
      <c r="B378" s="277"/>
      <c r="C378" s="277"/>
      <c r="D378" s="445"/>
      <c r="E378" s="445"/>
      <c r="F378" s="445"/>
      <c r="G378" s="445"/>
      <c r="H378" s="445"/>
      <c r="I378" s="445"/>
      <c r="J378" s="445"/>
      <c r="K378" s="1136"/>
      <c r="L378" s="1136"/>
      <c r="M378" s="445"/>
      <c r="N378" s="445"/>
      <c r="O378" s="445"/>
      <c r="P378" s="445"/>
    </row>
    <row r="379" spans="1:16">
      <c r="A379" s="445"/>
      <c r="B379" s="277"/>
      <c r="C379" s="277"/>
      <c r="D379" s="445"/>
      <c r="E379" s="445"/>
      <c r="F379" s="445"/>
      <c r="G379" s="445"/>
      <c r="H379" s="445"/>
      <c r="I379" s="445"/>
      <c r="J379" s="445"/>
      <c r="K379" s="1136"/>
      <c r="L379" s="1136"/>
      <c r="M379" s="445"/>
      <c r="N379" s="445"/>
      <c r="O379" s="445"/>
      <c r="P379" s="445"/>
    </row>
    <row r="380" spans="1:16">
      <c r="A380" s="445"/>
      <c r="B380" s="277"/>
      <c r="C380" s="277"/>
      <c r="D380" s="445"/>
      <c r="E380" s="445"/>
      <c r="F380" s="445"/>
      <c r="G380" s="445"/>
      <c r="H380" s="445"/>
      <c r="I380" s="445"/>
      <c r="J380" s="445"/>
      <c r="K380" s="1136"/>
      <c r="L380" s="1136"/>
      <c r="M380" s="445"/>
      <c r="N380" s="445"/>
      <c r="O380" s="445"/>
      <c r="P380" s="445"/>
    </row>
    <row r="381" spans="1:16">
      <c r="A381" s="445"/>
      <c r="B381" s="277"/>
      <c r="C381" s="277"/>
      <c r="D381" s="445"/>
      <c r="E381" s="445"/>
      <c r="F381" s="445"/>
      <c r="G381" s="445"/>
      <c r="H381" s="445"/>
      <c r="I381" s="445"/>
      <c r="J381" s="445"/>
      <c r="K381" s="1136"/>
      <c r="L381" s="1136"/>
      <c r="M381" s="445"/>
      <c r="N381" s="445"/>
      <c r="O381" s="445"/>
      <c r="P381" s="445"/>
    </row>
    <row r="382" spans="1:16">
      <c r="A382" s="445"/>
      <c r="B382" s="277"/>
      <c r="C382" s="277"/>
      <c r="D382" s="445"/>
      <c r="E382" s="445"/>
      <c r="F382" s="445"/>
      <c r="G382" s="445"/>
      <c r="H382" s="445"/>
      <c r="I382" s="445"/>
      <c r="J382" s="445"/>
      <c r="K382" s="1136"/>
      <c r="L382" s="1136"/>
      <c r="M382" s="445"/>
      <c r="N382" s="445"/>
      <c r="O382" s="445"/>
      <c r="P382" s="445"/>
    </row>
    <row r="383" spans="1:16">
      <c r="A383" s="445"/>
      <c r="B383" s="277"/>
      <c r="C383" s="277"/>
      <c r="D383" s="445"/>
      <c r="E383" s="445"/>
      <c r="F383" s="445"/>
      <c r="G383" s="445"/>
      <c r="H383" s="445"/>
      <c r="I383" s="445"/>
      <c r="J383" s="445"/>
      <c r="K383" s="1136"/>
      <c r="L383" s="1136"/>
      <c r="M383" s="445"/>
      <c r="N383" s="445"/>
      <c r="O383" s="445"/>
      <c r="P383" s="445"/>
    </row>
    <row r="384" spans="1:16">
      <c r="A384" s="445"/>
      <c r="B384" s="277"/>
      <c r="C384" s="277"/>
      <c r="D384" s="445"/>
      <c r="E384" s="445"/>
      <c r="F384" s="445"/>
      <c r="G384" s="445"/>
      <c r="H384" s="445"/>
      <c r="I384" s="445"/>
      <c r="J384" s="445"/>
      <c r="K384" s="1136"/>
      <c r="L384" s="1136"/>
      <c r="M384" s="445"/>
      <c r="N384" s="445"/>
      <c r="O384" s="445"/>
      <c r="P384" s="445"/>
    </row>
    <row r="385" spans="1:16">
      <c r="A385" s="445"/>
      <c r="B385" s="277"/>
      <c r="C385" s="277"/>
      <c r="D385" s="445"/>
      <c r="E385" s="445"/>
      <c r="F385" s="445"/>
      <c r="G385" s="445"/>
      <c r="H385" s="445"/>
      <c r="I385" s="445"/>
      <c r="J385" s="445"/>
      <c r="K385" s="1136"/>
      <c r="L385" s="1136"/>
      <c r="M385" s="445"/>
      <c r="N385" s="445"/>
      <c r="O385" s="445"/>
      <c r="P385" s="445"/>
    </row>
    <row r="386" spans="1:16">
      <c r="A386" s="445"/>
      <c r="B386" s="277"/>
      <c r="C386" s="277"/>
      <c r="D386" s="445"/>
      <c r="E386" s="445"/>
      <c r="F386" s="445"/>
      <c r="G386" s="445"/>
      <c r="H386" s="445"/>
      <c r="I386" s="445"/>
      <c r="J386" s="445"/>
      <c r="K386" s="1136"/>
      <c r="L386" s="1136"/>
      <c r="M386" s="445"/>
      <c r="N386" s="445"/>
      <c r="O386" s="445"/>
      <c r="P386" s="445"/>
    </row>
    <row r="387" spans="1:16">
      <c r="A387" s="445"/>
      <c r="B387" s="277"/>
      <c r="C387" s="277"/>
      <c r="D387" s="445"/>
      <c r="E387" s="445"/>
      <c r="F387" s="445"/>
      <c r="G387" s="445"/>
      <c r="H387" s="445"/>
      <c r="I387" s="445"/>
      <c r="J387" s="445"/>
      <c r="K387" s="1136"/>
      <c r="L387" s="1136"/>
      <c r="M387" s="445"/>
      <c r="N387" s="445"/>
      <c r="O387" s="445"/>
      <c r="P387" s="445"/>
    </row>
    <row r="388" spans="1:16">
      <c r="A388" s="445"/>
      <c r="B388" s="277"/>
      <c r="C388" s="277"/>
      <c r="D388" s="445"/>
      <c r="E388" s="445"/>
      <c r="F388" s="445"/>
      <c r="G388" s="445"/>
      <c r="H388" s="445"/>
      <c r="I388" s="445"/>
      <c r="J388" s="445"/>
      <c r="K388" s="1136"/>
      <c r="L388" s="1136"/>
      <c r="M388" s="445"/>
      <c r="N388" s="445"/>
      <c r="O388" s="445"/>
      <c r="P388" s="445"/>
    </row>
    <row r="389" spans="1:16">
      <c r="A389" s="445"/>
      <c r="B389" s="277"/>
      <c r="C389" s="277"/>
      <c r="D389" s="445"/>
      <c r="E389" s="445"/>
      <c r="F389" s="445"/>
      <c r="G389" s="445"/>
      <c r="H389" s="445"/>
      <c r="I389" s="445"/>
      <c r="J389" s="445"/>
      <c r="K389" s="1136"/>
      <c r="L389" s="1136"/>
      <c r="M389" s="445"/>
      <c r="N389" s="445"/>
      <c r="O389" s="445"/>
      <c r="P389" s="445"/>
    </row>
    <row r="390" spans="1:16">
      <c r="A390" s="445"/>
      <c r="B390" s="277"/>
      <c r="C390" s="277"/>
      <c r="D390" s="445"/>
      <c r="E390" s="445"/>
      <c r="F390" s="445"/>
      <c r="G390" s="445"/>
      <c r="H390" s="445"/>
      <c r="I390" s="445"/>
      <c r="J390" s="445"/>
      <c r="K390" s="1136"/>
      <c r="L390" s="1136"/>
      <c r="M390" s="445"/>
      <c r="N390" s="445"/>
      <c r="O390" s="445"/>
      <c r="P390" s="445"/>
    </row>
    <row r="391" spans="1:16">
      <c r="A391" s="445"/>
      <c r="B391" s="277"/>
      <c r="C391" s="277"/>
      <c r="D391" s="445"/>
      <c r="E391" s="445"/>
      <c r="F391" s="445"/>
      <c r="G391" s="445"/>
      <c r="H391" s="445"/>
      <c r="I391" s="445"/>
      <c r="J391" s="445"/>
      <c r="K391" s="1136"/>
      <c r="L391" s="1136"/>
      <c r="M391" s="445"/>
      <c r="N391" s="445"/>
      <c r="O391" s="445"/>
      <c r="P391" s="445"/>
    </row>
    <row r="392" spans="1:16">
      <c r="A392" s="445"/>
      <c r="B392" s="277"/>
      <c r="C392" s="277"/>
      <c r="D392" s="445"/>
      <c r="E392" s="445"/>
      <c r="F392" s="445"/>
      <c r="G392" s="445"/>
      <c r="H392" s="445"/>
      <c r="I392" s="445"/>
      <c r="J392" s="445"/>
      <c r="K392" s="1136"/>
      <c r="L392" s="1136"/>
      <c r="M392" s="445"/>
      <c r="N392" s="445"/>
      <c r="O392" s="445"/>
      <c r="P392" s="445"/>
    </row>
    <row r="393" spans="1:16">
      <c r="A393" s="445"/>
      <c r="B393" s="277"/>
      <c r="C393" s="277"/>
      <c r="D393" s="445"/>
      <c r="E393" s="445"/>
      <c r="F393" s="445"/>
      <c r="G393" s="445"/>
      <c r="H393" s="445"/>
      <c r="I393" s="445"/>
      <c r="J393" s="445"/>
      <c r="K393" s="1136"/>
      <c r="L393" s="1136"/>
      <c r="M393" s="445"/>
      <c r="N393" s="445"/>
      <c r="O393" s="445"/>
      <c r="P393" s="445"/>
    </row>
    <row r="394" spans="1:16">
      <c r="A394" s="445"/>
      <c r="B394" s="277"/>
      <c r="C394" s="277"/>
      <c r="D394" s="445"/>
      <c r="E394" s="445"/>
      <c r="F394" s="445"/>
      <c r="G394" s="445"/>
      <c r="H394" s="445"/>
      <c r="I394" s="445"/>
      <c r="J394" s="445"/>
      <c r="K394" s="1136"/>
      <c r="L394" s="1136"/>
      <c r="M394" s="445"/>
      <c r="N394" s="445"/>
      <c r="O394" s="445"/>
      <c r="P394" s="445"/>
    </row>
    <row r="395" spans="1:16">
      <c r="A395" s="445"/>
      <c r="B395" s="277"/>
      <c r="C395" s="277"/>
      <c r="D395" s="445"/>
      <c r="E395" s="445"/>
      <c r="F395" s="445"/>
      <c r="G395" s="445"/>
      <c r="H395" s="445"/>
      <c r="I395" s="445"/>
      <c r="J395" s="445"/>
      <c r="K395" s="1136"/>
      <c r="L395" s="1136"/>
      <c r="M395" s="445"/>
      <c r="N395" s="445"/>
      <c r="O395" s="445"/>
      <c r="P395" s="445"/>
    </row>
    <row r="396" spans="1:16">
      <c r="A396" s="445"/>
      <c r="B396" s="277"/>
      <c r="C396" s="277"/>
      <c r="D396" s="445"/>
      <c r="E396" s="445"/>
      <c r="F396" s="445"/>
      <c r="G396" s="445"/>
      <c r="H396" s="445"/>
      <c r="I396" s="445"/>
      <c r="J396" s="445"/>
      <c r="K396" s="1136"/>
      <c r="L396" s="1136"/>
      <c r="M396" s="445"/>
      <c r="N396" s="445"/>
      <c r="O396" s="445"/>
      <c r="P396" s="445"/>
    </row>
    <row r="397" spans="1:16">
      <c r="A397" s="445"/>
      <c r="B397" s="277"/>
      <c r="C397" s="277"/>
      <c r="D397" s="445"/>
      <c r="E397" s="445"/>
      <c r="F397" s="445"/>
      <c r="G397" s="445"/>
      <c r="H397" s="445"/>
      <c r="I397" s="445"/>
      <c r="J397" s="445"/>
      <c r="K397" s="1136"/>
      <c r="L397" s="1136"/>
      <c r="M397" s="445"/>
      <c r="N397" s="445"/>
      <c r="O397" s="445"/>
      <c r="P397" s="445"/>
    </row>
    <row r="398" spans="1:16">
      <c r="A398" s="445"/>
      <c r="B398" s="277"/>
      <c r="C398" s="277"/>
      <c r="D398" s="445"/>
      <c r="E398" s="445"/>
      <c r="F398" s="445"/>
      <c r="G398" s="445"/>
      <c r="H398" s="445"/>
      <c r="I398" s="445"/>
      <c r="J398" s="445"/>
      <c r="K398" s="1136"/>
      <c r="L398" s="1136"/>
      <c r="M398" s="445"/>
      <c r="N398" s="445"/>
      <c r="O398" s="445"/>
      <c r="P398" s="445"/>
    </row>
    <row r="399" spans="1:16">
      <c r="A399" s="445"/>
      <c r="B399" s="277"/>
      <c r="C399" s="277"/>
      <c r="D399" s="445"/>
      <c r="E399" s="445"/>
      <c r="F399" s="445"/>
      <c r="G399" s="445"/>
      <c r="H399" s="445"/>
      <c r="I399" s="445"/>
      <c r="J399" s="445"/>
      <c r="K399" s="1136"/>
      <c r="L399" s="1136"/>
      <c r="M399" s="445"/>
      <c r="N399" s="445"/>
      <c r="O399" s="445"/>
      <c r="P399" s="445"/>
    </row>
    <row r="400" spans="1:16">
      <c r="A400" s="445"/>
      <c r="B400" s="277"/>
      <c r="C400" s="277"/>
      <c r="D400" s="445"/>
      <c r="E400" s="445"/>
      <c r="F400" s="445"/>
      <c r="G400" s="445"/>
      <c r="H400" s="445"/>
      <c r="I400" s="445"/>
      <c r="J400" s="445"/>
      <c r="K400" s="1136"/>
      <c r="L400" s="1136"/>
      <c r="M400" s="445"/>
      <c r="N400" s="445"/>
      <c r="O400" s="445"/>
      <c r="P400" s="445"/>
    </row>
    <row r="401" spans="1:16">
      <c r="A401" s="445"/>
      <c r="B401" s="277"/>
      <c r="C401" s="277"/>
      <c r="D401" s="445"/>
      <c r="E401" s="445"/>
      <c r="F401" s="445"/>
      <c r="G401" s="445"/>
      <c r="H401" s="445"/>
      <c r="I401" s="445"/>
      <c r="J401" s="445"/>
      <c r="K401" s="1136"/>
      <c r="L401" s="1136"/>
      <c r="M401" s="445"/>
      <c r="N401" s="445"/>
      <c r="O401" s="445"/>
      <c r="P401" s="445"/>
    </row>
    <row r="402" spans="1:16">
      <c r="A402" s="445"/>
      <c r="B402" s="277"/>
      <c r="C402" s="277"/>
      <c r="D402" s="445"/>
      <c r="E402" s="445"/>
      <c r="F402" s="445"/>
      <c r="G402" s="445"/>
      <c r="H402" s="445"/>
      <c r="I402" s="445"/>
      <c r="J402" s="445"/>
      <c r="K402" s="1136"/>
      <c r="L402" s="1136"/>
      <c r="M402" s="445"/>
      <c r="N402" s="445"/>
      <c r="O402" s="445"/>
      <c r="P402" s="445"/>
    </row>
    <row r="403" spans="1:16">
      <c r="A403" s="445"/>
      <c r="B403" s="277"/>
      <c r="C403" s="277"/>
      <c r="D403" s="445"/>
      <c r="E403" s="445"/>
      <c r="F403" s="445"/>
      <c r="G403" s="445"/>
      <c r="H403" s="445"/>
      <c r="I403" s="445"/>
      <c r="J403" s="445"/>
      <c r="K403" s="1136"/>
      <c r="L403" s="1136"/>
      <c r="M403" s="445"/>
      <c r="N403" s="445"/>
      <c r="O403" s="445"/>
      <c r="P403" s="445"/>
    </row>
    <row r="404" spans="1:16">
      <c r="A404" s="445"/>
      <c r="B404" s="277"/>
      <c r="C404" s="277"/>
      <c r="D404" s="445"/>
      <c r="E404" s="445"/>
      <c r="F404" s="445"/>
      <c r="G404" s="445"/>
      <c r="H404" s="445"/>
      <c r="I404" s="445"/>
      <c r="J404" s="445"/>
      <c r="K404" s="1136"/>
      <c r="L404" s="1136"/>
      <c r="M404" s="445"/>
      <c r="N404" s="445"/>
      <c r="O404" s="445"/>
      <c r="P404" s="445"/>
    </row>
    <row r="405" spans="1:16">
      <c r="A405" s="445"/>
      <c r="B405" s="277"/>
      <c r="C405" s="277"/>
      <c r="D405" s="445"/>
      <c r="E405" s="445"/>
      <c r="F405" s="445"/>
      <c r="G405" s="445"/>
      <c r="H405" s="445"/>
      <c r="I405" s="445"/>
      <c r="J405" s="445"/>
      <c r="K405" s="1136"/>
      <c r="L405" s="1136"/>
      <c r="M405" s="445"/>
      <c r="N405" s="445"/>
      <c r="O405" s="445"/>
      <c r="P405" s="445"/>
    </row>
    <row r="406" spans="1:16">
      <c r="A406" s="445"/>
      <c r="B406" s="277"/>
      <c r="C406" s="277"/>
      <c r="D406" s="445"/>
      <c r="E406" s="445"/>
      <c r="F406" s="445"/>
      <c r="G406" s="445"/>
      <c r="H406" s="445"/>
      <c r="I406" s="445"/>
      <c r="J406" s="445"/>
      <c r="K406" s="1136"/>
      <c r="L406" s="1136"/>
      <c r="M406" s="445"/>
      <c r="N406" s="445"/>
      <c r="O406" s="445"/>
      <c r="P406" s="445"/>
    </row>
    <row r="407" spans="1:16">
      <c r="A407" s="445"/>
      <c r="B407" s="277"/>
      <c r="C407" s="277"/>
      <c r="D407" s="445"/>
      <c r="E407" s="445"/>
      <c r="F407" s="445"/>
      <c r="G407" s="445"/>
      <c r="H407" s="445"/>
      <c r="I407" s="445"/>
      <c r="J407" s="445"/>
      <c r="K407" s="1136"/>
      <c r="L407" s="1136"/>
      <c r="M407" s="445"/>
      <c r="N407" s="445"/>
      <c r="O407" s="445"/>
      <c r="P407" s="445"/>
    </row>
    <row r="408" spans="1:16">
      <c r="A408" s="445"/>
      <c r="B408" s="277"/>
      <c r="C408" s="277"/>
      <c r="D408" s="445"/>
      <c r="E408" s="445"/>
      <c r="F408" s="445"/>
      <c r="G408" s="445"/>
      <c r="H408" s="445"/>
      <c r="I408" s="445"/>
      <c r="J408" s="445"/>
      <c r="K408" s="1136"/>
      <c r="L408" s="1136"/>
      <c r="M408" s="445"/>
      <c r="N408" s="445"/>
      <c r="O408" s="445"/>
      <c r="P408" s="445"/>
    </row>
    <row r="409" spans="1:16">
      <c r="A409" s="445"/>
      <c r="B409" s="277"/>
      <c r="C409" s="277"/>
      <c r="D409" s="445"/>
      <c r="E409" s="445"/>
      <c r="F409" s="445"/>
      <c r="G409" s="445"/>
      <c r="H409" s="445"/>
      <c r="I409" s="445"/>
      <c r="J409" s="445"/>
      <c r="K409" s="1136"/>
      <c r="L409" s="1136"/>
      <c r="M409" s="445"/>
      <c r="N409" s="445"/>
      <c r="O409" s="445"/>
      <c r="P409" s="445"/>
    </row>
    <row r="410" spans="1:16">
      <c r="A410" s="445"/>
      <c r="B410" s="277"/>
      <c r="C410" s="277"/>
      <c r="D410" s="445"/>
      <c r="E410" s="445"/>
      <c r="F410" s="445"/>
      <c r="G410" s="445"/>
      <c r="H410" s="445"/>
      <c r="I410" s="445"/>
      <c r="J410" s="445"/>
      <c r="K410" s="1136"/>
      <c r="L410" s="1136"/>
      <c r="M410" s="445"/>
      <c r="N410" s="445"/>
      <c r="O410" s="445"/>
      <c r="P410" s="445"/>
    </row>
    <row r="411" spans="1:16">
      <c r="A411" s="445"/>
      <c r="B411" s="277"/>
      <c r="C411" s="277"/>
      <c r="D411" s="445"/>
      <c r="E411" s="445"/>
      <c r="F411" s="445"/>
      <c r="G411" s="445"/>
      <c r="H411" s="445"/>
      <c r="I411" s="445"/>
      <c r="J411" s="445"/>
      <c r="K411" s="1136"/>
      <c r="L411" s="1136"/>
      <c r="M411" s="445"/>
      <c r="N411" s="445"/>
      <c r="O411" s="445"/>
      <c r="P411" s="445"/>
    </row>
    <row r="412" spans="1:16">
      <c r="A412" s="445"/>
      <c r="B412" s="277"/>
      <c r="C412" s="277"/>
      <c r="D412" s="445"/>
      <c r="E412" s="445"/>
      <c r="F412" s="445"/>
      <c r="G412" s="445"/>
      <c r="H412" s="445"/>
      <c r="I412" s="445"/>
      <c r="J412" s="445"/>
      <c r="K412" s="1136"/>
      <c r="L412" s="1136"/>
      <c r="M412" s="445"/>
      <c r="N412" s="445"/>
      <c r="O412" s="445"/>
      <c r="P412" s="445"/>
    </row>
    <row r="413" spans="1:16">
      <c r="A413" s="445"/>
      <c r="B413" s="277"/>
      <c r="C413" s="277"/>
      <c r="D413" s="445"/>
      <c r="E413" s="445"/>
      <c r="F413" s="445"/>
      <c r="G413" s="445"/>
      <c r="H413" s="445"/>
      <c r="I413" s="445"/>
      <c r="J413" s="445"/>
      <c r="K413" s="1136"/>
      <c r="L413" s="1136"/>
      <c r="M413" s="445"/>
      <c r="N413" s="445"/>
      <c r="O413" s="445"/>
      <c r="P413" s="445"/>
    </row>
    <row r="414" spans="1:16">
      <c r="A414" s="445"/>
      <c r="B414" s="277"/>
      <c r="C414" s="277"/>
      <c r="D414" s="445"/>
      <c r="E414" s="445"/>
      <c r="F414" s="445"/>
      <c r="G414" s="445"/>
      <c r="H414" s="445"/>
      <c r="I414" s="445"/>
      <c r="J414" s="445"/>
      <c r="K414" s="1136"/>
      <c r="L414" s="1136"/>
      <c r="M414" s="445"/>
      <c r="N414" s="445"/>
      <c r="O414" s="445"/>
      <c r="P414" s="445"/>
    </row>
    <row r="415" spans="1:16">
      <c r="A415" s="445"/>
      <c r="B415" s="277"/>
      <c r="C415" s="277"/>
      <c r="D415" s="445"/>
      <c r="E415" s="445"/>
      <c r="F415" s="445"/>
      <c r="G415" s="445"/>
      <c r="H415" s="445"/>
      <c r="I415" s="445"/>
      <c r="J415" s="445"/>
      <c r="K415" s="1136"/>
      <c r="L415" s="1136"/>
      <c r="M415" s="445"/>
      <c r="N415" s="445"/>
      <c r="O415" s="445"/>
      <c r="P415" s="445"/>
    </row>
    <row r="416" spans="1:16">
      <c r="A416" s="445"/>
      <c r="B416" s="277"/>
      <c r="C416" s="277"/>
      <c r="D416" s="445"/>
      <c r="E416" s="445"/>
      <c r="F416" s="445"/>
      <c r="G416" s="445"/>
      <c r="H416" s="445"/>
      <c r="I416" s="445"/>
      <c r="J416" s="445"/>
      <c r="K416" s="1136"/>
      <c r="L416" s="1136"/>
      <c r="M416" s="445"/>
      <c r="N416" s="445"/>
      <c r="O416" s="445"/>
      <c r="P416" s="445"/>
    </row>
    <row r="417" spans="1:16">
      <c r="A417" s="445"/>
      <c r="B417" s="277"/>
      <c r="C417" s="277"/>
      <c r="D417" s="445"/>
      <c r="E417" s="445"/>
      <c r="F417" s="445"/>
      <c r="G417" s="445"/>
      <c r="H417" s="445"/>
      <c r="I417" s="445"/>
      <c r="J417" s="445"/>
      <c r="K417" s="1136"/>
      <c r="L417" s="1136"/>
      <c r="M417" s="445"/>
      <c r="N417" s="445"/>
      <c r="O417" s="445"/>
      <c r="P417" s="445"/>
    </row>
    <row r="418" spans="1:16">
      <c r="A418" s="445"/>
      <c r="B418" s="277"/>
      <c r="C418" s="277"/>
      <c r="D418" s="445"/>
      <c r="E418" s="445"/>
      <c r="F418" s="445"/>
      <c r="G418" s="445"/>
      <c r="H418" s="445"/>
      <c r="I418" s="445"/>
      <c r="J418" s="445"/>
      <c r="K418" s="1136"/>
      <c r="L418" s="1136"/>
      <c r="M418" s="445"/>
      <c r="N418" s="445"/>
      <c r="O418" s="445"/>
      <c r="P418" s="445"/>
    </row>
    <row r="419" spans="1:16">
      <c r="A419" s="445"/>
      <c r="B419" s="277"/>
      <c r="C419" s="277"/>
      <c r="D419" s="445"/>
      <c r="E419" s="445"/>
      <c r="F419" s="445"/>
      <c r="G419" s="445"/>
      <c r="H419" s="445"/>
      <c r="I419" s="445"/>
      <c r="J419" s="445"/>
      <c r="K419" s="1136"/>
      <c r="L419" s="1136"/>
      <c r="M419" s="445"/>
      <c r="N419" s="445"/>
      <c r="O419" s="445"/>
      <c r="P419" s="445"/>
    </row>
    <row r="420" spans="1:16">
      <c r="A420" s="445"/>
      <c r="B420" s="277"/>
      <c r="C420" s="277"/>
      <c r="D420" s="445"/>
      <c r="E420" s="445"/>
      <c r="F420" s="445"/>
      <c r="G420" s="445"/>
      <c r="H420" s="445"/>
      <c r="I420" s="445"/>
      <c r="J420" s="445"/>
      <c r="K420" s="1136"/>
      <c r="L420" s="1136"/>
      <c r="M420" s="445"/>
      <c r="N420" s="445"/>
      <c r="O420" s="445"/>
      <c r="P420" s="445"/>
    </row>
    <row r="421" spans="1:16">
      <c r="A421" s="445"/>
      <c r="B421" s="277"/>
      <c r="C421" s="277"/>
      <c r="D421" s="445"/>
      <c r="E421" s="445"/>
      <c r="F421" s="445"/>
      <c r="G421" s="445"/>
      <c r="H421" s="445"/>
      <c r="I421" s="445"/>
      <c r="J421" s="445"/>
      <c r="K421" s="1136"/>
      <c r="L421" s="1136"/>
      <c r="M421" s="445"/>
      <c r="N421" s="445"/>
      <c r="O421" s="445"/>
      <c r="P421" s="445"/>
    </row>
    <row r="422" spans="1:16">
      <c r="A422" s="445"/>
      <c r="B422" s="277"/>
      <c r="C422" s="277"/>
      <c r="D422" s="445"/>
      <c r="E422" s="445"/>
      <c r="F422" s="445"/>
      <c r="G422" s="445"/>
      <c r="H422" s="445"/>
      <c r="I422" s="445"/>
      <c r="J422" s="445"/>
      <c r="K422" s="1136"/>
      <c r="L422" s="1136"/>
      <c r="M422" s="445"/>
      <c r="N422" s="445"/>
      <c r="O422" s="445"/>
      <c r="P422" s="445"/>
    </row>
    <row r="423" spans="1:16">
      <c r="A423" s="445"/>
      <c r="B423" s="277"/>
      <c r="C423" s="277"/>
      <c r="D423" s="445"/>
      <c r="E423" s="445"/>
      <c r="F423" s="445"/>
      <c r="G423" s="445"/>
      <c r="H423" s="445"/>
      <c r="I423" s="445"/>
      <c r="J423" s="445"/>
      <c r="K423" s="1136"/>
      <c r="L423" s="1136"/>
      <c r="M423" s="445"/>
      <c r="N423" s="445"/>
      <c r="O423" s="445"/>
      <c r="P423" s="445"/>
    </row>
    <row r="424" spans="1:16">
      <c r="A424" s="445"/>
      <c r="B424" s="277"/>
      <c r="C424" s="277"/>
      <c r="D424" s="445"/>
      <c r="E424" s="445"/>
      <c r="F424" s="445"/>
      <c r="G424" s="445"/>
      <c r="H424" s="445"/>
      <c r="I424" s="445"/>
      <c r="J424" s="445"/>
      <c r="K424" s="1136"/>
      <c r="L424" s="1136"/>
      <c r="M424" s="445"/>
      <c r="N424" s="445"/>
      <c r="O424" s="445"/>
      <c r="P424" s="445"/>
    </row>
    <row r="425" spans="1:16">
      <c r="A425" s="445"/>
      <c r="B425" s="277"/>
      <c r="C425" s="277"/>
      <c r="D425" s="445"/>
      <c r="E425" s="445"/>
      <c r="F425" s="445"/>
      <c r="G425" s="445"/>
      <c r="H425" s="445"/>
      <c r="I425" s="445"/>
      <c r="J425" s="445"/>
      <c r="K425" s="1136"/>
      <c r="L425" s="1136"/>
      <c r="M425" s="445"/>
      <c r="N425" s="445"/>
      <c r="O425" s="445"/>
      <c r="P425" s="445"/>
    </row>
    <row r="426" spans="1:16">
      <c r="A426" s="445"/>
      <c r="B426" s="277"/>
      <c r="C426" s="277"/>
      <c r="D426" s="445"/>
      <c r="E426" s="445"/>
      <c r="F426" s="445"/>
      <c r="G426" s="445"/>
      <c r="H426" s="445"/>
      <c r="I426" s="445"/>
      <c r="J426" s="445"/>
      <c r="K426" s="1136"/>
      <c r="L426" s="1136"/>
      <c r="M426" s="445"/>
      <c r="N426" s="445"/>
      <c r="O426" s="445"/>
      <c r="P426" s="445"/>
    </row>
    <row r="427" spans="1:16">
      <c r="A427" s="445"/>
      <c r="B427" s="277"/>
      <c r="C427" s="277"/>
      <c r="D427" s="445"/>
      <c r="E427" s="445"/>
      <c r="F427" s="445"/>
      <c r="G427" s="445"/>
      <c r="H427" s="445"/>
      <c r="I427" s="445"/>
      <c r="J427" s="445"/>
      <c r="K427" s="1136"/>
      <c r="L427" s="1136"/>
      <c r="M427" s="445"/>
      <c r="N427" s="445"/>
      <c r="O427" s="445"/>
      <c r="P427" s="445"/>
    </row>
    <row r="428" spans="1:16">
      <c r="A428" s="445"/>
      <c r="B428" s="277"/>
      <c r="C428" s="277"/>
      <c r="D428" s="445"/>
      <c r="E428" s="445"/>
      <c r="F428" s="445"/>
      <c r="G428" s="445"/>
      <c r="H428" s="445"/>
      <c r="I428" s="445"/>
      <c r="J428" s="445"/>
      <c r="K428" s="1136"/>
      <c r="L428" s="1136"/>
      <c r="M428" s="445"/>
      <c r="N428" s="445"/>
      <c r="O428" s="445"/>
      <c r="P428" s="445"/>
    </row>
    <row r="429" spans="1:16">
      <c r="A429" s="445"/>
      <c r="B429" s="277"/>
      <c r="C429" s="277"/>
      <c r="D429" s="445"/>
      <c r="E429" s="445"/>
      <c r="F429" s="445"/>
      <c r="G429" s="445"/>
      <c r="H429" s="445"/>
      <c r="I429" s="445"/>
      <c r="J429" s="445"/>
      <c r="K429" s="1136"/>
      <c r="L429" s="1136"/>
      <c r="M429" s="445"/>
      <c r="N429" s="445"/>
      <c r="O429" s="445"/>
      <c r="P429" s="445"/>
    </row>
    <row r="430" spans="1:16">
      <c r="A430" s="445"/>
      <c r="B430" s="277"/>
      <c r="C430" s="277"/>
      <c r="D430" s="445"/>
      <c r="E430" s="445"/>
      <c r="F430" s="445"/>
      <c r="G430" s="445"/>
      <c r="H430" s="445"/>
      <c r="I430" s="445"/>
      <c r="J430" s="445"/>
      <c r="K430" s="1136"/>
      <c r="L430" s="1136"/>
      <c r="M430" s="445"/>
      <c r="N430" s="445"/>
      <c r="O430" s="445"/>
      <c r="P430" s="445"/>
    </row>
    <row r="431" spans="1:16">
      <c r="A431" s="445"/>
      <c r="B431" s="277"/>
      <c r="C431" s="277"/>
      <c r="D431" s="445"/>
      <c r="E431" s="445"/>
      <c r="F431" s="445"/>
      <c r="G431" s="445"/>
      <c r="H431" s="445"/>
      <c r="I431" s="445"/>
      <c r="J431" s="445"/>
      <c r="K431" s="1136"/>
      <c r="L431" s="1136"/>
      <c r="M431" s="445"/>
      <c r="N431" s="445"/>
      <c r="O431" s="445"/>
      <c r="P431" s="445"/>
    </row>
    <row r="432" spans="1:16">
      <c r="A432" s="445"/>
      <c r="B432" s="277"/>
      <c r="C432" s="277"/>
      <c r="D432" s="445"/>
      <c r="E432" s="445"/>
      <c r="F432" s="445"/>
      <c r="G432" s="445"/>
      <c r="H432" s="445"/>
      <c r="I432" s="445"/>
      <c r="J432" s="445"/>
      <c r="K432" s="1136"/>
      <c r="L432" s="1136"/>
      <c r="M432" s="445"/>
      <c r="N432" s="445"/>
      <c r="O432" s="445"/>
      <c r="P432" s="445"/>
    </row>
    <row r="433" spans="1:16">
      <c r="A433" s="445"/>
      <c r="B433" s="277"/>
      <c r="C433" s="277"/>
      <c r="D433" s="445"/>
      <c r="E433" s="445"/>
      <c r="F433" s="445"/>
      <c r="G433" s="445"/>
      <c r="H433" s="445"/>
      <c r="I433" s="445"/>
      <c r="J433" s="445"/>
      <c r="K433" s="1136"/>
      <c r="L433" s="1136"/>
      <c r="M433" s="445"/>
      <c r="N433" s="445"/>
      <c r="O433" s="445"/>
      <c r="P433" s="445"/>
    </row>
    <row r="434" spans="1:16">
      <c r="A434" s="445"/>
      <c r="B434" s="277"/>
      <c r="C434" s="277"/>
      <c r="D434" s="445"/>
      <c r="E434" s="445"/>
      <c r="F434" s="445"/>
      <c r="G434" s="445"/>
      <c r="H434" s="445"/>
      <c r="I434" s="445"/>
      <c r="J434" s="445"/>
      <c r="K434" s="1136"/>
      <c r="L434" s="1136"/>
      <c r="M434" s="445"/>
      <c r="N434" s="445"/>
      <c r="O434" s="445"/>
      <c r="P434" s="445"/>
    </row>
    <row r="435" spans="1:16">
      <c r="A435" s="445"/>
      <c r="B435" s="277"/>
      <c r="C435" s="277"/>
      <c r="D435" s="445"/>
      <c r="E435" s="445"/>
      <c r="F435" s="445"/>
      <c r="G435" s="445"/>
      <c r="H435" s="445"/>
      <c r="I435" s="445"/>
      <c r="J435" s="445"/>
      <c r="K435" s="1136"/>
      <c r="L435" s="1136"/>
      <c r="M435" s="445"/>
      <c r="N435" s="445"/>
      <c r="O435" s="445"/>
      <c r="P435" s="445"/>
    </row>
    <row r="436" spans="1:16">
      <c r="A436" s="445"/>
      <c r="B436" s="277"/>
      <c r="C436" s="277"/>
      <c r="D436" s="445"/>
      <c r="E436" s="445"/>
      <c r="F436" s="445"/>
      <c r="G436" s="445"/>
      <c r="H436" s="445"/>
      <c r="I436" s="445"/>
      <c r="J436" s="445"/>
      <c r="K436" s="1136"/>
      <c r="L436" s="1136"/>
      <c r="M436" s="445"/>
      <c r="N436" s="445"/>
      <c r="O436" s="445"/>
      <c r="P436" s="445"/>
    </row>
    <row r="437" spans="1:16">
      <c r="A437" s="445"/>
      <c r="B437" s="277"/>
      <c r="C437" s="277"/>
      <c r="D437" s="445"/>
      <c r="E437" s="445"/>
      <c r="F437" s="445"/>
      <c r="G437" s="445"/>
      <c r="H437" s="445"/>
      <c r="I437" s="445"/>
      <c r="J437" s="445"/>
      <c r="K437" s="1136"/>
      <c r="L437" s="1136"/>
      <c r="M437" s="445"/>
      <c r="N437" s="445"/>
      <c r="O437" s="445"/>
      <c r="P437" s="445"/>
    </row>
    <row r="438" spans="1:16">
      <c r="A438" s="445"/>
      <c r="B438" s="277"/>
      <c r="C438" s="277"/>
      <c r="D438" s="445"/>
      <c r="E438" s="445"/>
      <c r="F438" s="445"/>
      <c r="G438" s="445"/>
      <c r="H438" s="445"/>
      <c r="I438" s="445"/>
      <c r="J438" s="445"/>
      <c r="K438" s="1136"/>
      <c r="L438" s="1136"/>
      <c r="M438" s="445"/>
      <c r="N438" s="445"/>
      <c r="O438" s="445"/>
      <c r="P438" s="445"/>
    </row>
    <row r="439" spans="1:16">
      <c r="A439" s="445"/>
      <c r="B439" s="277"/>
      <c r="C439" s="277"/>
      <c r="D439" s="445"/>
      <c r="E439" s="445"/>
      <c r="F439" s="445"/>
      <c r="G439" s="445"/>
      <c r="H439" s="445"/>
      <c r="I439" s="445"/>
      <c r="J439" s="445"/>
      <c r="K439" s="1136"/>
      <c r="L439" s="1136"/>
      <c r="M439" s="445"/>
      <c r="N439" s="445"/>
      <c r="O439" s="445"/>
      <c r="P439" s="445"/>
    </row>
    <row r="440" spans="1:16">
      <c r="A440" s="445"/>
      <c r="B440" s="277"/>
      <c r="C440" s="277"/>
      <c r="D440" s="445"/>
      <c r="E440" s="445"/>
      <c r="F440" s="445"/>
      <c r="G440" s="445"/>
      <c r="H440" s="445"/>
      <c r="I440" s="445"/>
      <c r="J440" s="445"/>
      <c r="K440" s="1136"/>
      <c r="L440" s="1136"/>
      <c r="M440" s="445"/>
      <c r="N440" s="445"/>
      <c r="O440" s="445"/>
      <c r="P440" s="445"/>
    </row>
    <row r="441" spans="1:16">
      <c r="A441" s="445"/>
      <c r="B441" s="277"/>
      <c r="C441" s="277"/>
      <c r="D441" s="445"/>
      <c r="E441" s="445"/>
      <c r="F441" s="445"/>
      <c r="G441" s="445"/>
      <c r="H441" s="445"/>
      <c r="I441" s="445"/>
      <c r="J441" s="445"/>
      <c r="K441" s="1136"/>
      <c r="L441" s="1136"/>
      <c r="M441" s="445"/>
      <c r="N441" s="445"/>
      <c r="O441" s="445"/>
      <c r="P441" s="445"/>
    </row>
    <row r="442" spans="1:16">
      <c r="A442" s="445"/>
      <c r="B442" s="277"/>
      <c r="C442" s="277"/>
      <c r="D442" s="445"/>
      <c r="E442" s="445"/>
      <c r="F442" s="445"/>
      <c r="G442" s="445"/>
      <c r="H442" s="445"/>
      <c r="I442" s="445"/>
      <c r="J442" s="445"/>
      <c r="K442" s="1136"/>
      <c r="L442" s="1136"/>
      <c r="M442" s="445"/>
      <c r="N442" s="445"/>
      <c r="O442" s="445"/>
      <c r="P442" s="445"/>
    </row>
    <row r="443" spans="1:16">
      <c r="A443" s="445"/>
      <c r="B443" s="277"/>
      <c r="C443" s="277"/>
      <c r="D443" s="445"/>
      <c r="E443" s="445"/>
      <c r="F443" s="445"/>
      <c r="G443" s="445"/>
      <c r="H443" s="445"/>
      <c r="I443" s="445"/>
      <c r="J443" s="445"/>
      <c r="K443" s="1136"/>
      <c r="L443" s="1136"/>
      <c r="M443" s="445"/>
      <c r="N443" s="445"/>
      <c r="O443" s="445"/>
      <c r="P443" s="445"/>
    </row>
    <row r="444" spans="1:16">
      <c r="A444" s="445"/>
      <c r="B444" s="277"/>
      <c r="C444" s="277"/>
      <c r="D444" s="445"/>
      <c r="E444" s="445"/>
      <c r="F444" s="445"/>
      <c r="G444" s="445"/>
      <c r="H444" s="445"/>
      <c r="I444" s="445"/>
      <c r="J444" s="445"/>
      <c r="K444" s="1136"/>
      <c r="L444" s="1136"/>
      <c r="M444" s="445"/>
      <c r="N444" s="445"/>
      <c r="O444" s="445"/>
      <c r="P444" s="445"/>
    </row>
    <row r="445" spans="1:16">
      <c r="A445" s="445"/>
      <c r="B445" s="277"/>
      <c r="C445" s="277"/>
      <c r="D445" s="445"/>
      <c r="E445" s="445"/>
      <c r="F445" s="445"/>
      <c r="G445" s="445"/>
      <c r="H445" s="445"/>
      <c r="I445" s="445"/>
      <c r="J445" s="445"/>
      <c r="K445" s="1136"/>
      <c r="L445" s="1136"/>
      <c r="M445" s="445"/>
      <c r="N445" s="445"/>
      <c r="O445" s="445"/>
      <c r="P445" s="445"/>
    </row>
    <row r="446" spans="1:16">
      <c r="A446" s="445"/>
      <c r="B446" s="277"/>
      <c r="C446" s="277"/>
      <c r="D446" s="445"/>
      <c r="E446" s="445"/>
      <c r="F446" s="445"/>
      <c r="G446" s="445"/>
      <c r="H446" s="445"/>
      <c r="I446" s="445"/>
      <c r="J446" s="445"/>
      <c r="K446" s="1136"/>
      <c r="L446" s="1136"/>
      <c r="M446" s="445"/>
      <c r="N446" s="445"/>
      <c r="O446" s="445"/>
      <c r="P446" s="445"/>
    </row>
    <row r="447" spans="1:16">
      <c r="A447" s="445"/>
      <c r="B447" s="277"/>
      <c r="C447" s="277"/>
      <c r="D447" s="445"/>
      <c r="E447" s="445"/>
      <c r="F447" s="445"/>
      <c r="G447" s="445"/>
      <c r="H447" s="445"/>
      <c r="I447" s="445"/>
      <c r="J447" s="445"/>
      <c r="K447" s="1136"/>
      <c r="L447" s="1136"/>
      <c r="M447" s="445"/>
      <c r="N447" s="445"/>
      <c r="O447" s="445"/>
      <c r="P447" s="445"/>
    </row>
    <row r="448" spans="1:16">
      <c r="A448" s="445"/>
      <c r="B448" s="277"/>
      <c r="C448" s="277"/>
      <c r="D448" s="445"/>
      <c r="E448" s="445"/>
      <c r="F448" s="445"/>
      <c r="G448" s="445"/>
      <c r="H448" s="445"/>
      <c r="I448" s="445"/>
      <c r="J448" s="445"/>
      <c r="K448" s="1136"/>
      <c r="L448" s="1136"/>
      <c r="M448" s="445"/>
      <c r="N448" s="445"/>
      <c r="O448" s="445"/>
      <c r="P448" s="445"/>
    </row>
    <row r="449" spans="1:16">
      <c r="A449" s="445"/>
      <c r="B449" s="277"/>
      <c r="C449" s="277"/>
      <c r="D449" s="445"/>
      <c r="E449" s="445"/>
      <c r="F449" s="445"/>
      <c r="G449" s="445"/>
      <c r="H449" s="445"/>
      <c r="I449" s="445"/>
      <c r="J449" s="445"/>
      <c r="K449" s="1136"/>
      <c r="L449" s="1136"/>
      <c r="M449" s="445"/>
      <c r="N449" s="445"/>
      <c r="O449" s="445"/>
      <c r="P449" s="445"/>
    </row>
    <row r="450" spans="1:16">
      <c r="A450" s="445"/>
      <c r="B450" s="277"/>
      <c r="C450" s="277"/>
      <c r="D450" s="445"/>
      <c r="E450" s="445"/>
      <c r="F450" s="445"/>
      <c r="G450" s="445"/>
      <c r="H450" s="445"/>
      <c r="I450" s="445"/>
      <c r="J450" s="445"/>
      <c r="K450" s="1136"/>
      <c r="L450" s="1136"/>
      <c r="M450" s="445"/>
      <c r="N450" s="445"/>
      <c r="O450" s="445"/>
      <c r="P450" s="445"/>
    </row>
    <row r="451" spans="1:16">
      <c r="A451" s="445"/>
      <c r="B451" s="277"/>
      <c r="C451" s="277"/>
      <c r="D451" s="445"/>
      <c r="E451" s="445"/>
      <c r="F451" s="445"/>
      <c r="G451" s="445"/>
      <c r="H451" s="445"/>
      <c r="I451" s="445"/>
      <c r="J451" s="445"/>
      <c r="K451" s="1136"/>
      <c r="L451" s="1136"/>
      <c r="M451" s="445"/>
      <c r="N451" s="445"/>
      <c r="O451" s="445"/>
      <c r="P451" s="445"/>
    </row>
    <row r="452" spans="1:16">
      <c r="A452" s="445"/>
      <c r="B452" s="277"/>
      <c r="C452" s="277"/>
      <c r="D452" s="445"/>
      <c r="E452" s="445"/>
      <c r="F452" s="445"/>
      <c r="G452" s="445"/>
      <c r="H452" s="445"/>
      <c r="I452" s="445"/>
      <c r="J452" s="445"/>
      <c r="K452" s="1136"/>
      <c r="L452" s="1136"/>
      <c r="M452" s="445"/>
      <c r="N452" s="445"/>
      <c r="O452" s="445"/>
      <c r="P452" s="445"/>
    </row>
    <row r="453" spans="1:16">
      <c r="A453" s="445"/>
      <c r="B453" s="277"/>
      <c r="C453" s="277"/>
      <c r="D453" s="445"/>
      <c r="E453" s="445"/>
      <c r="F453" s="445"/>
      <c r="G453" s="445"/>
      <c r="H453" s="445"/>
      <c r="I453" s="445"/>
      <c r="J453" s="445"/>
      <c r="K453" s="1136"/>
      <c r="L453" s="1136"/>
      <c r="M453" s="445"/>
      <c r="N453" s="445"/>
      <c r="O453" s="445"/>
      <c r="P453" s="445"/>
    </row>
    <row r="454" spans="1:16">
      <c r="A454" s="445"/>
      <c r="B454" s="277"/>
      <c r="C454" s="277"/>
      <c r="D454" s="445"/>
      <c r="E454" s="445"/>
      <c r="F454" s="445"/>
      <c r="G454" s="445"/>
      <c r="H454" s="445"/>
      <c r="I454" s="445"/>
      <c r="J454" s="445"/>
      <c r="K454" s="1136"/>
      <c r="L454" s="1136"/>
      <c r="M454" s="445"/>
      <c r="N454" s="445"/>
      <c r="O454" s="445"/>
      <c r="P454" s="445"/>
    </row>
    <row r="455" spans="1:16">
      <c r="A455" s="445"/>
      <c r="B455" s="277"/>
      <c r="C455" s="277"/>
      <c r="D455" s="445"/>
      <c r="E455" s="445"/>
      <c r="F455" s="445"/>
      <c r="G455" s="445"/>
      <c r="H455" s="445"/>
      <c r="I455" s="445"/>
      <c r="J455" s="445"/>
      <c r="K455" s="1136"/>
      <c r="L455" s="1136"/>
      <c r="M455" s="445"/>
      <c r="N455" s="445"/>
      <c r="O455" s="445"/>
      <c r="P455" s="445"/>
    </row>
    <row r="456" spans="1:16">
      <c r="A456" s="445"/>
      <c r="B456" s="277"/>
      <c r="C456" s="277"/>
      <c r="D456" s="445"/>
      <c r="E456" s="445"/>
      <c r="F456" s="445"/>
      <c r="G456" s="445"/>
      <c r="H456" s="445"/>
      <c r="I456" s="445"/>
      <c r="J456" s="445"/>
      <c r="K456" s="1136"/>
      <c r="L456" s="1136"/>
      <c r="M456" s="445"/>
      <c r="N456" s="445"/>
      <c r="O456" s="445"/>
      <c r="P456" s="445"/>
    </row>
    <row r="457" spans="1:16">
      <c r="A457" s="445"/>
      <c r="B457" s="277"/>
      <c r="C457" s="277"/>
      <c r="D457" s="445"/>
      <c r="E457" s="445"/>
      <c r="F457" s="445"/>
      <c r="G457" s="445"/>
      <c r="H457" s="445"/>
      <c r="I457" s="445"/>
      <c r="J457" s="445"/>
      <c r="K457" s="1136"/>
      <c r="L457" s="1136"/>
      <c r="M457" s="445"/>
      <c r="N457" s="445"/>
      <c r="O457" s="445"/>
      <c r="P457" s="445"/>
    </row>
    <row r="458" spans="1:16">
      <c r="A458" s="445"/>
      <c r="B458" s="277"/>
      <c r="C458" s="277"/>
      <c r="D458" s="445"/>
      <c r="E458" s="445"/>
      <c r="F458" s="445"/>
      <c r="G458" s="445"/>
      <c r="H458" s="445"/>
      <c r="I458" s="445"/>
      <c r="J458" s="445"/>
      <c r="K458" s="1136"/>
      <c r="L458" s="1136"/>
      <c r="M458" s="445"/>
      <c r="N458" s="445"/>
      <c r="O458" s="445"/>
      <c r="P458" s="445"/>
    </row>
    <row r="459" spans="1:16">
      <c r="A459" s="445"/>
      <c r="B459" s="277"/>
      <c r="C459" s="277"/>
      <c r="D459" s="445"/>
      <c r="E459" s="445"/>
      <c r="F459" s="445"/>
      <c r="G459" s="445"/>
      <c r="H459" s="445"/>
      <c r="I459" s="445"/>
      <c r="J459" s="445"/>
      <c r="K459" s="1136"/>
      <c r="L459" s="1136"/>
      <c r="M459" s="445"/>
      <c r="N459" s="445"/>
      <c r="O459" s="445"/>
      <c r="P459" s="445"/>
    </row>
    <row r="460" spans="1:16">
      <c r="A460" s="445"/>
      <c r="B460" s="277"/>
      <c r="C460" s="277"/>
      <c r="D460" s="445"/>
      <c r="E460" s="445"/>
      <c r="F460" s="445"/>
      <c r="G460" s="445"/>
      <c r="H460" s="445"/>
      <c r="I460" s="445"/>
      <c r="J460" s="445"/>
      <c r="K460" s="1136"/>
      <c r="L460" s="1136"/>
      <c r="M460" s="445"/>
      <c r="N460" s="445"/>
      <c r="O460" s="445"/>
      <c r="P460" s="445"/>
    </row>
    <row r="461" spans="1:16">
      <c r="A461" s="445"/>
      <c r="B461" s="277"/>
      <c r="C461" s="277"/>
      <c r="D461" s="445"/>
      <c r="E461" s="445"/>
      <c r="F461" s="445"/>
      <c r="G461" s="445"/>
      <c r="H461" s="445"/>
      <c r="I461" s="445"/>
      <c r="J461" s="445"/>
      <c r="K461" s="1136"/>
      <c r="L461" s="1136"/>
      <c r="M461" s="445"/>
      <c r="N461" s="445"/>
      <c r="O461" s="445"/>
      <c r="P461" s="445"/>
    </row>
    <row r="462" spans="1:16">
      <c r="A462" s="445"/>
      <c r="B462" s="277"/>
      <c r="C462" s="277"/>
      <c r="D462" s="445"/>
      <c r="E462" s="445"/>
      <c r="F462" s="445"/>
      <c r="G462" s="445"/>
      <c r="H462" s="445"/>
      <c r="I462" s="445"/>
      <c r="J462" s="445"/>
      <c r="K462" s="1136"/>
      <c r="L462" s="1136"/>
      <c r="M462" s="445"/>
      <c r="N462" s="445"/>
      <c r="O462" s="445"/>
      <c r="P462" s="445"/>
    </row>
    <row r="463" spans="1:16">
      <c r="A463" s="445"/>
      <c r="B463" s="277"/>
      <c r="C463" s="277"/>
      <c r="D463" s="445"/>
      <c r="E463" s="445"/>
      <c r="F463" s="445"/>
      <c r="G463" s="445"/>
      <c r="H463" s="445"/>
      <c r="I463" s="445"/>
      <c r="J463" s="445"/>
      <c r="K463" s="1136"/>
      <c r="L463" s="1136"/>
      <c r="M463" s="445"/>
      <c r="N463" s="445"/>
      <c r="O463" s="445"/>
      <c r="P463" s="445"/>
    </row>
    <row r="464" spans="1:16">
      <c r="A464" s="445"/>
      <c r="B464" s="277"/>
      <c r="C464" s="277"/>
      <c r="D464" s="445"/>
      <c r="E464" s="445"/>
      <c r="F464" s="445"/>
      <c r="G464" s="445"/>
      <c r="H464" s="445"/>
      <c r="I464" s="445"/>
      <c r="J464" s="445"/>
      <c r="K464" s="1136"/>
      <c r="L464" s="1136"/>
      <c r="M464" s="445"/>
      <c r="N464" s="445"/>
      <c r="O464" s="445"/>
      <c r="P464" s="445"/>
    </row>
    <row r="465" spans="1:16">
      <c r="A465" s="445"/>
      <c r="B465" s="277"/>
      <c r="C465" s="277"/>
      <c r="D465" s="445"/>
      <c r="E465" s="445"/>
      <c r="F465" s="445"/>
      <c r="G465" s="445"/>
      <c r="H465" s="445"/>
      <c r="I465" s="445"/>
      <c r="J465" s="445"/>
      <c r="K465" s="1136"/>
      <c r="L465" s="1136"/>
      <c r="M465" s="445"/>
      <c r="N465" s="445"/>
      <c r="O465" s="445"/>
      <c r="P465" s="445"/>
    </row>
    <row r="466" spans="1:16">
      <c r="A466" s="445"/>
      <c r="B466" s="277"/>
      <c r="C466" s="277"/>
      <c r="D466" s="445"/>
      <c r="E466" s="445"/>
      <c r="F466" s="445"/>
      <c r="G466" s="445"/>
      <c r="H466" s="445"/>
      <c r="I466" s="445"/>
      <c r="J466" s="445"/>
      <c r="K466" s="1136"/>
      <c r="L466" s="1136"/>
      <c r="M466" s="445"/>
      <c r="N466" s="445"/>
      <c r="O466" s="445"/>
      <c r="P466" s="445"/>
    </row>
    <row r="467" spans="1:16">
      <c r="A467" s="445"/>
      <c r="B467" s="277"/>
      <c r="C467" s="277"/>
      <c r="D467" s="445"/>
      <c r="E467" s="445"/>
      <c r="F467" s="445"/>
      <c r="G467" s="445"/>
      <c r="H467" s="445"/>
      <c r="I467" s="445"/>
      <c r="J467" s="445"/>
      <c r="K467" s="1136"/>
      <c r="L467" s="1136"/>
      <c r="M467" s="445"/>
      <c r="N467" s="445"/>
      <c r="O467" s="445"/>
      <c r="P467" s="445"/>
    </row>
    <row r="468" spans="1:16">
      <c r="A468" s="445"/>
      <c r="B468" s="277"/>
      <c r="C468" s="277"/>
      <c r="D468" s="445"/>
      <c r="E468" s="445"/>
      <c r="F468" s="445"/>
      <c r="G468" s="445"/>
      <c r="H468" s="445"/>
      <c r="I468" s="445"/>
      <c r="J468" s="445"/>
      <c r="K468" s="1136"/>
      <c r="L468" s="1136"/>
      <c r="M468" s="445"/>
      <c r="N468" s="445"/>
      <c r="O468" s="445"/>
      <c r="P468" s="445"/>
    </row>
    <row r="469" spans="1:16">
      <c r="A469" s="445"/>
      <c r="B469" s="277"/>
      <c r="C469" s="277"/>
      <c r="D469" s="445"/>
      <c r="E469" s="445"/>
      <c r="F469" s="445"/>
      <c r="G469" s="445"/>
      <c r="H469" s="445"/>
      <c r="I469" s="445"/>
      <c r="J469" s="445"/>
      <c r="K469" s="1136"/>
      <c r="L469" s="1136"/>
      <c r="M469" s="445"/>
      <c r="N469" s="445"/>
      <c r="O469" s="445"/>
      <c r="P469" s="445"/>
    </row>
    <row r="470" spans="1:16">
      <c r="A470" s="445"/>
      <c r="B470" s="277"/>
      <c r="C470" s="277"/>
      <c r="D470" s="445"/>
      <c r="E470" s="445"/>
      <c r="F470" s="445"/>
      <c r="G470" s="445"/>
      <c r="H470" s="445"/>
      <c r="I470" s="445"/>
      <c r="J470" s="445"/>
      <c r="K470" s="1136"/>
      <c r="L470" s="1136"/>
      <c r="M470" s="445"/>
      <c r="N470" s="445"/>
      <c r="O470" s="445"/>
      <c r="P470" s="445"/>
    </row>
    <row r="471" spans="1:16">
      <c r="A471" s="445"/>
      <c r="B471" s="277"/>
      <c r="C471" s="277"/>
      <c r="D471" s="445"/>
      <c r="E471" s="445"/>
      <c r="F471" s="445"/>
      <c r="G471" s="445"/>
      <c r="H471" s="445"/>
      <c r="I471" s="445"/>
      <c r="J471" s="445"/>
      <c r="K471" s="1136"/>
      <c r="L471" s="1136"/>
      <c r="M471" s="445"/>
      <c r="N471" s="445"/>
      <c r="O471" s="445"/>
      <c r="P471" s="445"/>
    </row>
    <row r="472" spans="1:16">
      <c r="A472" s="445"/>
      <c r="B472" s="277"/>
      <c r="C472" s="277"/>
      <c r="D472" s="445"/>
      <c r="E472" s="445"/>
      <c r="F472" s="445"/>
      <c r="G472" s="445"/>
      <c r="H472" s="445"/>
      <c r="I472" s="445"/>
      <c r="J472" s="445"/>
      <c r="K472" s="1136"/>
      <c r="L472" s="1136"/>
      <c r="M472" s="445"/>
      <c r="N472" s="445"/>
      <c r="O472" s="445"/>
      <c r="P472" s="445"/>
    </row>
    <row r="473" spans="1:16">
      <c r="A473" s="445"/>
      <c r="B473" s="277"/>
      <c r="C473" s="277"/>
      <c r="D473" s="445"/>
      <c r="E473" s="445"/>
      <c r="F473" s="445"/>
      <c r="G473" s="445"/>
      <c r="H473" s="445"/>
      <c r="I473" s="445"/>
      <c r="J473" s="445"/>
      <c r="K473" s="1136"/>
      <c r="L473" s="1136"/>
      <c r="M473" s="445"/>
      <c r="N473" s="445"/>
      <c r="O473" s="445"/>
      <c r="P473" s="445"/>
    </row>
    <row r="474" spans="1:16">
      <c r="A474" s="445"/>
      <c r="B474" s="277"/>
      <c r="C474" s="277"/>
      <c r="D474" s="445"/>
      <c r="E474" s="445"/>
      <c r="F474" s="445"/>
      <c r="G474" s="445"/>
      <c r="H474" s="445"/>
      <c r="I474" s="445"/>
      <c r="J474" s="445"/>
      <c r="K474" s="1136"/>
      <c r="L474" s="1136"/>
      <c r="M474" s="445"/>
      <c r="N474" s="445"/>
      <c r="O474" s="445"/>
      <c r="P474" s="445"/>
    </row>
    <row r="475" spans="1:16">
      <c r="A475" s="445"/>
      <c r="B475" s="277"/>
      <c r="C475" s="277"/>
      <c r="D475" s="445"/>
      <c r="E475" s="445"/>
      <c r="F475" s="445"/>
      <c r="G475" s="445"/>
      <c r="H475" s="445"/>
      <c r="I475" s="445"/>
      <c r="J475" s="445"/>
      <c r="K475" s="1136"/>
      <c r="L475" s="1136"/>
      <c r="M475" s="445"/>
      <c r="N475" s="445"/>
      <c r="O475" s="445"/>
      <c r="P475" s="445"/>
    </row>
    <row r="476" spans="1:16">
      <c r="A476" s="445"/>
      <c r="B476" s="277"/>
      <c r="C476" s="277"/>
      <c r="D476" s="445"/>
      <c r="E476" s="445"/>
      <c r="F476" s="445"/>
      <c r="G476" s="445"/>
      <c r="H476" s="445"/>
      <c r="I476" s="445"/>
      <c r="J476" s="445"/>
      <c r="K476" s="1136"/>
      <c r="L476" s="1136"/>
      <c r="M476" s="445"/>
      <c r="N476" s="445"/>
      <c r="O476" s="445"/>
      <c r="P476" s="445"/>
    </row>
    <row r="477" spans="1:16">
      <c r="A477" s="445"/>
      <c r="B477" s="277"/>
      <c r="C477" s="277"/>
      <c r="D477" s="445"/>
      <c r="E477" s="445"/>
      <c r="F477" s="445"/>
      <c r="G477" s="445"/>
      <c r="H477" s="445"/>
      <c r="I477" s="445"/>
      <c r="J477" s="445"/>
      <c r="K477" s="1136"/>
      <c r="L477" s="1136"/>
      <c r="M477" s="445"/>
      <c r="N477" s="445"/>
      <c r="O477" s="445"/>
      <c r="P477" s="445"/>
    </row>
    <row r="478" spans="1:16">
      <c r="A478" s="445"/>
      <c r="B478" s="277"/>
      <c r="C478" s="277"/>
      <c r="D478" s="445"/>
      <c r="E478" s="445"/>
      <c r="F478" s="445"/>
      <c r="G478" s="445"/>
      <c r="H478" s="445"/>
      <c r="I478" s="445"/>
      <c r="J478" s="445"/>
      <c r="K478" s="1136"/>
      <c r="L478" s="1136"/>
      <c r="M478" s="445"/>
      <c r="N478" s="445"/>
      <c r="O478" s="445"/>
      <c r="P478" s="445"/>
    </row>
  </sheetData>
  <mergeCells count="4">
    <mergeCell ref="A5:E5"/>
    <mergeCell ref="F5:J5"/>
    <mergeCell ref="K5:M5"/>
    <mergeCell ref="N5:P5"/>
  </mergeCells>
  <printOptions horizontalCentered="1"/>
  <pageMargins left="0.19685039370078741" right="0.19685039370078741" top="0.78740157480314965" bottom="0.78740157480314965" header="0.19685039370078741" footer="0.19685039370078741"/>
  <pageSetup paperSize="9" scale="63" fitToHeight="100" orientation="landscape" r:id="rId1"/>
  <headerFooter>
    <oddHeader>&amp;C&amp;"Arial,Negrita"&amp;20PROYECTO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2060"/>
    <pageSetUpPr fitToPage="1"/>
  </sheetPr>
  <dimension ref="A1:V596"/>
  <sheetViews>
    <sheetView view="pageBreakPreview" zoomScaleNormal="100" zoomScaleSheetLayoutView="100" workbookViewId="0">
      <selection activeCell="B8" sqref="B8"/>
    </sheetView>
  </sheetViews>
  <sheetFormatPr baseColWidth="10" defaultColWidth="11.42578125" defaultRowHeight="12"/>
  <cols>
    <col min="1" max="1" width="13.140625" style="265" customWidth="1"/>
    <col min="2" max="2" width="9.140625" style="265" customWidth="1"/>
    <col min="3" max="3" width="10.140625" style="265" customWidth="1"/>
    <col min="4" max="4" width="20.7109375" style="445" customWidth="1"/>
    <col min="5" max="5" width="10.7109375" style="265" customWidth="1"/>
    <col min="6" max="6" width="10" style="265" bestFit="1" customWidth="1"/>
    <col min="7" max="7" width="35.7109375" style="265" customWidth="1"/>
    <col min="8" max="8" width="20.7109375" style="285" customWidth="1"/>
    <col min="9" max="9" width="35.7109375" style="285" customWidth="1"/>
    <col min="10" max="10" width="20.7109375" style="285" customWidth="1"/>
    <col min="11" max="11" width="7.7109375" style="276" bestFit="1" customWidth="1"/>
    <col min="12" max="12" width="5.42578125" style="276" bestFit="1" customWidth="1"/>
    <col min="13" max="13" width="11" style="265" bestFit="1" customWidth="1"/>
    <col min="14" max="14" width="7.7109375" style="265" bestFit="1" customWidth="1"/>
    <col min="15" max="15" width="5.42578125" style="265" bestFit="1" customWidth="1"/>
    <col min="16" max="16" width="10" style="265" bestFit="1" customWidth="1"/>
    <col min="17" max="16384" width="11.42578125" style="265"/>
  </cols>
  <sheetData>
    <row r="1" spans="1:22" s="275" customFormat="1">
      <c r="A1" s="275" t="s">
        <v>473</v>
      </c>
      <c r="D1" s="449"/>
      <c r="H1" s="444"/>
      <c r="I1" s="444"/>
      <c r="J1" s="444"/>
    </row>
    <row r="2" spans="1:22" s="264" customFormat="1">
      <c r="A2" s="69" t="s">
        <v>1655</v>
      </c>
      <c r="B2" s="69"/>
      <c r="C2" s="69"/>
      <c r="D2" s="448"/>
      <c r="E2" s="69"/>
      <c r="F2" s="69"/>
      <c r="G2" s="69"/>
      <c r="H2" s="282"/>
      <c r="I2" s="282"/>
      <c r="J2" s="282"/>
      <c r="K2" s="69"/>
      <c r="L2" s="69"/>
      <c r="M2" s="69"/>
      <c r="N2" s="69"/>
      <c r="O2" s="69"/>
      <c r="P2" s="69"/>
      <c r="Q2" s="69"/>
      <c r="R2" s="69"/>
      <c r="S2" s="69"/>
      <c r="T2" s="69"/>
      <c r="U2" s="69"/>
      <c r="V2" s="69"/>
    </row>
    <row r="3" spans="1:22" s="264" customFormat="1">
      <c r="A3" s="69" t="s">
        <v>1654</v>
      </c>
      <c r="B3" s="69"/>
      <c r="C3" s="69"/>
      <c r="D3" s="448"/>
      <c r="E3" s="69"/>
      <c r="F3" s="69"/>
      <c r="G3" s="69"/>
      <c r="H3" s="282"/>
      <c r="I3" s="282"/>
      <c r="J3" s="282"/>
      <c r="K3" s="69"/>
      <c r="L3" s="69"/>
      <c r="M3" s="69"/>
      <c r="N3" s="69"/>
      <c r="O3" s="69"/>
      <c r="P3" s="69"/>
      <c r="Q3" s="69"/>
      <c r="R3" s="69"/>
      <c r="S3" s="69"/>
      <c r="T3" s="69"/>
      <c r="U3" s="69"/>
      <c r="V3" s="69"/>
    </row>
    <row r="4" spans="1:22" ht="12.75" thickBot="1">
      <c r="A4" s="69" t="s">
        <v>3624</v>
      </c>
    </row>
    <row r="5" spans="1:22" s="277" customFormat="1" ht="12.75" thickBot="1">
      <c r="A5" s="2024" t="s">
        <v>131</v>
      </c>
      <c r="B5" s="2069"/>
      <c r="C5" s="2069"/>
      <c r="D5" s="2069"/>
      <c r="E5" s="2025"/>
      <c r="F5" s="2070" t="s">
        <v>132</v>
      </c>
      <c r="G5" s="2071"/>
      <c r="H5" s="2072"/>
      <c r="I5" s="2072"/>
      <c r="J5" s="2073"/>
      <c r="K5" s="2074" t="s">
        <v>1652</v>
      </c>
      <c r="L5" s="2075"/>
      <c r="M5" s="2076"/>
      <c r="N5" s="2074" t="s">
        <v>1651</v>
      </c>
      <c r="O5" s="2075"/>
      <c r="P5" s="2076"/>
    </row>
    <row r="6" spans="1:22" s="278" customFormat="1" ht="65.25" thickBot="1">
      <c r="A6" s="401" t="s">
        <v>94</v>
      </c>
      <c r="B6" s="139" t="s">
        <v>8</v>
      </c>
      <c r="C6" s="139" t="s">
        <v>91</v>
      </c>
      <c r="D6" s="402" t="s">
        <v>95</v>
      </c>
      <c r="E6" s="404" t="s">
        <v>115</v>
      </c>
      <c r="F6" s="401" t="s">
        <v>119</v>
      </c>
      <c r="G6" s="402" t="s">
        <v>120</v>
      </c>
      <c r="H6" s="402" t="s">
        <v>134</v>
      </c>
      <c r="I6" s="139" t="s">
        <v>135</v>
      </c>
      <c r="J6" s="399" t="s">
        <v>124</v>
      </c>
      <c r="K6" s="443" t="s">
        <v>121</v>
      </c>
      <c r="L6" s="140" t="s">
        <v>122</v>
      </c>
      <c r="M6" s="141" t="s">
        <v>123</v>
      </c>
      <c r="N6" s="443" t="s">
        <v>121</v>
      </c>
      <c r="O6" s="140" t="s">
        <v>122</v>
      </c>
      <c r="P6" s="141" t="s">
        <v>123</v>
      </c>
    </row>
    <row r="7" spans="1:22" ht="36">
      <c r="A7" s="1233" t="s">
        <v>2420</v>
      </c>
      <c r="B7" s="1234" t="s">
        <v>1880</v>
      </c>
      <c r="C7" s="1234" t="s">
        <v>504</v>
      </c>
      <c r="D7" s="1235" t="s">
        <v>3623</v>
      </c>
      <c r="E7" s="1236">
        <v>4500</v>
      </c>
      <c r="F7" s="1237">
        <v>41535604</v>
      </c>
      <c r="G7" s="1235" t="s">
        <v>3622</v>
      </c>
      <c r="H7" s="1238" t="s">
        <v>2237</v>
      </c>
      <c r="I7" s="1234" t="s">
        <v>569</v>
      </c>
      <c r="J7" s="1239" t="s">
        <v>2237</v>
      </c>
      <c r="K7" s="1240">
        <v>1</v>
      </c>
      <c r="L7" s="1241">
        <v>12</v>
      </c>
      <c r="M7" s="1242">
        <v>55984.80000000001</v>
      </c>
      <c r="N7" s="1243">
        <v>1</v>
      </c>
      <c r="O7" s="1244">
        <v>6</v>
      </c>
      <c r="P7" s="1242">
        <v>28500.9</v>
      </c>
    </row>
    <row r="8" spans="1:22" ht="84">
      <c r="A8" s="1245" t="s">
        <v>2420</v>
      </c>
      <c r="B8" s="1246" t="s">
        <v>1880</v>
      </c>
      <c r="C8" s="1246" t="s">
        <v>504</v>
      </c>
      <c r="D8" s="1200" t="s">
        <v>3458</v>
      </c>
      <c r="E8" s="1247">
        <v>2000</v>
      </c>
      <c r="F8" s="1248">
        <v>41243280</v>
      </c>
      <c r="G8" s="1200" t="s">
        <v>3621</v>
      </c>
      <c r="H8" s="1191" t="s">
        <v>2436</v>
      </c>
      <c r="I8" s="1246" t="s">
        <v>1664</v>
      </c>
      <c r="J8" s="1249" t="s">
        <v>2898</v>
      </c>
      <c r="K8" s="1250">
        <v>1</v>
      </c>
      <c r="L8" s="1251">
        <v>12</v>
      </c>
      <c r="M8" s="1252">
        <v>25360.800000000007</v>
      </c>
      <c r="N8" s="1253">
        <v>1</v>
      </c>
      <c r="O8" s="1254">
        <v>6</v>
      </c>
      <c r="P8" s="1252">
        <v>13044.9</v>
      </c>
    </row>
    <row r="9" spans="1:22">
      <c r="A9" s="1245" t="s">
        <v>2420</v>
      </c>
      <c r="B9" s="1246" t="s">
        <v>1880</v>
      </c>
      <c r="C9" s="1246" t="s">
        <v>504</v>
      </c>
      <c r="D9" s="1200" t="s">
        <v>3620</v>
      </c>
      <c r="E9" s="1247">
        <v>4500</v>
      </c>
      <c r="F9" s="1248">
        <v>41467913</v>
      </c>
      <c r="G9" s="1200" t="s">
        <v>3619</v>
      </c>
      <c r="H9" s="1191" t="s">
        <v>1695</v>
      </c>
      <c r="I9" s="1246" t="s">
        <v>569</v>
      </c>
      <c r="J9" s="1249" t="s">
        <v>1695</v>
      </c>
      <c r="K9" s="1250">
        <v>1</v>
      </c>
      <c r="L9" s="1251">
        <v>12</v>
      </c>
      <c r="M9" s="1252">
        <v>55960.80000000001</v>
      </c>
      <c r="N9" s="1253">
        <v>1</v>
      </c>
      <c r="O9" s="1254">
        <v>6</v>
      </c>
      <c r="P9" s="1252">
        <v>28044.9</v>
      </c>
    </row>
    <row r="10" spans="1:22" ht="36">
      <c r="A10" s="1245" t="s">
        <v>2420</v>
      </c>
      <c r="B10" s="1246" t="s">
        <v>1880</v>
      </c>
      <c r="C10" s="1246" t="s">
        <v>504</v>
      </c>
      <c r="D10" s="1200" t="s">
        <v>3618</v>
      </c>
      <c r="E10" s="1247">
        <v>3000</v>
      </c>
      <c r="F10" s="1248">
        <v>42995201</v>
      </c>
      <c r="G10" s="1200" t="s">
        <v>3617</v>
      </c>
      <c r="H10" s="1191" t="s">
        <v>1784</v>
      </c>
      <c r="I10" s="1246" t="s">
        <v>1664</v>
      </c>
      <c r="J10" s="1249" t="s">
        <v>1784</v>
      </c>
      <c r="K10" s="1250">
        <v>1</v>
      </c>
      <c r="L10" s="1251">
        <v>12</v>
      </c>
      <c r="M10" s="1252">
        <v>37360.80000000001</v>
      </c>
      <c r="N10" s="1253">
        <v>1</v>
      </c>
      <c r="O10" s="1254">
        <v>6</v>
      </c>
      <c r="P10" s="1252">
        <v>19044.900000000001</v>
      </c>
    </row>
    <row r="11" spans="1:22">
      <c r="A11" s="1245" t="s">
        <v>2420</v>
      </c>
      <c r="B11" s="1246" t="s">
        <v>1880</v>
      </c>
      <c r="C11" s="1246" t="s">
        <v>504</v>
      </c>
      <c r="D11" s="1200" t="s">
        <v>3616</v>
      </c>
      <c r="E11" s="1247">
        <v>1200</v>
      </c>
      <c r="F11" s="1248">
        <v>41872748</v>
      </c>
      <c r="G11" s="1200" t="s">
        <v>3615</v>
      </c>
      <c r="H11" s="1191" t="s">
        <v>1592</v>
      </c>
      <c r="I11" s="1246" t="s">
        <v>618</v>
      </c>
      <c r="J11" s="1249" t="s">
        <v>619</v>
      </c>
      <c r="K11" s="1250">
        <v>1</v>
      </c>
      <c r="L11" s="1251">
        <v>3</v>
      </c>
      <c r="M11" s="1252">
        <v>4124</v>
      </c>
      <c r="N11" s="1253">
        <v>1</v>
      </c>
      <c r="O11" s="1254">
        <v>6</v>
      </c>
      <c r="P11" s="1252">
        <v>7848</v>
      </c>
    </row>
    <row r="12" spans="1:22" ht="36">
      <c r="A12" s="1245" t="s">
        <v>2420</v>
      </c>
      <c r="B12" s="1246" t="s">
        <v>1880</v>
      </c>
      <c r="C12" s="1246" t="s">
        <v>504</v>
      </c>
      <c r="D12" s="1200" t="s">
        <v>2946</v>
      </c>
      <c r="E12" s="1247">
        <v>2200</v>
      </c>
      <c r="F12" s="1248">
        <v>43371509</v>
      </c>
      <c r="G12" s="1200" t="s">
        <v>3614</v>
      </c>
      <c r="H12" s="1191" t="s">
        <v>2944</v>
      </c>
      <c r="I12" s="1246" t="s">
        <v>569</v>
      </c>
      <c r="J12" s="1249" t="s">
        <v>2943</v>
      </c>
      <c r="K12" s="1250">
        <v>1</v>
      </c>
      <c r="L12" s="1251">
        <v>12</v>
      </c>
      <c r="M12" s="1252">
        <v>28384.800000000007</v>
      </c>
      <c r="N12" s="1253">
        <v>1</v>
      </c>
      <c r="O12" s="1254">
        <v>6</v>
      </c>
      <c r="P12" s="1252">
        <v>14244.9</v>
      </c>
    </row>
    <row r="13" spans="1:22" ht="24">
      <c r="A13" s="1245" t="s">
        <v>2420</v>
      </c>
      <c r="B13" s="1246" t="s">
        <v>1880</v>
      </c>
      <c r="C13" s="1246" t="s">
        <v>504</v>
      </c>
      <c r="D13" s="1200" t="s">
        <v>3613</v>
      </c>
      <c r="E13" s="1247">
        <v>2500</v>
      </c>
      <c r="F13" s="1248" t="s">
        <v>3612</v>
      </c>
      <c r="G13" s="1200" t="s">
        <v>3611</v>
      </c>
      <c r="H13" s="1191" t="s">
        <v>659</v>
      </c>
      <c r="I13" s="1246" t="s">
        <v>569</v>
      </c>
      <c r="J13" s="1249" t="s">
        <v>3610</v>
      </c>
      <c r="K13" s="1250">
        <v>1</v>
      </c>
      <c r="L13" s="1251">
        <v>12</v>
      </c>
      <c r="M13" s="1252">
        <v>31960.800000000007</v>
      </c>
      <c r="N13" s="1253">
        <v>1</v>
      </c>
      <c r="O13" s="1254">
        <v>6</v>
      </c>
      <c r="P13" s="1252">
        <v>16044.9</v>
      </c>
    </row>
    <row r="14" spans="1:22" ht="24">
      <c r="A14" s="1245" t="s">
        <v>2420</v>
      </c>
      <c r="B14" s="1246" t="s">
        <v>1880</v>
      </c>
      <c r="C14" s="1246" t="s">
        <v>504</v>
      </c>
      <c r="D14" s="1200" t="s">
        <v>3609</v>
      </c>
      <c r="E14" s="1247">
        <v>2865</v>
      </c>
      <c r="F14" s="1248">
        <v>41751844</v>
      </c>
      <c r="G14" s="1200" t="s">
        <v>3608</v>
      </c>
      <c r="H14" s="1191" t="s">
        <v>2634</v>
      </c>
      <c r="I14" s="1246" t="s">
        <v>1664</v>
      </c>
      <c r="J14" s="1249" t="s">
        <v>2634</v>
      </c>
      <c r="K14" s="1250">
        <v>1</v>
      </c>
      <c r="L14" s="1251">
        <v>12</v>
      </c>
      <c r="M14" s="1252">
        <v>35740.80000000001</v>
      </c>
      <c r="N14" s="1253">
        <v>1</v>
      </c>
      <c r="O14" s="1254">
        <v>6</v>
      </c>
      <c r="P14" s="1252">
        <v>18234.900000000001</v>
      </c>
    </row>
    <row r="15" spans="1:22" ht="24">
      <c r="A15" s="1245" t="s">
        <v>2420</v>
      </c>
      <c r="B15" s="1246" t="s">
        <v>1880</v>
      </c>
      <c r="C15" s="1246" t="s">
        <v>504</v>
      </c>
      <c r="D15" s="1200" t="s">
        <v>3607</v>
      </c>
      <c r="E15" s="1247">
        <v>6600</v>
      </c>
      <c r="F15" s="1248">
        <v>9198161</v>
      </c>
      <c r="G15" s="1200" t="s">
        <v>3606</v>
      </c>
      <c r="H15" s="1191" t="s">
        <v>1571</v>
      </c>
      <c r="I15" s="1246" t="s">
        <v>569</v>
      </c>
      <c r="J15" s="1249" t="s">
        <v>1571</v>
      </c>
      <c r="K15" s="1250">
        <v>1</v>
      </c>
      <c r="L15" s="1251">
        <v>12</v>
      </c>
      <c r="M15" s="1252">
        <v>81184.799999999988</v>
      </c>
      <c r="N15" s="1253">
        <v>1</v>
      </c>
      <c r="O15" s="1254">
        <v>6</v>
      </c>
      <c r="P15" s="1252">
        <v>40644.9</v>
      </c>
    </row>
    <row r="16" spans="1:22" ht="24">
      <c r="A16" s="1245" t="s">
        <v>2420</v>
      </c>
      <c r="B16" s="1246" t="s">
        <v>1880</v>
      </c>
      <c r="C16" s="1246" t="s">
        <v>504</v>
      </c>
      <c r="D16" s="1200" t="s">
        <v>3605</v>
      </c>
      <c r="E16" s="1247">
        <v>1300</v>
      </c>
      <c r="F16" s="1248">
        <v>10804800</v>
      </c>
      <c r="G16" s="1200" t="s">
        <v>3604</v>
      </c>
      <c r="H16" s="1191" t="s">
        <v>3417</v>
      </c>
      <c r="I16" s="1246" t="s">
        <v>1664</v>
      </c>
      <c r="J16" s="1249" t="s">
        <v>3417</v>
      </c>
      <c r="K16" s="1250">
        <v>1</v>
      </c>
      <c r="L16" s="1251">
        <v>1</v>
      </c>
      <c r="M16" s="1252">
        <v>751.73</v>
      </c>
      <c r="N16" s="1253">
        <v>0</v>
      </c>
      <c r="O16" s="1254">
        <v>0</v>
      </c>
      <c r="P16" s="1252">
        <v>0</v>
      </c>
    </row>
    <row r="17" spans="1:16">
      <c r="A17" s="1245" t="s">
        <v>2420</v>
      </c>
      <c r="B17" s="1246" t="s">
        <v>1880</v>
      </c>
      <c r="C17" s="1246" t="s">
        <v>504</v>
      </c>
      <c r="D17" s="1200" t="s">
        <v>2867</v>
      </c>
      <c r="E17" s="1247">
        <v>1120</v>
      </c>
      <c r="F17" s="1248">
        <v>43016583</v>
      </c>
      <c r="G17" s="1200" t="s">
        <v>3603</v>
      </c>
      <c r="H17" s="1191" t="s">
        <v>1592</v>
      </c>
      <c r="I17" s="1246" t="s">
        <v>618</v>
      </c>
      <c r="J17" s="1249" t="s">
        <v>619</v>
      </c>
      <c r="K17" s="1250">
        <v>1</v>
      </c>
      <c r="L17" s="1251">
        <v>12</v>
      </c>
      <c r="M17" s="1252">
        <v>15249.599999999997</v>
      </c>
      <c r="N17" s="1253">
        <v>1</v>
      </c>
      <c r="O17" s="1254">
        <v>6</v>
      </c>
      <c r="P17" s="1252">
        <v>7324.8</v>
      </c>
    </row>
    <row r="18" spans="1:16" ht="36">
      <c r="A18" s="1245" t="s">
        <v>2420</v>
      </c>
      <c r="B18" s="1246" t="s">
        <v>1880</v>
      </c>
      <c r="C18" s="1246" t="s">
        <v>504</v>
      </c>
      <c r="D18" s="1200" t="s">
        <v>3602</v>
      </c>
      <c r="E18" s="1247">
        <v>3500</v>
      </c>
      <c r="F18" s="1248">
        <v>25636804</v>
      </c>
      <c r="G18" s="1200" t="s">
        <v>3601</v>
      </c>
      <c r="H18" s="1191" t="s">
        <v>1695</v>
      </c>
      <c r="I18" s="1246" t="s">
        <v>569</v>
      </c>
      <c r="J18" s="1249" t="s">
        <v>3600</v>
      </c>
      <c r="K18" s="1250">
        <v>1</v>
      </c>
      <c r="L18" s="1251">
        <v>12</v>
      </c>
      <c r="M18" s="1252">
        <v>43960.80000000001</v>
      </c>
      <c r="N18" s="1253">
        <v>1</v>
      </c>
      <c r="O18" s="1254">
        <v>6</v>
      </c>
      <c r="P18" s="1252">
        <v>22044.9</v>
      </c>
    </row>
    <row r="19" spans="1:16" ht="24">
      <c r="A19" s="1245" t="s">
        <v>2420</v>
      </c>
      <c r="B19" s="1246" t="s">
        <v>1880</v>
      </c>
      <c r="C19" s="1246" t="s">
        <v>504</v>
      </c>
      <c r="D19" s="1200" t="s">
        <v>3599</v>
      </c>
      <c r="E19" s="1247">
        <v>4001</v>
      </c>
      <c r="F19" s="1248">
        <v>43328748</v>
      </c>
      <c r="G19" s="1200" t="s">
        <v>3598</v>
      </c>
      <c r="H19" s="1191" t="s">
        <v>659</v>
      </c>
      <c r="I19" s="1246" t="s">
        <v>569</v>
      </c>
      <c r="J19" s="1249" t="s">
        <v>3360</v>
      </c>
      <c r="K19" s="1250">
        <v>1</v>
      </c>
      <c r="L19" s="1251">
        <v>12</v>
      </c>
      <c r="M19" s="1252">
        <v>49372.80000000001</v>
      </c>
      <c r="N19" s="1253">
        <v>1</v>
      </c>
      <c r="O19" s="1254">
        <v>6</v>
      </c>
      <c r="P19" s="1252">
        <v>25050.9</v>
      </c>
    </row>
    <row r="20" spans="1:16">
      <c r="A20" s="1245" t="s">
        <v>2420</v>
      </c>
      <c r="B20" s="1246" t="s">
        <v>1880</v>
      </c>
      <c r="C20" s="1246" t="s">
        <v>504</v>
      </c>
      <c r="D20" s="1200" t="s">
        <v>2829</v>
      </c>
      <c r="E20" s="1247">
        <v>1000</v>
      </c>
      <c r="F20" s="1248" t="s">
        <v>3597</v>
      </c>
      <c r="G20" s="1200" t="s">
        <v>3596</v>
      </c>
      <c r="H20" s="1191" t="s">
        <v>1592</v>
      </c>
      <c r="I20" s="1246" t="s">
        <v>618</v>
      </c>
      <c r="J20" s="1249" t="s">
        <v>619</v>
      </c>
      <c r="K20" s="1250">
        <v>1</v>
      </c>
      <c r="L20" s="1251">
        <v>12</v>
      </c>
      <c r="M20" s="1252">
        <v>13680</v>
      </c>
      <c r="N20" s="1253">
        <v>1</v>
      </c>
      <c r="O20" s="1254">
        <v>6</v>
      </c>
      <c r="P20" s="1252">
        <v>6540</v>
      </c>
    </row>
    <row r="21" spans="1:16">
      <c r="A21" s="1245" t="s">
        <v>2420</v>
      </c>
      <c r="B21" s="1246" t="s">
        <v>1880</v>
      </c>
      <c r="C21" s="1246" t="s">
        <v>504</v>
      </c>
      <c r="D21" s="1200" t="s">
        <v>2829</v>
      </c>
      <c r="E21" s="1247">
        <v>1000</v>
      </c>
      <c r="F21" s="1248">
        <v>25753483</v>
      </c>
      <c r="G21" s="1200" t="s">
        <v>3595</v>
      </c>
      <c r="H21" s="1191" t="s">
        <v>1592</v>
      </c>
      <c r="I21" s="1246" t="s">
        <v>618</v>
      </c>
      <c r="J21" s="1249" t="s">
        <v>619</v>
      </c>
      <c r="K21" s="1250">
        <v>1</v>
      </c>
      <c r="L21" s="1251">
        <v>12</v>
      </c>
      <c r="M21" s="1252">
        <v>13680</v>
      </c>
      <c r="N21" s="1253">
        <v>1</v>
      </c>
      <c r="O21" s="1254">
        <v>6</v>
      </c>
      <c r="P21" s="1252">
        <v>6540</v>
      </c>
    </row>
    <row r="22" spans="1:16">
      <c r="A22" s="1245" t="s">
        <v>2420</v>
      </c>
      <c r="B22" s="1246" t="s">
        <v>1880</v>
      </c>
      <c r="C22" s="1246" t="s">
        <v>504</v>
      </c>
      <c r="D22" s="1200" t="s">
        <v>3594</v>
      </c>
      <c r="E22" s="1247">
        <v>930</v>
      </c>
      <c r="F22" s="1248">
        <v>43317561</v>
      </c>
      <c r="G22" s="1200" t="s">
        <v>3593</v>
      </c>
      <c r="H22" s="1191" t="s">
        <v>1592</v>
      </c>
      <c r="I22" s="1246" t="s">
        <v>618</v>
      </c>
      <c r="J22" s="1249" t="s">
        <v>619</v>
      </c>
      <c r="K22" s="1250">
        <v>1</v>
      </c>
      <c r="L22" s="1251">
        <v>12</v>
      </c>
      <c r="M22" s="1252">
        <v>12764.400000000003</v>
      </c>
      <c r="N22" s="1253">
        <v>1</v>
      </c>
      <c r="O22" s="1254">
        <v>6</v>
      </c>
      <c r="P22" s="1252">
        <v>6082.2</v>
      </c>
    </row>
    <row r="23" spans="1:16">
      <c r="A23" s="1245" t="s">
        <v>2420</v>
      </c>
      <c r="B23" s="1246" t="s">
        <v>1880</v>
      </c>
      <c r="C23" s="1246" t="s">
        <v>504</v>
      </c>
      <c r="D23" s="1200" t="s">
        <v>2829</v>
      </c>
      <c r="E23" s="1247">
        <v>1000</v>
      </c>
      <c r="F23" s="1248">
        <v>25770496</v>
      </c>
      <c r="G23" s="1200" t="s">
        <v>3592</v>
      </c>
      <c r="H23" s="1191" t="s">
        <v>1592</v>
      </c>
      <c r="I23" s="1246" t="s">
        <v>618</v>
      </c>
      <c r="J23" s="1249" t="s">
        <v>619</v>
      </c>
      <c r="K23" s="1250">
        <v>1</v>
      </c>
      <c r="L23" s="1251">
        <v>12</v>
      </c>
      <c r="M23" s="1252">
        <v>13680</v>
      </c>
      <c r="N23" s="1253">
        <v>1</v>
      </c>
      <c r="O23" s="1254">
        <v>6</v>
      </c>
      <c r="P23" s="1252">
        <v>6540</v>
      </c>
    </row>
    <row r="24" spans="1:16">
      <c r="A24" s="1245" t="s">
        <v>2420</v>
      </c>
      <c r="B24" s="1246" t="s">
        <v>1880</v>
      </c>
      <c r="C24" s="1246" t="s">
        <v>504</v>
      </c>
      <c r="D24" s="1200" t="s">
        <v>2826</v>
      </c>
      <c r="E24" s="1247">
        <v>1500</v>
      </c>
      <c r="F24" s="1248">
        <v>40616454</v>
      </c>
      <c r="G24" s="1200" t="s">
        <v>3591</v>
      </c>
      <c r="H24" s="1191" t="s">
        <v>2696</v>
      </c>
      <c r="I24" s="1246" t="s">
        <v>1664</v>
      </c>
      <c r="J24" s="1249" t="s">
        <v>1888</v>
      </c>
      <c r="K24" s="1250">
        <v>1</v>
      </c>
      <c r="L24" s="1251">
        <v>3</v>
      </c>
      <c r="M24" s="1252">
        <v>5040.2000000000007</v>
      </c>
      <c r="N24" s="1253">
        <v>1</v>
      </c>
      <c r="O24" s="1254">
        <v>6</v>
      </c>
      <c r="P24" s="1252">
        <v>10266</v>
      </c>
    </row>
    <row r="25" spans="1:16">
      <c r="A25" s="1245" t="s">
        <v>2420</v>
      </c>
      <c r="B25" s="1246" t="s">
        <v>1880</v>
      </c>
      <c r="C25" s="1246" t="s">
        <v>504</v>
      </c>
      <c r="D25" s="1200" t="s">
        <v>3590</v>
      </c>
      <c r="E25" s="1247">
        <v>1000</v>
      </c>
      <c r="F25" s="1248">
        <v>41629899</v>
      </c>
      <c r="G25" s="1200" t="s">
        <v>3589</v>
      </c>
      <c r="H25" s="1191" t="s">
        <v>1592</v>
      </c>
      <c r="I25" s="1246" t="s">
        <v>618</v>
      </c>
      <c r="J25" s="1249" t="s">
        <v>619</v>
      </c>
      <c r="K25" s="1250">
        <v>1</v>
      </c>
      <c r="L25" s="1251">
        <v>12</v>
      </c>
      <c r="M25" s="1252">
        <v>13680</v>
      </c>
      <c r="N25" s="1253">
        <v>1</v>
      </c>
      <c r="O25" s="1254">
        <v>6</v>
      </c>
      <c r="P25" s="1252">
        <v>6540</v>
      </c>
    </row>
    <row r="26" spans="1:16" ht="36">
      <c r="A26" s="1245" t="s">
        <v>2420</v>
      </c>
      <c r="B26" s="1246" t="s">
        <v>1880</v>
      </c>
      <c r="C26" s="1246" t="s">
        <v>504</v>
      </c>
      <c r="D26" s="1200" t="s">
        <v>3588</v>
      </c>
      <c r="E26" s="1247">
        <v>8000</v>
      </c>
      <c r="F26" s="1248">
        <v>43526749</v>
      </c>
      <c r="G26" s="1200" t="s">
        <v>3587</v>
      </c>
      <c r="H26" s="1191" t="s">
        <v>2447</v>
      </c>
      <c r="I26" s="1246" t="s">
        <v>569</v>
      </c>
      <c r="J26" s="1249" t="s">
        <v>2447</v>
      </c>
      <c r="K26" s="1250">
        <v>1</v>
      </c>
      <c r="L26" s="1251">
        <v>12</v>
      </c>
      <c r="M26" s="1252">
        <v>97360.799999999988</v>
      </c>
      <c r="N26" s="1253">
        <v>1</v>
      </c>
      <c r="O26" s="1254">
        <v>6</v>
      </c>
      <c r="P26" s="1252">
        <v>49044.9</v>
      </c>
    </row>
    <row r="27" spans="1:16" ht="24">
      <c r="A27" s="1245" t="s">
        <v>2420</v>
      </c>
      <c r="B27" s="1246" t="s">
        <v>1880</v>
      </c>
      <c r="C27" s="1246" t="s">
        <v>504</v>
      </c>
      <c r="D27" s="1200" t="s">
        <v>3586</v>
      </c>
      <c r="E27" s="1247">
        <v>5001</v>
      </c>
      <c r="F27" s="1248">
        <v>43564726</v>
      </c>
      <c r="G27" s="1200" t="s">
        <v>3585</v>
      </c>
      <c r="H27" s="1191" t="s">
        <v>2447</v>
      </c>
      <c r="I27" s="1246" t="s">
        <v>569</v>
      </c>
      <c r="J27" s="1249" t="s">
        <v>2447</v>
      </c>
      <c r="K27" s="1250">
        <v>1</v>
      </c>
      <c r="L27" s="1251">
        <v>12</v>
      </c>
      <c r="M27" s="1252">
        <v>61372.80000000001</v>
      </c>
      <c r="N27" s="1253">
        <v>1</v>
      </c>
      <c r="O27" s="1254">
        <v>6</v>
      </c>
      <c r="P27" s="1252">
        <v>31050.9</v>
      </c>
    </row>
    <row r="28" spans="1:16" ht="24">
      <c r="A28" s="1245" t="s">
        <v>2420</v>
      </c>
      <c r="B28" s="1246" t="s">
        <v>1880</v>
      </c>
      <c r="C28" s="1246" t="s">
        <v>504</v>
      </c>
      <c r="D28" s="1200" t="s">
        <v>3584</v>
      </c>
      <c r="E28" s="1247">
        <v>1300</v>
      </c>
      <c r="F28" s="1248" t="s">
        <v>3583</v>
      </c>
      <c r="G28" s="1200" t="s">
        <v>3582</v>
      </c>
      <c r="H28" s="1191" t="s">
        <v>3581</v>
      </c>
      <c r="I28" s="1246" t="s">
        <v>1664</v>
      </c>
      <c r="J28" s="1249" t="s">
        <v>3581</v>
      </c>
      <c r="K28" s="1250">
        <v>1</v>
      </c>
      <c r="L28" s="1251">
        <v>1</v>
      </c>
      <c r="M28" s="1252">
        <v>546</v>
      </c>
      <c r="N28" s="1253">
        <v>0</v>
      </c>
      <c r="O28" s="1254">
        <v>0</v>
      </c>
      <c r="P28" s="1252">
        <v>0</v>
      </c>
    </row>
    <row r="29" spans="1:16" ht="36">
      <c r="A29" s="1245" t="s">
        <v>2420</v>
      </c>
      <c r="B29" s="1246" t="s">
        <v>1880</v>
      </c>
      <c r="C29" s="1246" t="s">
        <v>504</v>
      </c>
      <c r="D29" s="1200" t="s">
        <v>3580</v>
      </c>
      <c r="E29" s="1247">
        <v>4000</v>
      </c>
      <c r="F29" s="1248">
        <v>40494457</v>
      </c>
      <c r="G29" s="1200" t="s">
        <v>3579</v>
      </c>
      <c r="H29" s="1191" t="s">
        <v>1695</v>
      </c>
      <c r="I29" s="1246" t="s">
        <v>569</v>
      </c>
      <c r="J29" s="1249" t="s">
        <v>3578</v>
      </c>
      <c r="K29" s="1250">
        <v>1</v>
      </c>
      <c r="L29" s="1251">
        <v>12</v>
      </c>
      <c r="M29" s="1252">
        <v>60021.180000000008</v>
      </c>
      <c r="N29" s="1253">
        <v>1</v>
      </c>
      <c r="O29" s="1254">
        <v>6</v>
      </c>
      <c r="P29" s="1252">
        <v>25044.9</v>
      </c>
    </row>
    <row r="30" spans="1:16" ht="36">
      <c r="A30" s="1245" t="s">
        <v>2420</v>
      </c>
      <c r="B30" s="1246" t="s">
        <v>1880</v>
      </c>
      <c r="C30" s="1246" t="s">
        <v>504</v>
      </c>
      <c r="D30" s="1200" t="s">
        <v>3577</v>
      </c>
      <c r="E30" s="1247">
        <v>3500</v>
      </c>
      <c r="F30" s="1248">
        <v>7561871</v>
      </c>
      <c r="G30" s="1200" t="s">
        <v>3576</v>
      </c>
      <c r="H30" s="1191" t="s">
        <v>1695</v>
      </c>
      <c r="I30" s="1246" t="s">
        <v>569</v>
      </c>
      <c r="J30" s="1249" t="s">
        <v>3575</v>
      </c>
      <c r="K30" s="1250">
        <v>1</v>
      </c>
      <c r="L30" s="1251">
        <v>12</v>
      </c>
      <c r="M30" s="1252">
        <v>43984.80000000001</v>
      </c>
      <c r="N30" s="1253">
        <v>1</v>
      </c>
      <c r="O30" s="1254">
        <v>6</v>
      </c>
      <c r="P30" s="1252">
        <v>22044.9</v>
      </c>
    </row>
    <row r="31" spans="1:16" ht="48">
      <c r="A31" s="1245" t="s">
        <v>2420</v>
      </c>
      <c r="B31" s="1246" t="s">
        <v>1880</v>
      </c>
      <c r="C31" s="1246" t="s">
        <v>504</v>
      </c>
      <c r="D31" s="1200" t="s">
        <v>3574</v>
      </c>
      <c r="E31" s="1247">
        <v>2000</v>
      </c>
      <c r="F31" s="1248">
        <v>10726289</v>
      </c>
      <c r="G31" s="1200" t="s">
        <v>3573</v>
      </c>
      <c r="H31" s="1191" t="s">
        <v>3572</v>
      </c>
      <c r="I31" s="1246" t="s">
        <v>1664</v>
      </c>
      <c r="J31" s="1249" t="s">
        <v>3571</v>
      </c>
      <c r="K31" s="1250">
        <v>1</v>
      </c>
      <c r="L31" s="1251">
        <v>12</v>
      </c>
      <c r="M31" s="1252">
        <v>25360.800000000007</v>
      </c>
      <c r="N31" s="1253">
        <v>1</v>
      </c>
      <c r="O31" s="1254">
        <v>6</v>
      </c>
      <c r="P31" s="1252">
        <v>13044.9</v>
      </c>
    </row>
    <row r="32" spans="1:16" ht="24">
      <c r="A32" s="1245" t="s">
        <v>2420</v>
      </c>
      <c r="B32" s="1246" t="s">
        <v>1880</v>
      </c>
      <c r="C32" s="1246" t="s">
        <v>504</v>
      </c>
      <c r="D32" s="1200" t="s">
        <v>3570</v>
      </c>
      <c r="E32" s="1247">
        <v>1000</v>
      </c>
      <c r="F32" s="1248">
        <v>25681733</v>
      </c>
      <c r="G32" s="1200" t="s">
        <v>3569</v>
      </c>
      <c r="H32" s="1191" t="s">
        <v>1784</v>
      </c>
      <c r="I32" s="1246" t="s">
        <v>1664</v>
      </c>
      <c r="J32" s="1249" t="s">
        <v>1784</v>
      </c>
      <c r="K32" s="1250">
        <v>1</v>
      </c>
      <c r="L32" s="1251">
        <v>12</v>
      </c>
      <c r="M32" s="1252">
        <v>13680</v>
      </c>
      <c r="N32" s="1253">
        <v>1</v>
      </c>
      <c r="O32" s="1254">
        <v>6</v>
      </c>
      <c r="P32" s="1252">
        <v>6540</v>
      </c>
    </row>
    <row r="33" spans="1:16" ht="24">
      <c r="A33" s="1245" t="s">
        <v>2420</v>
      </c>
      <c r="B33" s="1246" t="s">
        <v>1880</v>
      </c>
      <c r="C33" s="1246" t="s">
        <v>504</v>
      </c>
      <c r="D33" s="1200" t="s">
        <v>3568</v>
      </c>
      <c r="E33" s="1247">
        <v>4447.53</v>
      </c>
      <c r="F33" s="1248">
        <v>7363063</v>
      </c>
      <c r="G33" s="1200" t="s">
        <v>3567</v>
      </c>
      <c r="H33" s="1191" t="s">
        <v>925</v>
      </c>
      <c r="I33" s="1246" t="s">
        <v>569</v>
      </c>
      <c r="J33" s="1249" t="s">
        <v>925</v>
      </c>
      <c r="K33" s="1250">
        <v>1</v>
      </c>
      <c r="L33" s="1251">
        <v>12</v>
      </c>
      <c r="M33" s="1252">
        <v>55355.16</v>
      </c>
      <c r="N33" s="1253">
        <v>1</v>
      </c>
      <c r="O33" s="1254">
        <v>6</v>
      </c>
      <c r="P33" s="1252">
        <v>27730.080000000002</v>
      </c>
    </row>
    <row r="34" spans="1:16" ht="60">
      <c r="A34" s="1245" t="s">
        <v>2420</v>
      </c>
      <c r="B34" s="1246" t="s">
        <v>1880</v>
      </c>
      <c r="C34" s="1246" t="s">
        <v>504</v>
      </c>
      <c r="D34" s="1200" t="s">
        <v>3566</v>
      </c>
      <c r="E34" s="1247">
        <v>5400</v>
      </c>
      <c r="F34" s="1248">
        <v>42869815</v>
      </c>
      <c r="G34" s="1200" t="s">
        <v>3565</v>
      </c>
      <c r="H34" s="1191" t="s">
        <v>2447</v>
      </c>
      <c r="I34" s="1246" t="s">
        <v>569</v>
      </c>
      <c r="J34" s="1249" t="s">
        <v>2447</v>
      </c>
      <c r="K34" s="1250">
        <v>1</v>
      </c>
      <c r="L34" s="1251">
        <v>12</v>
      </c>
      <c r="M34" s="1252">
        <v>66160.800000000003</v>
      </c>
      <c r="N34" s="1253">
        <v>1</v>
      </c>
      <c r="O34" s="1254">
        <v>6</v>
      </c>
      <c r="P34" s="1252">
        <v>33444.9</v>
      </c>
    </row>
    <row r="35" spans="1:16" ht="72">
      <c r="A35" s="1245" t="s">
        <v>2420</v>
      </c>
      <c r="B35" s="1246" t="s">
        <v>1880</v>
      </c>
      <c r="C35" s="1246" t="s">
        <v>504</v>
      </c>
      <c r="D35" s="1200" t="s">
        <v>3564</v>
      </c>
      <c r="E35" s="1247">
        <v>2500</v>
      </c>
      <c r="F35" s="1248">
        <v>43326382</v>
      </c>
      <c r="G35" s="1200" t="s">
        <v>3563</v>
      </c>
      <c r="H35" s="1191" t="s">
        <v>3562</v>
      </c>
      <c r="I35" s="1246" t="s">
        <v>1664</v>
      </c>
      <c r="J35" s="1249" t="s">
        <v>3562</v>
      </c>
      <c r="K35" s="1250">
        <v>1</v>
      </c>
      <c r="L35" s="1251">
        <v>12</v>
      </c>
      <c r="M35" s="1252">
        <v>31360.800000000007</v>
      </c>
      <c r="N35" s="1253">
        <v>1</v>
      </c>
      <c r="O35" s="1254">
        <v>6</v>
      </c>
      <c r="P35" s="1252">
        <v>16044.9</v>
      </c>
    </row>
    <row r="36" spans="1:16" ht="60">
      <c r="A36" s="1245" t="s">
        <v>2420</v>
      </c>
      <c r="B36" s="1246" t="s">
        <v>1880</v>
      </c>
      <c r="C36" s="1246" t="s">
        <v>504</v>
      </c>
      <c r="D36" s="1200" t="s">
        <v>3561</v>
      </c>
      <c r="E36" s="1247">
        <v>10300</v>
      </c>
      <c r="F36" s="1248">
        <v>9678246</v>
      </c>
      <c r="G36" s="1200" t="s">
        <v>3560</v>
      </c>
      <c r="H36" s="1191" t="s">
        <v>1695</v>
      </c>
      <c r="I36" s="1246" t="s">
        <v>569</v>
      </c>
      <c r="J36" s="1249" t="s">
        <v>759</v>
      </c>
      <c r="K36" s="1250">
        <v>1</v>
      </c>
      <c r="L36" s="1251">
        <v>12</v>
      </c>
      <c r="M36" s="1252">
        <v>125584.79999999997</v>
      </c>
      <c r="N36" s="1253">
        <v>1</v>
      </c>
      <c r="O36" s="1254">
        <v>6</v>
      </c>
      <c r="P36" s="1252">
        <v>62844.9</v>
      </c>
    </row>
    <row r="37" spans="1:16">
      <c r="A37" s="1245" t="s">
        <v>2420</v>
      </c>
      <c r="B37" s="1246" t="s">
        <v>1880</v>
      </c>
      <c r="C37" s="1246" t="s">
        <v>504</v>
      </c>
      <c r="D37" s="1200" t="s">
        <v>2829</v>
      </c>
      <c r="E37" s="1247">
        <v>1000</v>
      </c>
      <c r="F37" s="1248">
        <v>7331558</v>
      </c>
      <c r="G37" s="1200" t="s">
        <v>3559</v>
      </c>
      <c r="H37" s="1191" t="s">
        <v>1592</v>
      </c>
      <c r="I37" s="1246" t="s">
        <v>618</v>
      </c>
      <c r="J37" s="1249" t="s">
        <v>619</v>
      </c>
      <c r="K37" s="1250">
        <v>1</v>
      </c>
      <c r="L37" s="1251">
        <v>12</v>
      </c>
      <c r="M37" s="1252">
        <v>13680</v>
      </c>
      <c r="N37" s="1253">
        <v>1</v>
      </c>
      <c r="O37" s="1254">
        <v>6</v>
      </c>
      <c r="P37" s="1252">
        <v>6540</v>
      </c>
    </row>
    <row r="38" spans="1:16" ht="24">
      <c r="A38" s="1245" t="s">
        <v>2420</v>
      </c>
      <c r="B38" s="1246" t="s">
        <v>1880</v>
      </c>
      <c r="C38" s="1246" t="s">
        <v>504</v>
      </c>
      <c r="D38" s="1200" t="s">
        <v>2839</v>
      </c>
      <c r="E38" s="1247">
        <v>2500</v>
      </c>
      <c r="F38" s="1248">
        <v>42405628</v>
      </c>
      <c r="G38" s="1200" t="s">
        <v>3558</v>
      </c>
      <c r="H38" s="1191" t="s">
        <v>2696</v>
      </c>
      <c r="I38" s="1246" t="s">
        <v>569</v>
      </c>
      <c r="J38" s="1249" t="s">
        <v>1513</v>
      </c>
      <c r="K38" s="1250">
        <v>1</v>
      </c>
      <c r="L38" s="1251">
        <v>12</v>
      </c>
      <c r="M38" s="1252">
        <v>31960.800000000007</v>
      </c>
      <c r="N38" s="1253">
        <v>1</v>
      </c>
      <c r="O38" s="1254">
        <v>6</v>
      </c>
      <c r="P38" s="1252">
        <v>17136.510000000002</v>
      </c>
    </row>
    <row r="39" spans="1:16">
      <c r="A39" s="1245" t="s">
        <v>2420</v>
      </c>
      <c r="B39" s="1246" t="s">
        <v>1880</v>
      </c>
      <c r="C39" s="1246" t="s">
        <v>504</v>
      </c>
      <c r="D39" s="1200" t="s">
        <v>2893</v>
      </c>
      <c r="E39" s="1247">
        <v>930</v>
      </c>
      <c r="F39" s="1248">
        <v>45450209</v>
      </c>
      <c r="G39" s="1200" t="s">
        <v>3557</v>
      </c>
      <c r="H39" s="1191" t="s">
        <v>1592</v>
      </c>
      <c r="I39" s="1246" t="s">
        <v>618</v>
      </c>
      <c r="J39" s="1249" t="s">
        <v>619</v>
      </c>
      <c r="K39" s="1250">
        <v>1</v>
      </c>
      <c r="L39" s="1251">
        <v>12</v>
      </c>
      <c r="M39" s="1252">
        <v>12764.400000000003</v>
      </c>
      <c r="N39" s="1253">
        <v>1</v>
      </c>
      <c r="O39" s="1254">
        <v>6</v>
      </c>
      <c r="P39" s="1252">
        <v>6082.2</v>
      </c>
    </row>
    <row r="40" spans="1:16">
      <c r="A40" s="1245" t="s">
        <v>2420</v>
      </c>
      <c r="B40" s="1246" t="s">
        <v>1880</v>
      </c>
      <c r="C40" s="1246" t="s">
        <v>504</v>
      </c>
      <c r="D40" s="1200" t="s">
        <v>2902</v>
      </c>
      <c r="E40" s="1247">
        <v>930</v>
      </c>
      <c r="F40" s="1248">
        <v>7485890</v>
      </c>
      <c r="G40" s="1200" t="s">
        <v>3556</v>
      </c>
      <c r="H40" s="1191" t="s">
        <v>1592</v>
      </c>
      <c r="I40" s="1246" t="s">
        <v>618</v>
      </c>
      <c r="J40" s="1249" t="s">
        <v>619</v>
      </c>
      <c r="K40" s="1250">
        <v>1</v>
      </c>
      <c r="L40" s="1251">
        <v>12</v>
      </c>
      <c r="M40" s="1252">
        <v>12764.400000000003</v>
      </c>
      <c r="N40" s="1253">
        <v>1</v>
      </c>
      <c r="O40" s="1254">
        <v>6</v>
      </c>
      <c r="P40" s="1252">
        <v>6082.2</v>
      </c>
    </row>
    <row r="41" spans="1:16">
      <c r="A41" s="1245" t="s">
        <v>2420</v>
      </c>
      <c r="B41" s="1246" t="s">
        <v>1880</v>
      </c>
      <c r="C41" s="1246" t="s">
        <v>504</v>
      </c>
      <c r="D41" s="1200" t="s">
        <v>3555</v>
      </c>
      <c r="E41" s="1247">
        <v>930</v>
      </c>
      <c r="F41" s="1248">
        <v>40242988</v>
      </c>
      <c r="G41" s="1200" t="s">
        <v>3554</v>
      </c>
      <c r="H41" s="1191" t="s">
        <v>1592</v>
      </c>
      <c r="I41" s="1246" t="s">
        <v>618</v>
      </c>
      <c r="J41" s="1249" t="s">
        <v>619</v>
      </c>
      <c r="K41" s="1250">
        <v>1</v>
      </c>
      <c r="L41" s="1251">
        <v>12</v>
      </c>
      <c r="M41" s="1252">
        <v>12764.400000000003</v>
      </c>
      <c r="N41" s="1253">
        <v>1</v>
      </c>
      <c r="O41" s="1254">
        <v>6</v>
      </c>
      <c r="P41" s="1252">
        <v>6082.2</v>
      </c>
    </row>
    <row r="42" spans="1:16" ht="24">
      <c r="A42" s="1245" t="s">
        <v>2420</v>
      </c>
      <c r="B42" s="1246" t="s">
        <v>1880</v>
      </c>
      <c r="C42" s="1246" t="s">
        <v>504</v>
      </c>
      <c r="D42" s="1200" t="s">
        <v>3155</v>
      </c>
      <c r="E42" s="1247">
        <v>1000</v>
      </c>
      <c r="F42" s="1248">
        <v>25819359</v>
      </c>
      <c r="G42" s="1200" t="s">
        <v>3553</v>
      </c>
      <c r="H42" s="1191" t="s">
        <v>1592</v>
      </c>
      <c r="I42" s="1246" t="s">
        <v>618</v>
      </c>
      <c r="J42" s="1255" t="s">
        <v>619</v>
      </c>
      <c r="K42" s="1250">
        <v>1</v>
      </c>
      <c r="L42" s="1251">
        <v>12</v>
      </c>
      <c r="M42" s="1252">
        <v>13680</v>
      </c>
      <c r="N42" s="1253">
        <v>1</v>
      </c>
      <c r="O42" s="1254">
        <v>6</v>
      </c>
      <c r="P42" s="1252">
        <v>6540</v>
      </c>
    </row>
    <row r="43" spans="1:16" ht="36">
      <c r="A43" s="1245" t="s">
        <v>2420</v>
      </c>
      <c r="B43" s="1246" t="s">
        <v>1880</v>
      </c>
      <c r="C43" s="1246" t="s">
        <v>504</v>
      </c>
      <c r="D43" s="1200" t="s">
        <v>3552</v>
      </c>
      <c r="E43" s="1247">
        <v>2820</v>
      </c>
      <c r="F43" s="1248">
        <v>40860495</v>
      </c>
      <c r="G43" s="1200" t="s">
        <v>3551</v>
      </c>
      <c r="H43" s="1191" t="s">
        <v>3500</v>
      </c>
      <c r="I43" s="1246" t="s">
        <v>1664</v>
      </c>
      <c r="J43" s="1249" t="s">
        <v>3499</v>
      </c>
      <c r="K43" s="1250">
        <v>1</v>
      </c>
      <c r="L43" s="1251">
        <v>12</v>
      </c>
      <c r="M43" s="1252">
        <v>35200.80000000001</v>
      </c>
      <c r="N43" s="1253">
        <v>1</v>
      </c>
      <c r="O43" s="1254">
        <v>6</v>
      </c>
      <c r="P43" s="1252">
        <v>17964.900000000001</v>
      </c>
    </row>
    <row r="44" spans="1:16" ht="24">
      <c r="A44" s="1245" t="s">
        <v>2420</v>
      </c>
      <c r="B44" s="1246" t="s">
        <v>1880</v>
      </c>
      <c r="C44" s="1246" t="s">
        <v>504</v>
      </c>
      <c r="D44" s="1200" t="s">
        <v>3549</v>
      </c>
      <c r="E44" s="1247">
        <v>2820</v>
      </c>
      <c r="F44" s="1248">
        <v>43042662</v>
      </c>
      <c r="G44" s="1200" t="s">
        <v>3550</v>
      </c>
      <c r="H44" s="1191" t="s">
        <v>3549</v>
      </c>
      <c r="I44" s="1246" t="s">
        <v>1664</v>
      </c>
      <c r="J44" s="1249" t="s">
        <v>3549</v>
      </c>
      <c r="K44" s="1250">
        <v>1</v>
      </c>
      <c r="L44" s="1251">
        <v>12</v>
      </c>
      <c r="M44" s="1252">
        <v>35200.80000000001</v>
      </c>
      <c r="N44" s="1253">
        <v>1</v>
      </c>
      <c r="O44" s="1254">
        <v>6</v>
      </c>
      <c r="P44" s="1252">
        <v>17964.900000000001</v>
      </c>
    </row>
    <row r="45" spans="1:16" ht="24">
      <c r="A45" s="1245" t="s">
        <v>2420</v>
      </c>
      <c r="B45" s="1246" t="s">
        <v>1880</v>
      </c>
      <c r="C45" s="1246" t="s">
        <v>504</v>
      </c>
      <c r="D45" s="1200" t="s">
        <v>3548</v>
      </c>
      <c r="E45" s="1247">
        <v>5001</v>
      </c>
      <c r="F45" s="1248">
        <v>41704355</v>
      </c>
      <c r="G45" s="1200" t="s">
        <v>3547</v>
      </c>
      <c r="H45" s="1191" t="s">
        <v>2447</v>
      </c>
      <c r="I45" s="1246" t="s">
        <v>569</v>
      </c>
      <c r="J45" s="1249" t="s">
        <v>2447</v>
      </c>
      <c r="K45" s="1250">
        <v>1</v>
      </c>
      <c r="L45" s="1251">
        <v>12</v>
      </c>
      <c r="M45" s="1252">
        <v>61372.80000000001</v>
      </c>
      <c r="N45" s="1253">
        <v>1</v>
      </c>
      <c r="O45" s="1254">
        <v>6</v>
      </c>
      <c r="P45" s="1252">
        <v>31050.9</v>
      </c>
    </row>
    <row r="46" spans="1:16" ht="36">
      <c r="A46" s="1245" t="s">
        <v>2420</v>
      </c>
      <c r="B46" s="1246" t="s">
        <v>1880</v>
      </c>
      <c r="C46" s="1246" t="s">
        <v>504</v>
      </c>
      <c r="D46" s="1200" t="s">
        <v>3546</v>
      </c>
      <c r="E46" s="1247">
        <v>3500</v>
      </c>
      <c r="F46" s="1248">
        <v>44299518</v>
      </c>
      <c r="G46" s="1200" t="s">
        <v>3545</v>
      </c>
      <c r="H46" s="1191" t="s">
        <v>3544</v>
      </c>
      <c r="I46" s="1246" t="s">
        <v>1664</v>
      </c>
      <c r="J46" s="1249" t="s">
        <v>3543</v>
      </c>
      <c r="K46" s="1250">
        <v>1</v>
      </c>
      <c r="L46" s="1251">
        <v>12</v>
      </c>
      <c r="M46" s="1252">
        <v>43360.80000000001</v>
      </c>
      <c r="N46" s="1253">
        <v>1</v>
      </c>
      <c r="O46" s="1254">
        <v>6</v>
      </c>
      <c r="P46" s="1252">
        <v>22044.9</v>
      </c>
    </row>
    <row r="47" spans="1:16" ht="48">
      <c r="A47" s="1245" t="s">
        <v>2420</v>
      </c>
      <c r="B47" s="1246" t="s">
        <v>1880</v>
      </c>
      <c r="C47" s="1246" t="s">
        <v>504</v>
      </c>
      <c r="D47" s="1200" t="s">
        <v>3542</v>
      </c>
      <c r="E47" s="1247">
        <v>3000</v>
      </c>
      <c r="F47" s="1248">
        <v>43327092</v>
      </c>
      <c r="G47" s="1200" t="s">
        <v>3541</v>
      </c>
      <c r="H47" s="1191" t="s">
        <v>1784</v>
      </c>
      <c r="I47" s="1246" t="s">
        <v>1664</v>
      </c>
      <c r="J47" s="1249" t="s">
        <v>2898</v>
      </c>
      <c r="K47" s="1250">
        <v>1</v>
      </c>
      <c r="L47" s="1251">
        <v>12</v>
      </c>
      <c r="M47" s="1252">
        <v>37360.80000000001</v>
      </c>
      <c r="N47" s="1253">
        <v>1</v>
      </c>
      <c r="O47" s="1254">
        <v>6</v>
      </c>
      <c r="P47" s="1252">
        <v>19044.900000000001</v>
      </c>
    </row>
    <row r="48" spans="1:16" ht="24">
      <c r="A48" s="1245" t="s">
        <v>2420</v>
      </c>
      <c r="B48" s="1246" t="s">
        <v>1880</v>
      </c>
      <c r="C48" s="1246" t="s">
        <v>504</v>
      </c>
      <c r="D48" s="1200" t="s">
        <v>3540</v>
      </c>
      <c r="E48" s="1247">
        <v>6000</v>
      </c>
      <c r="F48" s="1248">
        <v>42880467</v>
      </c>
      <c r="G48" s="1200" t="s">
        <v>3539</v>
      </c>
      <c r="H48" s="1191" t="s">
        <v>2447</v>
      </c>
      <c r="I48" s="1246" t="s">
        <v>569</v>
      </c>
      <c r="J48" s="1249" t="s">
        <v>2618</v>
      </c>
      <c r="K48" s="1250">
        <v>1</v>
      </c>
      <c r="L48" s="1251">
        <v>12</v>
      </c>
      <c r="M48" s="1252">
        <v>73360.800000000003</v>
      </c>
      <c r="N48" s="1253">
        <v>1</v>
      </c>
      <c r="O48" s="1254">
        <v>6</v>
      </c>
      <c r="P48" s="1252">
        <v>37044.9</v>
      </c>
    </row>
    <row r="49" spans="1:16" ht="48">
      <c r="A49" s="1245" t="s">
        <v>2420</v>
      </c>
      <c r="B49" s="1246" t="s">
        <v>1880</v>
      </c>
      <c r="C49" s="1246" t="s">
        <v>504</v>
      </c>
      <c r="D49" s="1200" t="s">
        <v>3538</v>
      </c>
      <c r="E49" s="1247">
        <v>5500</v>
      </c>
      <c r="F49" s="1248">
        <v>6212025</v>
      </c>
      <c r="G49" s="1200" t="s">
        <v>3537</v>
      </c>
      <c r="H49" s="1191" t="s">
        <v>2447</v>
      </c>
      <c r="I49" s="1246" t="s">
        <v>569</v>
      </c>
      <c r="J49" s="1249" t="s">
        <v>2489</v>
      </c>
      <c r="K49" s="1250">
        <v>1</v>
      </c>
      <c r="L49" s="1251">
        <v>12</v>
      </c>
      <c r="M49" s="1252">
        <v>67360.800000000003</v>
      </c>
      <c r="N49" s="1253">
        <v>1</v>
      </c>
      <c r="O49" s="1254">
        <v>6</v>
      </c>
      <c r="P49" s="1252">
        <v>34044.9</v>
      </c>
    </row>
    <row r="50" spans="1:16" ht="24">
      <c r="A50" s="1245" t="s">
        <v>2420</v>
      </c>
      <c r="B50" s="1246" t="s">
        <v>1880</v>
      </c>
      <c r="C50" s="1246" t="s">
        <v>504</v>
      </c>
      <c r="D50" s="1200" t="s">
        <v>3131</v>
      </c>
      <c r="E50" s="1247">
        <v>4000</v>
      </c>
      <c r="F50" s="1248">
        <v>44084606</v>
      </c>
      <c r="G50" s="1200" t="s">
        <v>3536</v>
      </c>
      <c r="H50" s="1191" t="s">
        <v>2237</v>
      </c>
      <c r="I50" s="1246" t="s">
        <v>569</v>
      </c>
      <c r="J50" s="1249" t="s">
        <v>2237</v>
      </c>
      <c r="K50" s="1250">
        <v>1</v>
      </c>
      <c r="L50" s="1251">
        <v>5</v>
      </c>
      <c r="M50" s="1252">
        <v>18828.269999999997</v>
      </c>
      <c r="N50" s="1253">
        <v>0</v>
      </c>
      <c r="O50" s="1254">
        <v>0</v>
      </c>
      <c r="P50" s="1252">
        <v>0</v>
      </c>
    </row>
    <row r="51" spans="1:16" ht="72">
      <c r="A51" s="1245" t="s">
        <v>2420</v>
      </c>
      <c r="B51" s="1246" t="s">
        <v>1880</v>
      </c>
      <c r="C51" s="1246" t="s">
        <v>504</v>
      </c>
      <c r="D51" s="1200" t="s">
        <v>3535</v>
      </c>
      <c r="E51" s="1247">
        <v>5500</v>
      </c>
      <c r="F51" s="1248">
        <v>43127684</v>
      </c>
      <c r="G51" s="1200" t="s">
        <v>3534</v>
      </c>
      <c r="H51" s="1191" t="s">
        <v>2447</v>
      </c>
      <c r="I51" s="1246" t="s">
        <v>569</v>
      </c>
      <c r="J51" s="1249" t="s">
        <v>2447</v>
      </c>
      <c r="K51" s="1250">
        <v>1</v>
      </c>
      <c r="L51" s="1251">
        <v>12</v>
      </c>
      <c r="M51" s="1252">
        <v>67360.800000000003</v>
      </c>
      <c r="N51" s="1253">
        <v>1</v>
      </c>
      <c r="O51" s="1254">
        <v>6</v>
      </c>
      <c r="P51" s="1252">
        <v>34044.9</v>
      </c>
    </row>
    <row r="52" spans="1:16" ht="36">
      <c r="A52" s="1245" t="s">
        <v>2420</v>
      </c>
      <c r="B52" s="1246" t="s">
        <v>1880</v>
      </c>
      <c r="C52" s="1246" t="s">
        <v>504</v>
      </c>
      <c r="D52" s="1200" t="s">
        <v>3533</v>
      </c>
      <c r="E52" s="1247">
        <v>3000</v>
      </c>
      <c r="F52" s="1248" t="s">
        <v>3532</v>
      </c>
      <c r="G52" s="1200" t="s">
        <v>3531</v>
      </c>
      <c r="H52" s="1191" t="s">
        <v>1695</v>
      </c>
      <c r="I52" s="1246" t="s">
        <v>569</v>
      </c>
      <c r="J52" s="1249" t="s">
        <v>1779</v>
      </c>
      <c r="K52" s="1250">
        <v>1</v>
      </c>
      <c r="L52" s="1251">
        <v>8</v>
      </c>
      <c r="M52" s="1252">
        <v>25407.200000000004</v>
      </c>
      <c r="N52" s="1253">
        <v>1</v>
      </c>
      <c r="O52" s="1254">
        <v>6</v>
      </c>
      <c r="P52" s="1252">
        <v>19044.900000000001</v>
      </c>
    </row>
    <row r="53" spans="1:16">
      <c r="A53" s="1245" t="s">
        <v>2420</v>
      </c>
      <c r="B53" s="1246" t="s">
        <v>1880</v>
      </c>
      <c r="C53" s="1246" t="s">
        <v>504</v>
      </c>
      <c r="D53" s="1200" t="s">
        <v>2826</v>
      </c>
      <c r="E53" s="1247">
        <v>1500</v>
      </c>
      <c r="F53" s="1248">
        <v>40236043</v>
      </c>
      <c r="G53" s="1200" t="s">
        <v>3530</v>
      </c>
      <c r="H53" s="1191" t="s">
        <v>1888</v>
      </c>
      <c r="I53" s="1246" t="s">
        <v>1664</v>
      </c>
      <c r="J53" s="1249" t="s">
        <v>1888</v>
      </c>
      <c r="K53" s="1250">
        <v>1</v>
      </c>
      <c r="L53" s="1251">
        <v>12</v>
      </c>
      <c r="M53" s="1252">
        <v>19960.800000000003</v>
      </c>
      <c r="N53" s="1253">
        <v>1</v>
      </c>
      <c r="O53" s="1254">
        <v>6</v>
      </c>
      <c r="P53" s="1252">
        <v>10266</v>
      </c>
    </row>
    <row r="54" spans="1:16" ht="24">
      <c r="A54" s="1245" t="s">
        <v>2420</v>
      </c>
      <c r="B54" s="1246" t="s">
        <v>1880</v>
      </c>
      <c r="C54" s="1246" t="s">
        <v>504</v>
      </c>
      <c r="D54" s="1200" t="s">
        <v>3306</v>
      </c>
      <c r="E54" s="1247">
        <v>1500</v>
      </c>
      <c r="F54" s="1248">
        <v>10799464</v>
      </c>
      <c r="G54" s="1200" t="s">
        <v>3529</v>
      </c>
      <c r="H54" s="1191" t="s">
        <v>3528</v>
      </c>
      <c r="I54" s="1246" t="s">
        <v>1664</v>
      </c>
      <c r="J54" s="1249" t="s">
        <v>3528</v>
      </c>
      <c r="K54" s="1250">
        <v>1</v>
      </c>
      <c r="L54" s="1251">
        <v>12</v>
      </c>
      <c r="M54" s="1252">
        <v>19960.800000000003</v>
      </c>
      <c r="N54" s="1253">
        <v>1</v>
      </c>
      <c r="O54" s="1254">
        <v>6</v>
      </c>
      <c r="P54" s="1252">
        <v>9810</v>
      </c>
    </row>
    <row r="55" spans="1:16">
      <c r="A55" s="1245" t="s">
        <v>2420</v>
      </c>
      <c r="B55" s="1246" t="s">
        <v>1880</v>
      </c>
      <c r="C55" s="1246" t="s">
        <v>504</v>
      </c>
      <c r="D55" s="1200" t="s">
        <v>2826</v>
      </c>
      <c r="E55" s="1247">
        <v>1500</v>
      </c>
      <c r="F55" s="1248">
        <v>41253618</v>
      </c>
      <c r="G55" s="1200" t="s">
        <v>3527</v>
      </c>
      <c r="H55" s="1191" t="s">
        <v>1592</v>
      </c>
      <c r="I55" s="1246" t="s">
        <v>618</v>
      </c>
      <c r="J55" s="1249" t="s">
        <v>619</v>
      </c>
      <c r="K55" s="1250">
        <v>1</v>
      </c>
      <c r="L55" s="1251">
        <v>7</v>
      </c>
      <c r="M55" s="1252">
        <v>11593.8</v>
      </c>
      <c r="N55" s="1253">
        <v>0</v>
      </c>
      <c r="O55" s="1254">
        <v>0</v>
      </c>
      <c r="P55" s="1252">
        <v>0</v>
      </c>
    </row>
    <row r="56" spans="1:16" ht="36">
      <c r="A56" s="1245" t="s">
        <v>2420</v>
      </c>
      <c r="B56" s="1246" t="s">
        <v>1880</v>
      </c>
      <c r="C56" s="1246" t="s">
        <v>504</v>
      </c>
      <c r="D56" s="1200" t="s">
        <v>2986</v>
      </c>
      <c r="E56" s="1247">
        <v>1500</v>
      </c>
      <c r="F56" s="1248">
        <v>43680544</v>
      </c>
      <c r="G56" s="1200" t="s">
        <v>3526</v>
      </c>
      <c r="H56" s="1191" t="s">
        <v>2984</v>
      </c>
      <c r="I56" s="1246" t="s">
        <v>1664</v>
      </c>
      <c r="J56" s="1249" t="s">
        <v>3525</v>
      </c>
      <c r="K56" s="1250">
        <v>1</v>
      </c>
      <c r="L56" s="1251">
        <v>12</v>
      </c>
      <c r="M56" s="1252">
        <v>19960.800000000003</v>
      </c>
      <c r="N56" s="1253">
        <v>1</v>
      </c>
      <c r="O56" s="1254">
        <v>6</v>
      </c>
      <c r="P56" s="1252">
        <v>9810</v>
      </c>
    </row>
    <row r="57" spans="1:16" ht="24">
      <c r="A57" s="1245" t="s">
        <v>2420</v>
      </c>
      <c r="B57" s="1246" t="s">
        <v>1880</v>
      </c>
      <c r="C57" s="1246" t="s">
        <v>504</v>
      </c>
      <c r="D57" s="1200" t="s">
        <v>3524</v>
      </c>
      <c r="E57" s="1247">
        <v>5500</v>
      </c>
      <c r="F57" s="1248">
        <v>43310072</v>
      </c>
      <c r="G57" s="1200" t="s">
        <v>3523</v>
      </c>
      <c r="H57" s="1191" t="s">
        <v>2447</v>
      </c>
      <c r="I57" s="1246" t="s">
        <v>569</v>
      </c>
      <c r="J57" s="1249" t="s">
        <v>2618</v>
      </c>
      <c r="K57" s="1250">
        <v>1</v>
      </c>
      <c r="L57" s="1251">
        <v>12</v>
      </c>
      <c r="M57" s="1252">
        <v>67360.800000000003</v>
      </c>
      <c r="N57" s="1253">
        <v>1</v>
      </c>
      <c r="O57" s="1254">
        <v>6</v>
      </c>
      <c r="P57" s="1252">
        <v>34044.9</v>
      </c>
    </row>
    <row r="58" spans="1:16" ht="24">
      <c r="A58" s="1245" t="s">
        <v>2420</v>
      </c>
      <c r="B58" s="1246" t="s">
        <v>1880</v>
      </c>
      <c r="C58" s="1246" t="s">
        <v>504</v>
      </c>
      <c r="D58" s="1200" t="s">
        <v>3522</v>
      </c>
      <c r="E58" s="1247">
        <v>5500</v>
      </c>
      <c r="F58" s="1248">
        <v>26698053</v>
      </c>
      <c r="G58" s="1200" t="s">
        <v>3521</v>
      </c>
      <c r="H58" s="1191" t="s">
        <v>2447</v>
      </c>
      <c r="I58" s="1246" t="s">
        <v>569</v>
      </c>
      <c r="J58" s="1249" t="s">
        <v>2489</v>
      </c>
      <c r="K58" s="1250">
        <v>1</v>
      </c>
      <c r="L58" s="1251">
        <v>12</v>
      </c>
      <c r="M58" s="1252">
        <v>67360.800000000003</v>
      </c>
      <c r="N58" s="1253">
        <v>1</v>
      </c>
      <c r="O58" s="1254">
        <v>6</v>
      </c>
      <c r="P58" s="1252">
        <v>34044.9</v>
      </c>
    </row>
    <row r="59" spans="1:16" ht="36">
      <c r="A59" s="1245" t="s">
        <v>2420</v>
      </c>
      <c r="B59" s="1246" t="s">
        <v>1880</v>
      </c>
      <c r="C59" s="1246" t="s">
        <v>504</v>
      </c>
      <c r="D59" s="1200" t="s">
        <v>3520</v>
      </c>
      <c r="E59" s="1247">
        <v>2820</v>
      </c>
      <c r="F59" s="1248">
        <v>41224627</v>
      </c>
      <c r="G59" s="1200" t="s">
        <v>3519</v>
      </c>
      <c r="H59" s="1191" t="s">
        <v>3500</v>
      </c>
      <c r="I59" s="1246" t="s">
        <v>1664</v>
      </c>
      <c r="J59" s="1249" t="s">
        <v>3499</v>
      </c>
      <c r="K59" s="1250">
        <v>1</v>
      </c>
      <c r="L59" s="1251">
        <v>12</v>
      </c>
      <c r="M59" s="1252">
        <v>35200.80000000001</v>
      </c>
      <c r="N59" s="1253">
        <v>1</v>
      </c>
      <c r="O59" s="1254">
        <v>6</v>
      </c>
      <c r="P59" s="1252">
        <v>17964.900000000001</v>
      </c>
    </row>
    <row r="60" spans="1:16">
      <c r="A60" s="1245" t="s">
        <v>2420</v>
      </c>
      <c r="B60" s="1246" t="s">
        <v>1880</v>
      </c>
      <c r="C60" s="1246" t="s">
        <v>504</v>
      </c>
      <c r="D60" s="1200" t="s">
        <v>3518</v>
      </c>
      <c r="E60" s="1247">
        <v>930</v>
      </c>
      <c r="F60" s="1248">
        <v>40552880</v>
      </c>
      <c r="G60" s="1200" t="s">
        <v>3517</v>
      </c>
      <c r="H60" s="1191" t="s">
        <v>503</v>
      </c>
      <c r="I60" s="1246" t="s">
        <v>1664</v>
      </c>
      <c r="J60" s="1249" t="s">
        <v>503</v>
      </c>
      <c r="K60" s="1250">
        <v>1</v>
      </c>
      <c r="L60" s="1251">
        <v>3</v>
      </c>
      <c r="M60" s="1252">
        <v>2268.6800000000003</v>
      </c>
      <c r="N60" s="1253">
        <v>0</v>
      </c>
      <c r="O60" s="1254">
        <v>0</v>
      </c>
      <c r="P60" s="1252">
        <v>0</v>
      </c>
    </row>
    <row r="61" spans="1:16" ht="48">
      <c r="A61" s="1245" t="s">
        <v>2420</v>
      </c>
      <c r="B61" s="1246" t="s">
        <v>1880</v>
      </c>
      <c r="C61" s="1246" t="s">
        <v>504</v>
      </c>
      <c r="D61" s="1200" t="s">
        <v>3516</v>
      </c>
      <c r="E61" s="1247">
        <v>5920</v>
      </c>
      <c r="F61" s="1248">
        <v>41921375</v>
      </c>
      <c r="G61" s="1200" t="s">
        <v>3515</v>
      </c>
      <c r="H61" s="1191" t="s">
        <v>2447</v>
      </c>
      <c r="I61" s="1246" t="s">
        <v>569</v>
      </c>
      <c r="J61" s="1249" t="s">
        <v>2447</v>
      </c>
      <c r="K61" s="1250">
        <v>1</v>
      </c>
      <c r="L61" s="1251">
        <v>12</v>
      </c>
      <c r="M61" s="1252">
        <v>72400.800000000003</v>
      </c>
      <c r="N61" s="1253">
        <v>1</v>
      </c>
      <c r="O61" s="1254">
        <v>6</v>
      </c>
      <c r="P61" s="1252">
        <v>36564.9</v>
      </c>
    </row>
    <row r="62" spans="1:16" ht="24">
      <c r="A62" s="1245" t="s">
        <v>2420</v>
      </c>
      <c r="B62" s="1246" t="s">
        <v>1880</v>
      </c>
      <c r="C62" s="1246" t="s">
        <v>504</v>
      </c>
      <c r="D62" s="1200" t="s">
        <v>2839</v>
      </c>
      <c r="E62" s="1247">
        <v>2500</v>
      </c>
      <c r="F62" s="1248">
        <v>42351853</v>
      </c>
      <c r="G62" s="1200" t="s">
        <v>3514</v>
      </c>
      <c r="H62" s="1191" t="s">
        <v>2696</v>
      </c>
      <c r="I62" s="1246" t="s">
        <v>569</v>
      </c>
      <c r="J62" s="1249" t="s">
        <v>1513</v>
      </c>
      <c r="K62" s="1250">
        <v>1</v>
      </c>
      <c r="L62" s="1251">
        <v>12</v>
      </c>
      <c r="M62" s="1252">
        <v>31984.800000000007</v>
      </c>
      <c r="N62" s="1253">
        <v>1</v>
      </c>
      <c r="O62" s="1254">
        <v>6</v>
      </c>
      <c r="P62" s="1252">
        <v>16500.900000000001</v>
      </c>
    </row>
    <row r="63" spans="1:16">
      <c r="A63" s="1245" t="s">
        <v>2420</v>
      </c>
      <c r="B63" s="1246" t="s">
        <v>1880</v>
      </c>
      <c r="C63" s="1246" t="s">
        <v>504</v>
      </c>
      <c r="D63" s="1200" t="s">
        <v>2688</v>
      </c>
      <c r="E63" s="1247">
        <v>4200</v>
      </c>
      <c r="F63" s="1248">
        <v>6208759</v>
      </c>
      <c r="G63" s="1200" t="s">
        <v>3513</v>
      </c>
      <c r="H63" s="1191" t="s">
        <v>1439</v>
      </c>
      <c r="I63" s="1246" t="s">
        <v>569</v>
      </c>
      <c r="J63" s="1249" t="s">
        <v>1792</v>
      </c>
      <c r="K63" s="1250">
        <v>1</v>
      </c>
      <c r="L63" s="1251">
        <v>11</v>
      </c>
      <c r="M63" s="1252">
        <v>47747.400000000009</v>
      </c>
      <c r="N63" s="1253">
        <v>0</v>
      </c>
      <c r="O63" s="1254">
        <v>0</v>
      </c>
      <c r="P63" s="1252">
        <v>0</v>
      </c>
    </row>
    <row r="64" spans="1:16" ht="48">
      <c r="A64" s="1245" t="s">
        <v>2420</v>
      </c>
      <c r="B64" s="1246" t="s">
        <v>1880</v>
      </c>
      <c r="C64" s="1246" t="s">
        <v>504</v>
      </c>
      <c r="D64" s="1200" t="s">
        <v>3512</v>
      </c>
      <c r="E64" s="1247">
        <v>4200</v>
      </c>
      <c r="F64" s="1248">
        <v>43659267</v>
      </c>
      <c r="G64" s="1200" t="s">
        <v>3511</v>
      </c>
      <c r="H64" s="1191" t="s">
        <v>1784</v>
      </c>
      <c r="I64" s="1246" t="s">
        <v>1664</v>
      </c>
      <c r="J64" s="1249" t="s">
        <v>3510</v>
      </c>
      <c r="K64" s="1250">
        <v>1</v>
      </c>
      <c r="L64" s="1251">
        <v>12</v>
      </c>
      <c r="M64" s="1252">
        <v>51760.80000000001</v>
      </c>
      <c r="N64" s="1253">
        <v>1</v>
      </c>
      <c r="O64" s="1254">
        <v>6</v>
      </c>
      <c r="P64" s="1252">
        <v>26244.9</v>
      </c>
    </row>
    <row r="65" spans="1:16" ht="72">
      <c r="A65" s="1245" t="s">
        <v>2420</v>
      </c>
      <c r="B65" s="1246" t="s">
        <v>1880</v>
      </c>
      <c r="C65" s="1246" t="s">
        <v>504</v>
      </c>
      <c r="D65" s="1200" t="s">
        <v>3509</v>
      </c>
      <c r="E65" s="1247">
        <v>5400</v>
      </c>
      <c r="F65" s="1248">
        <v>25746208</v>
      </c>
      <c r="G65" s="1200" t="s">
        <v>3508</v>
      </c>
      <c r="H65" s="1191" t="s">
        <v>2447</v>
      </c>
      <c r="I65" s="1246" t="s">
        <v>569</v>
      </c>
      <c r="J65" s="1249" t="s">
        <v>2447</v>
      </c>
      <c r="K65" s="1250">
        <v>1</v>
      </c>
      <c r="L65" s="1251">
        <v>12</v>
      </c>
      <c r="M65" s="1252">
        <v>66160.800000000003</v>
      </c>
      <c r="N65" s="1253">
        <v>1</v>
      </c>
      <c r="O65" s="1254">
        <v>6</v>
      </c>
      <c r="P65" s="1252">
        <v>33444.9</v>
      </c>
    </row>
    <row r="66" spans="1:16" ht="36">
      <c r="A66" s="1245" t="s">
        <v>2420</v>
      </c>
      <c r="B66" s="1246" t="s">
        <v>1880</v>
      </c>
      <c r="C66" s="1246" t="s">
        <v>504</v>
      </c>
      <c r="D66" s="1200" t="s">
        <v>3507</v>
      </c>
      <c r="E66" s="1247">
        <v>5400</v>
      </c>
      <c r="F66" s="1248">
        <v>44177074</v>
      </c>
      <c r="G66" s="1200" t="s">
        <v>3506</v>
      </c>
      <c r="H66" s="1191" t="s">
        <v>2447</v>
      </c>
      <c r="I66" s="1246" t="s">
        <v>569</v>
      </c>
      <c r="J66" s="1249" t="s">
        <v>2447</v>
      </c>
      <c r="K66" s="1250">
        <v>1</v>
      </c>
      <c r="L66" s="1251">
        <v>12</v>
      </c>
      <c r="M66" s="1252">
        <v>64720.80000000001</v>
      </c>
      <c r="N66" s="1253">
        <v>1</v>
      </c>
      <c r="O66" s="1254">
        <v>6</v>
      </c>
      <c r="P66" s="1252">
        <v>33444.9</v>
      </c>
    </row>
    <row r="67" spans="1:16" ht="84">
      <c r="A67" s="1245" t="s">
        <v>2420</v>
      </c>
      <c r="B67" s="1246" t="s">
        <v>1880</v>
      </c>
      <c r="C67" s="1246" t="s">
        <v>504</v>
      </c>
      <c r="D67" s="1200" t="s">
        <v>3505</v>
      </c>
      <c r="E67" s="1247">
        <v>2500</v>
      </c>
      <c r="F67" s="1248">
        <v>43287820</v>
      </c>
      <c r="G67" s="1200" t="s">
        <v>3504</v>
      </c>
      <c r="H67" s="1191" t="s">
        <v>2436</v>
      </c>
      <c r="I67" s="1246" t="s">
        <v>1664</v>
      </c>
      <c r="J67" s="1249" t="s">
        <v>2968</v>
      </c>
      <c r="K67" s="1250">
        <v>1</v>
      </c>
      <c r="L67" s="1251">
        <v>12</v>
      </c>
      <c r="M67" s="1252">
        <v>31360.800000000007</v>
      </c>
      <c r="N67" s="1253">
        <v>1</v>
      </c>
      <c r="O67" s="1254">
        <v>5</v>
      </c>
      <c r="P67" s="1252">
        <v>13370.75</v>
      </c>
    </row>
    <row r="68" spans="1:16">
      <c r="A68" s="1245" t="s">
        <v>2420</v>
      </c>
      <c r="B68" s="1246" t="s">
        <v>1880</v>
      </c>
      <c r="C68" s="1246" t="s">
        <v>504</v>
      </c>
      <c r="D68" s="1200" t="s">
        <v>2829</v>
      </c>
      <c r="E68" s="1247">
        <v>1000</v>
      </c>
      <c r="F68" s="1248">
        <v>25550697</v>
      </c>
      <c r="G68" s="1200" t="s">
        <v>3503</v>
      </c>
      <c r="H68" s="1191" t="s">
        <v>1592</v>
      </c>
      <c r="I68" s="1246" t="s">
        <v>618</v>
      </c>
      <c r="J68" s="1249" t="s">
        <v>619</v>
      </c>
      <c r="K68" s="1250">
        <v>1</v>
      </c>
      <c r="L68" s="1251">
        <v>12</v>
      </c>
      <c r="M68" s="1252">
        <v>13680</v>
      </c>
      <c r="N68" s="1253">
        <v>1</v>
      </c>
      <c r="O68" s="1254">
        <v>6</v>
      </c>
      <c r="P68" s="1252">
        <v>6540</v>
      </c>
    </row>
    <row r="69" spans="1:16" ht="84">
      <c r="A69" s="1245" t="s">
        <v>2420</v>
      </c>
      <c r="B69" s="1246" t="s">
        <v>1880</v>
      </c>
      <c r="C69" s="1246" t="s">
        <v>504</v>
      </c>
      <c r="D69" s="1200" t="s">
        <v>3502</v>
      </c>
      <c r="E69" s="1247">
        <v>2500</v>
      </c>
      <c r="F69" s="1248">
        <v>43332477</v>
      </c>
      <c r="G69" s="1200" t="s">
        <v>3501</v>
      </c>
      <c r="H69" s="1191" t="s">
        <v>3500</v>
      </c>
      <c r="I69" s="1246" t="s">
        <v>569</v>
      </c>
      <c r="J69" s="1249" t="s">
        <v>3499</v>
      </c>
      <c r="K69" s="1250">
        <v>1</v>
      </c>
      <c r="L69" s="1251">
        <v>12</v>
      </c>
      <c r="M69" s="1252">
        <v>31360.800000000007</v>
      </c>
      <c r="N69" s="1253">
        <v>1</v>
      </c>
      <c r="O69" s="1254">
        <v>6</v>
      </c>
      <c r="P69" s="1252">
        <v>16044.9</v>
      </c>
    </row>
    <row r="70" spans="1:16" ht="36">
      <c r="A70" s="1245" t="s">
        <v>2420</v>
      </c>
      <c r="B70" s="1246" t="s">
        <v>1880</v>
      </c>
      <c r="C70" s="1246" t="s">
        <v>504</v>
      </c>
      <c r="D70" s="1200" t="s">
        <v>3498</v>
      </c>
      <c r="E70" s="1247">
        <v>2145</v>
      </c>
      <c r="F70" s="1248">
        <v>10381240</v>
      </c>
      <c r="G70" s="1200" t="s">
        <v>3497</v>
      </c>
      <c r="H70" s="1191" t="s">
        <v>994</v>
      </c>
      <c r="I70" s="1246" t="s">
        <v>1664</v>
      </c>
      <c r="J70" s="1249" t="s">
        <v>3496</v>
      </c>
      <c r="K70" s="1250">
        <v>1</v>
      </c>
      <c r="L70" s="1251">
        <v>12</v>
      </c>
      <c r="M70" s="1252">
        <v>27700.800000000007</v>
      </c>
      <c r="N70" s="1253">
        <v>1</v>
      </c>
      <c r="O70" s="1254">
        <v>6</v>
      </c>
      <c r="P70" s="1252">
        <v>13914.9</v>
      </c>
    </row>
    <row r="71" spans="1:16" ht="84">
      <c r="A71" s="1245" t="s">
        <v>2420</v>
      </c>
      <c r="B71" s="1246" t="s">
        <v>1880</v>
      </c>
      <c r="C71" s="1246" t="s">
        <v>504</v>
      </c>
      <c r="D71" s="1200" t="s">
        <v>3495</v>
      </c>
      <c r="E71" s="1247">
        <v>2500</v>
      </c>
      <c r="F71" s="1248">
        <v>40626998</v>
      </c>
      <c r="G71" s="1200" t="s">
        <v>3494</v>
      </c>
      <c r="H71" s="1191" t="s">
        <v>2436</v>
      </c>
      <c r="I71" s="1246" t="s">
        <v>1664</v>
      </c>
      <c r="J71" s="1249" t="s">
        <v>2898</v>
      </c>
      <c r="K71" s="1250">
        <v>1</v>
      </c>
      <c r="L71" s="1251">
        <v>12</v>
      </c>
      <c r="M71" s="1252">
        <v>31360.800000000007</v>
      </c>
      <c r="N71" s="1253">
        <v>1</v>
      </c>
      <c r="O71" s="1254">
        <v>6</v>
      </c>
      <c r="P71" s="1252">
        <v>16044.9</v>
      </c>
    </row>
    <row r="72" spans="1:16">
      <c r="A72" s="1245" t="s">
        <v>2420</v>
      </c>
      <c r="B72" s="1246" t="s">
        <v>1880</v>
      </c>
      <c r="C72" s="1246" t="s">
        <v>504</v>
      </c>
      <c r="D72" s="1200" t="s">
        <v>3180</v>
      </c>
      <c r="E72" s="1247">
        <v>950</v>
      </c>
      <c r="F72" s="1248">
        <v>15709775</v>
      </c>
      <c r="G72" s="1200" t="s">
        <v>3493</v>
      </c>
      <c r="H72" s="1191" t="s">
        <v>1592</v>
      </c>
      <c r="I72" s="1246" t="s">
        <v>618</v>
      </c>
      <c r="J72" s="1249" t="s">
        <v>619</v>
      </c>
      <c r="K72" s="1250">
        <v>1</v>
      </c>
      <c r="L72" s="1251">
        <v>12</v>
      </c>
      <c r="M72" s="1252">
        <v>13026</v>
      </c>
      <c r="N72" s="1253">
        <v>1</v>
      </c>
      <c r="O72" s="1254">
        <v>6</v>
      </c>
      <c r="P72" s="1252">
        <v>6213</v>
      </c>
    </row>
    <row r="73" spans="1:16">
      <c r="A73" s="1245" t="s">
        <v>2420</v>
      </c>
      <c r="B73" s="1246" t="s">
        <v>1880</v>
      </c>
      <c r="C73" s="1246" t="s">
        <v>504</v>
      </c>
      <c r="D73" s="1200" t="s">
        <v>2829</v>
      </c>
      <c r="E73" s="1247">
        <v>1000</v>
      </c>
      <c r="F73" s="1248">
        <v>42396625</v>
      </c>
      <c r="G73" s="1200" t="s">
        <v>3492</v>
      </c>
      <c r="H73" s="1191" t="s">
        <v>1592</v>
      </c>
      <c r="I73" s="1246" t="s">
        <v>618</v>
      </c>
      <c r="J73" s="1249" t="s">
        <v>619</v>
      </c>
      <c r="K73" s="1250">
        <v>1</v>
      </c>
      <c r="L73" s="1251">
        <v>12</v>
      </c>
      <c r="M73" s="1252">
        <v>13680</v>
      </c>
      <c r="N73" s="1253">
        <v>0</v>
      </c>
      <c r="O73" s="1254">
        <v>0</v>
      </c>
      <c r="P73" s="1252">
        <v>0</v>
      </c>
    </row>
    <row r="74" spans="1:16">
      <c r="A74" s="1245" t="s">
        <v>2420</v>
      </c>
      <c r="B74" s="1246" t="s">
        <v>1880</v>
      </c>
      <c r="C74" s="1246" t="s">
        <v>504</v>
      </c>
      <c r="D74" s="1200" t="s">
        <v>2867</v>
      </c>
      <c r="E74" s="1247">
        <v>930</v>
      </c>
      <c r="F74" s="1248">
        <v>40152777</v>
      </c>
      <c r="G74" s="1200" t="s">
        <v>3491</v>
      </c>
      <c r="H74" s="1191" t="s">
        <v>1592</v>
      </c>
      <c r="I74" s="1246" t="s">
        <v>618</v>
      </c>
      <c r="J74" s="1249" t="s">
        <v>619</v>
      </c>
      <c r="K74" s="1250">
        <v>1</v>
      </c>
      <c r="L74" s="1251">
        <v>12</v>
      </c>
      <c r="M74" s="1252">
        <v>12764.400000000003</v>
      </c>
      <c r="N74" s="1253">
        <v>1</v>
      </c>
      <c r="O74" s="1254">
        <v>6</v>
      </c>
      <c r="P74" s="1252">
        <v>6082.2</v>
      </c>
    </row>
    <row r="75" spans="1:16">
      <c r="A75" s="1245" t="s">
        <v>2420</v>
      </c>
      <c r="B75" s="1246" t="s">
        <v>1880</v>
      </c>
      <c r="C75" s="1246" t="s">
        <v>504</v>
      </c>
      <c r="D75" s="1200" t="s">
        <v>3182</v>
      </c>
      <c r="E75" s="1247">
        <v>930</v>
      </c>
      <c r="F75" s="1248">
        <v>9694506</v>
      </c>
      <c r="G75" s="1200" t="s">
        <v>3490</v>
      </c>
      <c r="H75" s="1191" t="s">
        <v>1592</v>
      </c>
      <c r="I75" s="1246" t="s">
        <v>618</v>
      </c>
      <c r="J75" s="1249" t="s">
        <v>619</v>
      </c>
      <c r="K75" s="1250">
        <v>1</v>
      </c>
      <c r="L75" s="1251">
        <v>12</v>
      </c>
      <c r="M75" s="1252">
        <v>12764.400000000003</v>
      </c>
      <c r="N75" s="1253">
        <v>1</v>
      </c>
      <c r="O75" s="1254">
        <v>6</v>
      </c>
      <c r="P75" s="1252">
        <v>6082.2</v>
      </c>
    </row>
    <row r="76" spans="1:16">
      <c r="A76" s="1245" t="s">
        <v>2420</v>
      </c>
      <c r="B76" s="1246" t="s">
        <v>1880</v>
      </c>
      <c r="C76" s="1246" t="s">
        <v>504</v>
      </c>
      <c r="D76" s="1200" t="s">
        <v>2881</v>
      </c>
      <c r="E76" s="1247">
        <v>2500</v>
      </c>
      <c r="F76" s="1248">
        <v>43126012</v>
      </c>
      <c r="G76" s="1200" t="s">
        <v>3489</v>
      </c>
      <c r="H76" s="1191" t="s">
        <v>2879</v>
      </c>
      <c r="I76" s="1246" t="s">
        <v>569</v>
      </c>
      <c r="J76" s="1249" t="s">
        <v>2879</v>
      </c>
      <c r="K76" s="1250">
        <v>1</v>
      </c>
      <c r="L76" s="1251">
        <v>12</v>
      </c>
      <c r="M76" s="1252">
        <v>31960.800000000007</v>
      </c>
      <c r="N76" s="1253">
        <v>1</v>
      </c>
      <c r="O76" s="1254">
        <v>6</v>
      </c>
      <c r="P76" s="1252">
        <v>16044.9</v>
      </c>
    </row>
    <row r="77" spans="1:16" ht="24">
      <c r="A77" s="1245" t="s">
        <v>2420</v>
      </c>
      <c r="B77" s="1246" t="s">
        <v>1880</v>
      </c>
      <c r="C77" s="1246" t="s">
        <v>504</v>
      </c>
      <c r="D77" s="1200" t="s">
        <v>2839</v>
      </c>
      <c r="E77" s="1247">
        <v>2500</v>
      </c>
      <c r="F77" s="1248">
        <v>40757942</v>
      </c>
      <c r="G77" s="1200" t="s">
        <v>3488</v>
      </c>
      <c r="H77" s="1191" t="s">
        <v>2696</v>
      </c>
      <c r="I77" s="1246" t="s">
        <v>569</v>
      </c>
      <c r="J77" s="1249" t="s">
        <v>1513</v>
      </c>
      <c r="K77" s="1250">
        <v>1</v>
      </c>
      <c r="L77" s="1251">
        <v>12</v>
      </c>
      <c r="M77" s="1252">
        <v>31960.800000000007</v>
      </c>
      <c r="N77" s="1253">
        <v>1</v>
      </c>
      <c r="O77" s="1254">
        <v>6</v>
      </c>
      <c r="P77" s="1252">
        <v>16500.900000000001</v>
      </c>
    </row>
    <row r="78" spans="1:16" ht="24">
      <c r="A78" s="1245" t="s">
        <v>2420</v>
      </c>
      <c r="B78" s="1246" t="s">
        <v>1880</v>
      </c>
      <c r="C78" s="1246" t="s">
        <v>504</v>
      </c>
      <c r="D78" s="1200" t="s">
        <v>2839</v>
      </c>
      <c r="E78" s="1247">
        <v>2500</v>
      </c>
      <c r="F78" s="1248">
        <v>41646556</v>
      </c>
      <c r="G78" s="1200" t="s">
        <v>3487</v>
      </c>
      <c r="H78" s="1191" t="s">
        <v>2696</v>
      </c>
      <c r="I78" s="1246" t="s">
        <v>569</v>
      </c>
      <c r="J78" s="1249" t="s">
        <v>1513</v>
      </c>
      <c r="K78" s="1250">
        <v>1</v>
      </c>
      <c r="L78" s="1251">
        <v>12</v>
      </c>
      <c r="M78" s="1252">
        <v>31960.800000000007</v>
      </c>
      <c r="N78" s="1253">
        <v>1</v>
      </c>
      <c r="O78" s="1254">
        <v>6</v>
      </c>
      <c r="P78" s="1252">
        <v>16044.9</v>
      </c>
    </row>
    <row r="79" spans="1:16" ht="24">
      <c r="A79" s="1245" t="s">
        <v>2420</v>
      </c>
      <c r="B79" s="1246" t="s">
        <v>1880</v>
      </c>
      <c r="C79" s="1246" t="s">
        <v>504</v>
      </c>
      <c r="D79" s="1200" t="s">
        <v>2839</v>
      </c>
      <c r="E79" s="1247">
        <v>2500</v>
      </c>
      <c r="F79" s="1248">
        <v>43220192</v>
      </c>
      <c r="G79" s="1200" t="s">
        <v>3486</v>
      </c>
      <c r="H79" s="1191" t="s">
        <v>2696</v>
      </c>
      <c r="I79" s="1246" t="s">
        <v>569</v>
      </c>
      <c r="J79" s="1249" t="s">
        <v>1513</v>
      </c>
      <c r="K79" s="1250">
        <v>1</v>
      </c>
      <c r="L79" s="1251">
        <v>11</v>
      </c>
      <c r="M79" s="1252">
        <v>29071.400000000005</v>
      </c>
      <c r="N79" s="1253">
        <v>0</v>
      </c>
      <c r="O79" s="1254">
        <v>0</v>
      </c>
      <c r="P79" s="1252">
        <v>0</v>
      </c>
    </row>
    <row r="80" spans="1:16" ht="24">
      <c r="A80" s="1245" t="s">
        <v>2420</v>
      </c>
      <c r="B80" s="1246" t="s">
        <v>1880</v>
      </c>
      <c r="C80" s="1246" t="s">
        <v>504</v>
      </c>
      <c r="D80" s="1200" t="s">
        <v>2839</v>
      </c>
      <c r="E80" s="1247">
        <v>2500</v>
      </c>
      <c r="F80" s="1248">
        <v>43788775</v>
      </c>
      <c r="G80" s="1200" t="s">
        <v>3485</v>
      </c>
      <c r="H80" s="1191" t="s">
        <v>2696</v>
      </c>
      <c r="I80" s="1246" t="s">
        <v>569</v>
      </c>
      <c r="J80" s="1249" t="s">
        <v>1513</v>
      </c>
      <c r="K80" s="1250">
        <v>1</v>
      </c>
      <c r="L80" s="1251">
        <v>12</v>
      </c>
      <c r="M80" s="1252">
        <v>31960.800000000007</v>
      </c>
      <c r="N80" s="1253">
        <v>1</v>
      </c>
      <c r="O80" s="1254">
        <v>6</v>
      </c>
      <c r="P80" s="1252">
        <v>16500.900000000001</v>
      </c>
    </row>
    <row r="81" spans="1:16" ht="24">
      <c r="A81" s="1245" t="s">
        <v>2420</v>
      </c>
      <c r="B81" s="1246" t="s">
        <v>1880</v>
      </c>
      <c r="C81" s="1246" t="s">
        <v>504</v>
      </c>
      <c r="D81" s="1200" t="s">
        <v>2839</v>
      </c>
      <c r="E81" s="1247">
        <v>2500</v>
      </c>
      <c r="F81" s="1248">
        <v>42819552</v>
      </c>
      <c r="G81" s="1200" t="s">
        <v>3484</v>
      </c>
      <c r="H81" s="1191" t="s">
        <v>2696</v>
      </c>
      <c r="I81" s="1246" t="s">
        <v>569</v>
      </c>
      <c r="J81" s="1249" t="s">
        <v>1513</v>
      </c>
      <c r="K81" s="1250">
        <v>1</v>
      </c>
      <c r="L81" s="1251">
        <v>12</v>
      </c>
      <c r="M81" s="1252">
        <v>31960.800000000007</v>
      </c>
      <c r="N81" s="1253">
        <v>1</v>
      </c>
      <c r="O81" s="1254">
        <v>6</v>
      </c>
      <c r="P81" s="1252">
        <v>17136.510000000002</v>
      </c>
    </row>
    <row r="82" spans="1:16" ht="24">
      <c r="A82" s="1245" t="s">
        <v>2420</v>
      </c>
      <c r="B82" s="1246" t="s">
        <v>1880</v>
      </c>
      <c r="C82" s="1246" t="s">
        <v>504</v>
      </c>
      <c r="D82" s="1200" t="s">
        <v>2839</v>
      </c>
      <c r="E82" s="1247">
        <v>2500</v>
      </c>
      <c r="F82" s="1248">
        <v>42103770</v>
      </c>
      <c r="G82" s="1200" t="s">
        <v>3483</v>
      </c>
      <c r="H82" s="1191" t="s">
        <v>2696</v>
      </c>
      <c r="I82" s="1246" t="s">
        <v>569</v>
      </c>
      <c r="J82" s="1249" t="s">
        <v>1513</v>
      </c>
      <c r="K82" s="1250">
        <v>1</v>
      </c>
      <c r="L82" s="1251">
        <v>12</v>
      </c>
      <c r="M82" s="1252">
        <v>31960.800000000007</v>
      </c>
      <c r="N82" s="1253">
        <v>1</v>
      </c>
      <c r="O82" s="1254">
        <v>6</v>
      </c>
      <c r="P82" s="1252">
        <v>16500.900000000001</v>
      </c>
    </row>
    <row r="83" spans="1:16" ht="24">
      <c r="A83" s="1245" t="s">
        <v>2420</v>
      </c>
      <c r="B83" s="1246" t="s">
        <v>1880</v>
      </c>
      <c r="C83" s="1246" t="s">
        <v>504</v>
      </c>
      <c r="D83" s="1200" t="s">
        <v>3482</v>
      </c>
      <c r="E83" s="1247">
        <v>2500</v>
      </c>
      <c r="F83" s="1248">
        <v>41263669</v>
      </c>
      <c r="G83" s="1200" t="s">
        <v>3481</v>
      </c>
      <c r="H83" s="1191" t="s">
        <v>2097</v>
      </c>
      <c r="I83" s="1246" t="s">
        <v>569</v>
      </c>
      <c r="J83" s="1249" t="s">
        <v>3078</v>
      </c>
      <c r="K83" s="1250">
        <v>1</v>
      </c>
      <c r="L83" s="1251">
        <v>12</v>
      </c>
      <c r="M83" s="1252">
        <v>31960.800000000007</v>
      </c>
      <c r="N83" s="1253">
        <v>1</v>
      </c>
      <c r="O83" s="1254">
        <v>6</v>
      </c>
      <c r="P83" s="1252">
        <v>16044.9</v>
      </c>
    </row>
    <row r="84" spans="1:16">
      <c r="A84" s="1245" t="s">
        <v>2420</v>
      </c>
      <c r="B84" s="1246" t="s">
        <v>1880</v>
      </c>
      <c r="C84" s="1246" t="s">
        <v>504</v>
      </c>
      <c r="D84" s="1200" t="s">
        <v>3480</v>
      </c>
      <c r="E84" s="1247">
        <v>1000</v>
      </c>
      <c r="F84" s="1248">
        <v>40530369</v>
      </c>
      <c r="G84" s="1200" t="s">
        <v>3479</v>
      </c>
      <c r="H84" s="1191" t="s">
        <v>1592</v>
      </c>
      <c r="I84" s="1246" t="s">
        <v>618</v>
      </c>
      <c r="J84" s="1249" t="s">
        <v>619</v>
      </c>
      <c r="K84" s="1250">
        <v>1</v>
      </c>
      <c r="L84" s="1251">
        <v>12</v>
      </c>
      <c r="M84" s="1252">
        <v>13680</v>
      </c>
      <c r="N84" s="1253">
        <v>1</v>
      </c>
      <c r="O84" s="1254">
        <v>6</v>
      </c>
      <c r="P84" s="1252">
        <v>6540</v>
      </c>
    </row>
    <row r="85" spans="1:16" ht="36">
      <c r="A85" s="1245" t="s">
        <v>2420</v>
      </c>
      <c r="B85" s="1246" t="s">
        <v>1880</v>
      </c>
      <c r="C85" s="1246" t="s">
        <v>504</v>
      </c>
      <c r="D85" s="1200" t="s">
        <v>3478</v>
      </c>
      <c r="E85" s="1247">
        <v>4000</v>
      </c>
      <c r="F85" s="1248">
        <v>47352417</v>
      </c>
      <c r="G85" s="1200" t="s">
        <v>3477</v>
      </c>
      <c r="H85" s="1191" t="s">
        <v>3019</v>
      </c>
      <c r="I85" s="1246" t="s">
        <v>569</v>
      </c>
      <c r="J85" s="1249" t="s">
        <v>1719</v>
      </c>
      <c r="K85" s="1250">
        <v>1</v>
      </c>
      <c r="L85" s="1251">
        <v>12</v>
      </c>
      <c r="M85" s="1252">
        <v>49960.80000000001</v>
      </c>
      <c r="N85" s="1253">
        <v>1</v>
      </c>
      <c r="O85" s="1254">
        <v>6</v>
      </c>
      <c r="P85" s="1252">
        <v>25044.9</v>
      </c>
    </row>
    <row r="86" spans="1:16" ht="24">
      <c r="A86" s="1245" t="s">
        <v>2420</v>
      </c>
      <c r="B86" s="1246" t="s">
        <v>1880</v>
      </c>
      <c r="C86" s="1246" t="s">
        <v>504</v>
      </c>
      <c r="D86" s="1200" t="s">
        <v>3476</v>
      </c>
      <c r="E86" s="1247">
        <v>1000</v>
      </c>
      <c r="F86" s="1248">
        <v>47266595</v>
      </c>
      <c r="G86" s="1200" t="s">
        <v>3475</v>
      </c>
      <c r="H86" s="1191" t="s">
        <v>1592</v>
      </c>
      <c r="I86" s="1246" t="s">
        <v>618</v>
      </c>
      <c r="J86" s="1249" t="s">
        <v>619</v>
      </c>
      <c r="K86" s="1250">
        <v>1</v>
      </c>
      <c r="L86" s="1251">
        <v>6</v>
      </c>
      <c r="M86" s="1252">
        <v>6540</v>
      </c>
      <c r="N86" s="1253">
        <v>0</v>
      </c>
      <c r="O86" s="1254">
        <v>0</v>
      </c>
      <c r="P86" s="1252">
        <v>0</v>
      </c>
    </row>
    <row r="87" spans="1:16" ht="36">
      <c r="A87" s="1245" t="s">
        <v>2420</v>
      </c>
      <c r="B87" s="1246" t="s">
        <v>1880</v>
      </c>
      <c r="C87" s="1246" t="s">
        <v>504</v>
      </c>
      <c r="D87" s="1200" t="s">
        <v>3356</v>
      </c>
      <c r="E87" s="1247">
        <v>2200</v>
      </c>
      <c r="F87" s="1248">
        <v>40732215</v>
      </c>
      <c r="G87" s="1200" t="s">
        <v>3474</v>
      </c>
      <c r="H87" s="1191" t="s">
        <v>2944</v>
      </c>
      <c r="I87" s="1246" t="s">
        <v>569</v>
      </c>
      <c r="J87" s="1249" t="s">
        <v>2944</v>
      </c>
      <c r="K87" s="1250">
        <v>1</v>
      </c>
      <c r="L87" s="1251">
        <v>12</v>
      </c>
      <c r="M87" s="1252">
        <v>28384.800000000007</v>
      </c>
      <c r="N87" s="1253">
        <v>1</v>
      </c>
      <c r="O87" s="1254">
        <v>6</v>
      </c>
      <c r="P87" s="1252">
        <v>14244.9</v>
      </c>
    </row>
    <row r="88" spans="1:16">
      <c r="A88" s="1245" t="s">
        <v>2420</v>
      </c>
      <c r="B88" s="1246" t="s">
        <v>1880</v>
      </c>
      <c r="C88" s="1246" t="s">
        <v>504</v>
      </c>
      <c r="D88" s="1200" t="s">
        <v>2829</v>
      </c>
      <c r="E88" s="1247">
        <v>1000</v>
      </c>
      <c r="F88" s="1248">
        <v>25584903</v>
      </c>
      <c r="G88" s="1200" t="s">
        <v>3473</v>
      </c>
      <c r="H88" s="1191" t="s">
        <v>1592</v>
      </c>
      <c r="I88" s="1246" t="s">
        <v>618</v>
      </c>
      <c r="J88" s="1249" t="s">
        <v>619</v>
      </c>
      <c r="K88" s="1250">
        <v>1</v>
      </c>
      <c r="L88" s="1251">
        <v>12</v>
      </c>
      <c r="M88" s="1252">
        <v>13680</v>
      </c>
      <c r="N88" s="1253">
        <v>1</v>
      </c>
      <c r="O88" s="1254">
        <v>6</v>
      </c>
      <c r="P88" s="1252">
        <v>6540</v>
      </c>
    </row>
    <row r="89" spans="1:16">
      <c r="A89" s="1245" t="s">
        <v>2420</v>
      </c>
      <c r="B89" s="1246" t="s">
        <v>1880</v>
      </c>
      <c r="C89" s="1246" t="s">
        <v>504</v>
      </c>
      <c r="D89" s="1200" t="s">
        <v>3472</v>
      </c>
      <c r="E89" s="1247">
        <v>930</v>
      </c>
      <c r="F89" s="1248">
        <v>41930070</v>
      </c>
      <c r="G89" s="1200" t="s">
        <v>3471</v>
      </c>
      <c r="H89" s="1191" t="s">
        <v>1592</v>
      </c>
      <c r="I89" s="1246" t="s">
        <v>618</v>
      </c>
      <c r="J89" s="1249" t="s">
        <v>619</v>
      </c>
      <c r="K89" s="1250">
        <v>1</v>
      </c>
      <c r="L89" s="1251">
        <v>12</v>
      </c>
      <c r="M89" s="1252">
        <v>12764.400000000003</v>
      </c>
      <c r="N89" s="1253">
        <v>1</v>
      </c>
      <c r="O89" s="1254">
        <v>6</v>
      </c>
      <c r="P89" s="1252">
        <v>6082.2</v>
      </c>
    </row>
    <row r="90" spans="1:16">
      <c r="A90" s="1245" t="s">
        <v>2420</v>
      </c>
      <c r="B90" s="1246" t="s">
        <v>1880</v>
      </c>
      <c r="C90" s="1246" t="s">
        <v>504</v>
      </c>
      <c r="D90" s="1200" t="s">
        <v>3001</v>
      </c>
      <c r="E90" s="1247">
        <v>930</v>
      </c>
      <c r="F90" s="1248">
        <v>23384331</v>
      </c>
      <c r="G90" s="1200" t="s">
        <v>3470</v>
      </c>
      <c r="H90" s="1191" t="s">
        <v>1592</v>
      </c>
      <c r="I90" s="1246" t="s">
        <v>618</v>
      </c>
      <c r="J90" s="1249" t="s">
        <v>619</v>
      </c>
      <c r="K90" s="1250">
        <v>1</v>
      </c>
      <c r="L90" s="1251">
        <v>12</v>
      </c>
      <c r="M90" s="1252">
        <v>12764.400000000003</v>
      </c>
      <c r="N90" s="1253">
        <v>1</v>
      </c>
      <c r="O90" s="1254">
        <v>6</v>
      </c>
      <c r="P90" s="1252">
        <v>6082.2</v>
      </c>
    </row>
    <row r="91" spans="1:16" ht="24">
      <c r="A91" s="1245" t="s">
        <v>2420</v>
      </c>
      <c r="B91" s="1246" t="s">
        <v>1880</v>
      </c>
      <c r="C91" s="1246" t="s">
        <v>504</v>
      </c>
      <c r="D91" s="1200" t="s">
        <v>3469</v>
      </c>
      <c r="E91" s="1247">
        <v>5500</v>
      </c>
      <c r="F91" s="1248">
        <v>43345043</v>
      </c>
      <c r="G91" s="1200" t="s">
        <v>3468</v>
      </c>
      <c r="H91" s="1191" t="s">
        <v>2447</v>
      </c>
      <c r="I91" s="1246" t="s">
        <v>569</v>
      </c>
      <c r="J91" s="1249" t="s">
        <v>2489</v>
      </c>
      <c r="K91" s="1250">
        <v>1</v>
      </c>
      <c r="L91" s="1251">
        <v>12</v>
      </c>
      <c r="M91" s="1252">
        <v>67360.800000000003</v>
      </c>
      <c r="N91" s="1253">
        <v>1</v>
      </c>
      <c r="O91" s="1254">
        <v>6</v>
      </c>
      <c r="P91" s="1252">
        <v>34044.9</v>
      </c>
    </row>
    <row r="92" spans="1:16" ht="24">
      <c r="A92" s="1245" t="s">
        <v>2420</v>
      </c>
      <c r="B92" s="1246" t="s">
        <v>1880</v>
      </c>
      <c r="C92" s="1246" t="s">
        <v>504</v>
      </c>
      <c r="D92" s="1200" t="s">
        <v>3467</v>
      </c>
      <c r="E92" s="1247">
        <v>6000</v>
      </c>
      <c r="F92" s="1248">
        <v>43314191</v>
      </c>
      <c r="G92" s="1200" t="s">
        <v>3466</v>
      </c>
      <c r="H92" s="1191" t="s">
        <v>2447</v>
      </c>
      <c r="I92" s="1246" t="s">
        <v>569</v>
      </c>
      <c r="J92" s="1249" t="s">
        <v>2618</v>
      </c>
      <c r="K92" s="1250">
        <v>1</v>
      </c>
      <c r="L92" s="1251">
        <v>12</v>
      </c>
      <c r="M92" s="1252">
        <v>73360.800000000003</v>
      </c>
      <c r="N92" s="1253">
        <v>1</v>
      </c>
      <c r="O92" s="1254">
        <v>6</v>
      </c>
      <c r="P92" s="1252">
        <v>37044.9</v>
      </c>
    </row>
    <row r="93" spans="1:16" ht="36">
      <c r="A93" s="1245" t="s">
        <v>2420</v>
      </c>
      <c r="B93" s="1246" t="s">
        <v>1880</v>
      </c>
      <c r="C93" s="1246" t="s">
        <v>504</v>
      </c>
      <c r="D93" s="1200" t="s">
        <v>3465</v>
      </c>
      <c r="E93" s="1247">
        <v>3500</v>
      </c>
      <c r="F93" s="1248">
        <v>44538059</v>
      </c>
      <c r="G93" s="1200" t="s">
        <v>3464</v>
      </c>
      <c r="H93" s="1191" t="s">
        <v>3417</v>
      </c>
      <c r="I93" s="1246" t="s">
        <v>1664</v>
      </c>
      <c r="J93" s="1249" t="s">
        <v>3463</v>
      </c>
      <c r="K93" s="1250">
        <v>1</v>
      </c>
      <c r="L93" s="1251">
        <v>12</v>
      </c>
      <c r="M93" s="1252">
        <v>43360.80000000001</v>
      </c>
      <c r="N93" s="1253">
        <v>1</v>
      </c>
      <c r="O93" s="1254">
        <v>6</v>
      </c>
      <c r="P93" s="1252">
        <v>22044.9</v>
      </c>
    </row>
    <row r="94" spans="1:16" ht="36">
      <c r="A94" s="1245" t="s">
        <v>2420</v>
      </c>
      <c r="B94" s="1246" t="s">
        <v>1880</v>
      </c>
      <c r="C94" s="1246" t="s">
        <v>504</v>
      </c>
      <c r="D94" s="1200" t="s">
        <v>3462</v>
      </c>
      <c r="E94" s="1247">
        <v>2820</v>
      </c>
      <c r="F94" s="1248">
        <v>40227921</v>
      </c>
      <c r="G94" s="1200" t="s">
        <v>3461</v>
      </c>
      <c r="H94" s="1191" t="s">
        <v>3460</v>
      </c>
      <c r="I94" s="1246" t="s">
        <v>1664</v>
      </c>
      <c r="J94" s="1249" t="s">
        <v>3459</v>
      </c>
      <c r="K94" s="1250">
        <v>1</v>
      </c>
      <c r="L94" s="1251">
        <v>12</v>
      </c>
      <c r="M94" s="1252">
        <v>35200.80000000001</v>
      </c>
      <c r="N94" s="1253">
        <v>1</v>
      </c>
      <c r="O94" s="1254">
        <v>6</v>
      </c>
      <c r="P94" s="1252">
        <v>17964.900000000001</v>
      </c>
    </row>
    <row r="95" spans="1:16" ht="84">
      <c r="A95" s="1245" t="s">
        <v>2420</v>
      </c>
      <c r="B95" s="1246" t="s">
        <v>1880</v>
      </c>
      <c r="C95" s="1246" t="s">
        <v>504</v>
      </c>
      <c r="D95" s="1200" t="s">
        <v>3458</v>
      </c>
      <c r="E95" s="1247">
        <v>2000</v>
      </c>
      <c r="F95" s="1248" t="s">
        <v>3457</v>
      </c>
      <c r="G95" s="1200" t="s">
        <v>3456</v>
      </c>
      <c r="H95" s="1191" t="s">
        <v>3455</v>
      </c>
      <c r="I95" s="1246" t="s">
        <v>1664</v>
      </c>
      <c r="J95" s="1249" t="s">
        <v>3455</v>
      </c>
      <c r="K95" s="1250">
        <v>1</v>
      </c>
      <c r="L95" s="1251">
        <v>12</v>
      </c>
      <c r="M95" s="1252">
        <v>25360.800000000007</v>
      </c>
      <c r="N95" s="1253">
        <v>1</v>
      </c>
      <c r="O95" s="1254">
        <v>6</v>
      </c>
      <c r="P95" s="1252">
        <v>13044.9</v>
      </c>
    </row>
    <row r="96" spans="1:16" ht="24">
      <c r="A96" s="1245" t="s">
        <v>2420</v>
      </c>
      <c r="B96" s="1246" t="s">
        <v>1880</v>
      </c>
      <c r="C96" s="1246" t="s">
        <v>504</v>
      </c>
      <c r="D96" s="1200" t="s">
        <v>3262</v>
      </c>
      <c r="E96" s="1247">
        <v>1500</v>
      </c>
      <c r="F96" s="1248">
        <v>70273040</v>
      </c>
      <c r="G96" s="1200" t="s">
        <v>3454</v>
      </c>
      <c r="H96" s="1191" t="s">
        <v>3260</v>
      </c>
      <c r="I96" s="1246" t="s">
        <v>1664</v>
      </c>
      <c r="J96" s="1249" t="s">
        <v>3259</v>
      </c>
      <c r="K96" s="1250">
        <v>1</v>
      </c>
      <c r="L96" s="1251">
        <v>12</v>
      </c>
      <c r="M96" s="1252">
        <v>19960.800000000003</v>
      </c>
      <c r="N96" s="1253">
        <v>1</v>
      </c>
      <c r="O96" s="1254">
        <v>6</v>
      </c>
      <c r="P96" s="1252">
        <v>9810</v>
      </c>
    </row>
    <row r="97" spans="1:16">
      <c r="A97" s="1245" t="s">
        <v>2420</v>
      </c>
      <c r="B97" s="1246" t="s">
        <v>1880</v>
      </c>
      <c r="C97" s="1246" t="s">
        <v>504</v>
      </c>
      <c r="D97" s="1200" t="s">
        <v>2826</v>
      </c>
      <c r="E97" s="1247">
        <v>1500</v>
      </c>
      <c r="F97" s="1248">
        <v>43286664</v>
      </c>
      <c r="G97" s="1200" t="s">
        <v>3453</v>
      </c>
      <c r="H97" s="1191" t="s">
        <v>1888</v>
      </c>
      <c r="I97" s="1246" t="s">
        <v>1664</v>
      </c>
      <c r="J97" s="1249" t="s">
        <v>1888</v>
      </c>
      <c r="K97" s="1250">
        <v>1</v>
      </c>
      <c r="L97" s="1251">
        <v>12</v>
      </c>
      <c r="M97" s="1252">
        <v>19960.800000000003</v>
      </c>
      <c r="N97" s="1253">
        <v>1</v>
      </c>
      <c r="O97" s="1254">
        <v>6</v>
      </c>
      <c r="P97" s="1252">
        <v>10266</v>
      </c>
    </row>
    <row r="98" spans="1:16" ht="24">
      <c r="A98" s="1245" t="s">
        <v>2420</v>
      </c>
      <c r="B98" s="1246" t="s">
        <v>1880</v>
      </c>
      <c r="C98" s="1246" t="s">
        <v>504</v>
      </c>
      <c r="D98" s="1200" t="s">
        <v>2826</v>
      </c>
      <c r="E98" s="1247">
        <v>1500</v>
      </c>
      <c r="F98" s="1248">
        <v>43201124</v>
      </c>
      <c r="G98" s="1200" t="s">
        <v>3452</v>
      </c>
      <c r="H98" s="1191" t="s">
        <v>2696</v>
      </c>
      <c r="I98" s="1246" t="s">
        <v>1664</v>
      </c>
      <c r="J98" s="1249" t="s">
        <v>2874</v>
      </c>
      <c r="K98" s="1250">
        <v>1</v>
      </c>
      <c r="L98" s="1251">
        <v>7</v>
      </c>
      <c r="M98" s="1252">
        <v>11593.8</v>
      </c>
      <c r="N98" s="1253">
        <v>0</v>
      </c>
      <c r="O98" s="1254">
        <v>0</v>
      </c>
      <c r="P98" s="1252">
        <v>0</v>
      </c>
    </row>
    <row r="99" spans="1:16">
      <c r="A99" s="1245" t="s">
        <v>2420</v>
      </c>
      <c r="B99" s="1246" t="s">
        <v>1880</v>
      </c>
      <c r="C99" s="1246" t="s">
        <v>504</v>
      </c>
      <c r="D99" s="1200" t="s">
        <v>2826</v>
      </c>
      <c r="E99" s="1247">
        <v>1500</v>
      </c>
      <c r="F99" s="1248">
        <v>25715762</v>
      </c>
      <c r="G99" s="1200" t="s">
        <v>3451</v>
      </c>
      <c r="H99" s="1191" t="s">
        <v>1592</v>
      </c>
      <c r="I99" s="1246" t="s">
        <v>618</v>
      </c>
      <c r="J99" s="1249" t="s">
        <v>619</v>
      </c>
      <c r="K99" s="1250">
        <v>1</v>
      </c>
      <c r="L99" s="1251">
        <v>7</v>
      </c>
      <c r="M99" s="1252">
        <v>11593.8</v>
      </c>
      <c r="N99" s="1253">
        <v>0</v>
      </c>
      <c r="O99" s="1254">
        <v>0</v>
      </c>
      <c r="P99" s="1252">
        <v>0</v>
      </c>
    </row>
    <row r="100" spans="1:16" ht="24">
      <c r="A100" s="1245" t="s">
        <v>2420</v>
      </c>
      <c r="B100" s="1246" t="s">
        <v>1880</v>
      </c>
      <c r="C100" s="1246" t="s">
        <v>504</v>
      </c>
      <c r="D100" s="1200" t="s">
        <v>2826</v>
      </c>
      <c r="E100" s="1247">
        <v>1500</v>
      </c>
      <c r="F100" s="1248">
        <v>45653613</v>
      </c>
      <c r="G100" s="1200" t="s">
        <v>3450</v>
      </c>
      <c r="H100" s="1191" t="s">
        <v>2696</v>
      </c>
      <c r="I100" s="1246" t="s">
        <v>1664</v>
      </c>
      <c r="J100" s="1249" t="s">
        <v>2874</v>
      </c>
      <c r="K100" s="1250">
        <v>1</v>
      </c>
      <c r="L100" s="1251">
        <v>12</v>
      </c>
      <c r="M100" s="1252">
        <v>19960.800000000003</v>
      </c>
      <c r="N100" s="1253">
        <v>1</v>
      </c>
      <c r="O100" s="1254">
        <v>6</v>
      </c>
      <c r="P100" s="1252">
        <v>10266</v>
      </c>
    </row>
    <row r="101" spans="1:16" ht="24">
      <c r="A101" s="1245" t="s">
        <v>2420</v>
      </c>
      <c r="B101" s="1246" t="s">
        <v>1880</v>
      </c>
      <c r="C101" s="1246" t="s">
        <v>504</v>
      </c>
      <c r="D101" s="1200" t="s">
        <v>3449</v>
      </c>
      <c r="E101" s="1247">
        <v>3001</v>
      </c>
      <c r="F101" s="1248">
        <v>43345047</v>
      </c>
      <c r="G101" s="1200" t="s">
        <v>3448</v>
      </c>
      <c r="H101" s="1191" t="s">
        <v>2447</v>
      </c>
      <c r="I101" s="1246" t="s">
        <v>569</v>
      </c>
      <c r="J101" s="1249" t="s">
        <v>2447</v>
      </c>
      <c r="K101" s="1250">
        <v>1</v>
      </c>
      <c r="L101" s="1251">
        <v>12</v>
      </c>
      <c r="M101" s="1252">
        <v>37372.80000000001</v>
      </c>
      <c r="N101" s="1253">
        <v>1</v>
      </c>
      <c r="O101" s="1254">
        <v>6</v>
      </c>
      <c r="P101" s="1252">
        <v>19050.900000000001</v>
      </c>
    </row>
    <row r="102" spans="1:16">
      <c r="A102" s="1245" t="s">
        <v>2420</v>
      </c>
      <c r="B102" s="1246" t="s">
        <v>1880</v>
      </c>
      <c r="C102" s="1246" t="s">
        <v>504</v>
      </c>
      <c r="D102" s="1200" t="s">
        <v>2826</v>
      </c>
      <c r="E102" s="1247">
        <v>1500</v>
      </c>
      <c r="F102" s="1248">
        <v>21539230</v>
      </c>
      <c r="G102" s="1200" t="s">
        <v>3447</v>
      </c>
      <c r="H102" s="1191" t="s">
        <v>2696</v>
      </c>
      <c r="I102" s="1246" t="s">
        <v>1664</v>
      </c>
      <c r="J102" s="1249" t="s">
        <v>1888</v>
      </c>
      <c r="K102" s="1250">
        <v>1</v>
      </c>
      <c r="L102" s="1251">
        <v>12</v>
      </c>
      <c r="M102" s="1252">
        <v>19960.800000000003</v>
      </c>
      <c r="N102" s="1253">
        <v>1</v>
      </c>
      <c r="O102" s="1254">
        <v>6</v>
      </c>
      <c r="P102" s="1252">
        <v>10266</v>
      </c>
    </row>
    <row r="103" spans="1:16" ht="24">
      <c r="A103" s="1245" t="s">
        <v>2420</v>
      </c>
      <c r="B103" s="1246" t="s">
        <v>1880</v>
      </c>
      <c r="C103" s="1246" t="s">
        <v>504</v>
      </c>
      <c r="D103" s="1200" t="s">
        <v>2688</v>
      </c>
      <c r="E103" s="1247">
        <v>4200</v>
      </c>
      <c r="F103" s="1248">
        <v>8711396</v>
      </c>
      <c r="G103" s="1200" t="s">
        <v>3446</v>
      </c>
      <c r="H103" s="1191" t="s">
        <v>1439</v>
      </c>
      <c r="I103" s="1246" t="s">
        <v>569</v>
      </c>
      <c r="J103" s="1249" t="s">
        <v>2906</v>
      </c>
      <c r="K103" s="1250">
        <v>1</v>
      </c>
      <c r="L103" s="1251">
        <v>12</v>
      </c>
      <c r="M103" s="1252">
        <v>52360.80000000001</v>
      </c>
      <c r="N103" s="1253">
        <v>1</v>
      </c>
      <c r="O103" s="1254">
        <v>6</v>
      </c>
      <c r="P103" s="1252">
        <v>26244.9</v>
      </c>
    </row>
    <row r="104" spans="1:16" ht="72">
      <c r="A104" s="1245" t="s">
        <v>2420</v>
      </c>
      <c r="B104" s="1246" t="s">
        <v>1880</v>
      </c>
      <c r="C104" s="1246" t="s">
        <v>504</v>
      </c>
      <c r="D104" s="1200" t="s">
        <v>3445</v>
      </c>
      <c r="E104" s="1247">
        <v>6600</v>
      </c>
      <c r="F104" s="1248">
        <v>42222035</v>
      </c>
      <c r="G104" s="1200" t="s">
        <v>3444</v>
      </c>
      <c r="H104" s="1191" t="s">
        <v>2447</v>
      </c>
      <c r="I104" s="1246" t="s">
        <v>569</v>
      </c>
      <c r="J104" s="1249" t="s">
        <v>1620</v>
      </c>
      <c r="K104" s="1250">
        <v>1</v>
      </c>
      <c r="L104" s="1251">
        <v>12</v>
      </c>
      <c r="M104" s="1252">
        <v>80560.799999999988</v>
      </c>
      <c r="N104" s="1253">
        <v>1</v>
      </c>
      <c r="O104" s="1254">
        <v>6</v>
      </c>
      <c r="P104" s="1252">
        <v>33870.75</v>
      </c>
    </row>
    <row r="105" spans="1:16" ht="36">
      <c r="A105" s="1245" t="s">
        <v>2420</v>
      </c>
      <c r="B105" s="1246" t="s">
        <v>1880</v>
      </c>
      <c r="C105" s="1246" t="s">
        <v>504</v>
      </c>
      <c r="D105" s="1200" t="s">
        <v>3443</v>
      </c>
      <c r="E105" s="1247">
        <v>5100</v>
      </c>
      <c r="F105" s="1248">
        <v>43345040</v>
      </c>
      <c r="G105" s="1200" t="s">
        <v>3442</v>
      </c>
      <c r="H105" s="1191" t="s">
        <v>2447</v>
      </c>
      <c r="I105" s="1246" t="s">
        <v>569</v>
      </c>
      <c r="J105" s="1249" t="s">
        <v>2618</v>
      </c>
      <c r="K105" s="1250">
        <v>1</v>
      </c>
      <c r="L105" s="1251">
        <v>12</v>
      </c>
      <c r="M105" s="1252">
        <v>62560.80000000001</v>
      </c>
      <c r="N105" s="1253">
        <v>1</v>
      </c>
      <c r="O105" s="1254">
        <v>4</v>
      </c>
      <c r="P105" s="1252">
        <v>21096.6</v>
      </c>
    </row>
    <row r="106" spans="1:16" ht="24">
      <c r="A106" s="1245" t="s">
        <v>2420</v>
      </c>
      <c r="B106" s="1246" t="s">
        <v>1880</v>
      </c>
      <c r="C106" s="1246" t="s">
        <v>504</v>
      </c>
      <c r="D106" s="1200" t="s">
        <v>3441</v>
      </c>
      <c r="E106" s="1247">
        <v>3000</v>
      </c>
      <c r="F106" s="1248">
        <v>42911152</v>
      </c>
      <c r="G106" s="1200" t="s">
        <v>3440</v>
      </c>
      <c r="H106" s="1191" t="s">
        <v>3439</v>
      </c>
      <c r="I106" s="1246" t="s">
        <v>1664</v>
      </c>
      <c r="J106" s="1249" t="s">
        <v>3438</v>
      </c>
      <c r="K106" s="1250">
        <v>1</v>
      </c>
      <c r="L106" s="1251">
        <v>12</v>
      </c>
      <c r="M106" s="1252">
        <v>37960.80000000001</v>
      </c>
      <c r="N106" s="1253">
        <v>0</v>
      </c>
      <c r="O106" s="1254">
        <v>0</v>
      </c>
      <c r="P106" s="1252">
        <v>0</v>
      </c>
    </row>
    <row r="107" spans="1:16" ht="24">
      <c r="A107" s="1245" t="s">
        <v>2420</v>
      </c>
      <c r="B107" s="1246" t="s">
        <v>1880</v>
      </c>
      <c r="C107" s="1246" t="s">
        <v>504</v>
      </c>
      <c r="D107" s="1200" t="s">
        <v>3107</v>
      </c>
      <c r="E107" s="1247">
        <v>1000</v>
      </c>
      <c r="F107" s="1248">
        <v>25423750</v>
      </c>
      <c r="G107" s="1200" t="s">
        <v>3437</v>
      </c>
      <c r="H107" s="1191" t="s">
        <v>1592</v>
      </c>
      <c r="I107" s="1246" t="s">
        <v>618</v>
      </c>
      <c r="J107" s="1249" t="s">
        <v>619</v>
      </c>
      <c r="K107" s="1250">
        <v>1</v>
      </c>
      <c r="L107" s="1251">
        <v>7</v>
      </c>
      <c r="M107" s="1252">
        <v>7930</v>
      </c>
      <c r="N107" s="1253">
        <v>0</v>
      </c>
      <c r="O107" s="1254">
        <v>0</v>
      </c>
      <c r="P107" s="1252">
        <v>0</v>
      </c>
    </row>
    <row r="108" spans="1:16">
      <c r="A108" s="1245" t="s">
        <v>2420</v>
      </c>
      <c r="B108" s="1246" t="s">
        <v>1880</v>
      </c>
      <c r="C108" s="1246" t="s">
        <v>504</v>
      </c>
      <c r="D108" s="1200" t="s">
        <v>3436</v>
      </c>
      <c r="E108" s="1247">
        <v>850</v>
      </c>
      <c r="F108" s="1248" t="s">
        <v>3435</v>
      </c>
      <c r="G108" s="1200" t="s">
        <v>3434</v>
      </c>
      <c r="H108" s="1191" t="s">
        <v>1592</v>
      </c>
      <c r="I108" s="1246" t="s">
        <v>618</v>
      </c>
      <c r="J108" s="1249" t="s">
        <v>619</v>
      </c>
      <c r="K108" s="1250">
        <v>1</v>
      </c>
      <c r="L108" s="1251">
        <v>1</v>
      </c>
      <c r="M108" s="1252">
        <v>572.41999999999996</v>
      </c>
      <c r="N108" s="1253">
        <v>0</v>
      </c>
      <c r="O108" s="1254">
        <v>0</v>
      </c>
      <c r="P108" s="1252">
        <v>0</v>
      </c>
    </row>
    <row r="109" spans="1:16" ht="24">
      <c r="A109" s="1245" t="s">
        <v>2420</v>
      </c>
      <c r="B109" s="1246" t="s">
        <v>1880</v>
      </c>
      <c r="C109" s="1246" t="s">
        <v>504</v>
      </c>
      <c r="D109" s="1200" t="s">
        <v>3433</v>
      </c>
      <c r="E109" s="1247">
        <v>6600</v>
      </c>
      <c r="F109" s="1248">
        <v>22092404</v>
      </c>
      <c r="G109" s="1200" t="s">
        <v>3432</v>
      </c>
      <c r="H109" s="1191" t="s">
        <v>2447</v>
      </c>
      <c r="I109" s="1246" t="s">
        <v>569</v>
      </c>
      <c r="J109" s="1249" t="s">
        <v>2447</v>
      </c>
      <c r="K109" s="1250">
        <v>1</v>
      </c>
      <c r="L109" s="1251">
        <v>3</v>
      </c>
      <c r="M109" s="1252">
        <v>20140.199999999997</v>
      </c>
      <c r="N109" s="1253">
        <v>1</v>
      </c>
      <c r="O109" s="1254">
        <v>6</v>
      </c>
      <c r="P109" s="1252">
        <v>40644.9</v>
      </c>
    </row>
    <row r="110" spans="1:16" ht="24">
      <c r="A110" s="1245" t="s">
        <v>2420</v>
      </c>
      <c r="B110" s="1246" t="s">
        <v>1880</v>
      </c>
      <c r="C110" s="1246" t="s">
        <v>504</v>
      </c>
      <c r="D110" s="1200" t="s">
        <v>3431</v>
      </c>
      <c r="E110" s="1247">
        <v>6000</v>
      </c>
      <c r="F110" s="1248">
        <v>9880553</v>
      </c>
      <c r="G110" s="1200" t="s">
        <v>3430</v>
      </c>
      <c r="H110" s="1191" t="s">
        <v>2447</v>
      </c>
      <c r="I110" s="1246" t="s">
        <v>569</v>
      </c>
      <c r="J110" s="1249" t="s">
        <v>2447</v>
      </c>
      <c r="K110" s="1250">
        <v>1</v>
      </c>
      <c r="L110" s="1251">
        <v>12</v>
      </c>
      <c r="M110" s="1252">
        <v>73360.800000000003</v>
      </c>
      <c r="N110" s="1253">
        <v>1</v>
      </c>
      <c r="O110" s="1254">
        <v>6</v>
      </c>
      <c r="P110" s="1252">
        <v>37044.9</v>
      </c>
    </row>
    <row r="111" spans="1:16" ht="24">
      <c r="A111" s="1245" t="s">
        <v>2420</v>
      </c>
      <c r="B111" s="1246" t="s">
        <v>1880</v>
      </c>
      <c r="C111" s="1246" t="s">
        <v>504</v>
      </c>
      <c r="D111" s="1200" t="s">
        <v>3401</v>
      </c>
      <c r="E111" s="1247">
        <v>5500</v>
      </c>
      <c r="F111" s="1248">
        <v>43930975</v>
      </c>
      <c r="G111" s="1200" t="s">
        <v>3429</v>
      </c>
      <c r="H111" s="1191" t="s">
        <v>2447</v>
      </c>
      <c r="I111" s="1246" t="s">
        <v>569</v>
      </c>
      <c r="J111" s="1249" t="s">
        <v>2447</v>
      </c>
      <c r="K111" s="1250">
        <v>1</v>
      </c>
      <c r="L111" s="1251">
        <v>12</v>
      </c>
      <c r="M111" s="1252">
        <v>69560.800000000003</v>
      </c>
      <c r="N111" s="1253">
        <v>1</v>
      </c>
      <c r="O111" s="1254">
        <v>6</v>
      </c>
      <c r="P111" s="1252">
        <v>34044.9</v>
      </c>
    </row>
    <row r="112" spans="1:16" ht="36">
      <c r="A112" s="1245" t="s">
        <v>2420</v>
      </c>
      <c r="B112" s="1246" t="s">
        <v>1880</v>
      </c>
      <c r="C112" s="1246" t="s">
        <v>504</v>
      </c>
      <c r="D112" s="1200" t="s">
        <v>3122</v>
      </c>
      <c r="E112" s="1247">
        <v>4900</v>
      </c>
      <c r="F112" s="1248">
        <v>43577832</v>
      </c>
      <c r="G112" s="1200" t="s">
        <v>3428</v>
      </c>
      <c r="H112" s="1191" t="s">
        <v>925</v>
      </c>
      <c r="I112" s="1246" t="s">
        <v>569</v>
      </c>
      <c r="J112" s="1249" t="s">
        <v>2906</v>
      </c>
      <c r="K112" s="1250">
        <v>1</v>
      </c>
      <c r="L112" s="1251">
        <v>12</v>
      </c>
      <c r="M112" s="1252">
        <v>60760.80000000001</v>
      </c>
      <c r="N112" s="1253">
        <v>1</v>
      </c>
      <c r="O112" s="1254">
        <v>6</v>
      </c>
      <c r="P112" s="1252">
        <v>30444.9</v>
      </c>
    </row>
    <row r="113" spans="1:16" ht="24">
      <c r="A113" s="1245" t="s">
        <v>2420</v>
      </c>
      <c r="B113" s="1246" t="s">
        <v>1880</v>
      </c>
      <c r="C113" s="1246" t="s">
        <v>504</v>
      </c>
      <c r="D113" s="1200" t="s">
        <v>3427</v>
      </c>
      <c r="E113" s="1247">
        <v>2001</v>
      </c>
      <c r="F113" s="1248">
        <v>41751786</v>
      </c>
      <c r="G113" s="1200" t="s">
        <v>3426</v>
      </c>
      <c r="H113" s="1191" t="s">
        <v>3425</v>
      </c>
      <c r="I113" s="1246" t="s">
        <v>569</v>
      </c>
      <c r="J113" s="1249" t="s">
        <v>3424</v>
      </c>
      <c r="K113" s="1250">
        <v>1</v>
      </c>
      <c r="L113" s="1251">
        <v>12</v>
      </c>
      <c r="M113" s="1252">
        <v>25972.800000000007</v>
      </c>
      <c r="N113" s="1253">
        <v>1</v>
      </c>
      <c r="O113" s="1254">
        <v>6</v>
      </c>
      <c r="P113" s="1252">
        <v>13050.9</v>
      </c>
    </row>
    <row r="114" spans="1:16" ht="24">
      <c r="A114" s="1245" t="s">
        <v>2420</v>
      </c>
      <c r="B114" s="1246" t="s">
        <v>1880</v>
      </c>
      <c r="C114" s="1246" t="s">
        <v>504</v>
      </c>
      <c r="D114" s="1200" t="s">
        <v>3423</v>
      </c>
      <c r="E114" s="1247">
        <v>2400</v>
      </c>
      <c r="F114" s="1248" t="s">
        <v>3422</v>
      </c>
      <c r="G114" s="1200" t="s">
        <v>3421</v>
      </c>
      <c r="H114" s="1191" t="s">
        <v>659</v>
      </c>
      <c r="I114" s="1246" t="s">
        <v>569</v>
      </c>
      <c r="J114" s="1249" t="s">
        <v>3420</v>
      </c>
      <c r="K114" s="1250">
        <v>1</v>
      </c>
      <c r="L114" s="1251">
        <v>12</v>
      </c>
      <c r="M114" s="1252">
        <v>30760.800000000007</v>
      </c>
      <c r="N114" s="1253">
        <v>1</v>
      </c>
      <c r="O114" s="1254">
        <v>6</v>
      </c>
      <c r="P114" s="1252">
        <v>15444.9</v>
      </c>
    </row>
    <row r="115" spans="1:16" ht="24">
      <c r="A115" s="1245" t="s">
        <v>2420</v>
      </c>
      <c r="B115" s="1246" t="s">
        <v>1880</v>
      </c>
      <c r="C115" s="1246" t="s">
        <v>504</v>
      </c>
      <c r="D115" s="1200" t="s">
        <v>3178</v>
      </c>
      <c r="E115" s="1247">
        <v>2100</v>
      </c>
      <c r="F115" s="1248" t="s">
        <v>3419</v>
      </c>
      <c r="G115" s="1200" t="s">
        <v>3418</v>
      </c>
      <c r="H115" s="1191" t="s">
        <v>3417</v>
      </c>
      <c r="I115" s="1246" t="s">
        <v>1664</v>
      </c>
      <c r="J115" s="1249" t="s">
        <v>3417</v>
      </c>
      <c r="K115" s="1250">
        <v>1</v>
      </c>
      <c r="L115" s="1251">
        <v>1</v>
      </c>
      <c r="M115" s="1252">
        <v>958.7</v>
      </c>
      <c r="N115" s="1253">
        <v>0</v>
      </c>
      <c r="O115" s="1254">
        <v>0</v>
      </c>
      <c r="P115" s="1252">
        <v>0</v>
      </c>
    </row>
    <row r="116" spans="1:16" ht="24">
      <c r="A116" s="1245" t="s">
        <v>2420</v>
      </c>
      <c r="B116" s="1246" t="s">
        <v>1880</v>
      </c>
      <c r="C116" s="1246" t="s">
        <v>504</v>
      </c>
      <c r="D116" s="1200" t="s">
        <v>2829</v>
      </c>
      <c r="E116" s="1247">
        <v>1000</v>
      </c>
      <c r="F116" s="1248" t="s">
        <v>3416</v>
      </c>
      <c r="G116" s="1200" t="s">
        <v>3415</v>
      </c>
      <c r="H116" s="1191" t="s">
        <v>1592</v>
      </c>
      <c r="I116" s="1246" t="s">
        <v>618</v>
      </c>
      <c r="J116" s="1249" t="s">
        <v>619</v>
      </c>
      <c r="K116" s="1250">
        <v>1</v>
      </c>
      <c r="L116" s="1251">
        <v>12</v>
      </c>
      <c r="M116" s="1252">
        <v>13680</v>
      </c>
      <c r="N116" s="1253">
        <v>1</v>
      </c>
      <c r="O116" s="1254">
        <v>6</v>
      </c>
      <c r="P116" s="1252">
        <v>6540</v>
      </c>
    </row>
    <row r="117" spans="1:16" ht="24">
      <c r="A117" s="1245" t="s">
        <v>2420</v>
      </c>
      <c r="B117" s="1246" t="s">
        <v>1880</v>
      </c>
      <c r="C117" s="1246" t="s">
        <v>504</v>
      </c>
      <c r="D117" s="1200" t="s">
        <v>3414</v>
      </c>
      <c r="E117" s="1247">
        <v>5000</v>
      </c>
      <c r="F117" s="1248">
        <v>10226257</v>
      </c>
      <c r="G117" s="1200" t="s">
        <v>3413</v>
      </c>
      <c r="H117" s="1191" t="s">
        <v>2447</v>
      </c>
      <c r="I117" s="1246" t="s">
        <v>569</v>
      </c>
      <c r="J117" s="1249" t="s">
        <v>2489</v>
      </c>
      <c r="K117" s="1250">
        <v>1</v>
      </c>
      <c r="L117" s="1251">
        <v>12</v>
      </c>
      <c r="M117" s="1252">
        <v>61960.80000000001</v>
      </c>
      <c r="N117" s="1253">
        <v>1</v>
      </c>
      <c r="O117" s="1254">
        <v>6</v>
      </c>
      <c r="P117" s="1252">
        <v>31044.9</v>
      </c>
    </row>
    <row r="118" spans="1:16">
      <c r="A118" s="1245" t="s">
        <v>2420</v>
      </c>
      <c r="B118" s="1246" t="s">
        <v>1880</v>
      </c>
      <c r="C118" s="1246" t="s">
        <v>504</v>
      </c>
      <c r="D118" s="1200" t="s">
        <v>2829</v>
      </c>
      <c r="E118" s="1247">
        <v>1000</v>
      </c>
      <c r="F118" s="1248">
        <v>9618612</v>
      </c>
      <c r="G118" s="1200" t="s">
        <v>3412</v>
      </c>
      <c r="H118" s="1191" t="s">
        <v>1592</v>
      </c>
      <c r="I118" s="1246" t="s">
        <v>618</v>
      </c>
      <c r="J118" s="1249" t="s">
        <v>619</v>
      </c>
      <c r="K118" s="1250">
        <v>1</v>
      </c>
      <c r="L118" s="1251">
        <v>12</v>
      </c>
      <c r="M118" s="1252">
        <v>13680</v>
      </c>
      <c r="N118" s="1253">
        <v>1</v>
      </c>
      <c r="O118" s="1254">
        <v>6</v>
      </c>
      <c r="P118" s="1252">
        <v>6540</v>
      </c>
    </row>
    <row r="119" spans="1:16" ht="36">
      <c r="A119" s="1245" t="s">
        <v>2420</v>
      </c>
      <c r="B119" s="1246" t="s">
        <v>1880</v>
      </c>
      <c r="C119" s="1246" t="s">
        <v>504</v>
      </c>
      <c r="D119" s="1200" t="s">
        <v>3411</v>
      </c>
      <c r="E119" s="1247">
        <v>4000</v>
      </c>
      <c r="F119" s="1248">
        <v>42222664</v>
      </c>
      <c r="G119" s="1200" t="s">
        <v>3410</v>
      </c>
      <c r="H119" s="1191" t="s">
        <v>2843</v>
      </c>
      <c r="I119" s="1246" t="s">
        <v>569</v>
      </c>
      <c r="J119" s="1249" t="s">
        <v>2842</v>
      </c>
      <c r="K119" s="1250">
        <v>1</v>
      </c>
      <c r="L119" s="1251">
        <v>12</v>
      </c>
      <c r="M119" s="1252">
        <v>49984.80000000001</v>
      </c>
      <c r="N119" s="1253">
        <v>1</v>
      </c>
      <c r="O119" s="1254">
        <v>6</v>
      </c>
      <c r="P119" s="1252">
        <v>25044.9</v>
      </c>
    </row>
    <row r="120" spans="1:16">
      <c r="A120" s="1245" t="s">
        <v>2420</v>
      </c>
      <c r="B120" s="1246" t="s">
        <v>1880</v>
      </c>
      <c r="C120" s="1246" t="s">
        <v>504</v>
      </c>
      <c r="D120" s="1200" t="s">
        <v>2829</v>
      </c>
      <c r="E120" s="1247">
        <v>1000</v>
      </c>
      <c r="F120" s="1248">
        <v>43374601</v>
      </c>
      <c r="G120" s="1200" t="s">
        <v>3409</v>
      </c>
      <c r="H120" s="1191" t="s">
        <v>1592</v>
      </c>
      <c r="I120" s="1246" t="s">
        <v>618</v>
      </c>
      <c r="J120" s="1249" t="s">
        <v>619</v>
      </c>
      <c r="K120" s="1250">
        <v>1</v>
      </c>
      <c r="L120" s="1251">
        <v>7</v>
      </c>
      <c r="M120" s="1252">
        <v>7375.3099999999995</v>
      </c>
      <c r="N120" s="1253">
        <v>0</v>
      </c>
      <c r="O120" s="1254">
        <v>0</v>
      </c>
      <c r="P120" s="1252">
        <v>0</v>
      </c>
    </row>
    <row r="121" spans="1:16">
      <c r="A121" s="1245" t="s">
        <v>2420</v>
      </c>
      <c r="B121" s="1246" t="s">
        <v>1880</v>
      </c>
      <c r="C121" s="1246" t="s">
        <v>504</v>
      </c>
      <c r="D121" s="1200" t="s">
        <v>2829</v>
      </c>
      <c r="E121" s="1247">
        <v>1000</v>
      </c>
      <c r="F121" s="1248">
        <v>40090077</v>
      </c>
      <c r="G121" s="1200" t="s">
        <v>3408</v>
      </c>
      <c r="H121" s="1191" t="s">
        <v>1592</v>
      </c>
      <c r="I121" s="1246" t="s">
        <v>618</v>
      </c>
      <c r="J121" s="1249" t="s">
        <v>619</v>
      </c>
      <c r="K121" s="1250">
        <v>1</v>
      </c>
      <c r="L121" s="1251">
        <v>12</v>
      </c>
      <c r="M121" s="1252">
        <v>13680</v>
      </c>
      <c r="N121" s="1253">
        <v>1</v>
      </c>
      <c r="O121" s="1254">
        <v>6</v>
      </c>
      <c r="P121" s="1252">
        <v>6540</v>
      </c>
    </row>
    <row r="122" spans="1:16" ht="24">
      <c r="A122" s="1245" t="s">
        <v>2420</v>
      </c>
      <c r="B122" s="1246" t="s">
        <v>1880</v>
      </c>
      <c r="C122" s="1246" t="s">
        <v>504</v>
      </c>
      <c r="D122" s="1200" t="s">
        <v>3407</v>
      </c>
      <c r="E122" s="1247">
        <v>5500</v>
      </c>
      <c r="F122" s="1248">
        <v>32984570</v>
      </c>
      <c r="G122" s="1200" t="s">
        <v>3406</v>
      </c>
      <c r="H122" s="1191" t="s">
        <v>2447</v>
      </c>
      <c r="I122" s="1246" t="s">
        <v>569</v>
      </c>
      <c r="J122" s="1249" t="s">
        <v>2447</v>
      </c>
      <c r="K122" s="1250">
        <v>1</v>
      </c>
      <c r="L122" s="1251">
        <v>1</v>
      </c>
      <c r="M122" s="1252">
        <v>3321.71</v>
      </c>
      <c r="N122" s="1253">
        <v>0</v>
      </c>
      <c r="O122" s="1254">
        <v>0</v>
      </c>
      <c r="P122" s="1252">
        <v>0</v>
      </c>
    </row>
    <row r="123" spans="1:16">
      <c r="A123" s="1245" t="s">
        <v>2420</v>
      </c>
      <c r="B123" s="1246" t="s">
        <v>1880</v>
      </c>
      <c r="C123" s="1246" t="s">
        <v>504</v>
      </c>
      <c r="D123" s="1200" t="s">
        <v>3405</v>
      </c>
      <c r="E123" s="1247">
        <v>5000</v>
      </c>
      <c r="F123" s="1248">
        <v>9551650</v>
      </c>
      <c r="G123" s="1200" t="s">
        <v>3404</v>
      </c>
      <c r="H123" s="1191" t="s">
        <v>511</v>
      </c>
      <c r="I123" s="1246" t="s">
        <v>569</v>
      </c>
      <c r="J123" s="1249" t="s">
        <v>2871</v>
      </c>
      <c r="K123" s="1250">
        <v>1</v>
      </c>
      <c r="L123" s="1251">
        <v>12</v>
      </c>
      <c r="M123" s="1252">
        <v>61984.80000000001</v>
      </c>
      <c r="N123" s="1253">
        <v>1</v>
      </c>
      <c r="O123" s="1254">
        <v>6</v>
      </c>
      <c r="P123" s="1252">
        <v>31044.9</v>
      </c>
    </row>
    <row r="124" spans="1:16">
      <c r="A124" s="1245" t="s">
        <v>2420</v>
      </c>
      <c r="B124" s="1246" t="s">
        <v>1880</v>
      </c>
      <c r="C124" s="1246" t="s">
        <v>504</v>
      </c>
      <c r="D124" s="1200" t="s">
        <v>3403</v>
      </c>
      <c r="E124" s="1247">
        <v>2300</v>
      </c>
      <c r="F124" s="1248">
        <v>44274189</v>
      </c>
      <c r="G124" s="1200" t="s">
        <v>3402</v>
      </c>
      <c r="H124" s="1191" t="s">
        <v>511</v>
      </c>
      <c r="I124" s="1246" t="s">
        <v>569</v>
      </c>
      <c r="J124" s="1249" t="s">
        <v>2871</v>
      </c>
      <c r="K124" s="1250">
        <v>1</v>
      </c>
      <c r="L124" s="1251">
        <v>12</v>
      </c>
      <c r="M124" s="1252">
        <v>29560.800000000007</v>
      </c>
      <c r="N124" s="1253">
        <v>1</v>
      </c>
      <c r="O124" s="1254">
        <v>6</v>
      </c>
      <c r="P124" s="1252">
        <v>14844.9</v>
      </c>
    </row>
    <row r="125" spans="1:16" ht="24">
      <c r="A125" s="1245" t="s">
        <v>2420</v>
      </c>
      <c r="B125" s="1246" t="s">
        <v>1880</v>
      </c>
      <c r="C125" s="1246" t="s">
        <v>504</v>
      </c>
      <c r="D125" s="1200" t="s">
        <v>3401</v>
      </c>
      <c r="E125" s="1247">
        <v>3000</v>
      </c>
      <c r="F125" s="1248">
        <v>9999852</v>
      </c>
      <c r="G125" s="1200" t="s">
        <v>3400</v>
      </c>
      <c r="H125" s="1191" t="s">
        <v>3399</v>
      </c>
      <c r="I125" s="1246" t="s">
        <v>569</v>
      </c>
      <c r="J125" s="1249" t="s">
        <v>3398</v>
      </c>
      <c r="K125" s="1250">
        <v>1</v>
      </c>
      <c r="L125" s="1251">
        <v>12</v>
      </c>
      <c r="M125" s="1252">
        <v>37960.80000000001</v>
      </c>
      <c r="N125" s="1253">
        <v>1</v>
      </c>
      <c r="O125" s="1254">
        <v>6</v>
      </c>
      <c r="P125" s="1252">
        <v>19044.900000000001</v>
      </c>
    </row>
    <row r="126" spans="1:16" ht="36">
      <c r="A126" s="1245" t="s">
        <v>2420</v>
      </c>
      <c r="B126" s="1246" t="s">
        <v>1880</v>
      </c>
      <c r="C126" s="1246" t="s">
        <v>504</v>
      </c>
      <c r="D126" s="1200" t="s">
        <v>3397</v>
      </c>
      <c r="E126" s="1247">
        <v>2500</v>
      </c>
      <c r="F126" s="1248">
        <v>46498204</v>
      </c>
      <c r="G126" s="1200" t="s">
        <v>3396</v>
      </c>
      <c r="H126" s="1191" t="s">
        <v>3019</v>
      </c>
      <c r="I126" s="1246" t="s">
        <v>1664</v>
      </c>
      <c r="J126" s="1249" t="s">
        <v>3395</v>
      </c>
      <c r="K126" s="1250">
        <v>1</v>
      </c>
      <c r="L126" s="1251">
        <v>4</v>
      </c>
      <c r="M126" s="1252">
        <v>8132.2300000000005</v>
      </c>
      <c r="N126" s="1253">
        <v>0</v>
      </c>
      <c r="O126" s="1254">
        <v>0</v>
      </c>
      <c r="P126" s="1252">
        <v>0</v>
      </c>
    </row>
    <row r="127" spans="1:16" ht="24">
      <c r="A127" s="1245" t="s">
        <v>2420</v>
      </c>
      <c r="B127" s="1246" t="s">
        <v>1880</v>
      </c>
      <c r="C127" s="1246" t="s">
        <v>504</v>
      </c>
      <c r="D127" s="1200" t="s">
        <v>3394</v>
      </c>
      <c r="E127" s="1247">
        <v>2400</v>
      </c>
      <c r="F127" s="1248">
        <v>9893995</v>
      </c>
      <c r="G127" s="1200" t="s">
        <v>3393</v>
      </c>
      <c r="H127" s="1191" t="s">
        <v>659</v>
      </c>
      <c r="I127" s="1246" t="s">
        <v>569</v>
      </c>
      <c r="J127" s="1249" t="s">
        <v>3123</v>
      </c>
      <c r="K127" s="1250">
        <v>1</v>
      </c>
      <c r="L127" s="1251">
        <v>12</v>
      </c>
      <c r="M127" s="1252">
        <v>30760.800000000007</v>
      </c>
      <c r="N127" s="1253">
        <v>1</v>
      </c>
      <c r="O127" s="1254">
        <v>6</v>
      </c>
      <c r="P127" s="1252">
        <v>15444.9</v>
      </c>
    </row>
    <row r="128" spans="1:16" ht="24">
      <c r="A128" s="1245" t="s">
        <v>2420</v>
      </c>
      <c r="B128" s="1246" t="s">
        <v>1880</v>
      </c>
      <c r="C128" s="1246" t="s">
        <v>504</v>
      </c>
      <c r="D128" s="1200" t="s">
        <v>3392</v>
      </c>
      <c r="E128" s="1247">
        <v>5500</v>
      </c>
      <c r="F128" s="1248">
        <v>10474312</v>
      </c>
      <c r="G128" s="1200" t="s">
        <v>3391</v>
      </c>
      <c r="H128" s="1191" t="s">
        <v>2447</v>
      </c>
      <c r="I128" s="1246" t="s">
        <v>569</v>
      </c>
      <c r="J128" s="1249" t="s">
        <v>2618</v>
      </c>
      <c r="K128" s="1250">
        <v>1</v>
      </c>
      <c r="L128" s="1251">
        <v>12</v>
      </c>
      <c r="M128" s="1252">
        <v>67360.800000000003</v>
      </c>
      <c r="N128" s="1253">
        <v>1</v>
      </c>
      <c r="O128" s="1254">
        <v>6</v>
      </c>
      <c r="P128" s="1252">
        <v>34044.9</v>
      </c>
    </row>
    <row r="129" spans="1:16">
      <c r="A129" s="1245" t="s">
        <v>2420</v>
      </c>
      <c r="B129" s="1246" t="s">
        <v>1880</v>
      </c>
      <c r="C129" s="1246" t="s">
        <v>504</v>
      </c>
      <c r="D129" s="1200" t="s">
        <v>2942</v>
      </c>
      <c r="E129" s="1247">
        <v>1000</v>
      </c>
      <c r="F129" s="1248">
        <v>8533827</v>
      </c>
      <c r="G129" s="1200" t="s">
        <v>3390</v>
      </c>
      <c r="H129" s="1191" t="s">
        <v>1592</v>
      </c>
      <c r="I129" s="1246" t="s">
        <v>618</v>
      </c>
      <c r="J129" s="1249" t="s">
        <v>619</v>
      </c>
      <c r="K129" s="1250">
        <v>1</v>
      </c>
      <c r="L129" s="1251">
        <v>12</v>
      </c>
      <c r="M129" s="1252">
        <v>13680</v>
      </c>
      <c r="N129" s="1253">
        <v>1</v>
      </c>
      <c r="O129" s="1254">
        <v>6</v>
      </c>
      <c r="P129" s="1252">
        <v>6540</v>
      </c>
    </row>
    <row r="130" spans="1:16" ht="36">
      <c r="A130" s="1245" t="s">
        <v>2420</v>
      </c>
      <c r="B130" s="1246" t="s">
        <v>1880</v>
      </c>
      <c r="C130" s="1246" t="s">
        <v>504</v>
      </c>
      <c r="D130" s="1200" t="s">
        <v>3389</v>
      </c>
      <c r="E130" s="1247">
        <v>6600</v>
      </c>
      <c r="F130" s="1248">
        <v>43332239</v>
      </c>
      <c r="G130" s="1200" t="s">
        <v>3388</v>
      </c>
      <c r="H130" s="1191" t="s">
        <v>2447</v>
      </c>
      <c r="I130" s="1246" t="s">
        <v>569</v>
      </c>
      <c r="J130" s="1249" t="s">
        <v>2447</v>
      </c>
      <c r="K130" s="1250">
        <v>1</v>
      </c>
      <c r="L130" s="1251">
        <v>12</v>
      </c>
      <c r="M130" s="1252">
        <v>80560.799999999988</v>
      </c>
      <c r="N130" s="1253">
        <v>1</v>
      </c>
      <c r="O130" s="1254">
        <v>6</v>
      </c>
      <c r="P130" s="1252">
        <v>40644.9</v>
      </c>
    </row>
    <row r="131" spans="1:16" ht="36">
      <c r="A131" s="1245" t="s">
        <v>2420</v>
      </c>
      <c r="B131" s="1246" t="s">
        <v>1880</v>
      </c>
      <c r="C131" s="1246" t="s">
        <v>504</v>
      </c>
      <c r="D131" s="1200" t="s">
        <v>3387</v>
      </c>
      <c r="E131" s="1247">
        <v>930</v>
      </c>
      <c r="F131" s="1248">
        <v>44153423</v>
      </c>
      <c r="G131" s="1200" t="s">
        <v>3386</v>
      </c>
      <c r="H131" s="1191" t="s">
        <v>1592</v>
      </c>
      <c r="I131" s="1246" t="s">
        <v>618</v>
      </c>
      <c r="J131" s="1249" t="s">
        <v>619</v>
      </c>
      <c r="K131" s="1250">
        <v>1</v>
      </c>
      <c r="L131" s="1251">
        <v>12</v>
      </c>
      <c r="M131" s="1252">
        <v>12764.400000000003</v>
      </c>
      <c r="N131" s="1253">
        <v>1</v>
      </c>
      <c r="O131" s="1254">
        <v>6</v>
      </c>
      <c r="P131" s="1252">
        <v>6082.2</v>
      </c>
    </row>
    <row r="132" spans="1:16" ht="24">
      <c r="A132" s="1245" t="s">
        <v>2420</v>
      </c>
      <c r="B132" s="1246" t="s">
        <v>1880</v>
      </c>
      <c r="C132" s="1246" t="s">
        <v>504</v>
      </c>
      <c r="D132" s="1200" t="s">
        <v>3385</v>
      </c>
      <c r="E132" s="1247">
        <v>4000</v>
      </c>
      <c r="F132" s="1248">
        <v>19337204</v>
      </c>
      <c r="G132" s="1200" t="s">
        <v>3384</v>
      </c>
      <c r="H132" s="1191" t="s">
        <v>2237</v>
      </c>
      <c r="I132" s="1246" t="s">
        <v>569</v>
      </c>
      <c r="J132" s="1249" t="s">
        <v>2237</v>
      </c>
      <c r="K132" s="1250">
        <v>1</v>
      </c>
      <c r="L132" s="1251">
        <v>12</v>
      </c>
      <c r="M132" s="1252">
        <v>49984.80000000001</v>
      </c>
      <c r="N132" s="1253">
        <v>1</v>
      </c>
      <c r="O132" s="1254">
        <v>6</v>
      </c>
      <c r="P132" s="1252">
        <v>25044.9</v>
      </c>
    </row>
    <row r="133" spans="1:16" ht="24">
      <c r="A133" s="1245" t="s">
        <v>2420</v>
      </c>
      <c r="B133" s="1246" t="s">
        <v>1880</v>
      </c>
      <c r="C133" s="1246" t="s">
        <v>504</v>
      </c>
      <c r="D133" s="1200" t="s">
        <v>3383</v>
      </c>
      <c r="E133" s="1247">
        <v>2500</v>
      </c>
      <c r="F133" s="1248">
        <v>43330982</v>
      </c>
      <c r="G133" s="1200" t="s">
        <v>3382</v>
      </c>
      <c r="H133" s="1191" t="s">
        <v>3381</v>
      </c>
      <c r="I133" s="1246" t="s">
        <v>1664</v>
      </c>
      <c r="J133" s="1249" t="s">
        <v>3381</v>
      </c>
      <c r="K133" s="1250">
        <v>1</v>
      </c>
      <c r="L133" s="1251">
        <v>12</v>
      </c>
      <c r="M133" s="1252">
        <v>31360.800000000007</v>
      </c>
      <c r="N133" s="1253">
        <v>1</v>
      </c>
      <c r="O133" s="1254">
        <v>6</v>
      </c>
      <c r="P133" s="1252">
        <v>16044.9</v>
      </c>
    </row>
    <row r="134" spans="1:16" ht="24">
      <c r="A134" s="1245" t="s">
        <v>2420</v>
      </c>
      <c r="B134" s="1246" t="s">
        <v>1880</v>
      </c>
      <c r="C134" s="1246" t="s">
        <v>504</v>
      </c>
      <c r="D134" s="1200" t="s">
        <v>3380</v>
      </c>
      <c r="E134" s="1247">
        <v>2400</v>
      </c>
      <c r="F134" s="1248">
        <v>7478188</v>
      </c>
      <c r="G134" s="1200" t="s">
        <v>3379</v>
      </c>
      <c r="H134" s="1191" t="s">
        <v>659</v>
      </c>
      <c r="I134" s="1246" t="s">
        <v>569</v>
      </c>
      <c r="J134" s="1249" t="s">
        <v>3378</v>
      </c>
      <c r="K134" s="1250">
        <v>1</v>
      </c>
      <c r="L134" s="1251">
        <v>3</v>
      </c>
      <c r="M134" s="1252">
        <v>7540.2000000000007</v>
      </c>
      <c r="N134" s="1253">
        <v>0</v>
      </c>
      <c r="O134" s="1254">
        <v>0</v>
      </c>
      <c r="P134" s="1252">
        <v>0</v>
      </c>
    </row>
    <row r="135" spans="1:16" ht="24">
      <c r="A135" s="1245" t="s">
        <v>2420</v>
      </c>
      <c r="B135" s="1246" t="s">
        <v>1880</v>
      </c>
      <c r="C135" s="1246" t="s">
        <v>504</v>
      </c>
      <c r="D135" s="1200" t="s">
        <v>2826</v>
      </c>
      <c r="E135" s="1247">
        <v>1500</v>
      </c>
      <c r="F135" s="1248" t="s">
        <v>3377</v>
      </c>
      <c r="G135" s="1200" t="s">
        <v>3376</v>
      </c>
      <c r="H135" s="1191" t="s">
        <v>2696</v>
      </c>
      <c r="I135" s="1246" t="s">
        <v>1664</v>
      </c>
      <c r="J135" s="1249" t="s">
        <v>1888</v>
      </c>
      <c r="K135" s="1250">
        <v>1</v>
      </c>
      <c r="L135" s="1251">
        <v>7</v>
      </c>
      <c r="M135" s="1252">
        <v>11593.8</v>
      </c>
      <c r="N135" s="1253">
        <v>0</v>
      </c>
      <c r="O135" s="1254">
        <v>0</v>
      </c>
      <c r="P135" s="1252">
        <v>0</v>
      </c>
    </row>
    <row r="136" spans="1:16" ht="24">
      <c r="A136" s="1245" t="s">
        <v>2420</v>
      </c>
      <c r="B136" s="1246" t="s">
        <v>1880</v>
      </c>
      <c r="C136" s="1246" t="s">
        <v>504</v>
      </c>
      <c r="D136" s="1200" t="s">
        <v>2826</v>
      </c>
      <c r="E136" s="1247">
        <v>1500</v>
      </c>
      <c r="F136" s="1248">
        <v>9785443</v>
      </c>
      <c r="G136" s="1200" t="s">
        <v>3375</v>
      </c>
      <c r="H136" s="1191" t="s">
        <v>2696</v>
      </c>
      <c r="I136" s="1246" t="s">
        <v>1664</v>
      </c>
      <c r="J136" s="1249" t="s">
        <v>2874</v>
      </c>
      <c r="K136" s="1250">
        <v>1</v>
      </c>
      <c r="L136" s="1251">
        <v>12</v>
      </c>
      <c r="M136" s="1252">
        <v>19960.800000000003</v>
      </c>
      <c r="N136" s="1253">
        <v>1</v>
      </c>
      <c r="O136" s="1254">
        <v>6</v>
      </c>
      <c r="P136" s="1252">
        <v>10266</v>
      </c>
    </row>
    <row r="137" spans="1:16" ht="24">
      <c r="A137" s="1245" t="s">
        <v>2420</v>
      </c>
      <c r="B137" s="1246" t="s">
        <v>1880</v>
      </c>
      <c r="C137" s="1246" t="s">
        <v>504</v>
      </c>
      <c r="D137" s="1200" t="s">
        <v>3374</v>
      </c>
      <c r="E137" s="1247">
        <v>2400</v>
      </c>
      <c r="F137" s="1248" t="s">
        <v>3373</v>
      </c>
      <c r="G137" s="1200" t="s">
        <v>3372</v>
      </c>
      <c r="H137" s="1191" t="s">
        <v>659</v>
      </c>
      <c r="I137" s="1246" t="s">
        <v>569</v>
      </c>
      <c r="J137" s="1249" t="s">
        <v>3371</v>
      </c>
      <c r="K137" s="1250">
        <v>1</v>
      </c>
      <c r="L137" s="1251">
        <v>12</v>
      </c>
      <c r="M137" s="1252">
        <v>30760.800000000007</v>
      </c>
      <c r="N137" s="1253">
        <v>1</v>
      </c>
      <c r="O137" s="1254">
        <v>6</v>
      </c>
      <c r="P137" s="1252">
        <v>15444.9</v>
      </c>
    </row>
    <row r="138" spans="1:16">
      <c r="A138" s="1245" t="s">
        <v>2420</v>
      </c>
      <c r="B138" s="1246" t="s">
        <v>1880</v>
      </c>
      <c r="C138" s="1246" t="s">
        <v>504</v>
      </c>
      <c r="D138" s="1200" t="s">
        <v>3326</v>
      </c>
      <c r="E138" s="1247">
        <v>1200</v>
      </c>
      <c r="F138" s="1248">
        <v>76576319</v>
      </c>
      <c r="G138" s="1200" t="s">
        <v>3370</v>
      </c>
      <c r="H138" s="1191" t="s">
        <v>1592</v>
      </c>
      <c r="I138" s="1246" t="s">
        <v>618</v>
      </c>
      <c r="J138" s="1249" t="s">
        <v>619</v>
      </c>
      <c r="K138" s="1250">
        <v>1</v>
      </c>
      <c r="L138" s="1251">
        <v>12</v>
      </c>
      <c r="M138" s="1252">
        <v>16296</v>
      </c>
      <c r="N138" s="1253">
        <v>1</v>
      </c>
      <c r="O138" s="1254">
        <v>6</v>
      </c>
      <c r="P138" s="1252">
        <v>7848</v>
      </c>
    </row>
    <row r="139" spans="1:16" ht="24">
      <c r="A139" s="1245" t="s">
        <v>2420</v>
      </c>
      <c r="B139" s="1246" t="s">
        <v>1880</v>
      </c>
      <c r="C139" s="1246" t="s">
        <v>504</v>
      </c>
      <c r="D139" s="1200" t="s">
        <v>2826</v>
      </c>
      <c r="E139" s="1247">
        <v>1500</v>
      </c>
      <c r="F139" s="1248">
        <v>9151276</v>
      </c>
      <c r="G139" s="1200" t="s">
        <v>3369</v>
      </c>
      <c r="H139" s="1191" t="s">
        <v>2696</v>
      </c>
      <c r="I139" s="1246" t="s">
        <v>1664</v>
      </c>
      <c r="J139" s="1249" t="s">
        <v>2874</v>
      </c>
      <c r="K139" s="1250">
        <v>1</v>
      </c>
      <c r="L139" s="1251">
        <v>12</v>
      </c>
      <c r="M139" s="1252">
        <v>19960.800000000003</v>
      </c>
      <c r="N139" s="1253">
        <v>1</v>
      </c>
      <c r="O139" s="1254">
        <v>6</v>
      </c>
      <c r="P139" s="1252">
        <v>10266</v>
      </c>
    </row>
    <row r="140" spans="1:16">
      <c r="A140" s="1245" t="s">
        <v>2420</v>
      </c>
      <c r="B140" s="1246" t="s">
        <v>1880</v>
      </c>
      <c r="C140" s="1246" t="s">
        <v>504</v>
      </c>
      <c r="D140" s="1200" t="s">
        <v>2881</v>
      </c>
      <c r="E140" s="1247">
        <v>2500</v>
      </c>
      <c r="F140" s="1248" t="s">
        <v>3368</v>
      </c>
      <c r="G140" s="1200" t="s">
        <v>3367</v>
      </c>
      <c r="H140" s="1191" t="s">
        <v>2879</v>
      </c>
      <c r="I140" s="1246" t="s">
        <v>569</v>
      </c>
      <c r="J140" s="1249" t="s">
        <v>2879</v>
      </c>
      <c r="K140" s="1250">
        <v>1</v>
      </c>
      <c r="L140" s="1251">
        <v>7</v>
      </c>
      <c r="M140" s="1252">
        <v>18593.8</v>
      </c>
      <c r="N140" s="1253">
        <v>0</v>
      </c>
      <c r="O140" s="1254">
        <v>0</v>
      </c>
      <c r="P140" s="1252">
        <v>0</v>
      </c>
    </row>
    <row r="141" spans="1:16" ht="24">
      <c r="A141" s="1245" t="s">
        <v>2420</v>
      </c>
      <c r="B141" s="1246" t="s">
        <v>1880</v>
      </c>
      <c r="C141" s="1246" t="s">
        <v>504</v>
      </c>
      <c r="D141" s="1200" t="s">
        <v>2826</v>
      </c>
      <c r="E141" s="1247">
        <v>1500</v>
      </c>
      <c r="F141" s="1248">
        <v>9887674</v>
      </c>
      <c r="G141" s="1200" t="s">
        <v>3366</v>
      </c>
      <c r="H141" s="1191" t="s">
        <v>2696</v>
      </c>
      <c r="I141" s="1246" t="s">
        <v>1664</v>
      </c>
      <c r="J141" s="1249" t="s">
        <v>2874</v>
      </c>
      <c r="K141" s="1250">
        <v>1</v>
      </c>
      <c r="L141" s="1251">
        <v>12</v>
      </c>
      <c r="M141" s="1252">
        <v>19960.800000000003</v>
      </c>
      <c r="N141" s="1253">
        <v>1</v>
      </c>
      <c r="O141" s="1254">
        <v>6</v>
      </c>
      <c r="P141" s="1252">
        <v>10266</v>
      </c>
    </row>
    <row r="142" spans="1:16" ht="36">
      <c r="A142" s="1245" t="s">
        <v>2420</v>
      </c>
      <c r="B142" s="1246" t="s">
        <v>1880</v>
      </c>
      <c r="C142" s="1246" t="s">
        <v>504</v>
      </c>
      <c r="D142" s="1200" t="s">
        <v>3365</v>
      </c>
      <c r="E142" s="1247">
        <v>3000</v>
      </c>
      <c r="F142" s="1248">
        <v>4083876</v>
      </c>
      <c r="G142" s="1200" t="s">
        <v>3364</v>
      </c>
      <c r="H142" s="1191" t="s">
        <v>2879</v>
      </c>
      <c r="I142" s="1246" t="s">
        <v>569</v>
      </c>
      <c r="J142" s="1249" t="s">
        <v>3363</v>
      </c>
      <c r="K142" s="1250">
        <v>1</v>
      </c>
      <c r="L142" s="1251">
        <v>12</v>
      </c>
      <c r="M142" s="1252">
        <v>37984.80000000001</v>
      </c>
      <c r="N142" s="1253">
        <v>1</v>
      </c>
      <c r="O142" s="1254">
        <v>6</v>
      </c>
      <c r="P142" s="1252">
        <v>19044.900000000001</v>
      </c>
    </row>
    <row r="143" spans="1:16" ht="24">
      <c r="A143" s="1245" t="s">
        <v>2420</v>
      </c>
      <c r="B143" s="1246" t="s">
        <v>1880</v>
      </c>
      <c r="C143" s="1246" t="s">
        <v>504</v>
      </c>
      <c r="D143" s="1200" t="s">
        <v>3362</v>
      </c>
      <c r="E143" s="1247">
        <v>2400</v>
      </c>
      <c r="F143" s="1248">
        <v>46365383</v>
      </c>
      <c r="G143" s="1200" t="s">
        <v>3361</v>
      </c>
      <c r="H143" s="1191" t="s">
        <v>659</v>
      </c>
      <c r="I143" s="1246" t="s">
        <v>569</v>
      </c>
      <c r="J143" s="1249" t="s">
        <v>3360</v>
      </c>
      <c r="K143" s="1250">
        <v>1</v>
      </c>
      <c r="L143" s="1251">
        <v>12</v>
      </c>
      <c r="M143" s="1252">
        <v>30760.800000000007</v>
      </c>
      <c r="N143" s="1253">
        <v>1</v>
      </c>
      <c r="O143" s="1254">
        <v>6</v>
      </c>
      <c r="P143" s="1252">
        <v>15444.9</v>
      </c>
    </row>
    <row r="144" spans="1:16" ht="24">
      <c r="A144" s="1245" t="s">
        <v>2420</v>
      </c>
      <c r="B144" s="1246" t="s">
        <v>1880</v>
      </c>
      <c r="C144" s="1246" t="s">
        <v>504</v>
      </c>
      <c r="D144" s="1200" t="s">
        <v>3359</v>
      </c>
      <c r="E144" s="1247">
        <v>7750</v>
      </c>
      <c r="F144" s="1248" t="s">
        <v>3358</v>
      </c>
      <c r="G144" s="1200" t="s">
        <v>3357</v>
      </c>
      <c r="H144" s="1191" t="s">
        <v>925</v>
      </c>
      <c r="I144" s="1246" t="s">
        <v>569</v>
      </c>
      <c r="J144" s="1249" t="s">
        <v>925</v>
      </c>
      <c r="K144" s="1250">
        <v>1</v>
      </c>
      <c r="L144" s="1251">
        <v>8</v>
      </c>
      <c r="M144" s="1252">
        <v>62907.200000000004</v>
      </c>
      <c r="N144" s="1253">
        <v>1</v>
      </c>
      <c r="O144" s="1254">
        <v>6</v>
      </c>
      <c r="P144" s="1252">
        <v>47544.9</v>
      </c>
    </row>
    <row r="145" spans="1:16" ht="36">
      <c r="A145" s="1245" t="s">
        <v>2420</v>
      </c>
      <c r="B145" s="1246" t="s">
        <v>1880</v>
      </c>
      <c r="C145" s="1246" t="s">
        <v>504</v>
      </c>
      <c r="D145" s="1200" t="s">
        <v>3356</v>
      </c>
      <c r="E145" s="1247">
        <v>4000</v>
      </c>
      <c r="F145" s="1248" t="s">
        <v>3355</v>
      </c>
      <c r="G145" s="1200" t="s">
        <v>3354</v>
      </c>
      <c r="H145" s="1191" t="s">
        <v>2944</v>
      </c>
      <c r="I145" s="1246" t="s">
        <v>569</v>
      </c>
      <c r="J145" s="1249" t="s">
        <v>2944</v>
      </c>
      <c r="K145" s="1250">
        <v>1</v>
      </c>
      <c r="L145" s="1251">
        <v>8</v>
      </c>
      <c r="M145" s="1252">
        <v>33423.200000000004</v>
      </c>
      <c r="N145" s="1253">
        <v>1</v>
      </c>
      <c r="O145" s="1254">
        <v>6</v>
      </c>
      <c r="P145" s="1252">
        <v>25044.9</v>
      </c>
    </row>
    <row r="146" spans="1:16" ht="36">
      <c r="A146" s="1245" t="s">
        <v>2420</v>
      </c>
      <c r="B146" s="1246" t="s">
        <v>1880</v>
      </c>
      <c r="C146" s="1246" t="s">
        <v>504</v>
      </c>
      <c r="D146" s="1200" t="s">
        <v>3353</v>
      </c>
      <c r="E146" s="1247">
        <v>2500</v>
      </c>
      <c r="F146" s="1248">
        <v>40162754</v>
      </c>
      <c r="G146" s="1200" t="s">
        <v>3352</v>
      </c>
      <c r="H146" s="1191" t="s">
        <v>2097</v>
      </c>
      <c r="I146" s="1246" t="s">
        <v>569</v>
      </c>
      <c r="J146" s="1249" t="s">
        <v>3351</v>
      </c>
      <c r="K146" s="1250">
        <v>1</v>
      </c>
      <c r="L146" s="1251">
        <v>12</v>
      </c>
      <c r="M146" s="1252">
        <v>31960.800000000007</v>
      </c>
      <c r="N146" s="1253">
        <v>1</v>
      </c>
      <c r="O146" s="1254">
        <v>6</v>
      </c>
      <c r="P146" s="1252">
        <v>16044.9</v>
      </c>
    </row>
    <row r="147" spans="1:16">
      <c r="A147" s="1245" t="s">
        <v>2420</v>
      </c>
      <c r="B147" s="1246" t="s">
        <v>1880</v>
      </c>
      <c r="C147" s="1246" t="s">
        <v>504</v>
      </c>
      <c r="D147" s="1200" t="s">
        <v>2942</v>
      </c>
      <c r="E147" s="1247">
        <v>1000</v>
      </c>
      <c r="F147" s="1248">
        <v>9904131</v>
      </c>
      <c r="G147" s="1200" t="s">
        <v>3350</v>
      </c>
      <c r="H147" s="1191" t="s">
        <v>1592</v>
      </c>
      <c r="I147" s="1246" t="s">
        <v>618</v>
      </c>
      <c r="J147" s="1249" t="s">
        <v>619</v>
      </c>
      <c r="K147" s="1250">
        <v>1</v>
      </c>
      <c r="L147" s="1251">
        <v>12</v>
      </c>
      <c r="M147" s="1252">
        <v>13680</v>
      </c>
      <c r="N147" s="1253">
        <v>1</v>
      </c>
      <c r="O147" s="1254">
        <v>6</v>
      </c>
      <c r="P147" s="1252">
        <v>6540</v>
      </c>
    </row>
    <row r="148" spans="1:16" ht="24">
      <c r="A148" s="1245" t="s">
        <v>2420</v>
      </c>
      <c r="B148" s="1246" t="s">
        <v>1880</v>
      </c>
      <c r="C148" s="1246" t="s">
        <v>504</v>
      </c>
      <c r="D148" s="1200" t="s">
        <v>2826</v>
      </c>
      <c r="E148" s="1247">
        <v>1500</v>
      </c>
      <c r="F148" s="1248">
        <v>45458396</v>
      </c>
      <c r="G148" s="1200" t="s">
        <v>3349</v>
      </c>
      <c r="H148" s="1191" t="s">
        <v>2696</v>
      </c>
      <c r="I148" s="1246" t="s">
        <v>1664</v>
      </c>
      <c r="J148" s="1249" t="s">
        <v>2874</v>
      </c>
      <c r="K148" s="1250">
        <v>1</v>
      </c>
      <c r="L148" s="1251">
        <v>12</v>
      </c>
      <c r="M148" s="1252">
        <v>20104.800000000003</v>
      </c>
      <c r="N148" s="1253">
        <v>1</v>
      </c>
      <c r="O148" s="1254">
        <v>6</v>
      </c>
      <c r="P148" s="1252">
        <v>9514.7000000000007</v>
      </c>
    </row>
    <row r="149" spans="1:16" ht="24">
      <c r="A149" s="1245" t="s">
        <v>2420</v>
      </c>
      <c r="B149" s="1246" t="s">
        <v>1880</v>
      </c>
      <c r="C149" s="1246" t="s">
        <v>504</v>
      </c>
      <c r="D149" s="1200" t="s">
        <v>2826</v>
      </c>
      <c r="E149" s="1247">
        <v>1500</v>
      </c>
      <c r="F149" s="1248">
        <v>41384245</v>
      </c>
      <c r="G149" s="1200" t="s">
        <v>3348</v>
      </c>
      <c r="H149" s="1191" t="s">
        <v>2696</v>
      </c>
      <c r="I149" s="1246" t="s">
        <v>1664</v>
      </c>
      <c r="J149" s="1249" t="s">
        <v>2874</v>
      </c>
      <c r="K149" s="1250">
        <v>1</v>
      </c>
      <c r="L149" s="1251">
        <v>12</v>
      </c>
      <c r="M149" s="1252">
        <v>19960.800000000003</v>
      </c>
      <c r="N149" s="1253">
        <v>1</v>
      </c>
      <c r="O149" s="1254">
        <v>6</v>
      </c>
      <c r="P149" s="1252">
        <v>10901.61</v>
      </c>
    </row>
    <row r="150" spans="1:16" ht="24">
      <c r="A150" s="1245" t="s">
        <v>2420</v>
      </c>
      <c r="B150" s="1246" t="s">
        <v>1880</v>
      </c>
      <c r="C150" s="1246" t="s">
        <v>504</v>
      </c>
      <c r="D150" s="1200" t="s">
        <v>3347</v>
      </c>
      <c r="E150" s="1247">
        <v>2500</v>
      </c>
      <c r="F150" s="1248">
        <v>32970640</v>
      </c>
      <c r="G150" s="1200" t="s">
        <v>3346</v>
      </c>
      <c r="H150" s="1191" t="s">
        <v>2944</v>
      </c>
      <c r="I150" s="1246" t="s">
        <v>569</v>
      </c>
      <c r="J150" s="1249" t="s">
        <v>2943</v>
      </c>
      <c r="K150" s="1250">
        <v>1</v>
      </c>
      <c r="L150" s="1251">
        <v>12</v>
      </c>
      <c r="M150" s="1252">
        <v>31960.800000000007</v>
      </c>
      <c r="N150" s="1253">
        <v>1</v>
      </c>
      <c r="O150" s="1254">
        <v>6</v>
      </c>
      <c r="P150" s="1252">
        <v>16500.900000000001</v>
      </c>
    </row>
    <row r="151" spans="1:16" ht="36">
      <c r="A151" s="1245" t="s">
        <v>2420</v>
      </c>
      <c r="B151" s="1246" t="s">
        <v>1880</v>
      </c>
      <c r="C151" s="1246" t="s">
        <v>504</v>
      </c>
      <c r="D151" s="1200" t="s">
        <v>3345</v>
      </c>
      <c r="E151" s="1247">
        <v>2200</v>
      </c>
      <c r="F151" s="1248">
        <v>42276272</v>
      </c>
      <c r="G151" s="1200" t="s">
        <v>3344</v>
      </c>
      <c r="H151" s="1191" t="s">
        <v>3343</v>
      </c>
      <c r="I151" s="1246" t="s">
        <v>1664</v>
      </c>
      <c r="J151" s="1249" t="s">
        <v>3343</v>
      </c>
      <c r="K151" s="1250">
        <v>1</v>
      </c>
      <c r="L151" s="1251">
        <v>12</v>
      </c>
      <c r="M151" s="1252">
        <v>28360.800000000007</v>
      </c>
      <c r="N151" s="1253">
        <v>1</v>
      </c>
      <c r="O151" s="1254">
        <v>6</v>
      </c>
      <c r="P151" s="1252">
        <v>14244.9</v>
      </c>
    </row>
    <row r="152" spans="1:16">
      <c r="A152" s="1245" t="s">
        <v>2420</v>
      </c>
      <c r="B152" s="1246" t="s">
        <v>1880</v>
      </c>
      <c r="C152" s="1246" t="s">
        <v>504</v>
      </c>
      <c r="D152" s="1200" t="s">
        <v>2826</v>
      </c>
      <c r="E152" s="1247">
        <v>1500</v>
      </c>
      <c r="F152" s="1248">
        <v>44908713</v>
      </c>
      <c r="G152" s="1200" t="s">
        <v>3342</v>
      </c>
      <c r="H152" s="1191" t="s">
        <v>2696</v>
      </c>
      <c r="I152" s="1246" t="s">
        <v>1664</v>
      </c>
      <c r="J152" s="1249" t="s">
        <v>1888</v>
      </c>
      <c r="K152" s="1250">
        <v>1</v>
      </c>
      <c r="L152" s="1251">
        <v>12</v>
      </c>
      <c r="M152" s="1252">
        <v>19960.800000000003</v>
      </c>
      <c r="N152" s="1253">
        <v>1</v>
      </c>
      <c r="O152" s="1254">
        <v>6</v>
      </c>
      <c r="P152" s="1252">
        <v>10266</v>
      </c>
    </row>
    <row r="153" spans="1:16">
      <c r="A153" s="1245" t="s">
        <v>2420</v>
      </c>
      <c r="B153" s="1246" t="s">
        <v>1880</v>
      </c>
      <c r="C153" s="1246" t="s">
        <v>504</v>
      </c>
      <c r="D153" s="1200" t="s">
        <v>2925</v>
      </c>
      <c r="E153" s="1247">
        <v>1500</v>
      </c>
      <c r="F153" s="1248">
        <v>40479222</v>
      </c>
      <c r="G153" s="1200" t="s">
        <v>3341</v>
      </c>
      <c r="H153" s="1191" t="s">
        <v>1972</v>
      </c>
      <c r="I153" s="1246" t="s">
        <v>1664</v>
      </c>
      <c r="J153" s="1249" t="s">
        <v>1972</v>
      </c>
      <c r="K153" s="1250">
        <v>1</v>
      </c>
      <c r="L153" s="1251">
        <v>12</v>
      </c>
      <c r="M153" s="1252">
        <v>19960.800000000003</v>
      </c>
      <c r="N153" s="1253">
        <v>1</v>
      </c>
      <c r="O153" s="1254">
        <v>6</v>
      </c>
      <c r="P153" s="1252">
        <v>9810</v>
      </c>
    </row>
    <row r="154" spans="1:16" ht="24">
      <c r="A154" s="1245" t="s">
        <v>2420</v>
      </c>
      <c r="B154" s="1246" t="s">
        <v>1880</v>
      </c>
      <c r="C154" s="1246" t="s">
        <v>504</v>
      </c>
      <c r="D154" s="1200" t="s">
        <v>2891</v>
      </c>
      <c r="E154" s="1247">
        <v>1000</v>
      </c>
      <c r="F154" s="1248" t="s">
        <v>3340</v>
      </c>
      <c r="G154" s="1200" t="s">
        <v>3339</v>
      </c>
      <c r="H154" s="1191" t="s">
        <v>1592</v>
      </c>
      <c r="I154" s="1246" t="s">
        <v>618</v>
      </c>
      <c r="J154" s="1249" t="s">
        <v>619</v>
      </c>
      <c r="K154" s="1250">
        <v>1</v>
      </c>
      <c r="L154" s="1251">
        <v>12</v>
      </c>
      <c r="M154" s="1252">
        <v>13680</v>
      </c>
      <c r="N154" s="1253">
        <v>1</v>
      </c>
      <c r="O154" s="1254">
        <v>6</v>
      </c>
      <c r="P154" s="1252">
        <v>6540</v>
      </c>
    </row>
    <row r="155" spans="1:16">
      <c r="A155" s="1245" t="s">
        <v>2420</v>
      </c>
      <c r="B155" s="1246" t="s">
        <v>1880</v>
      </c>
      <c r="C155" s="1246" t="s">
        <v>504</v>
      </c>
      <c r="D155" s="1200" t="s">
        <v>2826</v>
      </c>
      <c r="E155" s="1247">
        <v>1500</v>
      </c>
      <c r="F155" s="1248">
        <v>46985235</v>
      </c>
      <c r="G155" s="1200" t="s">
        <v>3338</v>
      </c>
      <c r="H155" s="1191" t="s">
        <v>1888</v>
      </c>
      <c r="I155" s="1246" t="s">
        <v>1664</v>
      </c>
      <c r="J155" s="1249" t="s">
        <v>1888</v>
      </c>
      <c r="K155" s="1250">
        <v>1</v>
      </c>
      <c r="L155" s="1251">
        <v>3</v>
      </c>
      <c r="M155" s="1252">
        <v>4715.2000000000007</v>
      </c>
      <c r="N155" s="1253">
        <v>0</v>
      </c>
      <c r="O155" s="1254">
        <v>0</v>
      </c>
      <c r="P155" s="1252">
        <v>0</v>
      </c>
    </row>
    <row r="156" spans="1:16" ht="60">
      <c r="A156" s="1245" t="s">
        <v>2420</v>
      </c>
      <c r="B156" s="1246" t="s">
        <v>1880</v>
      </c>
      <c r="C156" s="1246" t="s">
        <v>504</v>
      </c>
      <c r="D156" s="1200" t="s">
        <v>3337</v>
      </c>
      <c r="E156" s="1247">
        <v>6601</v>
      </c>
      <c r="F156" s="1248">
        <v>43697634</v>
      </c>
      <c r="G156" s="1200" t="s">
        <v>3336</v>
      </c>
      <c r="H156" s="1191" t="s">
        <v>1695</v>
      </c>
      <c r="I156" s="1246" t="s">
        <v>569</v>
      </c>
      <c r="J156" s="1249" t="s">
        <v>2589</v>
      </c>
      <c r="K156" s="1250">
        <v>1</v>
      </c>
      <c r="L156" s="1251">
        <v>4</v>
      </c>
      <c r="M156" s="1252">
        <v>26857.599999999999</v>
      </c>
      <c r="N156" s="1253">
        <v>0</v>
      </c>
      <c r="O156" s="1254">
        <v>0</v>
      </c>
      <c r="P156" s="1252">
        <v>0</v>
      </c>
    </row>
    <row r="157" spans="1:16" ht="24">
      <c r="A157" s="1245" t="s">
        <v>2420</v>
      </c>
      <c r="B157" s="1246" t="s">
        <v>1880</v>
      </c>
      <c r="C157" s="1246" t="s">
        <v>504</v>
      </c>
      <c r="D157" s="1200" t="s">
        <v>2839</v>
      </c>
      <c r="E157" s="1247">
        <v>2500</v>
      </c>
      <c r="F157" s="1248">
        <v>41204399</v>
      </c>
      <c r="G157" s="1200" t="s">
        <v>3335</v>
      </c>
      <c r="H157" s="1191" t="s">
        <v>2696</v>
      </c>
      <c r="I157" s="1246" t="s">
        <v>569</v>
      </c>
      <c r="J157" s="1249" t="s">
        <v>1513</v>
      </c>
      <c r="K157" s="1250">
        <v>1</v>
      </c>
      <c r="L157" s="1251">
        <v>12</v>
      </c>
      <c r="M157" s="1252">
        <v>31960.800000000007</v>
      </c>
      <c r="N157" s="1253">
        <v>1</v>
      </c>
      <c r="O157" s="1254">
        <v>6</v>
      </c>
      <c r="P157" s="1252">
        <v>16500.900000000001</v>
      </c>
    </row>
    <row r="158" spans="1:16" ht="24">
      <c r="A158" s="1245" t="s">
        <v>2420</v>
      </c>
      <c r="B158" s="1246" t="s">
        <v>1880</v>
      </c>
      <c r="C158" s="1246" t="s">
        <v>504</v>
      </c>
      <c r="D158" s="1200" t="s">
        <v>2839</v>
      </c>
      <c r="E158" s="1247">
        <v>2500</v>
      </c>
      <c r="F158" s="1248">
        <v>46802371</v>
      </c>
      <c r="G158" s="1200" t="s">
        <v>3334</v>
      </c>
      <c r="H158" s="1191" t="s">
        <v>2696</v>
      </c>
      <c r="I158" s="1246" t="s">
        <v>569</v>
      </c>
      <c r="J158" s="1249" t="s">
        <v>1513</v>
      </c>
      <c r="K158" s="1250">
        <v>1</v>
      </c>
      <c r="L158" s="1251">
        <v>12</v>
      </c>
      <c r="M158" s="1252">
        <v>31960.800000000007</v>
      </c>
      <c r="N158" s="1253">
        <v>1</v>
      </c>
      <c r="O158" s="1254">
        <v>6</v>
      </c>
      <c r="P158" s="1252">
        <v>16500.900000000001</v>
      </c>
    </row>
    <row r="159" spans="1:16" ht="24">
      <c r="A159" s="1245" t="s">
        <v>2420</v>
      </c>
      <c r="B159" s="1246" t="s">
        <v>1880</v>
      </c>
      <c r="C159" s="1246" t="s">
        <v>504</v>
      </c>
      <c r="D159" s="1200" t="s">
        <v>3107</v>
      </c>
      <c r="E159" s="1247">
        <v>1000</v>
      </c>
      <c r="F159" s="1248">
        <v>5413017</v>
      </c>
      <c r="G159" s="1200" t="s">
        <v>3333</v>
      </c>
      <c r="H159" s="1191" t="s">
        <v>1592</v>
      </c>
      <c r="I159" s="1246" t="s">
        <v>618</v>
      </c>
      <c r="J159" s="1249" t="s">
        <v>619</v>
      </c>
      <c r="K159" s="1250">
        <v>1</v>
      </c>
      <c r="L159" s="1251">
        <v>12</v>
      </c>
      <c r="M159" s="1252">
        <v>13680</v>
      </c>
      <c r="N159" s="1253">
        <v>0</v>
      </c>
      <c r="O159" s="1254">
        <v>0</v>
      </c>
      <c r="P159" s="1252">
        <v>0</v>
      </c>
    </row>
    <row r="160" spans="1:16">
      <c r="A160" s="1245" t="s">
        <v>2420</v>
      </c>
      <c r="B160" s="1246" t="s">
        <v>1880</v>
      </c>
      <c r="C160" s="1246" t="s">
        <v>504</v>
      </c>
      <c r="D160" s="1200" t="s">
        <v>3332</v>
      </c>
      <c r="E160" s="1247">
        <v>1200</v>
      </c>
      <c r="F160" s="1248">
        <v>44508470</v>
      </c>
      <c r="G160" s="1200" t="s">
        <v>3331</v>
      </c>
      <c r="H160" s="1191" t="s">
        <v>1592</v>
      </c>
      <c r="I160" s="1246" t="s">
        <v>618</v>
      </c>
      <c r="J160" s="1249" t="s">
        <v>619</v>
      </c>
      <c r="K160" s="1250">
        <v>1</v>
      </c>
      <c r="L160" s="1251">
        <v>12</v>
      </c>
      <c r="M160" s="1252">
        <v>16296</v>
      </c>
      <c r="N160" s="1253">
        <v>1</v>
      </c>
      <c r="O160" s="1254">
        <v>6</v>
      </c>
      <c r="P160" s="1252">
        <v>7848</v>
      </c>
    </row>
    <row r="161" spans="1:16" ht="24">
      <c r="A161" s="1245" t="s">
        <v>2420</v>
      </c>
      <c r="B161" s="1246" t="s">
        <v>1880</v>
      </c>
      <c r="C161" s="1246" t="s">
        <v>504</v>
      </c>
      <c r="D161" s="1200" t="s">
        <v>3107</v>
      </c>
      <c r="E161" s="1247">
        <v>1000</v>
      </c>
      <c r="F161" s="1248" t="s">
        <v>3330</v>
      </c>
      <c r="G161" s="1200" t="s">
        <v>3329</v>
      </c>
      <c r="H161" s="1191" t="s">
        <v>1592</v>
      </c>
      <c r="I161" s="1246" t="s">
        <v>618</v>
      </c>
      <c r="J161" s="1249" t="s">
        <v>619</v>
      </c>
      <c r="K161" s="1250">
        <v>1</v>
      </c>
      <c r="L161" s="1251">
        <v>12</v>
      </c>
      <c r="M161" s="1252">
        <v>13680</v>
      </c>
      <c r="N161" s="1253">
        <v>1</v>
      </c>
      <c r="O161" s="1254">
        <v>6</v>
      </c>
      <c r="P161" s="1252">
        <v>6540</v>
      </c>
    </row>
    <row r="162" spans="1:16" ht="24">
      <c r="A162" s="1245" t="s">
        <v>2420</v>
      </c>
      <c r="B162" s="1246" t="s">
        <v>1880</v>
      </c>
      <c r="C162" s="1246" t="s">
        <v>504</v>
      </c>
      <c r="D162" s="1200" t="s">
        <v>3107</v>
      </c>
      <c r="E162" s="1247">
        <v>1000</v>
      </c>
      <c r="F162" s="1248" t="s">
        <v>3328</v>
      </c>
      <c r="G162" s="1200" t="s">
        <v>3327</v>
      </c>
      <c r="H162" s="1191" t="s">
        <v>1592</v>
      </c>
      <c r="I162" s="1246" t="s">
        <v>618</v>
      </c>
      <c r="J162" s="1249" t="s">
        <v>619</v>
      </c>
      <c r="K162" s="1250">
        <v>1</v>
      </c>
      <c r="L162" s="1251">
        <v>7</v>
      </c>
      <c r="M162" s="1252">
        <v>7930</v>
      </c>
      <c r="N162" s="1253">
        <v>0</v>
      </c>
      <c r="O162" s="1254">
        <v>0</v>
      </c>
      <c r="P162" s="1252">
        <v>0</v>
      </c>
    </row>
    <row r="163" spans="1:16">
      <c r="A163" s="1245" t="s">
        <v>2420</v>
      </c>
      <c r="B163" s="1246" t="s">
        <v>1880</v>
      </c>
      <c r="C163" s="1246" t="s">
        <v>504</v>
      </c>
      <c r="D163" s="1200" t="s">
        <v>3326</v>
      </c>
      <c r="E163" s="1247">
        <v>1200</v>
      </c>
      <c r="F163" s="1248">
        <v>76595379</v>
      </c>
      <c r="G163" s="1200" t="s">
        <v>3325</v>
      </c>
      <c r="H163" s="1191" t="s">
        <v>1592</v>
      </c>
      <c r="I163" s="1246" t="s">
        <v>618</v>
      </c>
      <c r="J163" s="1249" t="s">
        <v>619</v>
      </c>
      <c r="K163" s="1250">
        <v>1</v>
      </c>
      <c r="L163" s="1251">
        <v>12</v>
      </c>
      <c r="M163" s="1252">
        <v>16296</v>
      </c>
      <c r="N163" s="1253">
        <v>1</v>
      </c>
      <c r="O163" s="1254">
        <v>6</v>
      </c>
      <c r="P163" s="1252">
        <v>7848</v>
      </c>
    </row>
    <row r="164" spans="1:16" ht="24">
      <c r="A164" s="1245" t="s">
        <v>2420</v>
      </c>
      <c r="B164" s="1246" t="s">
        <v>1880</v>
      </c>
      <c r="C164" s="1246" t="s">
        <v>504</v>
      </c>
      <c r="D164" s="1200" t="s">
        <v>2826</v>
      </c>
      <c r="E164" s="1247">
        <v>1500</v>
      </c>
      <c r="F164" s="1248">
        <v>43424491</v>
      </c>
      <c r="G164" s="1200" t="s">
        <v>3324</v>
      </c>
      <c r="H164" s="1191" t="s">
        <v>2696</v>
      </c>
      <c r="I164" s="1246" t="s">
        <v>1664</v>
      </c>
      <c r="J164" s="1249" t="s">
        <v>2874</v>
      </c>
      <c r="K164" s="1250">
        <v>1</v>
      </c>
      <c r="L164" s="1251">
        <v>12</v>
      </c>
      <c r="M164" s="1252">
        <v>19960.800000000003</v>
      </c>
      <c r="N164" s="1253">
        <v>1</v>
      </c>
      <c r="O164" s="1254">
        <v>6</v>
      </c>
      <c r="P164" s="1252">
        <v>10266</v>
      </c>
    </row>
    <row r="165" spans="1:16">
      <c r="A165" s="1245" t="s">
        <v>2420</v>
      </c>
      <c r="B165" s="1246" t="s">
        <v>1880</v>
      </c>
      <c r="C165" s="1246" t="s">
        <v>504</v>
      </c>
      <c r="D165" s="1200" t="s">
        <v>2942</v>
      </c>
      <c r="E165" s="1247">
        <v>1000</v>
      </c>
      <c r="F165" s="1248">
        <v>9689223</v>
      </c>
      <c r="G165" s="1200" t="s">
        <v>3323</v>
      </c>
      <c r="H165" s="1191" t="s">
        <v>1592</v>
      </c>
      <c r="I165" s="1246" t="s">
        <v>618</v>
      </c>
      <c r="J165" s="1249" t="s">
        <v>619</v>
      </c>
      <c r="K165" s="1250">
        <v>1</v>
      </c>
      <c r="L165" s="1251">
        <v>12</v>
      </c>
      <c r="M165" s="1252">
        <v>13680</v>
      </c>
      <c r="N165" s="1253">
        <v>1</v>
      </c>
      <c r="O165" s="1254">
        <v>6</v>
      </c>
      <c r="P165" s="1252">
        <v>6540</v>
      </c>
    </row>
    <row r="166" spans="1:16" ht="24">
      <c r="A166" s="1245" t="s">
        <v>2420</v>
      </c>
      <c r="B166" s="1246" t="s">
        <v>1880</v>
      </c>
      <c r="C166" s="1246" t="s">
        <v>504</v>
      </c>
      <c r="D166" s="1200" t="s">
        <v>3080</v>
      </c>
      <c r="E166" s="1247">
        <v>2500</v>
      </c>
      <c r="F166" s="1248">
        <v>41331682</v>
      </c>
      <c r="G166" s="1200" t="s">
        <v>3322</v>
      </c>
      <c r="H166" s="1191" t="s">
        <v>2097</v>
      </c>
      <c r="I166" s="1246" t="s">
        <v>569</v>
      </c>
      <c r="J166" s="1249" t="s">
        <v>3078</v>
      </c>
      <c r="K166" s="1250">
        <v>1</v>
      </c>
      <c r="L166" s="1251">
        <v>7</v>
      </c>
      <c r="M166" s="1252">
        <v>18593.8</v>
      </c>
      <c r="N166" s="1253">
        <v>0</v>
      </c>
      <c r="O166" s="1254">
        <v>0</v>
      </c>
      <c r="P166" s="1252">
        <v>0</v>
      </c>
    </row>
    <row r="167" spans="1:16" ht="120">
      <c r="A167" s="1245" t="s">
        <v>2420</v>
      </c>
      <c r="B167" s="1246" t="s">
        <v>1880</v>
      </c>
      <c r="C167" s="1246" t="s">
        <v>504</v>
      </c>
      <c r="D167" s="1200" t="s">
        <v>3321</v>
      </c>
      <c r="E167" s="1247">
        <v>2500</v>
      </c>
      <c r="F167" s="1248">
        <v>43280080</v>
      </c>
      <c r="G167" s="1200" t="s">
        <v>3320</v>
      </c>
      <c r="H167" s="1191" t="s">
        <v>2436</v>
      </c>
      <c r="I167" s="1246" t="s">
        <v>1664</v>
      </c>
      <c r="J167" s="1249" t="s">
        <v>2898</v>
      </c>
      <c r="K167" s="1250">
        <v>1</v>
      </c>
      <c r="L167" s="1251">
        <v>12</v>
      </c>
      <c r="M167" s="1252">
        <v>31360.800000000007</v>
      </c>
      <c r="N167" s="1253">
        <v>1</v>
      </c>
      <c r="O167" s="1254">
        <v>6</v>
      </c>
      <c r="P167" s="1252">
        <v>16044.9</v>
      </c>
    </row>
    <row r="168" spans="1:16">
      <c r="A168" s="1245" t="s">
        <v>2420</v>
      </c>
      <c r="B168" s="1246" t="s">
        <v>1880</v>
      </c>
      <c r="C168" s="1246" t="s">
        <v>504</v>
      </c>
      <c r="D168" s="1200" t="s">
        <v>3319</v>
      </c>
      <c r="E168" s="1247">
        <v>1500</v>
      </c>
      <c r="F168" s="1248">
        <v>25758779</v>
      </c>
      <c r="G168" s="1200" t="s">
        <v>3318</v>
      </c>
      <c r="H168" s="1191" t="s">
        <v>3317</v>
      </c>
      <c r="I168" s="1246" t="s">
        <v>1664</v>
      </c>
      <c r="J168" s="1249" t="s">
        <v>3317</v>
      </c>
      <c r="K168" s="1250">
        <v>1</v>
      </c>
      <c r="L168" s="1251">
        <v>12</v>
      </c>
      <c r="M168" s="1252">
        <v>19960.800000000003</v>
      </c>
      <c r="N168" s="1253">
        <v>1</v>
      </c>
      <c r="O168" s="1254">
        <v>6</v>
      </c>
      <c r="P168" s="1252">
        <v>9810</v>
      </c>
    </row>
    <row r="169" spans="1:16" ht="24">
      <c r="A169" s="1245" t="s">
        <v>2420</v>
      </c>
      <c r="B169" s="1246" t="s">
        <v>1880</v>
      </c>
      <c r="C169" s="1246" t="s">
        <v>504</v>
      </c>
      <c r="D169" s="1200" t="s">
        <v>2839</v>
      </c>
      <c r="E169" s="1247">
        <v>2500</v>
      </c>
      <c r="F169" s="1248">
        <v>45196241</v>
      </c>
      <c r="G169" s="1200" t="s">
        <v>3316</v>
      </c>
      <c r="H169" s="1191" t="s">
        <v>2696</v>
      </c>
      <c r="I169" s="1246" t="s">
        <v>569</v>
      </c>
      <c r="J169" s="1249" t="s">
        <v>1513</v>
      </c>
      <c r="K169" s="1250">
        <v>1</v>
      </c>
      <c r="L169" s="1251">
        <v>12</v>
      </c>
      <c r="M169" s="1252">
        <v>31960.800000000007</v>
      </c>
      <c r="N169" s="1253">
        <v>1</v>
      </c>
      <c r="O169" s="1254">
        <v>6</v>
      </c>
      <c r="P169" s="1252">
        <v>16500.900000000001</v>
      </c>
    </row>
    <row r="170" spans="1:16" ht="24">
      <c r="A170" s="1245" t="s">
        <v>2420</v>
      </c>
      <c r="B170" s="1246" t="s">
        <v>1880</v>
      </c>
      <c r="C170" s="1246" t="s">
        <v>504</v>
      </c>
      <c r="D170" s="1200" t="s">
        <v>3315</v>
      </c>
      <c r="E170" s="1247">
        <v>2350</v>
      </c>
      <c r="F170" s="1248">
        <v>44699661</v>
      </c>
      <c r="G170" s="1200" t="s">
        <v>3314</v>
      </c>
      <c r="H170" s="1191" t="s">
        <v>2843</v>
      </c>
      <c r="I170" s="1246" t="s">
        <v>569</v>
      </c>
      <c r="J170" s="1249" t="s">
        <v>2842</v>
      </c>
      <c r="K170" s="1250">
        <v>1</v>
      </c>
      <c r="L170" s="1251">
        <v>7</v>
      </c>
      <c r="M170" s="1252">
        <v>15694.75</v>
      </c>
      <c r="N170" s="1253">
        <v>0</v>
      </c>
      <c r="O170" s="1254">
        <v>0</v>
      </c>
      <c r="P170" s="1252">
        <v>0</v>
      </c>
    </row>
    <row r="171" spans="1:16">
      <c r="A171" s="1245" t="s">
        <v>2420</v>
      </c>
      <c r="B171" s="1246" t="s">
        <v>1880</v>
      </c>
      <c r="C171" s="1246" t="s">
        <v>504</v>
      </c>
      <c r="D171" s="1200" t="s">
        <v>2942</v>
      </c>
      <c r="E171" s="1247">
        <v>1000</v>
      </c>
      <c r="F171" s="1248">
        <v>46790430</v>
      </c>
      <c r="G171" s="1200" t="s">
        <v>3313</v>
      </c>
      <c r="H171" s="1191" t="s">
        <v>1592</v>
      </c>
      <c r="I171" s="1246" t="s">
        <v>618</v>
      </c>
      <c r="J171" s="1249" t="s">
        <v>619</v>
      </c>
      <c r="K171" s="1250">
        <v>1</v>
      </c>
      <c r="L171" s="1251">
        <v>12</v>
      </c>
      <c r="M171" s="1252">
        <v>13680</v>
      </c>
      <c r="N171" s="1253">
        <v>1</v>
      </c>
      <c r="O171" s="1254">
        <v>6</v>
      </c>
      <c r="P171" s="1252">
        <v>6540</v>
      </c>
    </row>
    <row r="172" spans="1:16" ht="24">
      <c r="A172" s="1245" t="s">
        <v>2420</v>
      </c>
      <c r="B172" s="1246" t="s">
        <v>1880</v>
      </c>
      <c r="C172" s="1246" t="s">
        <v>504</v>
      </c>
      <c r="D172" s="1200" t="s">
        <v>3312</v>
      </c>
      <c r="E172" s="1247">
        <v>2500</v>
      </c>
      <c r="F172" s="1248">
        <v>45441034</v>
      </c>
      <c r="G172" s="1200" t="s">
        <v>3311</v>
      </c>
      <c r="H172" s="1191" t="s">
        <v>2944</v>
      </c>
      <c r="I172" s="1246" t="s">
        <v>569</v>
      </c>
      <c r="J172" s="1249" t="s">
        <v>2943</v>
      </c>
      <c r="K172" s="1250">
        <v>1</v>
      </c>
      <c r="L172" s="1251">
        <v>12</v>
      </c>
      <c r="M172" s="1252">
        <v>31960.800000000007</v>
      </c>
      <c r="N172" s="1253">
        <v>1</v>
      </c>
      <c r="O172" s="1254">
        <v>6</v>
      </c>
      <c r="P172" s="1252">
        <v>16044.9</v>
      </c>
    </row>
    <row r="173" spans="1:16">
      <c r="A173" s="1245" t="s">
        <v>2420</v>
      </c>
      <c r="B173" s="1246" t="s">
        <v>1880</v>
      </c>
      <c r="C173" s="1246" t="s">
        <v>504</v>
      </c>
      <c r="D173" s="1200" t="s">
        <v>2826</v>
      </c>
      <c r="E173" s="1247">
        <v>1500</v>
      </c>
      <c r="F173" s="1248">
        <v>4085817</v>
      </c>
      <c r="G173" s="1200" t="s">
        <v>3310</v>
      </c>
      <c r="H173" s="1191" t="s">
        <v>1592</v>
      </c>
      <c r="I173" s="1246" t="s">
        <v>618</v>
      </c>
      <c r="J173" s="1249" t="s">
        <v>619</v>
      </c>
      <c r="K173" s="1250">
        <v>1</v>
      </c>
      <c r="L173" s="1251">
        <v>7</v>
      </c>
      <c r="M173" s="1252">
        <v>11593.8</v>
      </c>
      <c r="N173" s="1253">
        <v>0</v>
      </c>
      <c r="O173" s="1254">
        <v>0</v>
      </c>
      <c r="P173" s="1252">
        <v>0</v>
      </c>
    </row>
    <row r="174" spans="1:16" ht="24">
      <c r="A174" s="1245" t="s">
        <v>2420</v>
      </c>
      <c r="B174" s="1246" t="s">
        <v>1880</v>
      </c>
      <c r="C174" s="1246" t="s">
        <v>504</v>
      </c>
      <c r="D174" s="1200" t="s">
        <v>2826</v>
      </c>
      <c r="E174" s="1247">
        <v>1500</v>
      </c>
      <c r="F174" s="1248">
        <v>46455874</v>
      </c>
      <c r="G174" s="1200" t="s">
        <v>3309</v>
      </c>
      <c r="H174" s="1191" t="s">
        <v>2696</v>
      </c>
      <c r="I174" s="1246" t="s">
        <v>1664</v>
      </c>
      <c r="J174" s="1249" t="s">
        <v>2874</v>
      </c>
      <c r="K174" s="1250">
        <v>1</v>
      </c>
      <c r="L174" s="1251">
        <v>12</v>
      </c>
      <c r="M174" s="1252">
        <v>19960.800000000003</v>
      </c>
      <c r="N174" s="1253">
        <v>0</v>
      </c>
      <c r="O174" s="1254">
        <v>0</v>
      </c>
      <c r="P174" s="1252">
        <v>0</v>
      </c>
    </row>
    <row r="175" spans="1:16" ht="24">
      <c r="A175" s="1245" t="s">
        <v>2420</v>
      </c>
      <c r="B175" s="1246" t="s">
        <v>1880</v>
      </c>
      <c r="C175" s="1246" t="s">
        <v>504</v>
      </c>
      <c r="D175" s="1200" t="s">
        <v>2846</v>
      </c>
      <c r="E175" s="1247">
        <v>2350</v>
      </c>
      <c r="F175" s="1248" t="s">
        <v>3308</v>
      </c>
      <c r="G175" s="1200" t="s">
        <v>3307</v>
      </c>
      <c r="H175" s="1191" t="s">
        <v>2843</v>
      </c>
      <c r="I175" s="1246" t="s">
        <v>569</v>
      </c>
      <c r="J175" s="1249" t="s">
        <v>2842</v>
      </c>
      <c r="K175" s="1250">
        <v>1</v>
      </c>
      <c r="L175" s="1251">
        <v>12</v>
      </c>
      <c r="M175" s="1252">
        <v>30160.800000000007</v>
      </c>
      <c r="N175" s="1253">
        <v>1</v>
      </c>
      <c r="O175" s="1254">
        <v>6</v>
      </c>
      <c r="P175" s="1252">
        <v>15144.9</v>
      </c>
    </row>
    <row r="176" spans="1:16" ht="24">
      <c r="A176" s="1245" t="s">
        <v>2420</v>
      </c>
      <c r="B176" s="1246" t="s">
        <v>1880</v>
      </c>
      <c r="C176" s="1246" t="s">
        <v>504</v>
      </c>
      <c r="D176" s="1200" t="s">
        <v>3306</v>
      </c>
      <c r="E176" s="1247">
        <v>1500</v>
      </c>
      <c r="F176" s="1248">
        <v>46264668</v>
      </c>
      <c r="G176" s="1200" t="s">
        <v>3305</v>
      </c>
      <c r="H176" s="1191" t="s">
        <v>3260</v>
      </c>
      <c r="I176" s="1246" t="s">
        <v>1664</v>
      </c>
      <c r="J176" s="1249" t="s">
        <v>3259</v>
      </c>
      <c r="K176" s="1250">
        <v>1</v>
      </c>
      <c r="L176" s="1251">
        <v>12</v>
      </c>
      <c r="M176" s="1252">
        <v>19960.800000000003</v>
      </c>
      <c r="N176" s="1253">
        <v>1</v>
      </c>
      <c r="O176" s="1254">
        <v>4</v>
      </c>
      <c r="P176" s="1252">
        <v>6540</v>
      </c>
    </row>
    <row r="177" spans="1:16" ht="48">
      <c r="A177" s="1245" t="s">
        <v>2420</v>
      </c>
      <c r="B177" s="1246" t="s">
        <v>1880</v>
      </c>
      <c r="C177" s="1246" t="s">
        <v>504</v>
      </c>
      <c r="D177" s="1200" t="s">
        <v>2833</v>
      </c>
      <c r="E177" s="1247">
        <v>3500</v>
      </c>
      <c r="F177" s="1248">
        <v>40772345</v>
      </c>
      <c r="G177" s="1200" t="s">
        <v>3304</v>
      </c>
      <c r="H177" s="1191" t="s">
        <v>3303</v>
      </c>
      <c r="I177" s="1246" t="s">
        <v>569</v>
      </c>
      <c r="J177" s="1249" t="s">
        <v>3302</v>
      </c>
      <c r="K177" s="1250">
        <v>1</v>
      </c>
      <c r="L177" s="1251">
        <v>12</v>
      </c>
      <c r="M177" s="1252">
        <v>43960.80000000001</v>
      </c>
      <c r="N177" s="1253">
        <v>0</v>
      </c>
      <c r="O177" s="1254">
        <v>0</v>
      </c>
      <c r="P177" s="1252">
        <v>0</v>
      </c>
    </row>
    <row r="178" spans="1:16" ht="24">
      <c r="A178" s="1245" t="s">
        <v>2420</v>
      </c>
      <c r="B178" s="1246" t="s">
        <v>1880</v>
      </c>
      <c r="C178" s="1246" t="s">
        <v>504</v>
      </c>
      <c r="D178" s="1200" t="s">
        <v>3107</v>
      </c>
      <c r="E178" s="1247">
        <v>1000</v>
      </c>
      <c r="F178" s="1248">
        <v>42097389</v>
      </c>
      <c r="G178" s="1200" t="s">
        <v>3301</v>
      </c>
      <c r="H178" s="1191" t="s">
        <v>1592</v>
      </c>
      <c r="I178" s="1246" t="s">
        <v>618</v>
      </c>
      <c r="J178" s="1249" t="s">
        <v>619</v>
      </c>
      <c r="K178" s="1250">
        <v>1</v>
      </c>
      <c r="L178" s="1251">
        <v>12</v>
      </c>
      <c r="M178" s="1252">
        <v>13680</v>
      </c>
      <c r="N178" s="1253">
        <v>1</v>
      </c>
      <c r="O178" s="1254">
        <v>6</v>
      </c>
      <c r="P178" s="1252">
        <v>6540</v>
      </c>
    </row>
    <row r="179" spans="1:16" ht="24">
      <c r="A179" s="1245" t="s">
        <v>2420</v>
      </c>
      <c r="B179" s="1246" t="s">
        <v>1880</v>
      </c>
      <c r="C179" s="1246" t="s">
        <v>504</v>
      </c>
      <c r="D179" s="1200" t="s">
        <v>3153</v>
      </c>
      <c r="E179" s="1247">
        <v>2500</v>
      </c>
      <c r="F179" s="1248">
        <v>45662857</v>
      </c>
      <c r="G179" s="1200" t="s">
        <v>3300</v>
      </c>
      <c r="H179" s="1191" t="s">
        <v>3151</v>
      </c>
      <c r="I179" s="1246" t="s">
        <v>569</v>
      </c>
      <c r="J179" s="1249" t="s">
        <v>3150</v>
      </c>
      <c r="K179" s="1250">
        <v>1</v>
      </c>
      <c r="L179" s="1251">
        <v>12</v>
      </c>
      <c r="M179" s="1252">
        <v>31960.800000000007</v>
      </c>
      <c r="N179" s="1253">
        <v>1</v>
      </c>
      <c r="O179" s="1254">
        <v>6</v>
      </c>
      <c r="P179" s="1252">
        <v>16044.9</v>
      </c>
    </row>
    <row r="180" spans="1:16" ht="24">
      <c r="A180" s="1245" t="s">
        <v>2420</v>
      </c>
      <c r="B180" s="1246" t="s">
        <v>1880</v>
      </c>
      <c r="C180" s="1246" t="s">
        <v>504</v>
      </c>
      <c r="D180" s="1200" t="s">
        <v>3299</v>
      </c>
      <c r="E180" s="1247">
        <v>3000</v>
      </c>
      <c r="F180" s="1248">
        <v>9606437</v>
      </c>
      <c r="G180" s="1200" t="s">
        <v>3298</v>
      </c>
      <c r="H180" s="1191" t="s">
        <v>2843</v>
      </c>
      <c r="I180" s="1246" t="s">
        <v>569</v>
      </c>
      <c r="J180" s="1249" t="s">
        <v>2842</v>
      </c>
      <c r="K180" s="1250">
        <v>1</v>
      </c>
      <c r="L180" s="1251">
        <v>12</v>
      </c>
      <c r="M180" s="1252">
        <v>37984.80000000001</v>
      </c>
      <c r="N180" s="1253">
        <v>1</v>
      </c>
      <c r="O180" s="1254">
        <v>4</v>
      </c>
      <c r="P180" s="1252">
        <v>12696.6</v>
      </c>
    </row>
    <row r="181" spans="1:16" ht="24">
      <c r="A181" s="1245" t="s">
        <v>2420</v>
      </c>
      <c r="B181" s="1246" t="s">
        <v>1880</v>
      </c>
      <c r="C181" s="1246" t="s">
        <v>504</v>
      </c>
      <c r="D181" s="1200" t="s">
        <v>3107</v>
      </c>
      <c r="E181" s="1247">
        <v>1000</v>
      </c>
      <c r="F181" s="1248">
        <v>7971923</v>
      </c>
      <c r="G181" s="1200" t="s">
        <v>3297</v>
      </c>
      <c r="H181" s="1191" t="s">
        <v>1592</v>
      </c>
      <c r="I181" s="1246" t="s">
        <v>618</v>
      </c>
      <c r="J181" s="1249" t="s">
        <v>619</v>
      </c>
      <c r="K181" s="1250">
        <v>1</v>
      </c>
      <c r="L181" s="1251">
        <v>12</v>
      </c>
      <c r="M181" s="1252">
        <v>13680</v>
      </c>
      <c r="N181" s="1253">
        <v>1</v>
      </c>
      <c r="O181" s="1254">
        <v>6</v>
      </c>
      <c r="P181" s="1252">
        <v>6540</v>
      </c>
    </row>
    <row r="182" spans="1:16" ht="48">
      <c r="A182" s="1245" t="s">
        <v>2420</v>
      </c>
      <c r="B182" s="1246" t="s">
        <v>1880</v>
      </c>
      <c r="C182" s="1246" t="s">
        <v>504</v>
      </c>
      <c r="D182" s="1200" t="s">
        <v>3296</v>
      </c>
      <c r="E182" s="1247">
        <v>3000</v>
      </c>
      <c r="F182" s="1248">
        <v>10804021</v>
      </c>
      <c r="G182" s="1200" t="s">
        <v>3295</v>
      </c>
      <c r="H182" s="1191" t="s">
        <v>2879</v>
      </c>
      <c r="I182" s="1246" t="s">
        <v>569</v>
      </c>
      <c r="J182" s="1249" t="s">
        <v>3294</v>
      </c>
      <c r="K182" s="1250">
        <v>1</v>
      </c>
      <c r="L182" s="1251">
        <v>12</v>
      </c>
      <c r="M182" s="1252">
        <v>37960.80000000001</v>
      </c>
      <c r="N182" s="1253">
        <v>1</v>
      </c>
      <c r="O182" s="1254">
        <v>4</v>
      </c>
      <c r="P182" s="1252">
        <v>12696.6</v>
      </c>
    </row>
    <row r="183" spans="1:16" ht="36">
      <c r="A183" s="1245" t="s">
        <v>2420</v>
      </c>
      <c r="B183" s="1246" t="s">
        <v>1880</v>
      </c>
      <c r="C183" s="1246" t="s">
        <v>504</v>
      </c>
      <c r="D183" s="1200" t="s">
        <v>3293</v>
      </c>
      <c r="E183" s="1247">
        <v>4000</v>
      </c>
      <c r="F183" s="1248">
        <v>44531149</v>
      </c>
      <c r="G183" s="1200" t="s">
        <v>3292</v>
      </c>
      <c r="H183" s="1191" t="s">
        <v>511</v>
      </c>
      <c r="I183" s="1246" t="s">
        <v>569</v>
      </c>
      <c r="J183" s="1249" t="s">
        <v>2871</v>
      </c>
      <c r="K183" s="1250">
        <v>1</v>
      </c>
      <c r="L183" s="1251">
        <v>12</v>
      </c>
      <c r="M183" s="1252">
        <v>49984.80000000001</v>
      </c>
      <c r="N183" s="1253">
        <v>1</v>
      </c>
      <c r="O183" s="1254">
        <v>6</v>
      </c>
      <c r="P183" s="1252">
        <v>25044.9</v>
      </c>
    </row>
    <row r="184" spans="1:16" ht="24">
      <c r="A184" s="1245" t="s">
        <v>2420</v>
      </c>
      <c r="B184" s="1246" t="s">
        <v>1880</v>
      </c>
      <c r="C184" s="1246" t="s">
        <v>504</v>
      </c>
      <c r="D184" s="1200" t="s">
        <v>2839</v>
      </c>
      <c r="E184" s="1247">
        <v>2500</v>
      </c>
      <c r="F184" s="1248">
        <v>22498443</v>
      </c>
      <c r="G184" s="1200" t="s">
        <v>3291</v>
      </c>
      <c r="H184" s="1191" t="s">
        <v>2696</v>
      </c>
      <c r="I184" s="1246" t="s">
        <v>569</v>
      </c>
      <c r="J184" s="1249" t="s">
        <v>1513</v>
      </c>
      <c r="K184" s="1250">
        <v>1</v>
      </c>
      <c r="L184" s="1251">
        <v>12</v>
      </c>
      <c r="M184" s="1252">
        <v>31960.800000000007</v>
      </c>
      <c r="N184" s="1253">
        <v>1</v>
      </c>
      <c r="O184" s="1254">
        <v>6</v>
      </c>
      <c r="P184" s="1252">
        <v>16500.900000000001</v>
      </c>
    </row>
    <row r="185" spans="1:16">
      <c r="A185" s="1245" t="s">
        <v>2420</v>
      </c>
      <c r="B185" s="1246" t="s">
        <v>1880</v>
      </c>
      <c r="C185" s="1246" t="s">
        <v>504</v>
      </c>
      <c r="D185" s="1200" t="s">
        <v>2902</v>
      </c>
      <c r="E185" s="1247">
        <v>1200</v>
      </c>
      <c r="F185" s="1248">
        <v>80014113</v>
      </c>
      <c r="G185" s="1200" t="s">
        <v>3290</v>
      </c>
      <c r="H185" s="1191" t="s">
        <v>1592</v>
      </c>
      <c r="I185" s="1246" t="s">
        <v>618</v>
      </c>
      <c r="J185" s="1249" t="s">
        <v>619</v>
      </c>
      <c r="K185" s="1250">
        <v>1</v>
      </c>
      <c r="L185" s="1251">
        <v>1</v>
      </c>
      <c r="M185" s="1252">
        <v>953.63</v>
      </c>
      <c r="N185" s="1253">
        <v>0</v>
      </c>
      <c r="O185" s="1254">
        <v>0</v>
      </c>
      <c r="P185" s="1252">
        <v>0</v>
      </c>
    </row>
    <row r="186" spans="1:16" ht="36">
      <c r="A186" s="1245" t="s">
        <v>2420</v>
      </c>
      <c r="B186" s="1246" t="s">
        <v>1880</v>
      </c>
      <c r="C186" s="1246" t="s">
        <v>504</v>
      </c>
      <c r="D186" s="1200" t="s">
        <v>3013</v>
      </c>
      <c r="E186" s="1247">
        <v>4000</v>
      </c>
      <c r="F186" s="1248">
        <v>33739094</v>
      </c>
      <c r="G186" s="1200" t="s">
        <v>3289</v>
      </c>
      <c r="H186" s="1191" t="s">
        <v>511</v>
      </c>
      <c r="I186" s="1246" t="s">
        <v>569</v>
      </c>
      <c r="J186" s="1249" t="s">
        <v>2871</v>
      </c>
      <c r="K186" s="1250">
        <v>1</v>
      </c>
      <c r="L186" s="1251">
        <v>12</v>
      </c>
      <c r="M186" s="1252">
        <v>49960.80000000001</v>
      </c>
      <c r="N186" s="1253">
        <v>1</v>
      </c>
      <c r="O186" s="1254">
        <v>6</v>
      </c>
      <c r="P186" s="1252">
        <v>25044.9</v>
      </c>
    </row>
    <row r="187" spans="1:16" ht="24">
      <c r="A187" s="1245" t="s">
        <v>2420</v>
      </c>
      <c r="B187" s="1246" t="s">
        <v>1880</v>
      </c>
      <c r="C187" s="1246" t="s">
        <v>504</v>
      </c>
      <c r="D187" s="1200" t="s">
        <v>3288</v>
      </c>
      <c r="E187" s="1247">
        <v>5000</v>
      </c>
      <c r="F187" s="1248">
        <v>15763369</v>
      </c>
      <c r="G187" s="1200" t="s">
        <v>3287</v>
      </c>
      <c r="H187" s="1191" t="s">
        <v>1695</v>
      </c>
      <c r="I187" s="1246" t="s">
        <v>569</v>
      </c>
      <c r="J187" s="1249" t="s">
        <v>3170</v>
      </c>
      <c r="K187" s="1250">
        <v>1</v>
      </c>
      <c r="L187" s="1251">
        <v>12</v>
      </c>
      <c r="M187" s="1252">
        <v>61984.80000000001</v>
      </c>
      <c r="N187" s="1253">
        <v>1</v>
      </c>
      <c r="O187" s="1254">
        <v>6</v>
      </c>
      <c r="P187" s="1252">
        <v>31044.9</v>
      </c>
    </row>
    <row r="188" spans="1:16" ht="24">
      <c r="A188" s="1245" t="s">
        <v>2420</v>
      </c>
      <c r="B188" s="1246" t="s">
        <v>1880</v>
      </c>
      <c r="C188" s="1246" t="s">
        <v>504</v>
      </c>
      <c r="D188" s="1200" t="s">
        <v>3286</v>
      </c>
      <c r="E188" s="1247">
        <v>5000</v>
      </c>
      <c r="F188" s="1248">
        <v>42880794</v>
      </c>
      <c r="G188" s="1200" t="s">
        <v>3285</v>
      </c>
      <c r="H188" s="1191" t="s">
        <v>925</v>
      </c>
      <c r="I188" s="1246" t="s">
        <v>569</v>
      </c>
      <c r="J188" s="1249" t="s">
        <v>925</v>
      </c>
      <c r="K188" s="1250">
        <v>1</v>
      </c>
      <c r="L188" s="1251">
        <v>12</v>
      </c>
      <c r="M188" s="1252">
        <v>61984.80000000001</v>
      </c>
      <c r="N188" s="1253">
        <v>1</v>
      </c>
      <c r="O188" s="1254">
        <v>6</v>
      </c>
      <c r="P188" s="1252">
        <v>31044.9</v>
      </c>
    </row>
    <row r="189" spans="1:16">
      <c r="A189" s="1245" t="s">
        <v>2420</v>
      </c>
      <c r="B189" s="1246" t="s">
        <v>1880</v>
      </c>
      <c r="C189" s="1246" t="s">
        <v>504</v>
      </c>
      <c r="D189" s="1200" t="s">
        <v>3284</v>
      </c>
      <c r="E189" s="1247">
        <v>1200</v>
      </c>
      <c r="F189" s="1248">
        <v>41047520</v>
      </c>
      <c r="G189" s="1200" t="s">
        <v>3283</v>
      </c>
      <c r="H189" s="1191" t="s">
        <v>1592</v>
      </c>
      <c r="I189" s="1246" t="s">
        <v>618</v>
      </c>
      <c r="J189" s="1249" t="s">
        <v>619</v>
      </c>
      <c r="K189" s="1250">
        <v>1</v>
      </c>
      <c r="L189" s="1251">
        <v>7</v>
      </c>
      <c r="M189" s="1252">
        <v>9456</v>
      </c>
      <c r="N189" s="1253">
        <v>0</v>
      </c>
      <c r="O189" s="1254">
        <v>0</v>
      </c>
      <c r="P189" s="1252">
        <v>0</v>
      </c>
    </row>
    <row r="190" spans="1:16" ht="84">
      <c r="A190" s="1245" t="s">
        <v>2420</v>
      </c>
      <c r="B190" s="1246" t="s">
        <v>1880</v>
      </c>
      <c r="C190" s="1246" t="s">
        <v>504</v>
      </c>
      <c r="D190" s="1200" t="s">
        <v>3282</v>
      </c>
      <c r="E190" s="1247">
        <v>2500</v>
      </c>
      <c r="F190" s="1248">
        <v>43325595</v>
      </c>
      <c r="G190" s="1200" t="s">
        <v>3281</v>
      </c>
      <c r="H190" s="1191" t="s">
        <v>3280</v>
      </c>
      <c r="I190" s="1246" t="s">
        <v>1664</v>
      </c>
      <c r="J190" s="1249" t="s">
        <v>3280</v>
      </c>
      <c r="K190" s="1250">
        <v>1</v>
      </c>
      <c r="L190" s="1251">
        <v>12</v>
      </c>
      <c r="M190" s="1252">
        <v>31360.800000000007</v>
      </c>
      <c r="N190" s="1253">
        <v>1</v>
      </c>
      <c r="O190" s="1254">
        <v>6</v>
      </c>
      <c r="P190" s="1252">
        <v>16044.9</v>
      </c>
    </row>
    <row r="191" spans="1:16" ht="24">
      <c r="A191" s="1245" t="s">
        <v>2420</v>
      </c>
      <c r="B191" s="1246" t="s">
        <v>1880</v>
      </c>
      <c r="C191" s="1246" t="s">
        <v>504</v>
      </c>
      <c r="D191" s="1200" t="s">
        <v>3279</v>
      </c>
      <c r="E191" s="1247">
        <v>4500</v>
      </c>
      <c r="F191" s="1248">
        <v>40959243</v>
      </c>
      <c r="G191" s="1200" t="s">
        <v>3278</v>
      </c>
      <c r="H191" s="1191" t="s">
        <v>1779</v>
      </c>
      <c r="I191" s="1246" t="s">
        <v>569</v>
      </c>
      <c r="J191" s="1249" t="s">
        <v>3277</v>
      </c>
      <c r="K191" s="1250">
        <v>1</v>
      </c>
      <c r="L191" s="1251">
        <v>12</v>
      </c>
      <c r="M191" s="1252">
        <v>55984.80000000001</v>
      </c>
      <c r="N191" s="1253">
        <v>0</v>
      </c>
      <c r="O191" s="1254">
        <v>0</v>
      </c>
      <c r="P191" s="1252">
        <v>0</v>
      </c>
    </row>
    <row r="192" spans="1:16" ht="36">
      <c r="A192" s="1245" t="s">
        <v>2420</v>
      </c>
      <c r="B192" s="1246" t="s">
        <v>1880</v>
      </c>
      <c r="C192" s="1246" t="s">
        <v>504</v>
      </c>
      <c r="D192" s="1200" t="s">
        <v>3276</v>
      </c>
      <c r="E192" s="1247">
        <v>4000</v>
      </c>
      <c r="F192" s="1248">
        <v>40500770</v>
      </c>
      <c r="G192" s="1200" t="s">
        <v>3275</v>
      </c>
      <c r="H192" s="1191" t="s">
        <v>1695</v>
      </c>
      <c r="I192" s="1246" t="s">
        <v>569</v>
      </c>
      <c r="J192" s="1249" t="s">
        <v>2589</v>
      </c>
      <c r="K192" s="1250">
        <v>1</v>
      </c>
      <c r="L192" s="1251">
        <v>12</v>
      </c>
      <c r="M192" s="1252">
        <v>49960.80000000001</v>
      </c>
      <c r="N192" s="1253">
        <v>1</v>
      </c>
      <c r="O192" s="1254">
        <v>6</v>
      </c>
      <c r="P192" s="1252">
        <v>25044.9</v>
      </c>
    </row>
    <row r="193" spans="1:16" ht="36">
      <c r="A193" s="1245" t="s">
        <v>2420</v>
      </c>
      <c r="B193" s="1246" t="s">
        <v>1880</v>
      </c>
      <c r="C193" s="1246" t="s">
        <v>504</v>
      </c>
      <c r="D193" s="1200" t="s">
        <v>3013</v>
      </c>
      <c r="E193" s="1247">
        <v>4000</v>
      </c>
      <c r="F193" s="1248">
        <v>45192279</v>
      </c>
      <c r="G193" s="1200" t="s">
        <v>3274</v>
      </c>
      <c r="H193" s="1191" t="s">
        <v>511</v>
      </c>
      <c r="I193" s="1246" t="s">
        <v>569</v>
      </c>
      <c r="J193" s="1249" t="s">
        <v>2871</v>
      </c>
      <c r="K193" s="1250">
        <v>1</v>
      </c>
      <c r="L193" s="1251">
        <v>4</v>
      </c>
      <c r="M193" s="1252">
        <v>16453.599999999999</v>
      </c>
      <c r="N193" s="1253">
        <v>0</v>
      </c>
      <c r="O193" s="1254">
        <v>0</v>
      </c>
      <c r="P193" s="1252">
        <v>0</v>
      </c>
    </row>
    <row r="194" spans="1:16" ht="24">
      <c r="A194" s="1245" t="s">
        <v>2420</v>
      </c>
      <c r="B194" s="1246" t="s">
        <v>1880</v>
      </c>
      <c r="C194" s="1246" t="s">
        <v>504</v>
      </c>
      <c r="D194" s="1200" t="s">
        <v>3273</v>
      </c>
      <c r="E194" s="1247">
        <v>4000</v>
      </c>
      <c r="F194" s="1248">
        <v>43176498</v>
      </c>
      <c r="G194" s="1200" t="s">
        <v>3272</v>
      </c>
      <c r="H194" s="1191" t="s">
        <v>3271</v>
      </c>
      <c r="I194" s="1246" t="s">
        <v>569</v>
      </c>
      <c r="J194" s="1249" t="s">
        <v>3270</v>
      </c>
      <c r="K194" s="1250">
        <v>1</v>
      </c>
      <c r="L194" s="1251">
        <v>12</v>
      </c>
      <c r="M194" s="1252">
        <v>49960.80000000001</v>
      </c>
      <c r="N194" s="1253">
        <v>1</v>
      </c>
      <c r="O194" s="1254">
        <v>6</v>
      </c>
      <c r="P194" s="1252">
        <v>25044.9</v>
      </c>
    </row>
    <row r="195" spans="1:16" ht="24">
      <c r="A195" s="1245" t="s">
        <v>2420</v>
      </c>
      <c r="B195" s="1246" t="s">
        <v>1880</v>
      </c>
      <c r="C195" s="1246" t="s">
        <v>504</v>
      </c>
      <c r="D195" s="1200" t="s">
        <v>3262</v>
      </c>
      <c r="E195" s="1247">
        <v>1500</v>
      </c>
      <c r="F195" s="1248">
        <v>40225637</v>
      </c>
      <c r="G195" s="1200" t="s">
        <v>3269</v>
      </c>
      <c r="H195" s="1191" t="s">
        <v>3260</v>
      </c>
      <c r="I195" s="1246" t="s">
        <v>1664</v>
      </c>
      <c r="J195" s="1249" t="s">
        <v>3259</v>
      </c>
      <c r="K195" s="1250">
        <v>1</v>
      </c>
      <c r="L195" s="1251">
        <v>12</v>
      </c>
      <c r="M195" s="1252">
        <v>19960.800000000003</v>
      </c>
      <c r="N195" s="1253">
        <v>1</v>
      </c>
      <c r="O195" s="1254">
        <v>6</v>
      </c>
      <c r="P195" s="1252">
        <v>9810</v>
      </c>
    </row>
    <row r="196" spans="1:16" ht="24">
      <c r="A196" s="1245" t="s">
        <v>2420</v>
      </c>
      <c r="B196" s="1246" t="s">
        <v>1880</v>
      </c>
      <c r="C196" s="1246" t="s">
        <v>504</v>
      </c>
      <c r="D196" s="1200" t="s">
        <v>2849</v>
      </c>
      <c r="E196" s="1247">
        <v>1000</v>
      </c>
      <c r="F196" s="1248">
        <v>47745010</v>
      </c>
      <c r="G196" s="1200" t="s">
        <v>3268</v>
      </c>
      <c r="H196" s="1191" t="s">
        <v>1592</v>
      </c>
      <c r="I196" s="1246" t="s">
        <v>618</v>
      </c>
      <c r="J196" s="1249" t="s">
        <v>619</v>
      </c>
      <c r="K196" s="1250">
        <v>1</v>
      </c>
      <c r="L196" s="1251">
        <v>12</v>
      </c>
      <c r="M196" s="1252">
        <v>13680</v>
      </c>
      <c r="N196" s="1253">
        <v>1</v>
      </c>
      <c r="O196" s="1254">
        <v>6</v>
      </c>
      <c r="P196" s="1252">
        <v>6540</v>
      </c>
    </row>
    <row r="197" spans="1:16" ht="24">
      <c r="A197" s="1245" t="s">
        <v>2420</v>
      </c>
      <c r="B197" s="1246" t="s">
        <v>1880</v>
      </c>
      <c r="C197" s="1246" t="s">
        <v>504</v>
      </c>
      <c r="D197" s="1200" t="s">
        <v>3267</v>
      </c>
      <c r="E197" s="1247">
        <v>1000</v>
      </c>
      <c r="F197" s="1248">
        <v>40333258</v>
      </c>
      <c r="G197" s="1200" t="s">
        <v>3266</v>
      </c>
      <c r="H197" s="1191" t="s">
        <v>1592</v>
      </c>
      <c r="I197" s="1246" t="s">
        <v>618</v>
      </c>
      <c r="J197" s="1249" t="s">
        <v>619</v>
      </c>
      <c r="K197" s="1250">
        <v>1</v>
      </c>
      <c r="L197" s="1251">
        <v>12</v>
      </c>
      <c r="M197" s="1252">
        <v>13680</v>
      </c>
      <c r="N197" s="1253">
        <v>1</v>
      </c>
      <c r="O197" s="1254">
        <v>6</v>
      </c>
      <c r="P197" s="1252">
        <v>6540</v>
      </c>
    </row>
    <row r="198" spans="1:16" ht="24">
      <c r="A198" s="1245" t="s">
        <v>2420</v>
      </c>
      <c r="B198" s="1246" t="s">
        <v>1880</v>
      </c>
      <c r="C198" s="1246" t="s">
        <v>504</v>
      </c>
      <c r="D198" s="1200" t="s">
        <v>2863</v>
      </c>
      <c r="E198" s="1247">
        <v>6000</v>
      </c>
      <c r="F198" s="1248">
        <v>8353560</v>
      </c>
      <c r="G198" s="1200" t="s">
        <v>3265</v>
      </c>
      <c r="H198" s="1191" t="s">
        <v>1439</v>
      </c>
      <c r="I198" s="1246" t="s">
        <v>569</v>
      </c>
      <c r="J198" s="1249" t="s">
        <v>1439</v>
      </c>
      <c r="K198" s="1250">
        <v>1</v>
      </c>
      <c r="L198" s="1251">
        <v>12</v>
      </c>
      <c r="M198" s="1252">
        <v>73984.800000000003</v>
      </c>
      <c r="N198" s="1253">
        <v>1</v>
      </c>
      <c r="O198" s="1254">
        <v>6</v>
      </c>
      <c r="P198" s="1252">
        <v>37044.9</v>
      </c>
    </row>
    <row r="199" spans="1:16" ht="24">
      <c r="A199" s="1245" t="s">
        <v>2420</v>
      </c>
      <c r="B199" s="1246" t="s">
        <v>1880</v>
      </c>
      <c r="C199" s="1246" t="s">
        <v>504</v>
      </c>
      <c r="D199" s="1200" t="s">
        <v>3264</v>
      </c>
      <c r="E199" s="1247">
        <v>3000</v>
      </c>
      <c r="F199" s="1248">
        <v>9381746</v>
      </c>
      <c r="G199" s="1200" t="s">
        <v>3263</v>
      </c>
      <c r="H199" s="1191" t="s">
        <v>2447</v>
      </c>
      <c r="I199" s="1246" t="s">
        <v>569</v>
      </c>
      <c r="J199" s="1249" t="s">
        <v>2447</v>
      </c>
      <c r="K199" s="1250">
        <v>1</v>
      </c>
      <c r="L199" s="1251">
        <v>12</v>
      </c>
      <c r="M199" s="1252">
        <v>37960.80000000001</v>
      </c>
      <c r="N199" s="1253">
        <v>1</v>
      </c>
      <c r="O199" s="1254">
        <v>6</v>
      </c>
      <c r="P199" s="1252">
        <v>19044.900000000001</v>
      </c>
    </row>
    <row r="200" spans="1:16" ht="24">
      <c r="A200" s="1245" t="s">
        <v>2420</v>
      </c>
      <c r="B200" s="1246" t="s">
        <v>1880</v>
      </c>
      <c r="C200" s="1246" t="s">
        <v>504</v>
      </c>
      <c r="D200" s="1200" t="s">
        <v>3262</v>
      </c>
      <c r="E200" s="1247">
        <v>1500</v>
      </c>
      <c r="F200" s="1248">
        <v>9505467</v>
      </c>
      <c r="G200" s="1200" t="s">
        <v>3261</v>
      </c>
      <c r="H200" s="1191" t="s">
        <v>3260</v>
      </c>
      <c r="I200" s="1246" t="s">
        <v>1664</v>
      </c>
      <c r="J200" s="1249" t="s">
        <v>3259</v>
      </c>
      <c r="K200" s="1250">
        <v>1</v>
      </c>
      <c r="L200" s="1251">
        <v>12</v>
      </c>
      <c r="M200" s="1252">
        <v>19960.800000000003</v>
      </c>
      <c r="N200" s="1253">
        <v>1</v>
      </c>
      <c r="O200" s="1254">
        <v>6</v>
      </c>
      <c r="P200" s="1252">
        <v>9810</v>
      </c>
    </row>
    <row r="201" spans="1:16" ht="24">
      <c r="A201" s="1245" t="s">
        <v>2420</v>
      </c>
      <c r="B201" s="1246" t="s">
        <v>1880</v>
      </c>
      <c r="C201" s="1246" t="s">
        <v>504</v>
      </c>
      <c r="D201" s="1200" t="s">
        <v>2695</v>
      </c>
      <c r="E201" s="1247">
        <v>4000</v>
      </c>
      <c r="F201" s="1248">
        <v>906736</v>
      </c>
      <c r="G201" s="1200" t="s">
        <v>2693</v>
      </c>
      <c r="H201" s="1191" t="s">
        <v>2237</v>
      </c>
      <c r="I201" s="1246" t="s">
        <v>569</v>
      </c>
      <c r="J201" s="1249" t="s">
        <v>2237</v>
      </c>
      <c r="K201" s="1250">
        <v>1</v>
      </c>
      <c r="L201" s="1251">
        <v>12</v>
      </c>
      <c r="M201" s="1252">
        <v>49984.80000000001</v>
      </c>
      <c r="N201" s="1253">
        <v>0</v>
      </c>
      <c r="O201" s="1254">
        <v>0</v>
      </c>
      <c r="P201" s="1252">
        <v>0</v>
      </c>
    </row>
    <row r="202" spans="1:16">
      <c r="A202" s="1245" t="s">
        <v>2420</v>
      </c>
      <c r="B202" s="1246" t="s">
        <v>1880</v>
      </c>
      <c r="C202" s="1246" t="s">
        <v>504</v>
      </c>
      <c r="D202" s="1200" t="s">
        <v>2829</v>
      </c>
      <c r="E202" s="1247">
        <v>1000</v>
      </c>
      <c r="F202" s="1248">
        <v>25661481</v>
      </c>
      <c r="G202" s="1200" t="s">
        <v>3258</v>
      </c>
      <c r="H202" s="1191" t="s">
        <v>1592</v>
      </c>
      <c r="I202" s="1246" t="s">
        <v>618</v>
      </c>
      <c r="J202" s="1249" t="s">
        <v>619</v>
      </c>
      <c r="K202" s="1250">
        <v>1</v>
      </c>
      <c r="L202" s="1251">
        <v>12</v>
      </c>
      <c r="M202" s="1252">
        <v>13680</v>
      </c>
      <c r="N202" s="1253">
        <v>1</v>
      </c>
      <c r="O202" s="1254">
        <v>6</v>
      </c>
      <c r="P202" s="1252">
        <v>6540</v>
      </c>
    </row>
    <row r="203" spans="1:16" ht="24">
      <c r="A203" s="1245" t="s">
        <v>2420</v>
      </c>
      <c r="B203" s="1246" t="s">
        <v>1880</v>
      </c>
      <c r="C203" s="1246" t="s">
        <v>504</v>
      </c>
      <c r="D203" s="1200" t="s">
        <v>3010</v>
      </c>
      <c r="E203" s="1247">
        <v>2500</v>
      </c>
      <c r="F203" s="1248">
        <v>10684655</v>
      </c>
      <c r="G203" s="1200" t="s">
        <v>3257</v>
      </c>
      <c r="H203" s="1191" t="s">
        <v>2696</v>
      </c>
      <c r="I203" s="1246" t="s">
        <v>569</v>
      </c>
      <c r="J203" s="1249" t="s">
        <v>1513</v>
      </c>
      <c r="K203" s="1250">
        <v>1</v>
      </c>
      <c r="L203" s="1251">
        <v>3</v>
      </c>
      <c r="M203" s="1252">
        <v>8040.2000000000007</v>
      </c>
      <c r="N203" s="1253">
        <v>1</v>
      </c>
      <c r="O203" s="1254">
        <v>6</v>
      </c>
      <c r="P203" s="1252">
        <v>16500.900000000001</v>
      </c>
    </row>
    <row r="204" spans="1:16" ht="36">
      <c r="A204" s="1245" t="s">
        <v>2420</v>
      </c>
      <c r="B204" s="1246" t="s">
        <v>1880</v>
      </c>
      <c r="C204" s="1246" t="s">
        <v>504</v>
      </c>
      <c r="D204" s="1200" t="s">
        <v>3256</v>
      </c>
      <c r="E204" s="1247">
        <v>3500</v>
      </c>
      <c r="F204" s="1248">
        <v>43976516</v>
      </c>
      <c r="G204" s="1200" t="s">
        <v>3255</v>
      </c>
      <c r="H204" s="1191" t="s">
        <v>1907</v>
      </c>
      <c r="I204" s="1246" t="s">
        <v>1664</v>
      </c>
      <c r="J204" s="1249" t="s">
        <v>1907</v>
      </c>
      <c r="K204" s="1250">
        <v>1</v>
      </c>
      <c r="L204" s="1251">
        <v>12</v>
      </c>
      <c r="M204" s="1252">
        <v>43984.80000000001</v>
      </c>
      <c r="N204" s="1253">
        <v>1</v>
      </c>
      <c r="O204" s="1254">
        <v>5</v>
      </c>
      <c r="P204" s="1252">
        <v>18032.04</v>
      </c>
    </row>
    <row r="205" spans="1:16" ht="36">
      <c r="A205" s="1245" t="s">
        <v>2420</v>
      </c>
      <c r="B205" s="1246" t="s">
        <v>1880</v>
      </c>
      <c r="C205" s="1246" t="s">
        <v>504</v>
      </c>
      <c r="D205" s="1200" t="s">
        <v>3254</v>
      </c>
      <c r="E205" s="1247">
        <v>3000</v>
      </c>
      <c r="F205" s="1248">
        <v>43109045</v>
      </c>
      <c r="G205" s="1200" t="s">
        <v>3253</v>
      </c>
      <c r="H205" s="1191" t="s">
        <v>2879</v>
      </c>
      <c r="I205" s="1246" t="s">
        <v>569</v>
      </c>
      <c r="J205" s="1249" t="s">
        <v>2879</v>
      </c>
      <c r="K205" s="1250">
        <v>1</v>
      </c>
      <c r="L205" s="1251">
        <v>11</v>
      </c>
      <c r="M205" s="1252">
        <v>32241.700000000008</v>
      </c>
      <c r="N205" s="1253">
        <v>0</v>
      </c>
      <c r="O205" s="1254">
        <v>0</v>
      </c>
      <c r="P205" s="1252">
        <v>0</v>
      </c>
    </row>
    <row r="206" spans="1:16" ht="36">
      <c r="A206" s="1245" t="s">
        <v>2420</v>
      </c>
      <c r="B206" s="1246" t="s">
        <v>1880</v>
      </c>
      <c r="C206" s="1246" t="s">
        <v>504</v>
      </c>
      <c r="D206" s="1200" t="s">
        <v>3252</v>
      </c>
      <c r="E206" s="1247">
        <v>5000</v>
      </c>
      <c r="F206" s="1248">
        <v>43049803</v>
      </c>
      <c r="G206" s="1200" t="s">
        <v>3251</v>
      </c>
      <c r="H206" s="1191" t="s">
        <v>2237</v>
      </c>
      <c r="I206" s="1246" t="s">
        <v>569</v>
      </c>
      <c r="J206" s="1249" t="s">
        <v>2237</v>
      </c>
      <c r="K206" s="1250">
        <v>1</v>
      </c>
      <c r="L206" s="1251">
        <v>12</v>
      </c>
      <c r="M206" s="1252">
        <v>61984.80000000001</v>
      </c>
      <c r="N206" s="1253">
        <v>1</v>
      </c>
      <c r="O206" s="1254">
        <v>6</v>
      </c>
      <c r="P206" s="1252">
        <v>31044.9</v>
      </c>
    </row>
    <row r="207" spans="1:16">
      <c r="A207" s="1245" t="s">
        <v>2420</v>
      </c>
      <c r="B207" s="1246" t="s">
        <v>1880</v>
      </c>
      <c r="C207" s="1246" t="s">
        <v>504</v>
      </c>
      <c r="D207" s="1200" t="s">
        <v>2881</v>
      </c>
      <c r="E207" s="1247">
        <v>2500</v>
      </c>
      <c r="F207" s="1248">
        <v>42744790</v>
      </c>
      <c r="G207" s="1200" t="s">
        <v>3250</v>
      </c>
      <c r="H207" s="1191" t="s">
        <v>3249</v>
      </c>
      <c r="I207" s="1246" t="s">
        <v>569</v>
      </c>
      <c r="J207" s="1249" t="s">
        <v>2879</v>
      </c>
      <c r="K207" s="1250">
        <v>1</v>
      </c>
      <c r="L207" s="1251">
        <v>12</v>
      </c>
      <c r="M207" s="1252">
        <v>31960.800000000007</v>
      </c>
      <c r="N207" s="1253">
        <v>1</v>
      </c>
      <c r="O207" s="1254">
        <v>6</v>
      </c>
      <c r="P207" s="1252">
        <v>16044.9</v>
      </c>
    </row>
    <row r="208" spans="1:16" ht="24">
      <c r="A208" s="1245" t="s">
        <v>2420</v>
      </c>
      <c r="B208" s="1246" t="s">
        <v>1880</v>
      </c>
      <c r="C208" s="1246" t="s">
        <v>504</v>
      </c>
      <c r="D208" s="1200" t="s">
        <v>3248</v>
      </c>
      <c r="E208" s="1247">
        <v>4500</v>
      </c>
      <c r="F208" s="1248">
        <v>7257796</v>
      </c>
      <c r="G208" s="1200" t="s">
        <v>3247</v>
      </c>
      <c r="H208" s="1191" t="s">
        <v>1695</v>
      </c>
      <c r="I208" s="1246" t="s">
        <v>569</v>
      </c>
      <c r="J208" s="1249" t="s">
        <v>3200</v>
      </c>
      <c r="K208" s="1250">
        <v>1</v>
      </c>
      <c r="L208" s="1251">
        <v>12</v>
      </c>
      <c r="M208" s="1252">
        <v>55960.80000000001</v>
      </c>
      <c r="N208" s="1253">
        <v>1</v>
      </c>
      <c r="O208" s="1254">
        <v>6</v>
      </c>
      <c r="P208" s="1252">
        <v>28044.9</v>
      </c>
    </row>
    <row r="209" spans="1:16" ht="24">
      <c r="A209" s="1245" t="s">
        <v>2420</v>
      </c>
      <c r="B209" s="1246" t="s">
        <v>1880</v>
      </c>
      <c r="C209" s="1246" t="s">
        <v>504</v>
      </c>
      <c r="D209" s="1200" t="s">
        <v>3147</v>
      </c>
      <c r="E209" s="1247">
        <v>1000</v>
      </c>
      <c r="F209" s="1248">
        <v>44037539</v>
      </c>
      <c r="G209" s="1200" t="s">
        <v>3246</v>
      </c>
      <c r="H209" s="1191" t="s">
        <v>1592</v>
      </c>
      <c r="I209" s="1246" t="s">
        <v>618</v>
      </c>
      <c r="J209" s="1249" t="s">
        <v>619</v>
      </c>
      <c r="K209" s="1250">
        <v>1</v>
      </c>
      <c r="L209" s="1251">
        <v>12</v>
      </c>
      <c r="M209" s="1252">
        <v>13680</v>
      </c>
      <c r="N209" s="1253">
        <v>1</v>
      </c>
      <c r="O209" s="1254">
        <v>6</v>
      </c>
      <c r="P209" s="1252">
        <v>6540</v>
      </c>
    </row>
    <row r="210" spans="1:16" ht="24">
      <c r="A210" s="1245" t="s">
        <v>2420</v>
      </c>
      <c r="B210" s="1246" t="s">
        <v>1880</v>
      </c>
      <c r="C210" s="1246" t="s">
        <v>504</v>
      </c>
      <c r="D210" s="1200" t="s">
        <v>3245</v>
      </c>
      <c r="E210" s="1247">
        <v>3500</v>
      </c>
      <c r="F210" s="1248">
        <v>8153863</v>
      </c>
      <c r="G210" s="1200" t="s">
        <v>3244</v>
      </c>
      <c r="H210" s="1191" t="s">
        <v>503</v>
      </c>
      <c r="I210" s="1246" t="s">
        <v>1664</v>
      </c>
      <c r="J210" s="1249" t="s">
        <v>660</v>
      </c>
      <c r="K210" s="1250">
        <v>1</v>
      </c>
      <c r="L210" s="1251">
        <v>12</v>
      </c>
      <c r="M210" s="1252">
        <v>45622.200000000012</v>
      </c>
      <c r="N210" s="1253">
        <v>1</v>
      </c>
      <c r="O210" s="1254">
        <v>6</v>
      </c>
      <c r="P210" s="1252">
        <v>22044.9</v>
      </c>
    </row>
    <row r="211" spans="1:16">
      <c r="A211" s="1245" t="s">
        <v>2420</v>
      </c>
      <c r="B211" s="1246" t="s">
        <v>1880</v>
      </c>
      <c r="C211" s="1246" t="s">
        <v>504</v>
      </c>
      <c r="D211" s="1200" t="s">
        <v>3243</v>
      </c>
      <c r="E211" s="1247">
        <v>930</v>
      </c>
      <c r="F211" s="1248">
        <v>44921687</v>
      </c>
      <c r="G211" s="1200" t="s">
        <v>3242</v>
      </c>
      <c r="H211" s="1191" t="s">
        <v>1592</v>
      </c>
      <c r="I211" s="1246" t="s">
        <v>618</v>
      </c>
      <c r="J211" s="1249" t="s">
        <v>619</v>
      </c>
      <c r="K211" s="1250">
        <v>1</v>
      </c>
      <c r="L211" s="1251">
        <v>4</v>
      </c>
      <c r="M211" s="1252">
        <v>3357.3</v>
      </c>
      <c r="N211" s="1253">
        <v>0</v>
      </c>
      <c r="O211" s="1254">
        <v>0</v>
      </c>
      <c r="P211" s="1252">
        <v>0</v>
      </c>
    </row>
    <row r="212" spans="1:16" ht="108">
      <c r="A212" s="1245" t="s">
        <v>2420</v>
      </c>
      <c r="B212" s="1246" t="s">
        <v>1880</v>
      </c>
      <c r="C212" s="1246" t="s">
        <v>504</v>
      </c>
      <c r="D212" s="1200" t="s">
        <v>3241</v>
      </c>
      <c r="E212" s="1247">
        <v>5000</v>
      </c>
      <c r="F212" s="1248">
        <v>7569144</v>
      </c>
      <c r="G212" s="1200" t="s">
        <v>3240</v>
      </c>
      <c r="H212" s="1191" t="s">
        <v>925</v>
      </c>
      <c r="I212" s="1246" t="s">
        <v>569</v>
      </c>
      <c r="J212" s="1249" t="s">
        <v>3239</v>
      </c>
      <c r="K212" s="1250">
        <v>1</v>
      </c>
      <c r="L212" s="1251">
        <v>12</v>
      </c>
      <c r="M212" s="1252">
        <v>61360.80000000001</v>
      </c>
      <c r="N212" s="1253">
        <v>1</v>
      </c>
      <c r="O212" s="1254">
        <v>6</v>
      </c>
      <c r="P212" s="1252">
        <v>31044.9</v>
      </c>
    </row>
    <row r="213" spans="1:16">
      <c r="A213" s="1245" t="s">
        <v>2420</v>
      </c>
      <c r="B213" s="1246" t="s">
        <v>1880</v>
      </c>
      <c r="C213" s="1246" t="s">
        <v>504</v>
      </c>
      <c r="D213" s="1200" t="s">
        <v>3046</v>
      </c>
      <c r="E213" s="1247">
        <v>4500</v>
      </c>
      <c r="F213" s="1248">
        <v>41388966</v>
      </c>
      <c r="G213" s="1200" t="s">
        <v>3238</v>
      </c>
      <c r="H213" s="1191" t="s">
        <v>511</v>
      </c>
      <c r="I213" s="1246" t="s">
        <v>569</v>
      </c>
      <c r="J213" s="1249" t="s">
        <v>2871</v>
      </c>
      <c r="K213" s="1250">
        <v>1</v>
      </c>
      <c r="L213" s="1251">
        <v>12</v>
      </c>
      <c r="M213" s="1252">
        <v>57144.060000000012</v>
      </c>
      <c r="N213" s="1253">
        <v>1</v>
      </c>
      <c r="O213" s="1254">
        <v>6</v>
      </c>
      <c r="P213" s="1252">
        <v>28044.9</v>
      </c>
    </row>
    <row r="214" spans="1:16">
      <c r="A214" s="1245" t="s">
        <v>2420</v>
      </c>
      <c r="B214" s="1246" t="s">
        <v>1880</v>
      </c>
      <c r="C214" s="1246" t="s">
        <v>504</v>
      </c>
      <c r="D214" s="1200" t="s">
        <v>2917</v>
      </c>
      <c r="E214" s="1247">
        <v>5000</v>
      </c>
      <c r="F214" s="1248">
        <v>41878695</v>
      </c>
      <c r="G214" s="1200" t="s">
        <v>3237</v>
      </c>
      <c r="H214" s="1191" t="s">
        <v>511</v>
      </c>
      <c r="I214" s="1246" t="s">
        <v>569</v>
      </c>
      <c r="J214" s="1249" t="s">
        <v>2871</v>
      </c>
      <c r="K214" s="1250">
        <v>1</v>
      </c>
      <c r="L214" s="1251">
        <v>12</v>
      </c>
      <c r="M214" s="1252">
        <v>61984.80000000001</v>
      </c>
      <c r="N214" s="1253">
        <v>1</v>
      </c>
      <c r="O214" s="1254">
        <v>3</v>
      </c>
      <c r="P214" s="1252">
        <v>10932</v>
      </c>
    </row>
    <row r="215" spans="1:16" ht="24">
      <c r="A215" s="1245" t="s">
        <v>2420</v>
      </c>
      <c r="B215" s="1246" t="s">
        <v>1880</v>
      </c>
      <c r="C215" s="1246" t="s">
        <v>504</v>
      </c>
      <c r="D215" s="1200" t="s">
        <v>3236</v>
      </c>
      <c r="E215" s="1247">
        <v>7027</v>
      </c>
      <c r="F215" s="1248">
        <v>43322213</v>
      </c>
      <c r="G215" s="1200" t="s">
        <v>3235</v>
      </c>
      <c r="H215" s="1191" t="s">
        <v>2447</v>
      </c>
      <c r="I215" s="1246" t="s">
        <v>569</v>
      </c>
      <c r="J215" s="1249" t="s">
        <v>2447</v>
      </c>
      <c r="K215" s="1250">
        <v>1</v>
      </c>
      <c r="L215" s="1251">
        <v>12</v>
      </c>
      <c r="M215" s="1252">
        <v>85684.799999999988</v>
      </c>
      <c r="N215" s="1253">
        <v>1</v>
      </c>
      <c r="O215" s="1254">
        <v>6</v>
      </c>
      <c r="P215" s="1252">
        <v>43206.9</v>
      </c>
    </row>
    <row r="216" spans="1:16" ht="24">
      <c r="A216" s="1245" t="s">
        <v>2420</v>
      </c>
      <c r="B216" s="1246" t="s">
        <v>1880</v>
      </c>
      <c r="C216" s="1246" t="s">
        <v>504</v>
      </c>
      <c r="D216" s="1200" t="s">
        <v>2881</v>
      </c>
      <c r="E216" s="1247">
        <v>2500</v>
      </c>
      <c r="F216" s="1248">
        <v>41106629</v>
      </c>
      <c r="G216" s="1200" t="s">
        <v>3234</v>
      </c>
      <c r="H216" s="1191" t="s">
        <v>2879</v>
      </c>
      <c r="I216" s="1246" t="s">
        <v>569</v>
      </c>
      <c r="J216" s="1249" t="s">
        <v>2878</v>
      </c>
      <c r="K216" s="1250">
        <v>1</v>
      </c>
      <c r="L216" s="1251">
        <v>12</v>
      </c>
      <c r="M216" s="1252">
        <v>31960.800000000007</v>
      </c>
      <c r="N216" s="1253">
        <v>1</v>
      </c>
      <c r="O216" s="1254">
        <v>6</v>
      </c>
      <c r="P216" s="1252">
        <v>16044.9</v>
      </c>
    </row>
    <row r="217" spans="1:16" ht="48">
      <c r="A217" s="1245" t="s">
        <v>2420</v>
      </c>
      <c r="B217" s="1246" t="s">
        <v>1880</v>
      </c>
      <c r="C217" s="1246" t="s">
        <v>504</v>
      </c>
      <c r="D217" s="1200" t="s">
        <v>3233</v>
      </c>
      <c r="E217" s="1247">
        <v>1200</v>
      </c>
      <c r="F217" s="1248">
        <v>43244620</v>
      </c>
      <c r="G217" s="1200" t="s">
        <v>3232</v>
      </c>
      <c r="H217" s="1191" t="s">
        <v>1592</v>
      </c>
      <c r="I217" s="1246" t="s">
        <v>618</v>
      </c>
      <c r="J217" s="1249" t="s">
        <v>619</v>
      </c>
      <c r="K217" s="1250">
        <v>1</v>
      </c>
      <c r="L217" s="1251">
        <v>12</v>
      </c>
      <c r="M217" s="1252">
        <v>16296</v>
      </c>
      <c r="N217" s="1253">
        <v>1</v>
      </c>
      <c r="O217" s="1254">
        <v>6</v>
      </c>
      <c r="P217" s="1252">
        <v>7848</v>
      </c>
    </row>
    <row r="218" spans="1:16">
      <c r="A218" s="1245" t="s">
        <v>2420</v>
      </c>
      <c r="B218" s="1246" t="s">
        <v>1880</v>
      </c>
      <c r="C218" s="1246" t="s">
        <v>504</v>
      </c>
      <c r="D218" s="1200" t="s">
        <v>3231</v>
      </c>
      <c r="E218" s="1247">
        <v>1200</v>
      </c>
      <c r="F218" s="1248">
        <v>5416961</v>
      </c>
      <c r="G218" s="1200" t="s">
        <v>3230</v>
      </c>
      <c r="H218" s="1191" t="s">
        <v>1592</v>
      </c>
      <c r="I218" s="1246" t="s">
        <v>618</v>
      </c>
      <c r="J218" s="1249" t="s">
        <v>619</v>
      </c>
      <c r="K218" s="1250">
        <v>1</v>
      </c>
      <c r="L218" s="1251">
        <v>12</v>
      </c>
      <c r="M218" s="1252">
        <v>16296</v>
      </c>
      <c r="N218" s="1253">
        <v>1</v>
      </c>
      <c r="O218" s="1254">
        <v>6</v>
      </c>
      <c r="P218" s="1252">
        <v>7848</v>
      </c>
    </row>
    <row r="219" spans="1:16" ht="24">
      <c r="A219" s="1245" t="s">
        <v>2420</v>
      </c>
      <c r="B219" s="1246" t="s">
        <v>1880</v>
      </c>
      <c r="C219" s="1246" t="s">
        <v>504</v>
      </c>
      <c r="D219" s="1200" t="s">
        <v>3229</v>
      </c>
      <c r="E219" s="1247">
        <v>6601</v>
      </c>
      <c r="F219" s="1248">
        <v>43449307</v>
      </c>
      <c r="G219" s="1200" t="s">
        <v>3228</v>
      </c>
      <c r="H219" s="1191" t="s">
        <v>1695</v>
      </c>
      <c r="I219" s="1246" t="s">
        <v>569</v>
      </c>
      <c r="J219" s="1249" t="s">
        <v>3170</v>
      </c>
      <c r="K219" s="1250">
        <v>1</v>
      </c>
      <c r="L219" s="1251">
        <v>7</v>
      </c>
      <c r="M219" s="1252">
        <v>47324.800000000003</v>
      </c>
      <c r="N219" s="1253">
        <v>0</v>
      </c>
      <c r="O219" s="1254">
        <v>0</v>
      </c>
      <c r="P219" s="1252">
        <v>0</v>
      </c>
    </row>
    <row r="220" spans="1:16" ht="24">
      <c r="A220" s="1245" t="s">
        <v>2420</v>
      </c>
      <c r="B220" s="1246" t="s">
        <v>1880</v>
      </c>
      <c r="C220" s="1246" t="s">
        <v>504</v>
      </c>
      <c r="D220" s="1200" t="s">
        <v>3227</v>
      </c>
      <c r="E220" s="1247">
        <v>5920</v>
      </c>
      <c r="F220" s="1248">
        <v>43272290</v>
      </c>
      <c r="G220" s="1200" t="s">
        <v>3226</v>
      </c>
      <c r="H220" s="1191" t="s">
        <v>2447</v>
      </c>
      <c r="I220" s="1246" t="s">
        <v>569</v>
      </c>
      <c r="J220" s="1249" t="s">
        <v>2489</v>
      </c>
      <c r="K220" s="1250">
        <v>1</v>
      </c>
      <c r="L220" s="1251">
        <v>12</v>
      </c>
      <c r="M220" s="1252">
        <v>72400.800000000003</v>
      </c>
      <c r="N220" s="1253">
        <v>1</v>
      </c>
      <c r="O220" s="1254">
        <v>6</v>
      </c>
      <c r="P220" s="1252">
        <v>36564.9</v>
      </c>
    </row>
    <row r="221" spans="1:16" ht="60">
      <c r="A221" s="1245" t="s">
        <v>2420</v>
      </c>
      <c r="B221" s="1246" t="s">
        <v>1880</v>
      </c>
      <c r="C221" s="1246" t="s">
        <v>504</v>
      </c>
      <c r="D221" s="1200" t="s">
        <v>3225</v>
      </c>
      <c r="E221" s="1247">
        <v>5920</v>
      </c>
      <c r="F221" s="1248">
        <v>25712212</v>
      </c>
      <c r="G221" s="1200" t="s">
        <v>3224</v>
      </c>
      <c r="H221" s="1191" t="s">
        <v>2447</v>
      </c>
      <c r="I221" s="1246" t="s">
        <v>569</v>
      </c>
      <c r="J221" s="1249" t="s">
        <v>2495</v>
      </c>
      <c r="K221" s="1250">
        <v>1</v>
      </c>
      <c r="L221" s="1251">
        <v>12</v>
      </c>
      <c r="M221" s="1252">
        <v>72400.800000000003</v>
      </c>
      <c r="N221" s="1253">
        <v>1</v>
      </c>
      <c r="O221" s="1254">
        <v>6</v>
      </c>
      <c r="P221" s="1252">
        <v>36564.9</v>
      </c>
    </row>
    <row r="222" spans="1:16">
      <c r="A222" s="1245" t="s">
        <v>2420</v>
      </c>
      <c r="B222" s="1246" t="s">
        <v>1880</v>
      </c>
      <c r="C222" s="1246" t="s">
        <v>504</v>
      </c>
      <c r="D222" s="1200" t="s">
        <v>3223</v>
      </c>
      <c r="E222" s="1247">
        <v>5000</v>
      </c>
      <c r="F222" s="1248" t="s">
        <v>3222</v>
      </c>
      <c r="G222" s="1200" t="s">
        <v>3221</v>
      </c>
      <c r="H222" s="1191" t="s">
        <v>3220</v>
      </c>
      <c r="I222" s="1246" t="s">
        <v>569</v>
      </c>
      <c r="J222" s="1249" t="s">
        <v>3219</v>
      </c>
      <c r="K222" s="1250">
        <v>1</v>
      </c>
      <c r="L222" s="1251">
        <v>12</v>
      </c>
      <c r="M222" s="1252">
        <v>61984.80000000001</v>
      </c>
      <c r="N222" s="1253">
        <v>1</v>
      </c>
      <c r="O222" s="1254">
        <v>6</v>
      </c>
      <c r="P222" s="1252">
        <v>31044.9</v>
      </c>
    </row>
    <row r="223" spans="1:16" ht="36">
      <c r="A223" s="1245" t="s">
        <v>2420</v>
      </c>
      <c r="B223" s="1246" t="s">
        <v>1880</v>
      </c>
      <c r="C223" s="1246" t="s">
        <v>504</v>
      </c>
      <c r="D223" s="1200" t="s">
        <v>3218</v>
      </c>
      <c r="E223" s="1247">
        <v>4000</v>
      </c>
      <c r="F223" s="1248">
        <v>44303861</v>
      </c>
      <c r="G223" s="1200" t="s">
        <v>3217</v>
      </c>
      <c r="H223" s="1191" t="s">
        <v>1695</v>
      </c>
      <c r="I223" s="1246" t="s">
        <v>569</v>
      </c>
      <c r="J223" s="1249" t="s">
        <v>1695</v>
      </c>
      <c r="K223" s="1250">
        <v>1</v>
      </c>
      <c r="L223" s="1251">
        <v>12</v>
      </c>
      <c r="M223" s="1252">
        <v>49984.80000000001</v>
      </c>
      <c r="N223" s="1253">
        <v>1</v>
      </c>
      <c r="O223" s="1254">
        <v>6</v>
      </c>
      <c r="P223" s="1252">
        <v>25044.9</v>
      </c>
    </row>
    <row r="224" spans="1:16" ht="60">
      <c r="A224" s="1245" t="s">
        <v>2420</v>
      </c>
      <c r="B224" s="1246" t="s">
        <v>1880</v>
      </c>
      <c r="C224" s="1246" t="s">
        <v>504</v>
      </c>
      <c r="D224" s="1200" t="s">
        <v>3216</v>
      </c>
      <c r="E224" s="1247">
        <v>5400</v>
      </c>
      <c r="F224" s="1248">
        <v>6129385</v>
      </c>
      <c r="G224" s="1200" t="s">
        <v>3215</v>
      </c>
      <c r="H224" s="1191" t="s">
        <v>1695</v>
      </c>
      <c r="I224" s="1246" t="s">
        <v>569</v>
      </c>
      <c r="J224" s="1249" t="s">
        <v>2489</v>
      </c>
      <c r="K224" s="1250">
        <v>1</v>
      </c>
      <c r="L224" s="1251">
        <v>12</v>
      </c>
      <c r="M224" s="1252">
        <v>66160.800000000003</v>
      </c>
      <c r="N224" s="1253">
        <v>1</v>
      </c>
      <c r="O224" s="1254">
        <v>6</v>
      </c>
      <c r="P224" s="1252">
        <v>33444.9</v>
      </c>
    </row>
    <row r="225" spans="1:16" ht="48">
      <c r="A225" s="1245" t="s">
        <v>2420</v>
      </c>
      <c r="B225" s="1246" t="s">
        <v>1880</v>
      </c>
      <c r="C225" s="1246" t="s">
        <v>504</v>
      </c>
      <c r="D225" s="1200" t="s">
        <v>3214</v>
      </c>
      <c r="E225" s="1247">
        <v>5400</v>
      </c>
      <c r="F225" s="1248">
        <v>7871781</v>
      </c>
      <c r="G225" s="1200" t="s">
        <v>3213</v>
      </c>
      <c r="H225" s="1191" t="s">
        <v>1695</v>
      </c>
      <c r="I225" s="1246" t="s">
        <v>569</v>
      </c>
      <c r="J225" s="1249" t="s">
        <v>2489</v>
      </c>
      <c r="K225" s="1250">
        <v>1</v>
      </c>
      <c r="L225" s="1251">
        <v>12</v>
      </c>
      <c r="M225" s="1252">
        <v>66160.800000000003</v>
      </c>
      <c r="N225" s="1253">
        <v>1</v>
      </c>
      <c r="O225" s="1254">
        <v>6</v>
      </c>
      <c r="P225" s="1252">
        <v>33444.9</v>
      </c>
    </row>
    <row r="226" spans="1:16" ht="60">
      <c r="A226" s="1245" t="s">
        <v>2420</v>
      </c>
      <c r="B226" s="1246" t="s">
        <v>1880</v>
      </c>
      <c r="C226" s="1246" t="s">
        <v>504</v>
      </c>
      <c r="D226" s="1200" t="s">
        <v>3212</v>
      </c>
      <c r="E226" s="1247">
        <v>5400</v>
      </c>
      <c r="F226" s="1248">
        <v>7615165</v>
      </c>
      <c r="G226" s="1200" t="s">
        <v>3211</v>
      </c>
      <c r="H226" s="1191" t="s">
        <v>1695</v>
      </c>
      <c r="I226" s="1246" t="s">
        <v>569</v>
      </c>
      <c r="J226" s="1249" t="s">
        <v>2489</v>
      </c>
      <c r="K226" s="1250">
        <v>1</v>
      </c>
      <c r="L226" s="1251">
        <v>12</v>
      </c>
      <c r="M226" s="1252">
        <v>66160.800000000003</v>
      </c>
      <c r="N226" s="1253">
        <v>1</v>
      </c>
      <c r="O226" s="1254">
        <v>6</v>
      </c>
      <c r="P226" s="1252">
        <v>33444.9</v>
      </c>
    </row>
    <row r="227" spans="1:16" ht="96">
      <c r="A227" s="1245" t="s">
        <v>2420</v>
      </c>
      <c r="B227" s="1246" t="s">
        <v>1880</v>
      </c>
      <c r="C227" s="1246" t="s">
        <v>504</v>
      </c>
      <c r="D227" s="1200" t="s">
        <v>3210</v>
      </c>
      <c r="E227" s="1247">
        <v>5500</v>
      </c>
      <c r="F227" s="1248">
        <v>40407997</v>
      </c>
      <c r="G227" s="1200" t="s">
        <v>3209</v>
      </c>
      <c r="H227" s="1191" t="s">
        <v>2447</v>
      </c>
      <c r="I227" s="1246" t="s">
        <v>569</v>
      </c>
      <c r="J227" s="1249" t="s">
        <v>2618</v>
      </c>
      <c r="K227" s="1250">
        <v>1</v>
      </c>
      <c r="L227" s="1251">
        <v>12</v>
      </c>
      <c r="M227" s="1252">
        <v>67360.800000000003</v>
      </c>
      <c r="N227" s="1253">
        <v>1</v>
      </c>
      <c r="O227" s="1254">
        <v>6</v>
      </c>
      <c r="P227" s="1252">
        <v>34044.9</v>
      </c>
    </row>
    <row r="228" spans="1:16" ht="24">
      <c r="A228" s="1245" t="s">
        <v>2420</v>
      </c>
      <c r="B228" s="1246" t="s">
        <v>1880</v>
      </c>
      <c r="C228" s="1246" t="s">
        <v>504</v>
      </c>
      <c r="D228" s="1200" t="s">
        <v>3208</v>
      </c>
      <c r="E228" s="1247">
        <v>3000</v>
      </c>
      <c r="F228" s="1248">
        <v>43644935</v>
      </c>
      <c r="G228" s="1200" t="s">
        <v>3207</v>
      </c>
      <c r="H228" s="1191" t="s">
        <v>1417</v>
      </c>
      <c r="I228" s="1246" t="s">
        <v>569</v>
      </c>
      <c r="J228" s="1249" t="s">
        <v>3206</v>
      </c>
      <c r="K228" s="1250">
        <v>1</v>
      </c>
      <c r="L228" s="1251">
        <v>12</v>
      </c>
      <c r="M228" s="1252">
        <v>37960.80000000001</v>
      </c>
      <c r="N228" s="1253">
        <v>1</v>
      </c>
      <c r="O228" s="1254">
        <v>6</v>
      </c>
      <c r="P228" s="1252">
        <v>19044.900000000001</v>
      </c>
    </row>
    <row r="229" spans="1:16" ht="24">
      <c r="A229" s="1245" t="s">
        <v>2420</v>
      </c>
      <c r="B229" s="1246" t="s">
        <v>1880</v>
      </c>
      <c r="C229" s="1246" t="s">
        <v>504</v>
      </c>
      <c r="D229" s="1200" t="s">
        <v>3205</v>
      </c>
      <c r="E229" s="1247">
        <v>6600</v>
      </c>
      <c r="F229" s="1248">
        <v>25542781</v>
      </c>
      <c r="G229" s="1200" t="s">
        <v>3204</v>
      </c>
      <c r="H229" s="1191" t="s">
        <v>925</v>
      </c>
      <c r="I229" s="1246" t="s">
        <v>569</v>
      </c>
      <c r="J229" s="1249" t="s">
        <v>925</v>
      </c>
      <c r="K229" s="1250">
        <v>1</v>
      </c>
      <c r="L229" s="1251">
        <v>1</v>
      </c>
      <c r="M229" s="1252">
        <v>2863.4</v>
      </c>
      <c r="N229" s="1253">
        <v>0</v>
      </c>
      <c r="O229" s="1254">
        <v>0</v>
      </c>
      <c r="P229" s="1252">
        <v>0</v>
      </c>
    </row>
    <row r="230" spans="1:16" ht="48">
      <c r="A230" s="1245" t="s">
        <v>2420</v>
      </c>
      <c r="B230" s="1246" t="s">
        <v>1880</v>
      </c>
      <c r="C230" s="1246" t="s">
        <v>504</v>
      </c>
      <c r="D230" s="1200" t="s">
        <v>3203</v>
      </c>
      <c r="E230" s="1247">
        <v>6400</v>
      </c>
      <c r="F230" s="1248">
        <v>42845388</v>
      </c>
      <c r="G230" s="1200" t="s">
        <v>3202</v>
      </c>
      <c r="H230" s="1191" t="s">
        <v>1695</v>
      </c>
      <c r="I230" s="1246" t="s">
        <v>569</v>
      </c>
      <c r="J230" s="1249" t="s">
        <v>2489</v>
      </c>
      <c r="K230" s="1250">
        <v>1</v>
      </c>
      <c r="L230" s="1251">
        <v>1</v>
      </c>
      <c r="M230" s="1252">
        <v>6513.4</v>
      </c>
      <c r="N230" s="1253">
        <v>0</v>
      </c>
      <c r="O230" s="1254">
        <v>0</v>
      </c>
      <c r="P230" s="1252">
        <v>0</v>
      </c>
    </row>
    <row r="231" spans="1:16" ht="36">
      <c r="A231" s="1245" t="s">
        <v>2420</v>
      </c>
      <c r="B231" s="1246" t="s">
        <v>1880</v>
      </c>
      <c r="C231" s="1246" t="s">
        <v>504</v>
      </c>
      <c r="D231" s="1200" t="s">
        <v>3018</v>
      </c>
      <c r="E231" s="1247">
        <v>4000</v>
      </c>
      <c r="F231" s="1248">
        <v>41394207</v>
      </c>
      <c r="G231" s="1200" t="s">
        <v>3201</v>
      </c>
      <c r="H231" s="1191" t="s">
        <v>2447</v>
      </c>
      <c r="I231" s="1246" t="s">
        <v>569</v>
      </c>
      <c r="J231" s="1249" t="s">
        <v>3200</v>
      </c>
      <c r="K231" s="1250">
        <v>1</v>
      </c>
      <c r="L231" s="1251">
        <v>5</v>
      </c>
      <c r="M231" s="1252">
        <v>20567</v>
      </c>
      <c r="N231" s="1253">
        <v>0</v>
      </c>
      <c r="O231" s="1254">
        <v>0</v>
      </c>
      <c r="P231" s="1252">
        <v>0</v>
      </c>
    </row>
    <row r="232" spans="1:16" ht="120">
      <c r="A232" s="1245" t="s">
        <v>2420</v>
      </c>
      <c r="B232" s="1246" t="s">
        <v>1880</v>
      </c>
      <c r="C232" s="1246" t="s">
        <v>504</v>
      </c>
      <c r="D232" s="1200" t="s">
        <v>3199</v>
      </c>
      <c r="E232" s="1247">
        <v>4500</v>
      </c>
      <c r="F232" s="1248">
        <v>18090425</v>
      </c>
      <c r="G232" s="1200" t="s">
        <v>3198</v>
      </c>
      <c r="H232" s="1191" t="s">
        <v>2447</v>
      </c>
      <c r="I232" s="1246" t="s">
        <v>569</v>
      </c>
      <c r="J232" s="1249" t="s">
        <v>2618</v>
      </c>
      <c r="K232" s="1250">
        <v>1</v>
      </c>
      <c r="L232" s="1251">
        <v>12</v>
      </c>
      <c r="M232" s="1252">
        <v>55360.80000000001</v>
      </c>
      <c r="N232" s="1253">
        <v>1</v>
      </c>
      <c r="O232" s="1254">
        <v>6</v>
      </c>
      <c r="P232" s="1252">
        <v>28044.9</v>
      </c>
    </row>
    <row r="233" spans="1:16" ht="72">
      <c r="A233" s="1245" t="s">
        <v>2420</v>
      </c>
      <c r="B233" s="1246" t="s">
        <v>1880</v>
      </c>
      <c r="C233" s="1246" t="s">
        <v>504</v>
      </c>
      <c r="D233" s="1200" t="s">
        <v>3197</v>
      </c>
      <c r="E233" s="1247">
        <v>5000</v>
      </c>
      <c r="F233" s="1248" t="s">
        <v>3196</v>
      </c>
      <c r="G233" s="1200" t="s">
        <v>3195</v>
      </c>
      <c r="H233" s="1191" t="s">
        <v>1695</v>
      </c>
      <c r="I233" s="1246" t="s">
        <v>569</v>
      </c>
      <c r="J233" s="1249" t="s">
        <v>3194</v>
      </c>
      <c r="K233" s="1250">
        <v>1</v>
      </c>
      <c r="L233" s="1251">
        <v>12</v>
      </c>
      <c r="M233" s="1252">
        <v>61360.80000000001</v>
      </c>
      <c r="N233" s="1253">
        <v>1</v>
      </c>
      <c r="O233" s="1254">
        <v>6</v>
      </c>
      <c r="P233" s="1252">
        <v>31044.9</v>
      </c>
    </row>
    <row r="234" spans="1:16" ht="48">
      <c r="A234" s="1245" t="s">
        <v>2420</v>
      </c>
      <c r="B234" s="1246" t="s">
        <v>1880</v>
      </c>
      <c r="C234" s="1246" t="s">
        <v>504</v>
      </c>
      <c r="D234" s="1200" t="s">
        <v>3193</v>
      </c>
      <c r="E234" s="1247">
        <v>4500</v>
      </c>
      <c r="F234" s="1248">
        <v>6272100</v>
      </c>
      <c r="G234" s="1200" t="s">
        <v>3192</v>
      </c>
      <c r="H234" s="1191" t="s">
        <v>659</v>
      </c>
      <c r="I234" s="1246" t="s">
        <v>569</v>
      </c>
      <c r="J234" s="1249" t="s">
        <v>3191</v>
      </c>
      <c r="K234" s="1250">
        <v>1</v>
      </c>
      <c r="L234" s="1251">
        <v>12</v>
      </c>
      <c r="M234" s="1252">
        <v>55360.80000000001</v>
      </c>
      <c r="N234" s="1253">
        <v>1</v>
      </c>
      <c r="O234" s="1254">
        <v>6</v>
      </c>
      <c r="P234" s="1252">
        <v>28044.9</v>
      </c>
    </row>
    <row r="235" spans="1:16" ht="24">
      <c r="A235" s="1245" t="s">
        <v>2420</v>
      </c>
      <c r="B235" s="1246" t="s">
        <v>1880</v>
      </c>
      <c r="C235" s="1246" t="s">
        <v>504</v>
      </c>
      <c r="D235" s="1200" t="s">
        <v>3155</v>
      </c>
      <c r="E235" s="1247">
        <v>1000</v>
      </c>
      <c r="F235" s="1248">
        <v>44516167</v>
      </c>
      <c r="G235" s="1200" t="s">
        <v>3190</v>
      </c>
      <c r="H235" s="1191" t="s">
        <v>1592</v>
      </c>
      <c r="I235" s="1246" t="s">
        <v>618</v>
      </c>
      <c r="J235" s="1249" t="s">
        <v>619</v>
      </c>
      <c r="K235" s="1250">
        <v>1</v>
      </c>
      <c r="L235" s="1251">
        <v>12</v>
      </c>
      <c r="M235" s="1252">
        <v>13680</v>
      </c>
      <c r="N235" s="1253">
        <v>1</v>
      </c>
      <c r="O235" s="1254">
        <v>6</v>
      </c>
      <c r="P235" s="1252">
        <v>6540</v>
      </c>
    </row>
    <row r="236" spans="1:16" ht="24">
      <c r="A236" s="1245" t="s">
        <v>2420</v>
      </c>
      <c r="B236" s="1246" t="s">
        <v>1880</v>
      </c>
      <c r="C236" s="1246" t="s">
        <v>504</v>
      </c>
      <c r="D236" s="1200" t="s">
        <v>3155</v>
      </c>
      <c r="E236" s="1247">
        <v>1000</v>
      </c>
      <c r="F236" s="1248">
        <v>10401011</v>
      </c>
      <c r="G236" s="1200" t="s">
        <v>3189</v>
      </c>
      <c r="H236" s="1191" t="s">
        <v>1592</v>
      </c>
      <c r="I236" s="1246" t="s">
        <v>618</v>
      </c>
      <c r="J236" s="1249" t="s">
        <v>619</v>
      </c>
      <c r="K236" s="1250">
        <v>1</v>
      </c>
      <c r="L236" s="1251">
        <v>12</v>
      </c>
      <c r="M236" s="1252">
        <v>13680</v>
      </c>
      <c r="N236" s="1253">
        <v>1</v>
      </c>
      <c r="O236" s="1254">
        <v>6</v>
      </c>
      <c r="P236" s="1252">
        <v>6540</v>
      </c>
    </row>
    <row r="237" spans="1:16" ht="24">
      <c r="A237" s="1245" t="s">
        <v>2420</v>
      </c>
      <c r="B237" s="1246" t="s">
        <v>1880</v>
      </c>
      <c r="C237" s="1246" t="s">
        <v>504</v>
      </c>
      <c r="D237" s="1200" t="s">
        <v>3188</v>
      </c>
      <c r="E237" s="1247">
        <v>930</v>
      </c>
      <c r="F237" s="1248">
        <v>19915444</v>
      </c>
      <c r="G237" s="1200" t="s">
        <v>3187</v>
      </c>
      <c r="H237" s="1191" t="s">
        <v>1592</v>
      </c>
      <c r="I237" s="1246" t="s">
        <v>618</v>
      </c>
      <c r="J237" s="1249" t="s">
        <v>1980</v>
      </c>
      <c r="K237" s="1250">
        <v>1</v>
      </c>
      <c r="L237" s="1251">
        <v>1</v>
      </c>
      <c r="M237" s="1252">
        <v>695.86</v>
      </c>
      <c r="N237" s="1253">
        <v>0</v>
      </c>
      <c r="O237" s="1254">
        <v>0</v>
      </c>
      <c r="P237" s="1252">
        <v>0</v>
      </c>
    </row>
    <row r="238" spans="1:16" ht="24">
      <c r="A238" s="1245" t="s">
        <v>2420</v>
      </c>
      <c r="B238" s="1246" t="s">
        <v>1880</v>
      </c>
      <c r="C238" s="1246" t="s">
        <v>504</v>
      </c>
      <c r="D238" s="1200" t="s">
        <v>3155</v>
      </c>
      <c r="E238" s="1247">
        <v>950</v>
      </c>
      <c r="F238" s="1248">
        <v>25581854</v>
      </c>
      <c r="G238" s="1200" t="s">
        <v>3186</v>
      </c>
      <c r="H238" s="1191" t="s">
        <v>1592</v>
      </c>
      <c r="I238" s="1246" t="s">
        <v>618</v>
      </c>
      <c r="J238" s="1249" t="s">
        <v>619</v>
      </c>
      <c r="K238" s="1250">
        <v>1</v>
      </c>
      <c r="L238" s="1251">
        <v>10</v>
      </c>
      <c r="M238" s="1252">
        <v>10655</v>
      </c>
      <c r="N238" s="1253">
        <v>0</v>
      </c>
      <c r="O238" s="1254">
        <v>0</v>
      </c>
      <c r="P238" s="1252">
        <v>0</v>
      </c>
    </row>
    <row r="239" spans="1:16" ht="24">
      <c r="A239" s="1245" t="s">
        <v>2420</v>
      </c>
      <c r="B239" s="1246" t="s">
        <v>1880</v>
      </c>
      <c r="C239" s="1246" t="s">
        <v>504</v>
      </c>
      <c r="D239" s="1200" t="s">
        <v>3185</v>
      </c>
      <c r="E239" s="1247">
        <v>2500</v>
      </c>
      <c r="F239" s="1248">
        <v>45362552</v>
      </c>
      <c r="G239" s="1200" t="s">
        <v>3184</v>
      </c>
      <c r="H239" s="1191" t="s">
        <v>2696</v>
      </c>
      <c r="I239" s="1246" t="s">
        <v>569</v>
      </c>
      <c r="J239" s="1249" t="s">
        <v>1513</v>
      </c>
      <c r="K239" s="1250">
        <v>1</v>
      </c>
      <c r="L239" s="1251">
        <v>7</v>
      </c>
      <c r="M239" s="1252">
        <v>18593.8</v>
      </c>
      <c r="N239" s="1253">
        <v>0</v>
      </c>
      <c r="O239" s="1254">
        <v>0</v>
      </c>
      <c r="P239" s="1252">
        <v>0</v>
      </c>
    </row>
    <row r="240" spans="1:16">
      <c r="A240" s="1245" t="s">
        <v>2420</v>
      </c>
      <c r="B240" s="1246" t="s">
        <v>1880</v>
      </c>
      <c r="C240" s="1246" t="s">
        <v>504</v>
      </c>
      <c r="D240" s="1200" t="s">
        <v>3182</v>
      </c>
      <c r="E240" s="1247">
        <v>930</v>
      </c>
      <c r="F240" s="1248">
        <v>25803318</v>
      </c>
      <c r="G240" s="1200" t="s">
        <v>3183</v>
      </c>
      <c r="H240" s="1191" t="s">
        <v>1592</v>
      </c>
      <c r="I240" s="1246" t="s">
        <v>618</v>
      </c>
      <c r="J240" s="1249" t="s">
        <v>619</v>
      </c>
      <c r="K240" s="1250">
        <v>1</v>
      </c>
      <c r="L240" s="1251">
        <v>12</v>
      </c>
      <c r="M240" s="1252">
        <v>12764.400000000003</v>
      </c>
      <c r="N240" s="1253">
        <v>1</v>
      </c>
      <c r="O240" s="1254">
        <v>6</v>
      </c>
      <c r="P240" s="1252">
        <v>6082.2</v>
      </c>
    </row>
    <row r="241" spans="1:16">
      <c r="A241" s="1245" t="s">
        <v>2420</v>
      </c>
      <c r="B241" s="1246" t="s">
        <v>1880</v>
      </c>
      <c r="C241" s="1246" t="s">
        <v>504</v>
      </c>
      <c r="D241" s="1200" t="s">
        <v>3182</v>
      </c>
      <c r="E241" s="1247">
        <v>930</v>
      </c>
      <c r="F241" s="1248">
        <v>10762756</v>
      </c>
      <c r="G241" s="1200" t="s">
        <v>3181</v>
      </c>
      <c r="H241" s="1191" t="s">
        <v>1592</v>
      </c>
      <c r="I241" s="1246" t="s">
        <v>618</v>
      </c>
      <c r="J241" s="1249" t="s">
        <v>619</v>
      </c>
      <c r="K241" s="1250">
        <v>1</v>
      </c>
      <c r="L241" s="1251">
        <v>12</v>
      </c>
      <c r="M241" s="1252">
        <v>12764.400000000003</v>
      </c>
      <c r="N241" s="1253">
        <v>1</v>
      </c>
      <c r="O241" s="1254">
        <v>6</v>
      </c>
      <c r="P241" s="1252">
        <v>6082.2</v>
      </c>
    </row>
    <row r="242" spans="1:16">
      <c r="A242" s="1245" t="s">
        <v>2420</v>
      </c>
      <c r="B242" s="1246" t="s">
        <v>1880</v>
      </c>
      <c r="C242" s="1246" t="s">
        <v>504</v>
      </c>
      <c r="D242" s="1200" t="s">
        <v>3180</v>
      </c>
      <c r="E242" s="1247">
        <v>1000</v>
      </c>
      <c r="F242" s="1248">
        <v>47513216</v>
      </c>
      <c r="G242" s="1200" t="s">
        <v>3179</v>
      </c>
      <c r="H242" s="1191" t="s">
        <v>1592</v>
      </c>
      <c r="I242" s="1246" t="s">
        <v>618</v>
      </c>
      <c r="J242" s="1249" t="s">
        <v>619</v>
      </c>
      <c r="K242" s="1250">
        <v>1</v>
      </c>
      <c r="L242" s="1251">
        <v>7</v>
      </c>
      <c r="M242" s="1252">
        <v>7930</v>
      </c>
      <c r="N242" s="1253">
        <v>0</v>
      </c>
      <c r="O242" s="1254">
        <v>0</v>
      </c>
      <c r="P242" s="1252">
        <v>0</v>
      </c>
    </row>
    <row r="243" spans="1:16" ht="24">
      <c r="A243" s="1245" t="s">
        <v>2420</v>
      </c>
      <c r="B243" s="1246" t="s">
        <v>1880</v>
      </c>
      <c r="C243" s="1246" t="s">
        <v>504</v>
      </c>
      <c r="D243" s="1200" t="s">
        <v>3178</v>
      </c>
      <c r="E243" s="1247">
        <v>2100</v>
      </c>
      <c r="F243" s="1248">
        <v>41101811</v>
      </c>
      <c r="G243" s="1200" t="s">
        <v>3177</v>
      </c>
      <c r="H243" s="1191" t="s">
        <v>3176</v>
      </c>
      <c r="I243" s="1246" t="s">
        <v>1664</v>
      </c>
      <c r="J243" s="1249" t="s">
        <v>3175</v>
      </c>
      <c r="K243" s="1250">
        <v>1</v>
      </c>
      <c r="L243" s="1251">
        <v>12</v>
      </c>
      <c r="M243" s="1252">
        <v>27160.800000000007</v>
      </c>
      <c r="N243" s="1253">
        <v>1</v>
      </c>
      <c r="O243" s="1254">
        <v>6</v>
      </c>
      <c r="P243" s="1252">
        <v>13644.9</v>
      </c>
    </row>
    <row r="244" spans="1:16" ht="24">
      <c r="A244" s="1245" t="s">
        <v>2420</v>
      </c>
      <c r="B244" s="1246" t="s">
        <v>1880</v>
      </c>
      <c r="C244" s="1246" t="s">
        <v>504</v>
      </c>
      <c r="D244" s="1200" t="s">
        <v>3107</v>
      </c>
      <c r="E244" s="1247">
        <v>1000</v>
      </c>
      <c r="F244" s="1248" t="s">
        <v>3174</v>
      </c>
      <c r="G244" s="1200" t="s">
        <v>3173</v>
      </c>
      <c r="H244" s="1191" t="s">
        <v>1592</v>
      </c>
      <c r="I244" s="1246" t="s">
        <v>618</v>
      </c>
      <c r="J244" s="1249" t="s">
        <v>619</v>
      </c>
      <c r="K244" s="1250">
        <v>1</v>
      </c>
      <c r="L244" s="1251">
        <v>7</v>
      </c>
      <c r="M244" s="1252">
        <v>7930</v>
      </c>
      <c r="N244" s="1253">
        <v>0</v>
      </c>
      <c r="O244" s="1254">
        <v>0</v>
      </c>
      <c r="P244" s="1252">
        <v>0</v>
      </c>
    </row>
    <row r="245" spans="1:16" ht="84">
      <c r="A245" s="1245" t="s">
        <v>2420</v>
      </c>
      <c r="B245" s="1246" t="s">
        <v>1880</v>
      </c>
      <c r="C245" s="1246" t="s">
        <v>504</v>
      </c>
      <c r="D245" s="1200" t="s">
        <v>3172</v>
      </c>
      <c r="E245" s="1247">
        <v>10000</v>
      </c>
      <c r="F245" s="1248">
        <v>8808922</v>
      </c>
      <c r="G245" s="1200" t="s">
        <v>3171</v>
      </c>
      <c r="H245" s="1191" t="s">
        <v>1695</v>
      </c>
      <c r="I245" s="1246" t="s">
        <v>1664</v>
      </c>
      <c r="J245" s="1249" t="s">
        <v>3170</v>
      </c>
      <c r="K245" s="1250">
        <v>1</v>
      </c>
      <c r="L245" s="1251">
        <v>12</v>
      </c>
      <c r="M245" s="1252">
        <v>121984.79999999997</v>
      </c>
      <c r="N245" s="1253">
        <v>0</v>
      </c>
      <c r="O245" s="1254">
        <v>0</v>
      </c>
      <c r="P245" s="1252">
        <v>0</v>
      </c>
    </row>
    <row r="246" spans="1:16" ht="24">
      <c r="A246" s="1245" t="s">
        <v>2420</v>
      </c>
      <c r="B246" s="1246" t="s">
        <v>1880</v>
      </c>
      <c r="C246" s="1246" t="s">
        <v>504</v>
      </c>
      <c r="D246" s="1200" t="s">
        <v>3138</v>
      </c>
      <c r="E246" s="1247">
        <v>2000</v>
      </c>
      <c r="F246" s="1248">
        <v>46529422</v>
      </c>
      <c r="G246" s="1200" t="s">
        <v>3169</v>
      </c>
      <c r="H246" s="1191" t="s">
        <v>1592</v>
      </c>
      <c r="I246" s="1246" t="s">
        <v>618</v>
      </c>
      <c r="J246" s="1249" t="s">
        <v>619</v>
      </c>
      <c r="K246" s="1250">
        <v>1</v>
      </c>
      <c r="L246" s="1251">
        <v>1</v>
      </c>
      <c r="M246" s="1252">
        <v>1430.21</v>
      </c>
      <c r="N246" s="1253">
        <v>0</v>
      </c>
      <c r="O246" s="1254">
        <v>0</v>
      </c>
      <c r="P246" s="1252">
        <v>0</v>
      </c>
    </row>
    <row r="247" spans="1:16" ht="24">
      <c r="A247" s="1245" t="s">
        <v>2420</v>
      </c>
      <c r="B247" s="1246" t="s">
        <v>1880</v>
      </c>
      <c r="C247" s="1246" t="s">
        <v>504</v>
      </c>
      <c r="D247" s="1200" t="s">
        <v>3155</v>
      </c>
      <c r="E247" s="1247">
        <v>950</v>
      </c>
      <c r="F247" s="1248">
        <v>8864426</v>
      </c>
      <c r="G247" s="1200" t="s">
        <v>3168</v>
      </c>
      <c r="H247" s="1191" t="s">
        <v>1592</v>
      </c>
      <c r="I247" s="1246" t="s">
        <v>618</v>
      </c>
      <c r="J247" s="1249" t="s">
        <v>619</v>
      </c>
      <c r="K247" s="1250">
        <v>1</v>
      </c>
      <c r="L247" s="1251">
        <v>12</v>
      </c>
      <c r="M247" s="1252">
        <v>13026</v>
      </c>
      <c r="N247" s="1253">
        <v>1</v>
      </c>
      <c r="O247" s="1254">
        <v>6</v>
      </c>
      <c r="P247" s="1252">
        <v>6213</v>
      </c>
    </row>
    <row r="248" spans="1:16">
      <c r="A248" s="1245" t="s">
        <v>2420</v>
      </c>
      <c r="B248" s="1246" t="s">
        <v>1880</v>
      </c>
      <c r="C248" s="1246" t="s">
        <v>504</v>
      </c>
      <c r="D248" s="1200" t="s">
        <v>2829</v>
      </c>
      <c r="E248" s="1247">
        <v>1000</v>
      </c>
      <c r="F248" s="1248">
        <v>44832664</v>
      </c>
      <c r="G248" s="1200" t="s">
        <v>3167</v>
      </c>
      <c r="H248" s="1191" t="s">
        <v>1592</v>
      </c>
      <c r="I248" s="1246" t="s">
        <v>618</v>
      </c>
      <c r="J248" s="1249" t="s">
        <v>619</v>
      </c>
      <c r="K248" s="1250">
        <v>1</v>
      </c>
      <c r="L248" s="1251">
        <v>12</v>
      </c>
      <c r="M248" s="1252">
        <v>13680</v>
      </c>
      <c r="N248" s="1253">
        <v>1</v>
      </c>
      <c r="O248" s="1254">
        <v>6</v>
      </c>
      <c r="P248" s="1252">
        <v>6540</v>
      </c>
    </row>
    <row r="249" spans="1:16" ht="24">
      <c r="A249" s="1245" t="s">
        <v>2420</v>
      </c>
      <c r="B249" s="1246" t="s">
        <v>1880</v>
      </c>
      <c r="C249" s="1246" t="s">
        <v>504</v>
      </c>
      <c r="D249" s="1200" t="s">
        <v>3107</v>
      </c>
      <c r="E249" s="1247">
        <v>950</v>
      </c>
      <c r="F249" s="1248">
        <v>40888620</v>
      </c>
      <c r="G249" s="1200" t="s">
        <v>3166</v>
      </c>
      <c r="H249" s="1191" t="s">
        <v>1592</v>
      </c>
      <c r="I249" s="1246" t="s">
        <v>618</v>
      </c>
      <c r="J249" s="1249" t="s">
        <v>619</v>
      </c>
      <c r="K249" s="1250">
        <v>1</v>
      </c>
      <c r="L249" s="1251">
        <v>12</v>
      </c>
      <c r="M249" s="1252">
        <v>13026</v>
      </c>
      <c r="N249" s="1253">
        <v>0</v>
      </c>
      <c r="O249" s="1254">
        <v>0</v>
      </c>
      <c r="P249" s="1252">
        <v>0</v>
      </c>
    </row>
    <row r="250" spans="1:16" ht="24">
      <c r="A250" s="1245" t="s">
        <v>2420</v>
      </c>
      <c r="B250" s="1246" t="s">
        <v>1880</v>
      </c>
      <c r="C250" s="1246" t="s">
        <v>504</v>
      </c>
      <c r="D250" s="1200" t="s">
        <v>3107</v>
      </c>
      <c r="E250" s="1247">
        <v>950</v>
      </c>
      <c r="F250" s="1248">
        <v>80247344</v>
      </c>
      <c r="G250" s="1200" t="s">
        <v>3165</v>
      </c>
      <c r="H250" s="1191" t="s">
        <v>1592</v>
      </c>
      <c r="I250" s="1246" t="s">
        <v>618</v>
      </c>
      <c r="J250" s="1249" t="s">
        <v>619</v>
      </c>
      <c r="K250" s="1250">
        <v>1</v>
      </c>
      <c r="L250" s="1251">
        <v>12</v>
      </c>
      <c r="M250" s="1252">
        <v>13026</v>
      </c>
      <c r="N250" s="1253">
        <v>1</v>
      </c>
      <c r="O250" s="1254">
        <v>6</v>
      </c>
      <c r="P250" s="1252">
        <v>6213</v>
      </c>
    </row>
    <row r="251" spans="1:16">
      <c r="A251" s="1245" t="s">
        <v>2420</v>
      </c>
      <c r="B251" s="1246" t="s">
        <v>1880</v>
      </c>
      <c r="C251" s="1246" t="s">
        <v>504</v>
      </c>
      <c r="D251" s="1200" t="s">
        <v>2829</v>
      </c>
      <c r="E251" s="1247">
        <v>1000</v>
      </c>
      <c r="F251" s="1248">
        <v>40044969</v>
      </c>
      <c r="G251" s="1200" t="s">
        <v>3164</v>
      </c>
      <c r="H251" s="1191" t="s">
        <v>1592</v>
      </c>
      <c r="I251" s="1246" t="s">
        <v>618</v>
      </c>
      <c r="J251" s="1249" t="s">
        <v>619</v>
      </c>
      <c r="K251" s="1250">
        <v>1</v>
      </c>
      <c r="L251" s="1251">
        <v>12</v>
      </c>
      <c r="M251" s="1252">
        <v>13680</v>
      </c>
      <c r="N251" s="1253">
        <v>1</v>
      </c>
      <c r="O251" s="1254">
        <v>6</v>
      </c>
      <c r="P251" s="1252">
        <v>6540</v>
      </c>
    </row>
    <row r="252" spans="1:16">
      <c r="A252" s="1245" t="s">
        <v>2420</v>
      </c>
      <c r="B252" s="1246" t="s">
        <v>1880</v>
      </c>
      <c r="C252" s="1246" t="s">
        <v>504</v>
      </c>
      <c r="D252" s="1200" t="s">
        <v>2829</v>
      </c>
      <c r="E252" s="1247">
        <v>1000</v>
      </c>
      <c r="F252" s="1248">
        <v>25842814</v>
      </c>
      <c r="G252" s="1200" t="s">
        <v>3163</v>
      </c>
      <c r="H252" s="1191" t="s">
        <v>1592</v>
      </c>
      <c r="I252" s="1246" t="s">
        <v>618</v>
      </c>
      <c r="J252" s="1249" t="s">
        <v>619</v>
      </c>
      <c r="K252" s="1250">
        <v>1</v>
      </c>
      <c r="L252" s="1251">
        <v>12</v>
      </c>
      <c r="M252" s="1252">
        <v>13680</v>
      </c>
      <c r="N252" s="1253">
        <v>1</v>
      </c>
      <c r="O252" s="1254">
        <v>6</v>
      </c>
      <c r="P252" s="1252">
        <v>6540</v>
      </c>
    </row>
    <row r="253" spans="1:16">
      <c r="A253" s="1245" t="s">
        <v>2420</v>
      </c>
      <c r="B253" s="1246" t="s">
        <v>1880</v>
      </c>
      <c r="C253" s="1246" t="s">
        <v>504</v>
      </c>
      <c r="D253" s="1200" t="s">
        <v>2829</v>
      </c>
      <c r="E253" s="1247">
        <v>1000</v>
      </c>
      <c r="F253" s="1248">
        <v>25857837</v>
      </c>
      <c r="G253" s="1200" t="s">
        <v>3162</v>
      </c>
      <c r="H253" s="1191" t="s">
        <v>1592</v>
      </c>
      <c r="I253" s="1246" t="s">
        <v>618</v>
      </c>
      <c r="J253" s="1249" t="s">
        <v>619</v>
      </c>
      <c r="K253" s="1250">
        <v>1</v>
      </c>
      <c r="L253" s="1251">
        <v>12</v>
      </c>
      <c r="M253" s="1252">
        <v>13680</v>
      </c>
      <c r="N253" s="1253">
        <v>1</v>
      </c>
      <c r="O253" s="1254">
        <v>6</v>
      </c>
      <c r="P253" s="1252">
        <v>6540</v>
      </c>
    </row>
    <row r="254" spans="1:16">
      <c r="A254" s="1245" t="s">
        <v>2420</v>
      </c>
      <c r="B254" s="1246" t="s">
        <v>1880</v>
      </c>
      <c r="C254" s="1246" t="s">
        <v>504</v>
      </c>
      <c r="D254" s="1200" t="s">
        <v>2829</v>
      </c>
      <c r="E254" s="1247">
        <v>1000</v>
      </c>
      <c r="F254" s="1248">
        <v>6804088</v>
      </c>
      <c r="G254" s="1200" t="s">
        <v>3161</v>
      </c>
      <c r="H254" s="1191" t="s">
        <v>1592</v>
      </c>
      <c r="I254" s="1246" t="s">
        <v>618</v>
      </c>
      <c r="J254" s="1249" t="s">
        <v>619</v>
      </c>
      <c r="K254" s="1250">
        <v>1</v>
      </c>
      <c r="L254" s="1251">
        <v>12</v>
      </c>
      <c r="M254" s="1252">
        <v>13680</v>
      </c>
      <c r="N254" s="1253">
        <v>1</v>
      </c>
      <c r="O254" s="1254">
        <v>6</v>
      </c>
      <c r="P254" s="1252">
        <v>6540</v>
      </c>
    </row>
    <row r="255" spans="1:16">
      <c r="A255" s="1245" t="s">
        <v>2420</v>
      </c>
      <c r="B255" s="1246" t="s">
        <v>1880</v>
      </c>
      <c r="C255" s="1246" t="s">
        <v>504</v>
      </c>
      <c r="D255" s="1200" t="s">
        <v>2829</v>
      </c>
      <c r="E255" s="1247">
        <v>1000</v>
      </c>
      <c r="F255" s="1248">
        <v>43042429</v>
      </c>
      <c r="G255" s="1200" t="s">
        <v>3160</v>
      </c>
      <c r="H255" s="1191" t="s">
        <v>1592</v>
      </c>
      <c r="I255" s="1246" t="s">
        <v>618</v>
      </c>
      <c r="J255" s="1249" t="s">
        <v>619</v>
      </c>
      <c r="K255" s="1250">
        <v>1</v>
      </c>
      <c r="L255" s="1251">
        <v>12</v>
      </c>
      <c r="M255" s="1252">
        <v>13680</v>
      </c>
      <c r="N255" s="1253">
        <v>1</v>
      </c>
      <c r="O255" s="1254">
        <v>6</v>
      </c>
      <c r="P255" s="1252">
        <v>6540</v>
      </c>
    </row>
    <row r="256" spans="1:16">
      <c r="A256" s="1245" t="s">
        <v>2420</v>
      </c>
      <c r="B256" s="1246" t="s">
        <v>1880</v>
      </c>
      <c r="C256" s="1246" t="s">
        <v>504</v>
      </c>
      <c r="D256" s="1200" t="s">
        <v>2829</v>
      </c>
      <c r="E256" s="1247">
        <v>1000</v>
      </c>
      <c r="F256" s="1248">
        <v>7878568</v>
      </c>
      <c r="G256" s="1200" t="s">
        <v>3159</v>
      </c>
      <c r="H256" s="1191" t="s">
        <v>1592</v>
      </c>
      <c r="I256" s="1246" t="s">
        <v>618</v>
      </c>
      <c r="J256" s="1249" t="s">
        <v>619</v>
      </c>
      <c r="K256" s="1250">
        <v>1</v>
      </c>
      <c r="L256" s="1251">
        <v>1</v>
      </c>
      <c r="M256" s="1252">
        <v>917.03</v>
      </c>
      <c r="N256" s="1253">
        <v>0</v>
      </c>
      <c r="O256" s="1254">
        <v>0</v>
      </c>
      <c r="P256" s="1252">
        <v>0</v>
      </c>
    </row>
    <row r="257" spans="1:16" ht="24">
      <c r="A257" s="1245" t="s">
        <v>2420</v>
      </c>
      <c r="B257" s="1246" t="s">
        <v>1880</v>
      </c>
      <c r="C257" s="1246" t="s">
        <v>504</v>
      </c>
      <c r="D257" s="1200" t="s">
        <v>2839</v>
      </c>
      <c r="E257" s="1247">
        <v>2500</v>
      </c>
      <c r="F257" s="1248">
        <v>43784417</v>
      </c>
      <c r="G257" s="1200" t="s">
        <v>3158</v>
      </c>
      <c r="H257" s="1191" t="s">
        <v>2696</v>
      </c>
      <c r="I257" s="1246" t="s">
        <v>569</v>
      </c>
      <c r="J257" s="1249" t="s">
        <v>1513</v>
      </c>
      <c r="K257" s="1250">
        <v>1</v>
      </c>
      <c r="L257" s="1251">
        <v>12</v>
      </c>
      <c r="M257" s="1252">
        <v>31960.800000000007</v>
      </c>
      <c r="N257" s="1253">
        <v>1</v>
      </c>
      <c r="O257" s="1254">
        <v>6</v>
      </c>
      <c r="P257" s="1252">
        <v>16500.900000000001</v>
      </c>
    </row>
    <row r="258" spans="1:16" ht="24">
      <c r="A258" s="1245" t="s">
        <v>2420</v>
      </c>
      <c r="B258" s="1246" t="s">
        <v>1880</v>
      </c>
      <c r="C258" s="1246" t="s">
        <v>504</v>
      </c>
      <c r="D258" s="1200" t="s">
        <v>2829</v>
      </c>
      <c r="E258" s="1247">
        <v>1000</v>
      </c>
      <c r="F258" s="1248">
        <v>119910</v>
      </c>
      <c r="G258" s="1200" t="s">
        <v>3157</v>
      </c>
      <c r="H258" s="1191" t="s">
        <v>1592</v>
      </c>
      <c r="I258" s="1246" t="s">
        <v>618</v>
      </c>
      <c r="J258" s="1249" t="s">
        <v>619</v>
      </c>
      <c r="K258" s="1250">
        <v>1</v>
      </c>
      <c r="L258" s="1251">
        <v>12</v>
      </c>
      <c r="M258" s="1252">
        <v>13680</v>
      </c>
      <c r="N258" s="1253">
        <v>1</v>
      </c>
      <c r="O258" s="1254">
        <v>6</v>
      </c>
      <c r="P258" s="1252">
        <v>6540</v>
      </c>
    </row>
    <row r="259" spans="1:16" ht="24">
      <c r="A259" s="1245" t="s">
        <v>2420</v>
      </c>
      <c r="B259" s="1246" t="s">
        <v>1880</v>
      </c>
      <c r="C259" s="1246" t="s">
        <v>504</v>
      </c>
      <c r="D259" s="1200" t="s">
        <v>3107</v>
      </c>
      <c r="E259" s="1247">
        <v>950</v>
      </c>
      <c r="F259" s="1248">
        <v>44247905</v>
      </c>
      <c r="G259" s="1200" t="s">
        <v>3156</v>
      </c>
      <c r="H259" s="1191" t="s">
        <v>1592</v>
      </c>
      <c r="I259" s="1246" t="s">
        <v>618</v>
      </c>
      <c r="J259" s="1249" t="s">
        <v>619</v>
      </c>
      <c r="K259" s="1250">
        <v>1</v>
      </c>
      <c r="L259" s="1251">
        <v>12</v>
      </c>
      <c r="M259" s="1252">
        <v>13026</v>
      </c>
      <c r="N259" s="1253">
        <v>1</v>
      </c>
      <c r="O259" s="1254">
        <v>6</v>
      </c>
      <c r="P259" s="1252">
        <v>6213</v>
      </c>
    </row>
    <row r="260" spans="1:16" ht="24">
      <c r="A260" s="1245" t="s">
        <v>2420</v>
      </c>
      <c r="B260" s="1246" t="s">
        <v>1880</v>
      </c>
      <c r="C260" s="1246" t="s">
        <v>504</v>
      </c>
      <c r="D260" s="1200" t="s">
        <v>3155</v>
      </c>
      <c r="E260" s="1247">
        <v>950</v>
      </c>
      <c r="F260" s="1248">
        <v>25569076</v>
      </c>
      <c r="G260" s="1200" t="s">
        <v>3154</v>
      </c>
      <c r="H260" s="1191" t="s">
        <v>1592</v>
      </c>
      <c r="I260" s="1246" t="s">
        <v>618</v>
      </c>
      <c r="J260" s="1249" t="s">
        <v>619</v>
      </c>
      <c r="K260" s="1250">
        <v>1</v>
      </c>
      <c r="L260" s="1251">
        <v>12</v>
      </c>
      <c r="M260" s="1252">
        <v>13026</v>
      </c>
      <c r="N260" s="1253">
        <v>1</v>
      </c>
      <c r="O260" s="1254">
        <v>6</v>
      </c>
      <c r="P260" s="1252">
        <v>6213</v>
      </c>
    </row>
    <row r="261" spans="1:16" ht="24">
      <c r="A261" s="1245" t="s">
        <v>2420</v>
      </c>
      <c r="B261" s="1246" t="s">
        <v>1880</v>
      </c>
      <c r="C261" s="1246" t="s">
        <v>504</v>
      </c>
      <c r="D261" s="1200" t="s">
        <v>3153</v>
      </c>
      <c r="E261" s="1247">
        <v>2500</v>
      </c>
      <c r="F261" s="1248">
        <v>22102790</v>
      </c>
      <c r="G261" s="1200" t="s">
        <v>3152</v>
      </c>
      <c r="H261" s="1191" t="s">
        <v>3151</v>
      </c>
      <c r="I261" s="1246" t="s">
        <v>569</v>
      </c>
      <c r="J261" s="1249" t="s">
        <v>3150</v>
      </c>
      <c r="K261" s="1250">
        <v>1</v>
      </c>
      <c r="L261" s="1251">
        <v>12</v>
      </c>
      <c r="M261" s="1252">
        <v>31960.800000000007</v>
      </c>
      <c r="N261" s="1253">
        <v>1</v>
      </c>
      <c r="O261" s="1254">
        <v>6</v>
      </c>
      <c r="P261" s="1252">
        <v>16044.9</v>
      </c>
    </row>
    <row r="262" spans="1:16" ht="24">
      <c r="A262" s="1245" t="s">
        <v>2420</v>
      </c>
      <c r="B262" s="1246" t="s">
        <v>1880</v>
      </c>
      <c r="C262" s="1246" t="s">
        <v>504</v>
      </c>
      <c r="D262" s="1200" t="s">
        <v>3107</v>
      </c>
      <c r="E262" s="1247">
        <v>950</v>
      </c>
      <c r="F262" s="1248">
        <v>43634266</v>
      </c>
      <c r="G262" s="1200" t="s">
        <v>3149</v>
      </c>
      <c r="H262" s="1191" t="s">
        <v>1592</v>
      </c>
      <c r="I262" s="1246" t="s">
        <v>618</v>
      </c>
      <c r="J262" s="1249" t="s">
        <v>619</v>
      </c>
      <c r="K262" s="1250">
        <v>1</v>
      </c>
      <c r="L262" s="1251">
        <v>12</v>
      </c>
      <c r="M262" s="1252">
        <v>13026</v>
      </c>
      <c r="N262" s="1253">
        <v>1</v>
      </c>
      <c r="O262" s="1254">
        <v>6</v>
      </c>
      <c r="P262" s="1252">
        <v>6213</v>
      </c>
    </row>
    <row r="263" spans="1:16" ht="24">
      <c r="A263" s="1245" t="s">
        <v>2420</v>
      </c>
      <c r="B263" s="1246" t="s">
        <v>1880</v>
      </c>
      <c r="C263" s="1246" t="s">
        <v>504</v>
      </c>
      <c r="D263" s="1200" t="s">
        <v>3147</v>
      </c>
      <c r="E263" s="1247">
        <v>1000</v>
      </c>
      <c r="F263" s="1248">
        <v>10394496</v>
      </c>
      <c r="G263" s="1200" t="s">
        <v>3148</v>
      </c>
      <c r="H263" s="1191" t="s">
        <v>1592</v>
      </c>
      <c r="I263" s="1246" t="s">
        <v>618</v>
      </c>
      <c r="J263" s="1249" t="s">
        <v>619</v>
      </c>
      <c r="K263" s="1250">
        <v>1</v>
      </c>
      <c r="L263" s="1251">
        <v>12</v>
      </c>
      <c r="M263" s="1252">
        <v>13680</v>
      </c>
      <c r="N263" s="1253">
        <v>1</v>
      </c>
      <c r="O263" s="1254">
        <v>6</v>
      </c>
      <c r="P263" s="1252">
        <v>6540</v>
      </c>
    </row>
    <row r="264" spans="1:16" ht="24">
      <c r="A264" s="1245" t="s">
        <v>2420</v>
      </c>
      <c r="B264" s="1246" t="s">
        <v>1880</v>
      </c>
      <c r="C264" s="1246" t="s">
        <v>504</v>
      </c>
      <c r="D264" s="1200" t="s">
        <v>3147</v>
      </c>
      <c r="E264" s="1247">
        <v>1000</v>
      </c>
      <c r="F264" s="1248">
        <v>42211882</v>
      </c>
      <c r="G264" s="1200" t="s">
        <v>3146</v>
      </c>
      <c r="H264" s="1191" t="s">
        <v>1592</v>
      </c>
      <c r="I264" s="1246" t="s">
        <v>618</v>
      </c>
      <c r="J264" s="1249" t="s">
        <v>619</v>
      </c>
      <c r="K264" s="1250">
        <v>1</v>
      </c>
      <c r="L264" s="1251">
        <v>1</v>
      </c>
      <c r="M264" s="1252">
        <v>742.07</v>
      </c>
      <c r="N264" s="1253">
        <v>0</v>
      </c>
      <c r="O264" s="1254">
        <v>0</v>
      </c>
      <c r="P264" s="1252">
        <v>0</v>
      </c>
    </row>
    <row r="265" spans="1:16" ht="24">
      <c r="A265" s="1245" t="s">
        <v>2420</v>
      </c>
      <c r="B265" s="1246" t="s">
        <v>1880</v>
      </c>
      <c r="C265" s="1246" t="s">
        <v>504</v>
      </c>
      <c r="D265" s="1200" t="s">
        <v>3145</v>
      </c>
      <c r="E265" s="1247">
        <v>930</v>
      </c>
      <c r="F265" s="1248">
        <v>25846284</v>
      </c>
      <c r="G265" s="1200" t="s">
        <v>3144</v>
      </c>
      <c r="H265" s="1191" t="s">
        <v>1592</v>
      </c>
      <c r="I265" s="1246" t="s">
        <v>618</v>
      </c>
      <c r="J265" s="1249" t="s">
        <v>619</v>
      </c>
      <c r="K265" s="1250">
        <v>1</v>
      </c>
      <c r="L265" s="1251">
        <v>12</v>
      </c>
      <c r="M265" s="1252">
        <v>12764.400000000003</v>
      </c>
      <c r="N265" s="1253">
        <v>1</v>
      </c>
      <c r="O265" s="1254">
        <v>6</v>
      </c>
      <c r="P265" s="1252">
        <v>6082.2</v>
      </c>
    </row>
    <row r="266" spans="1:16" ht="24">
      <c r="A266" s="1245" t="s">
        <v>2420</v>
      </c>
      <c r="B266" s="1246" t="s">
        <v>1880</v>
      </c>
      <c r="C266" s="1246" t="s">
        <v>504</v>
      </c>
      <c r="D266" s="1200" t="s">
        <v>2849</v>
      </c>
      <c r="E266" s="1247">
        <v>1000</v>
      </c>
      <c r="F266" s="1248">
        <v>73202011</v>
      </c>
      <c r="G266" s="1200" t="s">
        <v>3143</v>
      </c>
      <c r="H266" s="1191" t="s">
        <v>1592</v>
      </c>
      <c r="I266" s="1246" t="s">
        <v>618</v>
      </c>
      <c r="J266" s="1249" t="s">
        <v>619</v>
      </c>
      <c r="K266" s="1250">
        <v>1</v>
      </c>
      <c r="L266" s="1251">
        <v>12</v>
      </c>
      <c r="M266" s="1252">
        <v>12707.03</v>
      </c>
      <c r="N266" s="1253">
        <v>0</v>
      </c>
      <c r="O266" s="1254">
        <v>0</v>
      </c>
      <c r="P266" s="1252">
        <v>0</v>
      </c>
    </row>
    <row r="267" spans="1:16">
      <c r="A267" s="1245" t="s">
        <v>2420</v>
      </c>
      <c r="B267" s="1246" t="s">
        <v>1880</v>
      </c>
      <c r="C267" s="1246" t="s">
        <v>504</v>
      </c>
      <c r="D267" s="1200" t="s">
        <v>2829</v>
      </c>
      <c r="E267" s="1247">
        <v>1000</v>
      </c>
      <c r="F267" s="1248">
        <v>15693689</v>
      </c>
      <c r="G267" s="1200" t="s">
        <v>3142</v>
      </c>
      <c r="H267" s="1191" t="s">
        <v>1592</v>
      </c>
      <c r="I267" s="1246" t="s">
        <v>618</v>
      </c>
      <c r="J267" s="1249" t="s">
        <v>619</v>
      </c>
      <c r="K267" s="1250">
        <v>1</v>
      </c>
      <c r="L267" s="1251">
        <v>12</v>
      </c>
      <c r="M267" s="1252">
        <v>13680</v>
      </c>
      <c r="N267" s="1253">
        <v>1</v>
      </c>
      <c r="O267" s="1254">
        <v>6</v>
      </c>
      <c r="P267" s="1252">
        <v>6540</v>
      </c>
    </row>
    <row r="268" spans="1:16">
      <c r="A268" s="1245" t="s">
        <v>2420</v>
      </c>
      <c r="B268" s="1246" t="s">
        <v>1880</v>
      </c>
      <c r="C268" s="1246" t="s">
        <v>504</v>
      </c>
      <c r="D268" s="1200" t="s">
        <v>2829</v>
      </c>
      <c r="E268" s="1247">
        <v>1000</v>
      </c>
      <c r="F268" s="1248">
        <v>72187814</v>
      </c>
      <c r="G268" s="1200" t="s">
        <v>3141</v>
      </c>
      <c r="H268" s="1191" t="s">
        <v>1592</v>
      </c>
      <c r="I268" s="1246" t="s">
        <v>618</v>
      </c>
      <c r="J268" s="1249" t="s">
        <v>619</v>
      </c>
      <c r="K268" s="1250">
        <v>1</v>
      </c>
      <c r="L268" s="1251">
        <v>12</v>
      </c>
      <c r="M268" s="1252">
        <v>13680</v>
      </c>
      <c r="N268" s="1253">
        <v>1</v>
      </c>
      <c r="O268" s="1254">
        <v>6</v>
      </c>
      <c r="P268" s="1252">
        <v>6540</v>
      </c>
    </row>
    <row r="269" spans="1:16" ht="48">
      <c r="A269" s="1245" t="s">
        <v>2420</v>
      </c>
      <c r="B269" s="1246" t="s">
        <v>1880</v>
      </c>
      <c r="C269" s="1246" t="s">
        <v>504</v>
      </c>
      <c r="D269" s="1200" t="s">
        <v>3140</v>
      </c>
      <c r="E269" s="1247">
        <v>5400</v>
      </c>
      <c r="F269" s="1248">
        <v>43277322</v>
      </c>
      <c r="G269" s="1200" t="s">
        <v>3139</v>
      </c>
      <c r="H269" s="1191" t="s">
        <v>2447</v>
      </c>
      <c r="I269" s="1246" t="s">
        <v>569</v>
      </c>
      <c r="J269" s="1249" t="s">
        <v>2447</v>
      </c>
      <c r="K269" s="1250">
        <v>1</v>
      </c>
      <c r="L269" s="1251">
        <v>12</v>
      </c>
      <c r="M269" s="1252">
        <v>66160.800000000003</v>
      </c>
      <c r="N269" s="1253">
        <v>1</v>
      </c>
      <c r="O269" s="1254">
        <v>6</v>
      </c>
      <c r="P269" s="1252">
        <v>33444.9</v>
      </c>
    </row>
    <row r="270" spans="1:16" ht="24">
      <c r="A270" s="1245" t="s">
        <v>2420</v>
      </c>
      <c r="B270" s="1246" t="s">
        <v>1880</v>
      </c>
      <c r="C270" s="1246" t="s">
        <v>504</v>
      </c>
      <c r="D270" s="1200" t="s">
        <v>3138</v>
      </c>
      <c r="E270" s="1247">
        <v>2000</v>
      </c>
      <c r="F270" s="1248">
        <v>75095609</v>
      </c>
      <c r="G270" s="1200" t="s">
        <v>3137</v>
      </c>
      <c r="H270" s="1191" t="s">
        <v>1592</v>
      </c>
      <c r="I270" s="1246" t="s">
        <v>618</v>
      </c>
      <c r="J270" s="1249" t="s">
        <v>619</v>
      </c>
      <c r="K270" s="1250">
        <v>1</v>
      </c>
      <c r="L270" s="1251">
        <v>1</v>
      </c>
      <c r="M270" s="1252">
        <v>1430.21</v>
      </c>
      <c r="N270" s="1253">
        <v>0</v>
      </c>
      <c r="O270" s="1254">
        <v>0</v>
      </c>
      <c r="P270" s="1252">
        <v>0</v>
      </c>
    </row>
    <row r="271" spans="1:16">
      <c r="A271" s="1245" t="s">
        <v>2420</v>
      </c>
      <c r="B271" s="1246" t="s">
        <v>1880</v>
      </c>
      <c r="C271" s="1246" t="s">
        <v>504</v>
      </c>
      <c r="D271" s="1200" t="s">
        <v>3134</v>
      </c>
      <c r="E271" s="1247">
        <v>6000</v>
      </c>
      <c r="F271" s="1248" t="s">
        <v>3136</v>
      </c>
      <c r="G271" s="1200" t="s">
        <v>3135</v>
      </c>
      <c r="H271" s="1191" t="s">
        <v>1439</v>
      </c>
      <c r="I271" s="1246" t="s">
        <v>569</v>
      </c>
      <c r="J271" s="1249" t="s">
        <v>1792</v>
      </c>
      <c r="K271" s="1250">
        <v>1</v>
      </c>
      <c r="L271" s="1251">
        <v>6</v>
      </c>
      <c r="M271" s="1252">
        <v>36980.400000000001</v>
      </c>
      <c r="N271" s="1253">
        <v>1</v>
      </c>
      <c r="O271" s="1254">
        <v>6</v>
      </c>
      <c r="P271" s="1252">
        <v>37044.9</v>
      </c>
    </row>
    <row r="272" spans="1:16">
      <c r="A272" s="1245" t="s">
        <v>2420</v>
      </c>
      <c r="B272" s="1246" t="s">
        <v>1880</v>
      </c>
      <c r="C272" s="1246" t="s">
        <v>504</v>
      </c>
      <c r="D272" s="1200" t="s">
        <v>3134</v>
      </c>
      <c r="E272" s="1247">
        <v>6000</v>
      </c>
      <c r="F272" s="1248" t="s">
        <v>3133</v>
      </c>
      <c r="G272" s="1200" t="s">
        <v>3132</v>
      </c>
      <c r="H272" s="1191" t="s">
        <v>1439</v>
      </c>
      <c r="I272" s="1246" t="s">
        <v>569</v>
      </c>
      <c r="J272" s="1249" t="s">
        <v>1792</v>
      </c>
      <c r="K272" s="1250">
        <v>1</v>
      </c>
      <c r="L272" s="1251">
        <v>6</v>
      </c>
      <c r="M272" s="1252">
        <v>36980.400000000001</v>
      </c>
      <c r="N272" s="1253">
        <v>1</v>
      </c>
      <c r="O272" s="1254">
        <v>6</v>
      </c>
      <c r="P272" s="1252">
        <v>37044.9</v>
      </c>
    </row>
    <row r="273" spans="1:16" ht="24">
      <c r="A273" s="1245" t="s">
        <v>2420</v>
      </c>
      <c r="B273" s="1246" t="s">
        <v>1880</v>
      </c>
      <c r="C273" s="1246" t="s">
        <v>504</v>
      </c>
      <c r="D273" s="1200" t="s">
        <v>3131</v>
      </c>
      <c r="E273" s="1247">
        <v>4000</v>
      </c>
      <c r="F273" s="1248" t="s">
        <v>3130</v>
      </c>
      <c r="G273" s="1200" t="s">
        <v>3129</v>
      </c>
      <c r="H273" s="1191" t="s">
        <v>2237</v>
      </c>
      <c r="I273" s="1246" t="s">
        <v>569</v>
      </c>
      <c r="J273" s="1249" t="s">
        <v>2237</v>
      </c>
      <c r="K273" s="1250">
        <v>1</v>
      </c>
      <c r="L273" s="1251">
        <v>6</v>
      </c>
      <c r="M273" s="1252">
        <v>24980.400000000001</v>
      </c>
      <c r="N273" s="1253">
        <v>1</v>
      </c>
      <c r="O273" s="1254">
        <v>6</v>
      </c>
      <c r="P273" s="1252">
        <v>25044.9</v>
      </c>
    </row>
    <row r="274" spans="1:16" ht="24">
      <c r="A274" s="1245" t="s">
        <v>2420</v>
      </c>
      <c r="B274" s="1246" t="s">
        <v>1880</v>
      </c>
      <c r="C274" s="1246" t="s">
        <v>504</v>
      </c>
      <c r="D274" s="1200" t="s">
        <v>2839</v>
      </c>
      <c r="E274" s="1247">
        <v>2500</v>
      </c>
      <c r="F274" s="1248" t="s">
        <v>3128</v>
      </c>
      <c r="G274" s="1200" t="s">
        <v>3127</v>
      </c>
      <c r="H274" s="1191" t="s">
        <v>2696</v>
      </c>
      <c r="I274" s="1246" t="s">
        <v>569</v>
      </c>
      <c r="J274" s="1249" t="s">
        <v>1513</v>
      </c>
      <c r="K274" s="1250">
        <v>1</v>
      </c>
      <c r="L274" s="1251">
        <v>6</v>
      </c>
      <c r="M274" s="1252">
        <v>15980.4</v>
      </c>
      <c r="N274" s="1253">
        <v>1</v>
      </c>
      <c r="O274" s="1254">
        <v>6</v>
      </c>
      <c r="P274" s="1252">
        <v>16044.9</v>
      </c>
    </row>
    <row r="275" spans="1:16" ht="36">
      <c r="A275" s="1245" t="s">
        <v>2420</v>
      </c>
      <c r="B275" s="1246" t="s">
        <v>1880</v>
      </c>
      <c r="C275" s="1246" t="s">
        <v>504</v>
      </c>
      <c r="D275" s="1200" t="s">
        <v>3126</v>
      </c>
      <c r="E275" s="1247">
        <v>4000</v>
      </c>
      <c r="F275" s="1248" t="s">
        <v>3125</v>
      </c>
      <c r="G275" s="1200" t="s">
        <v>3124</v>
      </c>
      <c r="H275" s="1191" t="s">
        <v>659</v>
      </c>
      <c r="I275" s="1246" t="s">
        <v>569</v>
      </c>
      <c r="J275" s="1249" t="s">
        <v>3123</v>
      </c>
      <c r="K275" s="1250">
        <v>1</v>
      </c>
      <c r="L275" s="1251">
        <v>12</v>
      </c>
      <c r="M275" s="1252">
        <v>49960.80000000001</v>
      </c>
      <c r="N275" s="1253">
        <v>1</v>
      </c>
      <c r="O275" s="1254">
        <v>6</v>
      </c>
      <c r="P275" s="1252">
        <v>25044.9</v>
      </c>
    </row>
    <row r="276" spans="1:16" ht="36">
      <c r="A276" s="1245" t="s">
        <v>2420</v>
      </c>
      <c r="B276" s="1246" t="s">
        <v>1880</v>
      </c>
      <c r="C276" s="1246" t="s">
        <v>504</v>
      </c>
      <c r="D276" s="1200" t="s">
        <v>3122</v>
      </c>
      <c r="E276" s="1247">
        <v>4900</v>
      </c>
      <c r="F276" s="1248">
        <v>20122141</v>
      </c>
      <c r="G276" s="1200" t="s">
        <v>3121</v>
      </c>
      <c r="H276" s="1191" t="s">
        <v>3120</v>
      </c>
      <c r="I276" s="1246" t="s">
        <v>569</v>
      </c>
      <c r="J276" s="1249" t="s">
        <v>3120</v>
      </c>
      <c r="K276" s="1250">
        <v>1</v>
      </c>
      <c r="L276" s="1251">
        <v>1</v>
      </c>
      <c r="M276" s="1252">
        <v>2236.73</v>
      </c>
      <c r="N276" s="1253">
        <v>0</v>
      </c>
      <c r="O276" s="1254">
        <v>0</v>
      </c>
      <c r="P276" s="1252">
        <v>0</v>
      </c>
    </row>
    <row r="277" spans="1:16" ht="60">
      <c r="A277" s="1245" t="s">
        <v>2420</v>
      </c>
      <c r="B277" s="1246" t="s">
        <v>1880</v>
      </c>
      <c r="C277" s="1246" t="s">
        <v>504</v>
      </c>
      <c r="D277" s="1200" t="s">
        <v>3119</v>
      </c>
      <c r="E277" s="1247">
        <v>10300</v>
      </c>
      <c r="F277" s="1248">
        <v>40527812</v>
      </c>
      <c r="G277" s="1200" t="s">
        <v>3118</v>
      </c>
      <c r="H277" s="1191" t="s">
        <v>1695</v>
      </c>
      <c r="I277" s="1246" t="s">
        <v>569</v>
      </c>
      <c r="J277" s="1249" t="s">
        <v>1695</v>
      </c>
      <c r="K277" s="1250">
        <v>1</v>
      </c>
      <c r="L277" s="1251">
        <v>12</v>
      </c>
      <c r="M277" s="1252">
        <v>125584.79999999997</v>
      </c>
      <c r="N277" s="1253">
        <v>1</v>
      </c>
      <c r="O277" s="1254">
        <v>6</v>
      </c>
      <c r="P277" s="1252">
        <v>62844.9</v>
      </c>
    </row>
    <row r="278" spans="1:16" ht="24">
      <c r="A278" s="1245" t="s">
        <v>2420</v>
      </c>
      <c r="B278" s="1246" t="s">
        <v>1880</v>
      </c>
      <c r="C278" s="1246" t="s">
        <v>504</v>
      </c>
      <c r="D278" s="1200" t="s">
        <v>3117</v>
      </c>
      <c r="E278" s="1247">
        <v>4500</v>
      </c>
      <c r="F278" s="1248">
        <v>25468997</v>
      </c>
      <c r="G278" s="1200" t="s">
        <v>3116</v>
      </c>
      <c r="H278" s="1191" t="s">
        <v>1695</v>
      </c>
      <c r="I278" s="1246" t="s">
        <v>569</v>
      </c>
      <c r="J278" s="1249" t="s">
        <v>1695</v>
      </c>
      <c r="K278" s="1250">
        <v>1</v>
      </c>
      <c r="L278" s="1251">
        <v>1</v>
      </c>
      <c r="M278" s="1252">
        <v>3413.4</v>
      </c>
      <c r="N278" s="1253">
        <v>0</v>
      </c>
      <c r="O278" s="1254">
        <v>0</v>
      </c>
      <c r="P278" s="1252">
        <v>0</v>
      </c>
    </row>
    <row r="279" spans="1:16" ht="36">
      <c r="A279" s="1245" t="s">
        <v>2420</v>
      </c>
      <c r="B279" s="1246" t="s">
        <v>1880</v>
      </c>
      <c r="C279" s="1246" t="s">
        <v>504</v>
      </c>
      <c r="D279" s="1200" t="s">
        <v>3115</v>
      </c>
      <c r="E279" s="1247">
        <v>5000</v>
      </c>
      <c r="F279" s="1248">
        <v>43310069</v>
      </c>
      <c r="G279" s="1200" t="s">
        <v>3114</v>
      </c>
      <c r="H279" s="1191" t="s">
        <v>2447</v>
      </c>
      <c r="I279" s="1246" t="s">
        <v>569</v>
      </c>
      <c r="J279" s="1249" t="s">
        <v>2489</v>
      </c>
      <c r="K279" s="1250">
        <v>1</v>
      </c>
      <c r="L279" s="1251">
        <v>12</v>
      </c>
      <c r="M279" s="1252">
        <v>61360.80000000001</v>
      </c>
      <c r="N279" s="1253">
        <v>1</v>
      </c>
      <c r="O279" s="1254">
        <v>6</v>
      </c>
      <c r="P279" s="1252">
        <v>31044.9</v>
      </c>
    </row>
    <row r="280" spans="1:16" ht="24">
      <c r="A280" s="1245" t="s">
        <v>2420</v>
      </c>
      <c r="B280" s="1246" t="s">
        <v>1880</v>
      </c>
      <c r="C280" s="1246" t="s">
        <v>504</v>
      </c>
      <c r="D280" s="1200" t="s">
        <v>3113</v>
      </c>
      <c r="E280" s="1247">
        <v>950</v>
      </c>
      <c r="F280" s="1248">
        <v>5353576</v>
      </c>
      <c r="G280" s="1200" t="s">
        <v>3112</v>
      </c>
      <c r="H280" s="1191" t="s">
        <v>1592</v>
      </c>
      <c r="I280" s="1246" t="s">
        <v>618</v>
      </c>
      <c r="J280" s="1249" t="s">
        <v>619</v>
      </c>
      <c r="K280" s="1250">
        <v>1</v>
      </c>
      <c r="L280" s="1251">
        <v>12</v>
      </c>
      <c r="M280" s="1252">
        <v>13026</v>
      </c>
      <c r="N280" s="1253">
        <v>1</v>
      </c>
      <c r="O280" s="1254">
        <v>6</v>
      </c>
      <c r="P280" s="1252">
        <v>6213</v>
      </c>
    </row>
    <row r="281" spans="1:16" ht="24">
      <c r="A281" s="1245" t="s">
        <v>2420</v>
      </c>
      <c r="B281" s="1246" t="s">
        <v>1880</v>
      </c>
      <c r="C281" s="1246" t="s">
        <v>504</v>
      </c>
      <c r="D281" s="1200" t="s">
        <v>3107</v>
      </c>
      <c r="E281" s="1247">
        <v>950</v>
      </c>
      <c r="F281" s="1248">
        <v>5315518</v>
      </c>
      <c r="G281" s="1200" t="s">
        <v>3111</v>
      </c>
      <c r="H281" s="1191" t="s">
        <v>1592</v>
      </c>
      <c r="I281" s="1246" t="s">
        <v>618</v>
      </c>
      <c r="J281" s="1249" t="s">
        <v>619</v>
      </c>
      <c r="K281" s="1250">
        <v>1</v>
      </c>
      <c r="L281" s="1251">
        <v>12</v>
      </c>
      <c r="M281" s="1252">
        <v>13026</v>
      </c>
      <c r="N281" s="1253">
        <v>1</v>
      </c>
      <c r="O281" s="1254">
        <v>6</v>
      </c>
      <c r="P281" s="1252">
        <v>6213</v>
      </c>
    </row>
    <row r="282" spans="1:16" ht="24">
      <c r="A282" s="1245" t="s">
        <v>2420</v>
      </c>
      <c r="B282" s="1246" t="s">
        <v>1880</v>
      </c>
      <c r="C282" s="1246" t="s">
        <v>504</v>
      </c>
      <c r="D282" s="1200" t="s">
        <v>3107</v>
      </c>
      <c r="E282" s="1247">
        <v>930</v>
      </c>
      <c r="F282" s="1248">
        <v>17617212</v>
      </c>
      <c r="G282" s="1200" t="s">
        <v>3110</v>
      </c>
      <c r="H282" s="1191" t="s">
        <v>1592</v>
      </c>
      <c r="I282" s="1246" t="s">
        <v>618</v>
      </c>
      <c r="J282" s="1249" t="s">
        <v>619</v>
      </c>
      <c r="K282" s="1250">
        <v>1</v>
      </c>
      <c r="L282" s="1251">
        <v>12</v>
      </c>
      <c r="M282" s="1252">
        <v>12764.400000000003</v>
      </c>
      <c r="N282" s="1253">
        <v>1</v>
      </c>
      <c r="O282" s="1254">
        <v>6</v>
      </c>
      <c r="P282" s="1252">
        <v>6082.2</v>
      </c>
    </row>
    <row r="283" spans="1:16" ht="24">
      <c r="A283" s="1245" t="s">
        <v>2420</v>
      </c>
      <c r="B283" s="1246" t="s">
        <v>1880</v>
      </c>
      <c r="C283" s="1246" t="s">
        <v>504</v>
      </c>
      <c r="D283" s="1200" t="s">
        <v>3107</v>
      </c>
      <c r="E283" s="1247">
        <v>930</v>
      </c>
      <c r="F283" s="1248">
        <v>3494298</v>
      </c>
      <c r="G283" s="1200" t="s">
        <v>3109</v>
      </c>
      <c r="H283" s="1191" t="s">
        <v>1592</v>
      </c>
      <c r="I283" s="1246" t="s">
        <v>618</v>
      </c>
      <c r="J283" s="1249" t="s">
        <v>619</v>
      </c>
      <c r="K283" s="1250">
        <v>1</v>
      </c>
      <c r="L283" s="1251">
        <v>12</v>
      </c>
      <c r="M283" s="1252">
        <v>12764.400000000003</v>
      </c>
      <c r="N283" s="1253">
        <v>1</v>
      </c>
      <c r="O283" s="1254">
        <v>6</v>
      </c>
      <c r="P283" s="1252">
        <v>6082.2</v>
      </c>
    </row>
    <row r="284" spans="1:16" ht="24">
      <c r="A284" s="1245" t="s">
        <v>2420</v>
      </c>
      <c r="B284" s="1246" t="s">
        <v>1880</v>
      </c>
      <c r="C284" s="1246" t="s">
        <v>504</v>
      </c>
      <c r="D284" s="1200" t="s">
        <v>3107</v>
      </c>
      <c r="E284" s="1247">
        <v>930</v>
      </c>
      <c r="F284" s="1248">
        <v>42297258</v>
      </c>
      <c r="G284" s="1200" t="s">
        <v>3108</v>
      </c>
      <c r="H284" s="1191" t="s">
        <v>1592</v>
      </c>
      <c r="I284" s="1246" t="s">
        <v>618</v>
      </c>
      <c r="J284" s="1249" t="s">
        <v>619</v>
      </c>
      <c r="K284" s="1250">
        <v>1</v>
      </c>
      <c r="L284" s="1251">
        <v>12</v>
      </c>
      <c r="M284" s="1252">
        <v>12764.400000000003</v>
      </c>
      <c r="N284" s="1253">
        <v>1</v>
      </c>
      <c r="O284" s="1254">
        <v>6</v>
      </c>
      <c r="P284" s="1252">
        <v>6082.2</v>
      </c>
    </row>
    <row r="285" spans="1:16" ht="24">
      <c r="A285" s="1245" t="s">
        <v>2420</v>
      </c>
      <c r="B285" s="1246" t="s">
        <v>1880</v>
      </c>
      <c r="C285" s="1246" t="s">
        <v>504</v>
      </c>
      <c r="D285" s="1200" t="s">
        <v>3107</v>
      </c>
      <c r="E285" s="1247">
        <v>950</v>
      </c>
      <c r="F285" s="1248">
        <v>10328794</v>
      </c>
      <c r="G285" s="1200" t="s">
        <v>3106</v>
      </c>
      <c r="H285" s="1191" t="s">
        <v>1592</v>
      </c>
      <c r="I285" s="1246" t="s">
        <v>618</v>
      </c>
      <c r="J285" s="1249" t="s">
        <v>619</v>
      </c>
      <c r="K285" s="1250">
        <v>1</v>
      </c>
      <c r="L285" s="1251">
        <v>12</v>
      </c>
      <c r="M285" s="1252">
        <v>13026</v>
      </c>
      <c r="N285" s="1253">
        <v>1</v>
      </c>
      <c r="O285" s="1254">
        <v>6</v>
      </c>
      <c r="P285" s="1252">
        <v>6213</v>
      </c>
    </row>
    <row r="286" spans="1:16">
      <c r="A286" s="1245" t="s">
        <v>2420</v>
      </c>
      <c r="B286" s="1246" t="s">
        <v>1880</v>
      </c>
      <c r="C286" s="1246" t="s">
        <v>504</v>
      </c>
      <c r="D286" s="1200" t="s">
        <v>2829</v>
      </c>
      <c r="E286" s="1247">
        <v>1000</v>
      </c>
      <c r="F286" s="1248">
        <v>40233224</v>
      </c>
      <c r="G286" s="1200" t="s">
        <v>3105</v>
      </c>
      <c r="H286" s="1191" t="s">
        <v>1592</v>
      </c>
      <c r="I286" s="1246" t="s">
        <v>618</v>
      </c>
      <c r="J286" s="1249" t="s">
        <v>619</v>
      </c>
      <c r="K286" s="1250">
        <v>1</v>
      </c>
      <c r="L286" s="1251">
        <v>12</v>
      </c>
      <c r="M286" s="1252">
        <v>13680</v>
      </c>
      <c r="N286" s="1253">
        <v>1</v>
      </c>
      <c r="O286" s="1254">
        <v>6</v>
      </c>
      <c r="P286" s="1252">
        <v>6540</v>
      </c>
    </row>
    <row r="287" spans="1:16" ht="36">
      <c r="A287" s="1245" t="s">
        <v>2420</v>
      </c>
      <c r="B287" s="1246" t="s">
        <v>1880</v>
      </c>
      <c r="C287" s="1246" t="s">
        <v>504</v>
      </c>
      <c r="D287" s="1200" t="s">
        <v>3104</v>
      </c>
      <c r="E287" s="1247">
        <v>4000</v>
      </c>
      <c r="F287" s="1248">
        <v>45544970</v>
      </c>
      <c r="G287" s="1200" t="s">
        <v>3103</v>
      </c>
      <c r="H287" s="1191" t="s">
        <v>1842</v>
      </c>
      <c r="I287" s="1246" t="s">
        <v>569</v>
      </c>
      <c r="J287" s="1249" t="s">
        <v>1842</v>
      </c>
      <c r="K287" s="1250">
        <v>1</v>
      </c>
      <c r="L287" s="1251">
        <v>12</v>
      </c>
      <c r="M287" s="1252">
        <v>49960.80000000001</v>
      </c>
      <c r="N287" s="1253">
        <v>1</v>
      </c>
      <c r="O287" s="1254">
        <v>6</v>
      </c>
      <c r="P287" s="1252">
        <v>25044.9</v>
      </c>
    </row>
    <row r="288" spans="1:16" ht="24">
      <c r="A288" s="1245" t="s">
        <v>2420</v>
      </c>
      <c r="B288" s="1246" t="s">
        <v>1880</v>
      </c>
      <c r="C288" s="1246" t="s">
        <v>504</v>
      </c>
      <c r="D288" s="1200" t="s">
        <v>3102</v>
      </c>
      <c r="E288" s="1247">
        <v>4000</v>
      </c>
      <c r="F288" s="1248">
        <v>40733278</v>
      </c>
      <c r="G288" s="1200" t="s">
        <v>3101</v>
      </c>
      <c r="H288" s="1191" t="s">
        <v>2447</v>
      </c>
      <c r="I288" s="1246" t="s">
        <v>569</v>
      </c>
      <c r="J288" s="1249" t="s">
        <v>2447</v>
      </c>
      <c r="K288" s="1250">
        <v>1</v>
      </c>
      <c r="L288" s="1251">
        <v>12</v>
      </c>
      <c r="M288" s="1252">
        <v>49360.80000000001</v>
      </c>
      <c r="N288" s="1253">
        <v>1</v>
      </c>
      <c r="O288" s="1254">
        <v>6</v>
      </c>
      <c r="P288" s="1252">
        <v>25044.9</v>
      </c>
    </row>
    <row r="289" spans="1:16" ht="48">
      <c r="A289" s="1245" t="s">
        <v>2420</v>
      </c>
      <c r="B289" s="1246" t="s">
        <v>1880</v>
      </c>
      <c r="C289" s="1246" t="s">
        <v>504</v>
      </c>
      <c r="D289" s="1200" t="s">
        <v>3100</v>
      </c>
      <c r="E289" s="1247">
        <v>5000</v>
      </c>
      <c r="F289" s="1248">
        <v>41778026</v>
      </c>
      <c r="G289" s="1200" t="s">
        <v>3099</v>
      </c>
      <c r="H289" s="1191" t="s">
        <v>3098</v>
      </c>
      <c r="I289" s="1246" t="s">
        <v>569</v>
      </c>
      <c r="J289" s="1249" t="s">
        <v>3098</v>
      </c>
      <c r="K289" s="1250">
        <v>1</v>
      </c>
      <c r="L289" s="1251">
        <v>12</v>
      </c>
      <c r="M289" s="1252">
        <v>61984.80000000001</v>
      </c>
      <c r="N289" s="1253">
        <v>1</v>
      </c>
      <c r="O289" s="1254">
        <v>6</v>
      </c>
      <c r="P289" s="1252">
        <v>31044.9</v>
      </c>
    </row>
    <row r="290" spans="1:16" ht="24">
      <c r="A290" s="1245" t="s">
        <v>2420</v>
      </c>
      <c r="B290" s="1246" t="s">
        <v>1880</v>
      </c>
      <c r="C290" s="1246" t="s">
        <v>504</v>
      </c>
      <c r="D290" s="1200" t="s">
        <v>3097</v>
      </c>
      <c r="E290" s="1247">
        <v>4000</v>
      </c>
      <c r="F290" s="1248">
        <v>43293211</v>
      </c>
      <c r="G290" s="1200" t="s">
        <v>3096</v>
      </c>
      <c r="H290" s="1191" t="s">
        <v>1784</v>
      </c>
      <c r="I290" s="1246" t="s">
        <v>1664</v>
      </c>
      <c r="J290" s="1249" t="s">
        <v>1784</v>
      </c>
      <c r="K290" s="1250">
        <v>1</v>
      </c>
      <c r="L290" s="1251">
        <v>12</v>
      </c>
      <c r="M290" s="1252">
        <v>49360.80000000001</v>
      </c>
      <c r="N290" s="1253">
        <v>1</v>
      </c>
      <c r="O290" s="1254">
        <v>6</v>
      </c>
      <c r="P290" s="1252">
        <v>25044.9</v>
      </c>
    </row>
    <row r="291" spans="1:16" ht="24">
      <c r="A291" s="1245" t="s">
        <v>2420</v>
      </c>
      <c r="B291" s="1246" t="s">
        <v>1880</v>
      </c>
      <c r="C291" s="1246" t="s">
        <v>504</v>
      </c>
      <c r="D291" s="1200" t="s">
        <v>3095</v>
      </c>
      <c r="E291" s="1247">
        <v>5500</v>
      </c>
      <c r="F291" s="1248">
        <v>43316772</v>
      </c>
      <c r="G291" s="1200" t="s">
        <v>3094</v>
      </c>
      <c r="H291" s="1191" t="s">
        <v>2447</v>
      </c>
      <c r="I291" s="1246" t="s">
        <v>569</v>
      </c>
      <c r="J291" s="1249" t="s">
        <v>2447</v>
      </c>
      <c r="K291" s="1250">
        <v>1</v>
      </c>
      <c r="L291" s="1251">
        <v>12</v>
      </c>
      <c r="M291" s="1252">
        <v>67360.800000000003</v>
      </c>
      <c r="N291" s="1253">
        <v>1</v>
      </c>
      <c r="O291" s="1254">
        <v>6</v>
      </c>
      <c r="P291" s="1252">
        <v>34044.9</v>
      </c>
    </row>
    <row r="292" spans="1:16" ht="24">
      <c r="A292" s="1245" t="s">
        <v>2420</v>
      </c>
      <c r="B292" s="1246" t="s">
        <v>1880</v>
      </c>
      <c r="C292" s="1246" t="s">
        <v>504</v>
      </c>
      <c r="D292" s="1200" t="s">
        <v>2839</v>
      </c>
      <c r="E292" s="1247">
        <v>2500</v>
      </c>
      <c r="F292" s="1248">
        <v>40684155</v>
      </c>
      <c r="G292" s="1200" t="s">
        <v>3093</v>
      </c>
      <c r="H292" s="1191" t="s">
        <v>2696</v>
      </c>
      <c r="I292" s="1246" t="s">
        <v>569</v>
      </c>
      <c r="J292" s="1249" t="s">
        <v>1513</v>
      </c>
      <c r="K292" s="1250">
        <v>1</v>
      </c>
      <c r="L292" s="1251">
        <v>12</v>
      </c>
      <c r="M292" s="1252">
        <v>31960.800000000007</v>
      </c>
      <c r="N292" s="1253">
        <v>1</v>
      </c>
      <c r="O292" s="1254">
        <v>6</v>
      </c>
      <c r="P292" s="1252">
        <v>16500.900000000001</v>
      </c>
    </row>
    <row r="293" spans="1:16" ht="24">
      <c r="A293" s="1245" t="s">
        <v>2420</v>
      </c>
      <c r="B293" s="1246" t="s">
        <v>1880</v>
      </c>
      <c r="C293" s="1246" t="s">
        <v>504</v>
      </c>
      <c r="D293" s="1200" t="s">
        <v>2839</v>
      </c>
      <c r="E293" s="1247">
        <v>2500</v>
      </c>
      <c r="F293" s="1248">
        <v>40499404</v>
      </c>
      <c r="G293" s="1200" t="s">
        <v>3092</v>
      </c>
      <c r="H293" s="1191" t="s">
        <v>2696</v>
      </c>
      <c r="I293" s="1246" t="s">
        <v>569</v>
      </c>
      <c r="J293" s="1249" t="s">
        <v>1513</v>
      </c>
      <c r="K293" s="1250">
        <v>1</v>
      </c>
      <c r="L293" s="1251">
        <v>12</v>
      </c>
      <c r="M293" s="1252">
        <v>31960.800000000007</v>
      </c>
      <c r="N293" s="1253">
        <v>1</v>
      </c>
      <c r="O293" s="1254">
        <v>6</v>
      </c>
      <c r="P293" s="1252">
        <v>16044.9</v>
      </c>
    </row>
    <row r="294" spans="1:16" ht="24">
      <c r="A294" s="1245" t="s">
        <v>2420</v>
      </c>
      <c r="B294" s="1246" t="s">
        <v>1880</v>
      </c>
      <c r="C294" s="1246" t="s">
        <v>504</v>
      </c>
      <c r="D294" s="1200" t="s">
        <v>2839</v>
      </c>
      <c r="E294" s="1247">
        <v>2500</v>
      </c>
      <c r="F294" s="1248">
        <v>43698754</v>
      </c>
      <c r="G294" s="1200" t="s">
        <v>3091</v>
      </c>
      <c r="H294" s="1191" t="s">
        <v>2696</v>
      </c>
      <c r="I294" s="1246" t="s">
        <v>569</v>
      </c>
      <c r="J294" s="1249" t="s">
        <v>1513</v>
      </c>
      <c r="K294" s="1250">
        <v>1</v>
      </c>
      <c r="L294" s="1251">
        <v>12</v>
      </c>
      <c r="M294" s="1252">
        <v>31960.800000000007</v>
      </c>
      <c r="N294" s="1253">
        <v>1</v>
      </c>
      <c r="O294" s="1254">
        <v>6</v>
      </c>
      <c r="P294" s="1252">
        <v>16500.900000000001</v>
      </c>
    </row>
    <row r="295" spans="1:16" ht="24">
      <c r="A295" s="1245" t="s">
        <v>2420</v>
      </c>
      <c r="B295" s="1246" t="s">
        <v>1880</v>
      </c>
      <c r="C295" s="1246" t="s">
        <v>504</v>
      </c>
      <c r="D295" s="1200" t="s">
        <v>2839</v>
      </c>
      <c r="E295" s="1247">
        <v>2500</v>
      </c>
      <c r="F295" s="1248">
        <v>44378232</v>
      </c>
      <c r="G295" s="1200" t="s">
        <v>3090</v>
      </c>
      <c r="H295" s="1191" t="s">
        <v>2696</v>
      </c>
      <c r="I295" s="1246" t="s">
        <v>569</v>
      </c>
      <c r="J295" s="1249" t="s">
        <v>1513</v>
      </c>
      <c r="K295" s="1250">
        <v>1</v>
      </c>
      <c r="L295" s="1251">
        <v>12</v>
      </c>
      <c r="M295" s="1252">
        <v>31960.800000000007</v>
      </c>
      <c r="N295" s="1253">
        <v>1</v>
      </c>
      <c r="O295" s="1254">
        <v>6</v>
      </c>
      <c r="P295" s="1252">
        <v>16500.900000000001</v>
      </c>
    </row>
    <row r="296" spans="1:16" ht="24">
      <c r="A296" s="1245" t="s">
        <v>2420</v>
      </c>
      <c r="B296" s="1246" t="s">
        <v>1880</v>
      </c>
      <c r="C296" s="1246" t="s">
        <v>504</v>
      </c>
      <c r="D296" s="1200" t="s">
        <v>3089</v>
      </c>
      <c r="E296" s="1247">
        <v>2200</v>
      </c>
      <c r="F296" s="1248">
        <v>72683141</v>
      </c>
      <c r="G296" s="1200" t="s">
        <v>3088</v>
      </c>
      <c r="H296" s="1191" t="s">
        <v>2944</v>
      </c>
      <c r="I296" s="1246" t="s">
        <v>569</v>
      </c>
      <c r="J296" s="1249" t="s">
        <v>2944</v>
      </c>
      <c r="K296" s="1250">
        <v>1</v>
      </c>
      <c r="L296" s="1251">
        <v>4</v>
      </c>
      <c r="M296" s="1252">
        <v>8862.43</v>
      </c>
      <c r="N296" s="1253">
        <v>0</v>
      </c>
      <c r="O296" s="1254">
        <v>0</v>
      </c>
      <c r="P296" s="1252">
        <v>0</v>
      </c>
    </row>
    <row r="297" spans="1:16" ht="24">
      <c r="A297" s="1245" t="s">
        <v>2420</v>
      </c>
      <c r="B297" s="1246" t="s">
        <v>1880</v>
      </c>
      <c r="C297" s="1246" t="s">
        <v>504</v>
      </c>
      <c r="D297" s="1200" t="s">
        <v>2839</v>
      </c>
      <c r="E297" s="1247">
        <v>2500</v>
      </c>
      <c r="F297" s="1248">
        <v>45836180</v>
      </c>
      <c r="G297" s="1200" t="s">
        <v>3087</v>
      </c>
      <c r="H297" s="1191" t="s">
        <v>2696</v>
      </c>
      <c r="I297" s="1246" t="s">
        <v>569</v>
      </c>
      <c r="J297" s="1249" t="s">
        <v>1513</v>
      </c>
      <c r="K297" s="1250">
        <v>1</v>
      </c>
      <c r="L297" s="1251">
        <v>12</v>
      </c>
      <c r="M297" s="1252">
        <v>31984.800000000007</v>
      </c>
      <c r="N297" s="1253">
        <v>1</v>
      </c>
      <c r="O297" s="1254">
        <v>6</v>
      </c>
      <c r="P297" s="1252">
        <v>16500.900000000001</v>
      </c>
    </row>
    <row r="298" spans="1:16" ht="24">
      <c r="A298" s="1245" t="s">
        <v>2420</v>
      </c>
      <c r="B298" s="1246" t="s">
        <v>1880</v>
      </c>
      <c r="C298" s="1246" t="s">
        <v>504</v>
      </c>
      <c r="D298" s="1200" t="s">
        <v>2839</v>
      </c>
      <c r="E298" s="1247">
        <v>2500</v>
      </c>
      <c r="F298" s="1248">
        <v>43724538</v>
      </c>
      <c r="G298" s="1200" t="s">
        <v>3086</v>
      </c>
      <c r="H298" s="1191" t="s">
        <v>2696</v>
      </c>
      <c r="I298" s="1246" t="s">
        <v>569</v>
      </c>
      <c r="J298" s="1249" t="s">
        <v>1513</v>
      </c>
      <c r="K298" s="1250">
        <v>1</v>
      </c>
      <c r="L298" s="1251">
        <v>12</v>
      </c>
      <c r="M298" s="1252">
        <v>31960.800000000007</v>
      </c>
      <c r="N298" s="1253">
        <v>1</v>
      </c>
      <c r="O298" s="1254">
        <v>6</v>
      </c>
      <c r="P298" s="1252">
        <v>16044.9</v>
      </c>
    </row>
    <row r="299" spans="1:16" ht="24">
      <c r="A299" s="1245" t="s">
        <v>2420</v>
      </c>
      <c r="B299" s="1246" t="s">
        <v>1880</v>
      </c>
      <c r="C299" s="1246" t="s">
        <v>504</v>
      </c>
      <c r="D299" s="1200" t="s">
        <v>3085</v>
      </c>
      <c r="E299" s="1247">
        <v>5000</v>
      </c>
      <c r="F299" s="1248">
        <v>43287802</v>
      </c>
      <c r="G299" s="1200" t="s">
        <v>3084</v>
      </c>
      <c r="H299" s="1191" t="s">
        <v>2447</v>
      </c>
      <c r="I299" s="1246" t="s">
        <v>569</v>
      </c>
      <c r="J299" s="1249" t="s">
        <v>2489</v>
      </c>
      <c r="K299" s="1250">
        <v>1</v>
      </c>
      <c r="L299" s="1251">
        <v>12</v>
      </c>
      <c r="M299" s="1252">
        <v>61360.80000000001</v>
      </c>
      <c r="N299" s="1253">
        <v>1</v>
      </c>
      <c r="O299" s="1254">
        <v>6</v>
      </c>
      <c r="P299" s="1252">
        <v>31044.9</v>
      </c>
    </row>
    <row r="300" spans="1:16" ht="36">
      <c r="A300" s="1245" t="s">
        <v>2420</v>
      </c>
      <c r="B300" s="1246" t="s">
        <v>1880</v>
      </c>
      <c r="C300" s="1246" t="s">
        <v>504</v>
      </c>
      <c r="D300" s="1200" t="s">
        <v>3083</v>
      </c>
      <c r="E300" s="1247">
        <v>5500</v>
      </c>
      <c r="F300" s="1248">
        <v>43450583</v>
      </c>
      <c r="G300" s="1200" t="s">
        <v>3082</v>
      </c>
      <c r="H300" s="1191" t="s">
        <v>2447</v>
      </c>
      <c r="I300" s="1246" t="s">
        <v>569</v>
      </c>
      <c r="J300" s="1249" t="s">
        <v>3081</v>
      </c>
      <c r="K300" s="1250">
        <v>1</v>
      </c>
      <c r="L300" s="1251">
        <v>12</v>
      </c>
      <c r="M300" s="1252">
        <v>67984.800000000003</v>
      </c>
      <c r="N300" s="1253">
        <v>1</v>
      </c>
      <c r="O300" s="1254">
        <v>6</v>
      </c>
      <c r="P300" s="1252">
        <v>34044.9</v>
      </c>
    </row>
    <row r="301" spans="1:16" ht="24">
      <c r="A301" s="1245" t="s">
        <v>2420</v>
      </c>
      <c r="B301" s="1246" t="s">
        <v>1880</v>
      </c>
      <c r="C301" s="1246" t="s">
        <v>504</v>
      </c>
      <c r="D301" s="1200" t="s">
        <v>3080</v>
      </c>
      <c r="E301" s="1247">
        <v>2500</v>
      </c>
      <c r="F301" s="1248">
        <v>45009375</v>
      </c>
      <c r="G301" s="1200" t="s">
        <v>3079</v>
      </c>
      <c r="H301" s="1191" t="s">
        <v>2097</v>
      </c>
      <c r="I301" s="1246" t="s">
        <v>569</v>
      </c>
      <c r="J301" s="1249" t="s">
        <v>3078</v>
      </c>
      <c r="K301" s="1250">
        <v>1</v>
      </c>
      <c r="L301" s="1251">
        <v>3</v>
      </c>
      <c r="M301" s="1252">
        <v>8040.2000000000007</v>
      </c>
      <c r="N301" s="1253">
        <v>1</v>
      </c>
      <c r="O301" s="1254">
        <v>6</v>
      </c>
      <c r="P301" s="1252">
        <v>16044.9</v>
      </c>
    </row>
    <row r="302" spans="1:16" ht="48">
      <c r="A302" s="1245" t="s">
        <v>2420</v>
      </c>
      <c r="B302" s="1246" t="s">
        <v>1880</v>
      </c>
      <c r="C302" s="1246" t="s">
        <v>504</v>
      </c>
      <c r="D302" s="1200" t="s">
        <v>3076</v>
      </c>
      <c r="E302" s="1247">
        <v>8995</v>
      </c>
      <c r="F302" s="1248">
        <v>18212958</v>
      </c>
      <c r="G302" s="1200" t="s">
        <v>3077</v>
      </c>
      <c r="H302" s="1191" t="s">
        <v>1695</v>
      </c>
      <c r="I302" s="1246" t="s">
        <v>569</v>
      </c>
      <c r="J302" s="1249" t="s">
        <v>2579</v>
      </c>
      <c r="K302" s="1250">
        <v>1</v>
      </c>
      <c r="L302" s="1251">
        <v>12</v>
      </c>
      <c r="M302" s="1252">
        <v>109924.79999999997</v>
      </c>
      <c r="N302" s="1253">
        <v>1</v>
      </c>
      <c r="O302" s="1254">
        <v>6</v>
      </c>
      <c r="P302" s="1252">
        <v>55014.9</v>
      </c>
    </row>
    <row r="303" spans="1:16" ht="48">
      <c r="A303" s="1245" t="s">
        <v>2420</v>
      </c>
      <c r="B303" s="1246" t="s">
        <v>1880</v>
      </c>
      <c r="C303" s="1246" t="s">
        <v>504</v>
      </c>
      <c r="D303" s="1200" t="s">
        <v>3076</v>
      </c>
      <c r="E303" s="1247">
        <v>8995</v>
      </c>
      <c r="F303" s="1248">
        <v>44089353</v>
      </c>
      <c r="G303" s="1200" t="s">
        <v>3075</v>
      </c>
      <c r="H303" s="1191" t="s">
        <v>1695</v>
      </c>
      <c r="I303" s="1246" t="s">
        <v>569</v>
      </c>
      <c r="J303" s="1249" t="s">
        <v>3074</v>
      </c>
      <c r="K303" s="1250">
        <v>1</v>
      </c>
      <c r="L303" s="1251">
        <v>12</v>
      </c>
      <c r="M303" s="1252">
        <v>109924.79999999997</v>
      </c>
      <c r="N303" s="1253">
        <v>1</v>
      </c>
      <c r="O303" s="1254">
        <v>6</v>
      </c>
      <c r="P303" s="1252">
        <v>55014.9</v>
      </c>
    </row>
    <row r="304" spans="1:16" ht="48">
      <c r="A304" s="1245" t="s">
        <v>2420</v>
      </c>
      <c r="B304" s="1246" t="s">
        <v>1880</v>
      </c>
      <c r="C304" s="1246" t="s">
        <v>504</v>
      </c>
      <c r="D304" s="1200" t="s">
        <v>3073</v>
      </c>
      <c r="E304" s="1247">
        <v>4450</v>
      </c>
      <c r="F304" s="1248">
        <v>6445910</v>
      </c>
      <c r="G304" s="1200" t="s">
        <v>3072</v>
      </c>
      <c r="H304" s="1191" t="s">
        <v>659</v>
      </c>
      <c r="I304" s="1246" t="s">
        <v>569</v>
      </c>
      <c r="J304" s="1249" t="s">
        <v>3071</v>
      </c>
      <c r="K304" s="1250">
        <v>1</v>
      </c>
      <c r="L304" s="1251">
        <v>12</v>
      </c>
      <c r="M304" s="1252">
        <v>55384.80000000001</v>
      </c>
      <c r="N304" s="1253">
        <v>1</v>
      </c>
      <c r="O304" s="1254">
        <v>6</v>
      </c>
      <c r="P304" s="1252">
        <v>27744.9</v>
      </c>
    </row>
    <row r="305" spans="1:16" ht="24">
      <c r="A305" s="1245" t="s">
        <v>2420</v>
      </c>
      <c r="B305" s="1246" t="s">
        <v>1880</v>
      </c>
      <c r="C305" s="1246" t="s">
        <v>504</v>
      </c>
      <c r="D305" s="1200" t="s">
        <v>3070</v>
      </c>
      <c r="E305" s="1247">
        <v>5000</v>
      </c>
      <c r="F305" s="1248">
        <v>9729496</v>
      </c>
      <c r="G305" s="1200" t="s">
        <v>3069</v>
      </c>
      <c r="H305" s="1191" t="s">
        <v>3068</v>
      </c>
      <c r="I305" s="1246" t="s">
        <v>569</v>
      </c>
      <c r="J305" s="1249" t="s">
        <v>3067</v>
      </c>
      <c r="K305" s="1250">
        <v>1</v>
      </c>
      <c r="L305" s="1251">
        <v>12</v>
      </c>
      <c r="M305" s="1252">
        <v>61984.80000000001</v>
      </c>
      <c r="N305" s="1253">
        <v>1</v>
      </c>
      <c r="O305" s="1254">
        <v>6</v>
      </c>
      <c r="P305" s="1252">
        <v>31044.9</v>
      </c>
    </row>
    <row r="306" spans="1:16" ht="24">
      <c r="A306" s="1245" t="s">
        <v>2420</v>
      </c>
      <c r="B306" s="1246" t="s">
        <v>1880</v>
      </c>
      <c r="C306" s="1246" t="s">
        <v>504</v>
      </c>
      <c r="D306" s="1200" t="s">
        <v>3066</v>
      </c>
      <c r="E306" s="1247">
        <v>5000</v>
      </c>
      <c r="F306" s="1248">
        <v>42137964</v>
      </c>
      <c r="G306" s="1200" t="s">
        <v>3065</v>
      </c>
      <c r="H306" s="1191" t="s">
        <v>2237</v>
      </c>
      <c r="I306" s="1246" t="s">
        <v>569</v>
      </c>
      <c r="J306" s="1249" t="s">
        <v>2237</v>
      </c>
      <c r="K306" s="1250">
        <v>1</v>
      </c>
      <c r="L306" s="1251">
        <v>7</v>
      </c>
      <c r="M306" s="1252">
        <v>36117.800000000003</v>
      </c>
      <c r="N306" s="1253">
        <v>0</v>
      </c>
      <c r="O306" s="1254">
        <v>0</v>
      </c>
      <c r="P306" s="1252">
        <v>0</v>
      </c>
    </row>
    <row r="307" spans="1:16" ht="24">
      <c r="A307" s="1245" t="s">
        <v>2420</v>
      </c>
      <c r="B307" s="1246" t="s">
        <v>1880</v>
      </c>
      <c r="C307" s="1246" t="s">
        <v>504</v>
      </c>
      <c r="D307" s="1200" t="s">
        <v>3064</v>
      </c>
      <c r="E307" s="1247">
        <v>2500</v>
      </c>
      <c r="F307" s="1248">
        <v>71642734</v>
      </c>
      <c r="G307" s="1200" t="s">
        <v>3063</v>
      </c>
      <c r="H307" s="1191" t="s">
        <v>994</v>
      </c>
      <c r="I307" s="1246" t="s">
        <v>569</v>
      </c>
      <c r="J307" s="1249" t="s">
        <v>3062</v>
      </c>
      <c r="K307" s="1250">
        <v>1</v>
      </c>
      <c r="L307" s="1251">
        <v>12</v>
      </c>
      <c r="M307" s="1252">
        <v>31960.800000000007</v>
      </c>
      <c r="N307" s="1253">
        <v>1</v>
      </c>
      <c r="O307" s="1254">
        <v>6</v>
      </c>
      <c r="P307" s="1252">
        <v>16044.9</v>
      </c>
    </row>
    <row r="308" spans="1:16">
      <c r="A308" s="1245" t="s">
        <v>2420</v>
      </c>
      <c r="B308" s="1246" t="s">
        <v>1880</v>
      </c>
      <c r="C308" s="1246" t="s">
        <v>504</v>
      </c>
      <c r="D308" s="1200" t="s">
        <v>2829</v>
      </c>
      <c r="E308" s="1247">
        <v>1000</v>
      </c>
      <c r="F308" s="1248">
        <v>8145352</v>
      </c>
      <c r="G308" s="1200" t="s">
        <v>3061</v>
      </c>
      <c r="H308" s="1191" t="s">
        <v>1592</v>
      </c>
      <c r="I308" s="1246" t="s">
        <v>618</v>
      </c>
      <c r="J308" s="1249" t="s">
        <v>619</v>
      </c>
      <c r="K308" s="1250">
        <v>1</v>
      </c>
      <c r="L308" s="1251">
        <v>12</v>
      </c>
      <c r="M308" s="1252">
        <v>13680</v>
      </c>
      <c r="N308" s="1253">
        <v>1</v>
      </c>
      <c r="O308" s="1254">
        <v>6</v>
      </c>
      <c r="P308" s="1252">
        <v>6540</v>
      </c>
    </row>
    <row r="309" spans="1:16" ht="24">
      <c r="A309" s="1245" t="s">
        <v>2420</v>
      </c>
      <c r="B309" s="1246" t="s">
        <v>1880</v>
      </c>
      <c r="C309" s="1246" t="s">
        <v>504</v>
      </c>
      <c r="D309" s="1200" t="s">
        <v>3060</v>
      </c>
      <c r="E309" s="1247">
        <v>1000</v>
      </c>
      <c r="F309" s="1248">
        <v>43937364</v>
      </c>
      <c r="G309" s="1200" t="s">
        <v>3059</v>
      </c>
      <c r="H309" s="1191" t="s">
        <v>1592</v>
      </c>
      <c r="I309" s="1246" t="s">
        <v>618</v>
      </c>
      <c r="J309" s="1249" t="s">
        <v>619</v>
      </c>
      <c r="K309" s="1250">
        <v>1</v>
      </c>
      <c r="L309" s="1251">
        <v>12</v>
      </c>
      <c r="M309" s="1252">
        <v>13680</v>
      </c>
      <c r="N309" s="1253">
        <v>1</v>
      </c>
      <c r="O309" s="1254">
        <v>6</v>
      </c>
      <c r="P309" s="1252">
        <v>6540</v>
      </c>
    </row>
    <row r="310" spans="1:16" ht="24">
      <c r="A310" s="1245" t="s">
        <v>2420</v>
      </c>
      <c r="B310" s="1246" t="s">
        <v>1880</v>
      </c>
      <c r="C310" s="1246" t="s">
        <v>504</v>
      </c>
      <c r="D310" s="1200" t="s">
        <v>3058</v>
      </c>
      <c r="E310" s="1247">
        <v>1120</v>
      </c>
      <c r="F310" s="1248">
        <v>41389445</v>
      </c>
      <c r="G310" s="1200" t="s">
        <v>3057</v>
      </c>
      <c r="H310" s="1191" t="s">
        <v>1592</v>
      </c>
      <c r="I310" s="1246" t="s">
        <v>618</v>
      </c>
      <c r="J310" s="1249" t="s">
        <v>619</v>
      </c>
      <c r="K310" s="1250">
        <v>1</v>
      </c>
      <c r="L310" s="1251">
        <v>12</v>
      </c>
      <c r="M310" s="1252">
        <v>15249.599999999997</v>
      </c>
      <c r="N310" s="1253">
        <v>1</v>
      </c>
      <c r="O310" s="1254">
        <v>6</v>
      </c>
      <c r="P310" s="1252">
        <v>7324.8</v>
      </c>
    </row>
    <row r="311" spans="1:16">
      <c r="A311" s="1245" t="s">
        <v>2420</v>
      </c>
      <c r="B311" s="1246" t="s">
        <v>1880</v>
      </c>
      <c r="C311" s="1246" t="s">
        <v>504</v>
      </c>
      <c r="D311" s="1200" t="s">
        <v>2829</v>
      </c>
      <c r="E311" s="1247">
        <v>1000</v>
      </c>
      <c r="F311" s="1248">
        <v>40639089</v>
      </c>
      <c r="G311" s="1200" t="s">
        <v>3056</v>
      </c>
      <c r="H311" s="1191" t="s">
        <v>1592</v>
      </c>
      <c r="I311" s="1246" t="s">
        <v>618</v>
      </c>
      <c r="J311" s="1249" t="s">
        <v>619</v>
      </c>
      <c r="K311" s="1250">
        <v>1</v>
      </c>
      <c r="L311" s="1251">
        <v>12</v>
      </c>
      <c r="M311" s="1252">
        <v>13680</v>
      </c>
      <c r="N311" s="1253">
        <v>1</v>
      </c>
      <c r="O311" s="1254">
        <v>6</v>
      </c>
      <c r="P311" s="1252">
        <v>6540</v>
      </c>
    </row>
    <row r="312" spans="1:16" ht="24">
      <c r="A312" s="1245" t="s">
        <v>2420</v>
      </c>
      <c r="B312" s="1246" t="s">
        <v>1880</v>
      </c>
      <c r="C312" s="1246" t="s">
        <v>504</v>
      </c>
      <c r="D312" s="1200" t="s">
        <v>2829</v>
      </c>
      <c r="E312" s="1247">
        <v>1000</v>
      </c>
      <c r="F312" s="1248">
        <v>25493497</v>
      </c>
      <c r="G312" s="1200" t="s">
        <v>3055</v>
      </c>
      <c r="H312" s="1191" t="s">
        <v>1592</v>
      </c>
      <c r="I312" s="1246" t="s">
        <v>618</v>
      </c>
      <c r="J312" s="1249" t="s">
        <v>619</v>
      </c>
      <c r="K312" s="1250">
        <v>1</v>
      </c>
      <c r="L312" s="1251">
        <v>12</v>
      </c>
      <c r="M312" s="1252">
        <v>13680</v>
      </c>
      <c r="N312" s="1253">
        <v>1</v>
      </c>
      <c r="O312" s="1254">
        <v>6</v>
      </c>
      <c r="P312" s="1252">
        <v>6540</v>
      </c>
    </row>
    <row r="313" spans="1:16">
      <c r="A313" s="1245" t="s">
        <v>2420</v>
      </c>
      <c r="B313" s="1246" t="s">
        <v>1880</v>
      </c>
      <c r="C313" s="1246" t="s">
        <v>504</v>
      </c>
      <c r="D313" s="1200" t="s">
        <v>2829</v>
      </c>
      <c r="E313" s="1247">
        <v>1000</v>
      </c>
      <c r="F313" s="1248">
        <v>6662155</v>
      </c>
      <c r="G313" s="1200" t="s">
        <v>3054</v>
      </c>
      <c r="H313" s="1191" t="s">
        <v>1592</v>
      </c>
      <c r="I313" s="1246" t="s">
        <v>618</v>
      </c>
      <c r="J313" s="1249" t="s">
        <v>619</v>
      </c>
      <c r="K313" s="1250">
        <v>1</v>
      </c>
      <c r="L313" s="1251">
        <v>12</v>
      </c>
      <c r="M313" s="1252">
        <v>13680</v>
      </c>
      <c r="N313" s="1253">
        <v>1</v>
      </c>
      <c r="O313" s="1254">
        <v>6</v>
      </c>
      <c r="P313" s="1252">
        <v>6540</v>
      </c>
    </row>
    <row r="314" spans="1:16">
      <c r="A314" s="1245" t="s">
        <v>2420</v>
      </c>
      <c r="B314" s="1246" t="s">
        <v>1880</v>
      </c>
      <c r="C314" s="1246" t="s">
        <v>504</v>
      </c>
      <c r="D314" s="1200" t="s">
        <v>2829</v>
      </c>
      <c r="E314" s="1247">
        <v>1000</v>
      </c>
      <c r="F314" s="1248">
        <v>7748255</v>
      </c>
      <c r="G314" s="1200" t="s">
        <v>3053</v>
      </c>
      <c r="H314" s="1191" t="s">
        <v>1592</v>
      </c>
      <c r="I314" s="1246" t="s">
        <v>618</v>
      </c>
      <c r="J314" s="1249" t="s">
        <v>619</v>
      </c>
      <c r="K314" s="1250">
        <v>1</v>
      </c>
      <c r="L314" s="1251">
        <v>12</v>
      </c>
      <c r="M314" s="1252">
        <v>13680</v>
      </c>
      <c r="N314" s="1253">
        <v>1</v>
      </c>
      <c r="O314" s="1254">
        <v>6</v>
      </c>
      <c r="P314" s="1252">
        <v>6540</v>
      </c>
    </row>
    <row r="315" spans="1:16" ht="24">
      <c r="A315" s="1245" t="s">
        <v>2420</v>
      </c>
      <c r="B315" s="1246" t="s">
        <v>1880</v>
      </c>
      <c r="C315" s="1246" t="s">
        <v>504</v>
      </c>
      <c r="D315" s="1200" t="s">
        <v>2839</v>
      </c>
      <c r="E315" s="1247">
        <v>2500</v>
      </c>
      <c r="F315" s="1248">
        <v>6683124</v>
      </c>
      <c r="G315" s="1200" t="s">
        <v>3052</v>
      </c>
      <c r="H315" s="1191" t="s">
        <v>2696</v>
      </c>
      <c r="I315" s="1246" t="s">
        <v>569</v>
      </c>
      <c r="J315" s="1249" t="s">
        <v>1513</v>
      </c>
      <c r="K315" s="1250">
        <v>1</v>
      </c>
      <c r="L315" s="1251">
        <v>12</v>
      </c>
      <c r="M315" s="1252">
        <v>31960.800000000007</v>
      </c>
      <c r="N315" s="1253">
        <v>1</v>
      </c>
      <c r="O315" s="1254">
        <v>6</v>
      </c>
      <c r="P315" s="1252">
        <v>16500.900000000001</v>
      </c>
    </row>
    <row r="316" spans="1:16" ht="36">
      <c r="A316" s="1245" t="s">
        <v>2420</v>
      </c>
      <c r="B316" s="1246" t="s">
        <v>1880</v>
      </c>
      <c r="C316" s="1246" t="s">
        <v>504</v>
      </c>
      <c r="D316" s="1200" t="s">
        <v>3051</v>
      </c>
      <c r="E316" s="1247">
        <v>3600</v>
      </c>
      <c r="F316" s="1248">
        <v>7749435</v>
      </c>
      <c r="G316" s="1200" t="s">
        <v>3050</v>
      </c>
      <c r="H316" s="1191" t="s">
        <v>994</v>
      </c>
      <c r="I316" s="1246" t="s">
        <v>569</v>
      </c>
      <c r="J316" s="1249" t="s">
        <v>3049</v>
      </c>
      <c r="K316" s="1250">
        <v>1</v>
      </c>
      <c r="L316" s="1251">
        <v>12</v>
      </c>
      <c r="M316" s="1252">
        <v>45160.80000000001</v>
      </c>
      <c r="N316" s="1253">
        <v>1</v>
      </c>
      <c r="O316" s="1254">
        <v>6</v>
      </c>
      <c r="P316" s="1252">
        <v>22644.9</v>
      </c>
    </row>
    <row r="317" spans="1:16" ht="24">
      <c r="A317" s="1245" t="s">
        <v>2420</v>
      </c>
      <c r="B317" s="1246" t="s">
        <v>1880</v>
      </c>
      <c r="C317" s="1246" t="s">
        <v>504</v>
      </c>
      <c r="D317" s="1200" t="s">
        <v>3048</v>
      </c>
      <c r="E317" s="1247">
        <v>2362.5</v>
      </c>
      <c r="F317" s="1248">
        <v>6248015</v>
      </c>
      <c r="G317" s="1200" t="s">
        <v>3047</v>
      </c>
      <c r="H317" s="1191" t="s">
        <v>659</v>
      </c>
      <c r="I317" s="1246" t="s">
        <v>569</v>
      </c>
      <c r="J317" s="1249" t="s">
        <v>2859</v>
      </c>
      <c r="K317" s="1250">
        <v>1</v>
      </c>
      <c r="L317" s="1251">
        <v>12</v>
      </c>
      <c r="M317" s="1252">
        <v>30334.800000000007</v>
      </c>
      <c r="N317" s="1253">
        <v>0</v>
      </c>
      <c r="O317" s="1254">
        <v>0</v>
      </c>
      <c r="P317" s="1252">
        <v>0</v>
      </c>
    </row>
    <row r="318" spans="1:16">
      <c r="A318" s="1245" t="s">
        <v>2420</v>
      </c>
      <c r="B318" s="1246" t="s">
        <v>1880</v>
      </c>
      <c r="C318" s="1246" t="s">
        <v>504</v>
      </c>
      <c r="D318" s="1200" t="s">
        <v>3046</v>
      </c>
      <c r="E318" s="1247">
        <v>4500</v>
      </c>
      <c r="F318" s="1248">
        <v>40995151</v>
      </c>
      <c r="G318" s="1200" t="s">
        <v>3045</v>
      </c>
      <c r="H318" s="1191" t="s">
        <v>511</v>
      </c>
      <c r="I318" s="1246" t="s">
        <v>569</v>
      </c>
      <c r="J318" s="1249" t="s">
        <v>2871</v>
      </c>
      <c r="K318" s="1250">
        <v>1</v>
      </c>
      <c r="L318" s="1251">
        <v>12</v>
      </c>
      <c r="M318" s="1252">
        <v>57778.98000000001</v>
      </c>
      <c r="N318" s="1253">
        <v>1</v>
      </c>
      <c r="O318" s="1254">
        <v>6</v>
      </c>
      <c r="P318" s="1252">
        <v>28044.9</v>
      </c>
    </row>
    <row r="319" spans="1:16">
      <c r="A319" s="1245" t="s">
        <v>2420</v>
      </c>
      <c r="B319" s="1246" t="s">
        <v>1880</v>
      </c>
      <c r="C319" s="1246" t="s">
        <v>504</v>
      </c>
      <c r="D319" s="1200" t="s">
        <v>3044</v>
      </c>
      <c r="E319" s="1247">
        <v>4000</v>
      </c>
      <c r="F319" s="1248">
        <v>10550369</v>
      </c>
      <c r="G319" s="1200" t="s">
        <v>3043</v>
      </c>
      <c r="H319" s="1191" t="s">
        <v>511</v>
      </c>
      <c r="I319" s="1246" t="s">
        <v>569</v>
      </c>
      <c r="J319" s="1249" t="s">
        <v>511</v>
      </c>
      <c r="K319" s="1250">
        <v>1</v>
      </c>
      <c r="L319" s="1251">
        <v>1</v>
      </c>
      <c r="M319" s="1252">
        <v>1616.16</v>
      </c>
      <c r="N319" s="1253">
        <v>0</v>
      </c>
      <c r="O319" s="1254">
        <v>0</v>
      </c>
      <c r="P319" s="1252">
        <v>0</v>
      </c>
    </row>
    <row r="320" spans="1:16" ht="48">
      <c r="A320" s="1245" t="s">
        <v>2420</v>
      </c>
      <c r="B320" s="1246" t="s">
        <v>1880</v>
      </c>
      <c r="C320" s="1246" t="s">
        <v>504</v>
      </c>
      <c r="D320" s="1200" t="s">
        <v>3042</v>
      </c>
      <c r="E320" s="1247">
        <v>2700</v>
      </c>
      <c r="F320" s="1248">
        <v>25684398</v>
      </c>
      <c r="G320" s="1200" t="s">
        <v>3041</v>
      </c>
      <c r="H320" s="1191" t="s">
        <v>3019</v>
      </c>
      <c r="I320" s="1246" t="s">
        <v>569</v>
      </c>
      <c r="J320" s="1249" t="s">
        <v>3040</v>
      </c>
      <c r="K320" s="1250">
        <v>1</v>
      </c>
      <c r="L320" s="1251">
        <v>12</v>
      </c>
      <c r="M320" s="1252">
        <v>34360.80000000001</v>
      </c>
      <c r="N320" s="1253">
        <v>1</v>
      </c>
      <c r="O320" s="1254">
        <v>6</v>
      </c>
      <c r="P320" s="1252">
        <v>17244.900000000001</v>
      </c>
    </row>
    <row r="321" spans="1:16" ht="24">
      <c r="A321" s="1245" t="s">
        <v>2420</v>
      </c>
      <c r="B321" s="1246" t="s">
        <v>1880</v>
      </c>
      <c r="C321" s="1246" t="s">
        <v>504</v>
      </c>
      <c r="D321" s="1200" t="s">
        <v>2839</v>
      </c>
      <c r="E321" s="1247">
        <v>2500</v>
      </c>
      <c r="F321" s="1248">
        <v>15687358</v>
      </c>
      <c r="G321" s="1200" t="s">
        <v>3039</v>
      </c>
      <c r="H321" s="1191" t="s">
        <v>2696</v>
      </c>
      <c r="I321" s="1246" t="s">
        <v>569</v>
      </c>
      <c r="J321" s="1249" t="s">
        <v>1513</v>
      </c>
      <c r="K321" s="1250">
        <v>1</v>
      </c>
      <c r="L321" s="1251">
        <v>7</v>
      </c>
      <c r="M321" s="1252">
        <v>18593.8</v>
      </c>
      <c r="N321" s="1253">
        <v>0</v>
      </c>
      <c r="O321" s="1254">
        <v>0</v>
      </c>
      <c r="P321" s="1252">
        <v>0</v>
      </c>
    </row>
    <row r="322" spans="1:16" ht="36">
      <c r="A322" s="1245" t="s">
        <v>2420</v>
      </c>
      <c r="B322" s="1246" t="s">
        <v>1880</v>
      </c>
      <c r="C322" s="1246" t="s">
        <v>504</v>
      </c>
      <c r="D322" s="1200" t="s">
        <v>3038</v>
      </c>
      <c r="E322" s="1247">
        <v>3200</v>
      </c>
      <c r="F322" s="1248" t="s">
        <v>3037</v>
      </c>
      <c r="G322" s="1200" t="s">
        <v>3036</v>
      </c>
      <c r="H322" s="1191" t="s">
        <v>2879</v>
      </c>
      <c r="I322" s="1246" t="s">
        <v>569</v>
      </c>
      <c r="J322" s="1249" t="s">
        <v>2879</v>
      </c>
      <c r="K322" s="1250">
        <v>1</v>
      </c>
      <c r="L322" s="1251">
        <v>12</v>
      </c>
      <c r="M322" s="1252">
        <v>40384.80000000001</v>
      </c>
      <c r="N322" s="1253">
        <v>1</v>
      </c>
      <c r="O322" s="1254">
        <v>6</v>
      </c>
      <c r="P322" s="1252">
        <v>20244.900000000001</v>
      </c>
    </row>
    <row r="323" spans="1:16" ht="36">
      <c r="A323" s="1245" t="s">
        <v>2420</v>
      </c>
      <c r="B323" s="1246" t="s">
        <v>1880</v>
      </c>
      <c r="C323" s="1246" t="s">
        <v>504</v>
      </c>
      <c r="D323" s="1200" t="s">
        <v>3035</v>
      </c>
      <c r="E323" s="1247">
        <v>5000</v>
      </c>
      <c r="F323" s="1248">
        <v>44162136</v>
      </c>
      <c r="G323" s="1200" t="s">
        <v>3034</v>
      </c>
      <c r="H323" s="1191" t="s">
        <v>2237</v>
      </c>
      <c r="I323" s="1246" t="s">
        <v>569</v>
      </c>
      <c r="J323" s="1249" t="s">
        <v>2237</v>
      </c>
      <c r="K323" s="1250">
        <v>1</v>
      </c>
      <c r="L323" s="1251">
        <v>12</v>
      </c>
      <c r="M323" s="1252">
        <v>61984.80000000001</v>
      </c>
      <c r="N323" s="1253">
        <v>1</v>
      </c>
      <c r="O323" s="1254">
        <v>6</v>
      </c>
      <c r="P323" s="1252">
        <v>27869.08</v>
      </c>
    </row>
    <row r="324" spans="1:16" ht="24">
      <c r="A324" s="1245" t="s">
        <v>2420</v>
      </c>
      <c r="B324" s="1246" t="s">
        <v>1880</v>
      </c>
      <c r="C324" s="1246" t="s">
        <v>504</v>
      </c>
      <c r="D324" s="1200" t="s">
        <v>3010</v>
      </c>
      <c r="E324" s="1247">
        <v>2500</v>
      </c>
      <c r="F324" s="1248">
        <v>43485164</v>
      </c>
      <c r="G324" s="1200" t="s">
        <v>3033</v>
      </c>
      <c r="H324" s="1191" t="s">
        <v>2696</v>
      </c>
      <c r="I324" s="1246" t="s">
        <v>569</v>
      </c>
      <c r="J324" s="1249" t="s">
        <v>1513</v>
      </c>
      <c r="K324" s="1250">
        <v>1</v>
      </c>
      <c r="L324" s="1251">
        <v>3</v>
      </c>
      <c r="M324" s="1252">
        <v>8040.2000000000007</v>
      </c>
      <c r="N324" s="1253">
        <v>1</v>
      </c>
      <c r="O324" s="1254">
        <v>6</v>
      </c>
      <c r="P324" s="1252">
        <v>16500.900000000001</v>
      </c>
    </row>
    <row r="325" spans="1:16">
      <c r="A325" s="1245" t="s">
        <v>2420</v>
      </c>
      <c r="B325" s="1246" t="s">
        <v>1880</v>
      </c>
      <c r="C325" s="1246" t="s">
        <v>504</v>
      </c>
      <c r="D325" s="1200" t="s">
        <v>2826</v>
      </c>
      <c r="E325" s="1247">
        <v>1500</v>
      </c>
      <c r="F325" s="1248">
        <v>43299290</v>
      </c>
      <c r="G325" s="1200" t="s">
        <v>3032</v>
      </c>
      <c r="H325" s="1191" t="s">
        <v>2696</v>
      </c>
      <c r="I325" s="1246" t="s">
        <v>1664</v>
      </c>
      <c r="J325" s="1249" t="s">
        <v>1888</v>
      </c>
      <c r="K325" s="1250">
        <v>1</v>
      </c>
      <c r="L325" s="1251">
        <v>3</v>
      </c>
      <c r="M325" s="1252">
        <v>5040.2000000000007</v>
      </c>
      <c r="N325" s="1253">
        <v>1</v>
      </c>
      <c r="O325" s="1254">
        <v>6</v>
      </c>
      <c r="P325" s="1252">
        <v>10266</v>
      </c>
    </row>
    <row r="326" spans="1:16" ht="24">
      <c r="A326" s="1245" t="s">
        <v>2420</v>
      </c>
      <c r="B326" s="1246" t="s">
        <v>1880</v>
      </c>
      <c r="C326" s="1246" t="s">
        <v>504</v>
      </c>
      <c r="D326" s="1200" t="s">
        <v>2846</v>
      </c>
      <c r="E326" s="1247">
        <v>2350</v>
      </c>
      <c r="F326" s="1248">
        <v>42791990</v>
      </c>
      <c r="G326" s="1200" t="s">
        <v>3031</v>
      </c>
      <c r="H326" s="1191" t="s">
        <v>2843</v>
      </c>
      <c r="I326" s="1246" t="s">
        <v>569</v>
      </c>
      <c r="J326" s="1249" t="s">
        <v>2842</v>
      </c>
      <c r="K326" s="1250">
        <v>1</v>
      </c>
      <c r="L326" s="1251">
        <v>3</v>
      </c>
      <c r="M326" s="1252">
        <v>7590.2000000000007</v>
      </c>
      <c r="N326" s="1253">
        <v>0</v>
      </c>
      <c r="O326" s="1254">
        <v>0</v>
      </c>
      <c r="P326" s="1252">
        <v>0</v>
      </c>
    </row>
    <row r="327" spans="1:16" ht="36">
      <c r="A327" s="1245" t="s">
        <v>2420</v>
      </c>
      <c r="B327" s="1246" t="s">
        <v>1880</v>
      </c>
      <c r="C327" s="1246" t="s">
        <v>504</v>
      </c>
      <c r="D327" s="1200" t="s">
        <v>3030</v>
      </c>
      <c r="E327" s="1247">
        <v>1000</v>
      </c>
      <c r="F327" s="1248">
        <v>25563352</v>
      </c>
      <c r="G327" s="1200" t="s">
        <v>3029</v>
      </c>
      <c r="H327" s="1191" t="s">
        <v>1592</v>
      </c>
      <c r="I327" s="1246" t="s">
        <v>618</v>
      </c>
      <c r="J327" s="1249" t="s">
        <v>619</v>
      </c>
      <c r="K327" s="1250">
        <v>1</v>
      </c>
      <c r="L327" s="1251">
        <v>3</v>
      </c>
      <c r="M327" s="1252">
        <v>3470</v>
      </c>
      <c r="N327" s="1253">
        <v>1</v>
      </c>
      <c r="O327" s="1254">
        <v>6</v>
      </c>
      <c r="P327" s="1252">
        <v>6540</v>
      </c>
    </row>
    <row r="328" spans="1:16">
      <c r="A328" s="1245" t="s">
        <v>2420</v>
      </c>
      <c r="B328" s="1246" t="s">
        <v>1880</v>
      </c>
      <c r="C328" s="1246" t="s">
        <v>504</v>
      </c>
      <c r="D328" s="1200" t="s">
        <v>2826</v>
      </c>
      <c r="E328" s="1247">
        <v>1500</v>
      </c>
      <c r="F328" s="1248">
        <v>42848542</v>
      </c>
      <c r="G328" s="1200" t="s">
        <v>3028</v>
      </c>
      <c r="H328" s="1191" t="s">
        <v>2696</v>
      </c>
      <c r="I328" s="1246" t="s">
        <v>1664</v>
      </c>
      <c r="J328" s="1249" t="s">
        <v>1888</v>
      </c>
      <c r="K328" s="1250">
        <v>1</v>
      </c>
      <c r="L328" s="1251">
        <v>3</v>
      </c>
      <c r="M328" s="1252">
        <v>5040.2000000000007</v>
      </c>
      <c r="N328" s="1253">
        <v>1</v>
      </c>
      <c r="O328" s="1254">
        <v>6</v>
      </c>
      <c r="P328" s="1252">
        <v>10266</v>
      </c>
    </row>
    <row r="329" spans="1:16">
      <c r="A329" s="1245" t="s">
        <v>2420</v>
      </c>
      <c r="B329" s="1246" t="s">
        <v>1880</v>
      </c>
      <c r="C329" s="1246" t="s">
        <v>504</v>
      </c>
      <c r="D329" s="1200" t="s">
        <v>2826</v>
      </c>
      <c r="E329" s="1247">
        <v>1500</v>
      </c>
      <c r="F329" s="1248">
        <v>43070908</v>
      </c>
      <c r="G329" s="1200" t="s">
        <v>3027</v>
      </c>
      <c r="H329" s="1191" t="s">
        <v>2696</v>
      </c>
      <c r="I329" s="1246" t="s">
        <v>1664</v>
      </c>
      <c r="J329" s="1249" t="s">
        <v>1888</v>
      </c>
      <c r="K329" s="1250">
        <v>1</v>
      </c>
      <c r="L329" s="1251">
        <v>3</v>
      </c>
      <c r="M329" s="1252">
        <v>5040.2000000000007</v>
      </c>
      <c r="N329" s="1253">
        <v>1</v>
      </c>
      <c r="O329" s="1254">
        <v>6</v>
      </c>
      <c r="P329" s="1252">
        <v>10266</v>
      </c>
    </row>
    <row r="330" spans="1:16">
      <c r="A330" s="1245" t="s">
        <v>2420</v>
      </c>
      <c r="B330" s="1246" t="s">
        <v>1880</v>
      </c>
      <c r="C330" s="1246" t="s">
        <v>504</v>
      </c>
      <c r="D330" s="1200" t="s">
        <v>2881</v>
      </c>
      <c r="E330" s="1247">
        <v>2500</v>
      </c>
      <c r="F330" s="1248">
        <v>40522161</v>
      </c>
      <c r="G330" s="1200" t="s">
        <v>3026</v>
      </c>
      <c r="H330" s="1191" t="s">
        <v>2879</v>
      </c>
      <c r="I330" s="1246" t="s">
        <v>569</v>
      </c>
      <c r="J330" s="1249" t="s">
        <v>2879</v>
      </c>
      <c r="K330" s="1250">
        <v>1</v>
      </c>
      <c r="L330" s="1251">
        <v>3</v>
      </c>
      <c r="M330" s="1252">
        <v>8040.2000000000007</v>
      </c>
      <c r="N330" s="1253">
        <v>1</v>
      </c>
      <c r="O330" s="1254">
        <v>6</v>
      </c>
      <c r="P330" s="1252">
        <v>16044.9</v>
      </c>
    </row>
    <row r="331" spans="1:16" ht="36">
      <c r="A331" s="1245" t="s">
        <v>2420</v>
      </c>
      <c r="B331" s="1246" t="s">
        <v>1880</v>
      </c>
      <c r="C331" s="1246" t="s">
        <v>504</v>
      </c>
      <c r="D331" s="1200" t="s">
        <v>3025</v>
      </c>
      <c r="E331" s="1247">
        <v>6600</v>
      </c>
      <c r="F331" s="1248">
        <v>43469040</v>
      </c>
      <c r="G331" s="1200" t="s">
        <v>3024</v>
      </c>
      <c r="H331" s="1191" t="s">
        <v>2447</v>
      </c>
      <c r="I331" s="1246" t="s">
        <v>569</v>
      </c>
      <c r="J331" s="1249" t="s">
        <v>2447</v>
      </c>
      <c r="K331" s="1250">
        <v>1</v>
      </c>
      <c r="L331" s="1251">
        <v>12</v>
      </c>
      <c r="M331" s="1252">
        <v>80560.799999999988</v>
      </c>
      <c r="N331" s="1253">
        <v>1</v>
      </c>
      <c r="O331" s="1254">
        <v>6</v>
      </c>
      <c r="P331" s="1252">
        <v>40644.9</v>
      </c>
    </row>
    <row r="332" spans="1:16" ht="72">
      <c r="A332" s="1245" t="s">
        <v>2420</v>
      </c>
      <c r="B332" s="1246" t="s">
        <v>1880</v>
      </c>
      <c r="C332" s="1246" t="s">
        <v>504</v>
      </c>
      <c r="D332" s="1200" t="s">
        <v>3023</v>
      </c>
      <c r="E332" s="1247">
        <v>2500</v>
      </c>
      <c r="F332" s="1248">
        <v>43319411</v>
      </c>
      <c r="G332" s="1200" t="s">
        <v>3022</v>
      </c>
      <c r="H332" s="1191" t="s">
        <v>2436</v>
      </c>
      <c r="I332" s="1246" t="s">
        <v>1664</v>
      </c>
      <c r="J332" s="1249" t="s">
        <v>2898</v>
      </c>
      <c r="K332" s="1250">
        <v>1</v>
      </c>
      <c r="L332" s="1251">
        <v>12</v>
      </c>
      <c r="M332" s="1252">
        <v>31360.800000000007</v>
      </c>
      <c r="N332" s="1253">
        <v>1</v>
      </c>
      <c r="O332" s="1254">
        <v>6</v>
      </c>
      <c r="P332" s="1252">
        <v>16044.9</v>
      </c>
    </row>
    <row r="333" spans="1:16" ht="48">
      <c r="A333" s="1245" t="s">
        <v>2420</v>
      </c>
      <c r="B333" s="1246" t="s">
        <v>1880</v>
      </c>
      <c r="C333" s="1246" t="s">
        <v>504</v>
      </c>
      <c r="D333" s="1200" t="s">
        <v>3021</v>
      </c>
      <c r="E333" s="1247">
        <v>2500</v>
      </c>
      <c r="F333" s="1248">
        <v>45857442</v>
      </c>
      <c r="G333" s="1200" t="s">
        <v>3020</v>
      </c>
      <c r="H333" s="1191" t="s">
        <v>3019</v>
      </c>
      <c r="I333" s="1246" t="s">
        <v>569</v>
      </c>
      <c r="J333" s="1249" t="s">
        <v>3019</v>
      </c>
      <c r="K333" s="1250">
        <v>1</v>
      </c>
      <c r="L333" s="1251">
        <v>3</v>
      </c>
      <c r="M333" s="1252">
        <v>8040.2000000000007</v>
      </c>
      <c r="N333" s="1253">
        <v>1</v>
      </c>
      <c r="O333" s="1254">
        <v>6</v>
      </c>
      <c r="P333" s="1252">
        <v>16044.9</v>
      </c>
    </row>
    <row r="334" spans="1:16" ht="36">
      <c r="A334" s="1245" t="s">
        <v>2420</v>
      </c>
      <c r="B334" s="1246" t="s">
        <v>1880</v>
      </c>
      <c r="C334" s="1246" t="s">
        <v>504</v>
      </c>
      <c r="D334" s="1200" t="s">
        <v>3018</v>
      </c>
      <c r="E334" s="1247">
        <v>4000</v>
      </c>
      <c r="F334" s="1248">
        <v>44612914</v>
      </c>
      <c r="G334" s="1200" t="s">
        <v>3017</v>
      </c>
      <c r="H334" s="1191" t="s">
        <v>670</v>
      </c>
      <c r="I334" s="1246" t="s">
        <v>569</v>
      </c>
      <c r="J334" s="1249" t="s">
        <v>670</v>
      </c>
      <c r="K334" s="1250">
        <v>1</v>
      </c>
      <c r="L334" s="1251">
        <v>3</v>
      </c>
      <c r="M334" s="1252">
        <v>12540.199999999999</v>
      </c>
      <c r="N334" s="1253">
        <v>1</v>
      </c>
      <c r="O334" s="1254">
        <v>6</v>
      </c>
      <c r="P334" s="1252">
        <v>25044.9</v>
      </c>
    </row>
    <row r="335" spans="1:16" ht="36">
      <c r="A335" s="1245" t="s">
        <v>2420</v>
      </c>
      <c r="B335" s="1246" t="s">
        <v>1880</v>
      </c>
      <c r="C335" s="1246" t="s">
        <v>504</v>
      </c>
      <c r="D335" s="1200" t="s">
        <v>3016</v>
      </c>
      <c r="E335" s="1247">
        <v>6400</v>
      </c>
      <c r="F335" s="1248" t="s">
        <v>3015</v>
      </c>
      <c r="G335" s="1200" t="s">
        <v>3014</v>
      </c>
      <c r="H335" s="1191" t="s">
        <v>2447</v>
      </c>
      <c r="I335" s="1246" t="s">
        <v>569</v>
      </c>
      <c r="J335" s="1249" t="s">
        <v>2447</v>
      </c>
      <c r="K335" s="1250">
        <v>1</v>
      </c>
      <c r="L335" s="1251">
        <v>1</v>
      </c>
      <c r="M335" s="1252">
        <v>6513.4</v>
      </c>
      <c r="N335" s="1253">
        <v>0</v>
      </c>
      <c r="O335" s="1254">
        <v>0</v>
      </c>
      <c r="P335" s="1252">
        <v>0</v>
      </c>
    </row>
    <row r="336" spans="1:16" ht="36">
      <c r="A336" s="1245" t="s">
        <v>2420</v>
      </c>
      <c r="B336" s="1246" t="s">
        <v>1880</v>
      </c>
      <c r="C336" s="1246" t="s">
        <v>504</v>
      </c>
      <c r="D336" s="1200" t="s">
        <v>3013</v>
      </c>
      <c r="E336" s="1247">
        <v>4000</v>
      </c>
      <c r="F336" s="1248" t="s">
        <v>3012</v>
      </c>
      <c r="G336" s="1200" t="s">
        <v>3011</v>
      </c>
      <c r="H336" s="1191" t="s">
        <v>511</v>
      </c>
      <c r="I336" s="1246" t="s">
        <v>569</v>
      </c>
      <c r="J336" s="1249" t="s">
        <v>2871</v>
      </c>
      <c r="K336" s="1250">
        <v>1</v>
      </c>
      <c r="L336" s="1251">
        <v>1</v>
      </c>
      <c r="M336" s="1252">
        <v>4113.3999999999996</v>
      </c>
      <c r="N336" s="1253">
        <v>1</v>
      </c>
      <c r="O336" s="1254">
        <v>6</v>
      </c>
      <c r="P336" s="1252">
        <v>25044.9</v>
      </c>
    </row>
    <row r="337" spans="1:16" ht="24">
      <c r="A337" s="1245" t="s">
        <v>2420</v>
      </c>
      <c r="B337" s="1246" t="s">
        <v>1880</v>
      </c>
      <c r="C337" s="1246" t="s">
        <v>504</v>
      </c>
      <c r="D337" s="1200" t="s">
        <v>3010</v>
      </c>
      <c r="E337" s="1247">
        <v>2500</v>
      </c>
      <c r="F337" s="1248" t="s">
        <v>3009</v>
      </c>
      <c r="G337" s="1200" t="s">
        <v>3008</v>
      </c>
      <c r="H337" s="1191" t="s">
        <v>2696</v>
      </c>
      <c r="I337" s="1246" t="s">
        <v>569</v>
      </c>
      <c r="J337" s="1249" t="s">
        <v>1513</v>
      </c>
      <c r="K337" s="1250">
        <v>1</v>
      </c>
      <c r="L337" s="1251">
        <v>1</v>
      </c>
      <c r="M337" s="1252">
        <v>2613.4</v>
      </c>
      <c r="N337" s="1253">
        <v>1</v>
      </c>
      <c r="O337" s="1254">
        <v>6</v>
      </c>
      <c r="P337" s="1252">
        <v>14462.36</v>
      </c>
    </row>
    <row r="338" spans="1:16">
      <c r="A338" s="1245" t="s">
        <v>2420</v>
      </c>
      <c r="B338" s="1246" t="s">
        <v>1880</v>
      </c>
      <c r="C338" s="1246" t="s">
        <v>504</v>
      </c>
      <c r="D338" s="1200" t="s">
        <v>3007</v>
      </c>
      <c r="E338" s="1247">
        <v>950</v>
      </c>
      <c r="F338" s="1248" t="s">
        <v>3006</v>
      </c>
      <c r="G338" s="1200" t="s">
        <v>3005</v>
      </c>
      <c r="H338" s="1191" t="s">
        <v>1592</v>
      </c>
      <c r="I338" s="1246" t="s">
        <v>618</v>
      </c>
      <c r="J338" s="1249" t="s">
        <v>619</v>
      </c>
      <c r="K338" s="1250">
        <v>1</v>
      </c>
      <c r="L338" s="1251">
        <v>1</v>
      </c>
      <c r="M338" s="1252">
        <v>1035.5</v>
      </c>
      <c r="N338" s="1253">
        <v>1</v>
      </c>
      <c r="O338" s="1254">
        <v>6</v>
      </c>
      <c r="P338" s="1252">
        <v>6213</v>
      </c>
    </row>
    <row r="339" spans="1:16" ht="36">
      <c r="A339" s="1245" t="s">
        <v>2420</v>
      </c>
      <c r="B339" s="1246" t="s">
        <v>1880</v>
      </c>
      <c r="C339" s="1246" t="s">
        <v>504</v>
      </c>
      <c r="D339" s="1200" t="s">
        <v>3004</v>
      </c>
      <c r="E339" s="1247">
        <v>5000</v>
      </c>
      <c r="F339" s="1248">
        <v>45464243</v>
      </c>
      <c r="G339" s="1200" t="s">
        <v>3003</v>
      </c>
      <c r="H339" s="1191" t="s">
        <v>1695</v>
      </c>
      <c r="I339" s="1246" t="s">
        <v>569</v>
      </c>
      <c r="J339" s="1249" t="s">
        <v>3002</v>
      </c>
      <c r="K339" s="1250">
        <v>1</v>
      </c>
      <c r="L339" s="1251">
        <v>12</v>
      </c>
      <c r="M339" s="1252">
        <v>61960.80000000001</v>
      </c>
      <c r="N339" s="1253">
        <v>1</v>
      </c>
      <c r="O339" s="1254">
        <v>6</v>
      </c>
      <c r="P339" s="1252">
        <v>31044.9</v>
      </c>
    </row>
    <row r="340" spans="1:16">
      <c r="A340" s="1245" t="s">
        <v>2420</v>
      </c>
      <c r="B340" s="1246" t="s">
        <v>1880</v>
      </c>
      <c r="C340" s="1246" t="s">
        <v>504</v>
      </c>
      <c r="D340" s="1200" t="s">
        <v>3001</v>
      </c>
      <c r="E340" s="1247">
        <v>930</v>
      </c>
      <c r="F340" s="1248">
        <v>25702602</v>
      </c>
      <c r="G340" s="1200" t="s">
        <v>3000</v>
      </c>
      <c r="H340" s="1191" t="s">
        <v>1592</v>
      </c>
      <c r="I340" s="1246" t="s">
        <v>618</v>
      </c>
      <c r="J340" s="1249" t="s">
        <v>619</v>
      </c>
      <c r="K340" s="1250">
        <v>1</v>
      </c>
      <c r="L340" s="1251">
        <v>12</v>
      </c>
      <c r="M340" s="1252">
        <v>12764.400000000003</v>
      </c>
      <c r="N340" s="1253">
        <v>1</v>
      </c>
      <c r="O340" s="1254">
        <v>6</v>
      </c>
      <c r="P340" s="1252">
        <v>6082.2</v>
      </c>
    </row>
    <row r="341" spans="1:16" ht="24">
      <c r="A341" s="1245" t="s">
        <v>2420</v>
      </c>
      <c r="B341" s="1246" t="s">
        <v>1880</v>
      </c>
      <c r="C341" s="1246" t="s">
        <v>504</v>
      </c>
      <c r="D341" s="1200" t="s">
        <v>2999</v>
      </c>
      <c r="E341" s="1247">
        <v>5000</v>
      </c>
      <c r="F341" s="1248">
        <v>41215866</v>
      </c>
      <c r="G341" s="1200" t="s">
        <v>2998</v>
      </c>
      <c r="H341" s="1191" t="s">
        <v>2237</v>
      </c>
      <c r="I341" s="1246" t="s">
        <v>569</v>
      </c>
      <c r="J341" s="1249" t="s">
        <v>2237</v>
      </c>
      <c r="K341" s="1250">
        <v>1</v>
      </c>
      <c r="L341" s="1251">
        <v>12</v>
      </c>
      <c r="M341" s="1252">
        <v>61984.80000000001</v>
      </c>
      <c r="N341" s="1253">
        <v>1</v>
      </c>
      <c r="O341" s="1254">
        <v>6</v>
      </c>
      <c r="P341" s="1252">
        <v>44388.46</v>
      </c>
    </row>
    <row r="342" spans="1:16" ht="36">
      <c r="A342" s="1245" t="s">
        <v>2420</v>
      </c>
      <c r="B342" s="1246" t="s">
        <v>1880</v>
      </c>
      <c r="C342" s="1246" t="s">
        <v>504</v>
      </c>
      <c r="D342" s="1200" t="s">
        <v>2997</v>
      </c>
      <c r="E342" s="1247">
        <v>5000</v>
      </c>
      <c r="F342" s="1248">
        <v>43180392</v>
      </c>
      <c r="G342" s="1200" t="s">
        <v>2996</v>
      </c>
      <c r="H342" s="1191" t="s">
        <v>2237</v>
      </c>
      <c r="I342" s="1246" t="s">
        <v>569</v>
      </c>
      <c r="J342" s="1249" t="s">
        <v>2237</v>
      </c>
      <c r="K342" s="1250">
        <v>1</v>
      </c>
      <c r="L342" s="1251">
        <v>12</v>
      </c>
      <c r="M342" s="1252">
        <v>61984.80000000001</v>
      </c>
      <c r="N342" s="1253">
        <v>1</v>
      </c>
      <c r="O342" s="1254">
        <v>6</v>
      </c>
      <c r="P342" s="1252">
        <v>32136.510000000002</v>
      </c>
    </row>
    <row r="343" spans="1:16" ht="24">
      <c r="A343" s="1245" t="s">
        <v>2420</v>
      </c>
      <c r="B343" s="1246" t="s">
        <v>1880</v>
      </c>
      <c r="C343" s="1246" t="s">
        <v>504</v>
      </c>
      <c r="D343" s="1200" t="s">
        <v>2995</v>
      </c>
      <c r="E343" s="1247">
        <v>1300</v>
      </c>
      <c r="F343" s="1248">
        <v>46683750</v>
      </c>
      <c r="G343" s="1200" t="s">
        <v>2994</v>
      </c>
      <c r="H343" s="1191" t="s">
        <v>2993</v>
      </c>
      <c r="I343" s="1246" t="s">
        <v>1664</v>
      </c>
      <c r="J343" s="1249" t="s">
        <v>2992</v>
      </c>
      <c r="K343" s="1250">
        <v>1</v>
      </c>
      <c r="L343" s="1251">
        <v>12</v>
      </c>
      <c r="M343" s="1252">
        <v>17560.8</v>
      </c>
      <c r="N343" s="1253">
        <v>1</v>
      </c>
      <c r="O343" s="1254">
        <v>6</v>
      </c>
      <c r="P343" s="1252">
        <v>8502</v>
      </c>
    </row>
    <row r="344" spans="1:16" ht="36">
      <c r="A344" s="1245" t="s">
        <v>2420</v>
      </c>
      <c r="B344" s="1246" t="s">
        <v>1880</v>
      </c>
      <c r="C344" s="1246" t="s">
        <v>504</v>
      </c>
      <c r="D344" s="1200" t="s">
        <v>2991</v>
      </c>
      <c r="E344" s="1247">
        <v>1200</v>
      </c>
      <c r="F344" s="1248">
        <v>9455508</v>
      </c>
      <c r="G344" s="1200" t="s">
        <v>2990</v>
      </c>
      <c r="H344" s="1191" t="s">
        <v>2989</v>
      </c>
      <c r="I344" s="1246" t="s">
        <v>1664</v>
      </c>
      <c r="J344" s="1249" t="s">
        <v>2989</v>
      </c>
      <c r="K344" s="1250">
        <v>1</v>
      </c>
      <c r="L344" s="1251">
        <v>1</v>
      </c>
      <c r="M344" s="1252">
        <v>1308</v>
      </c>
      <c r="N344" s="1253">
        <v>0</v>
      </c>
      <c r="O344" s="1254">
        <v>0</v>
      </c>
      <c r="P344" s="1252">
        <v>0</v>
      </c>
    </row>
    <row r="345" spans="1:16">
      <c r="A345" s="1245" t="s">
        <v>2420</v>
      </c>
      <c r="B345" s="1246" t="s">
        <v>1880</v>
      </c>
      <c r="C345" s="1246" t="s">
        <v>504</v>
      </c>
      <c r="D345" s="1200" t="s">
        <v>2893</v>
      </c>
      <c r="E345" s="1247">
        <v>930</v>
      </c>
      <c r="F345" s="1248">
        <v>9890221</v>
      </c>
      <c r="G345" s="1200" t="s">
        <v>2988</v>
      </c>
      <c r="H345" s="1191" t="s">
        <v>1592</v>
      </c>
      <c r="I345" s="1246" t="s">
        <v>618</v>
      </c>
      <c r="J345" s="1249" t="s">
        <v>619</v>
      </c>
      <c r="K345" s="1250">
        <v>1</v>
      </c>
      <c r="L345" s="1251">
        <v>12</v>
      </c>
      <c r="M345" s="1252">
        <v>12764.400000000003</v>
      </c>
      <c r="N345" s="1253">
        <v>1</v>
      </c>
      <c r="O345" s="1254">
        <v>6</v>
      </c>
      <c r="P345" s="1252">
        <v>6082.2</v>
      </c>
    </row>
    <row r="346" spans="1:16">
      <c r="A346" s="1245" t="s">
        <v>2420</v>
      </c>
      <c r="B346" s="1246" t="s">
        <v>1880</v>
      </c>
      <c r="C346" s="1246" t="s">
        <v>504</v>
      </c>
      <c r="D346" s="1200" t="s">
        <v>2829</v>
      </c>
      <c r="E346" s="1247">
        <v>1000</v>
      </c>
      <c r="F346" s="1248">
        <v>41219887</v>
      </c>
      <c r="G346" s="1200" t="s">
        <v>2987</v>
      </c>
      <c r="H346" s="1191" t="s">
        <v>1592</v>
      </c>
      <c r="I346" s="1246" t="s">
        <v>618</v>
      </c>
      <c r="J346" s="1249" t="s">
        <v>619</v>
      </c>
      <c r="K346" s="1250">
        <v>1</v>
      </c>
      <c r="L346" s="1251">
        <v>12</v>
      </c>
      <c r="M346" s="1252">
        <v>13680</v>
      </c>
      <c r="N346" s="1253">
        <v>1</v>
      </c>
      <c r="O346" s="1254">
        <v>6</v>
      </c>
      <c r="P346" s="1252">
        <v>6540</v>
      </c>
    </row>
    <row r="347" spans="1:16" ht="36">
      <c r="A347" s="1245" t="s">
        <v>2420</v>
      </c>
      <c r="B347" s="1246" t="s">
        <v>1880</v>
      </c>
      <c r="C347" s="1246" t="s">
        <v>504</v>
      </c>
      <c r="D347" s="1200" t="s">
        <v>2986</v>
      </c>
      <c r="E347" s="1247">
        <v>1500</v>
      </c>
      <c r="F347" s="1248">
        <v>40875809</v>
      </c>
      <c r="G347" s="1200" t="s">
        <v>2985</v>
      </c>
      <c r="H347" s="1191" t="s">
        <v>2984</v>
      </c>
      <c r="I347" s="1246" t="s">
        <v>1664</v>
      </c>
      <c r="J347" s="1249" t="s">
        <v>2983</v>
      </c>
      <c r="K347" s="1250">
        <v>1</v>
      </c>
      <c r="L347" s="1251">
        <v>12</v>
      </c>
      <c r="M347" s="1252">
        <v>19960.800000000003</v>
      </c>
      <c r="N347" s="1253">
        <v>1</v>
      </c>
      <c r="O347" s="1254">
        <v>6</v>
      </c>
      <c r="P347" s="1252">
        <v>9810</v>
      </c>
    </row>
    <row r="348" spans="1:16" ht="24">
      <c r="A348" s="1245" t="s">
        <v>2420</v>
      </c>
      <c r="B348" s="1246" t="s">
        <v>1880</v>
      </c>
      <c r="C348" s="1246" t="s">
        <v>504</v>
      </c>
      <c r="D348" s="1200" t="s">
        <v>2839</v>
      </c>
      <c r="E348" s="1247">
        <v>2500</v>
      </c>
      <c r="F348" s="1248">
        <v>41267969</v>
      </c>
      <c r="G348" s="1200" t="s">
        <v>2982</v>
      </c>
      <c r="H348" s="1191" t="s">
        <v>2696</v>
      </c>
      <c r="I348" s="1246" t="s">
        <v>569</v>
      </c>
      <c r="J348" s="1249" t="s">
        <v>1513</v>
      </c>
      <c r="K348" s="1250">
        <v>1</v>
      </c>
      <c r="L348" s="1251">
        <v>12</v>
      </c>
      <c r="M348" s="1252">
        <v>31960.800000000007</v>
      </c>
      <c r="N348" s="1253">
        <v>1</v>
      </c>
      <c r="O348" s="1254">
        <v>6</v>
      </c>
      <c r="P348" s="1252">
        <v>16500.900000000001</v>
      </c>
    </row>
    <row r="349" spans="1:16" ht="24">
      <c r="A349" s="1245" t="s">
        <v>2420</v>
      </c>
      <c r="B349" s="1246" t="s">
        <v>1880</v>
      </c>
      <c r="C349" s="1246" t="s">
        <v>504</v>
      </c>
      <c r="D349" s="1200" t="s">
        <v>2981</v>
      </c>
      <c r="E349" s="1247">
        <v>2500</v>
      </c>
      <c r="F349" s="1248">
        <v>32905021</v>
      </c>
      <c r="G349" s="1200" t="s">
        <v>2980</v>
      </c>
      <c r="H349" s="1191" t="s">
        <v>2237</v>
      </c>
      <c r="I349" s="1246" t="s">
        <v>569</v>
      </c>
      <c r="J349" s="1249" t="s">
        <v>2237</v>
      </c>
      <c r="K349" s="1250">
        <v>1</v>
      </c>
      <c r="L349" s="1251">
        <v>12</v>
      </c>
      <c r="M349" s="1252">
        <v>31960.800000000007</v>
      </c>
      <c r="N349" s="1253">
        <v>1</v>
      </c>
      <c r="O349" s="1254">
        <v>6</v>
      </c>
      <c r="P349" s="1252">
        <v>16044.9</v>
      </c>
    </row>
    <row r="350" spans="1:16" ht="24">
      <c r="A350" s="1245" t="s">
        <v>2420</v>
      </c>
      <c r="B350" s="1246" t="s">
        <v>1880</v>
      </c>
      <c r="C350" s="1246" t="s">
        <v>504</v>
      </c>
      <c r="D350" s="1200" t="s">
        <v>2979</v>
      </c>
      <c r="E350" s="1247">
        <v>4200</v>
      </c>
      <c r="F350" s="1248">
        <v>43807430</v>
      </c>
      <c r="G350" s="1200" t="s">
        <v>2978</v>
      </c>
      <c r="H350" s="1191" t="s">
        <v>2977</v>
      </c>
      <c r="I350" s="1246" t="s">
        <v>1664</v>
      </c>
      <c r="J350" s="1249" t="s">
        <v>2977</v>
      </c>
      <c r="K350" s="1250">
        <v>1</v>
      </c>
      <c r="L350" s="1251">
        <v>12</v>
      </c>
      <c r="M350" s="1252">
        <v>51760.80000000001</v>
      </c>
      <c r="N350" s="1253">
        <v>1</v>
      </c>
      <c r="O350" s="1254">
        <v>6</v>
      </c>
      <c r="P350" s="1252">
        <v>26244.9</v>
      </c>
    </row>
    <row r="351" spans="1:16">
      <c r="A351" s="1245" t="s">
        <v>2420</v>
      </c>
      <c r="B351" s="1246" t="s">
        <v>1880</v>
      </c>
      <c r="C351" s="1246" t="s">
        <v>504</v>
      </c>
      <c r="D351" s="1200" t="s">
        <v>2976</v>
      </c>
      <c r="E351" s="1247">
        <v>1000</v>
      </c>
      <c r="F351" s="1248">
        <v>43654491</v>
      </c>
      <c r="G351" s="1200" t="s">
        <v>2975</v>
      </c>
      <c r="H351" s="1191" t="s">
        <v>1592</v>
      </c>
      <c r="I351" s="1246" t="s">
        <v>618</v>
      </c>
      <c r="J351" s="1249" t="s">
        <v>619</v>
      </c>
      <c r="K351" s="1250">
        <v>1</v>
      </c>
      <c r="L351" s="1251">
        <v>12</v>
      </c>
      <c r="M351" s="1252">
        <v>13680</v>
      </c>
      <c r="N351" s="1253">
        <v>1</v>
      </c>
      <c r="O351" s="1254">
        <v>6</v>
      </c>
      <c r="P351" s="1252">
        <v>6540</v>
      </c>
    </row>
    <row r="352" spans="1:16" ht="24">
      <c r="A352" s="1245" t="s">
        <v>2420</v>
      </c>
      <c r="B352" s="1246" t="s">
        <v>1880</v>
      </c>
      <c r="C352" s="1246" t="s">
        <v>504</v>
      </c>
      <c r="D352" s="1200" t="s">
        <v>2839</v>
      </c>
      <c r="E352" s="1247">
        <v>2500</v>
      </c>
      <c r="F352" s="1248">
        <v>42731295</v>
      </c>
      <c r="G352" s="1200" t="s">
        <v>2974</v>
      </c>
      <c r="H352" s="1191" t="s">
        <v>2696</v>
      </c>
      <c r="I352" s="1246" t="s">
        <v>569</v>
      </c>
      <c r="J352" s="1249" t="s">
        <v>1513</v>
      </c>
      <c r="K352" s="1250">
        <v>1</v>
      </c>
      <c r="L352" s="1251">
        <v>12</v>
      </c>
      <c r="M352" s="1252">
        <v>31960.800000000007</v>
      </c>
      <c r="N352" s="1253">
        <v>1</v>
      </c>
      <c r="O352" s="1254">
        <v>6</v>
      </c>
      <c r="P352" s="1252">
        <v>16500.900000000001</v>
      </c>
    </row>
    <row r="353" spans="1:16">
      <c r="A353" s="1245" t="s">
        <v>2420</v>
      </c>
      <c r="B353" s="1246" t="s">
        <v>1880</v>
      </c>
      <c r="C353" s="1246" t="s">
        <v>504</v>
      </c>
      <c r="D353" s="1200" t="s">
        <v>2826</v>
      </c>
      <c r="E353" s="1247">
        <v>1500</v>
      </c>
      <c r="F353" s="1248">
        <v>43541973</v>
      </c>
      <c r="G353" s="1200" t="s">
        <v>2973</v>
      </c>
      <c r="H353" s="1191" t="s">
        <v>2696</v>
      </c>
      <c r="I353" s="1246" t="s">
        <v>1664</v>
      </c>
      <c r="J353" s="1249" t="s">
        <v>1888</v>
      </c>
      <c r="K353" s="1250">
        <v>1</v>
      </c>
      <c r="L353" s="1251">
        <v>12</v>
      </c>
      <c r="M353" s="1252">
        <v>19960.800000000003</v>
      </c>
      <c r="N353" s="1253">
        <v>1</v>
      </c>
      <c r="O353" s="1254">
        <v>6</v>
      </c>
      <c r="P353" s="1252">
        <v>10266</v>
      </c>
    </row>
    <row r="354" spans="1:16" ht="24">
      <c r="A354" s="1245" t="s">
        <v>2420</v>
      </c>
      <c r="B354" s="1246" t="s">
        <v>1880</v>
      </c>
      <c r="C354" s="1246" t="s">
        <v>504</v>
      </c>
      <c r="D354" s="1200" t="s">
        <v>2972</v>
      </c>
      <c r="E354" s="1247">
        <v>4500</v>
      </c>
      <c r="F354" s="1248">
        <v>18168079</v>
      </c>
      <c r="G354" s="1200" t="s">
        <v>2971</v>
      </c>
      <c r="H354" s="1191" t="s">
        <v>1695</v>
      </c>
      <c r="I354" s="1246" t="s">
        <v>569</v>
      </c>
      <c r="J354" s="1249" t="s">
        <v>1779</v>
      </c>
      <c r="K354" s="1250">
        <v>1</v>
      </c>
      <c r="L354" s="1251">
        <v>12</v>
      </c>
      <c r="M354" s="1252">
        <v>55960.80000000001</v>
      </c>
      <c r="N354" s="1253">
        <v>0</v>
      </c>
      <c r="O354" s="1254">
        <v>0</v>
      </c>
      <c r="P354" s="1252">
        <v>0</v>
      </c>
    </row>
    <row r="355" spans="1:16" ht="24">
      <c r="A355" s="1245" t="s">
        <v>2420</v>
      </c>
      <c r="B355" s="1246" t="s">
        <v>1880</v>
      </c>
      <c r="C355" s="1246" t="s">
        <v>504</v>
      </c>
      <c r="D355" s="1200" t="s">
        <v>2970</v>
      </c>
      <c r="E355" s="1247">
        <v>4200</v>
      </c>
      <c r="F355" s="1248">
        <v>44389701</v>
      </c>
      <c r="G355" s="1200" t="s">
        <v>2969</v>
      </c>
      <c r="H355" s="1191" t="s">
        <v>1784</v>
      </c>
      <c r="I355" s="1246" t="s">
        <v>1664</v>
      </c>
      <c r="J355" s="1249" t="s">
        <v>2968</v>
      </c>
      <c r="K355" s="1250">
        <v>1</v>
      </c>
      <c r="L355" s="1251">
        <v>12</v>
      </c>
      <c r="M355" s="1252">
        <v>51760.80000000001</v>
      </c>
      <c r="N355" s="1253">
        <v>1</v>
      </c>
      <c r="O355" s="1254">
        <v>6</v>
      </c>
      <c r="P355" s="1252">
        <v>26244.9</v>
      </c>
    </row>
    <row r="356" spans="1:16" ht="24">
      <c r="A356" s="1245" t="s">
        <v>2420</v>
      </c>
      <c r="B356" s="1246" t="s">
        <v>1880</v>
      </c>
      <c r="C356" s="1246" t="s">
        <v>504</v>
      </c>
      <c r="D356" s="1200" t="s">
        <v>2823</v>
      </c>
      <c r="E356" s="1247">
        <v>5000</v>
      </c>
      <c r="F356" s="1248">
        <v>41709129</v>
      </c>
      <c r="G356" s="1200" t="s">
        <v>2967</v>
      </c>
      <c r="H356" s="1191" t="s">
        <v>2237</v>
      </c>
      <c r="I356" s="1246" t="s">
        <v>569</v>
      </c>
      <c r="J356" s="1249" t="s">
        <v>2237</v>
      </c>
      <c r="K356" s="1250">
        <v>1</v>
      </c>
      <c r="L356" s="1251">
        <v>12</v>
      </c>
      <c r="M356" s="1252">
        <v>61984.80000000001</v>
      </c>
      <c r="N356" s="1253">
        <v>0</v>
      </c>
      <c r="O356" s="1254">
        <v>0</v>
      </c>
      <c r="P356" s="1252">
        <v>0</v>
      </c>
    </row>
    <row r="357" spans="1:16" ht="36">
      <c r="A357" s="1245" t="s">
        <v>2420</v>
      </c>
      <c r="B357" s="1246" t="s">
        <v>1880</v>
      </c>
      <c r="C357" s="1246" t="s">
        <v>504</v>
      </c>
      <c r="D357" s="1200" t="s">
        <v>2966</v>
      </c>
      <c r="E357" s="1247">
        <v>2000</v>
      </c>
      <c r="F357" s="1248">
        <v>43676044</v>
      </c>
      <c r="G357" s="1200" t="s">
        <v>2965</v>
      </c>
      <c r="H357" s="1191" t="s">
        <v>2064</v>
      </c>
      <c r="I357" s="1246" t="s">
        <v>1664</v>
      </c>
      <c r="J357" s="1249" t="s">
        <v>2064</v>
      </c>
      <c r="K357" s="1250">
        <v>1</v>
      </c>
      <c r="L357" s="1251">
        <v>12</v>
      </c>
      <c r="M357" s="1252">
        <v>25360.800000000007</v>
      </c>
      <c r="N357" s="1253">
        <v>1</v>
      </c>
      <c r="O357" s="1254">
        <v>6</v>
      </c>
      <c r="P357" s="1252">
        <v>13044.9</v>
      </c>
    </row>
    <row r="358" spans="1:16" ht="36">
      <c r="A358" s="1245" t="s">
        <v>2420</v>
      </c>
      <c r="B358" s="1246" t="s">
        <v>1880</v>
      </c>
      <c r="C358" s="1246" t="s">
        <v>504</v>
      </c>
      <c r="D358" s="1200" t="s">
        <v>2964</v>
      </c>
      <c r="E358" s="1247">
        <v>5500</v>
      </c>
      <c r="F358" s="1248">
        <v>43532635</v>
      </c>
      <c r="G358" s="1200" t="s">
        <v>2963</v>
      </c>
      <c r="H358" s="1191" t="s">
        <v>2447</v>
      </c>
      <c r="I358" s="1246" t="s">
        <v>569</v>
      </c>
      <c r="J358" s="1249" t="s">
        <v>2962</v>
      </c>
      <c r="K358" s="1250">
        <v>1</v>
      </c>
      <c r="L358" s="1251">
        <v>12</v>
      </c>
      <c r="M358" s="1252">
        <v>67360.800000000003</v>
      </c>
      <c r="N358" s="1253">
        <v>1</v>
      </c>
      <c r="O358" s="1254">
        <v>6</v>
      </c>
      <c r="P358" s="1252">
        <v>34044.9</v>
      </c>
    </row>
    <row r="359" spans="1:16" ht="24">
      <c r="A359" s="1245" t="s">
        <v>2420</v>
      </c>
      <c r="B359" s="1246" t="s">
        <v>1880</v>
      </c>
      <c r="C359" s="1246" t="s">
        <v>504</v>
      </c>
      <c r="D359" s="1200" t="s">
        <v>2839</v>
      </c>
      <c r="E359" s="1247">
        <v>2500</v>
      </c>
      <c r="F359" s="1248">
        <v>42458138</v>
      </c>
      <c r="G359" s="1200" t="s">
        <v>2961</v>
      </c>
      <c r="H359" s="1191" t="s">
        <v>2696</v>
      </c>
      <c r="I359" s="1246" t="s">
        <v>569</v>
      </c>
      <c r="J359" s="1249" t="s">
        <v>1513</v>
      </c>
      <c r="K359" s="1250">
        <v>1</v>
      </c>
      <c r="L359" s="1251">
        <v>12</v>
      </c>
      <c r="M359" s="1252">
        <v>31960.800000000007</v>
      </c>
      <c r="N359" s="1253">
        <v>1</v>
      </c>
      <c r="O359" s="1254">
        <v>6</v>
      </c>
      <c r="P359" s="1252">
        <v>16500.900000000001</v>
      </c>
    </row>
    <row r="360" spans="1:16" ht="24">
      <c r="A360" s="1245" t="s">
        <v>2420</v>
      </c>
      <c r="B360" s="1246" t="s">
        <v>1880</v>
      </c>
      <c r="C360" s="1246" t="s">
        <v>504</v>
      </c>
      <c r="D360" s="1200" t="s">
        <v>2839</v>
      </c>
      <c r="E360" s="1247">
        <v>2500</v>
      </c>
      <c r="F360" s="1248">
        <v>44805990</v>
      </c>
      <c r="G360" s="1200" t="s">
        <v>2960</v>
      </c>
      <c r="H360" s="1191" t="s">
        <v>2696</v>
      </c>
      <c r="I360" s="1246" t="s">
        <v>569</v>
      </c>
      <c r="J360" s="1249" t="s">
        <v>1513</v>
      </c>
      <c r="K360" s="1250">
        <v>1</v>
      </c>
      <c r="L360" s="1251">
        <v>8</v>
      </c>
      <c r="M360" s="1252">
        <v>21207.200000000001</v>
      </c>
      <c r="N360" s="1253">
        <v>0</v>
      </c>
      <c r="O360" s="1254">
        <v>0</v>
      </c>
      <c r="P360" s="1252">
        <v>0</v>
      </c>
    </row>
    <row r="361" spans="1:16" ht="24">
      <c r="A361" s="1245" t="s">
        <v>2420</v>
      </c>
      <c r="B361" s="1246" t="s">
        <v>1880</v>
      </c>
      <c r="C361" s="1246" t="s">
        <v>504</v>
      </c>
      <c r="D361" s="1200" t="s">
        <v>2839</v>
      </c>
      <c r="E361" s="1247">
        <v>2500</v>
      </c>
      <c r="F361" s="1248">
        <v>45057378</v>
      </c>
      <c r="G361" s="1200" t="s">
        <v>2959</v>
      </c>
      <c r="H361" s="1191" t="s">
        <v>2696</v>
      </c>
      <c r="I361" s="1246" t="s">
        <v>569</v>
      </c>
      <c r="J361" s="1249" t="s">
        <v>1513</v>
      </c>
      <c r="K361" s="1250">
        <v>1</v>
      </c>
      <c r="L361" s="1251">
        <v>12</v>
      </c>
      <c r="M361" s="1252">
        <v>31960.800000000007</v>
      </c>
      <c r="N361" s="1253">
        <v>1</v>
      </c>
      <c r="O361" s="1254">
        <v>5</v>
      </c>
      <c r="P361" s="1252">
        <v>11152.6</v>
      </c>
    </row>
    <row r="362" spans="1:16" ht="24">
      <c r="A362" s="1245" t="s">
        <v>2420</v>
      </c>
      <c r="B362" s="1246" t="s">
        <v>1880</v>
      </c>
      <c r="C362" s="1246" t="s">
        <v>504</v>
      </c>
      <c r="D362" s="1200" t="s">
        <v>2839</v>
      </c>
      <c r="E362" s="1247">
        <v>2500</v>
      </c>
      <c r="F362" s="1248">
        <v>43234889</v>
      </c>
      <c r="G362" s="1200" t="s">
        <v>2958</v>
      </c>
      <c r="H362" s="1191" t="s">
        <v>2696</v>
      </c>
      <c r="I362" s="1246" t="s">
        <v>569</v>
      </c>
      <c r="J362" s="1249" t="s">
        <v>1513</v>
      </c>
      <c r="K362" s="1250">
        <v>1</v>
      </c>
      <c r="L362" s="1251">
        <v>12</v>
      </c>
      <c r="M362" s="1252">
        <v>31960.800000000007</v>
      </c>
      <c r="N362" s="1253">
        <v>1</v>
      </c>
      <c r="O362" s="1254">
        <v>6</v>
      </c>
      <c r="P362" s="1252">
        <v>16250.9</v>
      </c>
    </row>
    <row r="363" spans="1:16" ht="24">
      <c r="A363" s="1245" t="s">
        <v>2420</v>
      </c>
      <c r="B363" s="1246" t="s">
        <v>1880</v>
      </c>
      <c r="C363" s="1246" t="s">
        <v>504</v>
      </c>
      <c r="D363" s="1200" t="s">
        <v>2839</v>
      </c>
      <c r="E363" s="1247">
        <v>2500</v>
      </c>
      <c r="F363" s="1248">
        <v>40173616</v>
      </c>
      <c r="G363" s="1200" t="s">
        <v>2957</v>
      </c>
      <c r="H363" s="1191" t="s">
        <v>2696</v>
      </c>
      <c r="I363" s="1246" t="s">
        <v>569</v>
      </c>
      <c r="J363" s="1249" t="s">
        <v>1513</v>
      </c>
      <c r="K363" s="1250">
        <v>1</v>
      </c>
      <c r="L363" s="1251">
        <v>12</v>
      </c>
      <c r="M363" s="1252">
        <v>31960.800000000007</v>
      </c>
      <c r="N363" s="1253">
        <v>1</v>
      </c>
      <c r="O363" s="1254">
        <v>6</v>
      </c>
      <c r="P363" s="1252">
        <v>16500.900000000001</v>
      </c>
    </row>
    <row r="364" spans="1:16" ht="24">
      <c r="A364" s="1245" t="s">
        <v>2420</v>
      </c>
      <c r="B364" s="1246" t="s">
        <v>1880</v>
      </c>
      <c r="C364" s="1246" t="s">
        <v>504</v>
      </c>
      <c r="D364" s="1200" t="s">
        <v>2839</v>
      </c>
      <c r="E364" s="1247">
        <v>2500</v>
      </c>
      <c r="F364" s="1248">
        <v>40908492</v>
      </c>
      <c r="G364" s="1200" t="s">
        <v>2956</v>
      </c>
      <c r="H364" s="1191" t="s">
        <v>2696</v>
      </c>
      <c r="I364" s="1246" t="s">
        <v>569</v>
      </c>
      <c r="J364" s="1249" t="s">
        <v>1513</v>
      </c>
      <c r="K364" s="1250">
        <v>1</v>
      </c>
      <c r="L364" s="1251">
        <v>12</v>
      </c>
      <c r="M364" s="1252">
        <v>31960.800000000007</v>
      </c>
      <c r="N364" s="1253">
        <v>1</v>
      </c>
      <c r="O364" s="1254">
        <v>6</v>
      </c>
      <c r="P364" s="1252">
        <v>16500.900000000001</v>
      </c>
    </row>
    <row r="365" spans="1:16">
      <c r="A365" s="1245" t="s">
        <v>2420</v>
      </c>
      <c r="B365" s="1246" t="s">
        <v>1880</v>
      </c>
      <c r="C365" s="1246" t="s">
        <v>504</v>
      </c>
      <c r="D365" s="1200" t="s">
        <v>2826</v>
      </c>
      <c r="E365" s="1247">
        <v>1500</v>
      </c>
      <c r="F365" s="1248">
        <v>41898641</v>
      </c>
      <c r="G365" s="1200" t="s">
        <v>2955</v>
      </c>
      <c r="H365" s="1191" t="s">
        <v>2696</v>
      </c>
      <c r="I365" s="1246" t="s">
        <v>1664</v>
      </c>
      <c r="J365" s="1249" t="s">
        <v>1888</v>
      </c>
      <c r="K365" s="1250">
        <v>1</v>
      </c>
      <c r="L365" s="1251">
        <v>3</v>
      </c>
      <c r="M365" s="1252">
        <v>5040.2000000000007</v>
      </c>
      <c r="N365" s="1253">
        <v>1</v>
      </c>
      <c r="O365" s="1254">
        <v>6</v>
      </c>
      <c r="P365" s="1252">
        <v>10266</v>
      </c>
    </row>
    <row r="366" spans="1:16">
      <c r="A366" s="1245" t="s">
        <v>2420</v>
      </c>
      <c r="B366" s="1246" t="s">
        <v>1880</v>
      </c>
      <c r="C366" s="1246" t="s">
        <v>504</v>
      </c>
      <c r="D366" s="1200" t="s">
        <v>2826</v>
      </c>
      <c r="E366" s="1247">
        <v>1500</v>
      </c>
      <c r="F366" s="1248">
        <v>47019696</v>
      </c>
      <c r="G366" s="1200" t="s">
        <v>2954</v>
      </c>
      <c r="H366" s="1191" t="s">
        <v>1888</v>
      </c>
      <c r="I366" s="1246" t="s">
        <v>1664</v>
      </c>
      <c r="J366" s="1249" t="s">
        <v>1888</v>
      </c>
      <c r="K366" s="1250">
        <v>1</v>
      </c>
      <c r="L366" s="1251">
        <v>12</v>
      </c>
      <c r="M366" s="1252">
        <v>19960.800000000003</v>
      </c>
      <c r="N366" s="1253">
        <v>1</v>
      </c>
      <c r="O366" s="1254">
        <v>6</v>
      </c>
      <c r="P366" s="1252">
        <v>10901.61</v>
      </c>
    </row>
    <row r="367" spans="1:16" ht="24">
      <c r="A367" s="1245" t="s">
        <v>2420</v>
      </c>
      <c r="B367" s="1246" t="s">
        <v>1880</v>
      </c>
      <c r="C367" s="1246" t="s">
        <v>504</v>
      </c>
      <c r="D367" s="1200" t="s">
        <v>2839</v>
      </c>
      <c r="E367" s="1247">
        <v>2500</v>
      </c>
      <c r="F367" s="1248">
        <v>47085275</v>
      </c>
      <c r="G367" s="1200" t="s">
        <v>2953</v>
      </c>
      <c r="H367" s="1191" t="s">
        <v>2696</v>
      </c>
      <c r="I367" s="1246" t="s">
        <v>569</v>
      </c>
      <c r="J367" s="1249" t="s">
        <v>1513</v>
      </c>
      <c r="K367" s="1250">
        <v>1</v>
      </c>
      <c r="L367" s="1251">
        <v>12</v>
      </c>
      <c r="M367" s="1252">
        <v>31960.800000000007</v>
      </c>
      <c r="N367" s="1253">
        <v>1</v>
      </c>
      <c r="O367" s="1254">
        <v>6</v>
      </c>
      <c r="P367" s="1252">
        <v>17136.510000000002</v>
      </c>
    </row>
    <row r="368" spans="1:16" ht="24">
      <c r="A368" s="1245" t="s">
        <v>2420</v>
      </c>
      <c r="B368" s="1246" t="s">
        <v>1880</v>
      </c>
      <c r="C368" s="1246" t="s">
        <v>504</v>
      </c>
      <c r="D368" s="1200" t="s">
        <v>2839</v>
      </c>
      <c r="E368" s="1247">
        <v>2500</v>
      </c>
      <c r="F368" s="1248">
        <v>43562699</v>
      </c>
      <c r="G368" s="1200" t="s">
        <v>2952</v>
      </c>
      <c r="H368" s="1191" t="s">
        <v>2696</v>
      </c>
      <c r="I368" s="1246" t="s">
        <v>569</v>
      </c>
      <c r="J368" s="1249" t="s">
        <v>1513</v>
      </c>
      <c r="K368" s="1250">
        <v>1</v>
      </c>
      <c r="L368" s="1251">
        <v>12</v>
      </c>
      <c r="M368" s="1252">
        <v>31960.800000000007</v>
      </c>
      <c r="N368" s="1253">
        <v>1</v>
      </c>
      <c r="O368" s="1254">
        <v>6</v>
      </c>
      <c r="P368" s="1252">
        <v>16044.9</v>
      </c>
    </row>
    <row r="369" spans="1:16" ht="24">
      <c r="A369" s="1245" t="s">
        <v>2420</v>
      </c>
      <c r="B369" s="1246" t="s">
        <v>1880</v>
      </c>
      <c r="C369" s="1246" t="s">
        <v>504</v>
      </c>
      <c r="D369" s="1200" t="s">
        <v>2839</v>
      </c>
      <c r="E369" s="1247">
        <v>2500</v>
      </c>
      <c r="F369" s="1248">
        <v>40982365</v>
      </c>
      <c r="G369" s="1200" t="s">
        <v>2951</v>
      </c>
      <c r="H369" s="1191" t="s">
        <v>2696</v>
      </c>
      <c r="I369" s="1246" t="s">
        <v>569</v>
      </c>
      <c r="J369" s="1249" t="s">
        <v>1513</v>
      </c>
      <c r="K369" s="1250">
        <v>1</v>
      </c>
      <c r="L369" s="1251">
        <v>12</v>
      </c>
      <c r="M369" s="1252">
        <v>31960.800000000007</v>
      </c>
      <c r="N369" s="1253">
        <v>1</v>
      </c>
      <c r="O369" s="1254">
        <v>6</v>
      </c>
      <c r="P369" s="1252">
        <v>16500.900000000001</v>
      </c>
    </row>
    <row r="370" spans="1:16" ht="24">
      <c r="A370" s="1245" t="s">
        <v>2420</v>
      </c>
      <c r="B370" s="1246" t="s">
        <v>1880</v>
      </c>
      <c r="C370" s="1246" t="s">
        <v>504</v>
      </c>
      <c r="D370" s="1200" t="s">
        <v>2937</v>
      </c>
      <c r="E370" s="1247">
        <v>5000</v>
      </c>
      <c r="F370" s="1248">
        <v>41870233</v>
      </c>
      <c r="G370" s="1200" t="s">
        <v>2950</v>
      </c>
      <c r="H370" s="1191" t="s">
        <v>2237</v>
      </c>
      <c r="I370" s="1246" t="s">
        <v>569</v>
      </c>
      <c r="J370" s="1249" t="s">
        <v>2237</v>
      </c>
      <c r="K370" s="1250">
        <v>1</v>
      </c>
      <c r="L370" s="1251">
        <v>12</v>
      </c>
      <c r="M370" s="1252">
        <v>61984.80000000001</v>
      </c>
      <c r="N370" s="1253">
        <v>1</v>
      </c>
      <c r="O370" s="1254">
        <v>6</v>
      </c>
      <c r="P370" s="1252">
        <v>31044.9</v>
      </c>
    </row>
    <row r="371" spans="1:16" ht="24">
      <c r="A371" s="1245" t="s">
        <v>2420</v>
      </c>
      <c r="B371" s="1246" t="s">
        <v>1880</v>
      </c>
      <c r="C371" s="1246" t="s">
        <v>504</v>
      </c>
      <c r="D371" s="1200" t="s">
        <v>2826</v>
      </c>
      <c r="E371" s="1247">
        <v>1500</v>
      </c>
      <c r="F371" s="1248">
        <v>71221608</v>
      </c>
      <c r="G371" s="1200" t="s">
        <v>2949</v>
      </c>
      <c r="H371" s="1191" t="s">
        <v>2696</v>
      </c>
      <c r="I371" s="1246" t="s">
        <v>1664</v>
      </c>
      <c r="J371" s="1249" t="s">
        <v>2874</v>
      </c>
      <c r="K371" s="1250">
        <v>1</v>
      </c>
      <c r="L371" s="1251">
        <v>12</v>
      </c>
      <c r="M371" s="1252">
        <v>19960.800000000003</v>
      </c>
      <c r="N371" s="1253">
        <v>1</v>
      </c>
      <c r="O371" s="1254">
        <v>4</v>
      </c>
      <c r="P371" s="1252">
        <v>5361</v>
      </c>
    </row>
    <row r="372" spans="1:16" ht="24">
      <c r="A372" s="1245" t="s">
        <v>2420</v>
      </c>
      <c r="B372" s="1246" t="s">
        <v>1880</v>
      </c>
      <c r="C372" s="1246" t="s">
        <v>504</v>
      </c>
      <c r="D372" s="1200" t="s">
        <v>2839</v>
      </c>
      <c r="E372" s="1247">
        <v>2500</v>
      </c>
      <c r="F372" s="1248">
        <v>43072504</v>
      </c>
      <c r="G372" s="1200" t="s">
        <v>2948</v>
      </c>
      <c r="H372" s="1191" t="s">
        <v>2696</v>
      </c>
      <c r="I372" s="1246" t="s">
        <v>569</v>
      </c>
      <c r="J372" s="1249" t="s">
        <v>1513</v>
      </c>
      <c r="K372" s="1250">
        <v>1</v>
      </c>
      <c r="L372" s="1251">
        <v>12</v>
      </c>
      <c r="M372" s="1252">
        <v>31960.800000000007</v>
      </c>
      <c r="N372" s="1253">
        <v>1</v>
      </c>
      <c r="O372" s="1254">
        <v>6</v>
      </c>
      <c r="P372" s="1252">
        <v>17136.510000000002</v>
      </c>
    </row>
    <row r="373" spans="1:16" ht="24">
      <c r="A373" s="1245" t="s">
        <v>2420</v>
      </c>
      <c r="B373" s="1246" t="s">
        <v>1880</v>
      </c>
      <c r="C373" s="1246" t="s">
        <v>504</v>
      </c>
      <c r="D373" s="1200" t="s">
        <v>2839</v>
      </c>
      <c r="E373" s="1247">
        <v>2500</v>
      </c>
      <c r="F373" s="1248">
        <v>45350079</v>
      </c>
      <c r="G373" s="1200" t="s">
        <v>2947</v>
      </c>
      <c r="H373" s="1191" t="s">
        <v>2696</v>
      </c>
      <c r="I373" s="1246" t="s">
        <v>569</v>
      </c>
      <c r="J373" s="1249" t="s">
        <v>1513</v>
      </c>
      <c r="K373" s="1250">
        <v>1</v>
      </c>
      <c r="L373" s="1251">
        <v>12</v>
      </c>
      <c r="M373" s="1252">
        <v>31960.800000000007</v>
      </c>
      <c r="N373" s="1253">
        <v>1</v>
      </c>
      <c r="O373" s="1254">
        <v>6</v>
      </c>
      <c r="P373" s="1252">
        <v>16500.900000000001</v>
      </c>
    </row>
    <row r="374" spans="1:16" ht="36">
      <c r="A374" s="1245" t="s">
        <v>2420</v>
      </c>
      <c r="B374" s="1246" t="s">
        <v>1880</v>
      </c>
      <c r="C374" s="1246" t="s">
        <v>504</v>
      </c>
      <c r="D374" s="1200" t="s">
        <v>2946</v>
      </c>
      <c r="E374" s="1247">
        <v>2200</v>
      </c>
      <c r="F374" s="1248">
        <v>41900232</v>
      </c>
      <c r="G374" s="1200" t="s">
        <v>2945</v>
      </c>
      <c r="H374" s="1191" t="s">
        <v>2944</v>
      </c>
      <c r="I374" s="1246" t="s">
        <v>569</v>
      </c>
      <c r="J374" s="1249" t="s">
        <v>2943</v>
      </c>
      <c r="K374" s="1250">
        <v>1</v>
      </c>
      <c r="L374" s="1251">
        <v>12</v>
      </c>
      <c r="M374" s="1252">
        <v>28384.800000000007</v>
      </c>
      <c r="N374" s="1253">
        <v>1</v>
      </c>
      <c r="O374" s="1254">
        <v>6</v>
      </c>
      <c r="P374" s="1252">
        <v>14244.9</v>
      </c>
    </row>
    <row r="375" spans="1:16">
      <c r="A375" s="1245" t="s">
        <v>2420</v>
      </c>
      <c r="B375" s="1246" t="s">
        <v>1880</v>
      </c>
      <c r="C375" s="1246" t="s">
        <v>504</v>
      </c>
      <c r="D375" s="1200" t="s">
        <v>2942</v>
      </c>
      <c r="E375" s="1247">
        <v>930</v>
      </c>
      <c r="F375" s="1248">
        <v>40828904</v>
      </c>
      <c r="G375" s="1200" t="s">
        <v>2941</v>
      </c>
      <c r="H375" s="1191" t="s">
        <v>1592</v>
      </c>
      <c r="I375" s="1246" t="s">
        <v>618</v>
      </c>
      <c r="J375" s="1249" t="s">
        <v>619</v>
      </c>
      <c r="K375" s="1250">
        <v>1</v>
      </c>
      <c r="L375" s="1251">
        <v>12</v>
      </c>
      <c r="M375" s="1252">
        <v>12764.400000000003</v>
      </c>
      <c r="N375" s="1253">
        <v>1</v>
      </c>
      <c r="O375" s="1254">
        <v>6</v>
      </c>
      <c r="P375" s="1252">
        <v>6082.2</v>
      </c>
    </row>
    <row r="376" spans="1:16" ht="36">
      <c r="A376" s="1245" t="s">
        <v>2420</v>
      </c>
      <c r="B376" s="1246" t="s">
        <v>1880</v>
      </c>
      <c r="C376" s="1246" t="s">
        <v>504</v>
      </c>
      <c r="D376" s="1200" t="s">
        <v>2940</v>
      </c>
      <c r="E376" s="1247">
        <v>4000</v>
      </c>
      <c r="F376" s="1248">
        <v>40312167</v>
      </c>
      <c r="G376" s="1200" t="s">
        <v>2939</v>
      </c>
      <c r="H376" s="1191" t="s">
        <v>1695</v>
      </c>
      <c r="I376" s="1246" t="s">
        <v>569</v>
      </c>
      <c r="J376" s="1249" t="s">
        <v>2938</v>
      </c>
      <c r="K376" s="1250">
        <v>1</v>
      </c>
      <c r="L376" s="1251">
        <v>12</v>
      </c>
      <c r="M376" s="1252">
        <v>49984.80000000001</v>
      </c>
      <c r="N376" s="1253">
        <v>1</v>
      </c>
      <c r="O376" s="1254">
        <v>6</v>
      </c>
      <c r="P376" s="1252">
        <v>25044.9</v>
      </c>
    </row>
    <row r="377" spans="1:16" ht="24">
      <c r="A377" s="1245" t="s">
        <v>2420</v>
      </c>
      <c r="B377" s="1246" t="s">
        <v>1880</v>
      </c>
      <c r="C377" s="1246" t="s">
        <v>504</v>
      </c>
      <c r="D377" s="1200" t="s">
        <v>2937</v>
      </c>
      <c r="E377" s="1247">
        <v>5000</v>
      </c>
      <c r="F377" s="1248">
        <v>40740664</v>
      </c>
      <c r="G377" s="1200" t="s">
        <v>2936</v>
      </c>
      <c r="H377" s="1191" t="s">
        <v>2237</v>
      </c>
      <c r="I377" s="1246" t="s">
        <v>569</v>
      </c>
      <c r="J377" s="1249" t="s">
        <v>2237</v>
      </c>
      <c r="K377" s="1250">
        <v>1</v>
      </c>
      <c r="L377" s="1251">
        <v>12</v>
      </c>
      <c r="M377" s="1252">
        <v>61984.80000000001</v>
      </c>
      <c r="N377" s="1253">
        <v>1</v>
      </c>
      <c r="O377" s="1254">
        <v>6</v>
      </c>
      <c r="P377" s="1252">
        <v>31044.9</v>
      </c>
    </row>
    <row r="378" spans="1:16" ht="36">
      <c r="A378" s="1245" t="s">
        <v>2420</v>
      </c>
      <c r="B378" s="1246" t="s">
        <v>1880</v>
      </c>
      <c r="C378" s="1246" t="s">
        <v>504</v>
      </c>
      <c r="D378" s="1200" t="s">
        <v>2935</v>
      </c>
      <c r="E378" s="1247">
        <v>5000</v>
      </c>
      <c r="F378" s="1248">
        <v>42139175</v>
      </c>
      <c r="G378" s="1200" t="s">
        <v>2934</v>
      </c>
      <c r="H378" s="1191" t="s">
        <v>2237</v>
      </c>
      <c r="I378" s="1246" t="s">
        <v>569</v>
      </c>
      <c r="J378" s="1249" t="s">
        <v>2237</v>
      </c>
      <c r="K378" s="1250">
        <v>1</v>
      </c>
      <c r="L378" s="1251">
        <v>12</v>
      </c>
      <c r="M378" s="1252">
        <v>61984.80000000001</v>
      </c>
      <c r="N378" s="1253">
        <v>1</v>
      </c>
      <c r="O378" s="1254">
        <v>2</v>
      </c>
      <c r="P378" s="1252">
        <v>10348.299999999999</v>
      </c>
    </row>
    <row r="379" spans="1:16" ht="36">
      <c r="A379" s="1245" t="s">
        <v>2420</v>
      </c>
      <c r="B379" s="1246" t="s">
        <v>1880</v>
      </c>
      <c r="C379" s="1246" t="s">
        <v>504</v>
      </c>
      <c r="D379" s="1200" t="s">
        <v>2933</v>
      </c>
      <c r="E379" s="1247">
        <v>5000</v>
      </c>
      <c r="F379" s="1248">
        <v>44146206</v>
      </c>
      <c r="G379" s="1200" t="s">
        <v>2932</v>
      </c>
      <c r="H379" s="1191" t="s">
        <v>2447</v>
      </c>
      <c r="I379" s="1246" t="s">
        <v>569</v>
      </c>
      <c r="J379" s="1249" t="s">
        <v>2489</v>
      </c>
      <c r="K379" s="1250">
        <v>1</v>
      </c>
      <c r="L379" s="1251">
        <v>12</v>
      </c>
      <c r="M379" s="1252">
        <v>61360.80000000001</v>
      </c>
      <c r="N379" s="1253">
        <v>1</v>
      </c>
      <c r="O379" s="1254">
        <v>6</v>
      </c>
      <c r="P379" s="1252">
        <v>31044.9</v>
      </c>
    </row>
    <row r="380" spans="1:16" ht="36">
      <c r="A380" s="1245" t="s">
        <v>2420</v>
      </c>
      <c r="B380" s="1246" t="s">
        <v>1880</v>
      </c>
      <c r="C380" s="1246" t="s">
        <v>504</v>
      </c>
      <c r="D380" s="1200" t="s">
        <v>2931</v>
      </c>
      <c r="E380" s="1247">
        <v>5000</v>
      </c>
      <c r="F380" s="1248">
        <v>43560877</v>
      </c>
      <c r="G380" s="1200" t="s">
        <v>2930</v>
      </c>
      <c r="H380" s="1191" t="s">
        <v>2237</v>
      </c>
      <c r="I380" s="1246" t="s">
        <v>569</v>
      </c>
      <c r="J380" s="1249" t="s">
        <v>2237</v>
      </c>
      <c r="K380" s="1250">
        <v>1</v>
      </c>
      <c r="L380" s="1251">
        <v>12</v>
      </c>
      <c r="M380" s="1252">
        <v>61984.80000000001</v>
      </c>
      <c r="N380" s="1253">
        <v>1</v>
      </c>
      <c r="O380" s="1254">
        <v>6</v>
      </c>
      <c r="P380" s="1252">
        <v>31044.9</v>
      </c>
    </row>
    <row r="381" spans="1:16" ht="24">
      <c r="A381" s="1245" t="s">
        <v>2420</v>
      </c>
      <c r="B381" s="1246" t="s">
        <v>1880</v>
      </c>
      <c r="C381" s="1246" t="s">
        <v>504</v>
      </c>
      <c r="D381" s="1200" t="s">
        <v>2929</v>
      </c>
      <c r="E381" s="1247">
        <v>5000</v>
      </c>
      <c r="F381" s="1248">
        <v>42942265</v>
      </c>
      <c r="G381" s="1200" t="s">
        <v>2928</v>
      </c>
      <c r="H381" s="1191" t="s">
        <v>2237</v>
      </c>
      <c r="I381" s="1246" t="s">
        <v>569</v>
      </c>
      <c r="J381" s="1249" t="s">
        <v>2237</v>
      </c>
      <c r="K381" s="1250">
        <v>1</v>
      </c>
      <c r="L381" s="1251">
        <v>12</v>
      </c>
      <c r="M381" s="1252">
        <v>61984.80000000001</v>
      </c>
      <c r="N381" s="1253">
        <v>1</v>
      </c>
      <c r="O381" s="1254">
        <v>6</v>
      </c>
      <c r="P381" s="1252">
        <v>31044.9</v>
      </c>
    </row>
    <row r="382" spans="1:16" ht="24">
      <c r="A382" s="1245" t="s">
        <v>2420</v>
      </c>
      <c r="B382" s="1246" t="s">
        <v>1880</v>
      </c>
      <c r="C382" s="1246" t="s">
        <v>504</v>
      </c>
      <c r="D382" s="1200" t="s">
        <v>2886</v>
      </c>
      <c r="E382" s="1247">
        <v>5000</v>
      </c>
      <c r="F382" s="1248">
        <v>44834693</v>
      </c>
      <c r="G382" s="1200" t="s">
        <v>2927</v>
      </c>
      <c r="H382" s="1191" t="s">
        <v>2237</v>
      </c>
      <c r="I382" s="1246" t="s">
        <v>569</v>
      </c>
      <c r="J382" s="1249" t="s">
        <v>2237</v>
      </c>
      <c r="K382" s="1250">
        <v>1</v>
      </c>
      <c r="L382" s="1251">
        <v>12</v>
      </c>
      <c r="M382" s="1252">
        <v>61984.80000000001</v>
      </c>
      <c r="N382" s="1253">
        <v>1</v>
      </c>
      <c r="O382" s="1254">
        <v>6</v>
      </c>
      <c r="P382" s="1252">
        <v>31044.9</v>
      </c>
    </row>
    <row r="383" spans="1:16">
      <c r="A383" s="1245" t="s">
        <v>2420</v>
      </c>
      <c r="B383" s="1246" t="s">
        <v>1880</v>
      </c>
      <c r="C383" s="1246" t="s">
        <v>504</v>
      </c>
      <c r="D383" s="1200" t="s">
        <v>2826</v>
      </c>
      <c r="E383" s="1247">
        <v>1500</v>
      </c>
      <c r="F383" s="1248">
        <v>30862268</v>
      </c>
      <c r="G383" s="1200" t="s">
        <v>2926</v>
      </c>
      <c r="H383" s="1191" t="s">
        <v>1888</v>
      </c>
      <c r="I383" s="1246" t="s">
        <v>1664</v>
      </c>
      <c r="J383" s="1249" t="s">
        <v>1888</v>
      </c>
      <c r="K383" s="1250">
        <v>1</v>
      </c>
      <c r="L383" s="1251">
        <v>12</v>
      </c>
      <c r="M383" s="1252">
        <v>19960.800000000003</v>
      </c>
      <c r="N383" s="1253">
        <v>1</v>
      </c>
      <c r="O383" s="1254">
        <v>6</v>
      </c>
      <c r="P383" s="1252">
        <v>10266</v>
      </c>
    </row>
    <row r="384" spans="1:16">
      <c r="A384" s="1245" t="s">
        <v>2420</v>
      </c>
      <c r="B384" s="1246" t="s">
        <v>1880</v>
      </c>
      <c r="C384" s="1246" t="s">
        <v>504</v>
      </c>
      <c r="D384" s="1200" t="s">
        <v>2925</v>
      </c>
      <c r="E384" s="1247">
        <v>1500</v>
      </c>
      <c r="F384" s="1248">
        <v>44325012</v>
      </c>
      <c r="G384" s="1200" t="s">
        <v>2924</v>
      </c>
      <c r="H384" s="1191" t="s">
        <v>1972</v>
      </c>
      <c r="I384" s="1246" t="s">
        <v>1664</v>
      </c>
      <c r="J384" s="1249" t="s">
        <v>1972</v>
      </c>
      <c r="K384" s="1250">
        <v>1</v>
      </c>
      <c r="L384" s="1251">
        <v>12</v>
      </c>
      <c r="M384" s="1252">
        <v>19960.800000000003</v>
      </c>
      <c r="N384" s="1253">
        <v>1</v>
      </c>
      <c r="O384" s="1254">
        <v>6</v>
      </c>
      <c r="P384" s="1252">
        <v>9810</v>
      </c>
    </row>
    <row r="385" spans="1:16" ht="24">
      <c r="A385" s="1245" t="s">
        <v>2420</v>
      </c>
      <c r="B385" s="1246" t="s">
        <v>1880</v>
      </c>
      <c r="C385" s="1246" t="s">
        <v>504</v>
      </c>
      <c r="D385" s="1200" t="s">
        <v>2839</v>
      </c>
      <c r="E385" s="1247">
        <v>2500</v>
      </c>
      <c r="F385" s="1248">
        <v>42550729</v>
      </c>
      <c r="G385" s="1200" t="s">
        <v>2923</v>
      </c>
      <c r="H385" s="1191" t="s">
        <v>2696</v>
      </c>
      <c r="I385" s="1246" t="s">
        <v>569</v>
      </c>
      <c r="J385" s="1249" t="s">
        <v>1513</v>
      </c>
      <c r="K385" s="1250">
        <v>1</v>
      </c>
      <c r="L385" s="1251">
        <v>12</v>
      </c>
      <c r="M385" s="1252">
        <v>31960.800000000007</v>
      </c>
      <c r="N385" s="1253">
        <v>1</v>
      </c>
      <c r="O385" s="1254">
        <v>6</v>
      </c>
      <c r="P385" s="1252">
        <v>16500.900000000001</v>
      </c>
    </row>
    <row r="386" spans="1:16" ht="24">
      <c r="A386" s="1245" t="s">
        <v>2420</v>
      </c>
      <c r="B386" s="1246" t="s">
        <v>1880</v>
      </c>
      <c r="C386" s="1246" t="s">
        <v>504</v>
      </c>
      <c r="D386" s="1200" t="s">
        <v>2922</v>
      </c>
      <c r="E386" s="1247">
        <v>5000</v>
      </c>
      <c r="F386" s="1248">
        <v>25827080</v>
      </c>
      <c r="G386" s="1200" t="s">
        <v>2921</v>
      </c>
      <c r="H386" s="1191" t="s">
        <v>1695</v>
      </c>
      <c r="I386" s="1246" t="s">
        <v>569</v>
      </c>
      <c r="J386" s="1249" t="s">
        <v>2920</v>
      </c>
      <c r="K386" s="1250">
        <v>1</v>
      </c>
      <c r="L386" s="1251">
        <v>12</v>
      </c>
      <c r="M386" s="1252">
        <v>61984.80000000001</v>
      </c>
      <c r="N386" s="1253">
        <v>1</v>
      </c>
      <c r="O386" s="1254">
        <v>6</v>
      </c>
      <c r="P386" s="1252">
        <v>31044.9</v>
      </c>
    </row>
    <row r="387" spans="1:16" ht="24">
      <c r="A387" s="1245" t="s">
        <v>2420</v>
      </c>
      <c r="B387" s="1246" t="s">
        <v>1880</v>
      </c>
      <c r="C387" s="1246" t="s">
        <v>504</v>
      </c>
      <c r="D387" s="1200" t="s">
        <v>2919</v>
      </c>
      <c r="E387" s="1247">
        <v>5000</v>
      </c>
      <c r="F387" s="1248">
        <v>25526627</v>
      </c>
      <c r="G387" s="1200" t="s">
        <v>2918</v>
      </c>
      <c r="H387" s="1191" t="s">
        <v>925</v>
      </c>
      <c r="I387" s="1246" t="s">
        <v>569</v>
      </c>
      <c r="J387" s="1249" t="s">
        <v>2906</v>
      </c>
      <c r="K387" s="1250">
        <v>1</v>
      </c>
      <c r="L387" s="1251">
        <v>12</v>
      </c>
      <c r="M387" s="1252">
        <v>61984.80000000001</v>
      </c>
      <c r="N387" s="1253">
        <v>1</v>
      </c>
      <c r="O387" s="1254">
        <v>6</v>
      </c>
      <c r="P387" s="1252">
        <v>31044.9</v>
      </c>
    </row>
    <row r="388" spans="1:16">
      <c r="A388" s="1245" t="s">
        <v>2420</v>
      </c>
      <c r="B388" s="1246" t="s">
        <v>1880</v>
      </c>
      <c r="C388" s="1246" t="s">
        <v>504</v>
      </c>
      <c r="D388" s="1200" t="s">
        <v>2917</v>
      </c>
      <c r="E388" s="1247">
        <v>4000</v>
      </c>
      <c r="F388" s="1248">
        <v>8136735</v>
      </c>
      <c r="G388" s="1200" t="s">
        <v>2916</v>
      </c>
      <c r="H388" s="1191" t="s">
        <v>511</v>
      </c>
      <c r="I388" s="1246" t="s">
        <v>569</v>
      </c>
      <c r="J388" s="1249" t="s">
        <v>2871</v>
      </c>
      <c r="K388" s="1250">
        <v>1</v>
      </c>
      <c r="L388" s="1251">
        <v>12</v>
      </c>
      <c r="M388" s="1252">
        <v>49984.80000000001</v>
      </c>
      <c r="N388" s="1253">
        <v>1</v>
      </c>
      <c r="O388" s="1254">
        <v>6</v>
      </c>
      <c r="P388" s="1252">
        <v>25044.9</v>
      </c>
    </row>
    <row r="389" spans="1:16" ht="36">
      <c r="A389" s="1245" t="s">
        <v>2420</v>
      </c>
      <c r="B389" s="1246" t="s">
        <v>1880</v>
      </c>
      <c r="C389" s="1246" t="s">
        <v>504</v>
      </c>
      <c r="D389" s="1200" t="s">
        <v>2915</v>
      </c>
      <c r="E389" s="1247">
        <v>4500</v>
      </c>
      <c r="F389" s="1248">
        <v>46742107</v>
      </c>
      <c r="G389" s="1200" t="s">
        <v>2914</v>
      </c>
      <c r="H389" s="1191" t="s">
        <v>1695</v>
      </c>
      <c r="I389" s="1246" t="s">
        <v>569</v>
      </c>
      <c r="J389" s="1249" t="s">
        <v>2913</v>
      </c>
      <c r="K389" s="1250">
        <v>1</v>
      </c>
      <c r="L389" s="1251">
        <v>12</v>
      </c>
      <c r="M389" s="1252">
        <v>55984.80000000001</v>
      </c>
      <c r="N389" s="1253">
        <v>1</v>
      </c>
      <c r="O389" s="1254">
        <v>6</v>
      </c>
      <c r="P389" s="1252">
        <v>28044.9</v>
      </c>
    </row>
    <row r="390" spans="1:16" ht="36">
      <c r="A390" s="1245" t="s">
        <v>2420</v>
      </c>
      <c r="B390" s="1246" t="s">
        <v>1880</v>
      </c>
      <c r="C390" s="1246" t="s">
        <v>504</v>
      </c>
      <c r="D390" s="1200" t="s">
        <v>2912</v>
      </c>
      <c r="E390" s="1247">
        <v>5100</v>
      </c>
      <c r="F390" s="1248">
        <v>9874294</v>
      </c>
      <c r="G390" s="1200" t="s">
        <v>2911</v>
      </c>
      <c r="H390" s="1191" t="s">
        <v>2447</v>
      </c>
      <c r="I390" s="1246" t="s">
        <v>569</v>
      </c>
      <c r="J390" s="1249" t="s">
        <v>2489</v>
      </c>
      <c r="K390" s="1250">
        <v>1</v>
      </c>
      <c r="L390" s="1251">
        <v>12</v>
      </c>
      <c r="M390" s="1252">
        <v>62560.80000000001</v>
      </c>
      <c r="N390" s="1253">
        <v>1</v>
      </c>
      <c r="O390" s="1254">
        <v>6</v>
      </c>
      <c r="P390" s="1252">
        <v>31644.9</v>
      </c>
    </row>
    <row r="391" spans="1:16" ht="36">
      <c r="A391" s="1245" t="s">
        <v>2420</v>
      </c>
      <c r="B391" s="1246" t="s">
        <v>1880</v>
      </c>
      <c r="C391" s="1246" t="s">
        <v>504</v>
      </c>
      <c r="D391" s="1200" t="s">
        <v>2910</v>
      </c>
      <c r="E391" s="1247">
        <v>5100</v>
      </c>
      <c r="F391" s="1248">
        <v>43547113</v>
      </c>
      <c r="G391" s="1200" t="s">
        <v>2909</v>
      </c>
      <c r="H391" s="1191" t="s">
        <v>2447</v>
      </c>
      <c r="I391" s="1246" t="s">
        <v>569</v>
      </c>
      <c r="J391" s="1249" t="s">
        <v>2618</v>
      </c>
      <c r="K391" s="1250">
        <v>1</v>
      </c>
      <c r="L391" s="1251">
        <v>12</v>
      </c>
      <c r="M391" s="1252">
        <v>62560.80000000001</v>
      </c>
      <c r="N391" s="1253">
        <v>1</v>
      </c>
      <c r="O391" s="1254">
        <v>6</v>
      </c>
      <c r="P391" s="1252">
        <v>31644.9</v>
      </c>
    </row>
    <row r="392" spans="1:16" ht="36">
      <c r="A392" s="1245" t="s">
        <v>2420</v>
      </c>
      <c r="B392" s="1246" t="s">
        <v>1880</v>
      </c>
      <c r="C392" s="1246" t="s">
        <v>504</v>
      </c>
      <c r="D392" s="1200" t="s">
        <v>2908</v>
      </c>
      <c r="E392" s="1247">
        <v>6000</v>
      </c>
      <c r="F392" s="1248">
        <v>44012202</v>
      </c>
      <c r="G392" s="1200" t="s">
        <v>2907</v>
      </c>
      <c r="H392" s="1191" t="s">
        <v>925</v>
      </c>
      <c r="I392" s="1246" t="s">
        <v>569</v>
      </c>
      <c r="J392" s="1249" t="s">
        <v>2906</v>
      </c>
      <c r="K392" s="1250">
        <v>1</v>
      </c>
      <c r="L392" s="1251">
        <v>12</v>
      </c>
      <c r="M392" s="1252">
        <v>73360.800000000003</v>
      </c>
      <c r="N392" s="1253">
        <v>1</v>
      </c>
      <c r="O392" s="1254">
        <v>6</v>
      </c>
      <c r="P392" s="1252">
        <v>37044.9</v>
      </c>
    </row>
    <row r="393" spans="1:16" ht="24">
      <c r="A393" s="1245" t="s">
        <v>2420</v>
      </c>
      <c r="B393" s="1246" t="s">
        <v>1880</v>
      </c>
      <c r="C393" s="1246" t="s">
        <v>504</v>
      </c>
      <c r="D393" s="1200" t="s">
        <v>2905</v>
      </c>
      <c r="E393" s="1247">
        <v>5000</v>
      </c>
      <c r="F393" s="1248" t="s">
        <v>2904</v>
      </c>
      <c r="G393" s="1200" t="s">
        <v>2903</v>
      </c>
      <c r="H393" s="1191" t="s">
        <v>511</v>
      </c>
      <c r="I393" s="1246" t="s">
        <v>569</v>
      </c>
      <c r="J393" s="1249" t="s">
        <v>511</v>
      </c>
      <c r="K393" s="1250">
        <v>1</v>
      </c>
      <c r="L393" s="1251">
        <v>1</v>
      </c>
      <c r="M393" s="1252">
        <v>562.12</v>
      </c>
      <c r="N393" s="1253">
        <v>0</v>
      </c>
      <c r="O393" s="1254">
        <v>0</v>
      </c>
      <c r="P393" s="1252">
        <v>0</v>
      </c>
    </row>
    <row r="394" spans="1:16">
      <c r="A394" s="1245" t="s">
        <v>2420</v>
      </c>
      <c r="B394" s="1246" t="s">
        <v>1880</v>
      </c>
      <c r="C394" s="1246" t="s">
        <v>504</v>
      </c>
      <c r="D394" s="1200" t="s">
        <v>2902</v>
      </c>
      <c r="E394" s="1247">
        <v>1200</v>
      </c>
      <c r="F394" s="1248">
        <v>47011779</v>
      </c>
      <c r="G394" s="1200" t="s">
        <v>2901</v>
      </c>
      <c r="H394" s="1191" t="s">
        <v>1592</v>
      </c>
      <c r="I394" s="1246" t="s">
        <v>618</v>
      </c>
      <c r="J394" s="1249" t="s">
        <v>619</v>
      </c>
      <c r="K394" s="1250">
        <v>1</v>
      </c>
      <c r="L394" s="1251">
        <v>12</v>
      </c>
      <c r="M394" s="1252">
        <v>16296</v>
      </c>
      <c r="N394" s="1253">
        <v>1</v>
      </c>
      <c r="O394" s="1254">
        <v>6</v>
      </c>
      <c r="P394" s="1252">
        <v>7848</v>
      </c>
    </row>
    <row r="395" spans="1:16" ht="36">
      <c r="A395" s="1245" t="s">
        <v>2420</v>
      </c>
      <c r="B395" s="1246" t="s">
        <v>1880</v>
      </c>
      <c r="C395" s="1246" t="s">
        <v>504</v>
      </c>
      <c r="D395" s="1200" t="s">
        <v>2900</v>
      </c>
      <c r="E395" s="1247">
        <v>2820</v>
      </c>
      <c r="F395" s="1248">
        <v>43311476</v>
      </c>
      <c r="G395" s="1200" t="s">
        <v>2899</v>
      </c>
      <c r="H395" s="1191" t="s">
        <v>1784</v>
      </c>
      <c r="I395" s="1246" t="s">
        <v>1664</v>
      </c>
      <c r="J395" s="1249" t="s">
        <v>2898</v>
      </c>
      <c r="K395" s="1250">
        <v>1</v>
      </c>
      <c r="L395" s="1251">
        <v>12</v>
      </c>
      <c r="M395" s="1252">
        <v>35200.80000000001</v>
      </c>
      <c r="N395" s="1253">
        <v>1</v>
      </c>
      <c r="O395" s="1254">
        <v>6</v>
      </c>
      <c r="P395" s="1252">
        <v>17964.900000000001</v>
      </c>
    </row>
    <row r="396" spans="1:16" ht="36">
      <c r="A396" s="1245" t="s">
        <v>2420</v>
      </c>
      <c r="B396" s="1246" t="s">
        <v>1880</v>
      </c>
      <c r="C396" s="1246" t="s">
        <v>504</v>
      </c>
      <c r="D396" s="1200" t="s">
        <v>2897</v>
      </c>
      <c r="E396" s="1247">
        <v>1900</v>
      </c>
      <c r="F396" s="1248">
        <v>43273353</v>
      </c>
      <c r="G396" s="1200" t="s">
        <v>2896</v>
      </c>
      <c r="H396" s="1191" t="s">
        <v>2895</v>
      </c>
      <c r="I396" s="1246" t="s">
        <v>1664</v>
      </c>
      <c r="J396" s="1249" t="s">
        <v>2894</v>
      </c>
      <c r="K396" s="1250">
        <v>1</v>
      </c>
      <c r="L396" s="1251">
        <v>12</v>
      </c>
      <c r="M396" s="1252">
        <v>24160.800000000003</v>
      </c>
      <c r="N396" s="1253">
        <v>1</v>
      </c>
      <c r="O396" s="1254">
        <v>6</v>
      </c>
      <c r="P396" s="1252">
        <v>12426</v>
      </c>
    </row>
    <row r="397" spans="1:16">
      <c r="A397" s="1245" t="s">
        <v>2420</v>
      </c>
      <c r="B397" s="1246" t="s">
        <v>1880</v>
      </c>
      <c r="C397" s="1246" t="s">
        <v>504</v>
      </c>
      <c r="D397" s="1200" t="s">
        <v>2893</v>
      </c>
      <c r="E397" s="1247">
        <v>930</v>
      </c>
      <c r="F397" s="1248">
        <v>25602427</v>
      </c>
      <c r="G397" s="1200" t="s">
        <v>2892</v>
      </c>
      <c r="H397" s="1191" t="s">
        <v>1592</v>
      </c>
      <c r="I397" s="1246" t="s">
        <v>618</v>
      </c>
      <c r="J397" s="1249" t="s">
        <v>619</v>
      </c>
      <c r="K397" s="1250">
        <v>1</v>
      </c>
      <c r="L397" s="1251">
        <v>12</v>
      </c>
      <c r="M397" s="1252">
        <v>12764.400000000003</v>
      </c>
      <c r="N397" s="1253">
        <v>1</v>
      </c>
      <c r="O397" s="1254">
        <v>6</v>
      </c>
      <c r="P397" s="1252">
        <v>6082.2</v>
      </c>
    </row>
    <row r="398" spans="1:16" ht="24">
      <c r="A398" s="1245" t="s">
        <v>2420</v>
      </c>
      <c r="B398" s="1246" t="s">
        <v>1880</v>
      </c>
      <c r="C398" s="1246" t="s">
        <v>504</v>
      </c>
      <c r="D398" s="1200" t="s">
        <v>2891</v>
      </c>
      <c r="E398" s="1247">
        <v>1000</v>
      </c>
      <c r="F398" s="1248" t="s">
        <v>2890</v>
      </c>
      <c r="G398" s="1200" t="s">
        <v>2889</v>
      </c>
      <c r="H398" s="1191" t="s">
        <v>1592</v>
      </c>
      <c r="I398" s="1246" t="s">
        <v>618</v>
      </c>
      <c r="J398" s="1249" t="s">
        <v>619</v>
      </c>
      <c r="K398" s="1250">
        <v>1</v>
      </c>
      <c r="L398" s="1251">
        <v>12</v>
      </c>
      <c r="M398" s="1252">
        <v>13680</v>
      </c>
      <c r="N398" s="1253">
        <v>1</v>
      </c>
      <c r="O398" s="1254">
        <v>6</v>
      </c>
      <c r="P398" s="1252">
        <v>6540</v>
      </c>
    </row>
    <row r="399" spans="1:16" ht="24">
      <c r="A399" s="1245" t="s">
        <v>2420</v>
      </c>
      <c r="B399" s="1246" t="s">
        <v>1880</v>
      </c>
      <c r="C399" s="1246" t="s">
        <v>504</v>
      </c>
      <c r="D399" s="1200" t="s">
        <v>2888</v>
      </c>
      <c r="E399" s="1247">
        <v>5000</v>
      </c>
      <c r="F399" s="1248">
        <v>7928898</v>
      </c>
      <c r="G399" s="1200" t="s">
        <v>2887</v>
      </c>
      <c r="H399" s="1191" t="s">
        <v>2237</v>
      </c>
      <c r="I399" s="1246" t="s">
        <v>569</v>
      </c>
      <c r="J399" s="1249" t="s">
        <v>2237</v>
      </c>
      <c r="K399" s="1250">
        <v>1</v>
      </c>
      <c r="L399" s="1251">
        <v>12</v>
      </c>
      <c r="M399" s="1252">
        <v>61984.80000000001</v>
      </c>
      <c r="N399" s="1253">
        <v>1</v>
      </c>
      <c r="O399" s="1254">
        <v>6</v>
      </c>
      <c r="P399" s="1252">
        <v>32136.510000000002</v>
      </c>
    </row>
    <row r="400" spans="1:16" ht="24">
      <c r="A400" s="1245" t="s">
        <v>2420</v>
      </c>
      <c r="B400" s="1246" t="s">
        <v>1880</v>
      </c>
      <c r="C400" s="1246" t="s">
        <v>504</v>
      </c>
      <c r="D400" s="1200" t="s">
        <v>2886</v>
      </c>
      <c r="E400" s="1247">
        <v>5000</v>
      </c>
      <c r="F400" s="1248" t="s">
        <v>2885</v>
      </c>
      <c r="G400" s="1200" t="s">
        <v>2884</v>
      </c>
      <c r="H400" s="1191" t="s">
        <v>2237</v>
      </c>
      <c r="I400" s="1246" t="s">
        <v>569</v>
      </c>
      <c r="J400" s="1249" t="s">
        <v>2237</v>
      </c>
      <c r="K400" s="1250">
        <v>1</v>
      </c>
      <c r="L400" s="1251">
        <v>8</v>
      </c>
      <c r="M400" s="1252">
        <v>41423.200000000004</v>
      </c>
      <c r="N400" s="1253">
        <v>1</v>
      </c>
      <c r="O400" s="1254">
        <v>6</v>
      </c>
      <c r="P400" s="1252">
        <v>31044.9</v>
      </c>
    </row>
    <row r="401" spans="1:16" ht="36">
      <c r="A401" s="1245" t="s">
        <v>2420</v>
      </c>
      <c r="B401" s="1246" t="s">
        <v>1880</v>
      </c>
      <c r="C401" s="1246" t="s">
        <v>504</v>
      </c>
      <c r="D401" s="1200" t="s">
        <v>2883</v>
      </c>
      <c r="E401" s="1247">
        <v>5500</v>
      </c>
      <c r="F401" s="1248">
        <v>43344626</v>
      </c>
      <c r="G401" s="1200" t="s">
        <v>2882</v>
      </c>
      <c r="H401" s="1191" t="s">
        <v>2447</v>
      </c>
      <c r="I401" s="1246" t="s">
        <v>569</v>
      </c>
      <c r="J401" s="1249" t="s">
        <v>2618</v>
      </c>
      <c r="K401" s="1250">
        <v>1</v>
      </c>
      <c r="L401" s="1251">
        <v>12</v>
      </c>
      <c r="M401" s="1252">
        <v>67360.800000000003</v>
      </c>
      <c r="N401" s="1253">
        <v>1</v>
      </c>
      <c r="O401" s="1254">
        <v>6</v>
      </c>
      <c r="P401" s="1252">
        <v>34044.9</v>
      </c>
    </row>
    <row r="402" spans="1:16" ht="24">
      <c r="A402" s="1245" t="s">
        <v>2420</v>
      </c>
      <c r="B402" s="1246" t="s">
        <v>1880</v>
      </c>
      <c r="C402" s="1246" t="s">
        <v>504</v>
      </c>
      <c r="D402" s="1200" t="s">
        <v>2881</v>
      </c>
      <c r="E402" s="1247">
        <v>2500</v>
      </c>
      <c r="F402" s="1248">
        <v>6675492</v>
      </c>
      <c r="G402" s="1200" t="s">
        <v>2880</v>
      </c>
      <c r="H402" s="1191" t="s">
        <v>2879</v>
      </c>
      <c r="I402" s="1246" t="s">
        <v>569</v>
      </c>
      <c r="J402" s="1249" t="s">
        <v>2878</v>
      </c>
      <c r="K402" s="1250">
        <v>1</v>
      </c>
      <c r="L402" s="1251">
        <v>12</v>
      </c>
      <c r="M402" s="1252">
        <v>31960.800000000007</v>
      </c>
      <c r="N402" s="1253">
        <v>1</v>
      </c>
      <c r="O402" s="1254">
        <v>6</v>
      </c>
      <c r="P402" s="1252">
        <v>16044.9</v>
      </c>
    </row>
    <row r="403" spans="1:16" ht="24">
      <c r="A403" s="1245" t="s">
        <v>2420</v>
      </c>
      <c r="B403" s="1246" t="s">
        <v>1880</v>
      </c>
      <c r="C403" s="1246" t="s">
        <v>504</v>
      </c>
      <c r="D403" s="1200" t="s">
        <v>2839</v>
      </c>
      <c r="E403" s="1247">
        <v>2500</v>
      </c>
      <c r="F403" s="1248">
        <v>42729996</v>
      </c>
      <c r="G403" s="1200" t="s">
        <v>2877</v>
      </c>
      <c r="H403" s="1191" t="s">
        <v>2696</v>
      </c>
      <c r="I403" s="1246" t="s">
        <v>569</v>
      </c>
      <c r="J403" s="1249" t="s">
        <v>1513</v>
      </c>
      <c r="K403" s="1250">
        <v>1</v>
      </c>
      <c r="L403" s="1251">
        <v>12</v>
      </c>
      <c r="M403" s="1252">
        <v>31960.800000000007</v>
      </c>
      <c r="N403" s="1253">
        <v>1</v>
      </c>
      <c r="O403" s="1254">
        <v>6</v>
      </c>
      <c r="P403" s="1252">
        <v>16044.9</v>
      </c>
    </row>
    <row r="404" spans="1:16" ht="24">
      <c r="A404" s="1245" t="s">
        <v>2420</v>
      </c>
      <c r="B404" s="1246" t="s">
        <v>1880</v>
      </c>
      <c r="C404" s="1246" t="s">
        <v>504</v>
      </c>
      <c r="D404" s="1200" t="s">
        <v>2839</v>
      </c>
      <c r="E404" s="1247">
        <v>2500</v>
      </c>
      <c r="F404" s="1248">
        <v>43166593</v>
      </c>
      <c r="G404" s="1200" t="s">
        <v>2876</v>
      </c>
      <c r="H404" s="1191" t="s">
        <v>2696</v>
      </c>
      <c r="I404" s="1246" t="s">
        <v>569</v>
      </c>
      <c r="J404" s="1249" t="s">
        <v>1513</v>
      </c>
      <c r="K404" s="1250">
        <v>1</v>
      </c>
      <c r="L404" s="1251">
        <v>5</v>
      </c>
      <c r="M404" s="1252">
        <v>12400.33</v>
      </c>
      <c r="N404" s="1253">
        <v>0</v>
      </c>
      <c r="O404" s="1254">
        <v>0</v>
      </c>
      <c r="P404" s="1252">
        <v>0</v>
      </c>
    </row>
    <row r="405" spans="1:16" ht="24">
      <c r="A405" s="1245" t="s">
        <v>2420</v>
      </c>
      <c r="B405" s="1246" t="s">
        <v>1880</v>
      </c>
      <c r="C405" s="1246" t="s">
        <v>504</v>
      </c>
      <c r="D405" s="1200" t="s">
        <v>2826</v>
      </c>
      <c r="E405" s="1247">
        <v>1500</v>
      </c>
      <c r="F405" s="1248">
        <v>43130390</v>
      </c>
      <c r="G405" s="1200" t="s">
        <v>2875</v>
      </c>
      <c r="H405" s="1191" t="s">
        <v>2696</v>
      </c>
      <c r="I405" s="1246" t="s">
        <v>1664</v>
      </c>
      <c r="J405" s="1249" t="s">
        <v>2874</v>
      </c>
      <c r="K405" s="1250">
        <v>1</v>
      </c>
      <c r="L405" s="1251">
        <v>12</v>
      </c>
      <c r="M405" s="1252">
        <v>19960.800000000003</v>
      </c>
      <c r="N405" s="1253">
        <v>1</v>
      </c>
      <c r="O405" s="1254">
        <v>6</v>
      </c>
      <c r="P405" s="1252">
        <v>10266</v>
      </c>
    </row>
    <row r="406" spans="1:16">
      <c r="A406" s="1245" t="s">
        <v>2420</v>
      </c>
      <c r="B406" s="1246" t="s">
        <v>1880</v>
      </c>
      <c r="C406" s="1246" t="s">
        <v>504</v>
      </c>
      <c r="D406" s="1200" t="s">
        <v>2873</v>
      </c>
      <c r="E406" s="1247">
        <v>3000</v>
      </c>
      <c r="F406" s="1248">
        <v>47430931</v>
      </c>
      <c r="G406" s="1200" t="s">
        <v>2872</v>
      </c>
      <c r="H406" s="1191" t="s">
        <v>511</v>
      </c>
      <c r="I406" s="1246" t="s">
        <v>569</v>
      </c>
      <c r="J406" s="1249" t="s">
        <v>2871</v>
      </c>
      <c r="K406" s="1250">
        <v>1</v>
      </c>
      <c r="L406" s="1251">
        <v>12</v>
      </c>
      <c r="M406" s="1252">
        <v>37960.80000000001</v>
      </c>
      <c r="N406" s="1253">
        <v>1</v>
      </c>
      <c r="O406" s="1254">
        <v>6</v>
      </c>
      <c r="P406" s="1252">
        <v>19044.900000000001</v>
      </c>
    </row>
    <row r="407" spans="1:16" ht="36">
      <c r="A407" s="1245" t="s">
        <v>2420</v>
      </c>
      <c r="B407" s="1246" t="s">
        <v>1880</v>
      </c>
      <c r="C407" s="1246" t="s">
        <v>504</v>
      </c>
      <c r="D407" s="1200" t="s">
        <v>2870</v>
      </c>
      <c r="E407" s="1247">
        <v>5000</v>
      </c>
      <c r="F407" s="1248">
        <v>9149195</v>
      </c>
      <c r="G407" s="1200" t="s">
        <v>2869</v>
      </c>
      <c r="H407" s="1191" t="s">
        <v>1695</v>
      </c>
      <c r="I407" s="1246" t="s">
        <v>569</v>
      </c>
      <c r="J407" s="1249" t="s">
        <v>2589</v>
      </c>
      <c r="K407" s="1250">
        <v>1</v>
      </c>
      <c r="L407" s="1251">
        <v>12</v>
      </c>
      <c r="M407" s="1252">
        <v>61984.80000000001</v>
      </c>
      <c r="N407" s="1253">
        <v>1</v>
      </c>
      <c r="O407" s="1254">
        <v>6</v>
      </c>
      <c r="P407" s="1252">
        <v>31044.9</v>
      </c>
    </row>
    <row r="408" spans="1:16" ht="24">
      <c r="A408" s="1245" t="s">
        <v>2420</v>
      </c>
      <c r="B408" s="1246" t="s">
        <v>1880</v>
      </c>
      <c r="C408" s="1246" t="s">
        <v>504</v>
      </c>
      <c r="D408" s="1200" t="s">
        <v>2836</v>
      </c>
      <c r="E408" s="1247">
        <v>5000</v>
      </c>
      <c r="F408" s="1248">
        <v>7222694</v>
      </c>
      <c r="G408" s="1200" t="s">
        <v>2868</v>
      </c>
      <c r="H408" s="1191" t="s">
        <v>2237</v>
      </c>
      <c r="I408" s="1246" t="s">
        <v>569</v>
      </c>
      <c r="J408" s="1249" t="s">
        <v>2237</v>
      </c>
      <c r="K408" s="1250">
        <v>1</v>
      </c>
      <c r="L408" s="1251">
        <v>12</v>
      </c>
      <c r="M408" s="1252">
        <v>61984.80000000001</v>
      </c>
      <c r="N408" s="1253">
        <v>1</v>
      </c>
      <c r="O408" s="1254">
        <v>6</v>
      </c>
      <c r="P408" s="1252">
        <v>31044.9</v>
      </c>
    </row>
    <row r="409" spans="1:16">
      <c r="A409" s="1245" t="s">
        <v>2420</v>
      </c>
      <c r="B409" s="1246" t="s">
        <v>1880</v>
      </c>
      <c r="C409" s="1246" t="s">
        <v>504</v>
      </c>
      <c r="D409" s="1200" t="s">
        <v>2867</v>
      </c>
      <c r="E409" s="1247">
        <v>930</v>
      </c>
      <c r="F409" s="1248">
        <v>8887380</v>
      </c>
      <c r="G409" s="1200" t="s">
        <v>2866</v>
      </c>
      <c r="H409" s="1191" t="s">
        <v>1592</v>
      </c>
      <c r="I409" s="1246" t="s">
        <v>618</v>
      </c>
      <c r="J409" s="1249" t="s">
        <v>619</v>
      </c>
      <c r="K409" s="1250">
        <v>1</v>
      </c>
      <c r="L409" s="1251">
        <v>12</v>
      </c>
      <c r="M409" s="1252">
        <v>12764.400000000003</v>
      </c>
      <c r="N409" s="1253">
        <v>1</v>
      </c>
      <c r="O409" s="1254">
        <v>6</v>
      </c>
      <c r="P409" s="1252">
        <v>6082.2</v>
      </c>
    </row>
    <row r="410" spans="1:16">
      <c r="A410" s="1245" t="s">
        <v>2420</v>
      </c>
      <c r="B410" s="1246" t="s">
        <v>1880</v>
      </c>
      <c r="C410" s="1246" t="s">
        <v>504</v>
      </c>
      <c r="D410" s="1200" t="s">
        <v>2865</v>
      </c>
      <c r="E410" s="1247">
        <v>1200</v>
      </c>
      <c r="F410" s="1248">
        <v>6595684</v>
      </c>
      <c r="G410" s="1200" t="s">
        <v>2864</v>
      </c>
      <c r="H410" s="1191" t="s">
        <v>1592</v>
      </c>
      <c r="I410" s="1246" t="s">
        <v>618</v>
      </c>
      <c r="J410" s="1249" t="s">
        <v>619</v>
      </c>
      <c r="K410" s="1250">
        <v>1</v>
      </c>
      <c r="L410" s="1251">
        <v>12</v>
      </c>
      <c r="M410" s="1252">
        <v>16296</v>
      </c>
      <c r="N410" s="1253">
        <v>1</v>
      </c>
      <c r="O410" s="1254">
        <v>6</v>
      </c>
      <c r="P410" s="1252">
        <v>8304</v>
      </c>
    </row>
    <row r="411" spans="1:16" ht="24">
      <c r="A411" s="1245" t="s">
        <v>2420</v>
      </c>
      <c r="B411" s="1246" t="s">
        <v>1880</v>
      </c>
      <c r="C411" s="1246" t="s">
        <v>504</v>
      </c>
      <c r="D411" s="1200" t="s">
        <v>2863</v>
      </c>
      <c r="E411" s="1247">
        <v>6000</v>
      </c>
      <c r="F411" s="1248">
        <v>9212207</v>
      </c>
      <c r="G411" s="1200" t="s">
        <v>2862</v>
      </c>
      <c r="H411" s="1191" t="s">
        <v>1439</v>
      </c>
      <c r="I411" s="1246" t="s">
        <v>569</v>
      </c>
      <c r="J411" s="1249" t="s">
        <v>1792</v>
      </c>
      <c r="K411" s="1250">
        <v>1</v>
      </c>
      <c r="L411" s="1251">
        <v>12</v>
      </c>
      <c r="M411" s="1252">
        <v>73984.800000000003</v>
      </c>
      <c r="N411" s="1253">
        <v>1</v>
      </c>
      <c r="O411" s="1254">
        <v>6</v>
      </c>
      <c r="P411" s="1252">
        <v>37044.9</v>
      </c>
    </row>
    <row r="412" spans="1:16" ht="48">
      <c r="A412" s="1245" t="s">
        <v>2420</v>
      </c>
      <c r="B412" s="1246" t="s">
        <v>1880</v>
      </c>
      <c r="C412" s="1246" t="s">
        <v>504</v>
      </c>
      <c r="D412" s="1200" t="s">
        <v>2861</v>
      </c>
      <c r="E412" s="1247">
        <v>4450</v>
      </c>
      <c r="F412" s="1248">
        <v>7379121</v>
      </c>
      <c r="G412" s="1200" t="s">
        <v>2860</v>
      </c>
      <c r="H412" s="1191" t="s">
        <v>659</v>
      </c>
      <c r="I412" s="1246" t="s">
        <v>569</v>
      </c>
      <c r="J412" s="1249" t="s">
        <v>2859</v>
      </c>
      <c r="K412" s="1250">
        <v>1</v>
      </c>
      <c r="L412" s="1251">
        <v>12</v>
      </c>
      <c r="M412" s="1252">
        <v>55384.80000000001</v>
      </c>
      <c r="N412" s="1253">
        <v>1</v>
      </c>
      <c r="O412" s="1254">
        <v>6</v>
      </c>
      <c r="P412" s="1252">
        <v>27744.9</v>
      </c>
    </row>
    <row r="413" spans="1:16" ht="24">
      <c r="A413" s="1245" t="s">
        <v>2420</v>
      </c>
      <c r="B413" s="1246" t="s">
        <v>1880</v>
      </c>
      <c r="C413" s="1246" t="s">
        <v>504</v>
      </c>
      <c r="D413" s="1200" t="s">
        <v>2708</v>
      </c>
      <c r="E413" s="1247">
        <v>4000</v>
      </c>
      <c r="F413" s="1248" t="s">
        <v>2858</v>
      </c>
      <c r="G413" s="1200" t="s">
        <v>2857</v>
      </c>
      <c r="H413" s="1191" t="s">
        <v>2696</v>
      </c>
      <c r="I413" s="1246" t="s">
        <v>569</v>
      </c>
      <c r="J413" s="1249" t="s">
        <v>1513</v>
      </c>
      <c r="K413" s="1256"/>
      <c r="L413" s="1257"/>
      <c r="M413" s="1252"/>
      <c r="N413" s="1253">
        <v>1</v>
      </c>
      <c r="O413" s="1254">
        <v>2</v>
      </c>
      <c r="P413" s="1252">
        <v>7179.43</v>
      </c>
    </row>
    <row r="414" spans="1:16" ht="24">
      <c r="A414" s="1245" t="s">
        <v>2420</v>
      </c>
      <c r="B414" s="1246" t="s">
        <v>1880</v>
      </c>
      <c r="C414" s="1246" t="s">
        <v>504</v>
      </c>
      <c r="D414" s="1200" t="s">
        <v>2746</v>
      </c>
      <c r="E414" s="1247">
        <v>10000</v>
      </c>
      <c r="F414" s="1248" t="s">
        <v>2856</v>
      </c>
      <c r="G414" s="1200" t="s">
        <v>2855</v>
      </c>
      <c r="H414" s="1191" t="s">
        <v>2237</v>
      </c>
      <c r="I414" s="1246" t="s">
        <v>569</v>
      </c>
      <c r="J414" s="1249" t="s">
        <v>2237</v>
      </c>
      <c r="K414" s="1256"/>
      <c r="L414" s="1257"/>
      <c r="M414" s="1252"/>
      <c r="N414" s="1253">
        <v>1</v>
      </c>
      <c r="O414" s="1254">
        <v>2</v>
      </c>
      <c r="P414" s="1252">
        <v>24343.96</v>
      </c>
    </row>
    <row r="415" spans="1:16" ht="24">
      <c r="A415" s="1245" t="s">
        <v>2420</v>
      </c>
      <c r="B415" s="1246" t="s">
        <v>1880</v>
      </c>
      <c r="C415" s="1246" t="s">
        <v>504</v>
      </c>
      <c r="D415" s="1200" t="s">
        <v>2854</v>
      </c>
      <c r="E415" s="1247">
        <v>1000</v>
      </c>
      <c r="F415" s="1248" t="s">
        <v>2853</v>
      </c>
      <c r="G415" s="1200" t="s">
        <v>2852</v>
      </c>
      <c r="H415" s="1191" t="s">
        <v>1592</v>
      </c>
      <c r="I415" s="1246" t="s">
        <v>618</v>
      </c>
      <c r="J415" s="1249" t="s">
        <v>619</v>
      </c>
      <c r="K415" s="1256"/>
      <c r="L415" s="1257"/>
      <c r="M415" s="1252"/>
      <c r="N415" s="1253">
        <v>1</v>
      </c>
      <c r="O415" s="1254">
        <v>4</v>
      </c>
      <c r="P415" s="1252">
        <v>4360</v>
      </c>
    </row>
    <row r="416" spans="1:16" ht="24">
      <c r="A416" s="1245" t="s">
        <v>2420</v>
      </c>
      <c r="B416" s="1246" t="s">
        <v>1880</v>
      </c>
      <c r="C416" s="1246" t="s">
        <v>504</v>
      </c>
      <c r="D416" s="1200" t="s">
        <v>2699</v>
      </c>
      <c r="E416" s="1247">
        <v>4000</v>
      </c>
      <c r="F416" s="1248" t="s">
        <v>2851</v>
      </c>
      <c r="G416" s="1200" t="s">
        <v>2850</v>
      </c>
      <c r="H416" s="1191" t="s">
        <v>2696</v>
      </c>
      <c r="I416" s="1246" t="s">
        <v>569</v>
      </c>
      <c r="J416" s="1249" t="s">
        <v>1513</v>
      </c>
      <c r="K416" s="1256"/>
      <c r="L416" s="1257"/>
      <c r="M416" s="1252"/>
      <c r="N416" s="1253"/>
      <c r="O416" s="1254">
        <v>0</v>
      </c>
      <c r="P416" s="1252">
        <v>0</v>
      </c>
    </row>
    <row r="417" spans="1:16" ht="24">
      <c r="A417" s="1245" t="s">
        <v>2420</v>
      </c>
      <c r="B417" s="1246" t="s">
        <v>1880</v>
      </c>
      <c r="C417" s="1246" t="s">
        <v>504</v>
      </c>
      <c r="D417" s="1200" t="s">
        <v>2849</v>
      </c>
      <c r="E417" s="1247">
        <v>1000</v>
      </c>
      <c r="F417" s="1248" t="s">
        <v>2848</v>
      </c>
      <c r="G417" s="1200" t="s">
        <v>2847</v>
      </c>
      <c r="H417" s="1191" t="s">
        <v>1592</v>
      </c>
      <c r="I417" s="1246" t="s">
        <v>618</v>
      </c>
      <c r="J417" s="1249" t="s">
        <v>619</v>
      </c>
      <c r="K417" s="1256"/>
      <c r="L417" s="1257"/>
      <c r="M417" s="1252"/>
      <c r="N417" s="1253">
        <v>1</v>
      </c>
      <c r="O417" s="1254">
        <v>4</v>
      </c>
      <c r="P417" s="1252">
        <v>4360</v>
      </c>
    </row>
    <row r="418" spans="1:16" ht="24">
      <c r="A418" s="1245" t="s">
        <v>2420</v>
      </c>
      <c r="B418" s="1246" t="s">
        <v>1880</v>
      </c>
      <c r="C418" s="1246" t="s">
        <v>504</v>
      </c>
      <c r="D418" s="1200" t="s">
        <v>2846</v>
      </c>
      <c r="E418" s="1247">
        <v>2350</v>
      </c>
      <c r="F418" s="1248" t="s">
        <v>2845</v>
      </c>
      <c r="G418" s="1200" t="s">
        <v>2844</v>
      </c>
      <c r="H418" s="1191" t="s">
        <v>2843</v>
      </c>
      <c r="I418" s="1246" t="s">
        <v>569</v>
      </c>
      <c r="J418" s="1249" t="s">
        <v>2842</v>
      </c>
      <c r="K418" s="1256"/>
      <c r="L418" s="1257"/>
      <c r="M418" s="1252"/>
      <c r="N418" s="1253">
        <v>1</v>
      </c>
      <c r="O418" s="1254">
        <v>4</v>
      </c>
      <c r="P418" s="1252">
        <v>10096.6</v>
      </c>
    </row>
    <row r="419" spans="1:16">
      <c r="A419" s="1245" t="s">
        <v>2420</v>
      </c>
      <c r="B419" s="1246" t="s">
        <v>1880</v>
      </c>
      <c r="C419" s="1246" t="s">
        <v>504</v>
      </c>
      <c r="D419" s="1200" t="s">
        <v>2829</v>
      </c>
      <c r="E419" s="1247">
        <v>1000</v>
      </c>
      <c r="F419" s="1248" t="s">
        <v>2841</v>
      </c>
      <c r="G419" s="1200" t="s">
        <v>2840</v>
      </c>
      <c r="H419" s="1191" t="s">
        <v>1592</v>
      </c>
      <c r="I419" s="1246" t="s">
        <v>618</v>
      </c>
      <c r="J419" s="1249" t="s">
        <v>619</v>
      </c>
      <c r="K419" s="1256"/>
      <c r="L419" s="1257"/>
      <c r="M419" s="1252"/>
      <c r="N419" s="1253">
        <v>1</v>
      </c>
      <c r="O419" s="1254">
        <v>4</v>
      </c>
      <c r="P419" s="1252">
        <v>4360</v>
      </c>
    </row>
    <row r="420" spans="1:16" ht="24">
      <c r="A420" s="1245" t="s">
        <v>2420</v>
      </c>
      <c r="B420" s="1246" t="s">
        <v>1880</v>
      </c>
      <c r="C420" s="1246" t="s">
        <v>504</v>
      </c>
      <c r="D420" s="1200" t="s">
        <v>2839</v>
      </c>
      <c r="E420" s="1247">
        <v>2500</v>
      </c>
      <c r="F420" s="1248" t="s">
        <v>2838</v>
      </c>
      <c r="G420" s="1200" t="s">
        <v>2837</v>
      </c>
      <c r="H420" s="1191" t="s">
        <v>2696</v>
      </c>
      <c r="I420" s="1246" t="s">
        <v>569</v>
      </c>
      <c r="J420" s="1249" t="s">
        <v>1513</v>
      </c>
      <c r="K420" s="1256"/>
      <c r="L420" s="1257"/>
      <c r="M420" s="1252"/>
      <c r="N420" s="1253">
        <v>1</v>
      </c>
      <c r="O420" s="1254">
        <v>4</v>
      </c>
      <c r="P420" s="1252">
        <v>8812.1500000000015</v>
      </c>
    </row>
    <row r="421" spans="1:16" ht="24">
      <c r="A421" s="1245" t="s">
        <v>2420</v>
      </c>
      <c r="B421" s="1246" t="s">
        <v>1880</v>
      </c>
      <c r="C421" s="1246" t="s">
        <v>504</v>
      </c>
      <c r="D421" s="1200" t="s">
        <v>2836</v>
      </c>
      <c r="E421" s="1247">
        <v>5000</v>
      </c>
      <c r="F421" s="1248" t="s">
        <v>2835</v>
      </c>
      <c r="G421" s="1200" t="s">
        <v>2834</v>
      </c>
      <c r="H421" s="1191" t="s">
        <v>2237</v>
      </c>
      <c r="I421" s="1246" t="s">
        <v>569</v>
      </c>
      <c r="J421" s="1249" t="s">
        <v>2820</v>
      </c>
      <c r="K421" s="1256"/>
      <c r="L421" s="1257"/>
      <c r="M421" s="1252"/>
      <c r="N421" s="1253">
        <v>1</v>
      </c>
      <c r="O421" s="1254">
        <v>4</v>
      </c>
      <c r="P421" s="1252">
        <v>21788.21</v>
      </c>
    </row>
    <row r="422" spans="1:16">
      <c r="A422" s="1245" t="s">
        <v>2420</v>
      </c>
      <c r="B422" s="1246" t="s">
        <v>1880</v>
      </c>
      <c r="C422" s="1246" t="s">
        <v>504</v>
      </c>
      <c r="D422" s="1200" t="s">
        <v>2833</v>
      </c>
      <c r="E422" s="1247">
        <v>3500</v>
      </c>
      <c r="F422" s="1248" t="s">
        <v>2832</v>
      </c>
      <c r="G422" s="1200" t="s">
        <v>2831</v>
      </c>
      <c r="H422" s="1191" t="s">
        <v>2830</v>
      </c>
      <c r="I422" s="1246" t="s">
        <v>569</v>
      </c>
      <c r="J422" s="1249" t="s">
        <v>2830</v>
      </c>
      <c r="K422" s="1256"/>
      <c r="L422" s="1257"/>
      <c r="M422" s="1252"/>
      <c r="N422" s="1253">
        <v>1</v>
      </c>
      <c r="O422" s="1254">
        <v>3</v>
      </c>
      <c r="P422" s="1252">
        <v>14522.45</v>
      </c>
    </row>
    <row r="423" spans="1:16">
      <c r="A423" s="1245" t="s">
        <v>2420</v>
      </c>
      <c r="B423" s="1246" t="s">
        <v>1880</v>
      </c>
      <c r="C423" s="1246" t="s">
        <v>504</v>
      </c>
      <c r="D423" s="1200" t="s">
        <v>2829</v>
      </c>
      <c r="E423" s="1247">
        <v>1000</v>
      </c>
      <c r="F423" s="1248" t="s">
        <v>2828</v>
      </c>
      <c r="G423" s="1200" t="s">
        <v>2827</v>
      </c>
      <c r="H423" s="1191" t="s">
        <v>1592</v>
      </c>
      <c r="I423" s="1246" t="s">
        <v>618</v>
      </c>
      <c r="J423" s="1249" t="s">
        <v>619</v>
      </c>
      <c r="K423" s="1256"/>
      <c r="L423" s="1257"/>
      <c r="M423" s="1252"/>
      <c r="N423" s="1253">
        <v>1</v>
      </c>
      <c r="O423" s="1254">
        <v>4</v>
      </c>
      <c r="P423" s="1252">
        <v>4360</v>
      </c>
    </row>
    <row r="424" spans="1:16">
      <c r="A424" s="1245" t="s">
        <v>2420</v>
      </c>
      <c r="B424" s="1246" t="s">
        <v>1880</v>
      </c>
      <c r="C424" s="1246" t="s">
        <v>504</v>
      </c>
      <c r="D424" s="1200" t="s">
        <v>2826</v>
      </c>
      <c r="E424" s="1247">
        <v>1500</v>
      </c>
      <c r="F424" s="1248" t="s">
        <v>2825</v>
      </c>
      <c r="G424" s="1200" t="s">
        <v>2824</v>
      </c>
      <c r="H424" s="1191" t="s">
        <v>1888</v>
      </c>
      <c r="I424" s="1246" t="s">
        <v>1664</v>
      </c>
      <c r="J424" s="1249" t="s">
        <v>1888</v>
      </c>
      <c r="K424" s="1256"/>
      <c r="L424" s="1257"/>
      <c r="M424" s="1252"/>
      <c r="N424" s="1253">
        <v>1</v>
      </c>
      <c r="O424" s="1254">
        <v>4</v>
      </c>
      <c r="P424" s="1252">
        <v>6996</v>
      </c>
    </row>
    <row r="425" spans="1:16" ht="24">
      <c r="A425" s="1245" t="s">
        <v>2420</v>
      </c>
      <c r="B425" s="1246" t="s">
        <v>1880</v>
      </c>
      <c r="C425" s="1246" t="s">
        <v>504</v>
      </c>
      <c r="D425" s="1200" t="s">
        <v>2823</v>
      </c>
      <c r="E425" s="1247">
        <v>5000</v>
      </c>
      <c r="F425" s="1248" t="s">
        <v>2822</v>
      </c>
      <c r="G425" s="1200" t="s">
        <v>2821</v>
      </c>
      <c r="H425" s="1191" t="s">
        <v>2820</v>
      </c>
      <c r="I425" s="1246" t="s">
        <v>569</v>
      </c>
      <c r="J425" s="1249" t="s">
        <v>2820</v>
      </c>
      <c r="K425" s="1256"/>
      <c r="L425" s="1257"/>
      <c r="M425" s="1252"/>
      <c r="N425" s="1253">
        <v>1</v>
      </c>
      <c r="O425" s="1254">
        <v>4</v>
      </c>
      <c r="P425" s="1252">
        <v>20696.599999999999</v>
      </c>
    </row>
    <row r="426" spans="1:16" ht="24">
      <c r="A426" s="1245" t="s">
        <v>2420</v>
      </c>
      <c r="B426" s="1246" t="s">
        <v>1880</v>
      </c>
      <c r="C426" s="1246" t="s">
        <v>504</v>
      </c>
      <c r="D426" s="1200" t="s">
        <v>2749</v>
      </c>
      <c r="E426" s="1247">
        <v>4000</v>
      </c>
      <c r="F426" s="1248" t="s">
        <v>2819</v>
      </c>
      <c r="G426" s="1200" t="s">
        <v>2818</v>
      </c>
      <c r="H426" s="1191" t="s">
        <v>2696</v>
      </c>
      <c r="I426" s="1246" t="s">
        <v>569</v>
      </c>
      <c r="J426" s="1249" t="s">
        <v>1513</v>
      </c>
      <c r="K426" s="1256"/>
      <c r="L426" s="1257"/>
      <c r="M426" s="1252"/>
      <c r="N426" s="1253">
        <v>1</v>
      </c>
      <c r="O426" s="1254">
        <v>3</v>
      </c>
      <c r="P426" s="1252">
        <v>11031.95</v>
      </c>
    </row>
    <row r="427" spans="1:16" ht="24">
      <c r="A427" s="1245" t="s">
        <v>2420</v>
      </c>
      <c r="B427" s="1246" t="s">
        <v>1880</v>
      </c>
      <c r="C427" s="1246" t="s">
        <v>504</v>
      </c>
      <c r="D427" s="1200" t="s">
        <v>2749</v>
      </c>
      <c r="E427" s="1247">
        <v>4000</v>
      </c>
      <c r="F427" s="1248" t="s">
        <v>2817</v>
      </c>
      <c r="G427" s="1200" t="s">
        <v>2816</v>
      </c>
      <c r="H427" s="1191" t="s">
        <v>2696</v>
      </c>
      <c r="I427" s="1246" t="s">
        <v>569</v>
      </c>
      <c r="J427" s="1249" t="s">
        <v>1513</v>
      </c>
      <c r="K427" s="1256"/>
      <c r="L427" s="1257"/>
      <c r="M427" s="1252"/>
      <c r="N427" s="1253">
        <v>1</v>
      </c>
      <c r="O427" s="1254">
        <v>3</v>
      </c>
      <c r="P427" s="1252">
        <v>12796.670000000002</v>
      </c>
    </row>
    <row r="428" spans="1:16" ht="24">
      <c r="A428" s="1245" t="s">
        <v>2420</v>
      </c>
      <c r="B428" s="1246" t="s">
        <v>1880</v>
      </c>
      <c r="C428" s="1246" t="s">
        <v>504</v>
      </c>
      <c r="D428" s="1200" t="s">
        <v>2749</v>
      </c>
      <c r="E428" s="1247">
        <v>4000</v>
      </c>
      <c r="F428" s="1248" t="s">
        <v>2815</v>
      </c>
      <c r="G428" s="1200" t="s">
        <v>2814</v>
      </c>
      <c r="H428" s="1191" t="s">
        <v>2696</v>
      </c>
      <c r="I428" s="1246" t="s">
        <v>569</v>
      </c>
      <c r="J428" s="1249" t="s">
        <v>1513</v>
      </c>
      <c r="K428" s="1256"/>
      <c r="L428" s="1257"/>
      <c r="M428" s="1252"/>
      <c r="N428" s="1253">
        <v>1</v>
      </c>
      <c r="O428" s="1254">
        <v>3</v>
      </c>
      <c r="P428" s="1252">
        <v>12932.41</v>
      </c>
    </row>
    <row r="429" spans="1:16" ht="24">
      <c r="A429" s="1245" t="s">
        <v>2420</v>
      </c>
      <c r="B429" s="1246" t="s">
        <v>1880</v>
      </c>
      <c r="C429" s="1246" t="s">
        <v>504</v>
      </c>
      <c r="D429" s="1200" t="s">
        <v>2749</v>
      </c>
      <c r="E429" s="1247">
        <v>4000</v>
      </c>
      <c r="F429" s="1248" t="s">
        <v>2813</v>
      </c>
      <c r="G429" s="1200" t="s">
        <v>2812</v>
      </c>
      <c r="H429" s="1191" t="s">
        <v>2696</v>
      </c>
      <c r="I429" s="1246" t="s">
        <v>569</v>
      </c>
      <c r="J429" s="1249" t="s">
        <v>1513</v>
      </c>
      <c r="K429" s="1256"/>
      <c r="L429" s="1257"/>
      <c r="M429" s="1252"/>
      <c r="N429" s="1253">
        <v>1</v>
      </c>
      <c r="O429" s="1254">
        <v>3</v>
      </c>
      <c r="P429" s="1252">
        <v>12932.41</v>
      </c>
    </row>
    <row r="430" spans="1:16" ht="36">
      <c r="A430" s="1245" t="s">
        <v>2420</v>
      </c>
      <c r="B430" s="1246" t="s">
        <v>1880</v>
      </c>
      <c r="C430" s="1246" t="s">
        <v>504</v>
      </c>
      <c r="D430" s="1200" t="s">
        <v>2811</v>
      </c>
      <c r="E430" s="1247">
        <v>7500</v>
      </c>
      <c r="F430" s="1248" t="s">
        <v>2810</v>
      </c>
      <c r="G430" s="1200" t="s">
        <v>2809</v>
      </c>
      <c r="H430" s="1191" t="s">
        <v>2237</v>
      </c>
      <c r="I430" s="1246" t="s">
        <v>569</v>
      </c>
      <c r="J430" s="1249" t="s">
        <v>2237</v>
      </c>
      <c r="K430" s="1256"/>
      <c r="L430" s="1257"/>
      <c r="M430" s="1252"/>
      <c r="N430" s="1253">
        <v>1</v>
      </c>
      <c r="O430" s="1254">
        <v>3</v>
      </c>
      <c r="P430" s="1252">
        <v>23266.129999999997</v>
      </c>
    </row>
    <row r="431" spans="1:16" ht="24">
      <c r="A431" s="1245" t="s">
        <v>2420</v>
      </c>
      <c r="B431" s="1246" t="s">
        <v>1880</v>
      </c>
      <c r="C431" s="1246" t="s">
        <v>504</v>
      </c>
      <c r="D431" s="1200" t="s">
        <v>2749</v>
      </c>
      <c r="E431" s="1247">
        <v>4000</v>
      </c>
      <c r="F431" s="1248" t="s">
        <v>2808</v>
      </c>
      <c r="G431" s="1200" t="s">
        <v>2807</v>
      </c>
      <c r="H431" s="1191" t="s">
        <v>2696</v>
      </c>
      <c r="I431" s="1246" t="s">
        <v>569</v>
      </c>
      <c r="J431" s="1249" t="s">
        <v>1513</v>
      </c>
      <c r="K431" s="1256"/>
      <c r="L431" s="1257"/>
      <c r="M431" s="1252"/>
      <c r="N431" s="1253">
        <v>1</v>
      </c>
      <c r="O431" s="1254">
        <v>3</v>
      </c>
      <c r="P431" s="1252">
        <v>12932.41</v>
      </c>
    </row>
    <row r="432" spans="1:16" ht="24">
      <c r="A432" s="1245" t="s">
        <v>2420</v>
      </c>
      <c r="B432" s="1246" t="s">
        <v>1880</v>
      </c>
      <c r="C432" s="1246" t="s">
        <v>504</v>
      </c>
      <c r="D432" s="1200" t="s">
        <v>2749</v>
      </c>
      <c r="E432" s="1247">
        <v>4000</v>
      </c>
      <c r="F432" s="1248" t="s">
        <v>2806</v>
      </c>
      <c r="G432" s="1200" t="s">
        <v>2805</v>
      </c>
      <c r="H432" s="1191" t="s">
        <v>2696</v>
      </c>
      <c r="I432" s="1246" t="s">
        <v>569</v>
      </c>
      <c r="J432" s="1249" t="s">
        <v>1513</v>
      </c>
      <c r="K432" s="1256"/>
      <c r="L432" s="1257"/>
      <c r="M432" s="1252"/>
      <c r="N432" s="1253">
        <v>1</v>
      </c>
      <c r="O432" s="1254">
        <v>3</v>
      </c>
      <c r="P432" s="1252">
        <v>12932.41</v>
      </c>
    </row>
    <row r="433" spans="1:16" ht="24">
      <c r="A433" s="1245" t="s">
        <v>2420</v>
      </c>
      <c r="B433" s="1246" t="s">
        <v>1880</v>
      </c>
      <c r="C433" s="1246" t="s">
        <v>504</v>
      </c>
      <c r="D433" s="1200" t="s">
        <v>2749</v>
      </c>
      <c r="E433" s="1247">
        <v>4000</v>
      </c>
      <c r="F433" s="1248" t="s">
        <v>2804</v>
      </c>
      <c r="G433" s="1200" t="s">
        <v>2803</v>
      </c>
      <c r="H433" s="1191" t="s">
        <v>2696</v>
      </c>
      <c r="I433" s="1246" t="s">
        <v>569</v>
      </c>
      <c r="J433" s="1249" t="s">
        <v>1513</v>
      </c>
      <c r="K433" s="1256"/>
      <c r="L433" s="1257"/>
      <c r="M433" s="1252"/>
      <c r="N433" s="1253">
        <v>1</v>
      </c>
      <c r="O433" s="1254">
        <v>3</v>
      </c>
      <c r="P433" s="1252">
        <v>8685.86</v>
      </c>
    </row>
    <row r="434" spans="1:16" ht="24">
      <c r="A434" s="1245" t="s">
        <v>2420</v>
      </c>
      <c r="B434" s="1246" t="s">
        <v>1880</v>
      </c>
      <c r="C434" s="1246" t="s">
        <v>504</v>
      </c>
      <c r="D434" s="1200" t="s">
        <v>2749</v>
      </c>
      <c r="E434" s="1247">
        <v>4000</v>
      </c>
      <c r="F434" s="1248" t="s">
        <v>2802</v>
      </c>
      <c r="G434" s="1200" t="s">
        <v>2801</v>
      </c>
      <c r="H434" s="1191" t="s">
        <v>2696</v>
      </c>
      <c r="I434" s="1246" t="s">
        <v>569</v>
      </c>
      <c r="J434" s="1249" t="s">
        <v>1513</v>
      </c>
      <c r="K434" s="1256"/>
      <c r="L434" s="1257"/>
      <c r="M434" s="1252"/>
      <c r="N434" s="1253">
        <v>1</v>
      </c>
      <c r="O434" s="1254">
        <v>3</v>
      </c>
      <c r="P434" s="1252">
        <v>12932.41</v>
      </c>
    </row>
    <row r="435" spans="1:16" ht="24">
      <c r="A435" s="1245" t="s">
        <v>2420</v>
      </c>
      <c r="B435" s="1246" t="s">
        <v>1880</v>
      </c>
      <c r="C435" s="1246" t="s">
        <v>504</v>
      </c>
      <c r="D435" s="1200" t="s">
        <v>2749</v>
      </c>
      <c r="E435" s="1247">
        <v>4000</v>
      </c>
      <c r="F435" s="1248" t="s">
        <v>2800</v>
      </c>
      <c r="G435" s="1200" t="s">
        <v>2799</v>
      </c>
      <c r="H435" s="1191" t="s">
        <v>2696</v>
      </c>
      <c r="I435" s="1246" t="s">
        <v>569</v>
      </c>
      <c r="J435" s="1249" t="s">
        <v>1513</v>
      </c>
      <c r="K435" s="1256"/>
      <c r="L435" s="1257"/>
      <c r="M435" s="1252"/>
      <c r="N435" s="1253">
        <v>1</v>
      </c>
      <c r="O435" s="1254">
        <v>3</v>
      </c>
      <c r="P435" s="1252">
        <v>12932.41</v>
      </c>
    </row>
    <row r="436" spans="1:16" ht="24">
      <c r="A436" s="1245" t="s">
        <v>2420</v>
      </c>
      <c r="B436" s="1246" t="s">
        <v>1880</v>
      </c>
      <c r="C436" s="1246" t="s">
        <v>504</v>
      </c>
      <c r="D436" s="1200" t="s">
        <v>2749</v>
      </c>
      <c r="E436" s="1247">
        <v>4000</v>
      </c>
      <c r="F436" s="1248" t="s">
        <v>2798</v>
      </c>
      <c r="G436" s="1200" t="s">
        <v>2797</v>
      </c>
      <c r="H436" s="1191" t="s">
        <v>2696</v>
      </c>
      <c r="I436" s="1246" t="s">
        <v>569</v>
      </c>
      <c r="J436" s="1249" t="s">
        <v>1513</v>
      </c>
      <c r="K436" s="1256"/>
      <c r="L436" s="1257"/>
      <c r="M436" s="1252"/>
      <c r="N436" s="1253">
        <v>1</v>
      </c>
      <c r="O436" s="1254">
        <v>3</v>
      </c>
      <c r="P436" s="1252">
        <v>12932.41</v>
      </c>
    </row>
    <row r="437" spans="1:16" ht="24">
      <c r="A437" s="1245" t="s">
        <v>2420</v>
      </c>
      <c r="B437" s="1246" t="s">
        <v>1880</v>
      </c>
      <c r="C437" s="1246" t="s">
        <v>504</v>
      </c>
      <c r="D437" s="1200" t="s">
        <v>2749</v>
      </c>
      <c r="E437" s="1247">
        <v>4000</v>
      </c>
      <c r="F437" s="1248" t="s">
        <v>2796</v>
      </c>
      <c r="G437" s="1200" t="s">
        <v>2795</v>
      </c>
      <c r="H437" s="1191" t="s">
        <v>2696</v>
      </c>
      <c r="I437" s="1246" t="s">
        <v>569</v>
      </c>
      <c r="J437" s="1249" t="s">
        <v>1513</v>
      </c>
      <c r="K437" s="1256"/>
      <c r="L437" s="1257"/>
      <c r="M437" s="1252"/>
      <c r="N437" s="1253">
        <v>1</v>
      </c>
      <c r="O437" s="1254">
        <v>3</v>
      </c>
      <c r="P437" s="1252">
        <v>12932.41</v>
      </c>
    </row>
    <row r="438" spans="1:16" ht="24">
      <c r="A438" s="1245" t="s">
        <v>2420</v>
      </c>
      <c r="B438" s="1246" t="s">
        <v>1880</v>
      </c>
      <c r="C438" s="1246" t="s">
        <v>504</v>
      </c>
      <c r="D438" s="1200" t="s">
        <v>2749</v>
      </c>
      <c r="E438" s="1247">
        <v>4000</v>
      </c>
      <c r="F438" s="1248" t="s">
        <v>2794</v>
      </c>
      <c r="G438" s="1200" t="s">
        <v>2793</v>
      </c>
      <c r="H438" s="1191" t="s">
        <v>2696</v>
      </c>
      <c r="I438" s="1246" t="s">
        <v>569</v>
      </c>
      <c r="J438" s="1249" t="s">
        <v>1513</v>
      </c>
      <c r="K438" s="1256"/>
      <c r="L438" s="1257"/>
      <c r="M438" s="1252"/>
      <c r="N438" s="1253">
        <v>1</v>
      </c>
      <c r="O438" s="1254">
        <v>3</v>
      </c>
      <c r="P438" s="1252">
        <v>11031.95</v>
      </c>
    </row>
    <row r="439" spans="1:16" ht="24">
      <c r="A439" s="1245" t="s">
        <v>2420</v>
      </c>
      <c r="B439" s="1246" t="s">
        <v>1880</v>
      </c>
      <c r="C439" s="1246" t="s">
        <v>504</v>
      </c>
      <c r="D439" s="1200" t="s">
        <v>2749</v>
      </c>
      <c r="E439" s="1247">
        <v>4000</v>
      </c>
      <c r="F439" s="1248" t="s">
        <v>2792</v>
      </c>
      <c r="G439" s="1200" t="s">
        <v>2791</v>
      </c>
      <c r="H439" s="1191" t="s">
        <v>2696</v>
      </c>
      <c r="I439" s="1246" t="s">
        <v>569</v>
      </c>
      <c r="J439" s="1249" t="s">
        <v>1513</v>
      </c>
      <c r="K439" s="1256"/>
      <c r="L439" s="1257"/>
      <c r="M439" s="1252"/>
      <c r="N439" s="1253">
        <v>1</v>
      </c>
      <c r="O439" s="1254">
        <v>3</v>
      </c>
      <c r="P439" s="1252">
        <v>9176.8000000000011</v>
      </c>
    </row>
    <row r="440" spans="1:16" ht="24">
      <c r="A440" s="1245" t="s">
        <v>2420</v>
      </c>
      <c r="B440" s="1246" t="s">
        <v>1880</v>
      </c>
      <c r="C440" s="1246" t="s">
        <v>504</v>
      </c>
      <c r="D440" s="1200" t="s">
        <v>2749</v>
      </c>
      <c r="E440" s="1247">
        <v>4000</v>
      </c>
      <c r="F440" s="1248" t="s">
        <v>2790</v>
      </c>
      <c r="G440" s="1200" t="s">
        <v>2789</v>
      </c>
      <c r="H440" s="1191" t="s">
        <v>2696</v>
      </c>
      <c r="I440" s="1246" t="s">
        <v>569</v>
      </c>
      <c r="J440" s="1249" t="s">
        <v>1513</v>
      </c>
      <c r="K440" s="1256"/>
      <c r="L440" s="1257"/>
      <c r="M440" s="1252"/>
      <c r="N440" s="1253">
        <v>1</v>
      </c>
      <c r="O440" s="1254">
        <v>3</v>
      </c>
      <c r="P440" s="1252">
        <v>12932.41</v>
      </c>
    </row>
    <row r="441" spans="1:16" ht="36">
      <c r="A441" s="1245" t="s">
        <v>2420</v>
      </c>
      <c r="B441" s="1246" t="s">
        <v>1880</v>
      </c>
      <c r="C441" s="1246" t="s">
        <v>504</v>
      </c>
      <c r="D441" s="1200" t="s">
        <v>2788</v>
      </c>
      <c r="E441" s="1247">
        <v>4500</v>
      </c>
      <c r="F441" s="1248" t="s">
        <v>2787</v>
      </c>
      <c r="G441" s="1200" t="s">
        <v>2786</v>
      </c>
      <c r="H441" s="1191" t="s">
        <v>2696</v>
      </c>
      <c r="I441" s="1246" t="s">
        <v>569</v>
      </c>
      <c r="J441" s="1249" t="s">
        <v>1513</v>
      </c>
      <c r="K441" s="1256"/>
      <c r="L441" s="1257"/>
      <c r="M441" s="1252"/>
      <c r="N441" s="1253">
        <v>1</v>
      </c>
      <c r="O441" s="1254">
        <v>3</v>
      </c>
      <c r="P441" s="1252">
        <v>14408.660000000002</v>
      </c>
    </row>
    <row r="442" spans="1:16" ht="24">
      <c r="A442" s="1245" t="s">
        <v>2420</v>
      </c>
      <c r="B442" s="1246" t="s">
        <v>1880</v>
      </c>
      <c r="C442" s="1246" t="s">
        <v>504</v>
      </c>
      <c r="D442" s="1200" t="s">
        <v>2749</v>
      </c>
      <c r="E442" s="1247">
        <v>4000</v>
      </c>
      <c r="F442" s="1248" t="s">
        <v>2785</v>
      </c>
      <c r="G442" s="1200" t="s">
        <v>2784</v>
      </c>
      <c r="H442" s="1191" t="s">
        <v>2696</v>
      </c>
      <c r="I442" s="1246" t="s">
        <v>569</v>
      </c>
      <c r="J442" s="1249" t="s">
        <v>1513</v>
      </c>
      <c r="K442" s="1256"/>
      <c r="L442" s="1257"/>
      <c r="M442" s="1252"/>
      <c r="N442" s="1253">
        <v>1</v>
      </c>
      <c r="O442" s="1254">
        <v>3</v>
      </c>
      <c r="P442" s="1252">
        <v>12932.41</v>
      </c>
    </row>
    <row r="443" spans="1:16" ht="24">
      <c r="A443" s="1245" t="s">
        <v>2420</v>
      </c>
      <c r="B443" s="1246" t="s">
        <v>1880</v>
      </c>
      <c r="C443" s="1246" t="s">
        <v>504</v>
      </c>
      <c r="D443" s="1200" t="s">
        <v>2749</v>
      </c>
      <c r="E443" s="1247">
        <v>4000</v>
      </c>
      <c r="F443" s="1248" t="s">
        <v>2783</v>
      </c>
      <c r="G443" s="1200" t="s">
        <v>2782</v>
      </c>
      <c r="H443" s="1191" t="s">
        <v>2696</v>
      </c>
      <c r="I443" s="1246" t="s">
        <v>569</v>
      </c>
      <c r="J443" s="1249" t="s">
        <v>1513</v>
      </c>
      <c r="K443" s="1256"/>
      <c r="L443" s="1257"/>
      <c r="M443" s="1252"/>
      <c r="N443" s="1253">
        <v>1</v>
      </c>
      <c r="O443" s="1254">
        <v>3</v>
      </c>
      <c r="P443" s="1252">
        <v>12932.41</v>
      </c>
    </row>
    <row r="444" spans="1:16" ht="24">
      <c r="A444" s="1245" t="s">
        <v>2420</v>
      </c>
      <c r="B444" s="1246" t="s">
        <v>1880</v>
      </c>
      <c r="C444" s="1246" t="s">
        <v>504</v>
      </c>
      <c r="D444" s="1200" t="s">
        <v>2749</v>
      </c>
      <c r="E444" s="1247">
        <v>4000</v>
      </c>
      <c r="F444" s="1248" t="s">
        <v>2781</v>
      </c>
      <c r="G444" s="1200" t="s">
        <v>2780</v>
      </c>
      <c r="H444" s="1191" t="s">
        <v>2696</v>
      </c>
      <c r="I444" s="1246" t="s">
        <v>569</v>
      </c>
      <c r="J444" s="1249" t="s">
        <v>1513</v>
      </c>
      <c r="K444" s="1256"/>
      <c r="L444" s="1257"/>
      <c r="M444" s="1252"/>
      <c r="N444" s="1253">
        <v>1</v>
      </c>
      <c r="O444" s="1254">
        <v>3</v>
      </c>
      <c r="P444" s="1252">
        <v>12932.41</v>
      </c>
    </row>
    <row r="445" spans="1:16" ht="36">
      <c r="A445" s="1245" t="s">
        <v>2420</v>
      </c>
      <c r="B445" s="1246" t="s">
        <v>1880</v>
      </c>
      <c r="C445" s="1246" t="s">
        <v>504</v>
      </c>
      <c r="D445" s="1200" t="s">
        <v>2779</v>
      </c>
      <c r="E445" s="1247">
        <v>10000</v>
      </c>
      <c r="F445" s="1248" t="s">
        <v>2778</v>
      </c>
      <c r="G445" s="1200" t="s">
        <v>2777</v>
      </c>
      <c r="H445" s="1191" t="s">
        <v>2237</v>
      </c>
      <c r="I445" s="1246" t="s">
        <v>569</v>
      </c>
      <c r="J445" s="1249" t="s">
        <v>2237</v>
      </c>
      <c r="K445" s="1256"/>
      <c r="L445" s="1257"/>
      <c r="M445" s="1252"/>
      <c r="N445" s="1253">
        <v>1</v>
      </c>
      <c r="O445" s="1254">
        <v>2</v>
      </c>
      <c r="P445" s="1252">
        <v>24343.96</v>
      </c>
    </row>
    <row r="446" spans="1:16" ht="36">
      <c r="A446" s="1245" t="s">
        <v>2420</v>
      </c>
      <c r="B446" s="1246" t="s">
        <v>1880</v>
      </c>
      <c r="C446" s="1246" t="s">
        <v>504</v>
      </c>
      <c r="D446" s="1200" t="s">
        <v>2776</v>
      </c>
      <c r="E446" s="1247">
        <v>5000</v>
      </c>
      <c r="F446" s="1248" t="s">
        <v>2775</v>
      </c>
      <c r="G446" s="1200" t="s">
        <v>2774</v>
      </c>
      <c r="H446" s="1191" t="s">
        <v>2696</v>
      </c>
      <c r="I446" s="1246" t="s">
        <v>569</v>
      </c>
      <c r="J446" s="1249" t="s">
        <v>1513</v>
      </c>
      <c r="K446" s="1256"/>
      <c r="L446" s="1257"/>
      <c r="M446" s="1252"/>
      <c r="N446" s="1253">
        <v>1</v>
      </c>
      <c r="O446" s="1254">
        <v>2</v>
      </c>
      <c r="P446" s="1252">
        <v>12466.14</v>
      </c>
    </row>
    <row r="447" spans="1:16" ht="24">
      <c r="A447" s="1245" t="s">
        <v>2420</v>
      </c>
      <c r="B447" s="1246" t="s">
        <v>1880</v>
      </c>
      <c r="C447" s="1246" t="s">
        <v>504</v>
      </c>
      <c r="D447" s="1200" t="s">
        <v>2749</v>
      </c>
      <c r="E447" s="1247">
        <v>4000</v>
      </c>
      <c r="F447" s="1248" t="s">
        <v>2773</v>
      </c>
      <c r="G447" s="1200" t="s">
        <v>2772</v>
      </c>
      <c r="H447" s="1191" t="s">
        <v>2696</v>
      </c>
      <c r="I447" s="1246" t="s">
        <v>569</v>
      </c>
      <c r="J447" s="1249" t="s">
        <v>1513</v>
      </c>
      <c r="K447" s="1256"/>
      <c r="L447" s="1257"/>
      <c r="M447" s="1252"/>
      <c r="N447" s="1253">
        <v>1</v>
      </c>
      <c r="O447" s="1254">
        <v>2</v>
      </c>
      <c r="P447" s="1252">
        <v>10090.560000000001</v>
      </c>
    </row>
    <row r="448" spans="1:16" ht="24">
      <c r="A448" s="1245" t="s">
        <v>2420</v>
      </c>
      <c r="B448" s="1246" t="s">
        <v>1880</v>
      </c>
      <c r="C448" s="1246" t="s">
        <v>504</v>
      </c>
      <c r="D448" s="1200" t="s">
        <v>2749</v>
      </c>
      <c r="E448" s="1247">
        <v>4000</v>
      </c>
      <c r="F448" s="1248" t="s">
        <v>2771</v>
      </c>
      <c r="G448" s="1200" t="s">
        <v>2770</v>
      </c>
      <c r="H448" s="1191" t="s">
        <v>2696</v>
      </c>
      <c r="I448" s="1246" t="s">
        <v>569</v>
      </c>
      <c r="J448" s="1249" t="s">
        <v>1513</v>
      </c>
      <c r="K448" s="1256"/>
      <c r="L448" s="1257"/>
      <c r="M448" s="1252"/>
      <c r="N448" s="1253">
        <v>1</v>
      </c>
      <c r="O448" s="1254">
        <v>2</v>
      </c>
      <c r="P448" s="1252">
        <v>8190.1</v>
      </c>
    </row>
    <row r="449" spans="1:16" ht="24">
      <c r="A449" s="1245" t="s">
        <v>2420</v>
      </c>
      <c r="B449" s="1246" t="s">
        <v>1880</v>
      </c>
      <c r="C449" s="1246" t="s">
        <v>504</v>
      </c>
      <c r="D449" s="1200" t="s">
        <v>2749</v>
      </c>
      <c r="E449" s="1247">
        <v>4000</v>
      </c>
      <c r="F449" s="1248" t="s">
        <v>2769</v>
      </c>
      <c r="G449" s="1200" t="s">
        <v>2768</v>
      </c>
      <c r="H449" s="1191" t="s">
        <v>2696</v>
      </c>
      <c r="I449" s="1246" t="s">
        <v>569</v>
      </c>
      <c r="J449" s="1249" t="s">
        <v>1513</v>
      </c>
      <c r="K449" s="1256"/>
      <c r="L449" s="1257"/>
      <c r="M449" s="1252"/>
      <c r="N449" s="1253">
        <v>1</v>
      </c>
      <c r="O449" s="1254">
        <v>2</v>
      </c>
      <c r="P449" s="1252">
        <v>10090.560000000001</v>
      </c>
    </row>
    <row r="450" spans="1:16" ht="24">
      <c r="A450" s="1245" t="s">
        <v>2420</v>
      </c>
      <c r="B450" s="1246" t="s">
        <v>1880</v>
      </c>
      <c r="C450" s="1246" t="s">
        <v>504</v>
      </c>
      <c r="D450" s="1200" t="s">
        <v>2749</v>
      </c>
      <c r="E450" s="1247">
        <v>4000</v>
      </c>
      <c r="F450" s="1248" t="s">
        <v>2767</v>
      </c>
      <c r="G450" s="1200" t="s">
        <v>2766</v>
      </c>
      <c r="H450" s="1191" t="s">
        <v>2696</v>
      </c>
      <c r="I450" s="1246" t="s">
        <v>569</v>
      </c>
      <c r="J450" s="1249" t="s">
        <v>1513</v>
      </c>
      <c r="K450" s="1256"/>
      <c r="L450" s="1257"/>
      <c r="M450" s="1252"/>
      <c r="N450" s="1253">
        <v>1</v>
      </c>
      <c r="O450" s="1254">
        <v>2</v>
      </c>
      <c r="P450" s="1252">
        <v>10090.560000000001</v>
      </c>
    </row>
    <row r="451" spans="1:16" ht="24">
      <c r="A451" s="1245" t="s">
        <v>2420</v>
      </c>
      <c r="B451" s="1246" t="s">
        <v>1880</v>
      </c>
      <c r="C451" s="1246" t="s">
        <v>504</v>
      </c>
      <c r="D451" s="1200" t="s">
        <v>2749</v>
      </c>
      <c r="E451" s="1247">
        <v>4000</v>
      </c>
      <c r="F451" s="1248" t="s">
        <v>2765</v>
      </c>
      <c r="G451" s="1200" t="s">
        <v>2764</v>
      </c>
      <c r="H451" s="1191" t="s">
        <v>2696</v>
      </c>
      <c r="I451" s="1246" t="s">
        <v>569</v>
      </c>
      <c r="J451" s="1249" t="s">
        <v>1513</v>
      </c>
      <c r="K451" s="1256"/>
      <c r="L451" s="1257"/>
      <c r="M451" s="1252"/>
      <c r="N451" s="1253">
        <v>1</v>
      </c>
      <c r="O451" s="1254">
        <v>2</v>
      </c>
      <c r="P451" s="1252">
        <v>7025.99</v>
      </c>
    </row>
    <row r="452" spans="1:16" ht="24">
      <c r="A452" s="1245" t="s">
        <v>2420</v>
      </c>
      <c r="B452" s="1246" t="s">
        <v>1880</v>
      </c>
      <c r="C452" s="1246" t="s">
        <v>504</v>
      </c>
      <c r="D452" s="1200" t="s">
        <v>2749</v>
      </c>
      <c r="E452" s="1247">
        <v>4000</v>
      </c>
      <c r="F452" s="1248" t="s">
        <v>2763</v>
      </c>
      <c r="G452" s="1200" t="s">
        <v>2762</v>
      </c>
      <c r="H452" s="1191" t="s">
        <v>2696</v>
      </c>
      <c r="I452" s="1246" t="s">
        <v>569</v>
      </c>
      <c r="J452" s="1249" t="s">
        <v>1513</v>
      </c>
      <c r="K452" s="1256"/>
      <c r="L452" s="1257"/>
      <c r="M452" s="1252"/>
      <c r="N452" s="1253">
        <v>1</v>
      </c>
      <c r="O452" s="1254">
        <v>2</v>
      </c>
      <c r="P452" s="1252">
        <v>1771.61</v>
      </c>
    </row>
    <row r="453" spans="1:16" ht="24">
      <c r="A453" s="1245" t="s">
        <v>2420</v>
      </c>
      <c r="B453" s="1246" t="s">
        <v>1880</v>
      </c>
      <c r="C453" s="1246" t="s">
        <v>504</v>
      </c>
      <c r="D453" s="1200" t="s">
        <v>2749</v>
      </c>
      <c r="E453" s="1247">
        <v>4000</v>
      </c>
      <c r="F453" s="1248" t="s">
        <v>2761</v>
      </c>
      <c r="G453" s="1200" t="s">
        <v>2760</v>
      </c>
      <c r="H453" s="1191" t="s">
        <v>2696</v>
      </c>
      <c r="I453" s="1246" t="s">
        <v>569</v>
      </c>
      <c r="J453" s="1249" t="s">
        <v>1513</v>
      </c>
      <c r="K453" s="1256"/>
      <c r="L453" s="1257"/>
      <c r="M453" s="1252"/>
      <c r="N453" s="1253">
        <v>1</v>
      </c>
      <c r="O453" s="1254">
        <v>2</v>
      </c>
      <c r="P453" s="1252">
        <v>10090.560000000001</v>
      </c>
    </row>
    <row r="454" spans="1:16" ht="24">
      <c r="A454" s="1245" t="s">
        <v>2420</v>
      </c>
      <c r="B454" s="1246" t="s">
        <v>1880</v>
      </c>
      <c r="C454" s="1246" t="s">
        <v>504</v>
      </c>
      <c r="D454" s="1200" t="s">
        <v>2749</v>
      </c>
      <c r="E454" s="1247">
        <v>4000</v>
      </c>
      <c r="F454" s="1248" t="s">
        <v>2759</v>
      </c>
      <c r="G454" s="1200" t="s">
        <v>2758</v>
      </c>
      <c r="H454" s="1191" t="s">
        <v>2696</v>
      </c>
      <c r="I454" s="1246" t="s">
        <v>569</v>
      </c>
      <c r="J454" s="1249" t="s">
        <v>1513</v>
      </c>
      <c r="K454" s="1256"/>
      <c r="L454" s="1257"/>
      <c r="M454" s="1252"/>
      <c r="N454" s="1253">
        <v>1</v>
      </c>
      <c r="O454" s="1254">
        <v>2</v>
      </c>
      <c r="P454" s="1252">
        <v>10090.560000000001</v>
      </c>
    </row>
    <row r="455" spans="1:16" ht="24">
      <c r="A455" s="1245" t="s">
        <v>2420</v>
      </c>
      <c r="B455" s="1246" t="s">
        <v>1880</v>
      </c>
      <c r="C455" s="1246" t="s">
        <v>504</v>
      </c>
      <c r="D455" s="1200" t="s">
        <v>2749</v>
      </c>
      <c r="E455" s="1247">
        <v>4000</v>
      </c>
      <c r="F455" s="1248" t="s">
        <v>2757</v>
      </c>
      <c r="G455" s="1200" t="s">
        <v>2756</v>
      </c>
      <c r="H455" s="1191" t="s">
        <v>2696</v>
      </c>
      <c r="I455" s="1246" t="s">
        <v>569</v>
      </c>
      <c r="J455" s="1249" t="s">
        <v>1513</v>
      </c>
      <c r="K455" s="1256"/>
      <c r="L455" s="1257"/>
      <c r="M455" s="1252"/>
      <c r="N455" s="1253">
        <v>1</v>
      </c>
      <c r="O455" s="1254">
        <v>2</v>
      </c>
      <c r="P455" s="1252">
        <v>10090.560000000001</v>
      </c>
    </row>
    <row r="456" spans="1:16" ht="24">
      <c r="A456" s="1245" t="s">
        <v>2420</v>
      </c>
      <c r="B456" s="1246" t="s">
        <v>1880</v>
      </c>
      <c r="C456" s="1246" t="s">
        <v>504</v>
      </c>
      <c r="D456" s="1200" t="s">
        <v>2749</v>
      </c>
      <c r="E456" s="1247">
        <v>4000</v>
      </c>
      <c r="F456" s="1248" t="s">
        <v>2755</v>
      </c>
      <c r="G456" s="1200" t="s">
        <v>2754</v>
      </c>
      <c r="H456" s="1191" t="s">
        <v>2696</v>
      </c>
      <c r="I456" s="1246" t="s">
        <v>569</v>
      </c>
      <c r="J456" s="1249" t="s">
        <v>1513</v>
      </c>
      <c r="K456" s="1256"/>
      <c r="L456" s="1257"/>
      <c r="M456" s="1252"/>
      <c r="N456" s="1253">
        <v>1</v>
      </c>
      <c r="O456" s="1254">
        <v>2</v>
      </c>
      <c r="P456" s="1252">
        <v>8597.34</v>
      </c>
    </row>
    <row r="457" spans="1:16" ht="24">
      <c r="A457" s="1245" t="s">
        <v>2420</v>
      </c>
      <c r="B457" s="1246" t="s">
        <v>1880</v>
      </c>
      <c r="C457" s="1246" t="s">
        <v>504</v>
      </c>
      <c r="D457" s="1200" t="s">
        <v>2749</v>
      </c>
      <c r="E457" s="1247">
        <v>4000</v>
      </c>
      <c r="F457" s="1248" t="s">
        <v>2753</v>
      </c>
      <c r="G457" s="1200" t="s">
        <v>2752</v>
      </c>
      <c r="H457" s="1191" t="s">
        <v>2696</v>
      </c>
      <c r="I457" s="1246" t="s">
        <v>569</v>
      </c>
      <c r="J457" s="1249" t="s">
        <v>1513</v>
      </c>
      <c r="K457" s="1256"/>
      <c r="L457" s="1257"/>
      <c r="M457" s="1252"/>
      <c r="N457" s="1253">
        <v>1</v>
      </c>
      <c r="O457" s="1254">
        <v>2</v>
      </c>
      <c r="P457" s="1252">
        <v>10090.560000000001</v>
      </c>
    </row>
    <row r="458" spans="1:16" ht="24">
      <c r="A458" s="1245" t="s">
        <v>2420</v>
      </c>
      <c r="B458" s="1246" t="s">
        <v>1880</v>
      </c>
      <c r="C458" s="1246" t="s">
        <v>504</v>
      </c>
      <c r="D458" s="1200" t="s">
        <v>2749</v>
      </c>
      <c r="E458" s="1247">
        <v>4000</v>
      </c>
      <c r="F458" s="1248" t="s">
        <v>2751</v>
      </c>
      <c r="G458" s="1200" t="s">
        <v>2750</v>
      </c>
      <c r="H458" s="1191" t="s">
        <v>2696</v>
      </c>
      <c r="I458" s="1246" t="s">
        <v>569</v>
      </c>
      <c r="J458" s="1249" t="s">
        <v>1513</v>
      </c>
      <c r="K458" s="1256"/>
      <c r="L458" s="1257"/>
      <c r="M458" s="1252"/>
      <c r="N458" s="1253">
        <v>1</v>
      </c>
      <c r="O458" s="1254">
        <v>2</v>
      </c>
      <c r="P458" s="1252">
        <v>7173.7300000000005</v>
      </c>
    </row>
    <row r="459" spans="1:16" ht="24">
      <c r="A459" s="1245" t="s">
        <v>2420</v>
      </c>
      <c r="B459" s="1246" t="s">
        <v>1880</v>
      </c>
      <c r="C459" s="1246" t="s">
        <v>504</v>
      </c>
      <c r="D459" s="1200" t="s">
        <v>2749</v>
      </c>
      <c r="E459" s="1247">
        <v>4000</v>
      </c>
      <c r="F459" s="1248" t="s">
        <v>2748</v>
      </c>
      <c r="G459" s="1200" t="s">
        <v>2747</v>
      </c>
      <c r="H459" s="1191" t="s">
        <v>2696</v>
      </c>
      <c r="I459" s="1246" t="s">
        <v>569</v>
      </c>
      <c r="J459" s="1249" t="s">
        <v>1513</v>
      </c>
      <c r="K459" s="1256"/>
      <c r="L459" s="1257"/>
      <c r="M459" s="1252"/>
      <c r="N459" s="1253">
        <v>1</v>
      </c>
      <c r="O459" s="1254">
        <v>2</v>
      </c>
      <c r="P459" s="1252">
        <v>10090.560000000001</v>
      </c>
    </row>
    <row r="460" spans="1:16" ht="24">
      <c r="A460" s="1245" t="s">
        <v>2420</v>
      </c>
      <c r="B460" s="1246" t="s">
        <v>1880</v>
      </c>
      <c r="C460" s="1246" t="s">
        <v>504</v>
      </c>
      <c r="D460" s="1200" t="s">
        <v>2746</v>
      </c>
      <c r="E460" s="1247">
        <v>10000</v>
      </c>
      <c r="F460" s="1248" t="s">
        <v>2745</v>
      </c>
      <c r="G460" s="1200" t="s">
        <v>2744</v>
      </c>
      <c r="H460" s="1191" t="s">
        <v>2237</v>
      </c>
      <c r="I460" s="1246" t="s">
        <v>569</v>
      </c>
      <c r="J460" s="1249" t="s">
        <v>2237</v>
      </c>
      <c r="K460" s="1256"/>
      <c r="L460" s="1257"/>
      <c r="M460" s="1252"/>
      <c r="N460" s="1253">
        <v>1</v>
      </c>
      <c r="O460" s="1254">
        <v>2</v>
      </c>
      <c r="P460" s="1252">
        <v>24343.96</v>
      </c>
    </row>
    <row r="461" spans="1:16" ht="24">
      <c r="A461" s="1245" t="s">
        <v>2420</v>
      </c>
      <c r="B461" s="1246" t="s">
        <v>1880</v>
      </c>
      <c r="C461" s="1246" t="s">
        <v>504</v>
      </c>
      <c r="D461" s="1200" t="s">
        <v>2708</v>
      </c>
      <c r="E461" s="1247">
        <v>4000</v>
      </c>
      <c r="F461" s="1248" t="s">
        <v>2743</v>
      </c>
      <c r="G461" s="1200" t="s">
        <v>2742</v>
      </c>
      <c r="H461" s="1191" t="s">
        <v>2696</v>
      </c>
      <c r="I461" s="1246" t="s">
        <v>569</v>
      </c>
      <c r="J461" s="1249" t="s">
        <v>1513</v>
      </c>
      <c r="K461" s="1256"/>
      <c r="L461" s="1257"/>
      <c r="M461" s="1252"/>
      <c r="N461" s="1253">
        <v>1</v>
      </c>
      <c r="O461" s="1254">
        <v>2</v>
      </c>
      <c r="P461" s="1252">
        <v>2932.88</v>
      </c>
    </row>
    <row r="462" spans="1:16" ht="24">
      <c r="A462" s="1245" t="s">
        <v>2420</v>
      </c>
      <c r="B462" s="1246" t="s">
        <v>1880</v>
      </c>
      <c r="C462" s="1246" t="s">
        <v>504</v>
      </c>
      <c r="D462" s="1200" t="s">
        <v>2708</v>
      </c>
      <c r="E462" s="1247">
        <v>4000</v>
      </c>
      <c r="F462" s="1248" t="s">
        <v>2741</v>
      </c>
      <c r="G462" s="1200" t="s">
        <v>2740</v>
      </c>
      <c r="H462" s="1191" t="s">
        <v>2696</v>
      </c>
      <c r="I462" s="1246" t="s">
        <v>569</v>
      </c>
      <c r="J462" s="1249" t="s">
        <v>1513</v>
      </c>
      <c r="K462" s="1256"/>
      <c r="L462" s="1257"/>
      <c r="M462" s="1252"/>
      <c r="N462" s="1253">
        <v>1</v>
      </c>
      <c r="O462" s="1254">
        <v>2</v>
      </c>
      <c r="P462" s="1252">
        <v>6907.93</v>
      </c>
    </row>
    <row r="463" spans="1:16" ht="24">
      <c r="A463" s="1245" t="s">
        <v>2420</v>
      </c>
      <c r="B463" s="1246" t="s">
        <v>1880</v>
      </c>
      <c r="C463" s="1246" t="s">
        <v>504</v>
      </c>
      <c r="D463" s="1200" t="s">
        <v>2708</v>
      </c>
      <c r="E463" s="1247">
        <v>4000</v>
      </c>
      <c r="F463" s="1248" t="s">
        <v>2739</v>
      </c>
      <c r="G463" s="1200" t="s">
        <v>2738</v>
      </c>
      <c r="H463" s="1191" t="s">
        <v>2696</v>
      </c>
      <c r="I463" s="1246" t="s">
        <v>569</v>
      </c>
      <c r="J463" s="1249" t="s">
        <v>1513</v>
      </c>
      <c r="K463" s="1256"/>
      <c r="L463" s="1257"/>
      <c r="M463" s="1252"/>
      <c r="N463" s="1253">
        <v>1</v>
      </c>
      <c r="O463" s="1254">
        <v>2</v>
      </c>
      <c r="P463" s="1252">
        <v>7179.43</v>
      </c>
    </row>
    <row r="464" spans="1:16" ht="24">
      <c r="A464" s="1245" t="s">
        <v>2420</v>
      </c>
      <c r="B464" s="1246" t="s">
        <v>1880</v>
      </c>
      <c r="C464" s="1246" t="s">
        <v>504</v>
      </c>
      <c r="D464" s="1200" t="s">
        <v>2708</v>
      </c>
      <c r="E464" s="1247">
        <v>4000</v>
      </c>
      <c r="F464" s="1248" t="s">
        <v>2737</v>
      </c>
      <c r="G464" s="1200" t="s">
        <v>2736</v>
      </c>
      <c r="H464" s="1191" t="s">
        <v>2696</v>
      </c>
      <c r="I464" s="1246" t="s">
        <v>569</v>
      </c>
      <c r="J464" s="1249" t="s">
        <v>1513</v>
      </c>
      <c r="K464" s="1256"/>
      <c r="L464" s="1257"/>
      <c r="M464" s="1252"/>
      <c r="N464" s="1253">
        <v>1</v>
      </c>
      <c r="O464" s="1254">
        <v>2</v>
      </c>
      <c r="P464" s="1252">
        <v>7179.43</v>
      </c>
    </row>
    <row r="465" spans="1:16" ht="24">
      <c r="A465" s="1245" t="s">
        <v>2420</v>
      </c>
      <c r="B465" s="1246" t="s">
        <v>1880</v>
      </c>
      <c r="C465" s="1246" t="s">
        <v>504</v>
      </c>
      <c r="D465" s="1200" t="s">
        <v>2708</v>
      </c>
      <c r="E465" s="1247">
        <v>4000</v>
      </c>
      <c r="F465" s="1248" t="s">
        <v>2735</v>
      </c>
      <c r="G465" s="1200" t="s">
        <v>2734</v>
      </c>
      <c r="H465" s="1191" t="s">
        <v>2696</v>
      </c>
      <c r="I465" s="1246" t="s">
        <v>569</v>
      </c>
      <c r="J465" s="1249" t="s">
        <v>1513</v>
      </c>
      <c r="K465" s="1256"/>
      <c r="L465" s="1257"/>
      <c r="M465" s="1252"/>
      <c r="N465" s="1253">
        <v>1</v>
      </c>
      <c r="O465" s="1254">
        <v>2</v>
      </c>
      <c r="P465" s="1252">
        <v>7179.43</v>
      </c>
    </row>
    <row r="466" spans="1:16" ht="24">
      <c r="A466" s="1245" t="s">
        <v>2420</v>
      </c>
      <c r="B466" s="1246" t="s">
        <v>1880</v>
      </c>
      <c r="C466" s="1246" t="s">
        <v>504</v>
      </c>
      <c r="D466" s="1200" t="s">
        <v>2708</v>
      </c>
      <c r="E466" s="1247">
        <v>4000</v>
      </c>
      <c r="F466" s="1248" t="s">
        <v>2733</v>
      </c>
      <c r="G466" s="1200" t="s">
        <v>2732</v>
      </c>
      <c r="H466" s="1191" t="s">
        <v>2696</v>
      </c>
      <c r="I466" s="1246" t="s">
        <v>569</v>
      </c>
      <c r="J466" s="1249" t="s">
        <v>1513</v>
      </c>
      <c r="K466" s="1256"/>
      <c r="L466" s="1257"/>
      <c r="M466" s="1252"/>
      <c r="N466" s="1253">
        <v>1</v>
      </c>
      <c r="O466" s="1254">
        <v>2</v>
      </c>
      <c r="P466" s="1252">
        <v>7179.43</v>
      </c>
    </row>
    <row r="467" spans="1:16" ht="36">
      <c r="A467" s="1245" t="s">
        <v>2420</v>
      </c>
      <c r="B467" s="1246" t="s">
        <v>1880</v>
      </c>
      <c r="C467" s="1246" t="s">
        <v>504</v>
      </c>
      <c r="D467" s="1200" t="s">
        <v>2731</v>
      </c>
      <c r="E467" s="1247">
        <v>10000</v>
      </c>
      <c r="F467" s="1248" t="s">
        <v>2730</v>
      </c>
      <c r="G467" s="1200" t="s">
        <v>2729</v>
      </c>
      <c r="H467" s="1191" t="s">
        <v>2237</v>
      </c>
      <c r="I467" s="1246" t="s">
        <v>569</v>
      </c>
      <c r="J467" s="1249" t="s">
        <v>2237</v>
      </c>
      <c r="K467" s="1256"/>
      <c r="L467" s="1257"/>
      <c r="M467" s="1252"/>
      <c r="N467" s="1253">
        <v>1</v>
      </c>
      <c r="O467" s="1254">
        <v>2</v>
      </c>
      <c r="P467" s="1252">
        <v>17426.099999999999</v>
      </c>
    </row>
    <row r="468" spans="1:16" ht="36">
      <c r="A468" s="1245" t="s">
        <v>2420</v>
      </c>
      <c r="B468" s="1246" t="s">
        <v>1880</v>
      </c>
      <c r="C468" s="1246" t="s">
        <v>504</v>
      </c>
      <c r="D468" s="1200" t="s">
        <v>2682</v>
      </c>
      <c r="E468" s="1247">
        <v>10000</v>
      </c>
      <c r="F468" s="1248" t="s">
        <v>2728</v>
      </c>
      <c r="G468" s="1200" t="s">
        <v>2727</v>
      </c>
      <c r="H468" s="1191" t="s">
        <v>2237</v>
      </c>
      <c r="I468" s="1246" t="s">
        <v>569</v>
      </c>
      <c r="J468" s="1249" t="s">
        <v>2237</v>
      </c>
      <c r="K468" s="1256"/>
      <c r="L468" s="1257"/>
      <c r="M468" s="1252"/>
      <c r="N468" s="1253">
        <v>1</v>
      </c>
      <c r="O468" s="1254">
        <v>2</v>
      </c>
      <c r="P468" s="1252">
        <v>17426.099999999999</v>
      </c>
    </row>
    <row r="469" spans="1:16" ht="36">
      <c r="A469" s="1245" t="s">
        <v>2420</v>
      </c>
      <c r="B469" s="1246" t="s">
        <v>1880</v>
      </c>
      <c r="C469" s="1246" t="s">
        <v>504</v>
      </c>
      <c r="D469" s="1200" t="s">
        <v>2682</v>
      </c>
      <c r="E469" s="1247">
        <v>10000</v>
      </c>
      <c r="F469" s="1248" t="s">
        <v>2726</v>
      </c>
      <c r="G469" s="1200" t="s">
        <v>2725</v>
      </c>
      <c r="H469" s="1191" t="s">
        <v>2237</v>
      </c>
      <c r="I469" s="1246" t="s">
        <v>569</v>
      </c>
      <c r="J469" s="1249" t="s">
        <v>2237</v>
      </c>
      <c r="K469" s="1256"/>
      <c r="L469" s="1257"/>
      <c r="M469" s="1252"/>
      <c r="N469" s="1253">
        <v>1</v>
      </c>
      <c r="O469" s="1254">
        <v>2</v>
      </c>
      <c r="P469" s="1252">
        <v>17426.099999999999</v>
      </c>
    </row>
    <row r="470" spans="1:16" ht="24">
      <c r="A470" s="1245" t="s">
        <v>2420</v>
      </c>
      <c r="B470" s="1246" t="s">
        <v>1880</v>
      </c>
      <c r="C470" s="1246" t="s">
        <v>504</v>
      </c>
      <c r="D470" s="1200" t="s">
        <v>2708</v>
      </c>
      <c r="E470" s="1247">
        <v>4000</v>
      </c>
      <c r="F470" s="1248" t="s">
        <v>2724</v>
      </c>
      <c r="G470" s="1200" t="s">
        <v>2723</v>
      </c>
      <c r="H470" s="1191" t="s">
        <v>2696</v>
      </c>
      <c r="I470" s="1246" t="s">
        <v>569</v>
      </c>
      <c r="J470" s="1249" t="s">
        <v>1513</v>
      </c>
      <c r="K470" s="1256"/>
      <c r="L470" s="1257"/>
      <c r="M470" s="1252"/>
      <c r="N470" s="1253">
        <v>1</v>
      </c>
      <c r="O470" s="1254">
        <v>2</v>
      </c>
      <c r="P470" s="1252">
        <v>7179.43</v>
      </c>
    </row>
    <row r="471" spans="1:16" ht="24">
      <c r="A471" s="1245" t="s">
        <v>2420</v>
      </c>
      <c r="B471" s="1246" t="s">
        <v>1880</v>
      </c>
      <c r="C471" s="1246" t="s">
        <v>504</v>
      </c>
      <c r="D471" s="1200" t="s">
        <v>2708</v>
      </c>
      <c r="E471" s="1247">
        <v>4000</v>
      </c>
      <c r="F471" s="1248" t="s">
        <v>2722</v>
      </c>
      <c r="G471" s="1200" t="s">
        <v>2721</v>
      </c>
      <c r="H471" s="1191" t="s">
        <v>2696</v>
      </c>
      <c r="I471" s="1246" t="s">
        <v>569</v>
      </c>
      <c r="J471" s="1249" t="s">
        <v>1513</v>
      </c>
      <c r="K471" s="1256"/>
      <c r="L471" s="1257"/>
      <c r="M471" s="1252"/>
      <c r="N471" s="1253">
        <v>1</v>
      </c>
      <c r="O471" s="1254">
        <v>1</v>
      </c>
      <c r="P471" s="1252">
        <v>2932.88</v>
      </c>
    </row>
    <row r="472" spans="1:16" ht="24">
      <c r="A472" s="1245" t="s">
        <v>2420</v>
      </c>
      <c r="B472" s="1246" t="s">
        <v>1880</v>
      </c>
      <c r="C472" s="1246" t="s">
        <v>504</v>
      </c>
      <c r="D472" s="1200" t="s">
        <v>2708</v>
      </c>
      <c r="E472" s="1247">
        <v>4000</v>
      </c>
      <c r="F472" s="1248" t="s">
        <v>2720</v>
      </c>
      <c r="G472" s="1200" t="s">
        <v>2719</v>
      </c>
      <c r="H472" s="1191" t="s">
        <v>2696</v>
      </c>
      <c r="I472" s="1246" t="s">
        <v>569</v>
      </c>
      <c r="J472" s="1249" t="s">
        <v>1513</v>
      </c>
      <c r="K472" s="1256"/>
      <c r="L472" s="1257"/>
      <c r="M472" s="1252"/>
      <c r="N472" s="1253">
        <v>1</v>
      </c>
      <c r="O472" s="1254">
        <v>2</v>
      </c>
      <c r="P472" s="1252">
        <v>7179.43</v>
      </c>
    </row>
    <row r="473" spans="1:16" ht="24">
      <c r="A473" s="1245" t="s">
        <v>2420</v>
      </c>
      <c r="B473" s="1246" t="s">
        <v>1880</v>
      </c>
      <c r="C473" s="1246" t="s">
        <v>504</v>
      </c>
      <c r="D473" s="1200" t="s">
        <v>2708</v>
      </c>
      <c r="E473" s="1247">
        <v>4000</v>
      </c>
      <c r="F473" s="1248" t="s">
        <v>2718</v>
      </c>
      <c r="G473" s="1200" t="s">
        <v>2717</v>
      </c>
      <c r="H473" s="1191" t="s">
        <v>2696</v>
      </c>
      <c r="I473" s="1246" t="s">
        <v>569</v>
      </c>
      <c r="J473" s="1249" t="s">
        <v>1513</v>
      </c>
      <c r="K473" s="1256"/>
      <c r="L473" s="1257"/>
      <c r="M473" s="1252"/>
      <c r="N473" s="1253">
        <v>1</v>
      </c>
      <c r="O473" s="1254">
        <v>2</v>
      </c>
      <c r="P473" s="1252">
        <v>6907.93</v>
      </c>
    </row>
    <row r="474" spans="1:16" ht="24">
      <c r="A474" s="1245" t="s">
        <v>2420</v>
      </c>
      <c r="B474" s="1246" t="s">
        <v>1880</v>
      </c>
      <c r="C474" s="1246" t="s">
        <v>504</v>
      </c>
      <c r="D474" s="1200" t="s">
        <v>2708</v>
      </c>
      <c r="E474" s="1247">
        <v>4000</v>
      </c>
      <c r="F474" s="1248" t="s">
        <v>2716</v>
      </c>
      <c r="G474" s="1200" t="s">
        <v>2715</v>
      </c>
      <c r="H474" s="1191" t="s">
        <v>2696</v>
      </c>
      <c r="I474" s="1246" t="s">
        <v>569</v>
      </c>
      <c r="J474" s="1249" t="s">
        <v>1513</v>
      </c>
      <c r="K474" s="1256"/>
      <c r="L474" s="1257"/>
      <c r="M474" s="1252"/>
      <c r="N474" s="1253">
        <v>1</v>
      </c>
      <c r="O474" s="1254">
        <v>2</v>
      </c>
      <c r="P474" s="1252">
        <v>7179.43</v>
      </c>
    </row>
    <row r="475" spans="1:16" ht="24">
      <c r="A475" s="1245" t="s">
        <v>2420</v>
      </c>
      <c r="B475" s="1246" t="s">
        <v>1880</v>
      </c>
      <c r="C475" s="1246" t="s">
        <v>504</v>
      </c>
      <c r="D475" s="1200" t="s">
        <v>2708</v>
      </c>
      <c r="E475" s="1247">
        <v>4000</v>
      </c>
      <c r="F475" s="1248" t="s">
        <v>2714</v>
      </c>
      <c r="G475" s="1200" t="s">
        <v>2713</v>
      </c>
      <c r="H475" s="1191" t="s">
        <v>2696</v>
      </c>
      <c r="I475" s="1246" t="s">
        <v>569</v>
      </c>
      <c r="J475" s="1249" t="s">
        <v>1513</v>
      </c>
      <c r="K475" s="1256"/>
      <c r="L475" s="1257"/>
      <c r="M475" s="1252"/>
      <c r="N475" s="1253">
        <v>1</v>
      </c>
      <c r="O475" s="1254">
        <v>2</v>
      </c>
      <c r="P475" s="1252">
        <v>7179.43</v>
      </c>
    </row>
    <row r="476" spans="1:16" ht="24">
      <c r="A476" s="1245" t="s">
        <v>2420</v>
      </c>
      <c r="B476" s="1246" t="s">
        <v>1880</v>
      </c>
      <c r="C476" s="1246" t="s">
        <v>504</v>
      </c>
      <c r="D476" s="1200" t="s">
        <v>2708</v>
      </c>
      <c r="E476" s="1247">
        <v>4000</v>
      </c>
      <c r="F476" s="1248" t="s">
        <v>2712</v>
      </c>
      <c r="G476" s="1200" t="s">
        <v>2711</v>
      </c>
      <c r="H476" s="1191" t="s">
        <v>2696</v>
      </c>
      <c r="I476" s="1246" t="s">
        <v>569</v>
      </c>
      <c r="J476" s="1249" t="s">
        <v>1513</v>
      </c>
      <c r="K476" s="1256"/>
      <c r="L476" s="1257"/>
      <c r="M476" s="1252"/>
      <c r="N476" s="1253">
        <v>1</v>
      </c>
      <c r="O476" s="1254">
        <v>2</v>
      </c>
      <c r="P476" s="1252">
        <v>7179.43</v>
      </c>
    </row>
    <row r="477" spans="1:16" ht="24">
      <c r="A477" s="1245" t="s">
        <v>2420</v>
      </c>
      <c r="B477" s="1246" t="s">
        <v>1880</v>
      </c>
      <c r="C477" s="1246" t="s">
        <v>504</v>
      </c>
      <c r="D477" s="1200" t="s">
        <v>2708</v>
      </c>
      <c r="E477" s="1247">
        <v>4000</v>
      </c>
      <c r="F477" s="1248" t="s">
        <v>2710</v>
      </c>
      <c r="G477" s="1200" t="s">
        <v>2709</v>
      </c>
      <c r="H477" s="1191" t="s">
        <v>2696</v>
      </c>
      <c r="I477" s="1246" t="s">
        <v>569</v>
      </c>
      <c r="J477" s="1249" t="s">
        <v>1513</v>
      </c>
      <c r="K477" s="1256"/>
      <c r="L477" s="1257"/>
      <c r="M477" s="1252"/>
      <c r="N477" s="1253">
        <v>1</v>
      </c>
      <c r="O477" s="1254">
        <v>2</v>
      </c>
      <c r="P477" s="1252">
        <v>7179.43</v>
      </c>
    </row>
    <row r="478" spans="1:16" ht="24">
      <c r="A478" s="1245" t="s">
        <v>2420</v>
      </c>
      <c r="B478" s="1246" t="s">
        <v>1880</v>
      </c>
      <c r="C478" s="1246" t="s">
        <v>504</v>
      </c>
      <c r="D478" s="1200" t="s">
        <v>2708</v>
      </c>
      <c r="E478" s="1247">
        <v>4000</v>
      </c>
      <c r="F478" s="1248" t="s">
        <v>2707</v>
      </c>
      <c r="G478" s="1200" t="s">
        <v>2706</v>
      </c>
      <c r="H478" s="1191" t="s">
        <v>2696</v>
      </c>
      <c r="I478" s="1246" t="s">
        <v>569</v>
      </c>
      <c r="J478" s="1249" t="s">
        <v>1513</v>
      </c>
      <c r="K478" s="1256"/>
      <c r="L478" s="1257"/>
      <c r="M478" s="1252"/>
      <c r="N478" s="1253">
        <v>1</v>
      </c>
      <c r="O478" s="1254">
        <v>2</v>
      </c>
      <c r="P478" s="1252">
        <v>4114.8600000000006</v>
      </c>
    </row>
    <row r="479" spans="1:16" ht="24">
      <c r="A479" s="1258" t="s">
        <v>2420</v>
      </c>
      <c r="B479" s="1259" t="s">
        <v>1880</v>
      </c>
      <c r="C479" s="1259" t="s">
        <v>504</v>
      </c>
      <c r="D479" s="1200" t="s">
        <v>2699</v>
      </c>
      <c r="E479" s="1260">
        <v>4000</v>
      </c>
      <c r="F479" s="1261" t="s">
        <v>2705</v>
      </c>
      <c r="G479" s="1262" t="s">
        <v>2704</v>
      </c>
      <c r="H479" s="1263" t="s">
        <v>2696</v>
      </c>
      <c r="I479" s="1259" t="s">
        <v>569</v>
      </c>
      <c r="J479" s="1249" t="s">
        <v>1513</v>
      </c>
      <c r="K479" s="1264"/>
      <c r="L479" s="1265"/>
      <c r="M479" s="1266"/>
      <c r="N479" s="1267"/>
      <c r="O479" s="1268">
        <v>0</v>
      </c>
      <c r="P479" s="1266">
        <v>0</v>
      </c>
    </row>
    <row r="480" spans="1:16" ht="24">
      <c r="A480" s="1258" t="s">
        <v>2420</v>
      </c>
      <c r="B480" s="1259" t="s">
        <v>1880</v>
      </c>
      <c r="C480" s="1259" t="s">
        <v>504</v>
      </c>
      <c r="D480" s="1200" t="s">
        <v>2699</v>
      </c>
      <c r="E480" s="1260">
        <v>4000</v>
      </c>
      <c r="F480" s="1261" t="s">
        <v>2703</v>
      </c>
      <c r="G480" s="1262" t="s">
        <v>2702</v>
      </c>
      <c r="H480" s="1263" t="s">
        <v>2696</v>
      </c>
      <c r="I480" s="1259" t="s">
        <v>569</v>
      </c>
      <c r="J480" s="1249" t="s">
        <v>1513</v>
      </c>
      <c r="K480" s="1264"/>
      <c r="L480" s="1265"/>
      <c r="M480" s="1266"/>
      <c r="N480" s="1267"/>
      <c r="O480" s="1268">
        <v>0</v>
      </c>
      <c r="P480" s="1266">
        <v>0</v>
      </c>
    </row>
    <row r="481" spans="1:16" ht="24">
      <c r="A481" s="1258" t="s">
        <v>2420</v>
      </c>
      <c r="B481" s="1259" t="s">
        <v>1880</v>
      </c>
      <c r="C481" s="1259" t="s">
        <v>504</v>
      </c>
      <c r="D481" s="1200" t="s">
        <v>2699</v>
      </c>
      <c r="E481" s="1260">
        <v>4000</v>
      </c>
      <c r="F481" s="1261" t="s">
        <v>2701</v>
      </c>
      <c r="G481" s="1262" t="s">
        <v>2700</v>
      </c>
      <c r="H481" s="1263" t="s">
        <v>2696</v>
      </c>
      <c r="I481" s="1259" t="s">
        <v>569</v>
      </c>
      <c r="J481" s="1249" t="s">
        <v>1513</v>
      </c>
      <c r="K481" s="1264"/>
      <c r="L481" s="1265"/>
      <c r="M481" s="1266"/>
      <c r="N481" s="1267"/>
      <c r="O481" s="1268">
        <v>0</v>
      </c>
      <c r="P481" s="1266">
        <v>0</v>
      </c>
    </row>
    <row r="482" spans="1:16" ht="24">
      <c r="A482" s="1258" t="s">
        <v>2420</v>
      </c>
      <c r="B482" s="1259" t="s">
        <v>1880</v>
      </c>
      <c r="C482" s="1259" t="s">
        <v>504</v>
      </c>
      <c r="D482" s="1200" t="s">
        <v>2699</v>
      </c>
      <c r="E482" s="1260">
        <v>4000</v>
      </c>
      <c r="F482" s="1261" t="s">
        <v>2698</v>
      </c>
      <c r="G482" s="1262" t="s">
        <v>2697</v>
      </c>
      <c r="H482" s="1263" t="s">
        <v>2696</v>
      </c>
      <c r="I482" s="1259" t="s">
        <v>569</v>
      </c>
      <c r="J482" s="1249" t="s">
        <v>1513</v>
      </c>
      <c r="K482" s="1264"/>
      <c r="L482" s="1265"/>
      <c r="M482" s="1266"/>
      <c r="N482" s="1267"/>
      <c r="O482" s="1268">
        <v>0</v>
      </c>
      <c r="P482" s="1266">
        <v>0</v>
      </c>
    </row>
    <row r="483" spans="1:16" ht="24">
      <c r="A483" s="1258" t="s">
        <v>2420</v>
      </c>
      <c r="B483" s="1259" t="s">
        <v>1880</v>
      </c>
      <c r="C483" s="1259" t="s">
        <v>504</v>
      </c>
      <c r="D483" s="1200" t="s">
        <v>2695</v>
      </c>
      <c r="E483" s="1260">
        <v>4000</v>
      </c>
      <c r="F483" s="1261" t="s">
        <v>2694</v>
      </c>
      <c r="G483" s="1262" t="s">
        <v>2693</v>
      </c>
      <c r="H483" s="1263" t="s">
        <v>2237</v>
      </c>
      <c r="I483" s="1259" t="s">
        <v>569</v>
      </c>
      <c r="J483" s="1249" t="s">
        <v>2692</v>
      </c>
      <c r="K483" s="1264"/>
      <c r="L483" s="1265"/>
      <c r="M483" s="1266"/>
      <c r="N483" s="1267">
        <v>1</v>
      </c>
      <c r="O483" s="1268">
        <v>6</v>
      </c>
      <c r="P483" s="1266">
        <v>25044.9</v>
      </c>
    </row>
    <row r="484" spans="1:16" ht="36">
      <c r="A484" s="1258" t="s">
        <v>2420</v>
      </c>
      <c r="B484" s="1259" t="s">
        <v>1880</v>
      </c>
      <c r="C484" s="1259" t="s">
        <v>504</v>
      </c>
      <c r="D484" s="1200" t="s">
        <v>2691</v>
      </c>
      <c r="E484" s="1260">
        <v>10000</v>
      </c>
      <c r="F484" s="1261" t="s">
        <v>2690</v>
      </c>
      <c r="G484" s="1262" t="s">
        <v>2689</v>
      </c>
      <c r="H484" s="1263" t="s">
        <v>2237</v>
      </c>
      <c r="I484" s="1259" t="s">
        <v>569</v>
      </c>
      <c r="J484" s="1249" t="s">
        <v>2237</v>
      </c>
      <c r="K484" s="1264"/>
      <c r="L484" s="1265"/>
      <c r="M484" s="1266"/>
      <c r="N484" s="1267">
        <v>1</v>
      </c>
      <c r="O484" s="1268">
        <v>2</v>
      </c>
      <c r="P484" s="1266">
        <v>24343.96</v>
      </c>
    </row>
    <row r="485" spans="1:16" ht="12.75">
      <c r="A485" s="1258" t="s">
        <v>2420</v>
      </c>
      <c r="B485" s="1259" t="s">
        <v>1880</v>
      </c>
      <c r="C485" s="1259" t="s">
        <v>504</v>
      </c>
      <c r="D485" s="1200" t="s">
        <v>2688</v>
      </c>
      <c r="E485" s="1260">
        <v>4200</v>
      </c>
      <c r="F485" s="1261" t="s">
        <v>2687</v>
      </c>
      <c r="G485" s="1262" t="s">
        <v>2686</v>
      </c>
      <c r="H485" s="1263" t="s">
        <v>1439</v>
      </c>
      <c r="I485" s="1259" t="s">
        <v>569</v>
      </c>
      <c r="J485" s="1249" t="s">
        <v>1439</v>
      </c>
      <c r="K485" s="1264"/>
      <c r="L485" s="1265"/>
      <c r="M485" s="1266"/>
      <c r="N485" s="1267">
        <v>1</v>
      </c>
      <c r="O485" s="1268">
        <v>4</v>
      </c>
      <c r="P485" s="1266">
        <v>17496.599999999999</v>
      </c>
    </row>
    <row r="486" spans="1:16" ht="24">
      <c r="A486" s="1258" t="s">
        <v>2420</v>
      </c>
      <c r="B486" s="1259" t="s">
        <v>1880</v>
      </c>
      <c r="C486" s="1259" t="s">
        <v>504</v>
      </c>
      <c r="D486" s="1200" t="s">
        <v>2685</v>
      </c>
      <c r="E486" s="1260"/>
      <c r="F486" s="1261"/>
      <c r="G486" s="1262" t="s">
        <v>2684</v>
      </c>
      <c r="H486" s="1263" t="s">
        <v>2683</v>
      </c>
      <c r="I486" s="1259" t="s">
        <v>2683</v>
      </c>
      <c r="J486" s="1249" t="s">
        <v>2683</v>
      </c>
      <c r="K486" s="1264"/>
      <c r="L486" s="1265"/>
      <c r="M486" s="1266">
        <v>-86354.290000043795</v>
      </c>
      <c r="N486" s="1267"/>
      <c r="O486" s="1268"/>
      <c r="P486" s="1266">
        <v>-11510.2900000093</v>
      </c>
    </row>
    <row r="487" spans="1:16" ht="36">
      <c r="A487" s="1258" t="s">
        <v>2420</v>
      </c>
      <c r="B487" s="1259" t="s">
        <v>1880</v>
      </c>
      <c r="C487" s="1259" t="s">
        <v>504</v>
      </c>
      <c r="D487" s="1200" t="s">
        <v>2682</v>
      </c>
      <c r="E487" s="1260">
        <v>10000</v>
      </c>
      <c r="F487" s="1261" t="s">
        <v>2681</v>
      </c>
      <c r="G487" s="1262" t="s">
        <v>2680</v>
      </c>
      <c r="H487" s="1263" t="s">
        <v>2237</v>
      </c>
      <c r="I487" s="1259" t="s">
        <v>569</v>
      </c>
      <c r="J487" s="1249" t="s">
        <v>2237</v>
      </c>
      <c r="K487" s="1264"/>
      <c r="L487" s="1265"/>
      <c r="M487" s="1266"/>
      <c r="N487" s="1267">
        <v>1</v>
      </c>
      <c r="O487" s="1268">
        <v>2</v>
      </c>
      <c r="P487" s="1266">
        <v>17426.099999999999</v>
      </c>
    </row>
    <row r="488" spans="1:16" ht="24">
      <c r="A488" s="1258" t="s">
        <v>2420</v>
      </c>
      <c r="B488" s="1259" t="s">
        <v>2679</v>
      </c>
      <c r="C488" s="1259" t="s">
        <v>504</v>
      </c>
      <c r="D488" s="1200" t="s">
        <v>960</v>
      </c>
      <c r="E488" s="1260">
        <v>3000</v>
      </c>
      <c r="F488" s="1269">
        <v>3663610</v>
      </c>
      <c r="G488" s="1191" t="s">
        <v>2678</v>
      </c>
      <c r="H488" s="1263" t="s">
        <v>1571</v>
      </c>
      <c r="I488" s="1270" t="s">
        <v>569</v>
      </c>
      <c r="J488" s="1249" t="s">
        <v>2677</v>
      </c>
      <c r="K488" s="1271">
        <v>1</v>
      </c>
      <c r="L488" s="1272">
        <v>12</v>
      </c>
      <c r="M488" s="1266">
        <v>37960.80000000001</v>
      </c>
      <c r="N488" s="1267"/>
      <c r="O488" s="1268">
        <v>0</v>
      </c>
      <c r="P488" s="1266">
        <v>0</v>
      </c>
    </row>
    <row r="489" spans="1:16" ht="36">
      <c r="A489" s="1181" t="s">
        <v>2420</v>
      </c>
      <c r="B489" s="1191" t="s">
        <v>1869</v>
      </c>
      <c r="C489" s="1191" t="s">
        <v>504</v>
      </c>
      <c r="D489" s="1181" t="s">
        <v>2456</v>
      </c>
      <c r="E489" s="1260">
        <v>2200</v>
      </c>
      <c r="F489" s="1269">
        <v>40284824</v>
      </c>
      <c r="G489" s="1191" t="s">
        <v>2676</v>
      </c>
      <c r="H489" s="1273" t="s">
        <v>1695</v>
      </c>
      <c r="I489" s="1270" t="s">
        <v>569</v>
      </c>
      <c r="J489" s="1249" t="s">
        <v>2454</v>
      </c>
      <c r="K489" s="1271">
        <v>1</v>
      </c>
      <c r="L489" s="1272">
        <v>12</v>
      </c>
      <c r="M489" s="1266">
        <v>28360.800000000007</v>
      </c>
      <c r="N489" s="1267"/>
      <c r="O489" s="1268">
        <v>0</v>
      </c>
      <c r="P489" s="1266">
        <v>0</v>
      </c>
    </row>
    <row r="490" spans="1:16">
      <c r="A490" s="1274" t="s">
        <v>2420</v>
      </c>
      <c r="B490" s="1191" t="s">
        <v>1869</v>
      </c>
      <c r="C490" s="1259" t="s">
        <v>504</v>
      </c>
      <c r="D490" s="1181" t="s">
        <v>2215</v>
      </c>
      <c r="E490" s="1260">
        <v>1000</v>
      </c>
      <c r="F490" s="1269">
        <v>3645765</v>
      </c>
      <c r="G490" s="1191" t="s">
        <v>2675</v>
      </c>
      <c r="H490" s="1273" t="s">
        <v>1592</v>
      </c>
      <c r="I490" s="1270" t="s">
        <v>618</v>
      </c>
      <c r="J490" s="1249" t="s">
        <v>619</v>
      </c>
      <c r="K490" s="1271">
        <v>1</v>
      </c>
      <c r="L490" s="1272">
        <v>12</v>
      </c>
      <c r="M490" s="1266">
        <v>13680</v>
      </c>
      <c r="N490" s="1267"/>
      <c r="O490" s="1268">
        <v>0</v>
      </c>
      <c r="P490" s="1266">
        <v>0</v>
      </c>
    </row>
    <row r="491" spans="1:16">
      <c r="A491" s="1274" t="s">
        <v>2420</v>
      </c>
      <c r="B491" s="1191" t="s">
        <v>1869</v>
      </c>
      <c r="C491" s="1259" t="s">
        <v>504</v>
      </c>
      <c r="D491" s="1181" t="s">
        <v>2674</v>
      </c>
      <c r="E491" s="1260">
        <v>1200</v>
      </c>
      <c r="F491" s="1269">
        <v>2835332</v>
      </c>
      <c r="G491" s="1191" t="s">
        <v>2673</v>
      </c>
      <c r="H491" s="1273" t="s">
        <v>1592</v>
      </c>
      <c r="I491" s="1270" t="s">
        <v>618</v>
      </c>
      <c r="J491" s="1249" t="s">
        <v>619</v>
      </c>
      <c r="K491" s="1271">
        <v>1</v>
      </c>
      <c r="L491" s="1272">
        <v>12</v>
      </c>
      <c r="M491" s="1266">
        <v>16296</v>
      </c>
      <c r="N491" s="1267">
        <v>1</v>
      </c>
      <c r="O491" s="1268">
        <v>6</v>
      </c>
      <c r="P491" s="1266">
        <v>7848</v>
      </c>
    </row>
    <row r="492" spans="1:16">
      <c r="A492" s="1274" t="s">
        <v>2420</v>
      </c>
      <c r="B492" s="1191" t="s">
        <v>1869</v>
      </c>
      <c r="C492" s="1259" t="s">
        <v>504</v>
      </c>
      <c r="D492" s="1181" t="s">
        <v>2672</v>
      </c>
      <c r="E492" s="1260">
        <v>1000</v>
      </c>
      <c r="F492" s="1269" t="s">
        <v>2671</v>
      </c>
      <c r="G492" s="1191" t="s">
        <v>2670</v>
      </c>
      <c r="H492" s="1273" t="s">
        <v>1592</v>
      </c>
      <c r="I492" s="1270" t="s">
        <v>618</v>
      </c>
      <c r="J492" s="1249" t="s">
        <v>619</v>
      </c>
      <c r="K492" s="1271">
        <v>1</v>
      </c>
      <c r="L492" s="1272">
        <v>12</v>
      </c>
      <c r="M492" s="1266">
        <v>13680</v>
      </c>
      <c r="N492" s="1267"/>
      <c r="O492" s="1268">
        <v>0</v>
      </c>
      <c r="P492" s="1266">
        <v>0</v>
      </c>
    </row>
    <row r="493" spans="1:16">
      <c r="A493" s="1274" t="s">
        <v>2420</v>
      </c>
      <c r="B493" s="1191" t="s">
        <v>1869</v>
      </c>
      <c r="C493" s="1259" t="s">
        <v>504</v>
      </c>
      <c r="D493" s="1181" t="s">
        <v>2669</v>
      </c>
      <c r="E493" s="1260">
        <v>1100</v>
      </c>
      <c r="F493" s="1269">
        <v>5640243</v>
      </c>
      <c r="G493" s="1191" t="s">
        <v>2668</v>
      </c>
      <c r="H493" s="1273" t="s">
        <v>1592</v>
      </c>
      <c r="I493" s="1270" t="s">
        <v>618</v>
      </c>
      <c r="J493" s="1249" t="s">
        <v>619</v>
      </c>
      <c r="K493" s="1271">
        <v>1</v>
      </c>
      <c r="L493" s="1272">
        <v>1</v>
      </c>
      <c r="M493" s="1266">
        <v>563.70000000000005</v>
      </c>
      <c r="N493" s="1267"/>
      <c r="O493" s="1268">
        <v>0</v>
      </c>
      <c r="P493" s="1266">
        <v>0</v>
      </c>
    </row>
    <row r="494" spans="1:16" ht="36">
      <c r="A494" s="1274" t="s">
        <v>2420</v>
      </c>
      <c r="B494" s="1191" t="s">
        <v>1869</v>
      </c>
      <c r="C494" s="1259" t="s">
        <v>504</v>
      </c>
      <c r="D494" s="1181" t="s">
        <v>604</v>
      </c>
      <c r="E494" s="1260">
        <v>2000</v>
      </c>
      <c r="F494" s="1269">
        <v>25731676</v>
      </c>
      <c r="G494" s="1191" t="s">
        <v>2667</v>
      </c>
      <c r="H494" s="1273" t="s">
        <v>1592</v>
      </c>
      <c r="I494" s="1270" t="s">
        <v>618</v>
      </c>
      <c r="J494" s="1249" t="s">
        <v>2435</v>
      </c>
      <c r="K494" s="1271">
        <v>1</v>
      </c>
      <c r="L494" s="1272">
        <v>12</v>
      </c>
      <c r="M494" s="1266">
        <v>25960.800000000007</v>
      </c>
      <c r="N494" s="1267">
        <v>1</v>
      </c>
      <c r="O494" s="1268">
        <v>6</v>
      </c>
      <c r="P494" s="1266">
        <v>13044.9</v>
      </c>
    </row>
    <row r="495" spans="1:16" ht="48">
      <c r="A495" s="1274" t="s">
        <v>2420</v>
      </c>
      <c r="B495" s="1191" t="s">
        <v>1869</v>
      </c>
      <c r="C495" s="1259" t="s">
        <v>504</v>
      </c>
      <c r="D495" s="1181" t="s">
        <v>2666</v>
      </c>
      <c r="E495" s="1260">
        <v>2000</v>
      </c>
      <c r="F495" s="1269">
        <v>10544565</v>
      </c>
      <c r="G495" s="1191" t="s">
        <v>2665</v>
      </c>
      <c r="H495" s="1273" t="s">
        <v>2664</v>
      </c>
      <c r="I495" s="1270" t="s">
        <v>1664</v>
      </c>
      <c r="J495" s="1249" t="s">
        <v>2664</v>
      </c>
      <c r="K495" s="1271">
        <v>1</v>
      </c>
      <c r="L495" s="1272">
        <v>1</v>
      </c>
      <c r="M495" s="1266">
        <v>1613.43</v>
      </c>
      <c r="N495" s="1267"/>
      <c r="O495" s="1268">
        <v>0</v>
      </c>
      <c r="P495" s="1266">
        <v>0</v>
      </c>
    </row>
    <row r="496" spans="1:16" ht="24">
      <c r="A496" s="1274" t="s">
        <v>2420</v>
      </c>
      <c r="B496" s="1191" t="s">
        <v>1869</v>
      </c>
      <c r="C496" s="1259" t="s">
        <v>504</v>
      </c>
      <c r="D496" s="1181" t="s">
        <v>2663</v>
      </c>
      <c r="E496" s="1260">
        <v>3000</v>
      </c>
      <c r="F496" s="1269" t="s">
        <v>2662</v>
      </c>
      <c r="G496" s="1191" t="s">
        <v>2661</v>
      </c>
      <c r="H496" s="1273" t="s">
        <v>1695</v>
      </c>
      <c r="I496" s="1270" t="s">
        <v>569</v>
      </c>
      <c r="J496" s="1249" t="s">
        <v>2533</v>
      </c>
      <c r="K496" s="1271">
        <v>1</v>
      </c>
      <c r="L496" s="1272">
        <v>1</v>
      </c>
      <c r="M496" s="1266">
        <v>5719.69</v>
      </c>
      <c r="N496" s="1267">
        <v>1</v>
      </c>
      <c r="O496" s="1268">
        <v>6</v>
      </c>
      <c r="P496" s="1266">
        <v>19044.900000000001</v>
      </c>
    </row>
    <row r="497" spans="1:16" ht="96">
      <c r="A497" s="1274" t="s">
        <v>2420</v>
      </c>
      <c r="B497" s="1191" t="s">
        <v>1869</v>
      </c>
      <c r="C497" s="1259" t="s">
        <v>504</v>
      </c>
      <c r="D497" s="1181" t="s">
        <v>2660</v>
      </c>
      <c r="E497" s="1260">
        <v>3500</v>
      </c>
      <c r="F497" s="1269">
        <v>9393210</v>
      </c>
      <c r="G497" s="1191" t="s">
        <v>2659</v>
      </c>
      <c r="H497" s="1273" t="s">
        <v>2615</v>
      </c>
      <c r="I497" s="1270" t="s">
        <v>1664</v>
      </c>
      <c r="J497" s="1249" t="s">
        <v>2658</v>
      </c>
      <c r="K497" s="1271">
        <v>1</v>
      </c>
      <c r="L497" s="1272">
        <v>12</v>
      </c>
      <c r="M497" s="1266">
        <v>43960.80000000001</v>
      </c>
      <c r="N497" s="1267">
        <v>1</v>
      </c>
      <c r="O497" s="1268">
        <v>6</v>
      </c>
      <c r="P497" s="1266">
        <v>22044.9</v>
      </c>
    </row>
    <row r="498" spans="1:16" ht="24">
      <c r="A498" s="1274" t="s">
        <v>2420</v>
      </c>
      <c r="B498" s="1191" t="s">
        <v>1869</v>
      </c>
      <c r="C498" s="1259" t="s">
        <v>504</v>
      </c>
      <c r="D498" s="1181" t="s">
        <v>2657</v>
      </c>
      <c r="E498" s="1260">
        <v>1200</v>
      </c>
      <c r="F498" s="1269">
        <v>41995001</v>
      </c>
      <c r="G498" s="1191" t="s">
        <v>2656</v>
      </c>
      <c r="H498" s="1273" t="s">
        <v>1592</v>
      </c>
      <c r="I498" s="1270" t="s">
        <v>618</v>
      </c>
      <c r="J498" s="1249" t="s">
        <v>619</v>
      </c>
      <c r="K498" s="1271">
        <v>1</v>
      </c>
      <c r="L498" s="1272">
        <v>12</v>
      </c>
      <c r="M498" s="1266">
        <v>16296</v>
      </c>
      <c r="N498" s="1267">
        <v>1</v>
      </c>
      <c r="O498" s="1268">
        <v>6</v>
      </c>
      <c r="P498" s="1266">
        <v>7848</v>
      </c>
    </row>
    <row r="499" spans="1:16" ht="24">
      <c r="A499" s="1274" t="s">
        <v>2420</v>
      </c>
      <c r="B499" s="1191" t="s">
        <v>1869</v>
      </c>
      <c r="C499" s="1259" t="s">
        <v>504</v>
      </c>
      <c r="D499" s="1181" t="s">
        <v>1910</v>
      </c>
      <c r="E499" s="1260">
        <v>1100</v>
      </c>
      <c r="F499" s="1269">
        <v>3500532</v>
      </c>
      <c r="G499" s="1191" t="s">
        <v>2655</v>
      </c>
      <c r="H499" s="1273" t="s">
        <v>1592</v>
      </c>
      <c r="I499" s="1270" t="s">
        <v>618</v>
      </c>
      <c r="J499" s="1249" t="s">
        <v>619</v>
      </c>
      <c r="K499" s="1271">
        <v>1</v>
      </c>
      <c r="L499" s="1272">
        <v>12</v>
      </c>
      <c r="M499" s="1266">
        <v>14988</v>
      </c>
      <c r="N499" s="1267"/>
      <c r="O499" s="1268">
        <v>0</v>
      </c>
      <c r="P499" s="1266">
        <v>0</v>
      </c>
    </row>
    <row r="500" spans="1:16" ht="24">
      <c r="A500" s="1274" t="s">
        <v>2420</v>
      </c>
      <c r="B500" s="1191" t="s">
        <v>1869</v>
      </c>
      <c r="C500" s="1259" t="s">
        <v>504</v>
      </c>
      <c r="D500" s="1181" t="s">
        <v>2654</v>
      </c>
      <c r="E500" s="1260">
        <v>1000</v>
      </c>
      <c r="F500" s="1269">
        <v>3469337</v>
      </c>
      <c r="G500" s="1191" t="s">
        <v>2653</v>
      </c>
      <c r="H500" s="1273" t="s">
        <v>1592</v>
      </c>
      <c r="I500" s="1270" t="s">
        <v>618</v>
      </c>
      <c r="J500" s="1249" t="s">
        <v>619</v>
      </c>
      <c r="K500" s="1271">
        <v>1</v>
      </c>
      <c r="L500" s="1272">
        <v>12</v>
      </c>
      <c r="M500" s="1266">
        <v>13680</v>
      </c>
      <c r="N500" s="1267"/>
      <c r="O500" s="1268">
        <v>0</v>
      </c>
      <c r="P500" s="1266">
        <v>0</v>
      </c>
    </row>
    <row r="501" spans="1:16" ht="48">
      <c r="A501" s="1274" t="s">
        <v>2420</v>
      </c>
      <c r="B501" s="1191" t="s">
        <v>1869</v>
      </c>
      <c r="C501" s="1259" t="s">
        <v>504</v>
      </c>
      <c r="D501" s="1181" t="s">
        <v>2652</v>
      </c>
      <c r="E501" s="1260">
        <v>2000</v>
      </c>
      <c r="F501" s="1269">
        <v>7541454</v>
      </c>
      <c r="G501" s="1191" t="s">
        <v>2651</v>
      </c>
      <c r="H501" s="1273" t="s">
        <v>2650</v>
      </c>
      <c r="I501" s="1270" t="s">
        <v>1664</v>
      </c>
      <c r="J501" s="1249" t="s">
        <v>2649</v>
      </c>
      <c r="K501" s="1271">
        <v>1</v>
      </c>
      <c r="L501" s="1272">
        <v>12</v>
      </c>
      <c r="M501" s="1266">
        <v>25960.800000000007</v>
      </c>
      <c r="N501" s="1267">
        <v>1</v>
      </c>
      <c r="O501" s="1268">
        <v>6</v>
      </c>
      <c r="P501" s="1266">
        <v>13044.9</v>
      </c>
    </row>
    <row r="502" spans="1:16" ht="36">
      <c r="A502" s="1274" t="s">
        <v>2420</v>
      </c>
      <c r="B502" s="1191" t="s">
        <v>1869</v>
      </c>
      <c r="C502" s="1259" t="s">
        <v>504</v>
      </c>
      <c r="D502" s="1181" t="s">
        <v>2648</v>
      </c>
      <c r="E502" s="1260">
        <v>1700</v>
      </c>
      <c r="F502" s="1269">
        <v>43993289</v>
      </c>
      <c r="G502" s="1191" t="s">
        <v>2647</v>
      </c>
      <c r="H502" s="1273" t="s">
        <v>2646</v>
      </c>
      <c r="I502" s="1270" t="s">
        <v>1664</v>
      </c>
      <c r="J502" s="1249" t="s">
        <v>2646</v>
      </c>
      <c r="K502" s="1271">
        <v>1</v>
      </c>
      <c r="L502" s="1272">
        <v>12</v>
      </c>
      <c r="M502" s="1266">
        <v>22360.800000000003</v>
      </c>
      <c r="N502" s="1267">
        <v>1</v>
      </c>
      <c r="O502" s="1268">
        <v>6</v>
      </c>
      <c r="P502" s="1266">
        <v>11118</v>
      </c>
    </row>
    <row r="503" spans="1:16" ht="24">
      <c r="A503" s="1274" t="s">
        <v>2420</v>
      </c>
      <c r="B503" s="1191" t="s">
        <v>1869</v>
      </c>
      <c r="C503" s="1259" t="s">
        <v>504</v>
      </c>
      <c r="D503" s="1181" t="s">
        <v>2645</v>
      </c>
      <c r="E503" s="1260">
        <v>4900</v>
      </c>
      <c r="F503" s="1269">
        <v>9857492</v>
      </c>
      <c r="G503" s="1191" t="s">
        <v>2644</v>
      </c>
      <c r="H503" s="1273" t="s">
        <v>2447</v>
      </c>
      <c r="I503" s="1270" t="s">
        <v>569</v>
      </c>
      <c r="J503" s="1249" t="s">
        <v>2447</v>
      </c>
      <c r="K503" s="1271">
        <v>1</v>
      </c>
      <c r="L503" s="1272">
        <v>12</v>
      </c>
      <c r="M503" s="1266">
        <v>60760.80000000001</v>
      </c>
      <c r="N503" s="1267">
        <v>1</v>
      </c>
      <c r="O503" s="1268">
        <v>6</v>
      </c>
      <c r="P503" s="1266">
        <v>30444.9</v>
      </c>
    </row>
    <row r="504" spans="1:16" ht="24">
      <c r="A504" s="1274" t="s">
        <v>2420</v>
      </c>
      <c r="B504" s="1191" t="s">
        <v>1869</v>
      </c>
      <c r="C504" s="1259" t="s">
        <v>504</v>
      </c>
      <c r="D504" s="1181" t="s">
        <v>2446</v>
      </c>
      <c r="E504" s="1260">
        <v>4500</v>
      </c>
      <c r="F504" s="1269">
        <v>9974561</v>
      </c>
      <c r="G504" s="1191" t="s">
        <v>2643</v>
      </c>
      <c r="H504" s="1273" t="s">
        <v>1695</v>
      </c>
      <c r="I504" s="1270" t="s">
        <v>1664</v>
      </c>
      <c r="J504" s="1249" t="s">
        <v>2444</v>
      </c>
      <c r="K504" s="1271">
        <v>1</v>
      </c>
      <c r="L504" s="1272">
        <v>7</v>
      </c>
      <c r="M504" s="1266">
        <v>27980.400000000001</v>
      </c>
      <c r="N504" s="1267"/>
      <c r="O504" s="1268">
        <v>0</v>
      </c>
      <c r="P504" s="1266">
        <v>0</v>
      </c>
    </row>
    <row r="505" spans="1:16" ht="24">
      <c r="A505" s="1274" t="s">
        <v>2420</v>
      </c>
      <c r="B505" s="1191" t="s">
        <v>1869</v>
      </c>
      <c r="C505" s="1259" t="s">
        <v>504</v>
      </c>
      <c r="D505" s="1181" t="s">
        <v>2446</v>
      </c>
      <c r="E505" s="1260">
        <v>4500</v>
      </c>
      <c r="F505" s="1269">
        <v>8648368</v>
      </c>
      <c r="G505" s="1191" t="s">
        <v>2642</v>
      </c>
      <c r="H505" s="1273" t="s">
        <v>1695</v>
      </c>
      <c r="I505" s="1270" t="s">
        <v>569</v>
      </c>
      <c r="J505" s="1249" t="s">
        <v>1695</v>
      </c>
      <c r="K505" s="1271">
        <v>1</v>
      </c>
      <c r="L505" s="1272">
        <v>12</v>
      </c>
      <c r="M505" s="1266">
        <v>55984.80000000001</v>
      </c>
      <c r="N505" s="1267">
        <v>1</v>
      </c>
      <c r="O505" s="1268">
        <v>6</v>
      </c>
      <c r="P505" s="1266">
        <v>28044.9</v>
      </c>
    </row>
    <row r="506" spans="1:16" ht="24">
      <c r="A506" s="1274" t="s">
        <v>2420</v>
      </c>
      <c r="B506" s="1191" t="s">
        <v>1869</v>
      </c>
      <c r="C506" s="1259" t="s">
        <v>504</v>
      </c>
      <c r="D506" s="1181" t="s">
        <v>2624</v>
      </c>
      <c r="E506" s="1260">
        <v>1700</v>
      </c>
      <c r="F506" s="1269">
        <v>3874326</v>
      </c>
      <c r="G506" s="1191" t="s">
        <v>2641</v>
      </c>
      <c r="H506" s="1273" t="s">
        <v>1571</v>
      </c>
      <c r="I506" s="1270" t="s">
        <v>569</v>
      </c>
      <c r="J506" s="1249" t="s">
        <v>2640</v>
      </c>
      <c r="K506" s="1271">
        <v>1</v>
      </c>
      <c r="L506" s="1272">
        <v>12</v>
      </c>
      <c r="M506" s="1266">
        <v>22360.800000000003</v>
      </c>
      <c r="N506" s="1267">
        <v>1</v>
      </c>
      <c r="O506" s="1268">
        <v>6</v>
      </c>
      <c r="P506" s="1266">
        <v>11118</v>
      </c>
    </row>
    <row r="507" spans="1:16" ht="36">
      <c r="A507" s="1274" t="s">
        <v>2420</v>
      </c>
      <c r="B507" s="1191" t="s">
        <v>1869</v>
      </c>
      <c r="C507" s="1259" t="s">
        <v>504</v>
      </c>
      <c r="D507" s="1181" t="s">
        <v>2639</v>
      </c>
      <c r="E507" s="1260">
        <v>6600</v>
      </c>
      <c r="F507" s="1269">
        <v>42241808</v>
      </c>
      <c r="G507" s="1191" t="s">
        <v>2638</v>
      </c>
      <c r="H507" s="1273" t="s">
        <v>2447</v>
      </c>
      <c r="I507" s="1270" t="s">
        <v>569</v>
      </c>
      <c r="J507" s="1249" t="s">
        <v>2447</v>
      </c>
      <c r="K507" s="1271">
        <v>1</v>
      </c>
      <c r="L507" s="1272">
        <v>12</v>
      </c>
      <c r="M507" s="1266">
        <v>80560.799999999988</v>
      </c>
      <c r="N507" s="1267">
        <v>1</v>
      </c>
      <c r="O507" s="1268">
        <v>6</v>
      </c>
      <c r="P507" s="1266">
        <v>40644.9</v>
      </c>
    </row>
    <row r="508" spans="1:16">
      <c r="A508" s="1274" t="s">
        <v>2420</v>
      </c>
      <c r="B508" s="1191" t="s">
        <v>1869</v>
      </c>
      <c r="C508" s="1259" t="s">
        <v>504</v>
      </c>
      <c r="D508" s="1181" t="s">
        <v>1708</v>
      </c>
      <c r="E508" s="1260">
        <v>2000</v>
      </c>
      <c r="F508" s="1269">
        <v>25606755</v>
      </c>
      <c r="G508" s="1191" t="s">
        <v>2637</v>
      </c>
      <c r="H508" s="1273" t="s">
        <v>1592</v>
      </c>
      <c r="I508" s="1270" t="s">
        <v>618</v>
      </c>
      <c r="J508" s="1249" t="s">
        <v>619</v>
      </c>
      <c r="K508" s="1271">
        <v>1</v>
      </c>
      <c r="L508" s="1272">
        <v>12</v>
      </c>
      <c r="M508" s="1266">
        <v>25960.800000000007</v>
      </c>
      <c r="N508" s="1267">
        <v>1</v>
      </c>
      <c r="O508" s="1268">
        <v>6</v>
      </c>
      <c r="P508" s="1266">
        <v>13044.9</v>
      </c>
    </row>
    <row r="509" spans="1:16" ht="84">
      <c r="A509" s="1274" t="s">
        <v>2420</v>
      </c>
      <c r="B509" s="1191" t="s">
        <v>1869</v>
      </c>
      <c r="C509" s="1259" t="s">
        <v>504</v>
      </c>
      <c r="D509" s="1181" t="s">
        <v>2636</v>
      </c>
      <c r="E509" s="1260">
        <v>2200</v>
      </c>
      <c r="F509" s="1269">
        <v>43333334</v>
      </c>
      <c r="G509" s="1191" t="s">
        <v>2635</v>
      </c>
      <c r="H509" s="1273" t="s">
        <v>2634</v>
      </c>
      <c r="I509" s="1270" t="s">
        <v>1664</v>
      </c>
      <c r="J509" s="1249" t="s">
        <v>2634</v>
      </c>
      <c r="K509" s="1271">
        <v>1</v>
      </c>
      <c r="L509" s="1272">
        <v>12</v>
      </c>
      <c r="M509" s="1266">
        <v>27760.800000000007</v>
      </c>
      <c r="N509" s="1267">
        <v>1</v>
      </c>
      <c r="O509" s="1268">
        <v>6</v>
      </c>
      <c r="P509" s="1266">
        <v>14244.9</v>
      </c>
    </row>
    <row r="510" spans="1:16" ht="48">
      <c r="A510" s="1274" t="s">
        <v>2420</v>
      </c>
      <c r="B510" s="1191" t="s">
        <v>1869</v>
      </c>
      <c r="C510" s="1259" t="s">
        <v>504</v>
      </c>
      <c r="D510" s="1181" t="s">
        <v>2633</v>
      </c>
      <c r="E510" s="1260">
        <v>3200</v>
      </c>
      <c r="F510" s="1269">
        <v>43245040</v>
      </c>
      <c r="G510" s="1191" t="s">
        <v>2632</v>
      </c>
      <c r="H510" s="1273" t="s">
        <v>2447</v>
      </c>
      <c r="I510" s="1270" t="s">
        <v>569</v>
      </c>
      <c r="J510" s="1249" t="s">
        <v>2447</v>
      </c>
      <c r="K510" s="1271">
        <v>1</v>
      </c>
      <c r="L510" s="1272">
        <v>12</v>
      </c>
      <c r="M510" s="1266">
        <v>39760.80000000001</v>
      </c>
      <c r="N510" s="1267">
        <v>1</v>
      </c>
      <c r="O510" s="1268">
        <v>6</v>
      </c>
      <c r="P510" s="1266">
        <v>20244.900000000001</v>
      </c>
    </row>
    <row r="511" spans="1:16" ht="48">
      <c r="A511" s="1274" t="s">
        <v>2420</v>
      </c>
      <c r="B511" s="1191" t="s">
        <v>1869</v>
      </c>
      <c r="C511" s="1259" t="s">
        <v>504</v>
      </c>
      <c r="D511" s="1181" t="s">
        <v>2631</v>
      </c>
      <c r="E511" s="1260">
        <v>2001</v>
      </c>
      <c r="F511" s="1269">
        <v>43322203</v>
      </c>
      <c r="G511" s="1191" t="s">
        <v>2630</v>
      </c>
      <c r="H511" s="1273" t="s">
        <v>1784</v>
      </c>
      <c r="I511" s="1270" t="s">
        <v>1664</v>
      </c>
      <c r="J511" s="1249" t="s">
        <v>2629</v>
      </c>
      <c r="K511" s="1271">
        <v>1</v>
      </c>
      <c r="L511" s="1272">
        <v>12</v>
      </c>
      <c r="M511" s="1266">
        <v>25372.800000000007</v>
      </c>
      <c r="N511" s="1267"/>
      <c r="O511" s="1268">
        <v>0</v>
      </c>
      <c r="P511" s="1266">
        <v>0</v>
      </c>
    </row>
    <row r="512" spans="1:16" ht="48">
      <c r="A512" s="1274" t="s">
        <v>2420</v>
      </c>
      <c r="B512" s="1191" t="s">
        <v>1869</v>
      </c>
      <c r="C512" s="1259" t="s">
        <v>504</v>
      </c>
      <c r="D512" s="1181" t="s">
        <v>2628</v>
      </c>
      <c r="E512" s="1260">
        <v>5000</v>
      </c>
      <c r="F512" s="1269">
        <v>43164834</v>
      </c>
      <c r="G512" s="1191" t="s">
        <v>2627</v>
      </c>
      <c r="H512" s="1273" t="s">
        <v>2447</v>
      </c>
      <c r="I512" s="1270" t="s">
        <v>569</v>
      </c>
      <c r="J512" s="1249" t="s">
        <v>2495</v>
      </c>
      <c r="K512" s="1271">
        <v>1</v>
      </c>
      <c r="L512" s="1272">
        <v>12</v>
      </c>
      <c r="M512" s="1266">
        <v>61360.80000000001</v>
      </c>
      <c r="N512" s="1267">
        <v>1</v>
      </c>
      <c r="O512" s="1268">
        <v>6</v>
      </c>
      <c r="P512" s="1266">
        <v>31044.9</v>
      </c>
    </row>
    <row r="513" spans="1:16" ht="48">
      <c r="A513" s="1274" t="s">
        <v>2420</v>
      </c>
      <c r="B513" s="1191" t="s">
        <v>1869</v>
      </c>
      <c r="C513" s="1259" t="s">
        <v>504</v>
      </c>
      <c r="D513" s="1181" t="s">
        <v>2626</v>
      </c>
      <c r="E513" s="1260">
        <v>2300</v>
      </c>
      <c r="F513" s="1269">
        <v>15356410</v>
      </c>
      <c r="G513" s="1191" t="s">
        <v>2625</v>
      </c>
      <c r="H513" s="1273" t="s">
        <v>2615</v>
      </c>
      <c r="I513" s="1270" t="s">
        <v>1664</v>
      </c>
      <c r="J513" s="1249" t="s">
        <v>2617</v>
      </c>
      <c r="K513" s="1271">
        <v>1</v>
      </c>
      <c r="L513" s="1272">
        <v>12</v>
      </c>
      <c r="M513" s="1266">
        <v>29560.800000000007</v>
      </c>
      <c r="N513" s="1267">
        <v>1</v>
      </c>
      <c r="O513" s="1268">
        <v>6</v>
      </c>
      <c r="P513" s="1266">
        <v>14844.9</v>
      </c>
    </row>
    <row r="514" spans="1:16" ht="24">
      <c r="A514" s="1274" t="s">
        <v>2420</v>
      </c>
      <c r="B514" s="1191" t="s">
        <v>1869</v>
      </c>
      <c r="C514" s="1259" t="s">
        <v>504</v>
      </c>
      <c r="D514" s="1181" t="s">
        <v>2624</v>
      </c>
      <c r="E514" s="1260">
        <v>2500</v>
      </c>
      <c r="F514" s="1269">
        <v>2830219</v>
      </c>
      <c r="G514" s="1191" t="s">
        <v>2623</v>
      </c>
      <c r="H514" s="1273" t="s">
        <v>1713</v>
      </c>
      <c r="I514" s="1270" t="s">
        <v>1664</v>
      </c>
      <c r="J514" s="1249" t="s">
        <v>1713</v>
      </c>
      <c r="K514" s="1271">
        <v>1</v>
      </c>
      <c r="L514" s="1272">
        <v>12</v>
      </c>
      <c r="M514" s="1266">
        <v>31960.800000000007</v>
      </c>
      <c r="N514" s="1267"/>
      <c r="O514" s="1268">
        <v>0</v>
      </c>
      <c r="P514" s="1266">
        <v>0</v>
      </c>
    </row>
    <row r="515" spans="1:16" ht="24">
      <c r="A515" s="1274" t="s">
        <v>2420</v>
      </c>
      <c r="B515" s="1191" t="s">
        <v>1869</v>
      </c>
      <c r="C515" s="1259" t="s">
        <v>504</v>
      </c>
      <c r="D515" s="1181" t="s">
        <v>2622</v>
      </c>
      <c r="E515" s="1260">
        <v>3900</v>
      </c>
      <c r="F515" s="1269">
        <v>2873621</v>
      </c>
      <c r="G515" s="1191" t="s">
        <v>2621</v>
      </c>
      <c r="H515" s="1273" t="s">
        <v>1695</v>
      </c>
      <c r="I515" s="1270" t="s">
        <v>569</v>
      </c>
      <c r="J515" s="1249" t="s">
        <v>1695</v>
      </c>
      <c r="K515" s="1271">
        <v>1</v>
      </c>
      <c r="L515" s="1272">
        <v>12</v>
      </c>
      <c r="M515" s="1266">
        <v>48784.80000000001</v>
      </c>
      <c r="N515" s="1267"/>
      <c r="O515" s="1268">
        <v>0</v>
      </c>
      <c r="P515" s="1266">
        <v>0</v>
      </c>
    </row>
    <row r="516" spans="1:16" ht="72">
      <c r="A516" s="1274" t="s">
        <v>2420</v>
      </c>
      <c r="B516" s="1191" t="s">
        <v>1869</v>
      </c>
      <c r="C516" s="1259" t="s">
        <v>504</v>
      </c>
      <c r="D516" s="1181" t="s">
        <v>2620</v>
      </c>
      <c r="E516" s="1260">
        <v>5000</v>
      </c>
      <c r="F516" s="1269">
        <v>10586908</v>
      </c>
      <c r="G516" s="1191" t="s">
        <v>2619</v>
      </c>
      <c r="H516" s="1273" t="s">
        <v>2447</v>
      </c>
      <c r="I516" s="1270" t="s">
        <v>569</v>
      </c>
      <c r="J516" s="1249" t="s">
        <v>2618</v>
      </c>
      <c r="K516" s="1271">
        <v>1</v>
      </c>
      <c r="L516" s="1272">
        <v>12</v>
      </c>
      <c r="M516" s="1266">
        <v>61360.80000000001</v>
      </c>
      <c r="N516" s="1267">
        <v>1</v>
      </c>
      <c r="O516" s="1268">
        <v>6</v>
      </c>
      <c r="P516" s="1266">
        <v>31044.9</v>
      </c>
    </row>
    <row r="517" spans="1:16" ht="24">
      <c r="A517" s="1274" t="s">
        <v>2420</v>
      </c>
      <c r="B517" s="1191" t="s">
        <v>1869</v>
      </c>
      <c r="C517" s="1259" t="s">
        <v>504</v>
      </c>
      <c r="D517" s="1181" t="s">
        <v>2617</v>
      </c>
      <c r="E517" s="1260">
        <v>2300</v>
      </c>
      <c r="F517" s="1269">
        <v>45441507</v>
      </c>
      <c r="G517" s="1191" t="s">
        <v>2616</v>
      </c>
      <c r="H517" s="1273" t="s">
        <v>2615</v>
      </c>
      <c r="I517" s="1270" t="s">
        <v>1664</v>
      </c>
      <c r="J517" s="1249" t="s">
        <v>2614</v>
      </c>
      <c r="K517" s="1271">
        <v>1</v>
      </c>
      <c r="L517" s="1272">
        <v>12</v>
      </c>
      <c r="M517" s="1266">
        <v>29560.800000000007</v>
      </c>
      <c r="N517" s="1267">
        <v>1</v>
      </c>
      <c r="O517" s="1268">
        <v>6</v>
      </c>
      <c r="P517" s="1266">
        <v>14844.9</v>
      </c>
    </row>
    <row r="518" spans="1:16" ht="24">
      <c r="A518" s="1274" t="s">
        <v>2420</v>
      </c>
      <c r="B518" s="1191" t="s">
        <v>1869</v>
      </c>
      <c r="C518" s="1259" t="s">
        <v>504</v>
      </c>
      <c r="D518" s="1181" t="s">
        <v>2613</v>
      </c>
      <c r="E518" s="1260">
        <v>3000</v>
      </c>
      <c r="F518" s="1269">
        <v>2869527</v>
      </c>
      <c r="G518" s="1191" t="s">
        <v>2612</v>
      </c>
      <c r="H518" s="1273" t="s">
        <v>2611</v>
      </c>
      <c r="I518" s="1270" t="s">
        <v>1664</v>
      </c>
      <c r="J518" s="1249" t="s">
        <v>2611</v>
      </c>
      <c r="K518" s="1271">
        <v>1</v>
      </c>
      <c r="L518" s="1272">
        <v>12</v>
      </c>
      <c r="M518" s="1266">
        <v>37960.80000000001</v>
      </c>
      <c r="N518" s="1267"/>
      <c r="O518" s="1268">
        <v>0</v>
      </c>
      <c r="P518" s="1266">
        <v>0</v>
      </c>
    </row>
    <row r="519" spans="1:16" ht="24">
      <c r="A519" s="1274" t="s">
        <v>2420</v>
      </c>
      <c r="B519" s="1191" t="s">
        <v>1869</v>
      </c>
      <c r="C519" s="1259" t="s">
        <v>504</v>
      </c>
      <c r="D519" s="1181" t="s">
        <v>2610</v>
      </c>
      <c r="E519" s="1260">
        <v>2600</v>
      </c>
      <c r="F519" s="1269">
        <v>2798408</v>
      </c>
      <c r="G519" s="1191" t="s">
        <v>2609</v>
      </c>
      <c r="H519" s="1273" t="s">
        <v>1695</v>
      </c>
      <c r="I519" s="1270" t="s">
        <v>569</v>
      </c>
      <c r="J519" s="1249" t="s">
        <v>1695</v>
      </c>
      <c r="K519" s="1271">
        <v>1</v>
      </c>
      <c r="L519" s="1272">
        <v>9</v>
      </c>
      <c r="M519" s="1266">
        <v>22350.9</v>
      </c>
      <c r="N519" s="1267"/>
      <c r="O519" s="1268">
        <v>0</v>
      </c>
      <c r="P519" s="1266">
        <v>0</v>
      </c>
    </row>
    <row r="520" spans="1:16" ht="24">
      <c r="A520" s="1274" t="s">
        <v>2420</v>
      </c>
      <c r="B520" s="1191" t="s">
        <v>1869</v>
      </c>
      <c r="C520" s="1259" t="s">
        <v>504</v>
      </c>
      <c r="D520" s="1181" t="s">
        <v>2608</v>
      </c>
      <c r="E520" s="1260">
        <v>2001</v>
      </c>
      <c r="F520" s="1269">
        <v>46030258</v>
      </c>
      <c r="G520" s="1191" t="s">
        <v>2607</v>
      </c>
      <c r="H520" s="1273" t="s">
        <v>1695</v>
      </c>
      <c r="I520" s="1270" t="s">
        <v>569</v>
      </c>
      <c r="J520" s="1249" t="s">
        <v>1695</v>
      </c>
      <c r="K520" s="1271">
        <v>1</v>
      </c>
      <c r="L520" s="1272">
        <v>12</v>
      </c>
      <c r="M520" s="1266">
        <v>25972.800000000007</v>
      </c>
      <c r="N520" s="1267">
        <v>1</v>
      </c>
      <c r="O520" s="1268">
        <v>6</v>
      </c>
      <c r="P520" s="1266">
        <v>13050.9</v>
      </c>
    </row>
    <row r="521" spans="1:16" ht="36">
      <c r="A521" s="1274" t="s">
        <v>2420</v>
      </c>
      <c r="B521" s="1191" t="s">
        <v>1869</v>
      </c>
      <c r="C521" s="1259" t="s">
        <v>504</v>
      </c>
      <c r="D521" s="1181" t="s">
        <v>2606</v>
      </c>
      <c r="E521" s="1260">
        <v>2001</v>
      </c>
      <c r="F521" s="1269">
        <v>40459901</v>
      </c>
      <c r="G521" s="1191" t="s">
        <v>2605</v>
      </c>
      <c r="H521" s="1273" t="s">
        <v>2604</v>
      </c>
      <c r="I521" s="1270" t="s">
        <v>569</v>
      </c>
      <c r="J521" s="1249" t="s">
        <v>2603</v>
      </c>
      <c r="K521" s="1271">
        <v>1</v>
      </c>
      <c r="L521" s="1272">
        <v>12</v>
      </c>
      <c r="M521" s="1266">
        <v>25996.800000000007</v>
      </c>
      <c r="N521" s="1267">
        <v>1</v>
      </c>
      <c r="O521" s="1268">
        <v>6</v>
      </c>
      <c r="P521" s="1266">
        <v>13050.9</v>
      </c>
    </row>
    <row r="522" spans="1:16" ht="48">
      <c r="A522" s="1274" t="s">
        <v>2420</v>
      </c>
      <c r="B522" s="1191" t="s">
        <v>1869</v>
      </c>
      <c r="C522" s="1259" t="s">
        <v>504</v>
      </c>
      <c r="D522" s="1181" t="s">
        <v>2602</v>
      </c>
      <c r="E522" s="1260">
        <v>5500</v>
      </c>
      <c r="F522" s="1269">
        <v>6451655</v>
      </c>
      <c r="G522" s="1191" t="s">
        <v>2601</v>
      </c>
      <c r="H522" s="1273" t="s">
        <v>659</v>
      </c>
      <c r="I522" s="1270" t="s">
        <v>569</v>
      </c>
      <c r="J522" s="1249" t="s">
        <v>2600</v>
      </c>
      <c r="K522" s="1271">
        <v>1</v>
      </c>
      <c r="L522" s="1272">
        <v>12</v>
      </c>
      <c r="M522" s="1266">
        <v>67984.800000000003</v>
      </c>
      <c r="N522" s="1267"/>
      <c r="O522" s="1268">
        <v>0</v>
      </c>
      <c r="P522" s="1266">
        <v>0</v>
      </c>
    </row>
    <row r="523" spans="1:16" ht="24">
      <c r="A523" s="1274" t="s">
        <v>2420</v>
      </c>
      <c r="B523" s="1191" t="s">
        <v>1869</v>
      </c>
      <c r="C523" s="1259" t="s">
        <v>504</v>
      </c>
      <c r="D523" s="1181" t="s">
        <v>2599</v>
      </c>
      <c r="E523" s="1260">
        <v>1200</v>
      </c>
      <c r="F523" s="1269">
        <v>40446265</v>
      </c>
      <c r="G523" s="1191" t="s">
        <v>2598</v>
      </c>
      <c r="H523" s="1273" t="s">
        <v>1592</v>
      </c>
      <c r="I523" s="1270" t="s">
        <v>618</v>
      </c>
      <c r="J523" s="1249" t="s">
        <v>619</v>
      </c>
      <c r="K523" s="1271">
        <v>1</v>
      </c>
      <c r="L523" s="1272">
        <v>12</v>
      </c>
      <c r="M523" s="1266">
        <v>16296</v>
      </c>
      <c r="N523" s="1267">
        <v>1</v>
      </c>
      <c r="O523" s="1268">
        <v>6</v>
      </c>
      <c r="P523" s="1266">
        <v>7848</v>
      </c>
    </row>
    <row r="524" spans="1:16" ht="24">
      <c r="A524" s="1274" t="s">
        <v>2420</v>
      </c>
      <c r="B524" s="1191" t="s">
        <v>1869</v>
      </c>
      <c r="C524" s="1259" t="s">
        <v>504</v>
      </c>
      <c r="D524" s="1181" t="s">
        <v>2597</v>
      </c>
      <c r="E524" s="1260">
        <v>2001</v>
      </c>
      <c r="F524" s="1269">
        <v>46768373</v>
      </c>
      <c r="G524" s="1191" t="s">
        <v>2596</v>
      </c>
      <c r="H524" s="1273" t="s">
        <v>2595</v>
      </c>
      <c r="I524" s="1270" t="s">
        <v>1664</v>
      </c>
      <c r="J524" s="1249" t="s">
        <v>2595</v>
      </c>
      <c r="K524" s="1271">
        <v>1</v>
      </c>
      <c r="L524" s="1272">
        <v>1</v>
      </c>
      <c r="M524" s="1266">
        <v>2114.4</v>
      </c>
      <c r="N524" s="1267"/>
      <c r="O524" s="1268">
        <v>0</v>
      </c>
      <c r="P524" s="1266">
        <v>0</v>
      </c>
    </row>
    <row r="525" spans="1:16" ht="24">
      <c r="A525" s="1274" t="s">
        <v>2420</v>
      </c>
      <c r="B525" s="1191" t="s">
        <v>1869</v>
      </c>
      <c r="C525" s="1259" t="s">
        <v>504</v>
      </c>
      <c r="D525" s="1181" t="s">
        <v>2594</v>
      </c>
      <c r="E525" s="1260">
        <v>2100</v>
      </c>
      <c r="F525" s="1269">
        <v>43654425</v>
      </c>
      <c r="G525" s="1191" t="s">
        <v>2593</v>
      </c>
      <c r="H525" s="1273" t="s">
        <v>994</v>
      </c>
      <c r="I525" s="1270" t="s">
        <v>569</v>
      </c>
      <c r="J525" s="1249" t="s">
        <v>1210</v>
      </c>
      <c r="K525" s="1271">
        <v>1</v>
      </c>
      <c r="L525" s="1272">
        <v>12</v>
      </c>
      <c r="M525" s="1266">
        <v>27160.800000000007</v>
      </c>
      <c r="N525" s="1267">
        <v>1</v>
      </c>
      <c r="O525" s="1268">
        <v>6</v>
      </c>
      <c r="P525" s="1266">
        <v>13644.9</v>
      </c>
    </row>
    <row r="526" spans="1:16" ht="24">
      <c r="A526" s="1274" t="s">
        <v>2420</v>
      </c>
      <c r="B526" s="1191" t="s">
        <v>1869</v>
      </c>
      <c r="C526" s="1259" t="s">
        <v>504</v>
      </c>
      <c r="D526" s="1181" t="s">
        <v>2592</v>
      </c>
      <c r="E526" s="1260">
        <v>6600</v>
      </c>
      <c r="F526" s="1269">
        <v>42780332</v>
      </c>
      <c r="G526" s="1191" t="s">
        <v>2591</v>
      </c>
      <c r="H526" s="1273" t="s">
        <v>2447</v>
      </c>
      <c r="I526" s="1270" t="s">
        <v>569</v>
      </c>
      <c r="J526" s="1249" t="s">
        <v>2447</v>
      </c>
      <c r="K526" s="1271">
        <v>1</v>
      </c>
      <c r="L526" s="1272">
        <v>12</v>
      </c>
      <c r="M526" s="1266">
        <v>80560.799999999988</v>
      </c>
      <c r="N526" s="1267">
        <v>1</v>
      </c>
      <c r="O526" s="1268">
        <v>6</v>
      </c>
      <c r="P526" s="1266">
        <v>40644.9</v>
      </c>
    </row>
    <row r="527" spans="1:16" ht="36">
      <c r="A527" s="1274" t="s">
        <v>2420</v>
      </c>
      <c r="B527" s="1191" t="s">
        <v>1869</v>
      </c>
      <c r="C527" s="1259" t="s">
        <v>504</v>
      </c>
      <c r="D527" s="1181" t="s">
        <v>1947</v>
      </c>
      <c r="E527" s="1260">
        <v>3500</v>
      </c>
      <c r="F527" s="1269">
        <v>7640104</v>
      </c>
      <c r="G527" s="1191" t="s">
        <v>2590</v>
      </c>
      <c r="H527" s="1273" t="s">
        <v>1695</v>
      </c>
      <c r="I527" s="1270" t="s">
        <v>569</v>
      </c>
      <c r="J527" s="1249" t="s">
        <v>2589</v>
      </c>
      <c r="K527" s="1271">
        <v>1</v>
      </c>
      <c r="L527" s="1272">
        <v>12</v>
      </c>
      <c r="M527" s="1266">
        <v>43960.80000000001</v>
      </c>
      <c r="N527" s="1267">
        <v>1</v>
      </c>
      <c r="O527" s="1268">
        <v>6</v>
      </c>
      <c r="P527" s="1266">
        <v>22044.9</v>
      </c>
    </row>
    <row r="528" spans="1:16" ht="48">
      <c r="A528" s="1274" t="s">
        <v>2420</v>
      </c>
      <c r="B528" s="1191" t="s">
        <v>1869</v>
      </c>
      <c r="C528" s="1259" t="s">
        <v>504</v>
      </c>
      <c r="D528" s="1181" t="s">
        <v>2588</v>
      </c>
      <c r="E528" s="1260">
        <v>2001</v>
      </c>
      <c r="F528" s="1269">
        <v>70865443</v>
      </c>
      <c r="G528" s="1191" t="s">
        <v>2587</v>
      </c>
      <c r="H528" s="1273" t="s">
        <v>1672</v>
      </c>
      <c r="I528" s="1270" t="s">
        <v>1664</v>
      </c>
      <c r="J528" s="1249" t="s">
        <v>2586</v>
      </c>
      <c r="K528" s="1271">
        <v>1</v>
      </c>
      <c r="L528" s="1272">
        <v>12</v>
      </c>
      <c r="M528" s="1266">
        <v>25972.800000000007</v>
      </c>
      <c r="N528" s="1267">
        <v>1</v>
      </c>
      <c r="O528" s="1268">
        <v>6</v>
      </c>
      <c r="P528" s="1266">
        <v>13050.9</v>
      </c>
    </row>
    <row r="529" spans="1:16" ht="96">
      <c r="A529" s="1274" t="s">
        <v>2420</v>
      </c>
      <c r="B529" s="1191" t="s">
        <v>1869</v>
      </c>
      <c r="C529" s="1259" t="s">
        <v>504</v>
      </c>
      <c r="D529" s="1181" t="s">
        <v>2434</v>
      </c>
      <c r="E529" s="1260">
        <v>2200</v>
      </c>
      <c r="F529" s="1269" t="s">
        <v>2585</v>
      </c>
      <c r="G529" s="1191" t="s">
        <v>2432</v>
      </c>
      <c r="H529" s="1273" t="s">
        <v>2584</v>
      </c>
      <c r="I529" s="1270" t="s">
        <v>1664</v>
      </c>
      <c r="J529" s="1249" t="s">
        <v>2583</v>
      </c>
      <c r="K529" s="1271">
        <v>1</v>
      </c>
      <c r="L529" s="1272">
        <v>12</v>
      </c>
      <c r="M529" s="1266">
        <v>27760.800000000007</v>
      </c>
      <c r="N529" s="1267">
        <v>1</v>
      </c>
      <c r="O529" s="1268">
        <v>6</v>
      </c>
      <c r="P529" s="1266">
        <v>14244.9</v>
      </c>
    </row>
    <row r="530" spans="1:16" ht="24">
      <c r="A530" s="1274" t="s">
        <v>2420</v>
      </c>
      <c r="B530" s="1191" t="s">
        <v>1869</v>
      </c>
      <c r="C530" s="1259" t="s">
        <v>504</v>
      </c>
      <c r="D530" s="1181" t="s">
        <v>2431</v>
      </c>
      <c r="E530" s="1260">
        <v>2001</v>
      </c>
      <c r="F530" s="1269">
        <v>45943061</v>
      </c>
      <c r="G530" s="1191" t="s">
        <v>2582</v>
      </c>
      <c r="H530" s="1273" t="s">
        <v>1695</v>
      </c>
      <c r="I530" s="1270" t="s">
        <v>569</v>
      </c>
      <c r="J530" s="1249" t="s">
        <v>1695</v>
      </c>
      <c r="K530" s="1271">
        <v>1</v>
      </c>
      <c r="L530" s="1272">
        <v>1</v>
      </c>
      <c r="M530" s="1266">
        <v>2114.4</v>
      </c>
      <c r="N530" s="1267"/>
      <c r="O530" s="1268">
        <v>0</v>
      </c>
      <c r="P530" s="1266">
        <v>0</v>
      </c>
    </row>
    <row r="531" spans="1:16" ht="84">
      <c r="A531" s="1274" t="s">
        <v>2420</v>
      </c>
      <c r="B531" s="1191" t="s">
        <v>1869</v>
      </c>
      <c r="C531" s="1259" t="s">
        <v>504</v>
      </c>
      <c r="D531" s="1181" t="s">
        <v>2581</v>
      </c>
      <c r="E531" s="1260">
        <v>2400</v>
      </c>
      <c r="F531" s="1269">
        <v>18133022</v>
      </c>
      <c r="G531" s="1191" t="s">
        <v>2580</v>
      </c>
      <c r="H531" s="1273" t="s">
        <v>1695</v>
      </c>
      <c r="I531" s="1270" t="s">
        <v>569</v>
      </c>
      <c r="J531" s="1249" t="s">
        <v>2579</v>
      </c>
      <c r="K531" s="1271">
        <v>1</v>
      </c>
      <c r="L531" s="1272">
        <v>12</v>
      </c>
      <c r="M531" s="1266">
        <v>30760.800000000007</v>
      </c>
      <c r="N531" s="1267">
        <v>1</v>
      </c>
      <c r="O531" s="1268">
        <v>6</v>
      </c>
      <c r="P531" s="1266">
        <v>15444.9</v>
      </c>
    </row>
    <row r="532" spans="1:16" ht="48">
      <c r="A532" s="1274" t="s">
        <v>2420</v>
      </c>
      <c r="B532" s="1191" t="s">
        <v>1869</v>
      </c>
      <c r="C532" s="1259" t="s">
        <v>504</v>
      </c>
      <c r="D532" s="1181" t="s">
        <v>2578</v>
      </c>
      <c r="E532" s="1260">
        <v>2200</v>
      </c>
      <c r="F532" s="1269">
        <v>43339413</v>
      </c>
      <c r="G532" s="1191" t="s">
        <v>2577</v>
      </c>
      <c r="H532" s="1273" t="s">
        <v>2576</v>
      </c>
      <c r="I532" s="1270" t="s">
        <v>1664</v>
      </c>
      <c r="J532" s="1249" t="s">
        <v>2576</v>
      </c>
      <c r="K532" s="1271">
        <v>1</v>
      </c>
      <c r="L532" s="1272">
        <v>12</v>
      </c>
      <c r="M532" s="1266">
        <v>27760.800000000007</v>
      </c>
      <c r="N532" s="1267">
        <v>1</v>
      </c>
      <c r="O532" s="1268">
        <v>6</v>
      </c>
      <c r="P532" s="1266">
        <v>14244.9</v>
      </c>
    </row>
    <row r="533" spans="1:16">
      <c r="A533" s="1274" t="s">
        <v>2420</v>
      </c>
      <c r="B533" s="1191" t="s">
        <v>1869</v>
      </c>
      <c r="C533" s="1259" t="s">
        <v>504</v>
      </c>
      <c r="D533" s="1181" t="s">
        <v>2575</v>
      </c>
      <c r="E533" s="1260">
        <v>4000</v>
      </c>
      <c r="F533" s="1269">
        <v>43375815</v>
      </c>
      <c r="G533" s="1191" t="s">
        <v>2574</v>
      </c>
      <c r="H533" s="1273" t="s">
        <v>511</v>
      </c>
      <c r="I533" s="1270" t="s">
        <v>569</v>
      </c>
      <c r="J533" s="1249" t="s">
        <v>508</v>
      </c>
      <c r="K533" s="1271">
        <v>1</v>
      </c>
      <c r="L533" s="1272">
        <v>12</v>
      </c>
      <c r="M533" s="1266">
        <v>49360.80000000001</v>
      </c>
      <c r="N533" s="1267">
        <v>1</v>
      </c>
      <c r="O533" s="1268">
        <v>6</v>
      </c>
      <c r="P533" s="1266">
        <v>25044.9</v>
      </c>
    </row>
    <row r="534" spans="1:16" ht="24">
      <c r="A534" s="1274" t="s">
        <v>2420</v>
      </c>
      <c r="B534" s="1191" t="s">
        <v>1869</v>
      </c>
      <c r="C534" s="1259" t="s">
        <v>504</v>
      </c>
      <c r="D534" s="1181" t="s">
        <v>2573</v>
      </c>
      <c r="E534" s="1260">
        <v>2001</v>
      </c>
      <c r="F534" s="1269">
        <v>44732646</v>
      </c>
      <c r="G534" s="1191" t="s">
        <v>2572</v>
      </c>
      <c r="H534" s="1273" t="s">
        <v>1695</v>
      </c>
      <c r="I534" s="1270" t="s">
        <v>569</v>
      </c>
      <c r="J534" s="1249" t="s">
        <v>1695</v>
      </c>
      <c r="K534" s="1271">
        <v>1</v>
      </c>
      <c r="L534" s="1272">
        <v>12</v>
      </c>
      <c r="M534" s="1266">
        <v>25972.800000000007</v>
      </c>
      <c r="N534" s="1267">
        <v>1</v>
      </c>
      <c r="O534" s="1268">
        <v>6</v>
      </c>
      <c r="P534" s="1266">
        <v>22446.9</v>
      </c>
    </row>
    <row r="535" spans="1:16" ht="72">
      <c r="A535" s="1274" t="s">
        <v>2420</v>
      </c>
      <c r="B535" s="1191" t="s">
        <v>1869</v>
      </c>
      <c r="C535" s="1259" t="s">
        <v>504</v>
      </c>
      <c r="D535" s="1181" t="s">
        <v>2571</v>
      </c>
      <c r="E535" s="1260">
        <v>1700</v>
      </c>
      <c r="F535" s="1269">
        <v>25759843</v>
      </c>
      <c r="G535" s="1191" t="s">
        <v>2570</v>
      </c>
      <c r="H535" s="1273" t="s">
        <v>2569</v>
      </c>
      <c r="I535" s="1270" t="s">
        <v>1664</v>
      </c>
      <c r="J535" s="1249" t="s">
        <v>2569</v>
      </c>
      <c r="K535" s="1271">
        <v>1</v>
      </c>
      <c r="L535" s="1272">
        <v>12</v>
      </c>
      <c r="M535" s="1266">
        <v>22360.800000000003</v>
      </c>
      <c r="N535" s="1267">
        <v>1</v>
      </c>
      <c r="O535" s="1268">
        <v>6</v>
      </c>
      <c r="P535" s="1266">
        <v>11118</v>
      </c>
    </row>
    <row r="536" spans="1:16">
      <c r="A536" s="1274" t="s">
        <v>2420</v>
      </c>
      <c r="B536" s="1191" t="s">
        <v>1869</v>
      </c>
      <c r="C536" s="1259" t="s">
        <v>504</v>
      </c>
      <c r="D536" s="1181" t="s">
        <v>2568</v>
      </c>
      <c r="E536" s="1260">
        <v>1301</v>
      </c>
      <c r="F536" s="1269">
        <v>40053878</v>
      </c>
      <c r="G536" s="1191" t="s">
        <v>2567</v>
      </c>
      <c r="H536" s="1273" t="s">
        <v>1888</v>
      </c>
      <c r="I536" s="1270" t="s">
        <v>1664</v>
      </c>
      <c r="J536" s="1249" t="s">
        <v>1888</v>
      </c>
      <c r="K536" s="1271">
        <v>1</v>
      </c>
      <c r="L536" s="1272">
        <v>12</v>
      </c>
      <c r="M536" s="1266">
        <v>17572.8</v>
      </c>
      <c r="N536" s="1267"/>
      <c r="O536" s="1268">
        <v>0</v>
      </c>
      <c r="P536" s="1266">
        <v>0</v>
      </c>
    </row>
    <row r="537" spans="1:16" ht="24">
      <c r="A537" s="1274" t="s">
        <v>2420</v>
      </c>
      <c r="B537" s="1191" t="s">
        <v>1869</v>
      </c>
      <c r="C537" s="1259" t="s">
        <v>504</v>
      </c>
      <c r="D537" s="1181" t="s">
        <v>2566</v>
      </c>
      <c r="E537" s="1260">
        <v>5500</v>
      </c>
      <c r="F537" s="1269">
        <v>43311143</v>
      </c>
      <c r="G537" s="1191" t="s">
        <v>2565</v>
      </c>
      <c r="H537" s="1273" t="s">
        <v>2447</v>
      </c>
      <c r="I537" s="1270" t="s">
        <v>569</v>
      </c>
      <c r="J537" s="1249" t="s">
        <v>2489</v>
      </c>
      <c r="K537" s="1271">
        <v>1</v>
      </c>
      <c r="L537" s="1272">
        <v>12</v>
      </c>
      <c r="M537" s="1266">
        <v>67360.800000000003</v>
      </c>
      <c r="N537" s="1267">
        <v>1</v>
      </c>
      <c r="O537" s="1268">
        <v>6</v>
      </c>
      <c r="P537" s="1266">
        <v>34044.9</v>
      </c>
    </row>
    <row r="538" spans="1:16" ht="24">
      <c r="A538" s="1274" t="s">
        <v>2420</v>
      </c>
      <c r="B538" s="1191" t="s">
        <v>1869</v>
      </c>
      <c r="C538" s="1259" t="s">
        <v>504</v>
      </c>
      <c r="D538" s="1181" t="s">
        <v>2564</v>
      </c>
      <c r="E538" s="1260">
        <v>1200</v>
      </c>
      <c r="F538" s="1269">
        <v>43436839</v>
      </c>
      <c r="G538" s="1191" t="s">
        <v>2563</v>
      </c>
      <c r="H538" s="1273" t="s">
        <v>1998</v>
      </c>
      <c r="I538" s="1270" t="s">
        <v>618</v>
      </c>
      <c r="J538" s="1249" t="s">
        <v>619</v>
      </c>
      <c r="K538" s="1271">
        <v>1</v>
      </c>
      <c r="L538" s="1272">
        <v>12</v>
      </c>
      <c r="M538" s="1266">
        <v>16296</v>
      </c>
      <c r="N538" s="1267">
        <v>1</v>
      </c>
      <c r="O538" s="1268">
        <v>6</v>
      </c>
      <c r="P538" s="1266">
        <v>7848</v>
      </c>
    </row>
    <row r="539" spans="1:16" ht="24">
      <c r="A539" s="1274" t="s">
        <v>2420</v>
      </c>
      <c r="B539" s="1191" t="s">
        <v>1869</v>
      </c>
      <c r="C539" s="1259" t="s">
        <v>504</v>
      </c>
      <c r="D539" s="1181" t="s">
        <v>2562</v>
      </c>
      <c r="E539" s="1260">
        <v>2001</v>
      </c>
      <c r="F539" s="1269">
        <v>44668934</v>
      </c>
      <c r="G539" s="1191" t="s">
        <v>2561</v>
      </c>
      <c r="H539" s="1273" t="s">
        <v>2560</v>
      </c>
      <c r="I539" s="1270" t="s">
        <v>569</v>
      </c>
      <c r="J539" s="1249" t="s">
        <v>2560</v>
      </c>
      <c r="K539" s="1271">
        <v>1</v>
      </c>
      <c r="L539" s="1272">
        <v>12</v>
      </c>
      <c r="M539" s="1266">
        <v>25972.800000000007</v>
      </c>
      <c r="N539" s="1267">
        <v>1</v>
      </c>
      <c r="O539" s="1268">
        <v>6</v>
      </c>
      <c r="P539" s="1266">
        <v>13050.9</v>
      </c>
    </row>
    <row r="540" spans="1:16">
      <c r="A540" s="1274" t="s">
        <v>2420</v>
      </c>
      <c r="B540" s="1191" t="s">
        <v>1869</v>
      </c>
      <c r="C540" s="1259" t="s">
        <v>504</v>
      </c>
      <c r="D540" s="1181" t="s">
        <v>2559</v>
      </c>
      <c r="E540" s="1260">
        <v>2000</v>
      </c>
      <c r="F540" s="1269" t="s">
        <v>2558</v>
      </c>
      <c r="G540" s="1191" t="s">
        <v>2557</v>
      </c>
      <c r="H540" s="1273" t="s">
        <v>1695</v>
      </c>
      <c r="I540" s="1270" t="s">
        <v>569</v>
      </c>
      <c r="J540" s="1249" t="s">
        <v>1695</v>
      </c>
      <c r="K540" s="1271">
        <v>1</v>
      </c>
      <c r="L540" s="1272">
        <v>8</v>
      </c>
      <c r="M540" s="1266">
        <v>17507.2</v>
      </c>
      <c r="N540" s="1267">
        <v>1</v>
      </c>
      <c r="O540" s="1268">
        <v>6</v>
      </c>
      <c r="P540" s="1266">
        <v>13044.9</v>
      </c>
    </row>
    <row r="541" spans="1:16" ht="24">
      <c r="A541" s="1274" t="s">
        <v>2420</v>
      </c>
      <c r="B541" s="1191" t="s">
        <v>1869</v>
      </c>
      <c r="C541" s="1259" t="s">
        <v>504</v>
      </c>
      <c r="D541" s="1181" t="s">
        <v>604</v>
      </c>
      <c r="E541" s="1260">
        <v>2000</v>
      </c>
      <c r="F541" s="1269" t="s">
        <v>2556</v>
      </c>
      <c r="G541" s="1191" t="s">
        <v>2555</v>
      </c>
      <c r="H541" s="1273" t="s">
        <v>604</v>
      </c>
      <c r="I541" s="1270" t="s">
        <v>569</v>
      </c>
      <c r="J541" s="1249" t="s">
        <v>604</v>
      </c>
      <c r="K541" s="1271">
        <v>1</v>
      </c>
      <c r="L541" s="1272">
        <v>8</v>
      </c>
      <c r="M541" s="1266">
        <v>17507.2</v>
      </c>
      <c r="N541" s="1267">
        <v>1</v>
      </c>
      <c r="O541" s="1268">
        <v>6</v>
      </c>
      <c r="P541" s="1266">
        <v>13044.9</v>
      </c>
    </row>
    <row r="542" spans="1:16" ht="24">
      <c r="A542" s="1274" t="s">
        <v>2420</v>
      </c>
      <c r="B542" s="1191" t="s">
        <v>1869</v>
      </c>
      <c r="C542" s="1259" t="s">
        <v>504</v>
      </c>
      <c r="D542" s="1181" t="s">
        <v>2554</v>
      </c>
      <c r="E542" s="1260">
        <v>1400</v>
      </c>
      <c r="F542" s="1269" t="s">
        <v>2553</v>
      </c>
      <c r="G542" s="1191" t="s">
        <v>2552</v>
      </c>
      <c r="H542" s="1273" t="s">
        <v>1592</v>
      </c>
      <c r="I542" s="1270" t="s">
        <v>618</v>
      </c>
      <c r="J542" s="1249" t="s">
        <v>619</v>
      </c>
      <c r="K542" s="1271">
        <v>1</v>
      </c>
      <c r="L542" s="1272">
        <v>8</v>
      </c>
      <c r="M542" s="1266">
        <v>12707.199999999999</v>
      </c>
      <c r="N542" s="1267">
        <v>1</v>
      </c>
      <c r="O542" s="1268">
        <v>6</v>
      </c>
      <c r="P542" s="1266">
        <v>9156</v>
      </c>
    </row>
    <row r="543" spans="1:16" ht="24">
      <c r="A543" s="1274" t="s">
        <v>2420</v>
      </c>
      <c r="B543" s="1191" t="s">
        <v>1869</v>
      </c>
      <c r="C543" s="1259" t="s">
        <v>504</v>
      </c>
      <c r="D543" s="1181" t="s">
        <v>2551</v>
      </c>
      <c r="E543" s="1260">
        <v>3500</v>
      </c>
      <c r="F543" s="1269" t="s">
        <v>2550</v>
      </c>
      <c r="G543" s="1191" t="s">
        <v>2549</v>
      </c>
      <c r="H543" s="1273" t="s">
        <v>1695</v>
      </c>
      <c r="I543" s="1270" t="s">
        <v>569</v>
      </c>
      <c r="J543" s="1249" t="s">
        <v>1695</v>
      </c>
      <c r="K543" s="1271">
        <v>1</v>
      </c>
      <c r="L543" s="1272">
        <v>8</v>
      </c>
      <c r="M543" s="1266">
        <v>29531.200000000004</v>
      </c>
      <c r="N543" s="1267">
        <v>1</v>
      </c>
      <c r="O543" s="1268">
        <v>6</v>
      </c>
      <c r="P543" s="1266">
        <v>22044.9</v>
      </c>
    </row>
    <row r="544" spans="1:16" ht="24">
      <c r="A544" s="1274" t="s">
        <v>2420</v>
      </c>
      <c r="B544" s="1191" t="s">
        <v>1869</v>
      </c>
      <c r="C544" s="1259" t="s">
        <v>504</v>
      </c>
      <c r="D544" s="1181" t="s">
        <v>2548</v>
      </c>
      <c r="E544" s="1260">
        <v>2001</v>
      </c>
      <c r="F544" s="1269">
        <v>41227516</v>
      </c>
      <c r="G544" s="1191" t="s">
        <v>2547</v>
      </c>
      <c r="H544" s="1273" t="s">
        <v>1695</v>
      </c>
      <c r="I544" s="1270" t="s">
        <v>569</v>
      </c>
      <c r="J544" s="1249" t="s">
        <v>1695</v>
      </c>
      <c r="K544" s="1271">
        <v>1</v>
      </c>
      <c r="L544" s="1272">
        <v>1</v>
      </c>
      <c r="M544" s="1266">
        <v>1614.15</v>
      </c>
      <c r="N544" s="1267"/>
      <c r="O544" s="1268">
        <v>0</v>
      </c>
      <c r="P544" s="1266">
        <v>0</v>
      </c>
    </row>
    <row r="545" spans="1:16" ht="48">
      <c r="A545" s="1274" t="s">
        <v>2420</v>
      </c>
      <c r="B545" s="1191" t="s">
        <v>1869</v>
      </c>
      <c r="C545" s="1259" t="s">
        <v>504</v>
      </c>
      <c r="D545" s="1181" t="s">
        <v>2546</v>
      </c>
      <c r="E545" s="1260">
        <v>2001</v>
      </c>
      <c r="F545" s="1269">
        <v>43271949</v>
      </c>
      <c r="G545" s="1191" t="s">
        <v>2545</v>
      </c>
      <c r="H545" s="1273" t="s">
        <v>2544</v>
      </c>
      <c r="I545" s="1270" t="s">
        <v>1664</v>
      </c>
      <c r="J545" s="1249" t="s">
        <v>2543</v>
      </c>
      <c r="K545" s="1271">
        <v>1</v>
      </c>
      <c r="L545" s="1272">
        <v>12</v>
      </c>
      <c r="M545" s="1266">
        <v>25372.800000000007</v>
      </c>
      <c r="N545" s="1267">
        <v>1</v>
      </c>
      <c r="O545" s="1268">
        <v>6</v>
      </c>
      <c r="P545" s="1266">
        <v>13050.9</v>
      </c>
    </row>
    <row r="546" spans="1:16">
      <c r="A546" s="1274" t="s">
        <v>2420</v>
      </c>
      <c r="B546" s="1191" t="s">
        <v>1869</v>
      </c>
      <c r="C546" s="1259" t="s">
        <v>504</v>
      </c>
      <c r="D546" s="1181" t="s">
        <v>2542</v>
      </c>
      <c r="E546" s="1260">
        <v>2700</v>
      </c>
      <c r="F546" s="1269">
        <v>43379792</v>
      </c>
      <c r="G546" s="1191" t="s">
        <v>2541</v>
      </c>
      <c r="H546" s="1273" t="s">
        <v>503</v>
      </c>
      <c r="I546" s="1270" t="s">
        <v>1664</v>
      </c>
      <c r="J546" s="1249" t="s">
        <v>500</v>
      </c>
      <c r="K546" s="1271">
        <v>1</v>
      </c>
      <c r="L546" s="1272">
        <v>12</v>
      </c>
      <c r="M546" s="1266">
        <v>34360.80000000001</v>
      </c>
      <c r="N546" s="1267">
        <v>1</v>
      </c>
      <c r="O546" s="1268">
        <v>6</v>
      </c>
      <c r="P546" s="1266">
        <v>17244.900000000001</v>
      </c>
    </row>
    <row r="547" spans="1:16" ht="24">
      <c r="A547" s="1274" t="s">
        <v>2420</v>
      </c>
      <c r="B547" s="1191" t="s">
        <v>1869</v>
      </c>
      <c r="C547" s="1259" t="s">
        <v>504</v>
      </c>
      <c r="D547" s="1181" t="s">
        <v>2540</v>
      </c>
      <c r="E547" s="1260">
        <v>5500</v>
      </c>
      <c r="F547" s="1269">
        <v>42761198</v>
      </c>
      <c r="G547" s="1191" t="s">
        <v>2539</v>
      </c>
      <c r="H547" s="1273" t="s">
        <v>2447</v>
      </c>
      <c r="I547" s="1270" t="s">
        <v>569</v>
      </c>
      <c r="J547" s="1249" t="s">
        <v>2489</v>
      </c>
      <c r="K547" s="1271">
        <v>1</v>
      </c>
      <c r="L547" s="1272">
        <v>12</v>
      </c>
      <c r="M547" s="1266">
        <v>66810.8</v>
      </c>
      <c r="N547" s="1267">
        <v>1</v>
      </c>
      <c r="O547" s="1268">
        <v>6</v>
      </c>
      <c r="P547" s="1266">
        <v>34044.9</v>
      </c>
    </row>
    <row r="548" spans="1:16">
      <c r="A548" s="1274" t="s">
        <v>2420</v>
      </c>
      <c r="B548" s="1191" t="s">
        <v>1869</v>
      </c>
      <c r="C548" s="1259" t="s">
        <v>504</v>
      </c>
      <c r="D548" s="1181" t="s">
        <v>2538</v>
      </c>
      <c r="E548" s="1260">
        <v>1100</v>
      </c>
      <c r="F548" s="1269">
        <v>40367816</v>
      </c>
      <c r="G548" s="1191" t="s">
        <v>2537</v>
      </c>
      <c r="H548" s="1273" t="s">
        <v>1592</v>
      </c>
      <c r="I548" s="1270" t="s">
        <v>618</v>
      </c>
      <c r="J548" s="1249" t="s">
        <v>619</v>
      </c>
      <c r="K548" s="1271">
        <v>1</v>
      </c>
      <c r="L548" s="1272">
        <v>12</v>
      </c>
      <c r="M548" s="1266">
        <v>14988</v>
      </c>
      <c r="N548" s="1267"/>
      <c r="O548" s="1268">
        <v>0</v>
      </c>
      <c r="P548" s="1266">
        <v>0</v>
      </c>
    </row>
    <row r="549" spans="1:16" ht="24">
      <c r="A549" s="1274" t="s">
        <v>2420</v>
      </c>
      <c r="B549" s="1191" t="s">
        <v>1869</v>
      </c>
      <c r="C549" s="1259" t="s">
        <v>504</v>
      </c>
      <c r="D549" s="1181" t="s">
        <v>2536</v>
      </c>
      <c r="E549" s="1260">
        <v>3000</v>
      </c>
      <c r="F549" s="1269" t="s">
        <v>2535</v>
      </c>
      <c r="G549" s="1191" t="s">
        <v>2534</v>
      </c>
      <c r="H549" s="1273" t="s">
        <v>1695</v>
      </c>
      <c r="I549" s="1270" t="s">
        <v>569</v>
      </c>
      <c r="J549" s="1249" t="s">
        <v>2533</v>
      </c>
      <c r="K549" s="1271">
        <v>1</v>
      </c>
      <c r="L549" s="1272">
        <v>1</v>
      </c>
      <c r="M549" s="1266">
        <v>5719.69</v>
      </c>
      <c r="N549" s="1267">
        <v>1</v>
      </c>
      <c r="O549" s="1268">
        <v>6</v>
      </c>
      <c r="P549" s="1266">
        <v>19044.900000000001</v>
      </c>
    </row>
    <row r="550" spans="1:16" ht="24">
      <c r="A550" s="1274" t="s">
        <v>2420</v>
      </c>
      <c r="B550" s="1191" t="s">
        <v>1869</v>
      </c>
      <c r="C550" s="1259" t="s">
        <v>504</v>
      </c>
      <c r="D550" s="1181" t="s">
        <v>2532</v>
      </c>
      <c r="E550" s="1260">
        <v>2001</v>
      </c>
      <c r="F550" s="1269">
        <v>44076402</v>
      </c>
      <c r="G550" s="1191" t="s">
        <v>2531</v>
      </c>
      <c r="H550" s="1273" t="s">
        <v>1695</v>
      </c>
      <c r="I550" s="1270" t="s">
        <v>569</v>
      </c>
      <c r="J550" s="1249" t="s">
        <v>1695</v>
      </c>
      <c r="K550" s="1271">
        <v>1</v>
      </c>
      <c r="L550" s="1272">
        <v>1</v>
      </c>
      <c r="M550" s="1266">
        <v>1614.15</v>
      </c>
      <c r="N550" s="1267"/>
      <c r="O550" s="1268">
        <v>0</v>
      </c>
      <c r="P550" s="1266">
        <v>0</v>
      </c>
    </row>
    <row r="551" spans="1:16" ht="36">
      <c r="A551" s="1274" t="s">
        <v>2420</v>
      </c>
      <c r="B551" s="1191" t="s">
        <v>1869</v>
      </c>
      <c r="C551" s="1259" t="s">
        <v>504</v>
      </c>
      <c r="D551" s="1181" t="s">
        <v>2530</v>
      </c>
      <c r="E551" s="1260">
        <v>4500</v>
      </c>
      <c r="F551" s="1269">
        <v>9993583</v>
      </c>
      <c r="G551" s="1191" t="s">
        <v>2529</v>
      </c>
      <c r="H551" s="1273" t="s">
        <v>2447</v>
      </c>
      <c r="I551" s="1270" t="s">
        <v>569</v>
      </c>
      <c r="J551" s="1249" t="s">
        <v>2489</v>
      </c>
      <c r="K551" s="1271">
        <v>1</v>
      </c>
      <c r="L551" s="1272">
        <v>12</v>
      </c>
      <c r="M551" s="1266">
        <v>55360.80000000001</v>
      </c>
      <c r="N551" s="1267"/>
      <c r="O551" s="1268">
        <v>0</v>
      </c>
      <c r="P551" s="1266">
        <v>0</v>
      </c>
    </row>
    <row r="552" spans="1:16" ht="36">
      <c r="A552" s="1274" t="s">
        <v>2420</v>
      </c>
      <c r="B552" s="1191" t="s">
        <v>1869</v>
      </c>
      <c r="C552" s="1259" t="s">
        <v>504</v>
      </c>
      <c r="D552" s="1181" t="s">
        <v>2456</v>
      </c>
      <c r="E552" s="1260">
        <v>2200</v>
      </c>
      <c r="F552" s="1269">
        <v>43153703</v>
      </c>
      <c r="G552" s="1191" t="s">
        <v>2528</v>
      </c>
      <c r="H552" s="1273" t="s">
        <v>1695</v>
      </c>
      <c r="I552" s="1270" t="s">
        <v>569</v>
      </c>
      <c r="J552" s="1249" t="s">
        <v>2454</v>
      </c>
      <c r="K552" s="1271">
        <v>1</v>
      </c>
      <c r="L552" s="1272">
        <v>12</v>
      </c>
      <c r="M552" s="1266">
        <v>28360.800000000007</v>
      </c>
      <c r="N552" s="1267"/>
      <c r="O552" s="1268">
        <v>0</v>
      </c>
      <c r="P552" s="1266">
        <v>0</v>
      </c>
    </row>
    <row r="553" spans="1:16" ht="24">
      <c r="A553" s="1274" t="s">
        <v>2420</v>
      </c>
      <c r="B553" s="1191" t="s">
        <v>1869</v>
      </c>
      <c r="C553" s="1259" t="s">
        <v>504</v>
      </c>
      <c r="D553" s="1181" t="s">
        <v>2527</v>
      </c>
      <c r="E553" s="1260">
        <v>5500</v>
      </c>
      <c r="F553" s="1269">
        <v>3501064</v>
      </c>
      <c r="G553" s="1191" t="s">
        <v>2526</v>
      </c>
      <c r="H553" s="1273" t="s">
        <v>2447</v>
      </c>
      <c r="I553" s="1270" t="s">
        <v>569</v>
      </c>
      <c r="J553" s="1249" t="s">
        <v>2489</v>
      </c>
      <c r="K553" s="1271">
        <v>1</v>
      </c>
      <c r="L553" s="1272">
        <v>12</v>
      </c>
      <c r="M553" s="1266">
        <v>67360.800000000003</v>
      </c>
      <c r="N553" s="1267">
        <v>1</v>
      </c>
      <c r="O553" s="1268">
        <v>6</v>
      </c>
      <c r="P553" s="1266">
        <v>34044.9</v>
      </c>
    </row>
    <row r="554" spans="1:16" ht="36">
      <c r="A554" s="1274" t="s">
        <v>2420</v>
      </c>
      <c r="B554" s="1191" t="s">
        <v>1869</v>
      </c>
      <c r="C554" s="1259" t="s">
        <v>504</v>
      </c>
      <c r="D554" s="1181" t="s">
        <v>2525</v>
      </c>
      <c r="E554" s="1260">
        <v>2001</v>
      </c>
      <c r="F554" s="1269">
        <v>41659265</v>
      </c>
      <c r="G554" s="1191" t="s">
        <v>2524</v>
      </c>
      <c r="H554" s="1273" t="s">
        <v>1571</v>
      </c>
      <c r="I554" s="1270" t="s">
        <v>569</v>
      </c>
      <c r="J554" s="1249" t="s">
        <v>1792</v>
      </c>
      <c r="K554" s="1271">
        <v>1</v>
      </c>
      <c r="L554" s="1272">
        <v>12</v>
      </c>
      <c r="M554" s="1266">
        <v>25972.800000000007</v>
      </c>
      <c r="N554" s="1267">
        <v>1</v>
      </c>
      <c r="O554" s="1268">
        <v>6</v>
      </c>
      <c r="P554" s="1266">
        <v>13050.9</v>
      </c>
    </row>
    <row r="555" spans="1:16" ht="48">
      <c r="A555" s="1274" t="s">
        <v>2420</v>
      </c>
      <c r="B555" s="1191" t="s">
        <v>1869</v>
      </c>
      <c r="C555" s="1259" t="s">
        <v>504</v>
      </c>
      <c r="D555" s="1181" t="s">
        <v>2523</v>
      </c>
      <c r="E555" s="1260">
        <v>5000</v>
      </c>
      <c r="F555" s="1269">
        <v>9275745</v>
      </c>
      <c r="G555" s="1191" t="s">
        <v>2522</v>
      </c>
      <c r="H555" s="1273" t="s">
        <v>1695</v>
      </c>
      <c r="I555" s="1270" t="s">
        <v>569</v>
      </c>
      <c r="J555" s="1249" t="s">
        <v>2489</v>
      </c>
      <c r="K555" s="1271">
        <v>1</v>
      </c>
      <c r="L555" s="1272">
        <v>12</v>
      </c>
      <c r="M555" s="1266">
        <v>61360.80000000001</v>
      </c>
      <c r="N555" s="1267">
        <v>1</v>
      </c>
      <c r="O555" s="1268">
        <v>6</v>
      </c>
      <c r="P555" s="1266">
        <v>31044.9</v>
      </c>
    </row>
    <row r="556" spans="1:16" ht="48">
      <c r="A556" s="1274" t="s">
        <v>2420</v>
      </c>
      <c r="B556" s="1191" t="s">
        <v>1869</v>
      </c>
      <c r="C556" s="1259" t="s">
        <v>504</v>
      </c>
      <c r="D556" s="1181" t="s">
        <v>2521</v>
      </c>
      <c r="E556" s="1260">
        <v>6600</v>
      </c>
      <c r="F556" s="1269">
        <v>7798085</v>
      </c>
      <c r="G556" s="1191" t="s">
        <v>2520</v>
      </c>
      <c r="H556" s="1273" t="s">
        <v>1695</v>
      </c>
      <c r="I556" s="1270" t="s">
        <v>569</v>
      </c>
      <c r="J556" s="1249" t="s">
        <v>2519</v>
      </c>
      <c r="K556" s="1271">
        <v>1</v>
      </c>
      <c r="L556" s="1272">
        <v>12</v>
      </c>
      <c r="M556" s="1266">
        <v>80560.799999999988</v>
      </c>
      <c r="N556" s="1267">
        <v>1</v>
      </c>
      <c r="O556" s="1268">
        <v>6</v>
      </c>
      <c r="P556" s="1266">
        <v>40644.9</v>
      </c>
    </row>
    <row r="557" spans="1:16" ht="24">
      <c r="A557" s="1274" t="s">
        <v>2420</v>
      </c>
      <c r="B557" s="1191" t="s">
        <v>1869</v>
      </c>
      <c r="C557" s="1259" t="s">
        <v>504</v>
      </c>
      <c r="D557" s="1181" t="s">
        <v>2518</v>
      </c>
      <c r="E557" s="1260">
        <v>2500</v>
      </c>
      <c r="F557" s="1269" t="s">
        <v>2517</v>
      </c>
      <c r="G557" s="1191" t="s">
        <v>2516</v>
      </c>
      <c r="H557" s="1273" t="s">
        <v>2515</v>
      </c>
      <c r="I557" s="1270" t="s">
        <v>569</v>
      </c>
      <c r="J557" s="1249" t="s">
        <v>2515</v>
      </c>
      <c r="K557" s="1271">
        <v>1</v>
      </c>
      <c r="L557" s="1272">
        <v>1</v>
      </c>
      <c r="M557" s="1266">
        <v>2613.4</v>
      </c>
      <c r="N557" s="1267">
        <v>1</v>
      </c>
      <c r="O557" s="1268">
        <v>6</v>
      </c>
      <c r="P557" s="1266">
        <v>16044.9</v>
      </c>
    </row>
    <row r="558" spans="1:16" ht="24">
      <c r="A558" s="1274" t="s">
        <v>2420</v>
      </c>
      <c r="B558" s="1191" t="s">
        <v>1869</v>
      </c>
      <c r="C558" s="1259" t="s">
        <v>504</v>
      </c>
      <c r="D558" s="1181" t="s">
        <v>2514</v>
      </c>
      <c r="E558" s="1260">
        <v>6600</v>
      </c>
      <c r="F558" s="1269">
        <v>43345037</v>
      </c>
      <c r="G558" s="1191" t="s">
        <v>2513</v>
      </c>
      <c r="H558" s="1273" t="s">
        <v>2447</v>
      </c>
      <c r="I558" s="1270" t="s">
        <v>569</v>
      </c>
      <c r="J558" s="1249" t="s">
        <v>2447</v>
      </c>
      <c r="K558" s="1271">
        <v>1</v>
      </c>
      <c r="L558" s="1272">
        <v>12</v>
      </c>
      <c r="M558" s="1266">
        <v>80560.799999999988</v>
      </c>
      <c r="N558" s="1267">
        <v>1</v>
      </c>
      <c r="O558" s="1268">
        <v>6</v>
      </c>
      <c r="P558" s="1266">
        <v>40644.9</v>
      </c>
    </row>
    <row r="559" spans="1:16" ht="84">
      <c r="A559" s="1274" t="s">
        <v>2420</v>
      </c>
      <c r="B559" s="1191" t="s">
        <v>1869</v>
      </c>
      <c r="C559" s="1259" t="s">
        <v>504</v>
      </c>
      <c r="D559" s="1181" t="s">
        <v>2512</v>
      </c>
      <c r="E559" s="1260">
        <v>2001</v>
      </c>
      <c r="F559" s="1269">
        <v>25692233</v>
      </c>
      <c r="G559" s="1191" t="s">
        <v>2511</v>
      </c>
      <c r="H559" s="1273" t="s">
        <v>2436</v>
      </c>
      <c r="I559" s="1270" t="s">
        <v>1664</v>
      </c>
      <c r="J559" s="1249" t="s">
        <v>2510</v>
      </c>
      <c r="K559" s="1271">
        <v>1</v>
      </c>
      <c r="L559" s="1272">
        <v>12</v>
      </c>
      <c r="M559" s="1266">
        <v>25372.800000000007</v>
      </c>
      <c r="N559" s="1267">
        <v>1</v>
      </c>
      <c r="O559" s="1268">
        <v>6</v>
      </c>
      <c r="P559" s="1266">
        <v>13050.9</v>
      </c>
    </row>
    <row r="560" spans="1:16" ht="36">
      <c r="A560" s="1274" t="s">
        <v>2420</v>
      </c>
      <c r="B560" s="1191" t="s">
        <v>1869</v>
      </c>
      <c r="C560" s="1259" t="s">
        <v>504</v>
      </c>
      <c r="D560" s="1181" t="s">
        <v>2509</v>
      </c>
      <c r="E560" s="1260">
        <v>6600</v>
      </c>
      <c r="F560" s="1269">
        <v>8644569</v>
      </c>
      <c r="G560" s="1191" t="s">
        <v>2508</v>
      </c>
      <c r="H560" s="1273" t="s">
        <v>2447</v>
      </c>
      <c r="I560" s="1270" t="s">
        <v>569</v>
      </c>
      <c r="J560" s="1249" t="s">
        <v>2447</v>
      </c>
      <c r="K560" s="1271">
        <v>1</v>
      </c>
      <c r="L560" s="1272">
        <v>12</v>
      </c>
      <c r="M560" s="1266">
        <v>80560.799999999988</v>
      </c>
      <c r="N560" s="1267">
        <v>1</v>
      </c>
      <c r="O560" s="1268">
        <v>6</v>
      </c>
      <c r="P560" s="1266">
        <v>40644.9</v>
      </c>
    </row>
    <row r="561" spans="1:16" ht="36">
      <c r="A561" s="1274" t="s">
        <v>2420</v>
      </c>
      <c r="B561" s="1191" t="s">
        <v>1869</v>
      </c>
      <c r="C561" s="1259" t="s">
        <v>504</v>
      </c>
      <c r="D561" s="1181" t="s">
        <v>2507</v>
      </c>
      <c r="E561" s="1260">
        <v>3200</v>
      </c>
      <c r="F561" s="1269">
        <v>41772577</v>
      </c>
      <c r="G561" s="1191" t="s">
        <v>2506</v>
      </c>
      <c r="H561" s="1273" t="s">
        <v>1695</v>
      </c>
      <c r="I561" s="1270" t="s">
        <v>569</v>
      </c>
      <c r="J561" s="1249" t="s">
        <v>2505</v>
      </c>
      <c r="K561" s="1271">
        <v>1</v>
      </c>
      <c r="L561" s="1272">
        <v>12</v>
      </c>
      <c r="M561" s="1266">
        <v>40384.80000000001</v>
      </c>
      <c r="N561" s="1267">
        <v>1</v>
      </c>
      <c r="O561" s="1268">
        <v>6</v>
      </c>
      <c r="P561" s="1266">
        <v>20244.900000000001</v>
      </c>
    </row>
    <row r="562" spans="1:16" ht="48">
      <c r="A562" s="1274" t="s">
        <v>2420</v>
      </c>
      <c r="B562" s="1191" t="s">
        <v>1869</v>
      </c>
      <c r="C562" s="1259" t="s">
        <v>504</v>
      </c>
      <c r="D562" s="1181" t="s">
        <v>2504</v>
      </c>
      <c r="E562" s="1260">
        <v>5000</v>
      </c>
      <c r="F562" s="1269" t="s">
        <v>2503</v>
      </c>
      <c r="G562" s="1191" t="s">
        <v>2502</v>
      </c>
      <c r="H562" s="1273" t="s">
        <v>2447</v>
      </c>
      <c r="I562" s="1270" t="s">
        <v>569</v>
      </c>
      <c r="J562" s="1249" t="s">
        <v>2447</v>
      </c>
      <c r="K562" s="1271">
        <v>1</v>
      </c>
      <c r="L562" s="1272">
        <v>6</v>
      </c>
      <c r="M562" s="1266">
        <v>30680.400000000001</v>
      </c>
      <c r="N562" s="1267">
        <v>1</v>
      </c>
      <c r="O562" s="1268">
        <v>6</v>
      </c>
      <c r="P562" s="1266">
        <v>31044.9</v>
      </c>
    </row>
    <row r="563" spans="1:16" ht="36">
      <c r="A563" s="1274" t="s">
        <v>2420</v>
      </c>
      <c r="B563" s="1191" t="s">
        <v>1869</v>
      </c>
      <c r="C563" s="1259" t="s">
        <v>504</v>
      </c>
      <c r="D563" s="1181" t="s">
        <v>2501</v>
      </c>
      <c r="E563" s="1260">
        <v>2001</v>
      </c>
      <c r="F563" s="1269">
        <v>44847865</v>
      </c>
      <c r="G563" s="1191" t="s">
        <v>2500</v>
      </c>
      <c r="H563" s="1273" t="s">
        <v>1784</v>
      </c>
      <c r="I563" s="1270" t="s">
        <v>1664</v>
      </c>
      <c r="J563" s="1249" t="s">
        <v>1784</v>
      </c>
      <c r="K563" s="1271">
        <v>1</v>
      </c>
      <c r="L563" s="1272">
        <v>6</v>
      </c>
      <c r="M563" s="1266">
        <v>12686.4</v>
      </c>
      <c r="N563" s="1267"/>
      <c r="O563" s="1268">
        <v>0</v>
      </c>
      <c r="P563" s="1266">
        <v>0</v>
      </c>
    </row>
    <row r="564" spans="1:16" ht="36">
      <c r="A564" s="1274" t="s">
        <v>2420</v>
      </c>
      <c r="B564" s="1191" t="s">
        <v>1869</v>
      </c>
      <c r="C564" s="1259" t="s">
        <v>504</v>
      </c>
      <c r="D564" s="1181" t="s">
        <v>2423</v>
      </c>
      <c r="E564" s="1260">
        <v>3000</v>
      </c>
      <c r="F564" s="1269">
        <v>10643750</v>
      </c>
      <c r="G564" s="1191" t="s">
        <v>2499</v>
      </c>
      <c r="H564" s="1273" t="s">
        <v>659</v>
      </c>
      <c r="I564" s="1270" t="s">
        <v>569</v>
      </c>
      <c r="J564" s="1249" t="s">
        <v>2498</v>
      </c>
      <c r="K564" s="1271">
        <v>1</v>
      </c>
      <c r="L564" s="1272">
        <v>12</v>
      </c>
      <c r="M564" s="1266">
        <v>37960.80000000001</v>
      </c>
      <c r="N564" s="1267"/>
      <c r="O564" s="1268">
        <v>0</v>
      </c>
      <c r="P564" s="1266">
        <v>0</v>
      </c>
    </row>
    <row r="565" spans="1:16" ht="36">
      <c r="A565" s="1274" t="s">
        <v>2420</v>
      </c>
      <c r="B565" s="1191" t="s">
        <v>1869</v>
      </c>
      <c r="C565" s="1259" t="s">
        <v>504</v>
      </c>
      <c r="D565" s="1181" t="s">
        <v>2497</v>
      </c>
      <c r="E565" s="1260">
        <v>5000</v>
      </c>
      <c r="F565" s="1269">
        <v>7882040</v>
      </c>
      <c r="G565" s="1191" t="s">
        <v>2496</v>
      </c>
      <c r="H565" s="1273" t="s">
        <v>1695</v>
      </c>
      <c r="I565" s="1270" t="s">
        <v>569</v>
      </c>
      <c r="J565" s="1249" t="s">
        <v>2495</v>
      </c>
      <c r="K565" s="1271">
        <v>1</v>
      </c>
      <c r="L565" s="1272">
        <v>12</v>
      </c>
      <c r="M565" s="1266">
        <v>61360.80000000001</v>
      </c>
      <c r="N565" s="1267">
        <v>1</v>
      </c>
      <c r="O565" s="1268">
        <v>6</v>
      </c>
      <c r="P565" s="1266">
        <v>31044.9</v>
      </c>
    </row>
    <row r="566" spans="1:16" ht="36">
      <c r="A566" s="1274" t="s">
        <v>2420</v>
      </c>
      <c r="B566" s="1191" t="s">
        <v>1869</v>
      </c>
      <c r="C566" s="1259" t="s">
        <v>504</v>
      </c>
      <c r="D566" s="1181" t="s">
        <v>2494</v>
      </c>
      <c r="E566" s="1260">
        <v>4000</v>
      </c>
      <c r="F566" s="1269">
        <v>46798103</v>
      </c>
      <c r="G566" s="1191" t="s">
        <v>2493</v>
      </c>
      <c r="H566" s="1273" t="s">
        <v>511</v>
      </c>
      <c r="I566" s="1270" t="s">
        <v>569</v>
      </c>
      <c r="J566" s="1249" t="s">
        <v>2492</v>
      </c>
      <c r="K566" s="1271">
        <v>1</v>
      </c>
      <c r="L566" s="1272">
        <v>12</v>
      </c>
      <c r="M566" s="1266">
        <v>49960.80000000001</v>
      </c>
      <c r="N566" s="1267">
        <v>1</v>
      </c>
      <c r="O566" s="1268">
        <v>6</v>
      </c>
      <c r="P566" s="1266">
        <v>25044.9</v>
      </c>
    </row>
    <row r="567" spans="1:16" ht="84">
      <c r="A567" s="1274" t="s">
        <v>2420</v>
      </c>
      <c r="B567" s="1191" t="s">
        <v>1869</v>
      </c>
      <c r="C567" s="1259" t="s">
        <v>504</v>
      </c>
      <c r="D567" s="1181" t="s">
        <v>2491</v>
      </c>
      <c r="E567" s="1260">
        <v>5000</v>
      </c>
      <c r="F567" s="1269">
        <v>43322220</v>
      </c>
      <c r="G567" s="1191" t="s">
        <v>2490</v>
      </c>
      <c r="H567" s="1273" t="s">
        <v>2447</v>
      </c>
      <c r="I567" s="1270" t="s">
        <v>569</v>
      </c>
      <c r="J567" s="1249" t="s">
        <v>2489</v>
      </c>
      <c r="K567" s="1271">
        <v>1</v>
      </c>
      <c r="L567" s="1272">
        <v>12</v>
      </c>
      <c r="M567" s="1266">
        <v>61360.80000000001</v>
      </c>
      <c r="N567" s="1267">
        <v>1</v>
      </c>
      <c r="O567" s="1268">
        <v>6</v>
      </c>
      <c r="P567" s="1266">
        <v>31044.9</v>
      </c>
    </row>
    <row r="568" spans="1:16" ht="36">
      <c r="A568" s="1274" t="s">
        <v>2420</v>
      </c>
      <c r="B568" s="1191" t="s">
        <v>1869</v>
      </c>
      <c r="C568" s="1259" t="s">
        <v>504</v>
      </c>
      <c r="D568" s="1181" t="s">
        <v>2488</v>
      </c>
      <c r="E568" s="1260">
        <v>1500</v>
      </c>
      <c r="F568" s="1269">
        <v>25692124</v>
      </c>
      <c r="G568" s="1191" t="s">
        <v>2487</v>
      </c>
      <c r="H568" s="1273" t="s">
        <v>1592</v>
      </c>
      <c r="I568" s="1270" t="s">
        <v>618</v>
      </c>
      <c r="J568" s="1249" t="s">
        <v>2486</v>
      </c>
      <c r="K568" s="1271">
        <v>1</v>
      </c>
      <c r="L568" s="1272">
        <v>12</v>
      </c>
      <c r="M568" s="1266">
        <v>19960.800000000003</v>
      </c>
      <c r="N568" s="1267">
        <v>1</v>
      </c>
      <c r="O568" s="1268">
        <v>6</v>
      </c>
      <c r="P568" s="1266">
        <v>9810</v>
      </c>
    </row>
    <row r="569" spans="1:16" ht="24">
      <c r="A569" s="1274" t="s">
        <v>2420</v>
      </c>
      <c r="B569" s="1191" t="s">
        <v>1869</v>
      </c>
      <c r="C569" s="1259" t="s">
        <v>504</v>
      </c>
      <c r="D569" s="1181" t="s">
        <v>2482</v>
      </c>
      <c r="E569" s="1260">
        <v>4500</v>
      </c>
      <c r="F569" s="1269">
        <v>40420005</v>
      </c>
      <c r="G569" s="1191" t="s">
        <v>2485</v>
      </c>
      <c r="H569" s="1273" t="s">
        <v>1695</v>
      </c>
      <c r="I569" s="1270" t="s">
        <v>569</v>
      </c>
      <c r="J569" s="1249" t="s">
        <v>2484</v>
      </c>
      <c r="K569" s="1271">
        <v>1</v>
      </c>
      <c r="L569" s="1272">
        <v>12</v>
      </c>
      <c r="M569" s="1266">
        <v>55360.80000000001</v>
      </c>
      <c r="N569" s="1267">
        <v>1</v>
      </c>
      <c r="O569" s="1268">
        <v>6</v>
      </c>
      <c r="P569" s="1266">
        <v>28044.9</v>
      </c>
    </row>
    <row r="570" spans="1:16" ht="24">
      <c r="A570" s="1274" t="s">
        <v>2420</v>
      </c>
      <c r="B570" s="1191" t="s">
        <v>1869</v>
      </c>
      <c r="C570" s="1259" t="s">
        <v>504</v>
      </c>
      <c r="D570" s="1181" t="s">
        <v>2482</v>
      </c>
      <c r="E570" s="1260">
        <v>4500</v>
      </c>
      <c r="F570" s="1269">
        <v>10647523</v>
      </c>
      <c r="G570" s="1191" t="s">
        <v>2483</v>
      </c>
      <c r="H570" s="1273" t="s">
        <v>1695</v>
      </c>
      <c r="I570" s="1270" t="s">
        <v>569</v>
      </c>
      <c r="J570" s="1249" t="s">
        <v>2482</v>
      </c>
      <c r="K570" s="1271">
        <v>1</v>
      </c>
      <c r="L570" s="1272">
        <v>12</v>
      </c>
      <c r="M570" s="1266">
        <v>55984.80000000001</v>
      </c>
      <c r="N570" s="1267">
        <v>1</v>
      </c>
      <c r="O570" s="1268">
        <v>6</v>
      </c>
      <c r="P570" s="1266">
        <v>28044.9</v>
      </c>
    </row>
    <row r="571" spans="1:16" ht="24">
      <c r="A571" s="1274" t="s">
        <v>2420</v>
      </c>
      <c r="B571" s="1191" t="s">
        <v>1869</v>
      </c>
      <c r="C571" s="1259" t="s">
        <v>504</v>
      </c>
      <c r="D571" s="1181" t="s">
        <v>2481</v>
      </c>
      <c r="E571" s="1260">
        <v>3500</v>
      </c>
      <c r="F571" s="1269">
        <v>71241459</v>
      </c>
      <c r="G571" s="1191" t="s">
        <v>2480</v>
      </c>
      <c r="H571" s="1273" t="s">
        <v>1695</v>
      </c>
      <c r="I571" s="1270" t="s">
        <v>569</v>
      </c>
      <c r="J571" s="1249" t="s">
        <v>2479</v>
      </c>
      <c r="K571" s="1271">
        <v>1</v>
      </c>
      <c r="L571" s="1272">
        <v>3</v>
      </c>
      <c r="M571" s="1266">
        <v>11040.2</v>
      </c>
      <c r="N571" s="1267">
        <v>1</v>
      </c>
      <c r="O571" s="1268">
        <v>6</v>
      </c>
      <c r="P571" s="1266">
        <v>22044.9</v>
      </c>
    </row>
    <row r="572" spans="1:16" ht="36">
      <c r="A572" s="1274" t="s">
        <v>2420</v>
      </c>
      <c r="B572" s="1191" t="s">
        <v>1869</v>
      </c>
      <c r="C572" s="1259" t="s">
        <v>504</v>
      </c>
      <c r="D572" s="1181" t="s">
        <v>2478</v>
      </c>
      <c r="E572" s="1260">
        <v>2001</v>
      </c>
      <c r="F572" s="1269">
        <v>47569651</v>
      </c>
      <c r="G572" s="1191" t="s">
        <v>2477</v>
      </c>
      <c r="H572" s="1273" t="s">
        <v>2476</v>
      </c>
      <c r="I572" s="1270" t="s">
        <v>569</v>
      </c>
      <c r="J572" s="1249" t="s">
        <v>2476</v>
      </c>
      <c r="K572" s="1271">
        <v>1</v>
      </c>
      <c r="L572" s="1272">
        <v>3</v>
      </c>
      <c r="M572" s="1266">
        <v>6543.2000000000007</v>
      </c>
      <c r="N572" s="1267">
        <v>1</v>
      </c>
      <c r="O572" s="1268">
        <v>6</v>
      </c>
      <c r="P572" s="1266">
        <v>13050.9</v>
      </c>
    </row>
    <row r="573" spans="1:16" ht="24">
      <c r="A573" s="1274" t="s">
        <v>2420</v>
      </c>
      <c r="B573" s="1191" t="s">
        <v>1869</v>
      </c>
      <c r="C573" s="1259" t="s">
        <v>504</v>
      </c>
      <c r="D573" s="1181" t="s">
        <v>2475</v>
      </c>
      <c r="E573" s="1260">
        <v>7000</v>
      </c>
      <c r="F573" s="1269" t="s">
        <v>2474</v>
      </c>
      <c r="G573" s="1191" t="s">
        <v>2473</v>
      </c>
      <c r="H573" s="1273" t="s">
        <v>2472</v>
      </c>
      <c r="I573" s="1270" t="s">
        <v>569</v>
      </c>
      <c r="J573" s="1249" t="s">
        <v>2472</v>
      </c>
      <c r="K573" s="1271">
        <v>1</v>
      </c>
      <c r="L573" s="1272">
        <v>1</v>
      </c>
      <c r="M573" s="1266">
        <v>7113.4</v>
      </c>
      <c r="N573" s="1267">
        <v>1</v>
      </c>
      <c r="O573" s="1268">
        <v>6</v>
      </c>
      <c r="P573" s="1266">
        <v>43044.9</v>
      </c>
    </row>
    <row r="574" spans="1:16" ht="24">
      <c r="A574" s="1274" t="s">
        <v>2420</v>
      </c>
      <c r="B574" s="1191" t="s">
        <v>1869</v>
      </c>
      <c r="C574" s="1259" t="s">
        <v>504</v>
      </c>
      <c r="D574" s="1181" t="s">
        <v>2471</v>
      </c>
      <c r="E574" s="1260">
        <v>2500</v>
      </c>
      <c r="F574" s="1269" t="s">
        <v>2470</v>
      </c>
      <c r="G574" s="1191" t="s">
        <v>2469</v>
      </c>
      <c r="H574" s="1273" t="s">
        <v>1695</v>
      </c>
      <c r="I574" s="1270" t="s">
        <v>569</v>
      </c>
      <c r="J574" s="1249" t="s">
        <v>1695</v>
      </c>
      <c r="K574" s="1271">
        <v>1</v>
      </c>
      <c r="L574" s="1272">
        <v>1</v>
      </c>
      <c r="M574" s="1266">
        <v>2613.4</v>
      </c>
      <c r="N574" s="1267">
        <v>1</v>
      </c>
      <c r="O574" s="1268">
        <v>6</v>
      </c>
      <c r="P574" s="1266">
        <v>16044.9</v>
      </c>
    </row>
    <row r="575" spans="1:16">
      <c r="A575" s="1274" t="s">
        <v>2420</v>
      </c>
      <c r="B575" s="1191" t="s">
        <v>1869</v>
      </c>
      <c r="C575" s="1259" t="s">
        <v>504</v>
      </c>
      <c r="D575" s="1181" t="s">
        <v>2454</v>
      </c>
      <c r="E575" s="1260">
        <v>3000</v>
      </c>
      <c r="F575" s="1269">
        <v>44019309</v>
      </c>
      <c r="G575" s="1191" t="s">
        <v>2468</v>
      </c>
      <c r="H575" s="1273" t="s">
        <v>1695</v>
      </c>
      <c r="I575" s="1270" t="s">
        <v>569</v>
      </c>
      <c r="J575" s="1249" t="s">
        <v>2454</v>
      </c>
      <c r="K575" s="1271">
        <v>1</v>
      </c>
      <c r="L575" s="1272">
        <v>12</v>
      </c>
      <c r="M575" s="1266">
        <v>37960.80000000001</v>
      </c>
      <c r="N575" s="1267">
        <v>1</v>
      </c>
      <c r="O575" s="1268">
        <v>6</v>
      </c>
      <c r="P575" s="1266">
        <v>19044.900000000001</v>
      </c>
    </row>
    <row r="576" spans="1:16" ht="24">
      <c r="A576" s="1274" t="s">
        <v>2420</v>
      </c>
      <c r="B576" s="1191" t="s">
        <v>1869</v>
      </c>
      <c r="C576" s="1259" t="s">
        <v>504</v>
      </c>
      <c r="D576" s="1181" t="s">
        <v>2467</v>
      </c>
      <c r="E576" s="1260">
        <v>1200</v>
      </c>
      <c r="F576" s="1269">
        <v>43359995</v>
      </c>
      <c r="G576" s="1191" t="s">
        <v>2466</v>
      </c>
      <c r="H576" s="1273" t="s">
        <v>1592</v>
      </c>
      <c r="I576" s="1270" t="s">
        <v>618</v>
      </c>
      <c r="J576" s="1249" t="s">
        <v>619</v>
      </c>
      <c r="K576" s="1271">
        <v>1</v>
      </c>
      <c r="L576" s="1272">
        <v>12</v>
      </c>
      <c r="M576" s="1266">
        <v>15696</v>
      </c>
      <c r="N576" s="1267">
        <v>1</v>
      </c>
      <c r="O576" s="1268">
        <v>6</v>
      </c>
      <c r="P576" s="1266">
        <v>7848</v>
      </c>
    </row>
    <row r="577" spans="1:16" ht="24">
      <c r="A577" s="1274" t="s">
        <v>2420</v>
      </c>
      <c r="B577" s="1191" t="s">
        <v>1869</v>
      </c>
      <c r="C577" s="1259" t="s">
        <v>504</v>
      </c>
      <c r="D577" s="1181" t="s">
        <v>2465</v>
      </c>
      <c r="E577" s="1260">
        <v>1200</v>
      </c>
      <c r="F577" s="1269">
        <v>44292257</v>
      </c>
      <c r="G577" s="1191" t="s">
        <v>2464</v>
      </c>
      <c r="H577" s="1273" t="s">
        <v>1592</v>
      </c>
      <c r="I577" s="1270" t="s">
        <v>618</v>
      </c>
      <c r="J577" s="1249" t="s">
        <v>619</v>
      </c>
      <c r="K577" s="1271">
        <v>1</v>
      </c>
      <c r="L577" s="1272">
        <v>12</v>
      </c>
      <c r="M577" s="1266">
        <v>16296</v>
      </c>
      <c r="N577" s="1267">
        <v>1</v>
      </c>
      <c r="O577" s="1268">
        <v>6</v>
      </c>
      <c r="P577" s="1266">
        <v>7848</v>
      </c>
    </row>
    <row r="578" spans="1:16" ht="84">
      <c r="A578" s="1274" t="s">
        <v>2420</v>
      </c>
      <c r="B578" s="1191" t="s">
        <v>1869</v>
      </c>
      <c r="C578" s="1259" t="s">
        <v>504</v>
      </c>
      <c r="D578" s="1181" t="s">
        <v>2463</v>
      </c>
      <c r="E578" s="1260">
        <v>2001</v>
      </c>
      <c r="F578" s="1269">
        <v>45558985</v>
      </c>
      <c r="G578" s="1191" t="s">
        <v>2462</v>
      </c>
      <c r="H578" s="1273" t="s">
        <v>1695</v>
      </c>
      <c r="I578" s="1270" t="s">
        <v>569</v>
      </c>
      <c r="J578" s="1249" t="s">
        <v>2461</v>
      </c>
      <c r="K578" s="1271">
        <v>1</v>
      </c>
      <c r="L578" s="1272">
        <v>12</v>
      </c>
      <c r="M578" s="1266">
        <v>25972.800000000007</v>
      </c>
      <c r="N578" s="1267">
        <v>1</v>
      </c>
      <c r="O578" s="1268">
        <v>6</v>
      </c>
      <c r="P578" s="1266">
        <v>13050.9</v>
      </c>
    </row>
    <row r="579" spans="1:16" ht="48">
      <c r="A579" s="1274" t="s">
        <v>2420</v>
      </c>
      <c r="B579" s="1191" t="s">
        <v>1869</v>
      </c>
      <c r="C579" s="1259" t="s">
        <v>504</v>
      </c>
      <c r="D579" s="1181" t="s">
        <v>2460</v>
      </c>
      <c r="E579" s="1260">
        <v>1000</v>
      </c>
      <c r="F579" s="1269">
        <v>25522675</v>
      </c>
      <c r="G579" s="1191" t="s">
        <v>2459</v>
      </c>
      <c r="H579" s="1273" t="s">
        <v>1592</v>
      </c>
      <c r="I579" s="1270" t="s">
        <v>618</v>
      </c>
      <c r="J579" s="1249" t="s">
        <v>619</v>
      </c>
      <c r="K579" s="1271">
        <v>1</v>
      </c>
      <c r="L579" s="1272">
        <v>12</v>
      </c>
      <c r="M579" s="1266">
        <v>13680</v>
      </c>
      <c r="N579" s="1267">
        <v>1</v>
      </c>
      <c r="O579" s="1268">
        <v>6</v>
      </c>
      <c r="P579" s="1266">
        <v>6540</v>
      </c>
    </row>
    <row r="580" spans="1:16" ht="36">
      <c r="A580" s="1274" t="s">
        <v>2420</v>
      </c>
      <c r="B580" s="1191" t="s">
        <v>1869</v>
      </c>
      <c r="C580" s="1259" t="s">
        <v>504</v>
      </c>
      <c r="D580" s="1181" t="s">
        <v>2458</v>
      </c>
      <c r="E580" s="1260">
        <v>6600</v>
      </c>
      <c r="F580" s="1269">
        <v>25712395</v>
      </c>
      <c r="G580" s="1191" t="s">
        <v>2457</v>
      </c>
      <c r="H580" s="1273" t="s">
        <v>2447</v>
      </c>
      <c r="I580" s="1270" t="s">
        <v>569</v>
      </c>
      <c r="J580" s="1249" t="s">
        <v>1620</v>
      </c>
      <c r="K580" s="1271">
        <v>1</v>
      </c>
      <c r="L580" s="1272">
        <v>12</v>
      </c>
      <c r="M580" s="1266">
        <v>80560.799999999988</v>
      </c>
      <c r="N580" s="1267">
        <v>1</v>
      </c>
      <c r="O580" s="1268">
        <v>6</v>
      </c>
      <c r="P580" s="1266">
        <v>40644.9</v>
      </c>
    </row>
    <row r="581" spans="1:16" ht="36">
      <c r="A581" s="1274" t="s">
        <v>2420</v>
      </c>
      <c r="B581" s="1191" t="s">
        <v>1869</v>
      </c>
      <c r="C581" s="1259" t="s">
        <v>504</v>
      </c>
      <c r="D581" s="1181" t="s">
        <v>2456</v>
      </c>
      <c r="E581" s="1260">
        <v>2200</v>
      </c>
      <c r="F581" s="1269">
        <v>3501058</v>
      </c>
      <c r="G581" s="1191" t="s">
        <v>2455</v>
      </c>
      <c r="H581" s="1273" t="s">
        <v>1695</v>
      </c>
      <c r="I581" s="1270" t="s">
        <v>569</v>
      </c>
      <c r="J581" s="1249" t="s">
        <v>2454</v>
      </c>
      <c r="K581" s="1271">
        <v>1</v>
      </c>
      <c r="L581" s="1272">
        <v>12</v>
      </c>
      <c r="M581" s="1266">
        <v>28360.800000000007</v>
      </c>
      <c r="N581" s="1267"/>
      <c r="O581" s="1268">
        <v>0</v>
      </c>
      <c r="P581" s="1266">
        <v>0</v>
      </c>
    </row>
    <row r="582" spans="1:16" ht="36">
      <c r="A582" s="1274" t="s">
        <v>2420</v>
      </c>
      <c r="B582" s="1191" t="s">
        <v>1869</v>
      </c>
      <c r="C582" s="1259" t="s">
        <v>504</v>
      </c>
      <c r="D582" s="1181" t="s">
        <v>2453</v>
      </c>
      <c r="E582" s="1260">
        <v>5100</v>
      </c>
      <c r="F582" s="1269" t="s">
        <v>2452</v>
      </c>
      <c r="G582" s="1191" t="s">
        <v>2451</v>
      </c>
      <c r="H582" s="1273" t="s">
        <v>659</v>
      </c>
      <c r="I582" s="1270" t="s">
        <v>569</v>
      </c>
      <c r="J582" s="1249" t="s">
        <v>2450</v>
      </c>
      <c r="K582" s="1271">
        <v>1</v>
      </c>
      <c r="L582" s="1272">
        <v>12</v>
      </c>
      <c r="M582" s="1266">
        <v>63184.80000000001</v>
      </c>
      <c r="N582" s="1267">
        <v>1</v>
      </c>
      <c r="O582" s="1268">
        <v>6</v>
      </c>
      <c r="P582" s="1266">
        <v>31644.9</v>
      </c>
    </row>
    <row r="583" spans="1:16" ht="24">
      <c r="A583" s="1274" t="s">
        <v>2420</v>
      </c>
      <c r="B583" s="1191" t="s">
        <v>1869</v>
      </c>
      <c r="C583" s="1259" t="s">
        <v>504</v>
      </c>
      <c r="D583" s="1181" t="s">
        <v>2449</v>
      </c>
      <c r="E583" s="1260">
        <v>6600</v>
      </c>
      <c r="F583" s="1269">
        <v>43444649</v>
      </c>
      <c r="G583" s="1191" t="s">
        <v>2448</v>
      </c>
      <c r="H583" s="1273" t="s">
        <v>2447</v>
      </c>
      <c r="I583" s="1270" t="s">
        <v>569</v>
      </c>
      <c r="J583" s="1249" t="s">
        <v>2447</v>
      </c>
      <c r="K583" s="1271">
        <v>1</v>
      </c>
      <c r="L583" s="1272">
        <v>12</v>
      </c>
      <c r="M583" s="1266">
        <v>80560.799999999988</v>
      </c>
      <c r="N583" s="1267">
        <v>1</v>
      </c>
      <c r="O583" s="1268">
        <v>6</v>
      </c>
      <c r="P583" s="1266">
        <v>40644.9</v>
      </c>
    </row>
    <row r="584" spans="1:16" ht="24">
      <c r="A584" s="1274" t="s">
        <v>2420</v>
      </c>
      <c r="B584" s="1191" t="s">
        <v>1869</v>
      </c>
      <c r="C584" s="1259" t="s">
        <v>504</v>
      </c>
      <c r="D584" s="1181" t="s">
        <v>2446</v>
      </c>
      <c r="E584" s="1260">
        <v>4500</v>
      </c>
      <c r="F584" s="1269">
        <v>10720531</v>
      </c>
      <c r="G584" s="1191" t="s">
        <v>2445</v>
      </c>
      <c r="H584" s="1273" t="s">
        <v>1695</v>
      </c>
      <c r="I584" s="1270" t="s">
        <v>569</v>
      </c>
      <c r="J584" s="1249" t="s">
        <v>2444</v>
      </c>
      <c r="K584" s="1271">
        <v>1</v>
      </c>
      <c r="L584" s="1272">
        <v>12</v>
      </c>
      <c r="M584" s="1266">
        <v>55984.80000000001</v>
      </c>
      <c r="N584" s="1267">
        <v>1</v>
      </c>
      <c r="O584" s="1268">
        <v>6</v>
      </c>
      <c r="P584" s="1266">
        <v>28044.9</v>
      </c>
    </row>
    <row r="585" spans="1:16" ht="36">
      <c r="A585" s="1274" t="s">
        <v>2420</v>
      </c>
      <c r="B585" s="1191" t="s">
        <v>1869</v>
      </c>
      <c r="C585" s="1259" t="s">
        <v>504</v>
      </c>
      <c r="D585" s="1181" t="s">
        <v>2443</v>
      </c>
      <c r="E585" s="1260">
        <v>5000</v>
      </c>
      <c r="F585" s="1269">
        <v>9434830</v>
      </c>
      <c r="G585" s="1191" t="s">
        <v>2442</v>
      </c>
      <c r="H585" s="1273" t="s">
        <v>511</v>
      </c>
      <c r="I585" s="1270" t="s">
        <v>569</v>
      </c>
      <c r="J585" s="1249" t="s">
        <v>2441</v>
      </c>
      <c r="K585" s="1271">
        <v>1</v>
      </c>
      <c r="L585" s="1272">
        <v>12</v>
      </c>
      <c r="M585" s="1266">
        <v>61960.80000000001</v>
      </c>
      <c r="N585" s="1267">
        <v>1</v>
      </c>
      <c r="O585" s="1268">
        <v>6</v>
      </c>
      <c r="P585" s="1266">
        <v>31044.9</v>
      </c>
    </row>
    <row r="586" spans="1:16" ht="36">
      <c r="A586" s="1274" t="s">
        <v>2420</v>
      </c>
      <c r="B586" s="1191" t="s">
        <v>1869</v>
      </c>
      <c r="C586" s="1259" t="s">
        <v>504</v>
      </c>
      <c r="D586" s="1181" t="s">
        <v>2440</v>
      </c>
      <c r="E586" s="1260">
        <v>3802.9</v>
      </c>
      <c r="F586" s="1269">
        <v>7208943</v>
      </c>
      <c r="G586" s="1191" t="s">
        <v>2439</v>
      </c>
      <c r="H586" s="1273" t="s">
        <v>1695</v>
      </c>
      <c r="I586" s="1270" t="s">
        <v>569</v>
      </c>
      <c r="J586" s="1249" t="s">
        <v>1695</v>
      </c>
      <c r="K586" s="1271">
        <v>1</v>
      </c>
      <c r="L586" s="1272">
        <v>1</v>
      </c>
      <c r="M586" s="1266">
        <v>3282.5</v>
      </c>
      <c r="N586" s="1267"/>
      <c r="O586" s="1268">
        <v>0</v>
      </c>
      <c r="P586" s="1266">
        <v>0</v>
      </c>
    </row>
    <row r="587" spans="1:16" ht="36">
      <c r="A587" s="1274" t="s">
        <v>2420</v>
      </c>
      <c r="B587" s="1191" t="s">
        <v>1869</v>
      </c>
      <c r="C587" s="1259" t="s">
        <v>504</v>
      </c>
      <c r="D587" s="1181" t="s">
        <v>2438</v>
      </c>
      <c r="E587" s="1260">
        <v>1301</v>
      </c>
      <c r="F587" s="1269">
        <v>10690937</v>
      </c>
      <c r="G587" s="1191" t="s">
        <v>2437</v>
      </c>
      <c r="H587" s="1273" t="s">
        <v>2436</v>
      </c>
      <c r="I587" s="1270" t="s">
        <v>1664</v>
      </c>
      <c r="J587" s="1249" t="s">
        <v>2435</v>
      </c>
      <c r="K587" s="1271">
        <v>1</v>
      </c>
      <c r="L587" s="1272">
        <v>12</v>
      </c>
      <c r="M587" s="1266">
        <v>17572.8</v>
      </c>
      <c r="N587" s="1267">
        <v>1</v>
      </c>
      <c r="O587" s="1268">
        <v>6</v>
      </c>
      <c r="P587" s="1266">
        <v>8508.5399999999991</v>
      </c>
    </row>
    <row r="588" spans="1:16" ht="96">
      <c r="A588" s="1274" t="s">
        <v>2420</v>
      </c>
      <c r="B588" s="1191" t="s">
        <v>1869</v>
      </c>
      <c r="C588" s="1259" t="s">
        <v>504</v>
      </c>
      <c r="D588" s="1181" t="s">
        <v>2434</v>
      </c>
      <c r="E588" s="1260">
        <v>2200</v>
      </c>
      <c r="F588" s="1269" t="s">
        <v>2433</v>
      </c>
      <c r="G588" s="1191" t="s">
        <v>2432</v>
      </c>
      <c r="H588" s="1273" t="s">
        <v>1695</v>
      </c>
      <c r="I588" s="1270" t="s">
        <v>569</v>
      </c>
      <c r="J588" s="1249" t="s">
        <v>1695</v>
      </c>
      <c r="K588" s="1271"/>
      <c r="L588" s="1272"/>
      <c r="M588" s="1266">
        <v>0</v>
      </c>
      <c r="N588" s="1267"/>
      <c r="O588" s="1268">
        <v>0</v>
      </c>
      <c r="P588" s="1266">
        <v>0</v>
      </c>
    </row>
    <row r="589" spans="1:16" ht="96">
      <c r="A589" s="1274" t="s">
        <v>2420</v>
      </c>
      <c r="B589" s="1191" t="s">
        <v>1869</v>
      </c>
      <c r="C589" s="1259" t="s">
        <v>504</v>
      </c>
      <c r="D589" s="1181" t="s">
        <v>2434</v>
      </c>
      <c r="E589" s="1260">
        <v>2200</v>
      </c>
      <c r="F589" s="1269" t="s">
        <v>2433</v>
      </c>
      <c r="G589" s="1191" t="s">
        <v>2432</v>
      </c>
      <c r="H589" s="1273" t="s">
        <v>1695</v>
      </c>
      <c r="I589" s="1270" t="s">
        <v>569</v>
      </c>
      <c r="J589" s="1249" t="s">
        <v>1695</v>
      </c>
      <c r="K589" s="1271"/>
      <c r="L589" s="1272"/>
      <c r="M589" s="1266">
        <v>0</v>
      </c>
      <c r="N589" s="1267"/>
      <c r="O589" s="1268">
        <v>0</v>
      </c>
      <c r="P589" s="1266">
        <v>0</v>
      </c>
    </row>
    <row r="590" spans="1:16" ht="24">
      <c r="A590" s="1274" t="s">
        <v>2420</v>
      </c>
      <c r="B590" s="1191" t="s">
        <v>1869</v>
      </c>
      <c r="C590" s="1259" t="s">
        <v>504</v>
      </c>
      <c r="D590" s="1181" t="s">
        <v>2431</v>
      </c>
      <c r="E590" s="1260">
        <v>2500</v>
      </c>
      <c r="F590" s="1269" t="s">
        <v>2430</v>
      </c>
      <c r="G590" s="1191" t="s">
        <v>2429</v>
      </c>
      <c r="H590" s="1273" t="s">
        <v>1695</v>
      </c>
      <c r="I590" s="1270" t="s">
        <v>569</v>
      </c>
      <c r="J590" s="1249" t="s">
        <v>1695</v>
      </c>
      <c r="K590" s="1271"/>
      <c r="L590" s="1272"/>
      <c r="M590" s="1266">
        <v>0</v>
      </c>
      <c r="N590" s="1267">
        <v>1</v>
      </c>
      <c r="O590" s="1268">
        <v>4</v>
      </c>
      <c r="P590" s="1266">
        <v>10696.6</v>
      </c>
    </row>
    <row r="591" spans="1:16" ht="24">
      <c r="A591" s="1274" t="s">
        <v>2420</v>
      </c>
      <c r="B591" s="1191" t="s">
        <v>1869</v>
      </c>
      <c r="C591" s="1259" t="s">
        <v>504</v>
      </c>
      <c r="D591" s="1181" t="s">
        <v>2428</v>
      </c>
      <c r="E591" s="1260">
        <v>3000</v>
      </c>
      <c r="F591" s="1269" t="s">
        <v>2427</v>
      </c>
      <c r="G591" s="1191" t="s">
        <v>2426</v>
      </c>
      <c r="H591" s="1273" t="s">
        <v>2425</v>
      </c>
      <c r="I591" s="1270" t="s">
        <v>569</v>
      </c>
      <c r="J591" s="1249" t="s">
        <v>2425</v>
      </c>
      <c r="K591" s="1271"/>
      <c r="L591" s="1272"/>
      <c r="M591" s="1266">
        <v>0</v>
      </c>
      <c r="N591" s="1267">
        <v>1</v>
      </c>
      <c r="O591" s="1268">
        <v>4</v>
      </c>
      <c r="P591" s="1266">
        <v>12696.6</v>
      </c>
    </row>
    <row r="592" spans="1:16" ht="24">
      <c r="A592" s="1274"/>
      <c r="B592" s="1191" t="s">
        <v>1869</v>
      </c>
      <c r="C592" s="1259"/>
      <c r="D592" s="1181" t="s">
        <v>2424</v>
      </c>
      <c r="E592" s="1260"/>
      <c r="F592" s="1269"/>
      <c r="G592" s="1191"/>
      <c r="H592" s="1273"/>
      <c r="I592" s="1270"/>
      <c r="J592" s="1249"/>
      <c r="K592" s="1271">
        <v>1</v>
      </c>
      <c r="L592" s="1272">
        <v>1</v>
      </c>
      <c r="M592" s="1266">
        <v>38177.590000003103</v>
      </c>
      <c r="N592" s="1267"/>
      <c r="O592" s="1268">
        <v>1</v>
      </c>
      <c r="P592" s="1266">
        <v>3.06</v>
      </c>
    </row>
    <row r="593" spans="1:16" ht="36">
      <c r="A593" s="1275" t="s">
        <v>2420</v>
      </c>
      <c r="B593" s="1276" t="s">
        <v>1869</v>
      </c>
      <c r="C593" s="1277" t="s">
        <v>504</v>
      </c>
      <c r="D593" s="1278" t="s">
        <v>2423</v>
      </c>
      <c r="E593" s="1279">
        <v>3000</v>
      </c>
      <c r="F593" s="1280" t="s">
        <v>2422</v>
      </c>
      <c r="G593" s="1276" t="s">
        <v>2421</v>
      </c>
      <c r="H593" s="1281" t="s">
        <v>604</v>
      </c>
      <c r="I593" s="1282" t="s">
        <v>569</v>
      </c>
      <c r="J593" s="1283" t="s">
        <v>604</v>
      </c>
      <c r="K593" s="1284">
        <v>0</v>
      </c>
      <c r="L593" s="1285"/>
      <c r="M593" s="1286"/>
      <c r="N593" s="1287">
        <v>1</v>
      </c>
      <c r="O593" s="1288">
        <v>4</v>
      </c>
      <c r="P593" s="1286">
        <v>12696.6</v>
      </c>
    </row>
    <row r="594" spans="1:16" ht="24.75" thickBot="1">
      <c r="A594" s="1289" t="s">
        <v>2420</v>
      </c>
      <c r="B594" s="1290" t="s">
        <v>1869</v>
      </c>
      <c r="C594" s="1291" t="s">
        <v>504</v>
      </c>
      <c r="D594" s="1292" t="s">
        <v>2419</v>
      </c>
      <c r="E594" s="1293">
        <v>4000</v>
      </c>
      <c r="F594" s="1294" t="s">
        <v>2418</v>
      </c>
      <c r="G594" s="1290" t="s">
        <v>2417</v>
      </c>
      <c r="H594" s="1295" t="s">
        <v>2416</v>
      </c>
      <c r="I594" s="1296" t="s">
        <v>569</v>
      </c>
      <c r="J594" s="1297" t="s">
        <v>2416</v>
      </c>
      <c r="K594" s="1298">
        <v>0</v>
      </c>
      <c r="L594" s="1299"/>
      <c r="M594" s="1300"/>
      <c r="N594" s="1301">
        <v>1</v>
      </c>
      <c r="O594" s="1302">
        <v>4</v>
      </c>
      <c r="P594" s="1300">
        <v>16696.599999999999</v>
      </c>
    </row>
    <row r="595" spans="1:16" ht="12.75" thickBot="1">
      <c r="A595" s="1303" t="s">
        <v>0</v>
      </c>
      <c r="B595" s="1304"/>
      <c r="C595" s="1304"/>
      <c r="D595" s="1305"/>
      <c r="E595" s="1306"/>
      <c r="F595" s="1304"/>
      <c r="G595" s="1307"/>
      <c r="H595" s="1308"/>
      <c r="I595" s="1304"/>
      <c r="J595" s="1309"/>
      <c r="K595" s="1310"/>
      <c r="L595" s="1311"/>
      <c r="M595" s="1312">
        <f>SUM(M7:M594)</f>
        <v>16366112.00000005</v>
      </c>
      <c r="N595" s="1313"/>
      <c r="O595" s="1314"/>
      <c r="P595" s="1312">
        <f>SUM(P7:P594)</f>
        <v>8590478.0000000205</v>
      </c>
    </row>
    <row r="596" spans="1:16">
      <c r="A596" s="265" t="s">
        <v>449</v>
      </c>
    </row>
  </sheetData>
  <mergeCells count="4">
    <mergeCell ref="A5:E5"/>
    <mergeCell ref="F5:J5"/>
    <mergeCell ref="K5:M5"/>
    <mergeCell ref="N5:P5"/>
  </mergeCells>
  <printOptions horizontalCentered="1"/>
  <pageMargins left="0.19685039370078741" right="0.19685039370078741" top="0.78740157480314965" bottom="0.78740157480314965" header="0.19685039370078741" footer="0.19685039370078741"/>
  <pageSetup paperSize="9" scale="62" fitToHeight="100" orientation="landscape" r:id="rId1"/>
  <headerFooter>
    <oddHeader>&amp;C&amp;"Arial,Negrita"&amp;20PROYECTO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7"/>
  <sheetViews>
    <sheetView view="pageBreakPreview" topLeftCell="A22" zoomScaleNormal="100" zoomScaleSheetLayoutView="100" workbookViewId="0">
      <selection activeCell="B8" sqref="B8"/>
    </sheetView>
  </sheetViews>
  <sheetFormatPr baseColWidth="10" defaultColWidth="11.28515625" defaultRowHeight="12.75"/>
  <cols>
    <col min="1" max="1" width="93" bestFit="1" customWidth="1"/>
    <col min="2" max="4" width="12.7109375" bestFit="1" customWidth="1"/>
  </cols>
  <sheetData>
    <row r="1" spans="1:4">
      <c r="A1" s="76" t="s">
        <v>447</v>
      </c>
    </row>
    <row r="2" spans="1:4">
      <c r="A2" s="77" t="s">
        <v>382</v>
      </c>
    </row>
    <row r="3" spans="1:4" s="103" customFormat="1" ht="25.5">
      <c r="A3" s="113" t="s">
        <v>302</v>
      </c>
      <c r="B3" s="114">
        <v>2019</v>
      </c>
      <c r="C3" s="114">
        <v>2020</v>
      </c>
      <c r="D3" s="114">
        <v>2021</v>
      </c>
    </row>
    <row r="4" spans="1:4">
      <c r="A4" s="105" t="s">
        <v>375</v>
      </c>
      <c r="B4" s="222">
        <v>7200000</v>
      </c>
      <c r="C4" s="222">
        <v>3600000</v>
      </c>
      <c r="D4" s="222"/>
    </row>
    <row r="5" spans="1:4" s="106" customFormat="1">
      <c r="A5" s="105" t="s">
        <v>376</v>
      </c>
      <c r="B5" s="194">
        <v>269410254</v>
      </c>
      <c r="C5" s="194">
        <v>230908310</v>
      </c>
      <c r="D5" s="194">
        <v>193790795</v>
      </c>
    </row>
    <row r="6" spans="1:4" s="106" customFormat="1">
      <c r="A6" s="105" t="s">
        <v>377</v>
      </c>
      <c r="B6" s="194">
        <v>367906086</v>
      </c>
      <c r="C6" s="194">
        <v>410964374</v>
      </c>
      <c r="D6" s="194">
        <v>362635367</v>
      </c>
    </row>
    <row r="7" spans="1:4" s="106" customFormat="1">
      <c r="A7" s="105" t="s">
        <v>378</v>
      </c>
      <c r="B7" s="194">
        <v>1010560</v>
      </c>
      <c r="C7" s="194">
        <v>5322449</v>
      </c>
      <c r="D7" s="194"/>
    </row>
    <row r="8" spans="1:4" s="106" customFormat="1">
      <c r="A8" s="105" t="s">
        <v>379</v>
      </c>
      <c r="B8" s="194">
        <v>7000000</v>
      </c>
      <c r="C8" s="194">
        <v>12454318</v>
      </c>
      <c r="D8" s="194">
        <v>14835350</v>
      </c>
    </row>
    <row r="9" spans="1:4" s="106" customFormat="1">
      <c r="A9" s="105" t="s">
        <v>380</v>
      </c>
      <c r="B9" s="194">
        <v>5043543975</v>
      </c>
      <c r="C9" s="194">
        <v>5053053162</v>
      </c>
      <c r="D9" s="194">
        <v>4917968435</v>
      </c>
    </row>
    <row r="10" spans="1:4" s="106" customFormat="1">
      <c r="A10" s="105" t="s">
        <v>381</v>
      </c>
      <c r="B10" s="194">
        <v>2186262</v>
      </c>
      <c r="C10" s="194">
        <v>2496755</v>
      </c>
      <c r="D10" s="194">
        <v>740111</v>
      </c>
    </row>
    <row r="11" spans="1:4" s="110" customFormat="1">
      <c r="A11" s="111" t="s">
        <v>292</v>
      </c>
      <c r="B11" s="195">
        <f>SUM(B4:B10)</f>
        <v>5698257137</v>
      </c>
      <c r="C11" s="195">
        <f t="shared" ref="C11:D11" si="0">SUM(C4:C10)</f>
        <v>5718799368</v>
      </c>
      <c r="D11" s="195">
        <f t="shared" si="0"/>
        <v>5489970058</v>
      </c>
    </row>
    <row r="13" spans="1:4" s="103" customFormat="1" ht="25.5">
      <c r="A13" s="113" t="s">
        <v>303</v>
      </c>
      <c r="B13" s="114">
        <v>2019</v>
      </c>
      <c r="C13" s="114" t="s">
        <v>440</v>
      </c>
      <c r="D13" s="114" t="s">
        <v>441</v>
      </c>
    </row>
    <row r="14" spans="1:4">
      <c r="A14" s="105" t="s">
        <v>375</v>
      </c>
      <c r="B14" s="222">
        <v>7200000</v>
      </c>
      <c r="C14" s="222">
        <v>3600000</v>
      </c>
      <c r="D14" s="222"/>
    </row>
    <row r="15" spans="1:4" s="106" customFormat="1">
      <c r="A15" s="105" t="s">
        <v>376</v>
      </c>
      <c r="B15" s="194">
        <v>264130052</v>
      </c>
      <c r="C15" s="194">
        <v>223405224</v>
      </c>
      <c r="D15" s="194">
        <v>193790795</v>
      </c>
    </row>
    <row r="16" spans="1:4" s="106" customFormat="1">
      <c r="A16" s="105" t="s">
        <v>377</v>
      </c>
      <c r="B16" s="194">
        <v>247231269</v>
      </c>
      <c r="C16" s="194">
        <v>424214050</v>
      </c>
      <c r="D16" s="194">
        <v>362635367</v>
      </c>
    </row>
    <row r="17" spans="1:4" s="106" customFormat="1">
      <c r="A17" s="105" t="s">
        <v>378</v>
      </c>
      <c r="B17" s="194">
        <v>2099723</v>
      </c>
      <c r="C17" s="194">
        <v>1841783</v>
      </c>
      <c r="D17" s="194"/>
    </row>
    <row r="18" spans="1:4" s="106" customFormat="1">
      <c r="A18" s="105" t="s">
        <v>379</v>
      </c>
      <c r="B18" s="194">
        <v>15501324</v>
      </c>
      <c r="C18" s="194">
        <v>13308608</v>
      </c>
      <c r="D18" s="194">
        <v>14835350</v>
      </c>
    </row>
    <row r="19" spans="1:4" s="106" customFormat="1">
      <c r="A19" s="105" t="s">
        <v>380</v>
      </c>
      <c r="B19" s="194">
        <v>5670075506</v>
      </c>
      <c r="C19" s="194">
        <v>5282832971</v>
      </c>
      <c r="D19" s="194">
        <v>4917968435</v>
      </c>
    </row>
    <row r="20" spans="1:4" s="106" customFormat="1">
      <c r="A20" s="105" t="s">
        <v>381</v>
      </c>
      <c r="B20" s="194">
        <v>2556234</v>
      </c>
      <c r="C20" s="194">
        <v>2673755</v>
      </c>
      <c r="D20" s="194">
        <v>740111</v>
      </c>
    </row>
    <row r="21" spans="1:4" s="110" customFormat="1">
      <c r="A21" s="111" t="s">
        <v>292</v>
      </c>
      <c r="B21" s="195">
        <f t="shared" ref="B21:D21" si="1">SUM(B14:B20)</f>
        <v>6208794108</v>
      </c>
      <c r="C21" s="195">
        <f t="shared" si="1"/>
        <v>5951876391</v>
      </c>
      <c r="D21" s="195">
        <f t="shared" si="1"/>
        <v>5489970058</v>
      </c>
    </row>
    <row r="23" spans="1:4" s="103" customFormat="1" ht="25.5">
      <c r="A23" s="113" t="s">
        <v>304</v>
      </c>
      <c r="B23" s="114">
        <v>2019</v>
      </c>
      <c r="C23" s="114" t="s">
        <v>440</v>
      </c>
      <c r="D23" s="114" t="s">
        <v>441</v>
      </c>
    </row>
    <row r="24" spans="1:4">
      <c r="A24" s="105" t="s">
        <v>375</v>
      </c>
      <c r="B24" s="222">
        <v>3848481.21</v>
      </c>
      <c r="C24" s="222">
        <v>3600000</v>
      </c>
      <c r="D24" s="222"/>
    </row>
    <row r="25" spans="1:4" s="106" customFormat="1">
      <c r="A25" s="105" t="s">
        <v>376</v>
      </c>
      <c r="B25" s="194">
        <v>222928434.63999999</v>
      </c>
      <c r="C25" s="194">
        <v>223405224</v>
      </c>
      <c r="D25" s="194">
        <v>193790795</v>
      </c>
    </row>
    <row r="26" spans="1:4" s="106" customFormat="1">
      <c r="A26" s="105" t="s">
        <v>377</v>
      </c>
      <c r="B26" s="194">
        <v>180365476.55999994</v>
      </c>
      <c r="C26" s="194">
        <v>424214050</v>
      </c>
      <c r="D26" s="194">
        <v>362635367</v>
      </c>
    </row>
    <row r="27" spans="1:4" s="106" customFormat="1">
      <c r="A27" s="105" t="s">
        <v>378</v>
      </c>
      <c r="B27" s="194">
        <v>1649848.7999999998</v>
      </c>
      <c r="C27" s="194">
        <v>1841783</v>
      </c>
      <c r="D27" s="194"/>
    </row>
    <row r="28" spans="1:4" s="106" customFormat="1">
      <c r="A28" s="105" t="s">
        <v>379</v>
      </c>
      <c r="B28" s="194">
        <v>14608142.449999999</v>
      </c>
      <c r="C28" s="194">
        <v>13308608</v>
      </c>
      <c r="D28" s="194">
        <v>14835350</v>
      </c>
    </row>
    <row r="29" spans="1:4" s="106" customFormat="1">
      <c r="A29" s="105" t="s">
        <v>380</v>
      </c>
      <c r="B29" s="194">
        <v>5402879416.7000122</v>
      </c>
      <c r="C29" s="194">
        <f>5282832971-189450000</f>
        <v>5093382971</v>
      </c>
      <c r="D29" s="194">
        <v>4917968435</v>
      </c>
    </row>
    <row r="30" spans="1:4" s="106" customFormat="1">
      <c r="A30" s="105" t="s">
        <v>381</v>
      </c>
      <c r="B30" s="194">
        <v>2552313.2400000002</v>
      </c>
      <c r="C30" s="194">
        <v>2673755</v>
      </c>
      <c r="D30" s="194">
        <v>740111</v>
      </c>
    </row>
    <row r="31" spans="1:4" s="110" customFormat="1">
      <c r="A31" s="111" t="s">
        <v>292</v>
      </c>
      <c r="B31" s="195">
        <f t="shared" ref="B31:D31" si="2">SUM(B24:B30)</f>
        <v>5828832113.6000118</v>
      </c>
      <c r="C31" s="195">
        <f t="shared" si="2"/>
        <v>5762426391</v>
      </c>
      <c r="D31" s="195">
        <f t="shared" si="2"/>
        <v>5489970058</v>
      </c>
    </row>
    <row r="32" spans="1:4">
      <c r="A32" s="341" t="s">
        <v>442</v>
      </c>
    </row>
    <row r="33" spans="1:4">
      <c r="A33" s="342" t="s">
        <v>443</v>
      </c>
    </row>
    <row r="36" spans="1:4">
      <c r="D36" s="1609"/>
    </row>
    <row r="37" spans="1:4">
      <c r="D37" s="1609"/>
    </row>
  </sheetData>
  <printOptions horizontalCentered="1"/>
  <pageMargins left="0.19685039370078741" right="0.19685039370078741" top="0.78740157480314965" bottom="0.78740157480314965" header="0.19685039370078741" footer="0.19685039370078741"/>
  <pageSetup paperSize="9" orientation="landscape" r:id="rId1"/>
  <headerFooter alignWithMargins="0">
    <oddHeader>&amp;C&amp;"Arial,Negrita"&amp;18FORMATOS DEL 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2060"/>
    <pageSetUpPr fitToPage="1"/>
  </sheetPr>
  <dimension ref="A1:V478"/>
  <sheetViews>
    <sheetView view="pageBreakPreview" zoomScaleNormal="100" zoomScaleSheetLayoutView="100" workbookViewId="0">
      <selection activeCell="B8" sqref="B8"/>
    </sheetView>
  </sheetViews>
  <sheetFormatPr baseColWidth="10" defaultColWidth="11.42578125" defaultRowHeight="12"/>
  <cols>
    <col min="1" max="1" width="13.140625" style="285" customWidth="1"/>
    <col min="2" max="2" width="9.140625" style="285" customWidth="1"/>
    <col min="3" max="3" width="10.140625" style="285" customWidth="1"/>
    <col min="4" max="4" width="20.7109375" style="265" customWidth="1"/>
    <col min="5" max="5" width="10.7109375" style="265" customWidth="1"/>
    <col min="6" max="6" width="10" style="265" bestFit="1" customWidth="1"/>
    <col min="7" max="7" width="35.7109375" style="265" customWidth="1"/>
    <col min="8" max="8" width="20.7109375" style="265" customWidth="1"/>
    <col min="9" max="9" width="35.7109375" style="265" customWidth="1"/>
    <col min="10" max="10" width="20.7109375" style="265" customWidth="1"/>
    <col min="11" max="11" width="7.7109375" style="276" bestFit="1" customWidth="1"/>
    <col min="12" max="12" width="5.5703125" style="276" bestFit="1" customWidth="1"/>
    <col min="13" max="13" width="9.7109375" style="265" bestFit="1" customWidth="1"/>
    <col min="14" max="14" width="7.7109375" style="265" bestFit="1" customWidth="1"/>
    <col min="15" max="15" width="5.5703125" style="265" bestFit="1" customWidth="1"/>
    <col min="16" max="16" width="9.7109375" style="265" bestFit="1" customWidth="1"/>
    <col min="17" max="16384" width="11.42578125" style="265"/>
  </cols>
  <sheetData>
    <row r="1" spans="1:22" s="275" customFormat="1">
      <c r="A1" s="275" t="s">
        <v>473</v>
      </c>
    </row>
    <row r="2" spans="1:22" s="264" customFormat="1">
      <c r="A2" s="69" t="s">
        <v>1655</v>
      </c>
      <c r="B2" s="69"/>
      <c r="C2" s="69"/>
      <c r="D2" s="69"/>
      <c r="E2" s="69"/>
      <c r="F2" s="69"/>
      <c r="G2" s="69"/>
      <c r="H2" s="69"/>
      <c r="I2" s="69"/>
      <c r="J2" s="69"/>
      <c r="K2" s="69"/>
      <c r="L2" s="69"/>
      <c r="M2" s="69"/>
      <c r="N2" s="69"/>
      <c r="O2" s="69"/>
      <c r="P2" s="69"/>
      <c r="Q2" s="69"/>
      <c r="R2" s="69"/>
      <c r="S2" s="69"/>
      <c r="T2" s="69"/>
      <c r="U2" s="69"/>
      <c r="V2" s="69"/>
    </row>
    <row r="3" spans="1:22" s="264" customFormat="1">
      <c r="A3" s="742" t="s">
        <v>1654</v>
      </c>
      <c r="B3" s="742"/>
      <c r="C3" s="742"/>
      <c r="D3" s="742"/>
      <c r="E3" s="742"/>
      <c r="F3" s="742"/>
      <c r="G3" s="69"/>
      <c r="H3" s="69"/>
      <c r="I3" s="69"/>
      <c r="J3" s="69"/>
      <c r="K3" s="69"/>
      <c r="L3" s="69"/>
      <c r="M3" s="69"/>
      <c r="N3" s="69"/>
      <c r="O3" s="69"/>
      <c r="P3" s="69"/>
      <c r="Q3" s="69"/>
      <c r="R3" s="69"/>
      <c r="S3" s="69"/>
      <c r="T3" s="69"/>
      <c r="U3" s="69"/>
      <c r="V3" s="69"/>
    </row>
    <row r="4" spans="1:22" ht="12.75" thickBot="1">
      <c r="A4" s="1144" t="s">
        <v>4239</v>
      </c>
      <c r="B4" s="1144"/>
      <c r="C4" s="1144"/>
      <c r="D4" s="1144"/>
      <c r="E4" s="1144"/>
      <c r="F4" s="1144"/>
    </row>
    <row r="5" spans="1:22" s="277" customFormat="1" ht="12.75" thickBot="1">
      <c r="A5" s="2024" t="s">
        <v>131</v>
      </c>
      <c r="B5" s="2069"/>
      <c r="C5" s="2069"/>
      <c r="D5" s="2069"/>
      <c r="E5" s="2025"/>
      <c r="F5" s="2070" t="s">
        <v>132</v>
      </c>
      <c r="G5" s="2071"/>
      <c r="H5" s="2072"/>
      <c r="I5" s="2072"/>
      <c r="J5" s="2073"/>
      <c r="K5" s="2074" t="s">
        <v>1652</v>
      </c>
      <c r="L5" s="2075"/>
      <c r="M5" s="2076"/>
      <c r="N5" s="2074" t="s">
        <v>1651</v>
      </c>
      <c r="O5" s="2075"/>
      <c r="P5" s="2076"/>
    </row>
    <row r="6" spans="1:22" s="278" customFormat="1" ht="78" thickBot="1">
      <c r="A6" s="401" t="s">
        <v>94</v>
      </c>
      <c r="B6" s="139" t="s">
        <v>8</v>
      </c>
      <c r="C6" s="139" t="s">
        <v>91</v>
      </c>
      <c r="D6" s="402" t="s">
        <v>95</v>
      </c>
      <c r="E6" s="404" t="s">
        <v>115</v>
      </c>
      <c r="F6" s="401" t="s">
        <v>119</v>
      </c>
      <c r="G6" s="402" t="s">
        <v>120</v>
      </c>
      <c r="H6" s="402" t="s">
        <v>134</v>
      </c>
      <c r="I6" s="139" t="s">
        <v>135</v>
      </c>
      <c r="J6" s="399" t="s">
        <v>124</v>
      </c>
      <c r="K6" s="443" t="s">
        <v>121</v>
      </c>
      <c r="L6" s="140" t="s">
        <v>122</v>
      </c>
      <c r="M6" s="1149" t="s">
        <v>123</v>
      </c>
      <c r="N6" s="443" t="s">
        <v>121</v>
      </c>
      <c r="O6" s="140" t="s">
        <v>122</v>
      </c>
      <c r="P6" s="141" t="s">
        <v>123</v>
      </c>
    </row>
    <row r="7" spans="1:22" ht="24">
      <c r="A7" s="1315" t="s">
        <v>3628</v>
      </c>
      <c r="B7" s="1316" t="s">
        <v>1880</v>
      </c>
      <c r="C7" s="1316" t="s">
        <v>504</v>
      </c>
      <c r="D7" s="1317" t="s">
        <v>1784</v>
      </c>
      <c r="E7" s="1318">
        <v>2248</v>
      </c>
      <c r="F7" s="1122">
        <v>43639062</v>
      </c>
      <c r="G7" s="1319" t="s">
        <v>4238</v>
      </c>
      <c r="H7" s="1320" t="s">
        <v>1784</v>
      </c>
      <c r="I7" s="1320" t="s">
        <v>3629</v>
      </c>
      <c r="J7" s="1321" t="s">
        <v>1784</v>
      </c>
      <c r="K7" s="1322" t="s">
        <v>3625</v>
      </c>
      <c r="L7" s="1323">
        <v>3</v>
      </c>
      <c r="M7" s="1324">
        <v>7284.2</v>
      </c>
      <c r="N7" s="1322" t="s">
        <v>3625</v>
      </c>
      <c r="O7" s="1323">
        <v>6</v>
      </c>
      <c r="P7" s="1324">
        <v>14861.95</v>
      </c>
    </row>
    <row r="8" spans="1:22" ht="24">
      <c r="A8" s="1315" t="s">
        <v>3628</v>
      </c>
      <c r="B8" s="1316" t="s">
        <v>1880</v>
      </c>
      <c r="C8" s="1316" t="s">
        <v>504</v>
      </c>
      <c r="D8" s="1317" t="s">
        <v>3636</v>
      </c>
      <c r="E8" s="1318">
        <v>1000</v>
      </c>
      <c r="F8" s="1122" t="s">
        <v>4237</v>
      </c>
      <c r="G8" s="1319" t="s">
        <v>4236</v>
      </c>
      <c r="H8" s="1320" t="s">
        <v>3636</v>
      </c>
      <c r="I8" s="1319" t="s">
        <v>3626</v>
      </c>
      <c r="J8" s="1321" t="s">
        <v>3636</v>
      </c>
      <c r="K8" s="1322" t="s">
        <v>3625</v>
      </c>
      <c r="L8" s="1323">
        <v>3</v>
      </c>
      <c r="M8" s="1324">
        <v>3470</v>
      </c>
      <c r="N8" s="1322" t="s">
        <v>3625</v>
      </c>
      <c r="O8" s="1323">
        <v>6</v>
      </c>
      <c r="P8" s="1324">
        <v>6869.05</v>
      </c>
    </row>
    <row r="9" spans="1:22">
      <c r="A9" s="1315" t="s">
        <v>3628</v>
      </c>
      <c r="B9" s="1316" t="s">
        <v>1880</v>
      </c>
      <c r="C9" s="1316" t="s">
        <v>504</v>
      </c>
      <c r="D9" s="1317" t="s">
        <v>1571</v>
      </c>
      <c r="E9" s="1318">
        <v>5000</v>
      </c>
      <c r="F9" s="1122">
        <v>44079277</v>
      </c>
      <c r="G9" s="1319" t="s">
        <v>4235</v>
      </c>
      <c r="H9" s="1320" t="s">
        <v>1571</v>
      </c>
      <c r="I9" s="1319" t="s">
        <v>3633</v>
      </c>
      <c r="J9" s="1321" t="s">
        <v>1571</v>
      </c>
      <c r="K9" s="1322" t="s">
        <v>3625</v>
      </c>
      <c r="L9" s="1323">
        <v>2</v>
      </c>
      <c r="M9" s="1324">
        <v>10326.799999999999</v>
      </c>
      <c r="N9" s="1322" t="s">
        <v>3625</v>
      </c>
      <c r="O9" s="1323">
        <v>3</v>
      </c>
      <c r="P9" s="1324">
        <v>15851.5</v>
      </c>
    </row>
    <row r="10" spans="1:22">
      <c r="A10" s="1315" t="s">
        <v>3628</v>
      </c>
      <c r="B10" s="1316" t="s">
        <v>1880</v>
      </c>
      <c r="C10" s="1316" t="s">
        <v>504</v>
      </c>
      <c r="D10" s="1319" t="s">
        <v>1673</v>
      </c>
      <c r="E10" s="1318">
        <v>3500</v>
      </c>
      <c r="F10" s="1325" t="s">
        <v>4234</v>
      </c>
      <c r="G10" s="1319" t="s">
        <v>4233</v>
      </c>
      <c r="H10" s="1319" t="s">
        <v>1673</v>
      </c>
      <c r="I10" s="1319" t="s">
        <v>3633</v>
      </c>
      <c r="J10" s="1326" t="s">
        <v>1673</v>
      </c>
      <c r="K10" s="1322" t="s">
        <v>3625</v>
      </c>
      <c r="L10" s="1323">
        <v>12</v>
      </c>
      <c r="M10" s="1324">
        <v>43360.800000000003</v>
      </c>
      <c r="N10" s="1322" t="s">
        <v>3625</v>
      </c>
      <c r="O10" s="1323">
        <v>6</v>
      </c>
      <c r="P10" s="1324">
        <v>22599.83</v>
      </c>
    </row>
    <row r="11" spans="1:22">
      <c r="A11" s="1315" t="s">
        <v>3628</v>
      </c>
      <c r="B11" s="1316" t="s">
        <v>1880</v>
      </c>
      <c r="C11" s="1316" t="s">
        <v>504</v>
      </c>
      <c r="D11" s="1319" t="s">
        <v>4230</v>
      </c>
      <c r="E11" s="1318">
        <v>3000</v>
      </c>
      <c r="F11" s="1122" t="s">
        <v>4232</v>
      </c>
      <c r="G11" s="1319" t="s">
        <v>4231</v>
      </c>
      <c r="H11" s="1319" t="s">
        <v>4230</v>
      </c>
      <c r="I11" s="1319" t="s">
        <v>3629</v>
      </c>
      <c r="J11" s="1326" t="s">
        <v>4230</v>
      </c>
      <c r="K11" s="1322" t="s">
        <v>3625</v>
      </c>
      <c r="L11" s="1323">
        <v>4</v>
      </c>
      <c r="M11" s="1324">
        <v>12453.6</v>
      </c>
      <c r="N11" s="1322" t="s">
        <v>3625</v>
      </c>
      <c r="O11" s="1323">
        <v>3</v>
      </c>
      <c r="P11" s="1324">
        <v>9851.5</v>
      </c>
    </row>
    <row r="12" spans="1:22">
      <c r="A12" s="1315" t="s">
        <v>3628</v>
      </c>
      <c r="B12" s="1316" t="s">
        <v>1880</v>
      </c>
      <c r="C12" s="1316" t="s">
        <v>504</v>
      </c>
      <c r="D12" s="1317" t="s">
        <v>1571</v>
      </c>
      <c r="E12" s="1327">
        <v>6000</v>
      </c>
      <c r="F12" s="1328" t="s">
        <v>4229</v>
      </c>
      <c r="G12" s="1319" t="s">
        <v>4228</v>
      </c>
      <c r="H12" s="1320" t="s">
        <v>1571</v>
      </c>
      <c r="I12" s="1320" t="s">
        <v>3633</v>
      </c>
      <c r="J12" s="1321" t="s">
        <v>1571</v>
      </c>
      <c r="K12" s="1322" t="s">
        <v>3625</v>
      </c>
      <c r="L12" s="1323">
        <v>12</v>
      </c>
      <c r="M12" s="1324">
        <v>73360.800000000003</v>
      </c>
      <c r="N12" s="1322" t="s">
        <v>3625</v>
      </c>
      <c r="O12" s="1323">
        <v>6</v>
      </c>
      <c r="P12" s="1324">
        <v>37599.83</v>
      </c>
    </row>
    <row r="13" spans="1:22" ht="24">
      <c r="A13" s="1315" t="s">
        <v>3628</v>
      </c>
      <c r="B13" s="1316" t="s">
        <v>1880</v>
      </c>
      <c r="C13" s="1316" t="s">
        <v>504</v>
      </c>
      <c r="D13" s="1317" t="s">
        <v>1784</v>
      </c>
      <c r="E13" s="1327">
        <v>930</v>
      </c>
      <c r="F13" s="1328" t="s">
        <v>4227</v>
      </c>
      <c r="G13" s="1319" t="s">
        <v>4226</v>
      </c>
      <c r="H13" s="1320" t="s">
        <v>1784</v>
      </c>
      <c r="I13" s="1320" t="s">
        <v>3629</v>
      </c>
      <c r="J13" s="1321" t="s">
        <v>1784</v>
      </c>
      <c r="K13" s="1322" t="s">
        <v>3625</v>
      </c>
      <c r="L13" s="1323">
        <v>12</v>
      </c>
      <c r="M13" s="1324">
        <v>12764.4</v>
      </c>
      <c r="N13" s="1322" t="s">
        <v>3625</v>
      </c>
      <c r="O13" s="1323">
        <v>6</v>
      </c>
      <c r="P13" s="1324">
        <v>5580</v>
      </c>
    </row>
    <row r="14" spans="1:22">
      <c r="A14" s="1315" t="s">
        <v>3628</v>
      </c>
      <c r="B14" s="1316" t="s">
        <v>1880</v>
      </c>
      <c r="C14" s="1316" t="s">
        <v>504</v>
      </c>
      <c r="D14" s="1319" t="s">
        <v>1972</v>
      </c>
      <c r="E14" s="1318">
        <v>930</v>
      </c>
      <c r="F14" s="1325" t="s">
        <v>4225</v>
      </c>
      <c r="G14" s="1319" t="s">
        <v>4224</v>
      </c>
      <c r="H14" s="1319" t="s">
        <v>1972</v>
      </c>
      <c r="I14" s="1319" t="s">
        <v>3629</v>
      </c>
      <c r="J14" s="1326" t="s">
        <v>1972</v>
      </c>
      <c r="K14" s="1322" t="s">
        <v>3625</v>
      </c>
      <c r="L14" s="1323">
        <v>12</v>
      </c>
      <c r="M14" s="1324">
        <v>13146</v>
      </c>
      <c r="N14" s="1322" t="s">
        <v>3625</v>
      </c>
      <c r="O14" s="1323">
        <v>6</v>
      </c>
      <c r="P14" s="1324">
        <v>5580</v>
      </c>
    </row>
    <row r="15" spans="1:22">
      <c r="A15" s="1315" t="s">
        <v>3628</v>
      </c>
      <c r="B15" s="1316" t="s">
        <v>1880</v>
      </c>
      <c r="C15" s="1316" t="s">
        <v>504</v>
      </c>
      <c r="D15" s="1317" t="s">
        <v>1972</v>
      </c>
      <c r="E15" s="1327">
        <v>930</v>
      </c>
      <c r="F15" s="1328" t="s">
        <v>4223</v>
      </c>
      <c r="G15" s="1319" t="s">
        <v>4222</v>
      </c>
      <c r="H15" s="1320" t="s">
        <v>1972</v>
      </c>
      <c r="I15" s="1320" t="s">
        <v>3629</v>
      </c>
      <c r="J15" s="1321" t="s">
        <v>1972</v>
      </c>
      <c r="K15" s="1322" t="s">
        <v>3625</v>
      </c>
      <c r="L15" s="1323">
        <v>12</v>
      </c>
      <c r="M15" s="1324">
        <v>13146</v>
      </c>
      <c r="N15" s="1322" t="s">
        <v>3625</v>
      </c>
      <c r="O15" s="1323">
        <v>6</v>
      </c>
      <c r="P15" s="1324">
        <v>5580</v>
      </c>
    </row>
    <row r="16" spans="1:22">
      <c r="A16" s="1315" t="s">
        <v>3628</v>
      </c>
      <c r="B16" s="1316" t="s">
        <v>1880</v>
      </c>
      <c r="C16" s="1316" t="s">
        <v>504</v>
      </c>
      <c r="D16" s="1319" t="s">
        <v>1972</v>
      </c>
      <c r="E16" s="1318">
        <v>930</v>
      </c>
      <c r="F16" s="1325" t="s">
        <v>4221</v>
      </c>
      <c r="G16" s="1319" t="s">
        <v>4220</v>
      </c>
      <c r="H16" s="1319" t="s">
        <v>1972</v>
      </c>
      <c r="I16" s="1319" t="s">
        <v>3629</v>
      </c>
      <c r="J16" s="1326" t="s">
        <v>1972</v>
      </c>
      <c r="K16" s="1322" t="s">
        <v>3625</v>
      </c>
      <c r="L16" s="1323">
        <v>12</v>
      </c>
      <c r="M16" s="1324">
        <v>13146</v>
      </c>
      <c r="N16" s="1322" t="s">
        <v>3625</v>
      </c>
      <c r="O16" s="1323">
        <v>6</v>
      </c>
      <c r="P16" s="1324">
        <v>5580</v>
      </c>
    </row>
    <row r="17" spans="1:16" ht="24">
      <c r="A17" s="1315" t="s">
        <v>3628</v>
      </c>
      <c r="B17" s="1316" t="s">
        <v>1880</v>
      </c>
      <c r="C17" s="1316" t="s">
        <v>504</v>
      </c>
      <c r="D17" s="1317" t="s">
        <v>3836</v>
      </c>
      <c r="E17" s="1327">
        <v>930</v>
      </c>
      <c r="F17" s="1328" t="s">
        <v>4219</v>
      </c>
      <c r="G17" s="1319" t="s">
        <v>4218</v>
      </c>
      <c r="H17" s="1320" t="s">
        <v>3836</v>
      </c>
      <c r="I17" s="1320" t="s">
        <v>3629</v>
      </c>
      <c r="J17" s="1321" t="s">
        <v>3836</v>
      </c>
      <c r="K17" s="1322" t="s">
        <v>3625</v>
      </c>
      <c r="L17" s="1323">
        <v>12</v>
      </c>
      <c r="M17" s="1324">
        <v>12764.4</v>
      </c>
      <c r="N17" s="1322" t="s">
        <v>3625</v>
      </c>
      <c r="O17" s="1323">
        <v>6</v>
      </c>
      <c r="P17" s="1324">
        <v>5580</v>
      </c>
    </row>
    <row r="18" spans="1:16">
      <c r="A18" s="1315" t="s">
        <v>3628</v>
      </c>
      <c r="B18" s="1316" t="s">
        <v>1880</v>
      </c>
      <c r="C18" s="1316" t="s">
        <v>504</v>
      </c>
      <c r="D18" s="1319" t="s">
        <v>1972</v>
      </c>
      <c r="E18" s="1318">
        <v>930</v>
      </c>
      <c r="F18" s="1325" t="s">
        <v>4217</v>
      </c>
      <c r="G18" s="1319" t="s">
        <v>4216</v>
      </c>
      <c r="H18" s="1319" t="s">
        <v>1972</v>
      </c>
      <c r="I18" s="1319" t="s">
        <v>3629</v>
      </c>
      <c r="J18" s="1326" t="s">
        <v>1972</v>
      </c>
      <c r="K18" s="1322" t="s">
        <v>3625</v>
      </c>
      <c r="L18" s="1323">
        <v>0</v>
      </c>
      <c r="M18" s="1324">
        <v>0</v>
      </c>
      <c r="N18" s="1322" t="s">
        <v>3625</v>
      </c>
      <c r="O18" s="1323">
        <v>6</v>
      </c>
      <c r="P18" s="1324">
        <v>5580</v>
      </c>
    </row>
    <row r="19" spans="1:16">
      <c r="A19" s="1315" t="s">
        <v>3628</v>
      </c>
      <c r="B19" s="1316" t="s">
        <v>1880</v>
      </c>
      <c r="C19" s="1316" t="s">
        <v>504</v>
      </c>
      <c r="D19" s="1317" t="s">
        <v>2220</v>
      </c>
      <c r="E19" s="1327">
        <v>930</v>
      </c>
      <c r="F19" s="1328" t="s">
        <v>4215</v>
      </c>
      <c r="G19" s="1319" t="s">
        <v>4214</v>
      </c>
      <c r="H19" s="1320" t="s">
        <v>2220</v>
      </c>
      <c r="I19" s="1320" t="s">
        <v>3629</v>
      </c>
      <c r="J19" s="1321" t="s">
        <v>2220</v>
      </c>
      <c r="K19" s="1322" t="s">
        <v>3625</v>
      </c>
      <c r="L19" s="1323">
        <v>12</v>
      </c>
      <c r="M19" s="1324">
        <v>12764.4</v>
      </c>
      <c r="N19" s="1322" t="s">
        <v>3625</v>
      </c>
      <c r="O19" s="1323">
        <v>6</v>
      </c>
      <c r="P19" s="1324">
        <v>5580</v>
      </c>
    </row>
    <row r="20" spans="1:16">
      <c r="A20" s="1315" t="s">
        <v>3628</v>
      </c>
      <c r="B20" s="1316" t="s">
        <v>1880</v>
      </c>
      <c r="C20" s="1316" t="s">
        <v>504</v>
      </c>
      <c r="D20" s="1319" t="s">
        <v>1972</v>
      </c>
      <c r="E20" s="1318">
        <v>930</v>
      </c>
      <c r="F20" s="1325" t="s">
        <v>4213</v>
      </c>
      <c r="G20" s="1319" t="s">
        <v>4212</v>
      </c>
      <c r="H20" s="1319" t="s">
        <v>1972</v>
      </c>
      <c r="I20" s="1319" t="s">
        <v>3629</v>
      </c>
      <c r="J20" s="1326" t="s">
        <v>1972</v>
      </c>
      <c r="K20" s="1322" t="s">
        <v>3625</v>
      </c>
      <c r="L20" s="1323">
        <v>12</v>
      </c>
      <c r="M20" s="1324">
        <v>13146</v>
      </c>
      <c r="N20" s="1322" t="s">
        <v>3625</v>
      </c>
      <c r="O20" s="1323">
        <v>6</v>
      </c>
      <c r="P20" s="1324">
        <v>5580</v>
      </c>
    </row>
    <row r="21" spans="1:16" ht="24">
      <c r="A21" s="1315" t="s">
        <v>3628</v>
      </c>
      <c r="B21" s="1316" t="s">
        <v>1880</v>
      </c>
      <c r="C21" s="1316" t="s">
        <v>504</v>
      </c>
      <c r="D21" s="1320" t="s">
        <v>2083</v>
      </c>
      <c r="E21" s="1327">
        <v>1600</v>
      </c>
      <c r="F21" s="1328" t="s">
        <v>4211</v>
      </c>
      <c r="G21" s="1319" t="s">
        <v>4210</v>
      </c>
      <c r="H21" s="1320" t="s">
        <v>2083</v>
      </c>
      <c r="I21" s="1320" t="s">
        <v>3633</v>
      </c>
      <c r="J21" s="1321" t="s">
        <v>2083</v>
      </c>
      <c r="K21" s="1322" t="s">
        <v>3625</v>
      </c>
      <c r="L21" s="1323">
        <v>0</v>
      </c>
      <c r="M21" s="1324">
        <v>0</v>
      </c>
      <c r="N21" s="1322" t="s">
        <v>3625</v>
      </c>
      <c r="O21" s="1323">
        <v>6</v>
      </c>
      <c r="P21" s="1324">
        <v>11130.29</v>
      </c>
    </row>
    <row r="22" spans="1:16" ht="24">
      <c r="A22" s="1315" t="s">
        <v>3628</v>
      </c>
      <c r="B22" s="1316" t="s">
        <v>1880</v>
      </c>
      <c r="C22" s="1316" t="s">
        <v>504</v>
      </c>
      <c r="D22" s="1319" t="s">
        <v>4207</v>
      </c>
      <c r="E22" s="1318">
        <v>1600</v>
      </c>
      <c r="F22" s="1325" t="s">
        <v>4209</v>
      </c>
      <c r="G22" s="1319" t="s">
        <v>4208</v>
      </c>
      <c r="H22" s="1319" t="s">
        <v>4207</v>
      </c>
      <c r="I22" s="1319" t="s">
        <v>3633</v>
      </c>
      <c r="J22" s="1326" t="s">
        <v>4207</v>
      </c>
      <c r="K22" s="1322" t="s">
        <v>3625</v>
      </c>
      <c r="L22" s="1323">
        <v>12</v>
      </c>
      <c r="M22" s="1324">
        <v>21160.799999999999</v>
      </c>
      <c r="N22" s="1322" t="s">
        <v>3625</v>
      </c>
      <c r="O22" s="1323">
        <v>6</v>
      </c>
      <c r="P22" s="1324">
        <v>11130.29</v>
      </c>
    </row>
    <row r="23" spans="1:16" ht="24">
      <c r="A23" s="1315" t="s">
        <v>3628</v>
      </c>
      <c r="B23" s="1316" t="s">
        <v>1880</v>
      </c>
      <c r="C23" s="1316" t="s">
        <v>504</v>
      </c>
      <c r="D23" s="1317" t="s">
        <v>1922</v>
      </c>
      <c r="E23" s="1327">
        <v>930</v>
      </c>
      <c r="F23" s="1328" t="s">
        <v>4206</v>
      </c>
      <c r="G23" s="1319" t="s">
        <v>4205</v>
      </c>
      <c r="H23" s="1320" t="s">
        <v>1922</v>
      </c>
      <c r="I23" s="1320" t="s">
        <v>3626</v>
      </c>
      <c r="J23" s="1321" t="s">
        <v>1922</v>
      </c>
      <c r="K23" s="1322" t="s">
        <v>3625</v>
      </c>
      <c r="L23" s="1323">
        <v>12</v>
      </c>
      <c r="M23" s="1324">
        <v>12764.4</v>
      </c>
      <c r="N23" s="1322" t="s">
        <v>3625</v>
      </c>
      <c r="O23" s="1323">
        <v>6</v>
      </c>
      <c r="P23" s="1324">
        <v>5580</v>
      </c>
    </row>
    <row r="24" spans="1:16" ht="24">
      <c r="A24" s="1315" t="s">
        <v>3628</v>
      </c>
      <c r="B24" s="1316" t="s">
        <v>1880</v>
      </c>
      <c r="C24" s="1316" t="s">
        <v>504</v>
      </c>
      <c r="D24" s="1319" t="s">
        <v>1922</v>
      </c>
      <c r="E24" s="1318">
        <v>930</v>
      </c>
      <c r="F24" s="1325" t="s">
        <v>4204</v>
      </c>
      <c r="G24" s="1319" t="s">
        <v>4203</v>
      </c>
      <c r="H24" s="1319" t="s">
        <v>1922</v>
      </c>
      <c r="I24" s="1319" t="s">
        <v>3626</v>
      </c>
      <c r="J24" s="1326" t="s">
        <v>1922</v>
      </c>
      <c r="K24" s="1322" t="s">
        <v>3625</v>
      </c>
      <c r="L24" s="1323">
        <v>12</v>
      </c>
      <c r="M24" s="1324">
        <v>12764.4</v>
      </c>
      <c r="N24" s="1322" t="s">
        <v>3625</v>
      </c>
      <c r="O24" s="1323">
        <v>6</v>
      </c>
      <c r="P24" s="1324">
        <v>5580</v>
      </c>
    </row>
    <row r="25" spans="1:16" ht="24">
      <c r="A25" s="1315" t="s">
        <v>3628</v>
      </c>
      <c r="B25" s="1316" t="s">
        <v>1880</v>
      </c>
      <c r="C25" s="1316" t="s">
        <v>504</v>
      </c>
      <c r="D25" s="1317" t="s">
        <v>3636</v>
      </c>
      <c r="E25" s="1327">
        <v>1035</v>
      </c>
      <c r="F25" s="1328" t="s">
        <v>4202</v>
      </c>
      <c r="G25" s="1319" t="s">
        <v>4201</v>
      </c>
      <c r="H25" s="1320" t="s">
        <v>3636</v>
      </c>
      <c r="I25" s="1320" t="s">
        <v>3626</v>
      </c>
      <c r="J25" s="1321" t="s">
        <v>3636</v>
      </c>
      <c r="K25" s="1322" t="s">
        <v>3625</v>
      </c>
      <c r="L25" s="1323">
        <v>12</v>
      </c>
      <c r="M25" s="1324">
        <v>14046</v>
      </c>
      <c r="N25" s="1322" t="s">
        <v>3625</v>
      </c>
      <c r="O25" s="1323">
        <v>6</v>
      </c>
      <c r="P25" s="1324">
        <v>7097.95</v>
      </c>
    </row>
    <row r="26" spans="1:16" ht="24">
      <c r="A26" s="1315" t="s">
        <v>3628</v>
      </c>
      <c r="B26" s="1316" t="s">
        <v>1880</v>
      </c>
      <c r="C26" s="1316" t="s">
        <v>504</v>
      </c>
      <c r="D26" s="1319" t="s">
        <v>3636</v>
      </c>
      <c r="E26" s="1318">
        <v>930</v>
      </c>
      <c r="F26" s="1325" t="s">
        <v>4200</v>
      </c>
      <c r="G26" s="1319" t="s">
        <v>4199</v>
      </c>
      <c r="H26" s="1319" t="s">
        <v>3636</v>
      </c>
      <c r="I26" s="1319" t="s">
        <v>3626</v>
      </c>
      <c r="J26" s="1326" t="s">
        <v>3636</v>
      </c>
      <c r="K26" s="1322" t="s">
        <v>3625</v>
      </c>
      <c r="L26" s="1323">
        <v>12</v>
      </c>
      <c r="M26" s="1324">
        <v>12764.4</v>
      </c>
      <c r="N26" s="1322" t="s">
        <v>3625</v>
      </c>
      <c r="O26" s="1323">
        <v>6</v>
      </c>
      <c r="P26" s="1324">
        <v>5580</v>
      </c>
    </row>
    <row r="27" spans="1:16">
      <c r="A27" s="1315" t="s">
        <v>3628</v>
      </c>
      <c r="B27" s="1316" t="s">
        <v>1880</v>
      </c>
      <c r="C27" s="1316" t="s">
        <v>504</v>
      </c>
      <c r="D27" s="1317" t="s">
        <v>1925</v>
      </c>
      <c r="E27" s="1327">
        <v>930</v>
      </c>
      <c r="F27" s="1328" t="s">
        <v>4198</v>
      </c>
      <c r="G27" s="1319" t="s">
        <v>4197</v>
      </c>
      <c r="H27" s="1320" t="s">
        <v>1925</v>
      </c>
      <c r="I27" s="1320" t="s">
        <v>3629</v>
      </c>
      <c r="J27" s="1321" t="s">
        <v>1925</v>
      </c>
      <c r="K27" s="1322" t="s">
        <v>3625</v>
      </c>
      <c r="L27" s="1323">
        <v>12</v>
      </c>
      <c r="M27" s="1324">
        <v>12764.4</v>
      </c>
      <c r="N27" s="1322" t="s">
        <v>3625</v>
      </c>
      <c r="O27" s="1323">
        <v>6</v>
      </c>
      <c r="P27" s="1324">
        <v>5580</v>
      </c>
    </row>
    <row r="28" spans="1:16">
      <c r="A28" s="1315" t="s">
        <v>3628</v>
      </c>
      <c r="B28" s="1316" t="s">
        <v>1880</v>
      </c>
      <c r="C28" s="1316" t="s">
        <v>504</v>
      </c>
      <c r="D28" s="1319" t="s">
        <v>759</v>
      </c>
      <c r="E28" s="1318">
        <v>8000</v>
      </c>
      <c r="F28" s="1325" t="s">
        <v>1473</v>
      </c>
      <c r="G28" s="1319" t="s">
        <v>4196</v>
      </c>
      <c r="H28" s="1319" t="s">
        <v>759</v>
      </c>
      <c r="I28" s="1319" t="s">
        <v>3633</v>
      </c>
      <c r="J28" s="1326" t="s">
        <v>759</v>
      </c>
      <c r="K28" s="1322" t="s">
        <v>3625</v>
      </c>
      <c r="L28" s="1323">
        <v>12</v>
      </c>
      <c r="M28" s="1324">
        <v>97360.8</v>
      </c>
      <c r="N28" s="1322" t="s">
        <v>3625</v>
      </c>
      <c r="O28" s="1323">
        <v>3</v>
      </c>
      <c r="P28" s="1324">
        <v>25373.95</v>
      </c>
    </row>
    <row r="29" spans="1:16">
      <c r="A29" s="1315" t="s">
        <v>3628</v>
      </c>
      <c r="B29" s="1316" t="s">
        <v>1880</v>
      </c>
      <c r="C29" s="1316" t="s">
        <v>504</v>
      </c>
      <c r="D29" s="1319" t="s">
        <v>1980</v>
      </c>
      <c r="E29" s="1318">
        <v>930</v>
      </c>
      <c r="F29" s="1325" t="s">
        <v>4195</v>
      </c>
      <c r="G29" s="1319" t="s">
        <v>4194</v>
      </c>
      <c r="H29" s="1319" t="s">
        <v>1980</v>
      </c>
      <c r="I29" s="1319" t="s">
        <v>3626</v>
      </c>
      <c r="J29" s="1326" t="s">
        <v>1980</v>
      </c>
      <c r="K29" s="1322" t="s">
        <v>3625</v>
      </c>
      <c r="L29" s="1323">
        <v>12</v>
      </c>
      <c r="M29" s="1324">
        <v>12764.4</v>
      </c>
      <c r="N29" s="1322" t="s">
        <v>3625</v>
      </c>
      <c r="O29" s="1323">
        <v>6</v>
      </c>
      <c r="P29" s="1324">
        <v>5580</v>
      </c>
    </row>
    <row r="30" spans="1:16">
      <c r="A30" s="1315" t="s">
        <v>3628</v>
      </c>
      <c r="B30" s="1316" t="s">
        <v>1880</v>
      </c>
      <c r="C30" s="1316" t="s">
        <v>504</v>
      </c>
      <c r="D30" s="1317" t="s">
        <v>1972</v>
      </c>
      <c r="E30" s="1327">
        <v>930</v>
      </c>
      <c r="F30" s="1328" t="s">
        <v>4193</v>
      </c>
      <c r="G30" s="1319" t="s">
        <v>4192</v>
      </c>
      <c r="H30" s="1320" t="s">
        <v>1972</v>
      </c>
      <c r="I30" s="1320" t="s">
        <v>3629</v>
      </c>
      <c r="J30" s="1321" t="s">
        <v>1972</v>
      </c>
      <c r="K30" s="1322" t="s">
        <v>3625</v>
      </c>
      <c r="L30" s="1323">
        <v>12</v>
      </c>
      <c r="M30" s="1324">
        <v>13146</v>
      </c>
      <c r="N30" s="1322" t="s">
        <v>3625</v>
      </c>
      <c r="O30" s="1323">
        <v>6</v>
      </c>
      <c r="P30" s="1324">
        <v>5580</v>
      </c>
    </row>
    <row r="31" spans="1:16" ht="24">
      <c r="A31" s="1315" t="s">
        <v>3628</v>
      </c>
      <c r="B31" s="1316" t="s">
        <v>1880</v>
      </c>
      <c r="C31" s="1316" t="s">
        <v>504</v>
      </c>
      <c r="D31" s="1319" t="s">
        <v>859</v>
      </c>
      <c r="E31" s="1318">
        <v>5000</v>
      </c>
      <c r="F31" s="1325" t="s">
        <v>4191</v>
      </c>
      <c r="G31" s="1319" t="s">
        <v>4190</v>
      </c>
      <c r="H31" s="1319" t="s">
        <v>859</v>
      </c>
      <c r="I31" s="1319" t="s">
        <v>3633</v>
      </c>
      <c r="J31" s="1326" t="s">
        <v>859</v>
      </c>
      <c r="K31" s="1322" t="s">
        <v>3625</v>
      </c>
      <c r="L31" s="1323">
        <v>12</v>
      </c>
      <c r="M31" s="1324">
        <v>61360.800000000003</v>
      </c>
      <c r="N31" s="1322" t="s">
        <v>3625</v>
      </c>
      <c r="O31" s="1323">
        <v>6</v>
      </c>
      <c r="P31" s="1324">
        <v>31599.83</v>
      </c>
    </row>
    <row r="32" spans="1:16" ht="24">
      <c r="A32" s="1315" t="s">
        <v>3628</v>
      </c>
      <c r="B32" s="1316" t="s">
        <v>1880</v>
      </c>
      <c r="C32" s="1316" t="s">
        <v>504</v>
      </c>
      <c r="D32" s="1319" t="s">
        <v>1922</v>
      </c>
      <c r="E32" s="1318">
        <v>950</v>
      </c>
      <c r="F32" s="1325" t="s">
        <v>4189</v>
      </c>
      <c r="G32" s="1319" t="s">
        <v>4188</v>
      </c>
      <c r="H32" s="1319" t="s">
        <v>1922</v>
      </c>
      <c r="I32" s="1319" t="s">
        <v>3626</v>
      </c>
      <c r="J32" s="1326" t="s">
        <v>1922</v>
      </c>
      <c r="K32" s="1322" t="s">
        <v>3625</v>
      </c>
      <c r="L32" s="1323">
        <v>12</v>
      </c>
      <c r="M32" s="1324">
        <v>13026</v>
      </c>
      <c r="N32" s="1322" t="s">
        <v>3625</v>
      </c>
      <c r="O32" s="1323">
        <v>6</v>
      </c>
      <c r="P32" s="1324">
        <v>6605.89</v>
      </c>
    </row>
    <row r="33" spans="1:16">
      <c r="A33" s="1315" t="s">
        <v>3628</v>
      </c>
      <c r="B33" s="1316" t="s">
        <v>1880</v>
      </c>
      <c r="C33" s="1316" t="s">
        <v>504</v>
      </c>
      <c r="D33" s="1320" t="s">
        <v>1952</v>
      </c>
      <c r="E33" s="1327">
        <v>930</v>
      </c>
      <c r="F33" s="1328" t="s">
        <v>4187</v>
      </c>
      <c r="G33" s="1319" t="s">
        <v>4186</v>
      </c>
      <c r="H33" s="1320" t="s">
        <v>1952</v>
      </c>
      <c r="I33" s="1320" t="s">
        <v>3626</v>
      </c>
      <c r="J33" s="1321" t="s">
        <v>1952</v>
      </c>
      <c r="K33" s="1322" t="s">
        <v>3625</v>
      </c>
      <c r="L33" s="1323">
        <v>1</v>
      </c>
      <c r="M33" s="1324">
        <v>1395.3</v>
      </c>
      <c r="N33" s="1322" t="s">
        <v>3625</v>
      </c>
      <c r="O33" s="1323">
        <v>6</v>
      </c>
      <c r="P33" s="1324">
        <v>5580</v>
      </c>
    </row>
    <row r="34" spans="1:16" ht="24">
      <c r="A34" s="1315" t="s">
        <v>3628</v>
      </c>
      <c r="B34" s="1316" t="s">
        <v>1880</v>
      </c>
      <c r="C34" s="1316" t="s">
        <v>504</v>
      </c>
      <c r="D34" s="1319" t="s">
        <v>3836</v>
      </c>
      <c r="E34" s="1318">
        <v>1100</v>
      </c>
      <c r="F34" s="1325" t="s">
        <v>4185</v>
      </c>
      <c r="G34" s="1319" t="s">
        <v>4184</v>
      </c>
      <c r="H34" s="1319" t="s">
        <v>3836</v>
      </c>
      <c r="I34" s="1319" t="s">
        <v>3629</v>
      </c>
      <c r="J34" s="1326" t="s">
        <v>3836</v>
      </c>
      <c r="K34" s="1322" t="s">
        <v>3625</v>
      </c>
      <c r="L34" s="1323">
        <v>2</v>
      </c>
      <c r="M34" s="1324">
        <v>2398</v>
      </c>
      <c r="N34" s="1322" t="s">
        <v>3625</v>
      </c>
      <c r="O34" s="1323">
        <v>6</v>
      </c>
      <c r="P34" s="1324">
        <v>7597.63</v>
      </c>
    </row>
    <row r="35" spans="1:16" ht="24">
      <c r="A35" s="1315" t="s">
        <v>3628</v>
      </c>
      <c r="B35" s="1316" t="s">
        <v>1880</v>
      </c>
      <c r="C35" s="1316" t="s">
        <v>504</v>
      </c>
      <c r="D35" s="1320" t="s">
        <v>1922</v>
      </c>
      <c r="E35" s="1327">
        <v>930</v>
      </c>
      <c r="F35" s="1328" t="s">
        <v>4183</v>
      </c>
      <c r="G35" s="1319" t="s">
        <v>4182</v>
      </c>
      <c r="H35" s="1320" t="s">
        <v>1922</v>
      </c>
      <c r="I35" s="1320" t="s">
        <v>3626</v>
      </c>
      <c r="J35" s="1321" t="s">
        <v>1922</v>
      </c>
      <c r="K35" s="1322" t="s">
        <v>3625</v>
      </c>
      <c r="L35" s="1323">
        <v>7</v>
      </c>
      <c r="M35" s="1324">
        <v>7395.9</v>
      </c>
      <c r="N35" s="1322" t="s">
        <v>3625</v>
      </c>
      <c r="O35" s="1323">
        <v>0</v>
      </c>
      <c r="P35" s="1324"/>
    </row>
    <row r="36" spans="1:16" ht="24">
      <c r="A36" s="1315" t="s">
        <v>3628</v>
      </c>
      <c r="B36" s="1316" t="s">
        <v>1880</v>
      </c>
      <c r="C36" s="1316" t="s">
        <v>504</v>
      </c>
      <c r="D36" s="1319" t="s">
        <v>1922</v>
      </c>
      <c r="E36" s="1318">
        <v>930</v>
      </c>
      <c r="F36" s="1325" t="s">
        <v>4181</v>
      </c>
      <c r="G36" s="1319" t="s">
        <v>4180</v>
      </c>
      <c r="H36" s="1319" t="s">
        <v>1922</v>
      </c>
      <c r="I36" s="1319" t="s">
        <v>3626</v>
      </c>
      <c r="J36" s="1326" t="s">
        <v>1922</v>
      </c>
      <c r="K36" s="1322" t="s">
        <v>3625</v>
      </c>
      <c r="L36" s="1323">
        <v>12</v>
      </c>
      <c r="M36" s="1324">
        <v>12764.4</v>
      </c>
      <c r="N36" s="1322" t="s">
        <v>3625</v>
      </c>
      <c r="O36" s="1323">
        <v>6</v>
      </c>
      <c r="P36" s="1324">
        <v>5580</v>
      </c>
    </row>
    <row r="37" spans="1:16" ht="24">
      <c r="A37" s="1315" t="s">
        <v>3628</v>
      </c>
      <c r="B37" s="1316" t="s">
        <v>1880</v>
      </c>
      <c r="C37" s="1316" t="s">
        <v>504</v>
      </c>
      <c r="D37" s="1320" t="s">
        <v>1922</v>
      </c>
      <c r="E37" s="1327">
        <v>930</v>
      </c>
      <c r="F37" s="1328" t="s">
        <v>4179</v>
      </c>
      <c r="G37" s="1319" t="s">
        <v>4178</v>
      </c>
      <c r="H37" s="1320" t="s">
        <v>1922</v>
      </c>
      <c r="I37" s="1320" t="s">
        <v>3626</v>
      </c>
      <c r="J37" s="1321" t="s">
        <v>1922</v>
      </c>
      <c r="K37" s="1322" t="s">
        <v>3625</v>
      </c>
      <c r="L37" s="1323">
        <v>12</v>
      </c>
      <c r="M37" s="1324">
        <v>12764.4</v>
      </c>
      <c r="N37" s="1322" t="s">
        <v>3625</v>
      </c>
      <c r="O37" s="1323">
        <v>6</v>
      </c>
      <c r="P37" s="1324">
        <v>5580</v>
      </c>
    </row>
    <row r="38" spans="1:16" ht="24">
      <c r="A38" s="1315" t="s">
        <v>3628</v>
      </c>
      <c r="B38" s="1316" t="s">
        <v>1880</v>
      </c>
      <c r="C38" s="1316" t="s">
        <v>504</v>
      </c>
      <c r="D38" s="1319" t="s">
        <v>4175</v>
      </c>
      <c r="E38" s="1318">
        <v>930</v>
      </c>
      <c r="F38" s="1325" t="s">
        <v>4177</v>
      </c>
      <c r="G38" s="1319" t="s">
        <v>4176</v>
      </c>
      <c r="H38" s="1319" t="s">
        <v>4175</v>
      </c>
      <c r="I38" s="1319" t="s">
        <v>3629</v>
      </c>
      <c r="J38" s="1326" t="s">
        <v>4175</v>
      </c>
      <c r="K38" s="1322" t="s">
        <v>3625</v>
      </c>
      <c r="L38" s="1323">
        <v>12</v>
      </c>
      <c r="M38" s="1324">
        <v>12764.4</v>
      </c>
      <c r="N38" s="1322" t="s">
        <v>3625</v>
      </c>
      <c r="O38" s="1323">
        <v>6</v>
      </c>
      <c r="P38" s="1324">
        <v>5580</v>
      </c>
    </row>
    <row r="39" spans="1:16" ht="24">
      <c r="A39" s="1315" t="s">
        <v>3628</v>
      </c>
      <c r="B39" s="1316" t="s">
        <v>1880</v>
      </c>
      <c r="C39" s="1316" t="s">
        <v>504</v>
      </c>
      <c r="D39" s="1320" t="s">
        <v>1922</v>
      </c>
      <c r="E39" s="1327">
        <v>930</v>
      </c>
      <c r="F39" s="1328" t="s">
        <v>4174</v>
      </c>
      <c r="G39" s="1319" t="s">
        <v>4173</v>
      </c>
      <c r="H39" s="1320" t="s">
        <v>1922</v>
      </c>
      <c r="I39" s="1320" t="s">
        <v>3626</v>
      </c>
      <c r="J39" s="1321" t="s">
        <v>1922</v>
      </c>
      <c r="K39" s="1322" t="s">
        <v>3625</v>
      </c>
      <c r="L39" s="1323">
        <v>12</v>
      </c>
      <c r="M39" s="1324">
        <v>12764.4</v>
      </c>
      <c r="N39" s="1322" t="s">
        <v>3625</v>
      </c>
      <c r="O39" s="1323">
        <v>6</v>
      </c>
      <c r="P39" s="1324">
        <v>5580</v>
      </c>
    </row>
    <row r="40" spans="1:16" ht="24">
      <c r="A40" s="1315" t="s">
        <v>3628</v>
      </c>
      <c r="B40" s="1316" t="s">
        <v>1880</v>
      </c>
      <c r="C40" s="1316" t="s">
        <v>504</v>
      </c>
      <c r="D40" s="1319" t="s">
        <v>1922</v>
      </c>
      <c r="E40" s="1318">
        <v>930</v>
      </c>
      <c r="F40" s="1325" t="s">
        <v>4172</v>
      </c>
      <c r="G40" s="1319" t="s">
        <v>4171</v>
      </c>
      <c r="H40" s="1319" t="s">
        <v>1922</v>
      </c>
      <c r="I40" s="1319" t="s">
        <v>3626</v>
      </c>
      <c r="J40" s="1326" t="s">
        <v>1922</v>
      </c>
      <c r="K40" s="1322" t="s">
        <v>3625</v>
      </c>
      <c r="L40" s="1323">
        <v>12</v>
      </c>
      <c r="M40" s="1324">
        <v>12764.4</v>
      </c>
      <c r="N40" s="1322" t="s">
        <v>3625</v>
      </c>
      <c r="O40" s="1323">
        <v>6</v>
      </c>
      <c r="P40" s="1324">
        <v>5580</v>
      </c>
    </row>
    <row r="41" spans="1:16" ht="24">
      <c r="A41" s="1315" t="s">
        <v>3628</v>
      </c>
      <c r="B41" s="1316" t="s">
        <v>1880</v>
      </c>
      <c r="C41" s="1316" t="s">
        <v>504</v>
      </c>
      <c r="D41" s="1320" t="s">
        <v>1922</v>
      </c>
      <c r="E41" s="1327">
        <v>930</v>
      </c>
      <c r="F41" s="1328" t="s">
        <v>4170</v>
      </c>
      <c r="G41" s="1319" t="s">
        <v>4169</v>
      </c>
      <c r="H41" s="1320" t="s">
        <v>1922</v>
      </c>
      <c r="I41" s="1320" t="s">
        <v>3626</v>
      </c>
      <c r="J41" s="1321" t="s">
        <v>1922</v>
      </c>
      <c r="K41" s="1322" t="s">
        <v>3625</v>
      </c>
      <c r="L41" s="1323">
        <v>12</v>
      </c>
      <c r="M41" s="1324">
        <v>12764.4</v>
      </c>
      <c r="N41" s="1322" t="s">
        <v>3625</v>
      </c>
      <c r="O41" s="1323">
        <v>6</v>
      </c>
      <c r="P41" s="1324">
        <v>5580</v>
      </c>
    </row>
    <row r="42" spans="1:16">
      <c r="A42" s="1315" t="s">
        <v>3628</v>
      </c>
      <c r="B42" s="1316" t="s">
        <v>1880</v>
      </c>
      <c r="C42" s="1316" t="s">
        <v>504</v>
      </c>
      <c r="D42" s="1319" t="s">
        <v>1916</v>
      </c>
      <c r="E42" s="1318">
        <v>930</v>
      </c>
      <c r="F42" s="1325" t="s">
        <v>4168</v>
      </c>
      <c r="G42" s="1319" t="s">
        <v>4167</v>
      </c>
      <c r="H42" s="1319" t="s">
        <v>1916</v>
      </c>
      <c r="I42" s="1319" t="s">
        <v>3626</v>
      </c>
      <c r="J42" s="1326" t="s">
        <v>1916</v>
      </c>
      <c r="K42" s="1322" t="s">
        <v>3625</v>
      </c>
      <c r="L42" s="1323">
        <v>12</v>
      </c>
      <c r="M42" s="1324">
        <v>12764.4</v>
      </c>
      <c r="N42" s="1322" t="s">
        <v>3625</v>
      </c>
      <c r="O42" s="1323">
        <v>6</v>
      </c>
      <c r="P42" s="1324">
        <v>5580</v>
      </c>
    </row>
    <row r="43" spans="1:16">
      <c r="A43" s="1315" t="s">
        <v>3628</v>
      </c>
      <c r="B43" s="1316" t="s">
        <v>1880</v>
      </c>
      <c r="C43" s="1316" t="s">
        <v>504</v>
      </c>
      <c r="D43" s="1319" t="s">
        <v>1980</v>
      </c>
      <c r="E43" s="1327">
        <v>930</v>
      </c>
      <c r="F43" s="1325" t="s">
        <v>4166</v>
      </c>
      <c r="G43" s="1319" t="s">
        <v>4165</v>
      </c>
      <c r="H43" s="1320" t="s">
        <v>1980</v>
      </c>
      <c r="I43" s="1320" t="s">
        <v>3626</v>
      </c>
      <c r="J43" s="1321" t="s">
        <v>1980</v>
      </c>
      <c r="K43" s="1322" t="s">
        <v>3625</v>
      </c>
      <c r="L43" s="1323">
        <v>12</v>
      </c>
      <c r="M43" s="1324">
        <v>12764.4</v>
      </c>
      <c r="N43" s="1322" t="s">
        <v>3625</v>
      </c>
      <c r="O43" s="1323">
        <v>1</v>
      </c>
      <c r="P43" s="1324">
        <v>930</v>
      </c>
    </row>
    <row r="44" spans="1:16">
      <c r="A44" s="1315" t="s">
        <v>3628</v>
      </c>
      <c r="B44" s="1316" t="s">
        <v>1880</v>
      </c>
      <c r="C44" s="1316" t="s">
        <v>504</v>
      </c>
      <c r="D44" s="1319" t="s">
        <v>1916</v>
      </c>
      <c r="E44" s="1318">
        <v>930</v>
      </c>
      <c r="F44" s="1325" t="s">
        <v>4164</v>
      </c>
      <c r="G44" s="1319" t="s">
        <v>4163</v>
      </c>
      <c r="H44" s="1319" t="s">
        <v>1916</v>
      </c>
      <c r="I44" s="1319" t="s">
        <v>3626</v>
      </c>
      <c r="J44" s="1326" t="s">
        <v>1916</v>
      </c>
      <c r="K44" s="1322" t="s">
        <v>3625</v>
      </c>
      <c r="L44" s="1323">
        <v>12</v>
      </c>
      <c r="M44" s="1324">
        <v>12764.4</v>
      </c>
      <c r="N44" s="1322" t="s">
        <v>3625</v>
      </c>
      <c r="O44" s="1323">
        <v>6</v>
      </c>
      <c r="P44" s="1324">
        <v>5580</v>
      </c>
    </row>
    <row r="45" spans="1:16">
      <c r="A45" s="1315" t="s">
        <v>3628</v>
      </c>
      <c r="B45" s="1316" t="s">
        <v>1880</v>
      </c>
      <c r="C45" s="1316" t="s">
        <v>504</v>
      </c>
      <c r="D45" s="1320" t="s">
        <v>622</v>
      </c>
      <c r="E45" s="1327">
        <v>930</v>
      </c>
      <c r="F45" s="1328" t="s">
        <v>4162</v>
      </c>
      <c r="G45" s="1319" t="s">
        <v>4161</v>
      </c>
      <c r="H45" s="1320" t="s">
        <v>622</v>
      </c>
      <c r="I45" s="1320" t="s">
        <v>3629</v>
      </c>
      <c r="J45" s="1321" t="s">
        <v>622</v>
      </c>
      <c r="K45" s="1322" t="s">
        <v>3625</v>
      </c>
      <c r="L45" s="1323">
        <v>12</v>
      </c>
      <c r="M45" s="1324">
        <v>12764.4</v>
      </c>
      <c r="N45" s="1322" t="s">
        <v>3625</v>
      </c>
      <c r="O45" s="1323">
        <v>6</v>
      </c>
      <c r="P45" s="1324">
        <v>5580</v>
      </c>
    </row>
    <row r="46" spans="1:16" ht="24">
      <c r="A46" s="1315" t="s">
        <v>3628</v>
      </c>
      <c r="B46" s="1316" t="s">
        <v>1880</v>
      </c>
      <c r="C46" s="1316" t="s">
        <v>504</v>
      </c>
      <c r="D46" s="1319" t="s">
        <v>1922</v>
      </c>
      <c r="E46" s="1318">
        <v>930</v>
      </c>
      <c r="F46" s="1325" t="s">
        <v>4160</v>
      </c>
      <c r="G46" s="1319" t="s">
        <v>4159</v>
      </c>
      <c r="H46" s="1319" t="s">
        <v>1922</v>
      </c>
      <c r="I46" s="1319" t="s">
        <v>3626</v>
      </c>
      <c r="J46" s="1326" t="s">
        <v>1922</v>
      </c>
      <c r="K46" s="1322" t="s">
        <v>3625</v>
      </c>
      <c r="L46" s="1323">
        <v>12</v>
      </c>
      <c r="M46" s="1324">
        <v>12764.4</v>
      </c>
      <c r="N46" s="1322" t="s">
        <v>3625</v>
      </c>
      <c r="O46" s="1323">
        <v>6</v>
      </c>
      <c r="P46" s="1324">
        <v>5580</v>
      </c>
    </row>
    <row r="47" spans="1:16" ht="24">
      <c r="A47" s="1315" t="s">
        <v>3628</v>
      </c>
      <c r="B47" s="1316" t="s">
        <v>1880</v>
      </c>
      <c r="C47" s="1316" t="s">
        <v>504</v>
      </c>
      <c r="D47" s="1320" t="s">
        <v>1922</v>
      </c>
      <c r="E47" s="1327">
        <v>930</v>
      </c>
      <c r="F47" s="1328" t="s">
        <v>4158</v>
      </c>
      <c r="G47" s="1319" t="s">
        <v>4157</v>
      </c>
      <c r="H47" s="1320" t="s">
        <v>1922</v>
      </c>
      <c r="I47" s="1320" t="s">
        <v>3626</v>
      </c>
      <c r="J47" s="1321" t="s">
        <v>1922</v>
      </c>
      <c r="K47" s="1322" t="s">
        <v>3625</v>
      </c>
      <c r="L47" s="1323">
        <v>12</v>
      </c>
      <c r="M47" s="1324">
        <v>12764.4</v>
      </c>
      <c r="N47" s="1322" t="s">
        <v>3625</v>
      </c>
      <c r="O47" s="1323">
        <v>6</v>
      </c>
      <c r="P47" s="1324">
        <v>5580</v>
      </c>
    </row>
    <row r="48" spans="1:16">
      <c r="A48" s="1315" t="s">
        <v>3628</v>
      </c>
      <c r="B48" s="1316" t="s">
        <v>1880</v>
      </c>
      <c r="C48" s="1316" t="s">
        <v>504</v>
      </c>
      <c r="D48" s="1319" t="s">
        <v>2161</v>
      </c>
      <c r="E48" s="1318">
        <v>930</v>
      </c>
      <c r="F48" s="1325" t="s">
        <v>4156</v>
      </c>
      <c r="G48" s="1319" t="s">
        <v>4155</v>
      </c>
      <c r="H48" s="1319" t="s">
        <v>2161</v>
      </c>
      <c r="I48" s="1319" t="s">
        <v>3629</v>
      </c>
      <c r="J48" s="1326" t="s">
        <v>2161</v>
      </c>
      <c r="K48" s="1322" t="s">
        <v>3625</v>
      </c>
      <c r="L48" s="1323">
        <v>12</v>
      </c>
      <c r="M48" s="1324">
        <v>12764.4</v>
      </c>
      <c r="N48" s="1322" t="s">
        <v>3625</v>
      </c>
      <c r="O48" s="1323">
        <v>6</v>
      </c>
      <c r="P48" s="1324">
        <v>5580</v>
      </c>
    </row>
    <row r="49" spans="1:16">
      <c r="A49" s="1315" t="s">
        <v>3628</v>
      </c>
      <c r="B49" s="1316" t="s">
        <v>1880</v>
      </c>
      <c r="C49" s="1316" t="s">
        <v>504</v>
      </c>
      <c r="D49" s="1320" t="s">
        <v>622</v>
      </c>
      <c r="E49" s="1327">
        <v>930</v>
      </c>
      <c r="F49" s="1328" t="s">
        <v>4154</v>
      </c>
      <c r="G49" s="1319" t="s">
        <v>4153</v>
      </c>
      <c r="H49" s="1320" t="s">
        <v>622</v>
      </c>
      <c r="I49" s="1320" t="s">
        <v>3629</v>
      </c>
      <c r="J49" s="1321" t="s">
        <v>622</v>
      </c>
      <c r="K49" s="1322" t="s">
        <v>3625</v>
      </c>
      <c r="L49" s="1323">
        <v>12</v>
      </c>
      <c r="M49" s="1324">
        <v>12764.4</v>
      </c>
      <c r="N49" s="1322" t="s">
        <v>3625</v>
      </c>
      <c r="O49" s="1323">
        <v>6</v>
      </c>
      <c r="P49" s="1324">
        <v>5580</v>
      </c>
    </row>
    <row r="50" spans="1:16" ht="24">
      <c r="A50" s="1315" t="s">
        <v>3628</v>
      </c>
      <c r="B50" s="1316" t="s">
        <v>1880</v>
      </c>
      <c r="C50" s="1316" t="s">
        <v>504</v>
      </c>
      <c r="D50" s="1320" t="s">
        <v>4133</v>
      </c>
      <c r="E50" s="1327">
        <v>930</v>
      </c>
      <c r="F50" s="1328" t="s">
        <v>4152</v>
      </c>
      <c r="G50" s="1319" t="s">
        <v>4151</v>
      </c>
      <c r="H50" s="1320" t="s">
        <v>4133</v>
      </c>
      <c r="I50" s="1320" t="s">
        <v>3626</v>
      </c>
      <c r="J50" s="1321" t="s">
        <v>4133</v>
      </c>
      <c r="K50" s="1322" t="s">
        <v>3625</v>
      </c>
      <c r="L50" s="1323">
        <v>12</v>
      </c>
      <c r="M50" s="1324">
        <v>13146</v>
      </c>
      <c r="N50" s="1322" t="s">
        <v>3625</v>
      </c>
      <c r="O50" s="1323">
        <v>6</v>
      </c>
      <c r="P50" s="1324">
        <v>5580</v>
      </c>
    </row>
    <row r="51" spans="1:16" ht="24">
      <c r="A51" s="1315" t="s">
        <v>3628</v>
      </c>
      <c r="B51" s="1316" t="s">
        <v>1880</v>
      </c>
      <c r="C51" s="1316" t="s">
        <v>504</v>
      </c>
      <c r="D51" s="1319" t="s">
        <v>1922</v>
      </c>
      <c r="E51" s="1318">
        <v>950</v>
      </c>
      <c r="F51" s="1325" t="s">
        <v>4150</v>
      </c>
      <c r="G51" s="1319" t="s">
        <v>4149</v>
      </c>
      <c r="H51" s="1319" t="s">
        <v>1922</v>
      </c>
      <c r="I51" s="1319" t="s">
        <v>3626</v>
      </c>
      <c r="J51" s="1326" t="s">
        <v>1922</v>
      </c>
      <c r="K51" s="1322" t="s">
        <v>3625</v>
      </c>
      <c r="L51" s="1323">
        <v>12</v>
      </c>
      <c r="M51" s="1324">
        <v>13026</v>
      </c>
      <c r="N51" s="1322" t="s">
        <v>3625</v>
      </c>
      <c r="O51" s="1323">
        <v>6</v>
      </c>
      <c r="P51" s="1324">
        <v>6605.89</v>
      </c>
    </row>
    <row r="52" spans="1:16">
      <c r="A52" s="1315" t="s">
        <v>3628</v>
      </c>
      <c r="B52" s="1316" t="s">
        <v>1880</v>
      </c>
      <c r="C52" s="1316" t="s">
        <v>504</v>
      </c>
      <c r="D52" s="1320" t="s">
        <v>3747</v>
      </c>
      <c r="E52" s="1327">
        <v>930</v>
      </c>
      <c r="F52" s="1328" t="s">
        <v>4148</v>
      </c>
      <c r="G52" s="1319" t="s">
        <v>4147</v>
      </c>
      <c r="H52" s="1320" t="s">
        <v>3747</v>
      </c>
      <c r="I52" s="1320" t="s">
        <v>3626</v>
      </c>
      <c r="J52" s="1321" t="s">
        <v>3747</v>
      </c>
      <c r="K52" s="1322" t="s">
        <v>3625</v>
      </c>
      <c r="L52" s="1323">
        <v>12</v>
      </c>
      <c r="M52" s="1324">
        <v>12764.4</v>
      </c>
      <c r="N52" s="1322" t="s">
        <v>3625</v>
      </c>
      <c r="O52" s="1323">
        <v>6</v>
      </c>
      <c r="P52" s="1324">
        <v>5580</v>
      </c>
    </row>
    <row r="53" spans="1:16">
      <c r="A53" s="1315" t="s">
        <v>3628</v>
      </c>
      <c r="B53" s="1316" t="s">
        <v>1880</v>
      </c>
      <c r="C53" s="1316" t="s">
        <v>504</v>
      </c>
      <c r="D53" s="1320" t="s">
        <v>2215</v>
      </c>
      <c r="E53" s="1318">
        <v>0</v>
      </c>
      <c r="F53" s="1328" t="s">
        <v>4146</v>
      </c>
      <c r="G53" s="1319" t="s">
        <v>4145</v>
      </c>
      <c r="H53" s="1320" t="s">
        <v>2215</v>
      </c>
      <c r="I53" s="1319" t="s">
        <v>3626</v>
      </c>
      <c r="J53" s="1321" t="s">
        <v>2215</v>
      </c>
      <c r="K53" s="1322" t="s">
        <v>3625</v>
      </c>
      <c r="L53" s="1323">
        <v>0</v>
      </c>
      <c r="M53" s="1324">
        <v>0</v>
      </c>
      <c r="N53" s="1322" t="s">
        <v>3625</v>
      </c>
      <c r="O53" s="1323">
        <v>0</v>
      </c>
      <c r="P53" s="1324"/>
    </row>
    <row r="54" spans="1:16" ht="24">
      <c r="A54" s="1315" t="s">
        <v>3628</v>
      </c>
      <c r="B54" s="1316" t="s">
        <v>1880</v>
      </c>
      <c r="C54" s="1316" t="s">
        <v>504</v>
      </c>
      <c r="D54" s="1320" t="s">
        <v>1922</v>
      </c>
      <c r="E54" s="1327">
        <v>930</v>
      </c>
      <c r="F54" s="1328" t="s">
        <v>4144</v>
      </c>
      <c r="G54" s="1319" t="s">
        <v>4143</v>
      </c>
      <c r="H54" s="1320" t="s">
        <v>1922</v>
      </c>
      <c r="I54" s="1320" t="s">
        <v>3626</v>
      </c>
      <c r="J54" s="1321" t="s">
        <v>1922</v>
      </c>
      <c r="K54" s="1322" t="s">
        <v>3625</v>
      </c>
      <c r="L54" s="1323">
        <v>12</v>
      </c>
      <c r="M54" s="1324">
        <v>12764.4</v>
      </c>
      <c r="N54" s="1322" t="s">
        <v>3625</v>
      </c>
      <c r="O54" s="1323">
        <v>6</v>
      </c>
      <c r="P54" s="1324">
        <v>5580</v>
      </c>
    </row>
    <row r="55" spans="1:16">
      <c r="A55" s="1315" t="s">
        <v>3628</v>
      </c>
      <c r="B55" s="1316" t="s">
        <v>1880</v>
      </c>
      <c r="C55" s="1316" t="s">
        <v>504</v>
      </c>
      <c r="D55" s="1319" t="s">
        <v>2215</v>
      </c>
      <c r="E55" s="1318">
        <v>930</v>
      </c>
      <c r="F55" s="1325" t="s">
        <v>4142</v>
      </c>
      <c r="G55" s="1319" t="s">
        <v>4141</v>
      </c>
      <c r="H55" s="1319" t="s">
        <v>2215</v>
      </c>
      <c r="I55" s="1319" t="s">
        <v>3626</v>
      </c>
      <c r="J55" s="1326" t="s">
        <v>2215</v>
      </c>
      <c r="K55" s="1322" t="s">
        <v>3625</v>
      </c>
      <c r="L55" s="1323">
        <v>12</v>
      </c>
      <c r="M55" s="1324">
        <v>12764.4</v>
      </c>
      <c r="N55" s="1322" t="s">
        <v>3625</v>
      </c>
      <c r="O55" s="1323">
        <v>6</v>
      </c>
      <c r="P55" s="1324">
        <v>5580</v>
      </c>
    </row>
    <row r="56" spans="1:16" ht="24">
      <c r="A56" s="1315" t="s">
        <v>3628</v>
      </c>
      <c r="B56" s="1316" t="s">
        <v>1880</v>
      </c>
      <c r="C56" s="1316" t="s">
        <v>504</v>
      </c>
      <c r="D56" s="1320" t="s">
        <v>3636</v>
      </c>
      <c r="E56" s="1327">
        <v>930</v>
      </c>
      <c r="F56" s="1328" t="s">
        <v>4140</v>
      </c>
      <c r="G56" s="1319" t="s">
        <v>4139</v>
      </c>
      <c r="H56" s="1320" t="s">
        <v>3636</v>
      </c>
      <c r="I56" s="1320" t="s">
        <v>3626</v>
      </c>
      <c r="J56" s="1321" t="s">
        <v>3636</v>
      </c>
      <c r="K56" s="1322" t="s">
        <v>3625</v>
      </c>
      <c r="L56" s="1323">
        <v>12</v>
      </c>
      <c r="M56" s="1324">
        <v>12764.4</v>
      </c>
      <c r="N56" s="1322" t="s">
        <v>3625</v>
      </c>
      <c r="O56" s="1323">
        <v>6</v>
      </c>
      <c r="P56" s="1324">
        <v>5580</v>
      </c>
    </row>
    <row r="57" spans="1:16" ht="24">
      <c r="A57" s="1315" t="s">
        <v>3628</v>
      </c>
      <c r="B57" s="1316" t="s">
        <v>1880</v>
      </c>
      <c r="C57" s="1316" t="s">
        <v>504</v>
      </c>
      <c r="D57" s="1319" t="s">
        <v>4136</v>
      </c>
      <c r="E57" s="1318">
        <v>930</v>
      </c>
      <c r="F57" s="1325" t="s">
        <v>4138</v>
      </c>
      <c r="G57" s="1319" t="s">
        <v>4137</v>
      </c>
      <c r="H57" s="1319" t="s">
        <v>4136</v>
      </c>
      <c r="I57" s="1319" t="s">
        <v>3626</v>
      </c>
      <c r="J57" s="1326" t="s">
        <v>4136</v>
      </c>
      <c r="K57" s="1322" t="s">
        <v>3625</v>
      </c>
      <c r="L57" s="1323">
        <v>12</v>
      </c>
      <c r="M57" s="1324">
        <v>13146</v>
      </c>
      <c r="N57" s="1322" t="s">
        <v>3625</v>
      </c>
      <c r="O57" s="1323">
        <v>6</v>
      </c>
      <c r="P57" s="1324">
        <v>5580</v>
      </c>
    </row>
    <row r="58" spans="1:16" ht="24">
      <c r="A58" s="1315" t="s">
        <v>3628</v>
      </c>
      <c r="B58" s="1316" t="s">
        <v>1880</v>
      </c>
      <c r="C58" s="1316" t="s">
        <v>504</v>
      </c>
      <c r="D58" s="1320" t="s">
        <v>4133</v>
      </c>
      <c r="E58" s="1327">
        <v>930</v>
      </c>
      <c r="F58" s="1328" t="s">
        <v>4135</v>
      </c>
      <c r="G58" s="1319" t="s">
        <v>4134</v>
      </c>
      <c r="H58" s="1320" t="s">
        <v>4133</v>
      </c>
      <c r="I58" s="1320" t="s">
        <v>3626</v>
      </c>
      <c r="J58" s="1321" t="s">
        <v>4133</v>
      </c>
      <c r="K58" s="1322" t="s">
        <v>3625</v>
      </c>
      <c r="L58" s="1323">
        <v>12</v>
      </c>
      <c r="M58" s="1324">
        <v>13146</v>
      </c>
      <c r="N58" s="1322" t="s">
        <v>3625</v>
      </c>
      <c r="O58" s="1323">
        <v>6</v>
      </c>
      <c r="P58" s="1324">
        <v>5580</v>
      </c>
    </row>
    <row r="59" spans="1:16">
      <c r="A59" s="1315" t="s">
        <v>3628</v>
      </c>
      <c r="B59" s="1316" t="s">
        <v>1880</v>
      </c>
      <c r="C59" s="1316" t="s">
        <v>504</v>
      </c>
      <c r="D59" s="1319" t="s">
        <v>1952</v>
      </c>
      <c r="E59" s="1318">
        <v>930</v>
      </c>
      <c r="F59" s="1325" t="s">
        <v>4132</v>
      </c>
      <c r="G59" s="1319" t="s">
        <v>4131</v>
      </c>
      <c r="H59" s="1319" t="s">
        <v>1952</v>
      </c>
      <c r="I59" s="1319" t="s">
        <v>3626</v>
      </c>
      <c r="J59" s="1326" t="s">
        <v>1952</v>
      </c>
      <c r="K59" s="1322" t="s">
        <v>3625</v>
      </c>
      <c r="L59" s="1323">
        <v>12</v>
      </c>
      <c r="M59" s="1324">
        <v>13146</v>
      </c>
      <c r="N59" s="1322" t="s">
        <v>3625</v>
      </c>
      <c r="O59" s="1323">
        <v>6</v>
      </c>
      <c r="P59" s="1324">
        <v>5580</v>
      </c>
    </row>
    <row r="60" spans="1:16">
      <c r="A60" s="1315" t="s">
        <v>3628</v>
      </c>
      <c r="B60" s="1316" t="s">
        <v>1880</v>
      </c>
      <c r="C60" s="1316" t="s">
        <v>504</v>
      </c>
      <c r="D60" s="1320" t="s">
        <v>1925</v>
      </c>
      <c r="E60" s="1327">
        <v>930</v>
      </c>
      <c r="F60" s="1328" t="s">
        <v>4130</v>
      </c>
      <c r="G60" s="1319" t="s">
        <v>4129</v>
      </c>
      <c r="H60" s="1320" t="s">
        <v>1925</v>
      </c>
      <c r="I60" s="1320" t="s">
        <v>3629</v>
      </c>
      <c r="J60" s="1321" t="s">
        <v>1925</v>
      </c>
      <c r="K60" s="1322" t="s">
        <v>3625</v>
      </c>
      <c r="L60" s="1323">
        <v>12</v>
      </c>
      <c r="M60" s="1324">
        <v>12764.4</v>
      </c>
      <c r="N60" s="1322" t="s">
        <v>3625</v>
      </c>
      <c r="O60" s="1323">
        <v>6</v>
      </c>
      <c r="P60" s="1324">
        <v>5580</v>
      </c>
    </row>
    <row r="61" spans="1:16">
      <c r="A61" s="1315" t="s">
        <v>3628</v>
      </c>
      <c r="B61" s="1316" t="s">
        <v>1880</v>
      </c>
      <c r="C61" s="1316" t="s">
        <v>504</v>
      </c>
      <c r="D61" s="1319" t="s">
        <v>2161</v>
      </c>
      <c r="E61" s="1318">
        <v>930</v>
      </c>
      <c r="F61" s="1325" t="s">
        <v>4128</v>
      </c>
      <c r="G61" s="1319" t="s">
        <v>4127</v>
      </c>
      <c r="H61" s="1319" t="s">
        <v>2161</v>
      </c>
      <c r="I61" s="1319" t="s">
        <v>3629</v>
      </c>
      <c r="J61" s="1326" t="s">
        <v>2161</v>
      </c>
      <c r="K61" s="1322" t="s">
        <v>3625</v>
      </c>
      <c r="L61" s="1323">
        <v>12</v>
      </c>
      <c r="M61" s="1324">
        <v>12764.4</v>
      </c>
      <c r="N61" s="1322" t="s">
        <v>3625</v>
      </c>
      <c r="O61" s="1323">
        <v>6</v>
      </c>
      <c r="P61" s="1324">
        <v>5580</v>
      </c>
    </row>
    <row r="62" spans="1:16">
      <c r="A62" s="1315" t="s">
        <v>3628</v>
      </c>
      <c r="B62" s="1316" t="s">
        <v>1880</v>
      </c>
      <c r="C62" s="1316" t="s">
        <v>504</v>
      </c>
      <c r="D62" s="1320" t="s">
        <v>3747</v>
      </c>
      <c r="E62" s="1327">
        <v>930</v>
      </c>
      <c r="F62" s="1328" t="s">
        <v>4126</v>
      </c>
      <c r="G62" s="1319" t="s">
        <v>4125</v>
      </c>
      <c r="H62" s="1320" t="s">
        <v>3747</v>
      </c>
      <c r="I62" s="1320" t="s">
        <v>3626</v>
      </c>
      <c r="J62" s="1321" t="s">
        <v>3747</v>
      </c>
      <c r="K62" s="1322" t="s">
        <v>3625</v>
      </c>
      <c r="L62" s="1323">
        <v>12</v>
      </c>
      <c r="M62" s="1324">
        <v>12764.4</v>
      </c>
      <c r="N62" s="1322" t="s">
        <v>3625</v>
      </c>
      <c r="O62" s="1323">
        <v>6</v>
      </c>
      <c r="P62" s="1324">
        <v>5580</v>
      </c>
    </row>
    <row r="63" spans="1:16" ht="24">
      <c r="A63" s="1315" t="s">
        <v>3628</v>
      </c>
      <c r="B63" s="1316" t="s">
        <v>1880</v>
      </c>
      <c r="C63" s="1316" t="s">
        <v>504</v>
      </c>
      <c r="D63" s="1319" t="s">
        <v>1922</v>
      </c>
      <c r="E63" s="1318">
        <v>930</v>
      </c>
      <c r="F63" s="1325" t="s">
        <v>4124</v>
      </c>
      <c r="G63" s="1319" t="s">
        <v>4123</v>
      </c>
      <c r="H63" s="1319" t="s">
        <v>1922</v>
      </c>
      <c r="I63" s="1319" t="s">
        <v>3626</v>
      </c>
      <c r="J63" s="1326" t="s">
        <v>1922</v>
      </c>
      <c r="K63" s="1322" t="s">
        <v>3625</v>
      </c>
      <c r="L63" s="1323">
        <v>12</v>
      </c>
      <c r="M63" s="1324">
        <v>12764.4</v>
      </c>
      <c r="N63" s="1322" t="s">
        <v>3625</v>
      </c>
      <c r="O63" s="1323">
        <v>6</v>
      </c>
      <c r="P63" s="1324">
        <v>5580</v>
      </c>
    </row>
    <row r="64" spans="1:16" ht="24">
      <c r="A64" s="1315" t="s">
        <v>3628</v>
      </c>
      <c r="B64" s="1316" t="s">
        <v>1880</v>
      </c>
      <c r="C64" s="1316" t="s">
        <v>504</v>
      </c>
      <c r="D64" s="1320" t="s">
        <v>1922</v>
      </c>
      <c r="E64" s="1327">
        <v>930</v>
      </c>
      <c r="F64" s="1328" t="s">
        <v>4122</v>
      </c>
      <c r="G64" s="1319" t="s">
        <v>4121</v>
      </c>
      <c r="H64" s="1320" t="s">
        <v>1922</v>
      </c>
      <c r="I64" s="1320" t="s">
        <v>3626</v>
      </c>
      <c r="J64" s="1321" t="s">
        <v>1922</v>
      </c>
      <c r="K64" s="1322" t="s">
        <v>3625</v>
      </c>
      <c r="L64" s="1323">
        <v>12</v>
      </c>
      <c r="M64" s="1324">
        <v>12764.4</v>
      </c>
      <c r="N64" s="1322" t="s">
        <v>3625</v>
      </c>
      <c r="O64" s="1323">
        <v>6</v>
      </c>
      <c r="P64" s="1324">
        <v>5580</v>
      </c>
    </row>
    <row r="65" spans="1:16" ht="24">
      <c r="A65" s="1315" t="s">
        <v>3628</v>
      </c>
      <c r="B65" s="1316" t="s">
        <v>1880</v>
      </c>
      <c r="C65" s="1316" t="s">
        <v>504</v>
      </c>
      <c r="D65" s="1319" t="s">
        <v>3636</v>
      </c>
      <c r="E65" s="1318">
        <v>930</v>
      </c>
      <c r="F65" s="1325" t="s">
        <v>4120</v>
      </c>
      <c r="G65" s="1319" t="s">
        <v>4119</v>
      </c>
      <c r="H65" s="1319" t="s">
        <v>3636</v>
      </c>
      <c r="I65" s="1319" t="s">
        <v>3626</v>
      </c>
      <c r="J65" s="1326" t="s">
        <v>3636</v>
      </c>
      <c r="K65" s="1322" t="s">
        <v>3625</v>
      </c>
      <c r="L65" s="1323">
        <v>12</v>
      </c>
      <c r="M65" s="1324">
        <v>12764.4</v>
      </c>
      <c r="N65" s="1322" t="s">
        <v>3625</v>
      </c>
      <c r="O65" s="1323">
        <v>6</v>
      </c>
      <c r="P65" s="1324">
        <v>5580</v>
      </c>
    </row>
    <row r="66" spans="1:16" ht="24">
      <c r="A66" s="1315" t="s">
        <v>3628</v>
      </c>
      <c r="B66" s="1316" t="s">
        <v>1880</v>
      </c>
      <c r="C66" s="1316" t="s">
        <v>504</v>
      </c>
      <c r="D66" s="1320" t="s">
        <v>1922</v>
      </c>
      <c r="E66" s="1327">
        <v>930</v>
      </c>
      <c r="F66" s="1328" t="s">
        <v>4118</v>
      </c>
      <c r="G66" s="1319" t="s">
        <v>4117</v>
      </c>
      <c r="H66" s="1320" t="s">
        <v>1922</v>
      </c>
      <c r="I66" s="1320" t="s">
        <v>3626</v>
      </c>
      <c r="J66" s="1321" t="s">
        <v>1922</v>
      </c>
      <c r="K66" s="1322" t="s">
        <v>3625</v>
      </c>
      <c r="L66" s="1323">
        <v>12</v>
      </c>
      <c r="M66" s="1324">
        <v>12764.4</v>
      </c>
      <c r="N66" s="1322" t="s">
        <v>3625</v>
      </c>
      <c r="O66" s="1323">
        <v>6</v>
      </c>
      <c r="P66" s="1324">
        <v>5580</v>
      </c>
    </row>
    <row r="67" spans="1:16" ht="24">
      <c r="A67" s="1315" t="s">
        <v>3628</v>
      </c>
      <c r="B67" s="1316" t="s">
        <v>1880</v>
      </c>
      <c r="C67" s="1316" t="s">
        <v>504</v>
      </c>
      <c r="D67" s="1319" t="s">
        <v>1922</v>
      </c>
      <c r="E67" s="1318">
        <v>930</v>
      </c>
      <c r="F67" s="1325" t="s">
        <v>4116</v>
      </c>
      <c r="G67" s="1319" t="s">
        <v>4115</v>
      </c>
      <c r="H67" s="1319" t="s">
        <v>1922</v>
      </c>
      <c r="I67" s="1319" t="s">
        <v>3626</v>
      </c>
      <c r="J67" s="1326" t="s">
        <v>1922</v>
      </c>
      <c r="K67" s="1322" t="s">
        <v>3625</v>
      </c>
      <c r="L67" s="1323">
        <v>12</v>
      </c>
      <c r="M67" s="1324">
        <v>12764.4</v>
      </c>
      <c r="N67" s="1322" t="s">
        <v>3625</v>
      </c>
      <c r="O67" s="1323">
        <v>6</v>
      </c>
      <c r="P67" s="1324">
        <v>5580</v>
      </c>
    </row>
    <row r="68" spans="1:16">
      <c r="A68" s="1315" t="s">
        <v>3628</v>
      </c>
      <c r="B68" s="1316" t="s">
        <v>1880</v>
      </c>
      <c r="C68" s="1316" t="s">
        <v>504</v>
      </c>
      <c r="D68" s="1320" t="s">
        <v>4096</v>
      </c>
      <c r="E68" s="1327">
        <v>930</v>
      </c>
      <c r="F68" s="1328" t="s">
        <v>4114</v>
      </c>
      <c r="G68" s="1319" t="s">
        <v>4113</v>
      </c>
      <c r="H68" s="1320" t="s">
        <v>4096</v>
      </c>
      <c r="I68" s="1320" t="s">
        <v>3626</v>
      </c>
      <c r="J68" s="1321" t="s">
        <v>4096</v>
      </c>
      <c r="K68" s="1322" t="s">
        <v>3625</v>
      </c>
      <c r="L68" s="1323">
        <v>12</v>
      </c>
      <c r="M68" s="1324">
        <v>13146</v>
      </c>
      <c r="N68" s="1322" t="s">
        <v>3625</v>
      </c>
      <c r="O68" s="1323">
        <v>6</v>
      </c>
      <c r="P68" s="1324">
        <v>5580</v>
      </c>
    </row>
    <row r="69" spans="1:16" ht="24">
      <c r="A69" s="1315" t="s">
        <v>3628</v>
      </c>
      <c r="B69" s="1316" t="s">
        <v>1880</v>
      </c>
      <c r="C69" s="1316" t="s">
        <v>504</v>
      </c>
      <c r="D69" s="1319" t="s">
        <v>1922</v>
      </c>
      <c r="E69" s="1318">
        <v>930</v>
      </c>
      <c r="F69" s="1325" t="s">
        <v>4112</v>
      </c>
      <c r="G69" s="1319" t="s">
        <v>4111</v>
      </c>
      <c r="H69" s="1319" t="s">
        <v>1922</v>
      </c>
      <c r="I69" s="1319" t="s">
        <v>3626</v>
      </c>
      <c r="J69" s="1326" t="s">
        <v>1922</v>
      </c>
      <c r="K69" s="1322" t="s">
        <v>3625</v>
      </c>
      <c r="L69" s="1323">
        <v>12</v>
      </c>
      <c r="M69" s="1324">
        <v>12764.4</v>
      </c>
      <c r="N69" s="1322" t="s">
        <v>3625</v>
      </c>
      <c r="O69" s="1323">
        <v>6</v>
      </c>
      <c r="P69" s="1324">
        <v>5580</v>
      </c>
    </row>
    <row r="70" spans="1:16">
      <c r="A70" s="1315" t="s">
        <v>3628</v>
      </c>
      <c r="B70" s="1316" t="s">
        <v>1880</v>
      </c>
      <c r="C70" s="1316" t="s">
        <v>504</v>
      </c>
      <c r="D70" s="1329" t="s">
        <v>1892</v>
      </c>
      <c r="E70" s="1330">
        <v>930</v>
      </c>
      <c r="F70" s="1328" t="s">
        <v>4110</v>
      </c>
      <c r="G70" s="1331" t="s">
        <v>4109</v>
      </c>
      <c r="H70" s="1329" t="s">
        <v>1892</v>
      </c>
      <c r="I70" s="1329" t="s">
        <v>3626</v>
      </c>
      <c r="J70" s="1332" t="s">
        <v>1892</v>
      </c>
      <c r="K70" s="1322" t="s">
        <v>3625</v>
      </c>
      <c r="L70" s="1323">
        <v>5</v>
      </c>
      <c r="M70" s="1324">
        <v>5828.22</v>
      </c>
      <c r="N70" s="1322" t="s">
        <v>3625</v>
      </c>
      <c r="O70" s="1323">
        <v>0</v>
      </c>
      <c r="P70" s="1324"/>
    </row>
    <row r="71" spans="1:16" ht="24">
      <c r="A71" s="1315" t="s">
        <v>3628</v>
      </c>
      <c r="B71" s="1316" t="s">
        <v>1880</v>
      </c>
      <c r="C71" s="1316" t="s">
        <v>504</v>
      </c>
      <c r="D71" s="1319" t="s">
        <v>3636</v>
      </c>
      <c r="E71" s="1318">
        <v>930</v>
      </c>
      <c r="F71" s="1325" t="s">
        <v>4108</v>
      </c>
      <c r="G71" s="1319" t="s">
        <v>4107</v>
      </c>
      <c r="H71" s="1319" t="s">
        <v>3636</v>
      </c>
      <c r="I71" s="1319" t="s">
        <v>3626</v>
      </c>
      <c r="J71" s="1326" t="s">
        <v>3636</v>
      </c>
      <c r="K71" s="1322" t="s">
        <v>3625</v>
      </c>
      <c r="L71" s="1323">
        <v>12</v>
      </c>
      <c r="M71" s="1324">
        <v>12764.4</v>
      </c>
      <c r="N71" s="1322" t="s">
        <v>3625</v>
      </c>
      <c r="O71" s="1323">
        <v>6</v>
      </c>
      <c r="P71" s="1324">
        <v>5580</v>
      </c>
    </row>
    <row r="72" spans="1:16">
      <c r="A72" s="1315" t="s">
        <v>3628</v>
      </c>
      <c r="B72" s="1316" t="s">
        <v>1880</v>
      </c>
      <c r="C72" s="1316" t="s">
        <v>504</v>
      </c>
      <c r="D72" s="1319" t="s">
        <v>1952</v>
      </c>
      <c r="E72" s="1318">
        <v>930</v>
      </c>
      <c r="F72" s="1325" t="s">
        <v>4106</v>
      </c>
      <c r="G72" s="1319" t="s">
        <v>4105</v>
      </c>
      <c r="H72" s="1319" t="s">
        <v>1952</v>
      </c>
      <c r="I72" s="1319" t="s">
        <v>3626</v>
      </c>
      <c r="J72" s="1326" t="s">
        <v>1952</v>
      </c>
      <c r="K72" s="1322" t="s">
        <v>3625</v>
      </c>
      <c r="L72" s="1323">
        <v>12</v>
      </c>
      <c r="M72" s="1324">
        <v>13146</v>
      </c>
      <c r="N72" s="1322" t="s">
        <v>3625</v>
      </c>
      <c r="O72" s="1323">
        <v>6</v>
      </c>
      <c r="P72" s="1324">
        <v>5580</v>
      </c>
    </row>
    <row r="73" spans="1:16">
      <c r="A73" s="1315" t="s">
        <v>3628</v>
      </c>
      <c r="B73" s="1316" t="s">
        <v>1880</v>
      </c>
      <c r="C73" s="1316" t="s">
        <v>504</v>
      </c>
      <c r="D73" s="1320" t="s">
        <v>1925</v>
      </c>
      <c r="E73" s="1327">
        <v>930</v>
      </c>
      <c r="F73" s="1328" t="s">
        <v>4104</v>
      </c>
      <c r="G73" s="1319" t="s">
        <v>4103</v>
      </c>
      <c r="H73" s="1320" t="s">
        <v>1925</v>
      </c>
      <c r="I73" s="1320" t="s">
        <v>3629</v>
      </c>
      <c r="J73" s="1321" t="s">
        <v>1925</v>
      </c>
      <c r="K73" s="1322" t="s">
        <v>3625</v>
      </c>
      <c r="L73" s="1323">
        <v>12</v>
      </c>
      <c r="M73" s="1324">
        <v>12764.4</v>
      </c>
      <c r="N73" s="1322" t="s">
        <v>3625</v>
      </c>
      <c r="O73" s="1323">
        <v>6</v>
      </c>
      <c r="P73" s="1324">
        <v>5580</v>
      </c>
    </row>
    <row r="74" spans="1:16">
      <c r="A74" s="1315" t="s">
        <v>3628</v>
      </c>
      <c r="B74" s="1316" t="s">
        <v>1880</v>
      </c>
      <c r="C74" s="1316" t="s">
        <v>504</v>
      </c>
      <c r="D74" s="1319" t="s">
        <v>1972</v>
      </c>
      <c r="E74" s="1318">
        <v>930</v>
      </c>
      <c r="F74" s="1325" t="s">
        <v>4102</v>
      </c>
      <c r="G74" s="1319" t="s">
        <v>4101</v>
      </c>
      <c r="H74" s="1319" t="s">
        <v>1972</v>
      </c>
      <c r="I74" s="1319" t="s">
        <v>3629</v>
      </c>
      <c r="J74" s="1326" t="s">
        <v>1972</v>
      </c>
      <c r="K74" s="1322" t="s">
        <v>3625</v>
      </c>
      <c r="L74" s="1323">
        <v>12</v>
      </c>
      <c r="M74" s="1324">
        <v>13146</v>
      </c>
      <c r="N74" s="1322" t="s">
        <v>3625</v>
      </c>
      <c r="O74" s="1323">
        <v>6</v>
      </c>
      <c r="P74" s="1324">
        <v>5580</v>
      </c>
    </row>
    <row r="75" spans="1:16">
      <c r="A75" s="1315" t="s">
        <v>3628</v>
      </c>
      <c r="B75" s="1316" t="s">
        <v>1880</v>
      </c>
      <c r="C75" s="1316" t="s">
        <v>504</v>
      </c>
      <c r="D75" s="1317" t="s">
        <v>1972</v>
      </c>
      <c r="E75" s="1327">
        <v>930</v>
      </c>
      <c r="F75" s="1328" t="s">
        <v>4100</v>
      </c>
      <c r="G75" s="1319" t="s">
        <v>4099</v>
      </c>
      <c r="H75" s="1320" t="s">
        <v>1972</v>
      </c>
      <c r="I75" s="1320" t="s">
        <v>3629</v>
      </c>
      <c r="J75" s="1321" t="s">
        <v>1972</v>
      </c>
      <c r="K75" s="1322" t="s">
        <v>3625</v>
      </c>
      <c r="L75" s="1323">
        <v>12</v>
      </c>
      <c r="M75" s="1324">
        <v>13146</v>
      </c>
      <c r="N75" s="1322" t="s">
        <v>3625</v>
      </c>
      <c r="O75" s="1323">
        <v>6</v>
      </c>
      <c r="P75" s="1324">
        <v>5580</v>
      </c>
    </row>
    <row r="76" spans="1:16">
      <c r="A76" s="1315" t="s">
        <v>3628</v>
      </c>
      <c r="B76" s="1316" t="s">
        <v>1880</v>
      </c>
      <c r="C76" s="1316" t="s">
        <v>504</v>
      </c>
      <c r="D76" s="1319" t="s">
        <v>4096</v>
      </c>
      <c r="E76" s="1318">
        <v>1200</v>
      </c>
      <c r="F76" s="1325" t="s">
        <v>4098</v>
      </c>
      <c r="G76" s="1319" t="s">
        <v>4097</v>
      </c>
      <c r="H76" s="1319" t="s">
        <v>4096</v>
      </c>
      <c r="I76" s="1319" t="s">
        <v>3626</v>
      </c>
      <c r="J76" s="1326" t="s">
        <v>4096</v>
      </c>
      <c r="K76" s="1322" t="s">
        <v>3625</v>
      </c>
      <c r="L76" s="1323">
        <v>12</v>
      </c>
      <c r="M76" s="1324">
        <v>16677.599999999999</v>
      </c>
      <c r="N76" s="1322" t="s">
        <v>3625</v>
      </c>
      <c r="O76" s="1323">
        <v>6</v>
      </c>
      <c r="P76" s="1324">
        <v>8279.0499999999993</v>
      </c>
    </row>
    <row r="77" spans="1:16">
      <c r="A77" s="1315" t="s">
        <v>3628</v>
      </c>
      <c r="B77" s="1316" t="s">
        <v>1880</v>
      </c>
      <c r="C77" s="1316" t="s">
        <v>504</v>
      </c>
      <c r="D77" s="1320" t="s">
        <v>3935</v>
      </c>
      <c r="E77" s="1327">
        <v>3895</v>
      </c>
      <c r="F77" s="1328" t="s">
        <v>4095</v>
      </c>
      <c r="G77" s="1319" t="s">
        <v>4094</v>
      </c>
      <c r="H77" s="1320" t="s">
        <v>3935</v>
      </c>
      <c r="I77" s="1320" t="s">
        <v>3633</v>
      </c>
      <c r="J77" s="1321" t="s">
        <v>3935</v>
      </c>
      <c r="K77" s="1322" t="s">
        <v>3625</v>
      </c>
      <c r="L77" s="1323">
        <v>12</v>
      </c>
      <c r="M77" s="1324">
        <v>48700.800000000003</v>
      </c>
      <c r="N77" s="1322" t="s">
        <v>3625</v>
      </c>
      <c r="O77" s="1323">
        <v>6</v>
      </c>
      <c r="P77" s="1324">
        <v>24969.83</v>
      </c>
    </row>
    <row r="78" spans="1:16">
      <c r="A78" s="1315" t="s">
        <v>3628</v>
      </c>
      <c r="B78" s="1316" t="s">
        <v>1880</v>
      </c>
      <c r="C78" s="1316" t="s">
        <v>504</v>
      </c>
      <c r="D78" s="1319" t="s">
        <v>3935</v>
      </c>
      <c r="E78" s="1318">
        <v>3895</v>
      </c>
      <c r="F78" s="1325" t="s">
        <v>4093</v>
      </c>
      <c r="G78" s="1319" t="s">
        <v>4092</v>
      </c>
      <c r="H78" s="1319" t="s">
        <v>3935</v>
      </c>
      <c r="I78" s="1319" t="s">
        <v>3633</v>
      </c>
      <c r="J78" s="1326" t="s">
        <v>3935</v>
      </c>
      <c r="K78" s="1322" t="s">
        <v>3625</v>
      </c>
      <c r="L78" s="1323">
        <v>12</v>
      </c>
      <c r="M78" s="1324">
        <v>48700.800000000003</v>
      </c>
      <c r="N78" s="1322" t="s">
        <v>3625</v>
      </c>
      <c r="O78" s="1323">
        <v>6</v>
      </c>
      <c r="P78" s="1324">
        <v>24969.83</v>
      </c>
    </row>
    <row r="79" spans="1:16" ht="24">
      <c r="A79" s="1315" t="s">
        <v>3628</v>
      </c>
      <c r="B79" s="1316" t="s">
        <v>1880</v>
      </c>
      <c r="C79" s="1316" t="s">
        <v>504</v>
      </c>
      <c r="D79" s="1320" t="s">
        <v>3859</v>
      </c>
      <c r="E79" s="1327">
        <v>3895</v>
      </c>
      <c r="F79" s="1328" t="s">
        <v>4091</v>
      </c>
      <c r="G79" s="1319" t="s">
        <v>4090</v>
      </c>
      <c r="H79" s="1320" t="s">
        <v>3859</v>
      </c>
      <c r="I79" s="1320" t="s">
        <v>3633</v>
      </c>
      <c r="J79" s="1321" t="s">
        <v>3859</v>
      </c>
      <c r="K79" s="1322" t="s">
        <v>3625</v>
      </c>
      <c r="L79" s="1323">
        <v>12</v>
      </c>
      <c r="M79" s="1324">
        <v>48700.800000000003</v>
      </c>
      <c r="N79" s="1322" t="s">
        <v>3625</v>
      </c>
      <c r="O79" s="1323">
        <v>6</v>
      </c>
      <c r="P79" s="1324">
        <v>24969.83</v>
      </c>
    </row>
    <row r="80" spans="1:16">
      <c r="A80" s="1315" t="s">
        <v>3628</v>
      </c>
      <c r="B80" s="1316" t="s">
        <v>1880</v>
      </c>
      <c r="C80" s="1316" t="s">
        <v>504</v>
      </c>
      <c r="D80" s="1319" t="s">
        <v>4087</v>
      </c>
      <c r="E80" s="1318">
        <v>3895</v>
      </c>
      <c r="F80" s="1325" t="s">
        <v>4089</v>
      </c>
      <c r="G80" s="1319" t="s">
        <v>4088</v>
      </c>
      <c r="H80" s="1319" t="s">
        <v>4087</v>
      </c>
      <c r="I80" s="1319" t="s">
        <v>3633</v>
      </c>
      <c r="J80" s="1326" t="s">
        <v>4087</v>
      </c>
      <c r="K80" s="1322" t="s">
        <v>3625</v>
      </c>
      <c r="L80" s="1323">
        <v>12</v>
      </c>
      <c r="M80" s="1324">
        <v>48700.800000000003</v>
      </c>
      <c r="N80" s="1322" t="s">
        <v>3625</v>
      </c>
      <c r="O80" s="1323">
        <v>6</v>
      </c>
      <c r="P80" s="1324">
        <v>24969.83</v>
      </c>
    </row>
    <row r="81" spans="1:16">
      <c r="A81" s="1315" t="s">
        <v>3628</v>
      </c>
      <c r="B81" s="1316" t="s">
        <v>1880</v>
      </c>
      <c r="C81" s="1316" t="s">
        <v>504</v>
      </c>
      <c r="D81" s="1317" t="s">
        <v>1952</v>
      </c>
      <c r="E81" s="1318">
        <v>1200</v>
      </c>
      <c r="F81" s="1328" t="s">
        <v>4086</v>
      </c>
      <c r="G81" s="1319" t="s">
        <v>4085</v>
      </c>
      <c r="H81" s="1320" t="s">
        <v>1952</v>
      </c>
      <c r="I81" s="1320" t="s">
        <v>3626</v>
      </c>
      <c r="J81" s="1321" t="s">
        <v>1952</v>
      </c>
      <c r="K81" s="1322" t="s">
        <v>3625</v>
      </c>
      <c r="L81" s="1323">
        <v>12</v>
      </c>
      <c r="M81" s="1324">
        <v>16677.599999999999</v>
      </c>
      <c r="N81" s="1322" t="s">
        <v>3625</v>
      </c>
      <c r="O81" s="1323">
        <v>6</v>
      </c>
      <c r="P81" s="1324">
        <v>8279.0499999999993</v>
      </c>
    </row>
    <row r="82" spans="1:16" ht="24">
      <c r="A82" s="1315" t="s">
        <v>3628</v>
      </c>
      <c r="B82" s="1316" t="s">
        <v>1880</v>
      </c>
      <c r="C82" s="1316" t="s">
        <v>504</v>
      </c>
      <c r="D82" s="1319" t="s">
        <v>1922</v>
      </c>
      <c r="E82" s="1327">
        <v>930</v>
      </c>
      <c r="F82" s="1325" t="s">
        <v>4084</v>
      </c>
      <c r="G82" s="1319" t="s">
        <v>4083</v>
      </c>
      <c r="H82" s="1319" t="s">
        <v>1922</v>
      </c>
      <c r="I82" s="1319" t="s">
        <v>3626</v>
      </c>
      <c r="J82" s="1326" t="s">
        <v>1922</v>
      </c>
      <c r="K82" s="1322" t="s">
        <v>3625</v>
      </c>
      <c r="L82" s="1323">
        <v>12</v>
      </c>
      <c r="M82" s="1324">
        <v>12764.4</v>
      </c>
      <c r="N82" s="1322" t="s">
        <v>3625</v>
      </c>
      <c r="O82" s="1323">
        <v>6</v>
      </c>
      <c r="P82" s="1324">
        <v>5580</v>
      </c>
    </row>
    <row r="83" spans="1:16" ht="24">
      <c r="A83" s="1315" t="s">
        <v>3628</v>
      </c>
      <c r="B83" s="1316" t="s">
        <v>1880</v>
      </c>
      <c r="C83" s="1316" t="s">
        <v>504</v>
      </c>
      <c r="D83" s="1320" t="s">
        <v>1922</v>
      </c>
      <c r="E83" s="1327">
        <v>930</v>
      </c>
      <c r="F83" s="1328" t="s">
        <v>4082</v>
      </c>
      <c r="G83" s="1319" t="s">
        <v>4081</v>
      </c>
      <c r="H83" s="1320" t="s">
        <v>1922</v>
      </c>
      <c r="I83" s="1320" t="s">
        <v>3626</v>
      </c>
      <c r="J83" s="1321" t="s">
        <v>1922</v>
      </c>
      <c r="K83" s="1322" t="s">
        <v>3625</v>
      </c>
      <c r="L83" s="1323">
        <v>12</v>
      </c>
      <c r="M83" s="1324">
        <v>12764.4</v>
      </c>
      <c r="N83" s="1322" t="s">
        <v>3625</v>
      </c>
      <c r="O83" s="1323">
        <v>6</v>
      </c>
      <c r="P83" s="1324">
        <v>5580</v>
      </c>
    </row>
    <row r="84" spans="1:16" ht="36">
      <c r="A84" s="1315" t="s">
        <v>3628</v>
      </c>
      <c r="B84" s="1316" t="s">
        <v>1880</v>
      </c>
      <c r="C84" s="1316" t="s">
        <v>504</v>
      </c>
      <c r="D84" s="1319" t="s">
        <v>3950</v>
      </c>
      <c r="E84" s="1318">
        <v>1100</v>
      </c>
      <c r="F84" s="1325" t="s">
        <v>4080</v>
      </c>
      <c r="G84" s="1319" t="s">
        <v>4079</v>
      </c>
      <c r="H84" s="1319" t="s">
        <v>3950</v>
      </c>
      <c r="I84" s="1319" t="s">
        <v>3629</v>
      </c>
      <c r="J84" s="1326" t="s">
        <v>3950</v>
      </c>
      <c r="K84" s="1322" t="s">
        <v>3625</v>
      </c>
      <c r="L84" s="1323">
        <v>12</v>
      </c>
      <c r="M84" s="1324">
        <v>14988</v>
      </c>
      <c r="N84" s="1322" t="s">
        <v>3625</v>
      </c>
      <c r="O84" s="1323">
        <v>6</v>
      </c>
      <c r="P84" s="1324">
        <v>7523.05</v>
      </c>
    </row>
    <row r="85" spans="1:16">
      <c r="A85" s="1315" t="s">
        <v>3628</v>
      </c>
      <c r="B85" s="1316" t="s">
        <v>1880</v>
      </c>
      <c r="C85" s="1316" t="s">
        <v>504</v>
      </c>
      <c r="D85" s="1319" t="s">
        <v>2215</v>
      </c>
      <c r="E85" s="1318">
        <v>1500</v>
      </c>
      <c r="F85" s="1325" t="s">
        <v>4078</v>
      </c>
      <c r="G85" s="1319" t="s">
        <v>4077</v>
      </c>
      <c r="H85" s="1319" t="s">
        <v>2215</v>
      </c>
      <c r="I85" s="1319" t="s">
        <v>3626</v>
      </c>
      <c r="J85" s="1326" t="s">
        <v>2215</v>
      </c>
      <c r="K85" s="1322" t="s">
        <v>3625</v>
      </c>
      <c r="L85" s="1323">
        <v>12</v>
      </c>
      <c r="M85" s="1324">
        <v>19960.8</v>
      </c>
      <c r="N85" s="1322" t="s">
        <v>3625</v>
      </c>
      <c r="O85" s="1323">
        <v>6</v>
      </c>
      <c r="P85" s="1324">
        <v>10139.049999999999</v>
      </c>
    </row>
    <row r="86" spans="1:16" ht="36">
      <c r="A86" s="1315" t="s">
        <v>3628</v>
      </c>
      <c r="B86" s="1316" t="s">
        <v>1880</v>
      </c>
      <c r="C86" s="1316" t="s">
        <v>504</v>
      </c>
      <c r="D86" s="1320" t="s">
        <v>3950</v>
      </c>
      <c r="E86" s="1327">
        <v>1100</v>
      </c>
      <c r="F86" s="1328" t="s">
        <v>4076</v>
      </c>
      <c r="G86" s="1319" t="s">
        <v>4075</v>
      </c>
      <c r="H86" s="1320" t="s">
        <v>3950</v>
      </c>
      <c r="I86" s="1320" t="s">
        <v>3629</v>
      </c>
      <c r="J86" s="1321" t="s">
        <v>3950</v>
      </c>
      <c r="K86" s="1322" t="s">
        <v>3625</v>
      </c>
      <c r="L86" s="1323">
        <v>12</v>
      </c>
      <c r="M86" s="1324">
        <v>14988</v>
      </c>
      <c r="N86" s="1322" t="s">
        <v>3625</v>
      </c>
      <c r="O86" s="1323">
        <v>6</v>
      </c>
      <c r="P86" s="1324">
        <v>7523.05</v>
      </c>
    </row>
    <row r="87" spans="1:16">
      <c r="A87" s="1315" t="s">
        <v>3628</v>
      </c>
      <c r="B87" s="1316" t="s">
        <v>1880</v>
      </c>
      <c r="C87" s="1316" t="s">
        <v>504</v>
      </c>
      <c r="D87" s="1319" t="s">
        <v>3935</v>
      </c>
      <c r="E87" s="1318">
        <v>3895</v>
      </c>
      <c r="F87" s="1325" t="s">
        <v>4074</v>
      </c>
      <c r="G87" s="1319" t="s">
        <v>4073</v>
      </c>
      <c r="H87" s="1319" t="s">
        <v>3935</v>
      </c>
      <c r="I87" s="1319" t="s">
        <v>3633</v>
      </c>
      <c r="J87" s="1326" t="s">
        <v>3935</v>
      </c>
      <c r="K87" s="1322" t="s">
        <v>3625</v>
      </c>
      <c r="L87" s="1323">
        <v>12</v>
      </c>
      <c r="M87" s="1324">
        <v>48700.800000000003</v>
      </c>
      <c r="N87" s="1322" t="s">
        <v>3625</v>
      </c>
      <c r="O87" s="1323">
        <v>6</v>
      </c>
      <c r="P87" s="1324">
        <v>24969.83</v>
      </c>
    </row>
    <row r="88" spans="1:16" ht="24">
      <c r="A88" s="1315" t="s">
        <v>3628</v>
      </c>
      <c r="B88" s="1316" t="s">
        <v>1880</v>
      </c>
      <c r="C88" s="1316" t="s">
        <v>504</v>
      </c>
      <c r="D88" s="1329" t="s">
        <v>4070</v>
      </c>
      <c r="E88" s="1330">
        <v>1500</v>
      </c>
      <c r="F88" s="1328" t="s">
        <v>4072</v>
      </c>
      <c r="G88" s="1331" t="s">
        <v>4071</v>
      </c>
      <c r="H88" s="1329" t="s">
        <v>4070</v>
      </c>
      <c r="I88" s="1329" t="s">
        <v>3629</v>
      </c>
      <c r="J88" s="1332" t="s">
        <v>4070</v>
      </c>
      <c r="K88" s="1322" t="s">
        <v>3625</v>
      </c>
      <c r="L88" s="1323">
        <v>12</v>
      </c>
      <c r="M88" s="1324">
        <v>20342.400000000001</v>
      </c>
      <c r="N88" s="1322" t="s">
        <v>3625</v>
      </c>
      <c r="O88" s="1323">
        <v>1</v>
      </c>
      <c r="P88" s="1324">
        <v>1675</v>
      </c>
    </row>
    <row r="89" spans="1:16">
      <c r="A89" s="1315" t="s">
        <v>3628</v>
      </c>
      <c r="B89" s="1316" t="s">
        <v>1880</v>
      </c>
      <c r="C89" s="1316" t="s">
        <v>504</v>
      </c>
      <c r="D89" s="1319" t="s">
        <v>1916</v>
      </c>
      <c r="E89" s="1318">
        <v>930</v>
      </c>
      <c r="F89" s="1325" t="s">
        <v>4069</v>
      </c>
      <c r="G89" s="1319" t="s">
        <v>4068</v>
      </c>
      <c r="H89" s="1319" t="s">
        <v>1916</v>
      </c>
      <c r="I89" s="1319" t="s">
        <v>3626</v>
      </c>
      <c r="J89" s="1326" t="s">
        <v>1916</v>
      </c>
      <c r="K89" s="1322" t="s">
        <v>3625</v>
      </c>
      <c r="L89" s="1323">
        <v>12</v>
      </c>
      <c r="M89" s="1324">
        <v>12764.4</v>
      </c>
      <c r="N89" s="1322" t="s">
        <v>3625</v>
      </c>
      <c r="O89" s="1323">
        <v>6</v>
      </c>
      <c r="P89" s="1324">
        <v>5580</v>
      </c>
    </row>
    <row r="90" spans="1:16">
      <c r="A90" s="1315" t="s">
        <v>3628</v>
      </c>
      <c r="B90" s="1316" t="s">
        <v>1880</v>
      </c>
      <c r="C90" s="1316" t="s">
        <v>504</v>
      </c>
      <c r="D90" s="1317" t="s">
        <v>1888</v>
      </c>
      <c r="E90" s="1327">
        <v>930</v>
      </c>
      <c r="F90" s="1328" t="s">
        <v>4067</v>
      </c>
      <c r="G90" s="1319" t="s">
        <v>4066</v>
      </c>
      <c r="H90" s="1320" t="s">
        <v>1888</v>
      </c>
      <c r="I90" s="1320" t="s">
        <v>3629</v>
      </c>
      <c r="J90" s="1321" t="s">
        <v>1888</v>
      </c>
      <c r="K90" s="1322" t="s">
        <v>3625</v>
      </c>
      <c r="L90" s="1323">
        <v>12</v>
      </c>
      <c r="M90" s="1324">
        <v>13146</v>
      </c>
      <c r="N90" s="1322" t="s">
        <v>3625</v>
      </c>
      <c r="O90" s="1323">
        <v>6</v>
      </c>
      <c r="P90" s="1324">
        <v>5580</v>
      </c>
    </row>
    <row r="91" spans="1:16">
      <c r="A91" s="1315" t="s">
        <v>3628</v>
      </c>
      <c r="B91" s="1316" t="s">
        <v>1880</v>
      </c>
      <c r="C91" s="1316" t="s">
        <v>504</v>
      </c>
      <c r="D91" s="1319" t="s">
        <v>1925</v>
      </c>
      <c r="E91" s="1318">
        <v>930</v>
      </c>
      <c r="F91" s="1328" t="s">
        <v>4065</v>
      </c>
      <c r="G91" s="1319" t="s">
        <v>4064</v>
      </c>
      <c r="H91" s="1319" t="s">
        <v>1925</v>
      </c>
      <c r="I91" s="1319" t="s">
        <v>3629</v>
      </c>
      <c r="J91" s="1326" t="s">
        <v>1925</v>
      </c>
      <c r="K91" s="1322" t="s">
        <v>3625</v>
      </c>
      <c r="L91" s="1323">
        <v>11</v>
      </c>
      <c r="M91" s="1324">
        <v>11750.76</v>
      </c>
      <c r="N91" s="1322" t="s">
        <v>3625</v>
      </c>
      <c r="O91" s="1323">
        <v>0</v>
      </c>
      <c r="P91" s="1324"/>
    </row>
    <row r="92" spans="1:16" ht="24">
      <c r="A92" s="1315" t="s">
        <v>3628</v>
      </c>
      <c r="B92" s="1316" t="s">
        <v>1880</v>
      </c>
      <c r="C92" s="1316" t="s">
        <v>504</v>
      </c>
      <c r="D92" s="1320" t="s">
        <v>1913</v>
      </c>
      <c r="E92" s="1327">
        <v>950</v>
      </c>
      <c r="F92" s="1328" t="s">
        <v>4063</v>
      </c>
      <c r="G92" s="1320" t="s">
        <v>4062</v>
      </c>
      <c r="H92" s="1320" t="s">
        <v>1913</v>
      </c>
      <c r="I92" s="1320" t="s">
        <v>3626</v>
      </c>
      <c r="J92" s="1321" t="s">
        <v>1913</v>
      </c>
      <c r="K92" s="1322" t="s">
        <v>3625</v>
      </c>
      <c r="L92" s="1323">
        <v>12</v>
      </c>
      <c r="M92" s="1324">
        <v>13026</v>
      </c>
      <c r="N92" s="1322" t="s">
        <v>3625</v>
      </c>
      <c r="O92" s="1323">
        <v>2</v>
      </c>
      <c r="P92" s="1324">
        <v>2080</v>
      </c>
    </row>
    <row r="93" spans="1:16" ht="24">
      <c r="A93" s="1315" t="s">
        <v>3628</v>
      </c>
      <c r="B93" s="1316" t="s">
        <v>1880</v>
      </c>
      <c r="C93" s="1316" t="s">
        <v>504</v>
      </c>
      <c r="D93" s="1319" t="s">
        <v>1913</v>
      </c>
      <c r="E93" s="1318">
        <v>950</v>
      </c>
      <c r="F93" s="1325" t="s">
        <v>4061</v>
      </c>
      <c r="G93" s="1319" t="s">
        <v>4060</v>
      </c>
      <c r="H93" s="1319" t="s">
        <v>1913</v>
      </c>
      <c r="I93" s="1319" t="s">
        <v>3626</v>
      </c>
      <c r="J93" s="1326" t="s">
        <v>1913</v>
      </c>
      <c r="K93" s="1322" t="s">
        <v>3625</v>
      </c>
      <c r="L93" s="1323">
        <v>12</v>
      </c>
      <c r="M93" s="1324">
        <v>13026</v>
      </c>
      <c r="N93" s="1322" t="s">
        <v>3625</v>
      </c>
      <c r="O93" s="1323">
        <v>6</v>
      </c>
      <c r="P93" s="1324">
        <v>6542.05</v>
      </c>
    </row>
    <row r="94" spans="1:16" ht="24">
      <c r="A94" s="1315" t="s">
        <v>3628</v>
      </c>
      <c r="B94" s="1316" t="s">
        <v>1880</v>
      </c>
      <c r="C94" s="1316" t="s">
        <v>504</v>
      </c>
      <c r="D94" s="1320" t="s">
        <v>4057</v>
      </c>
      <c r="E94" s="1327">
        <v>2454.54</v>
      </c>
      <c r="F94" s="1328" t="s">
        <v>4059</v>
      </c>
      <c r="G94" s="1319" t="s">
        <v>4058</v>
      </c>
      <c r="H94" s="1320" t="s">
        <v>4057</v>
      </c>
      <c r="I94" s="1320" t="s">
        <v>3629</v>
      </c>
      <c r="J94" s="1321" t="s">
        <v>4057</v>
      </c>
      <c r="K94" s="1322" t="s">
        <v>3625</v>
      </c>
      <c r="L94" s="1323">
        <v>12</v>
      </c>
      <c r="M94" s="1324">
        <v>31415.279999999999</v>
      </c>
      <c r="N94" s="1322" t="s">
        <v>3625</v>
      </c>
      <c r="O94" s="1323">
        <v>6</v>
      </c>
      <c r="P94" s="1324">
        <v>16101.19</v>
      </c>
    </row>
    <row r="95" spans="1:16">
      <c r="A95" s="1315" t="s">
        <v>3628</v>
      </c>
      <c r="B95" s="1316" t="s">
        <v>1880</v>
      </c>
      <c r="C95" s="1316" t="s">
        <v>504</v>
      </c>
      <c r="D95" s="1319" t="s">
        <v>511</v>
      </c>
      <c r="E95" s="1318">
        <v>4000</v>
      </c>
      <c r="F95" s="1325" t="s">
        <v>4056</v>
      </c>
      <c r="G95" s="1319" t="s">
        <v>4055</v>
      </c>
      <c r="H95" s="1319" t="s">
        <v>511</v>
      </c>
      <c r="I95" s="1319" t="s">
        <v>3633</v>
      </c>
      <c r="J95" s="1326" t="s">
        <v>511</v>
      </c>
      <c r="K95" s="1322" t="s">
        <v>3625</v>
      </c>
      <c r="L95" s="1323">
        <v>2</v>
      </c>
      <c r="M95" s="1324">
        <v>8226.7999999999993</v>
      </c>
      <c r="N95" s="1322" t="s">
        <v>3625</v>
      </c>
      <c r="O95" s="1323">
        <v>6</v>
      </c>
      <c r="P95" s="1324">
        <v>25599.83</v>
      </c>
    </row>
    <row r="96" spans="1:16" ht="24">
      <c r="A96" s="1315" t="s">
        <v>3628</v>
      </c>
      <c r="B96" s="1316" t="s">
        <v>1880</v>
      </c>
      <c r="C96" s="1316" t="s">
        <v>504</v>
      </c>
      <c r="D96" s="1320" t="s">
        <v>1907</v>
      </c>
      <c r="E96" s="1327">
        <v>1035</v>
      </c>
      <c r="F96" s="1328" t="s">
        <v>4054</v>
      </c>
      <c r="G96" s="1319" t="s">
        <v>4053</v>
      </c>
      <c r="H96" s="1320" t="s">
        <v>1907</v>
      </c>
      <c r="I96" s="1320" t="s">
        <v>3629</v>
      </c>
      <c r="J96" s="1321" t="s">
        <v>1907</v>
      </c>
      <c r="K96" s="1322" t="s">
        <v>3625</v>
      </c>
      <c r="L96" s="1323">
        <v>12</v>
      </c>
      <c r="M96" s="1324">
        <v>14427.6</v>
      </c>
      <c r="N96" s="1322" t="s">
        <v>3625</v>
      </c>
      <c r="O96" s="1323">
        <v>6</v>
      </c>
      <c r="P96" s="1324">
        <v>7186.75</v>
      </c>
    </row>
    <row r="97" spans="1:16">
      <c r="A97" s="1315" t="s">
        <v>3628</v>
      </c>
      <c r="B97" s="1316" t="s">
        <v>1880</v>
      </c>
      <c r="C97" s="1316" t="s">
        <v>504</v>
      </c>
      <c r="D97" s="1319" t="s">
        <v>4046</v>
      </c>
      <c r="E97" s="1318">
        <v>1450</v>
      </c>
      <c r="F97" s="1325" t="s">
        <v>4052</v>
      </c>
      <c r="G97" s="1319" t="s">
        <v>4051</v>
      </c>
      <c r="H97" s="1319" t="s">
        <v>4046</v>
      </c>
      <c r="I97" s="1319" t="s">
        <v>3629</v>
      </c>
      <c r="J97" s="1326" t="s">
        <v>4046</v>
      </c>
      <c r="K97" s="1322" t="s">
        <v>3625</v>
      </c>
      <c r="L97" s="1323">
        <v>12</v>
      </c>
      <c r="M97" s="1324">
        <v>19360.8</v>
      </c>
      <c r="N97" s="1322" t="s">
        <v>3625</v>
      </c>
      <c r="O97" s="1323">
        <v>6</v>
      </c>
      <c r="P97" s="1324">
        <v>9812.0499999999993</v>
      </c>
    </row>
    <row r="98" spans="1:16" ht="24">
      <c r="A98" s="1315" t="s">
        <v>3628</v>
      </c>
      <c r="B98" s="1316" t="s">
        <v>1880</v>
      </c>
      <c r="C98" s="1316" t="s">
        <v>504</v>
      </c>
      <c r="D98" s="1320" t="s">
        <v>1913</v>
      </c>
      <c r="E98" s="1327">
        <v>950</v>
      </c>
      <c r="F98" s="1328" t="s">
        <v>4050</v>
      </c>
      <c r="G98" s="1319" t="s">
        <v>4049</v>
      </c>
      <c r="H98" s="1320" t="s">
        <v>1913</v>
      </c>
      <c r="I98" s="1320" t="s">
        <v>3626</v>
      </c>
      <c r="J98" s="1321" t="s">
        <v>1913</v>
      </c>
      <c r="K98" s="1322" t="s">
        <v>3625</v>
      </c>
      <c r="L98" s="1323">
        <v>12</v>
      </c>
      <c r="M98" s="1324">
        <v>13026</v>
      </c>
      <c r="N98" s="1322" t="s">
        <v>3625</v>
      </c>
      <c r="O98" s="1323">
        <v>6</v>
      </c>
      <c r="P98" s="1324">
        <v>6542.05</v>
      </c>
    </row>
    <row r="99" spans="1:16">
      <c r="A99" s="1315" t="s">
        <v>3628</v>
      </c>
      <c r="B99" s="1316" t="s">
        <v>1880</v>
      </c>
      <c r="C99" s="1316" t="s">
        <v>504</v>
      </c>
      <c r="D99" s="1320" t="s">
        <v>4046</v>
      </c>
      <c r="E99" s="1327">
        <v>1200</v>
      </c>
      <c r="F99" s="1328" t="s">
        <v>4048</v>
      </c>
      <c r="G99" s="1319" t="s">
        <v>4047</v>
      </c>
      <c r="H99" s="1320" t="s">
        <v>4046</v>
      </c>
      <c r="I99" s="1320" t="s">
        <v>3629</v>
      </c>
      <c r="J99" s="1321" t="s">
        <v>4046</v>
      </c>
      <c r="K99" s="1322" t="s">
        <v>3625</v>
      </c>
      <c r="L99" s="1323">
        <v>12</v>
      </c>
      <c r="M99" s="1324">
        <v>16296</v>
      </c>
      <c r="N99" s="1322" t="s">
        <v>3625</v>
      </c>
      <c r="O99" s="1323">
        <v>6</v>
      </c>
      <c r="P99" s="1324">
        <v>7200</v>
      </c>
    </row>
    <row r="100" spans="1:16" ht="24">
      <c r="A100" s="1315" t="s">
        <v>3628</v>
      </c>
      <c r="B100" s="1316" t="s">
        <v>1880</v>
      </c>
      <c r="C100" s="1316" t="s">
        <v>504</v>
      </c>
      <c r="D100" s="1319" t="s">
        <v>4043</v>
      </c>
      <c r="E100" s="1318">
        <v>6000</v>
      </c>
      <c r="F100" s="1325" t="s">
        <v>4045</v>
      </c>
      <c r="G100" s="1319" t="s">
        <v>4044</v>
      </c>
      <c r="H100" s="1319" t="s">
        <v>4043</v>
      </c>
      <c r="I100" s="1319" t="s">
        <v>3819</v>
      </c>
      <c r="J100" s="1326" t="s">
        <v>4043</v>
      </c>
      <c r="K100" s="1322" t="s">
        <v>3625</v>
      </c>
      <c r="L100" s="1323">
        <v>1</v>
      </c>
      <c r="M100" s="1324">
        <v>6113.4</v>
      </c>
      <c r="N100" s="1322" t="s">
        <v>3625</v>
      </c>
      <c r="O100" s="1323">
        <v>6</v>
      </c>
      <c r="P100" s="1324">
        <v>37780.71</v>
      </c>
    </row>
    <row r="101" spans="1:16">
      <c r="A101" s="1315" t="s">
        <v>3628</v>
      </c>
      <c r="B101" s="1316" t="s">
        <v>1880</v>
      </c>
      <c r="C101" s="1316" t="s">
        <v>504</v>
      </c>
      <c r="D101" s="1320" t="s">
        <v>1952</v>
      </c>
      <c r="E101" s="1327">
        <v>930</v>
      </c>
      <c r="F101" s="1328" t="s">
        <v>4042</v>
      </c>
      <c r="G101" s="1319" t="s">
        <v>4041</v>
      </c>
      <c r="H101" s="1320" t="s">
        <v>1952</v>
      </c>
      <c r="I101" s="1320" t="s">
        <v>3626</v>
      </c>
      <c r="J101" s="1321" t="s">
        <v>1952</v>
      </c>
      <c r="K101" s="1322" t="s">
        <v>3625</v>
      </c>
      <c r="L101" s="1323">
        <v>12</v>
      </c>
      <c r="M101" s="1324">
        <v>13146</v>
      </c>
      <c r="N101" s="1322" t="s">
        <v>3625</v>
      </c>
      <c r="O101" s="1323">
        <v>6</v>
      </c>
      <c r="P101" s="1324">
        <v>5580</v>
      </c>
    </row>
    <row r="102" spans="1:16" ht="24">
      <c r="A102" s="1315" t="s">
        <v>3628</v>
      </c>
      <c r="B102" s="1316" t="s">
        <v>1880</v>
      </c>
      <c r="C102" s="1316" t="s">
        <v>504</v>
      </c>
      <c r="D102" s="1319" t="s">
        <v>3636</v>
      </c>
      <c r="E102" s="1318">
        <v>1500</v>
      </c>
      <c r="F102" s="1325" t="s">
        <v>4040</v>
      </c>
      <c r="G102" s="1320" t="s">
        <v>4039</v>
      </c>
      <c r="H102" s="1319" t="s">
        <v>3636</v>
      </c>
      <c r="I102" s="1319" t="s">
        <v>3626</v>
      </c>
      <c r="J102" s="1326" t="s">
        <v>3636</v>
      </c>
      <c r="K102" s="1322" t="s">
        <v>3625</v>
      </c>
      <c r="L102" s="1323">
        <v>12</v>
      </c>
      <c r="M102" s="1324">
        <v>19960.8</v>
      </c>
      <c r="N102" s="1322" t="s">
        <v>3625</v>
      </c>
      <c r="O102" s="1323">
        <v>6</v>
      </c>
      <c r="P102" s="1324">
        <v>10139.049999999999</v>
      </c>
    </row>
    <row r="103" spans="1:16" ht="24">
      <c r="A103" s="1315" t="s">
        <v>3628</v>
      </c>
      <c r="B103" s="1316" t="s">
        <v>1880</v>
      </c>
      <c r="C103" s="1316" t="s">
        <v>504</v>
      </c>
      <c r="D103" s="1319" t="s">
        <v>1922</v>
      </c>
      <c r="E103" s="1318">
        <v>930</v>
      </c>
      <c r="F103" s="1325" t="s">
        <v>4038</v>
      </c>
      <c r="G103" s="1319" t="s">
        <v>4037</v>
      </c>
      <c r="H103" s="1319" t="s">
        <v>1922</v>
      </c>
      <c r="I103" s="1319" t="s">
        <v>3626</v>
      </c>
      <c r="J103" s="1326" t="s">
        <v>1922</v>
      </c>
      <c r="K103" s="1322" t="s">
        <v>3625</v>
      </c>
      <c r="L103" s="1323">
        <v>12</v>
      </c>
      <c r="M103" s="1324">
        <v>12764.4</v>
      </c>
      <c r="N103" s="1322" t="s">
        <v>3625</v>
      </c>
      <c r="O103" s="1323">
        <v>6</v>
      </c>
      <c r="P103" s="1324">
        <v>5580</v>
      </c>
    </row>
    <row r="104" spans="1:16">
      <c r="A104" s="1315" t="s">
        <v>3628</v>
      </c>
      <c r="B104" s="1316" t="s">
        <v>1880</v>
      </c>
      <c r="C104" s="1316" t="s">
        <v>504</v>
      </c>
      <c r="D104" s="1320" t="s">
        <v>3747</v>
      </c>
      <c r="E104" s="1327">
        <v>1000</v>
      </c>
      <c r="F104" s="1328" t="s">
        <v>4036</v>
      </c>
      <c r="G104" s="1319" t="s">
        <v>4035</v>
      </c>
      <c r="H104" s="1320" t="s">
        <v>3747</v>
      </c>
      <c r="I104" s="1320" t="s">
        <v>3629</v>
      </c>
      <c r="J104" s="1321" t="s">
        <v>3747</v>
      </c>
      <c r="K104" s="1322" t="s">
        <v>3625</v>
      </c>
      <c r="L104" s="1323">
        <v>12</v>
      </c>
      <c r="M104" s="1324">
        <v>13680</v>
      </c>
      <c r="N104" s="1322" t="s">
        <v>3625</v>
      </c>
      <c r="O104" s="1323">
        <v>6</v>
      </c>
      <c r="P104" s="1324">
        <v>6869.05</v>
      </c>
    </row>
    <row r="105" spans="1:16">
      <c r="A105" s="1315" t="s">
        <v>3628</v>
      </c>
      <c r="B105" s="1316" t="s">
        <v>1880</v>
      </c>
      <c r="C105" s="1316" t="s">
        <v>504</v>
      </c>
      <c r="D105" s="1319" t="s">
        <v>1892</v>
      </c>
      <c r="E105" s="1318">
        <v>930</v>
      </c>
      <c r="F105" s="1325" t="s">
        <v>4034</v>
      </c>
      <c r="G105" s="1319" t="s">
        <v>4033</v>
      </c>
      <c r="H105" s="1319" t="s">
        <v>1892</v>
      </c>
      <c r="I105" s="1319" t="s">
        <v>3626</v>
      </c>
      <c r="J105" s="1326" t="s">
        <v>1892</v>
      </c>
      <c r="K105" s="1322" t="s">
        <v>3625</v>
      </c>
      <c r="L105" s="1323">
        <v>12</v>
      </c>
      <c r="M105" s="1324">
        <v>13146</v>
      </c>
      <c r="N105" s="1322" t="s">
        <v>3625</v>
      </c>
      <c r="O105" s="1323">
        <v>6</v>
      </c>
      <c r="P105" s="1324">
        <v>5580</v>
      </c>
    </row>
    <row r="106" spans="1:16">
      <c r="A106" s="1315" t="s">
        <v>3628</v>
      </c>
      <c r="B106" s="1316" t="s">
        <v>1880</v>
      </c>
      <c r="C106" s="1316" t="s">
        <v>504</v>
      </c>
      <c r="D106" s="1320" t="s">
        <v>1972</v>
      </c>
      <c r="E106" s="1327">
        <v>930</v>
      </c>
      <c r="F106" s="1328" t="s">
        <v>4032</v>
      </c>
      <c r="G106" s="1319" t="s">
        <v>4031</v>
      </c>
      <c r="H106" s="1320" t="s">
        <v>1972</v>
      </c>
      <c r="I106" s="1320" t="s">
        <v>3629</v>
      </c>
      <c r="J106" s="1321" t="s">
        <v>1972</v>
      </c>
      <c r="K106" s="1322" t="s">
        <v>3625</v>
      </c>
      <c r="L106" s="1323">
        <v>12</v>
      </c>
      <c r="M106" s="1324">
        <v>13146</v>
      </c>
      <c r="N106" s="1322" t="s">
        <v>3625</v>
      </c>
      <c r="O106" s="1323">
        <v>6</v>
      </c>
      <c r="P106" s="1324">
        <v>5580</v>
      </c>
    </row>
    <row r="107" spans="1:16" ht="24">
      <c r="A107" s="1315" t="s">
        <v>3628</v>
      </c>
      <c r="B107" s="1316" t="s">
        <v>1880</v>
      </c>
      <c r="C107" s="1316" t="s">
        <v>504</v>
      </c>
      <c r="D107" s="1319" t="s">
        <v>1922</v>
      </c>
      <c r="E107" s="1318">
        <v>930</v>
      </c>
      <c r="F107" s="1325" t="s">
        <v>4030</v>
      </c>
      <c r="G107" s="1319" t="s">
        <v>4029</v>
      </c>
      <c r="H107" s="1319" t="s">
        <v>1922</v>
      </c>
      <c r="I107" s="1319" t="s">
        <v>3626</v>
      </c>
      <c r="J107" s="1326" t="s">
        <v>1922</v>
      </c>
      <c r="K107" s="1322" t="s">
        <v>3625</v>
      </c>
      <c r="L107" s="1323">
        <v>12</v>
      </c>
      <c r="M107" s="1324">
        <v>12764.4</v>
      </c>
      <c r="N107" s="1322" t="s">
        <v>3625</v>
      </c>
      <c r="O107" s="1323">
        <v>6</v>
      </c>
      <c r="P107" s="1324">
        <v>5580</v>
      </c>
    </row>
    <row r="108" spans="1:16">
      <c r="A108" s="1315" t="s">
        <v>3628</v>
      </c>
      <c r="B108" s="1316" t="s">
        <v>1880</v>
      </c>
      <c r="C108" s="1316" t="s">
        <v>504</v>
      </c>
      <c r="D108" s="1319" t="s">
        <v>1892</v>
      </c>
      <c r="E108" s="1318">
        <v>930</v>
      </c>
      <c r="F108" s="1325" t="s">
        <v>4028</v>
      </c>
      <c r="G108" s="1319" t="s">
        <v>4027</v>
      </c>
      <c r="H108" s="1319" t="s">
        <v>1892</v>
      </c>
      <c r="I108" s="1319" t="s">
        <v>3626</v>
      </c>
      <c r="J108" s="1326" t="s">
        <v>1892</v>
      </c>
      <c r="K108" s="1322" t="s">
        <v>3625</v>
      </c>
      <c r="L108" s="1323">
        <v>12</v>
      </c>
      <c r="M108" s="1324">
        <v>13146</v>
      </c>
      <c r="N108" s="1322" t="s">
        <v>3625</v>
      </c>
      <c r="O108" s="1323">
        <v>6</v>
      </c>
      <c r="P108" s="1324">
        <v>5580</v>
      </c>
    </row>
    <row r="109" spans="1:16">
      <c r="A109" s="1315" t="s">
        <v>3628</v>
      </c>
      <c r="B109" s="1316" t="s">
        <v>1880</v>
      </c>
      <c r="C109" s="1316" t="s">
        <v>504</v>
      </c>
      <c r="D109" s="1317" t="s">
        <v>4024</v>
      </c>
      <c r="E109" s="1327">
        <v>9826.4500000000007</v>
      </c>
      <c r="F109" s="1328" t="s">
        <v>4026</v>
      </c>
      <c r="G109" s="1319" t="s">
        <v>4025</v>
      </c>
      <c r="H109" s="1320" t="s">
        <v>4024</v>
      </c>
      <c r="I109" s="1320" t="s">
        <v>3633</v>
      </c>
      <c r="J109" s="1321" t="s">
        <v>4024</v>
      </c>
      <c r="K109" s="1322" t="s">
        <v>3625</v>
      </c>
      <c r="L109" s="1323">
        <v>12</v>
      </c>
      <c r="M109" s="1324">
        <v>119878.20000000001</v>
      </c>
      <c r="N109" s="1322" t="s">
        <v>3625</v>
      </c>
      <c r="O109" s="1323">
        <v>6</v>
      </c>
      <c r="P109" s="1324">
        <v>60558.530000000006</v>
      </c>
    </row>
    <row r="110" spans="1:16" ht="24">
      <c r="A110" s="1315" t="s">
        <v>3628</v>
      </c>
      <c r="B110" s="1316" t="s">
        <v>1880</v>
      </c>
      <c r="C110" s="1316" t="s">
        <v>504</v>
      </c>
      <c r="D110" s="1317" t="s">
        <v>3959</v>
      </c>
      <c r="E110" s="1327">
        <v>3000</v>
      </c>
      <c r="F110" s="1328" t="s">
        <v>4023</v>
      </c>
      <c r="G110" s="1319" t="s">
        <v>4022</v>
      </c>
      <c r="H110" s="1320" t="s">
        <v>3959</v>
      </c>
      <c r="I110" s="1320" t="s">
        <v>3633</v>
      </c>
      <c r="J110" s="1321" t="s">
        <v>3959</v>
      </c>
      <c r="K110" s="1322" t="s">
        <v>3625</v>
      </c>
      <c r="L110" s="1323">
        <v>12</v>
      </c>
      <c r="M110" s="1324">
        <v>37960.800000000003</v>
      </c>
      <c r="N110" s="1322" t="s">
        <v>3625</v>
      </c>
      <c r="O110" s="1323">
        <v>6</v>
      </c>
      <c r="P110" s="1324">
        <v>19599.830000000002</v>
      </c>
    </row>
    <row r="111" spans="1:16">
      <c r="A111" s="1315" t="s">
        <v>3628</v>
      </c>
      <c r="B111" s="1316" t="s">
        <v>1880</v>
      </c>
      <c r="C111" s="1316" t="s">
        <v>504</v>
      </c>
      <c r="D111" s="1320" t="s">
        <v>2161</v>
      </c>
      <c r="E111" s="1327">
        <v>930</v>
      </c>
      <c r="F111" s="1328" t="s">
        <v>4021</v>
      </c>
      <c r="G111" s="1319" t="s">
        <v>4020</v>
      </c>
      <c r="H111" s="1320" t="s">
        <v>2161</v>
      </c>
      <c r="I111" s="1320" t="s">
        <v>3629</v>
      </c>
      <c r="J111" s="1321" t="s">
        <v>2161</v>
      </c>
      <c r="K111" s="1322" t="s">
        <v>3625</v>
      </c>
      <c r="L111" s="1323">
        <v>12</v>
      </c>
      <c r="M111" s="1324">
        <v>12764.4</v>
      </c>
      <c r="N111" s="1322" t="s">
        <v>3625</v>
      </c>
      <c r="O111" s="1323">
        <v>1</v>
      </c>
      <c r="P111" s="1324">
        <v>930</v>
      </c>
    </row>
    <row r="112" spans="1:16" ht="24">
      <c r="A112" s="1315" t="s">
        <v>3628</v>
      </c>
      <c r="B112" s="1316" t="s">
        <v>1880</v>
      </c>
      <c r="C112" s="1316" t="s">
        <v>504</v>
      </c>
      <c r="D112" s="1319" t="s">
        <v>1922</v>
      </c>
      <c r="E112" s="1318">
        <v>930</v>
      </c>
      <c r="F112" s="1325" t="s">
        <v>4019</v>
      </c>
      <c r="G112" s="1319" t="s">
        <v>4018</v>
      </c>
      <c r="H112" s="1319" t="s">
        <v>1922</v>
      </c>
      <c r="I112" s="1319" t="s">
        <v>3626</v>
      </c>
      <c r="J112" s="1326" t="s">
        <v>1922</v>
      </c>
      <c r="K112" s="1322" t="s">
        <v>3625</v>
      </c>
      <c r="L112" s="1323">
        <v>12</v>
      </c>
      <c r="M112" s="1324">
        <v>12764.4</v>
      </c>
      <c r="N112" s="1322" t="s">
        <v>3625</v>
      </c>
      <c r="O112" s="1323">
        <v>6</v>
      </c>
      <c r="P112" s="1324">
        <v>5580</v>
      </c>
    </row>
    <row r="113" spans="1:16">
      <c r="A113" s="1315" t="s">
        <v>3628</v>
      </c>
      <c r="B113" s="1316" t="s">
        <v>1880</v>
      </c>
      <c r="C113" s="1316" t="s">
        <v>504</v>
      </c>
      <c r="D113" s="1319" t="s">
        <v>1952</v>
      </c>
      <c r="E113" s="1318">
        <v>930</v>
      </c>
      <c r="F113" s="1325" t="s">
        <v>4017</v>
      </c>
      <c r="G113" s="1319" t="s">
        <v>4016</v>
      </c>
      <c r="H113" s="1319" t="s">
        <v>1952</v>
      </c>
      <c r="I113" s="1319" t="s">
        <v>3626</v>
      </c>
      <c r="J113" s="1326" t="s">
        <v>1952</v>
      </c>
      <c r="K113" s="1322" t="s">
        <v>3625</v>
      </c>
      <c r="L113" s="1323">
        <v>12</v>
      </c>
      <c r="M113" s="1324">
        <v>13146</v>
      </c>
      <c r="N113" s="1322" t="s">
        <v>3625</v>
      </c>
      <c r="O113" s="1323">
        <v>6</v>
      </c>
      <c r="P113" s="1324">
        <v>5580</v>
      </c>
    </row>
    <row r="114" spans="1:16" ht="24">
      <c r="A114" s="1315" t="s">
        <v>3628</v>
      </c>
      <c r="B114" s="1316" t="s">
        <v>1880</v>
      </c>
      <c r="C114" s="1316" t="s">
        <v>504</v>
      </c>
      <c r="D114" s="1319" t="s">
        <v>3636</v>
      </c>
      <c r="E114" s="1318">
        <v>930</v>
      </c>
      <c r="F114" s="1325" t="s">
        <v>4015</v>
      </c>
      <c r="G114" s="1319" t="s">
        <v>4014</v>
      </c>
      <c r="H114" s="1319" t="s">
        <v>3636</v>
      </c>
      <c r="I114" s="1319" t="s">
        <v>3626</v>
      </c>
      <c r="J114" s="1326" t="s">
        <v>3636</v>
      </c>
      <c r="K114" s="1322" t="s">
        <v>3625</v>
      </c>
      <c r="L114" s="1323">
        <v>12</v>
      </c>
      <c r="M114" s="1324">
        <v>12764.4</v>
      </c>
      <c r="N114" s="1322" t="s">
        <v>3625</v>
      </c>
      <c r="O114" s="1323">
        <v>6</v>
      </c>
      <c r="P114" s="1324">
        <v>5580</v>
      </c>
    </row>
    <row r="115" spans="1:16" ht="24">
      <c r="A115" s="1315" t="s">
        <v>3628</v>
      </c>
      <c r="B115" s="1316" t="s">
        <v>1880</v>
      </c>
      <c r="C115" s="1316" t="s">
        <v>504</v>
      </c>
      <c r="D115" s="1320" t="s">
        <v>1922</v>
      </c>
      <c r="E115" s="1327">
        <v>930</v>
      </c>
      <c r="F115" s="1328" t="s">
        <v>4013</v>
      </c>
      <c r="G115" s="1319" t="s">
        <v>4012</v>
      </c>
      <c r="H115" s="1320" t="s">
        <v>1922</v>
      </c>
      <c r="I115" s="1320" t="s">
        <v>3626</v>
      </c>
      <c r="J115" s="1321" t="s">
        <v>1922</v>
      </c>
      <c r="K115" s="1322" t="s">
        <v>3625</v>
      </c>
      <c r="L115" s="1323">
        <v>12</v>
      </c>
      <c r="M115" s="1324">
        <v>12764.4</v>
      </c>
      <c r="N115" s="1322" t="s">
        <v>3625</v>
      </c>
      <c r="O115" s="1323">
        <v>6</v>
      </c>
      <c r="P115" s="1324">
        <v>5580</v>
      </c>
    </row>
    <row r="116" spans="1:16">
      <c r="A116" s="1315" t="s">
        <v>3628</v>
      </c>
      <c r="B116" s="1316" t="s">
        <v>1880</v>
      </c>
      <c r="C116" s="1316" t="s">
        <v>504</v>
      </c>
      <c r="D116" s="1320" t="s">
        <v>3747</v>
      </c>
      <c r="E116" s="1327">
        <v>930</v>
      </c>
      <c r="F116" s="1328" t="s">
        <v>4011</v>
      </c>
      <c r="G116" s="1319" t="s">
        <v>4010</v>
      </c>
      <c r="H116" s="1320" t="s">
        <v>3747</v>
      </c>
      <c r="I116" s="1320" t="s">
        <v>3626</v>
      </c>
      <c r="J116" s="1321" t="s">
        <v>3747</v>
      </c>
      <c r="K116" s="1322" t="s">
        <v>3625</v>
      </c>
      <c r="L116" s="1323">
        <v>12</v>
      </c>
      <c r="M116" s="1324">
        <v>12764.4</v>
      </c>
      <c r="N116" s="1322" t="s">
        <v>3625</v>
      </c>
      <c r="O116" s="1323">
        <v>6</v>
      </c>
      <c r="P116" s="1324">
        <v>5580</v>
      </c>
    </row>
    <row r="117" spans="1:16">
      <c r="A117" s="1315" t="s">
        <v>3628</v>
      </c>
      <c r="B117" s="1316" t="s">
        <v>1880</v>
      </c>
      <c r="C117" s="1316" t="s">
        <v>504</v>
      </c>
      <c r="D117" s="1319" t="s">
        <v>4007</v>
      </c>
      <c r="E117" s="1318">
        <v>6000</v>
      </c>
      <c r="F117" s="1325" t="s">
        <v>4009</v>
      </c>
      <c r="G117" s="1319" t="s">
        <v>4008</v>
      </c>
      <c r="H117" s="1319" t="s">
        <v>4007</v>
      </c>
      <c r="I117" s="1319" t="s">
        <v>3819</v>
      </c>
      <c r="J117" s="1326" t="s">
        <v>4007</v>
      </c>
      <c r="K117" s="1322" t="s">
        <v>3625</v>
      </c>
      <c r="L117" s="1323">
        <v>12</v>
      </c>
      <c r="M117" s="1324">
        <v>74465.119999999995</v>
      </c>
      <c r="N117" s="1322" t="s">
        <v>3625</v>
      </c>
      <c r="O117" s="1323">
        <v>6</v>
      </c>
      <c r="P117" s="1324">
        <v>37780.71</v>
      </c>
    </row>
    <row r="118" spans="1:16" ht="36">
      <c r="A118" s="1315" t="s">
        <v>3628</v>
      </c>
      <c r="B118" s="1316" t="s">
        <v>1880</v>
      </c>
      <c r="C118" s="1316" t="s">
        <v>504</v>
      </c>
      <c r="D118" s="1320" t="s">
        <v>4004</v>
      </c>
      <c r="E118" s="1327">
        <v>1500</v>
      </c>
      <c r="F118" s="1328" t="s">
        <v>4006</v>
      </c>
      <c r="G118" s="1319" t="s">
        <v>4005</v>
      </c>
      <c r="H118" s="1320" t="s">
        <v>4004</v>
      </c>
      <c r="I118" s="1320" t="s">
        <v>3629</v>
      </c>
      <c r="J118" s="1321" t="s">
        <v>4004</v>
      </c>
      <c r="K118" s="1322" t="s">
        <v>3625</v>
      </c>
      <c r="L118" s="1323">
        <v>12</v>
      </c>
      <c r="M118" s="1324">
        <v>20342.400000000001</v>
      </c>
      <c r="N118" s="1322" t="s">
        <v>3625</v>
      </c>
      <c r="O118" s="1323">
        <v>6</v>
      </c>
      <c r="P118" s="1324">
        <v>10369.450000000001</v>
      </c>
    </row>
    <row r="119" spans="1:16" ht="24">
      <c r="A119" s="1315" t="s">
        <v>3628</v>
      </c>
      <c r="B119" s="1316" t="s">
        <v>1880</v>
      </c>
      <c r="C119" s="1316" t="s">
        <v>504</v>
      </c>
      <c r="D119" s="1319" t="s">
        <v>3636</v>
      </c>
      <c r="E119" s="1318">
        <v>1000</v>
      </c>
      <c r="F119" s="1325" t="s">
        <v>4003</v>
      </c>
      <c r="G119" s="1319" t="s">
        <v>4002</v>
      </c>
      <c r="H119" s="1319" t="s">
        <v>3636</v>
      </c>
      <c r="I119" s="1319" t="s">
        <v>3626</v>
      </c>
      <c r="J119" s="1326" t="s">
        <v>3636</v>
      </c>
      <c r="K119" s="1322" t="s">
        <v>3625</v>
      </c>
      <c r="L119" s="1323">
        <v>12</v>
      </c>
      <c r="M119" s="1324">
        <v>13680</v>
      </c>
      <c r="N119" s="1322" t="s">
        <v>3625</v>
      </c>
      <c r="O119" s="1323">
        <v>6</v>
      </c>
      <c r="P119" s="1324">
        <v>6936.85</v>
      </c>
    </row>
    <row r="120" spans="1:16" ht="24">
      <c r="A120" s="1315" t="s">
        <v>3628</v>
      </c>
      <c r="B120" s="1316" t="s">
        <v>1880</v>
      </c>
      <c r="C120" s="1316" t="s">
        <v>504</v>
      </c>
      <c r="D120" s="1319" t="s">
        <v>3636</v>
      </c>
      <c r="E120" s="1318">
        <v>1000</v>
      </c>
      <c r="F120" s="1325" t="s">
        <v>4001</v>
      </c>
      <c r="G120" s="1319" t="s">
        <v>4000</v>
      </c>
      <c r="H120" s="1319" t="s">
        <v>3636</v>
      </c>
      <c r="I120" s="1319" t="s">
        <v>3626</v>
      </c>
      <c r="J120" s="1326" t="s">
        <v>3636</v>
      </c>
      <c r="K120" s="1322" t="s">
        <v>3625</v>
      </c>
      <c r="L120" s="1323">
        <v>12</v>
      </c>
      <c r="M120" s="1324">
        <v>13680</v>
      </c>
      <c r="N120" s="1322" t="s">
        <v>3625</v>
      </c>
      <c r="O120" s="1323">
        <v>6</v>
      </c>
      <c r="P120" s="1324">
        <v>6997.63</v>
      </c>
    </row>
    <row r="121" spans="1:16" ht="24">
      <c r="A121" s="1315" t="s">
        <v>3628</v>
      </c>
      <c r="B121" s="1316" t="s">
        <v>1880</v>
      </c>
      <c r="C121" s="1316" t="s">
        <v>504</v>
      </c>
      <c r="D121" s="1320" t="s">
        <v>3636</v>
      </c>
      <c r="E121" s="1327">
        <v>1000</v>
      </c>
      <c r="F121" s="1328" t="s">
        <v>3999</v>
      </c>
      <c r="G121" s="1319" t="s">
        <v>3998</v>
      </c>
      <c r="H121" s="1320" t="s">
        <v>3636</v>
      </c>
      <c r="I121" s="1320" t="s">
        <v>3626</v>
      </c>
      <c r="J121" s="1321" t="s">
        <v>3636</v>
      </c>
      <c r="K121" s="1322" t="s">
        <v>3625</v>
      </c>
      <c r="L121" s="1323">
        <v>12</v>
      </c>
      <c r="M121" s="1324">
        <v>13680</v>
      </c>
      <c r="N121" s="1322" t="s">
        <v>3625</v>
      </c>
      <c r="O121" s="1323">
        <v>6</v>
      </c>
      <c r="P121" s="1324">
        <v>6954.85</v>
      </c>
    </row>
    <row r="122" spans="1:16">
      <c r="A122" s="1315" t="s">
        <v>3628</v>
      </c>
      <c r="B122" s="1316" t="s">
        <v>1880</v>
      </c>
      <c r="C122" s="1316" t="s">
        <v>504</v>
      </c>
      <c r="D122" s="1319" t="s">
        <v>3747</v>
      </c>
      <c r="E122" s="1318">
        <v>930</v>
      </c>
      <c r="F122" s="1325" t="s">
        <v>3997</v>
      </c>
      <c r="G122" s="1319" t="s">
        <v>3996</v>
      </c>
      <c r="H122" s="1319" t="s">
        <v>3747</v>
      </c>
      <c r="I122" s="1319" t="s">
        <v>3626</v>
      </c>
      <c r="J122" s="1326" t="s">
        <v>3747</v>
      </c>
      <c r="K122" s="1322" t="s">
        <v>3625</v>
      </c>
      <c r="L122" s="1323">
        <v>12</v>
      </c>
      <c r="M122" s="1324">
        <v>12764.4</v>
      </c>
      <c r="N122" s="1322" t="s">
        <v>3625</v>
      </c>
      <c r="O122" s="1323">
        <v>6</v>
      </c>
      <c r="P122" s="1324">
        <v>5580</v>
      </c>
    </row>
    <row r="123" spans="1:16">
      <c r="A123" s="1315" t="s">
        <v>3628</v>
      </c>
      <c r="B123" s="1316" t="s">
        <v>1880</v>
      </c>
      <c r="C123" s="1316" t="s">
        <v>504</v>
      </c>
      <c r="D123" s="1320" t="s">
        <v>1925</v>
      </c>
      <c r="E123" s="1327">
        <v>1000</v>
      </c>
      <c r="F123" s="1328" t="s">
        <v>3995</v>
      </c>
      <c r="G123" s="1319" t="s">
        <v>3994</v>
      </c>
      <c r="H123" s="1320" t="s">
        <v>1925</v>
      </c>
      <c r="I123" s="1320" t="s">
        <v>3629</v>
      </c>
      <c r="J123" s="1321" t="s">
        <v>1925</v>
      </c>
      <c r="K123" s="1322" t="s">
        <v>3625</v>
      </c>
      <c r="L123" s="1323">
        <v>12</v>
      </c>
      <c r="M123" s="1324">
        <v>13680</v>
      </c>
      <c r="N123" s="1322" t="s">
        <v>3625</v>
      </c>
      <c r="O123" s="1323">
        <v>6</v>
      </c>
      <c r="P123" s="1324">
        <v>6963.43</v>
      </c>
    </row>
    <row r="124" spans="1:16">
      <c r="A124" s="1315" t="s">
        <v>3628</v>
      </c>
      <c r="B124" s="1316" t="s">
        <v>1880</v>
      </c>
      <c r="C124" s="1316" t="s">
        <v>504</v>
      </c>
      <c r="D124" s="1319" t="s">
        <v>2436</v>
      </c>
      <c r="E124" s="1318">
        <v>1500</v>
      </c>
      <c r="F124" s="1328" t="s">
        <v>3993</v>
      </c>
      <c r="G124" s="1319" t="s">
        <v>3992</v>
      </c>
      <c r="H124" s="1319" t="s">
        <v>2436</v>
      </c>
      <c r="I124" s="1319" t="s">
        <v>3629</v>
      </c>
      <c r="J124" s="1326" t="s">
        <v>2436</v>
      </c>
      <c r="K124" s="1322" t="s">
        <v>3625</v>
      </c>
      <c r="L124" s="1323">
        <v>9</v>
      </c>
      <c r="M124" s="1324">
        <v>14820.6</v>
      </c>
      <c r="N124" s="1322" t="s">
        <v>3625</v>
      </c>
      <c r="O124" s="1323">
        <v>0</v>
      </c>
      <c r="P124" s="1324"/>
    </row>
    <row r="125" spans="1:16">
      <c r="A125" s="1315" t="s">
        <v>3628</v>
      </c>
      <c r="B125" s="1316" t="s">
        <v>1880</v>
      </c>
      <c r="C125" s="1316" t="s">
        <v>504</v>
      </c>
      <c r="D125" s="1320" t="s">
        <v>3989</v>
      </c>
      <c r="E125" s="1327">
        <v>1100</v>
      </c>
      <c r="F125" s="1328" t="s">
        <v>3991</v>
      </c>
      <c r="G125" s="1319" t="s">
        <v>3990</v>
      </c>
      <c r="H125" s="1320" t="s">
        <v>3989</v>
      </c>
      <c r="I125" s="1320" t="s">
        <v>3629</v>
      </c>
      <c r="J125" s="1321" t="s">
        <v>3989</v>
      </c>
      <c r="K125" s="1322" t="s">
        <v>3625</v>
      </c>
      <c r="L125" s="1323">
        <v>12</v>
      </c>
      <c r="M125" s="1324">
        <v>14988</v>
      </c>
      <c r="N125" s="1322" t="s">
        <v>3625</v>
      </c>
      <c r="O125" s="1323">
        <v>6</v>
      </c>
      <c r="P125" s="1324">
        <v>7523.05</v>
      </c>
    </row>
    <row r="126" spans="1:16">
      <c r="A126" s="1315" t="s">
        <v>3628</v>
      </c>
      <c r="B126" s="1316" t="s">
        <v>1880</v>
      </c>
      <c r="C126" s="1316" t="s">
        <v>504</v>
      </c>
      <c r="D126" s="1319" t="s">
        <v>511</v>
      </c>
      <c r="E126" s="1318">
        <v>2500</v>
      </c>
      <c r="F126" s="1325" t="s">
        <v>827</v>
      </c>
      <c r="G126" s="1319" t="s">
        <v>3988</v>
      </c>
      <c r="H126" s="1319" t="s">
        <v>511</v>
      </c>
      <c r="I126" s="1319" t="s">
        <v>3633</v>
      </c>
      <c r="J126" s="1326" t="s">
        <v>511</v>
      </c>
      <c r="K126" s="1322" t="s">
        <v>3625</v>
      </c>
      <c r="L126" s="1323">
        <v>12</v>
      </c>
      <c r="M126" s="1324">
        <v>31960.799999999999</v>
      </c>
      <c r="N126" s="1322" t="s">
        <v>3625</v>
      </c>
      <c r="O126" s="1323">
        <v>6</v>
      </c>
      <c r="P126" s="1324">
        <v>16599.830000000002</v>
      </c>
    </row>
    <row r="127" spans="1:16">
      <c r="A127" s="1315" t="s">
        <v>3628</v>
      </c>
      <c r="B127" s="1316" t="s">
        <v>1880</v>
      </c>
      <c r="C127" s="1316" t="s">
        <v>504</v>
      </c>
      <c r="D127" s="1320" t="s">
        <v>511</v>
      </c>
      <c r="E127" s="1327">
        <v>6000</v>
      </c>
      <c r="F127" s="1328" t="s">
        <v>3987</v>
      </c>
      <c r="G127" s="1319" t="s">
        <v>3986</v>
      </c>
      <c r="H127" s="1320" t="s">
        <v>511</v>
      </c>
      <c r="I127" s="1320" t="s">
        <v>3633</v>
      </c>
      <c r="J127" s="1321" t="s">
        <v>511</v>
      </c>
      <c r="K127" s="1322" t="s">
        <v>3625</v>
      </c>
      <c r="L127" s="1323">
        <v>12</v>
      </c>
      <c r="M127" s="1324">
        <v>73960.800000000003</v>
      </c>
      <c r="N127" s="1322" t="s">
        <v>3625</v>
      </c>
      <c r="O127" s="1323">
        <v>6</v>
      </c>
      <c r="P127" s="1324">
        <v>37599.83</v>
      </c>
    </row>
    <row r="128" spans="1:16">
      <c r="A128" s="1315" t="s">
        <v>3628</v>
      </c>
      <c r="B128" s="1316" t="s">
        <v>1880</v>
      </c>
      <c r="C128" s="1316" t="s">
        <v>504</v>
      </c>
      <c r="D128" s="1320" t="s">
        <v>3981</v>
      </c>
      <c r="E128" s="1327">
        <v>6000</v>
      </c>
      <c r="F128" s="1328" t="s">
        <v>3985</v>
      </c>
      <c r="G128" s="1319" t="s">
        <v>3984</v>
      </c>
      <c r="H128" s="1320" t="s">
        <v>3981</v>
      </c>
      <c r="I128" s="1320" t="s">
        <v>3819</v>
      </c>
      <c r="J128" s="1321" t="s">
        <v>3981</v>
      </c>
      <c r="K128" s="1322" t="s">
        <v>3625</v>
      </c>
      <c r="L128" s="1323">
        <v>12</v>
      </c>
      <c r="M128" s="1324">
        <v>74465.119999999995</v>
      </c>
      <c r="N128" s="1322" t="s">
        <v>3625</v>
      </c>
      <c r="O128" s="1323">
        <v>6</v>
      </c>
      <c r="P128" s="1324">
        <v>37780.71</v>
      </c>
    </row>
    <row r="129" spans="1:16">
      <c r="A129" s="1315" t="s">
        <v>3628</v>
      </c>
      <c r="B129" s="1316" t="s">
        <v>1880</v>
      </c>
      <c r="C129" s="1316" t="s">
        <v>504</v>
      </c>
      <c r="D129" s="1319" t="s">
        <v>3981</v>
      </c>
      <c r="E129" s="1318">
        <v>6000</v>
      </c>
      <c r="F129" s="1325" t="s">
        <v>3983</v>
      </c>
      <c r="G129" s="1319" t="s">
        <v>3982</v>
      </c>
      <c r="H129" s="1319" t="s">
        <v>3981</v>
      </c>
      <c r="I129" s="1319" t="s">
        <v>3819</v>
      </c>
      <c r="J129" s="1326" t="s">
        <v>3981</v>
      </c>
      <c r="K129" s="1322" t="s">
        <v>3625</v>
      </c>
      <c r="L129" s="1323">
        <v>12</v>
      </c>
      <c r="M129" s="1324">
        <v>74465.119999999995</v>
      </c>
      <c r="N129" s="1322" t="s">
        <v>3625</v>
      </c>
      <c r="O129" s="1323">
        <v>6</v>
      </c>
      <c r="P129" s="1324">
        <v>37780.71</v>
      </c>
    </row>
    <row r="130" spans="1:16" ht="24">
      <c r="A130" s="1315" t="s">
        <v>3628</v>
      </c>
      <c r="B130" s="1316" t="s">
        <v>1880</v>
      </c>
      <c r="C130" s="1316" t="s">
        <v>504</v>
      </c>
      <c r="D130" s="1320" t="s">
        <v>3636</v>
      </c>
      <c r="E130" s="1327">
        <v>1000</v>
      </c>
      <c r="F130" s="1328" t="s">
        <v>3980</v>
      </c>
      <c r="G130" s="1319" t="s">
        <v>3979</v>
      </c>
      <c r="H130" s="1320" t="s">
        <v>3636</v>
      </c>
      <c r="I130" s="1320" t="s">
        <v>3626</v>
      </c>
      <c r="J130" s="1321" t="s">
        <v>3636</v>
      </c>
      <c r="K130" s="1322" t="s">
        <v>3625</v>
      </c>
      <c r="L130" s="1323">
        <v>12</v>
      </c>
      <c r="M130" s="1324">
        <v>13680</v>
      </c>
      <c r="N130" s="1322" t="s">
        <v>3625</v>
      </c>
      <c r="O130" s="1323">
        <v>6</v>
      </c>
      <c r="P130" s="1324">
        <v>6936.85</v>
      </c>
    </row>
    <row r="131" spans="1:16" ht="48">
      <c r="A131" s="1315" t="s">
        <v>3628</v>
      </c>
      <c r="B131" s="1316" t="s">
        <v>1880</v>
      </c>
      <c r="C131" s="1316" t="s">
        <v>504</v>
      </c>
      <c r="D131" s="1331" t="s">
        <v>3976</v>
      </c>
      <c r="E131" s="1333">
        <v>1500</v>
      </c>
      <c r="F131" s="1325" t="s">
        <v>3978</v>
      </c>
      <c r="G131" s="1331" t="s">
        <v>3977</v>
      </c>
      <c r="H131" s="1331" t="s">
        <v>3976</v>
      </c>
      <c r="I131" s="1331" t="s">
        <v>3629</v>
      </c>
      <c r="J131" s="1334" t="s">
        <v>3976</v>
      </c>
      <c r="K131" s="1322" t="s">
        <v>3625</v>
      </c>
      <c r="L131" s="1323">
        <v>12</v>
      </c>
      <c r="M131" s="1324">
        <v>20342.400000000001</v>
      </c>
      <c r="N131" s="1322" t="s">
        <v>3625</v>
      </c>
      <c r="O131" s="1323">
        <v>0</v>
      </c>
      <c r="P131" s="1324">
        <v>0</v>
      </c>
    </row>
    <row r="132" spans="1:16" ht="24">
      <c r="A132" s="1315" t="s">
        <v>3628</v>
      </c>
      <c r="B132" s="1316" t="s">
        <v>1880</v>
      </c>
      <c r="C132" s="1316" t="s">
        <v>504</v>
      </c>
      <c r="D132" s="1319" t="s">
        <v>1922</v>
      </c>
      <c r="E132" s="1318">
        <v>930</v>
      </c>
      <c r="F132" s="1325" t="s">
        <v>3975</v>
      </c>
      <c r="G132" s="1319" t="s">
        <v>3974</v>
      </c>
      <c r="H132" s="1319" t="s">
        <v>1922</v>
      </c>
      <c r="I132" s="1319" t="s">
        <v>3626</v>
      </c>
      <c r="J132" s="1326" t="s">
        <v>1922</v>
      </c>
      <c r="K132" s="1322" t="s">
        <v>3625</v>
      </c>
      <c r="L132" s="1323">
        <v>12</v>
      </c>
      <c r="M132" s="1324">
        <v>12764.4</v>
      </c>
      <c r="N132" s="1322" t="s">
        <v>3625</v>
      </c>
      <c r="O132" s="1323">
        <v>6</v>
      </c>
      <c r="P132" s="1324">
        <v>5580</v>
      </c>
    </row>
    <row r="133" spans="1:16" ht="24">
      <c r="A133" s="1315" t="s">
        <v>3628</v>
      </c>
      <c r="B133" s="1316" t="s">
        <v>1880</v>
      </c>
      <c r="C133" s="1316" t="s">
        <v>504</v>
      </c>
      <c r="D133" s="1320" t="s">
        <v>1910</v>
      </c>
      <c r="E133" s="1327">
        <v>1000</v>
      </c>
      <c r="F133" s="1328" t="s">
        <v>3973</v>
      </c>
      <c r="G133" s="1319" t="s">
        <v>3972</v>
      </c>
      <c r="H133" s="1320" t="s">
        <v>1910</v>
      </c>
      <c r="I133" s="1320" t="s">
        <v>3626</v>
      </c>
      <c r="J133" s="1321" t="s">
        <v>1910</v>
      </c>
      <c r="K133" s="1322" t="s">
        <v>3625</v>
      </c>
      <c r="L133" s="1323">
        <v>12</v>
      </c>
      <c r="M133" s="1324">
        <v>13680</v>
      </c>
      <c r="N133" s="1322" t="s">
        <v>3625</v>
      </c>
      <c r="O133" s="1323">
        <v>6</v>
      </c>
      <c r="P133" s="1324">
        <v>6936.85</v>
      </c>
    </row>
    <row r="134" spans="1:16">
      <c r="A134" s="1315" t="s">
        <v>3628</v>
      </c>
      <c r="B134" s="1316" t="s">
        <v>1880</v>
      </c>
      <c r="C134" s="1316" t="s">
        <v>504</v>
      </c>
      <c r="D134" s="1319" t="s">
        <v>3658</v>
      </c>
      <c r="E134" s="1318">
        <v>1600</v>
      </c>
      <c r="F134" s="1325" t="s">
        <v>3971</v>
      </c>
      <c r="G134" s="1319" t="s">
        <v>3970</v>
      </c>
      <c r="H134" s="1319" t="s">
        <v>3658</v>
      </c>
      <c r="I134" s="1319" t="s">
        <v>3629</v>
      </c>
      <c r="J134" s="1326" t="s">
        <v>3658</v>
      </c>
      <c r="K134" s="1322" t="s">
        <v>3625</v>
      </c>
      <c r="L134" s="1323">
        <v>12</v>
      </c>
      <c r="M134" s="1324">
        <v>21160.799999999999</v>
      </c>
      <c r="N134" s="1322" t="s">
        <v>3625</v>
      </c>
      <c r="O134" s="1323">
        <v>6</v>
      </c>
      <c r="P134" s="1324">
        <v>10793.05</v>
      </c>
    </row>
    <row r="135" spans="1:16" ht="24">
      <c r="A135" s="1315" t="s">
        <v>3628</v>
      </c>
      <c r="B135" s="1316" t="s">
        <v>1880</v>
      </c>
      <c r="C135" s="1316" t="s">
        <v>504</v>
      </c>
      <c r="D135" s="1320" t="s">
        <v>1907</v>
      </c>
      <c r="E135" s="1327">
        <v>1000</v>
      </c>
      <c r="F135" s="1328" t="s">
        <v>3969</v>
      </c>
      <c r="G135" s="1319" t="s">
        <v>3968</v>
      </c>
      <c r="H135" s="1320" t="s">
        <v>1907</v>
      </c>
      <c r="I135" s="1320" t="s">
        <v>3629</v>
      </c>
      <c r="J135" s="1321" t="s">
        <v>1907</v>
      </c>
      <c r="K135" s="1322" t="s">
        <v>3625</v>
      </c>
      <c r="L135" s="1323">
        <v>12</v>
      </c>
      <c r="M135" s="1324">
        <v>14061.6</v>
      </c>
      <c r="N135" s="1322" t="s">
        <v>3625</v>
      </c>
      <c r="O135" s="1323">
        <v>6</v>
      </c>
      <c r="P135" s="1324">
        <v>6954.85</v>
      </c>
    </row>
    <row r="136" spans="1:16" ht="24">
      <c r="A136" s="1315" t="s">
        <v>3628</v>
      </c>
      <c r="B136" s="1316" t="s">
        <v>1880</v>
      </c>
      <c r="C136" s="1316" t="s">
        <v>504</v>
      </c>
      <c r="D136" s="1319" t="s">
        <v>1784</v>
      </c>
      <c r="E136" s="1318">
        <v>1800</v>
      </c>
      <c r="F136" s="1325" t="s">
        <v>3967</v>
      </c>
      <c r="G136" s="1319" t="s">
        <v>3966</v>
      </c>
      <c r="H136" s="1319" t="s">
        <v>1784</v>
      </c>
      <c r="I136" s="1319" t="s">
        <v>3629</v>
      </c>
      <c r="J136" s="1326" t="s">
        <v>1784</v>
      </c>
      <c r="K136" s="1322" t="s">
        <v>3625</v>
      </c>
      <c r="L136" s="1323">
        <v>12</v>
      </c>
      <c r="M136" s="1324">
        <v>23560.799999999999</v>
      </c>
      <c r="N136" s="1322" t="s">
        <v>3625</v>
      </c>
      <c r="O136" s="1323">
        <v>6</v>
      </c>
      <c r="P136" s="1324">
        <v>12101.05</v>
      </c>
    </row>
    <row r="137" spans="1:16" ht="24">
      <c r="A137" s="1315" t="s">
        <v>3628</v>
      </c>
      <c r="B137" s="1316" t="s">
        <v>1880</v>
      </c>
      <c r="C137" s="1316" t="s">
        <v>504</v>
      </c>
      <c r="D137" s="1320" t="s">
        <v>1913</v>
      </c>
      <c r="E137" s="1327">
        <v>950</v>
      </c>
      <c r="F137" s="1328" t="s">
        <v>3965</v>
      </c>
      <c r="G137" s="1319" t="s">
        <v>3964</v>
      </c>
      <c r="H137" s="1320" t="s">
        <v>1913</v>
      </c>
      <c r="I137" s="1320" t="s">
        <v>3626</v>
      </c>
      <c r="J137" s="1321" t="s">
        <v>1913</v>
      </c>
      <c r="K137" s="1322" t="s">
        <v>3625</v>
      </c>
      <c r="L137" s="1323">
        <v>11</v>
      </c>
      <c r="M137" s="1324">
        <v>11776</v>
      </c>
      <c r="N137" s="1322" t="s">
        <v>3625</v>
      </c>
      <c r="O137" s="1323">
        <v>6</v>
      </c>
      <c r="P137" s="1324">
        <v>6542.05</v>
      </c>
    </row>
    <row r="138" spans="1:16">
      <c r="A138" s="1315" t="s">
        <v>3628</v>
      </c>
      <c r="B138" s="1316" t="s">
        <v>1880</v>
      </c>
      <c r="C138" s="1316" t="s">
        <v>504</v>
      </c>
      <c r="D138" s="1320" t="s">
        <v>3658</v>
      </c>
      <c r="E138" s="1327">
        <v>1400</v>
      </c>
      <c r="F138" s="1328" t="s">
        <v>3963</v>
      </c>
      <c r="G138" s="1319" t="s">
        <v>3962</v>
      </c>
      <c r="H138" s="1320" t="s">
        <v>3658</v>
      </c>
      <c r="I138" s="1320" t="s">
        <v>3629</v>
      </c>
      <c r="J138" s="1321" t="s">
        <v>3658</v>
      </c>
      <c r="K138" s="1322" t="s">
        <v>3625</v>
      </c>
      <c r="L138" s="1323">
        <v>12</v>
      </c>
      <c r="M138" s="1324">
        <v>18760.8</v>
      </c>
      <c r="N138" s="1322" t="s">
        <v>3625</v>
      </c>
      <c r="O138" s="1323">
        <v>6</v>
      </c>
      <c r="P138" s="1324">
        <v>9485.0499999999993</v>
      </c>
    </row>
    <row r="139" spans="1:16" ht="24">
      <c r="A139" s="1315" t="s">
        <v>3628</v>
      </c>
      <c r="B139" s="1316" t="s">
        <v>1880</v>
      </c>
      <c r="C139" s="1316" t="s">
        <v>504</v>
      </c>
      <c r="D139" s="1319" t="s">
        <v>3959</v>
      </c>
      <c r="E139" s="1318">
        <v>1200</v>
      </c>
      <c r="F139" s="1325" t="s">
        <v>3961</v>
      </c>
      <c r="G139" s="1319" t="s">
        <v>3960</v>
      </c>
      <c r="H139" s="1319" t="s">
        <v>3959</v>
      </c>
      <c r="I139" s="1319" t="s">
        <v>3633</v>
      </c>
      <c r="J139" s="1326" t="s">
        <v>3959</v>
      </c>
      <c r="K139" s="1322" t="s">
        <v>3625</v>
      </c>
      <c r="L139" s="1323">
        <v>12</v>
      </c>
      <c r="M139" s="1324">
        <v>16296</v>
      </c>
      <c r="N139" s="1322" t="s">
        <v>3625</v>
      </c>
      <c r="O139" s="1323">
        <v>6</v>
      </c>
      <c r="P139" s="1324">
        <v>8482.31</v>
      </c>
    </row>
    <row r="140" spans="1:16" ht="24">
      <c r="A140" s="1315" t="s">
        <v>3628</v>
      </c>
      <c r="B140" s="1316" t="s">
        <v>1880</v>
      </c>
      <c r="C140" s="1316" t="s">
        <v>504</v>
      </c>
      <c r="D140" s="1320" t="s">
        <v>1910</v>
      </c>
      <c r="E140" s="1327">
        <v>1100</v>
      </c>
      <c r="F140" s="1328" t="s">
        <v>3958</v>
      </c>
      <c r="G140" s="1319" t="s">
        <v>3957</v>
      </c>
      <c r="H140" s="1320" t="s">
        <v>1910</v>
      </c>
      <c r="I140" s="1320" t="s">
        <v>3626</v>
      </c>
      <c r="J140" s="1321" t="s">
        <v>1910</v>
      </c>
      <c r="K140" s="1322" t="s">
        <v>3625</v>
      </c>
      <c r="L140" s="1323">
        <v>12</v>
      </c>
      <c r="M140" s="1324">
        <v>14988</v>
      </c>
      <c r="N140" s="1322" t="s">
        <v>3625</v>
      </c>
      <c r="O140" s="1323">
        <v>6</v>
      </c>
      <c r="P140" s="1324">
        <v>7597.63</v>
      </c>
    </row>
    <row r="141" spans="1:16">
      <c r="A141" s="1315" t="s">
        <v>3628</v>
      </c>
      <c r="B141" s="1316" t="s">
        <v>1880</v>
      </c>
      <c r="C141" s="1316" t="s">
        <v>504</v>
      </c>
      <c r="D141" s="1320" t="s">
        <v>3658</v>
      </c>
      <c r="E141" s="1327">
        <v>1500</v>
      </c>
      <c r="F141" s="1328" t="s">
        <v>3956</v>
      </c>
      <c r="G141" s="1319" t="s">
        <v>3955</v>
      </c>
      <c r="H141" s="1320" t="s">
        <v>3658</v>
      </c>
      <c r="I141" s="1320" t="s">
        <v>3629</v>
      </c>
      <c r="J141" s="1321" t="s">
        <v>3658</v>
      </c>
      <c r="K141" s="1322" t="s">
        <v>3625</v>
      </c>
      <c r="L141" s="1323">
        <v>12</v>
      </c>
      <c r="M141" s="1324">
        <v>19960.8</v>
      </c>
      <c r="N141" s="1322" t="s">
        <v>3625</v>
      </c>
      <c r="O141" s="1323">
        <v>6</v>
      </c>
      <c r="P141" s="1324">
        <v>10139.049999999999</v>
      </c>
    </row>
    <row r="142" spans="1:16" ht="36">
      <c r="A142" s="1315" t="s">
        <v>3628</v>
      </c>
      <c r="B142" s="1316" t="s">
        <v>1880</v>
      </c>
      <c r="C142" s="1316" t="s">
        <v>504</v>
      </c>
      <c r="D142" s="1319" t="s">
        <v>3950</v>
      </c>
      <c r="E142" s="1318">
        <v>1100</v>
      </c>
      <c r="F142" s="1325" t="s">
        <v>3954</v>
      </c>
      <c r="G142" s="1319" t="s">
        <v>3953</v>
      </c>
      <c r="H142" s="1319" t="s">
        <v>3950</v>
      </c>
      <c r="I142" s="1319" t="s">
        <v>3629</v>
      </c>
      <c r="J142" s="1326" t="s">
        <v>3950</v>
      </c>
      <c r="K142" s="1322" t="s">
        <v>3625</v>
      </c>
      <c r="L142" s="1323">
        <v>12</v>
      </c>
      <c r="M142" s="1324">
        <v>14388</v>
      </c>
      <c r="N142" s="1322" t="s">
        <v>3625</v>
      </c>
      <c r="O142" s="1323">
        <v>4</v>
      </c>
      <c r="P142" s="1324">
        <v>5323.05</v>
      </c>
    </row>
    <row r="143" spans="1:16" ht="36">
      <c r="A143" s="1315" t="s">
        <v>3628</v>
      </c>
      <c r="B143" s="1316" t="s">
        <v>1880</v>
      </c>
      <c r="C143" s="1316" t="s">
        <v>504</v>
      </c>
      <c r="D143" s="1320" t="s">
        <v>3950</v>
      </c>
      <c r="E143" s="1327">
        <v>1100</v>
      </c>
      <c r="F143" s="1328" t="s">
        <v>3952</v>
      </c>
      <c r="G143" s="1319" t="s">
        <v>3951</v>
      </c>
      <c r="H143" s="1320" t="s">
        <v>3950</v>
      </c>
      <c r="I143" s="1320" t="s">
        <v>3629</v>
      </c>
      <c r="J143" s="1321" t="s">
        <v>3950</v>
      </c>
      <c r="K143" s="1322" t="s">
        <v>3625</v>
      </c>
      <c r="L143" s="1323">
        <v>12</v>
      </c>
      <c r="M143" s="1324">
        <v>14388</v>
      </c>
      <c r="N143" s="1322" t="s">
        <v>3625</v>
      </c>
      <c r="O143" s="1323">
        <v>6</v>
      </c>
      <c r="P143" s="1324">
        <v>7523.05</v>
      </c>
    </row>
    <row r="144" spans="1:16" ht="36">
      <c r="A144" s="1315" t="s">
        <v>3628</v>
      </c>
      <c r="B144" s="1316" t="s">
        <v>1880</v>
      </c>
      <c r="C144" s="1316" t="s">
        <v>504</v>
      </c>
      <c r="D144" s="1320" t="s">
        <v>3701</v>
      </c>
      <c r="E144" s="1327">
        <v>1800</v>
      </c>
      <c r="F144" s="1328" t="s">
        <v>3949</v>
      </c>
      <c r="G144" s="1319" t="s">
        <v>3948</v>
      </c>
      <c r="H144" s="1320" t="s">
        <v>3701</v>
      </c>
      <c r="I144" s="1320" t="s">
        <v>3629</v>
      </c>
      <c r="J144" s="1321" t="s">
        <v>3701</v>
      </c>
      <c r="K144" s="1322" t="s">
        <v>3625</v>
      </c>
      <c r="L144" s="1323">
        <v>12</v>
      </c>
      <c r="M144" s="1324">
        <v>22960.799999999999</v>
      </c>
      <c r="N144" s="1322" t="s">
        <v>3625</v>
      </c>
      <c r="O144" s="1323">
        <v>6</v>
      </c>
      <c r="P144" s="1324">
        <v>12101.05</v>
      </c>
    </row>
    <row r="145" spans="1:16">
      <c r="A145" s="1315" t="s">
        <v>3628</v>
      </c>
      <c r="B145" s="1316" t="s">
        <v>1880</v>
      </c>
      <c r="C145" s="1316" t="s">
        <v>504</v>
      </c>
      <c r="D145" s="1320" t="s">
        <v>1952</v>
      </c>
      <c r="E145" s="1327">
        <v>930</v>
      </c>
      <c r="F145" s="1328" t="s">
        <v>3947</v>
      </c>
      <c r="G145" s="1319" t="s">
        <v>3946</v>
      </c>
      <c r="H145" s="1320" t="s">
        <v>1952</v>
      </c>
      <c r="I145" s="1320" t="s">
        <v>3626</v>
      </c>
      <c r="J145" s="1321" t="s">
        <v>1952</v>
      </c>
      <c r="K145" s="1322" t="s">
        <v>3625</v>
      </c>
      <c r="L145" s="1323">
        <v>12</v>
      </c>
      <c r="M145" s="1324">
        <v>13146</v>
      </c>
      <c r="N145" s="1322" t="s">
        <v>3625</v>
      </c>
      <c r="O145" s="1323">
        <v>6</v>
      </c>
      <c r="P145" s="1324">
        <v>5580</v>
      </c>
    </row>
    <row r="146" spans="1:16" ht="24">
      <c r="A146" s="1315" t="s">
        <v>3628</v>
      </c>
      <c r="B146" s="1316" t="s">
        <v>1880</v>
      </c>
      <c r="C146" s="1316" t="s">
        <v>504</v>
      </c>
      <c r="D146" s="1320" t="s">
        <v>1922</v>
      </c>
      <c r="E146" s="1327">
        <v>950</v>
      </c>
      <c r="F146" s="1328" t="s">
        <v>3945</v>
      </c>
      <c r="G146" s="1319" t="s">
        <v>3944</v>
      </c>
      <c r="H146" s="1320" t="s">
        <v>1922</v>
      </c>
      <c r="I146" s="1320" t="s">
        <v>3626</v>
      </c>
      <c r="J146" s="1321" t="s">
        <v>1922</v>
      </c>
      <c r="K146" s="1322" t="s">
        <v>3625</v>
      </c>
      <c r="L146" s="1323">
        <v>12</v>
      </c>
      <c r="M146" s="1324">
        <v>13026</v>
      </c>
      <c r="N146" s="1322" t="s">
        <v>3625</v>
      </c>
      <c r="O146" s="1323">
        <v>6</v>
      </c>
      <c r="P146" s="1324">
        <v>6542.05</v>
      </c>
    </row>
    <row r="147" spans="1:16" ht="24">
      <c r="A147" s="1315" t="s">
        <v>3628</v>
      </c>
      <c r="B147" s="1316" t="s">
        <v>1880</v>
      </c>
      <c r="C147" s="1316" t="s">
        <v>504</v>
      </c>
      <c r="D147" s="1329" t="s">
        <v>1784</v>
      </c>
      <c r="E147" s="1330">
        <v>1600</v>
      </c>
      <c r="F147" s="1328" t="s">
        <v>3943</v>
      </c>
      <c r="G147" s="1331" t="s">
        <v>3942</v>
      </c>
      <c r="H147" s="1329" t="s">
        <v>1784</v>
      </c>
      <c r="I147" s="1329" t="s">
        <v>3629</v>
      </c>
      <c r="J147" s="1332" t="s">
        <v>1784</v>
      </c>
      <c r="K147" s="1322" t="s">
        <v>3625</v>
      </c>
      <c r="L147" s="1323">
        <v>11</v>
      </c>
      <c r="M147" s="1324">
        <v>18847.400000000001</v>
      </c>
      <c r="N147" s="1322" t="s">
        <v>3625</v>
      </c>
      <c r="O147" s="1323">
        <v>0</v>
      </c>
      <c r="P147" s="1324"/>
    </row>
    <row r="148" spans="1:16" ht="24">
      <c r="A148" s="1315" t="s">
        <v>3628</v>
      </c>
      <c r="B148" s="1316" t="s">
        <v>1880</v>
      </c>
      <c r="C148" s="1316" t="s">
        <v>504</v>
      </c>
      <c r="D148" s="1320" t="s">
        <v>1922</v>
      </c>
      <c r="E148" s="1327">
        <v>930</v>
      </c>
      <c r="F148" s="1328" t="s">
        <v>3941</v>
      </c>
      <c r="G148" s="1319" t="s">
        <v>3940</v>
      </c>
      <c r="H148" s="1320" t="s">
        <v>1922</v>
      </c>
      <c r="I148" s="1320" t="s">
        <v>3626</v>
      </c>
      <c r="J148" s="1321" t="s">
        <v>1922</v>
      </c>
      <c r="K148" s="1322" t="s">
        <v>3625</v>
      </c>
      <c r="L148" s="1323">
        <v>12</v>
      </c>
      <c r="M148" s="1324">
        <v>12764.4</v>
      </c>
      <c r="N148" s="1322" t="s">
        <v>3625</v>
      </c>
      <c r="O148" s="1323">
        <v>6</v>
      </c>
      <c r="P148" s="1324">
        <v>5580</v>
      </c>
    </row>
    <row r="149" spans="1:16" ht="24">
      <c r="A149" s="1315" t="s">
        <v>3628</v>
      </c>
      <c r="B149" s="1316" t="s">
        <v>1880</v>
      </c>
      <c r="C149" s="1316" t="s">
        <v>504</v>
      </c>
      <c r="D149" s="1319" t="s">
        <v>1910</v>
      </c>
      <c r="E149" s="1318">
        <v>930</v>
      </c>
      <c r="F149" s="1325" t="s">
        <v>3939</v>
      </c>
      <c r="G149" s="1319" t="s">
        <v>3938</v>
      </c>
      <c r="H149" s="1319" t="s">
        <v>1910</v>
      </c>
      <c r="I149" s="1319" t="s">
        <v>3626</v>
      </c>
      <c r="J149" s="1326" t="s">
        <v>1910</v>
      </c>
      <c r="K149" s="1322" t="s">
        <v>3625</v>
      </c>
      <c r="L149" s="1323">
        <v>12</v>
      </c>
      <c r="M149" s="1324">
        <v>12764.4</v>
      </c>
      <c r="N149" s="1322" t="s">
        <v>3625</v>
      </c>
      <c r="O149" s="1323">
        <v>6</v>
      </c>
      <c r="P149" s="1324">
        <v>5580</v>
      </c>
    </row>
    <row r="150" spans="1:16">
      <c r="A150" s="1315" t="s">
        <v>3628</v>
      </c>
      <c r="B150" s="1316" t="s">
        <v>1880</v>
      </c>
      <c r="C150" s="1316" t="s">
        <v>504</v>
      </c>
      <c r="D150" s="1320" t="s">
        <v>3935</v>
      </c>
      <c r="E150" s="1327">
        <v>3895</v>
      </c>
      <c r="F150" s="1328" t="s">
        <v>3937</v>
      </c>
      <c r="G150" s="1319" t="s">
        <v>3936</v>
      </c>
      <c r="H150" s="1320" t="s">
        <v>3935</v>
      </c>
      <c r="I150" s="1320" t="s">
        <v>3633</v>
      </c>
      <c r="J150" s="1321" t="s">
        <v>3935</v>
      </c>
      <c r="K150" s="1322" t="s">
        <v>3625</v>
      </c>
      <c r="L150" s="1323">
        <v>12</v>
      </c>
      <c r="M150" s="1324">
        <v>48700.800000000003</v>
      </c>
      <c r="N150" s="1322" t="s">
        <v>3625</v>
      </c>
      <c r="O150" s="1323">
        <v>6</v>
      </c>
      <c r="P150" s="1324">
        <v>24969.83</v>
      </c>
    </row>
    <row r="151" spans="1:16">
      <c r="A151" s="1315" t="s">
        <v>3628</v>
      </c>
      <c r="B151" s="1316" t="s">
        <v>1880</v>
      </c>
      <c r="C151" s="1316" t="s">
        <v>504</v>
      </c>
      <c r="D151" s="1319" t="s">
        <v>2161</v>
      </c>
      <c r="E151" s="1318">
        <v>1000</v>
      </c>
      <c r="F151" s="1325" t="s">
        <v>3934</v>
      </c>
      <c r="G151" s="1319" t="s">
        <v>3933</v>
      </c>
      <c r="H151" s="1319" t="s">
        <v>2161</v>
      </c>
      <c r="I151" s="1319" t="s">
        <v>3629</v>
      </c>
      <c r="J151" s="1326" t="s">
        <v>2161</v>
      </c>
      <c r="K151" s="1322" t="s">
        <v>3625</v>
      </c>
      <c r="L151" s="1323">
        <v>12</v>
      </c>
      <c r="M151" s="1324">
        <v>13680</v>
      </c>
      <c r="N151" s="1322" t="s">
        <v>3625</v>
      </c>
      <c r="O151" s="1323">
        <v>6</v>
      </c>
      <c r="P151" s="1324">
        <v>6869.05</v>
      </c>
    </row>
    <row r="152" spans="1:16">
      <c r="A152" s="1315" t="s">
        <v>3628</v>
      </c>
      <c r="B152" s="1316" t="s">
        <v>1880</v>
      </c>
      <c r="C152" s="1316" t="s">
        <v>504</v>
      </c>
      <c r="D152" s="1320" t="s">
        <v>1779</v>
      </c>
      <c r="E152" s="1327">
        <v>6000</v>
      </c>
      <c r="F152" s="1328" t="s">
        <v>3932</v>
      </c>
      <c r="G152" s="1319" t="s">
        <v>3931</v>
      </c>
      <c r="H152" s="1320" t="s">
        <v>1779</v>
      </c>
      <c r="I152" s="1320" t="s">
        <v>3633</v>
      </c>
      <c r="J152" s="1321" t="s">
        <v>1779</v>
      </c>
      <c r="K152" s="1322" t="s">
        <v>3625</v>
      </c>
      <c r="L152" s="1323">
        <v>12</v>
      </c>
      <c r="M152" s="1324">
        <v>73360.800000000003</v>
      </c>
      <c r="N152" s="1322" t="s">
        <v>3625</v>
      </c>
      <c r="O152" s="1323">
        <v>6</v>
      </c>
      <c r="P152" s="1324">
        <v>37599.83</v>
      </c>
    </row>
    <row r="153" spans="1:16" ht="24">
      <c r="A153" s="1315" t="s">
        <v>3628</v>
      </c>
      <c r="B153" s="1316" t="s">
        <v>1880</v>
      </c>
      <c r="C153" s="1316" t="s">
        <v>504</v>
      </c>
      <c r="D153" s="1319" t="s">
        <v>3636</v>
      </c>
      <c r="E153" s="1318">
        <v>1000</v>
      </c>
      <c r="F153" s="1325" t="s">
        <v>3930</v>
      </c>
      <c r="G153" s="1319" t="s">
        <v>3929</v>
      </c>
      <c r="H153" s="1319" t="s">
        <v>3636</v>
      </c>
      <c r="I153" s="1319" t="s">
        <v>3626</v>
      </c>
      <c r="J153" s="1326" t="s">
        <v>3636</v>
      </c>
      <c r="K153" s="1322" t="s">
        <v>3625</v>
      </c>
      <c r="L153" s="1323">
        <v>12</v>
      </c>
      <c r="M153" s="1324">
        <v>13680</v>
      </c>
      <c r="N153" s="1322" t="s">
        <v>3625</v>
      </c>
      <c r="O153" s="1323">
        <v>6</v>
      </c>
      <c r="P153" s="1324">
        <v>6936.85</v>
      </c>
    </row>
    <row r="154" spans="1:16" ht="24">
      <c r="A154" s="1315" t="s">
        <v>3628</v>
      </c>
      <c r="B154" s="1316" t="s">
        <v>1880</v>
      </c>
      <c r="C154" s="1316" t="s">
        <v>504</v>
      </c>
      <c r="D154" s="1319" t="s">
        <v>3926</v>
      </c>
      <c r="E154" s="1318">
        <v>6000</v>
      </c>
      <c r="F154" s="1325" t="s">
        <v>3928</v>
      </c>
      <c r="G154" s="1319" t="s">
        <v>3927</v>
      </c>
      <c r="H154" s="1319" t="s">
        <v>3926</v>
      </c>
      <c r="I154" s="1319" t="s">
        <v>3819</v>
      </c>
      <c r="J154" s="1326" t="s">
        <v>3926</v>
      </c>
      <c r="K154" s="1322" t="s">
        <v>3625</v>
      </c>
      <c r="L154" s="1323">
        <v>7</v>
      </c>
      <c r="M154" s="1324">
        <v>44165.120000000003</v>
      </c>
      <c r="N154" s="1322" t="s">
        <v>3625</v>
      </c>
      <c r="O154" s="1323">
        <v>6</v>
      </c>
      <c r="P154" s="1324">
        <v>37780.71</v>
      </c>
    </row>
    <row r="155" spans="1:16">
      <c r="A155" s="1315" t="s">
        <v>3628</v>
      </c>
      <c r="B155" s="1316" t="s">
        <v>1880</v>
      </c>
      <c r="C155" s="1316" t="s">
        <v>504</v>
      </c>
      <c r="D155" s="1320" t="s">
        <v>3882</v>
      </c>
      <c r="E155" s="1327">
        <v>2100</v>
      </c>
      <c r="F155" s="1328" t="s">
        <v>3925</v>
      </c>
      <c r="G155" s="1319" t="s">
        <v>3924</v>
      </c>
      <c r="H155" s="1320" t="s">
        <v>3882</v>
      </c>
      <c r="I155" s="1320" t="s">
        <v>3819</v>
      </c>
      <c r="J155" s="1321" t="s">
        <v>3882</v>
      </c>
      <c r="K155" s="1322" t="s">
        <v>3625</v>
      </c>
      <c r="L155" s="1323">
        <v>12</v>
      </c>
      <c r="M155" s="1324">
        <v>27665.119999999999</v>
      </c>
      <c r="N155" s="1322" t="s">
        <v>3625</v>
      </c>
      <c r="O155" s="1323">
        <v>6</v>
      </c>
      <c r="P155" s="1324">
        <v>14380.71</v>
      </c>
    </row>
    <row r="156" spans="1:16">
      <c r="A156" s="1315" t="s">
        <v>3628</v>
      </c>
      <c r="B156" s="1316" t="s">
        <v>1880</v>
      </c>
      <c r="C156" s="1316" t="s">
        <v>504</v>
      </c>
      <c r="D156" s="1319" t="s">
        <v>3882</v>
      </c>
      <c r="E156" s="1318">
        <v>2100</v>
      </c>
      <c r="F156" s="1325" t="s">
        <v>3923</v>
      </c>
      <c r="G156" s="1319" t="s">
        <v>3922</v>
      </c>
      <c r="H156" s="1319" t="s">
        <v>3882</v>
      </c>
      <c r="I156" s="1319" t="s">
        <v>3819</v>
      </c>
      <c r="J156" s="1326" t="s">
        <v>3882</v>
      </c>
      <c r="K156" s="1322" t="s">
        <v>3625</v>
      </c>
      <c r="L156" s="1323">
        <v>12</v>
      </c>
      <c r="M156" s="1324">
        <v>27665.119999999999</v>
      </c>
      <c r="N156" s="1322" t="s">
        <v>3625</v>
      </c>
      <c r="O156" s="1323">
        <v>6</v>
      </c>
      <c r="P156" s="1324">
        <v>14380.71</v>
      </c>
    </row>
    <row r="157" spans="1:16">
      <c r="A157" s="1315" t="s">
        <v>3628</v>
      </c>
      <c r="B157" s="1316" t="s">
        <v>1880</v>
      </c>
      <c r="C157" s="1316" t="s">
        <v>504</v>
      </c>
      <c r="D157" s="1319" t="s">
        <v>3882</v>
      </c>
      <c r="E157" s="1318">
        <v>2100</v>
      </c>
      <c r="F157" s="1325" t="s">
        <v>3921</v>
      </c>
      <c r="G157" s="1319" t="s">
        <v>3920</v>
      </c>
      <c r="H157" s="1319" t="s">
        <v>3882</v>
      </c>
      <c r="I157" s="1319" t="s">
        <v>3819</v>
      </c>
      <c r="J157" s="1326" t="s">
        <v>3882</v>
      </c>
      <c r="K157" s="1322" t="s">
        <v>3625</v>
      </c>
      <c r="L157" s="1323">
        <v>12</v>
      </c>
      <c r="M157" s="1324">
        <v>27665.119999999999</v>
      </c>
      <c r="N157" s="1322" t="s">
        <v>3625</v>
      </c>
      <c r="O157" s="1323">
        <v>5</v>
      </c>
      <c r="P157" s="1324">
        <v>11849.25</v>
      </c>
    </row>
    <row r="158" spans="1:16">
      <c r="A158" s="1315" t="s">
        <v>3628</v>
      </c>
      <c r="B158" s="1316" t="s">
        <v>1880</v>
      </c>
      <c r="C158" s="1316" t="s">
        <v>504</v>
      </c>
      <c r="D158" s="1320" t="s">
        <v>3249</v>
      </c>
      <c r="E158" s="1327">
        <v>2100</v>
      </c>
      <c r="F158" s="1328" t="s">
        <v>3919</v>
      </c>
      <c r="G158" s="1319" t="s">
        <v>3918</v>
      </c>
      <c r="H158" s="1320" t="s">
        <v>3249</v>
      </c>
      <c r="I158" s="1320" t="s">
        <v>3633</v>
      </c>
      <c r="J158" s="1321" t="s">
        <v>3249</v>
      </c>
      <c r="K158" s="1322" t="s">
        <v>3625</v>
      </c>
      <c r="L158" s="1323">
        <v>12</v>
      </c>
      <c r="M158" s="1324">
        <v>27160.799999999999</v>
      </c>
      <c r="N158" s="1322" t="s">
        <v>3625</v>
      </c>
      <c r="O158" s="1323">
        <v>3</v>
      </c>
      <c r="P158" s="1324">
        <v>7211.05</v>
      </c>
    </row>
    <row r="159" spans="1:16">
      <c r="A159" s="1315" t="s">
        <v>3628</v>
      </c>
      <c r="B159" s="1316" t="s">
        <v>1880</v>
      </c>
      <c r="C159" s="1316" t="s">
        <v>504</v>
      </c>
      <c r="D159" s="1319" t="s">
        <v>1439</v>
      </c>
      <c r="E159" s="1318">
        <v>5500</v>
      </c>
      <c r="F159" s="1325" t="s">
        <v>3917</v>
      </c>
      <c r="G159" s="1319" t="s">
        <v>3916</v>
      </c>
      <c r="H159" s="1319" t="s">
        <v>1439</v>
      </c>
      <c r="I159" s="1319" t="s">
        <v>3633</v>
      </c>
      <c r="J159" s="1326" t="s">
        <v>1439</v>
      </c>
      <c r="K159" s="1322" t="s">
        <v>3625</v>
      </c>
      <c r="L159" s="1323">
        <v>12</v>
      </c>
      <c r="M159" s="1324">
        <v>67960.800000000003</v>
      </c>
      <c r="N159" s="1322" t="s">
        <v>3625</v>
      </c>
      <c r="O159" s="1323">
        <v>6</v>
      </c>
      <c r="P159" s="1324">
        <v>34599.83</v>
      </c>
    </row>
    <row r="160" spans="1:16">
      <c r="A160" s="1315" t="s">
        <v>3628</v>
      </c>
      <c r="B160" s="1316" t="s">
        <v>1880</v>
      </c>
      <c r="C160" s="1316" t="s">
        <v>504</v>
      </c>
      <c r="D160" s="1320" t="s">
        <v>511</v>
      </c>
      <c r="E160" s="1327">
        <v>6000</v>
      </c>
      <c r="F160" s="1328" t="s">
        <v>3915</v>
      </c>
      <c r="G160" s="1319" t="s">
        <v>3914</v>
      </c>
      <c r="H160" s="1320" t="s">
        <v>511</v>
      </c>
      <c r="I160" s="1320" t="s">
        <v>3633</v>
      </c>
      <c r="J160" s="1321" t="s">
        <v>511</v>
      </c>
      <c r="K160" s="1322" t="s">
        <v>3625</v>
      </c>
      <c r="L160" s="1323">
        <v>12</v>
      </c>
      <c r="M160" s="1324">
        <v>73960.800000000003</v>
      </c>
      <c r="N160" s="1322" t="s">
        <v>3625</v>
      </c>
      <c r="O160" s="1323">
        <v>6</v>
      </c>
      <c r="P160" s="1324">
        <v>37599.83</v>
      </c>
    </row>
    <row r="161" spans="1:16">
      <c r="A161" s="1315" t="s">
        <v>3628</v>
      </c>
      <c r="B161" s="1316" t="s">
        <v>1880</v>
      </c>
      <c r="C161" s="1316" t="s">
        <v>504</v>
      </c>
      <c r="D161" s="1319" t="s">
        <v>1695</v>
      </c>
      <c r="E161" s="1318">
        <v>6000</v>
      </c>
      <c r="F161" s="1325" t="s">
        <v>3913</v>
      </c>
      <c r="G161" s="1319" t="s">
        <v>3912</v>
      </c>
      <c r="H161" s="1319" t="s">
        <v>1695</v>
      </c>
      <c r="I161" s="1319" t="s">
        <v>3633</v>
      </c>
      <c r="J161" s="1326" t="s">
        <v>1695</v>
      </c>
      <c r="K161" s="1322" t="s">
        <v>3625</v>
      </c>
      <c r="L161" s="1323">
        <v>12</v>
      </c>
      <c r="M161" s="1324">
        <v>73960.800000000003</v>
      </c>
      <c r="N161" s="1322" t="s">
        <v>3625</v>
      </c>
      <c r="O161" s="1323">
        <v>6</v>
      </c>
      <c r="P161" s="1324">
        <v>37599.83</v>
      </c>
    </row>
    <row r="162" spans="1:16" ht="24">
      <c r="A162" s="1315" t="s">
        <v>3628</v>
      </c>
      <c r="B162" s="1316" t="s">
        <v>1880</v>
      </c>
      <c r="C162" s="1316" t="s">
        <v>504</v>
      </c>
      <c r="D162" s="1319" t="s">
        <v>3909</v>
      </c>
      <c r="E162" s="1318">
        <v>8000</v>
      </c>
      <c r="F162" s="1325" t="s">
        <v>3911</v>
      </c>
      <c r="G162" s="1319" t="s">
        <v>3910</v>
      </c>
      <c r="H162" s="1319" t="s">
        <v>3909</v>
      </c>
      <c r="I162" s="1319" t="s">
        <v>3633</v>
      </c>
      <c r="J162" s="1326" t="s">
        <v>3909</v>
      </c>
      <c r="K162" s="1322" t="s">
        <v>3625</v>
      </c>
      <c r="L162" s="1323">
        <v>12</v>
      </c>
      <c r="M162" s="1324">
        <v>97960.8</v>
      </c>
      <c r="N162" s="1322" t="s">
        <v>3625</v>
      </c>
      <c r="O162" s="1323">
        <v>6</v>
      </c>
      <c r="P162" s="1324">
        <v>49599.83</v>
      </c>
    </row>
    <row r="163" spans="1:16">
      <c r="A163" s="1315" t="s">
        <v>3628</v>
      </c>
      <c r="B163" s="1316" t="s">
        <v>1880</v>
      </c>
      <c r="C163" s="1316" t="s">
        <v>504</v>
      </c>
      <c r="D163" s="1320" t="s">
        <v>759</v>
      </c>
      <c r="E163" s="1327">
        <v>2439</v>
      </c>
      <c r="F163" s="1328" t="s">
        <v>3908</v>
      </c>
      <c r="G163" s="1319" t="s">
        <v>3907</v>
      </c>
      <c r="H163" s="1320" t="s">
        <v>759</v>
      </c>
      <c r="I163" s="1320" t="s">
        <v>3633</v>
      </c>
      <c r="J163" s="1321" t="s">
        <v>759</v>
      </c>
      <c r="K163" s="1322" t="s">
        <v>3625</v>
      </c>
      <c r="L163" s="1323">
        <v>12</v>
      </c>
      <c r="M163" s="1324">
        <v>31228.799999999999</v>
      </c>
      <c r="N163" s="1322" t="s">
        <v>3625</v>
      </c>
      <c r="O163" s="1323">
        <v>6</v>
      </c>
      <c r="P163" s="1324">
        <v>16233.83</v>
      </c>
    </row>
    <row r="164" spans="1:16">
      <c r="A164" s="1315" t="s">
        <v>3628</v>
      </c>
      <c r="B164" s="1316" t="s">
        <v>1880</v>
      </c>
      <c r="C164" s="1316" t="s">
        <v>504</v>
      </c>
      <c r="D164" s="1319" t="s">
        <v>2161</v>
      </c>
      <c r="E164" s="1318">
        <v>1800</v>
      </c>
      <c r="F164" s="1325" t="s">
        <v>3906</v>
      </c>
      <c r="G164" s="1319" t="s">
        <v>3905</v>
      </c>
      <c r="H164" s="1319" t="s">
        <v>2161</v>
      </c>
      <c r="I164" s="1319" t="s">
        <v>3626</v>
      </c>
      <c r="J164" s="1326" t="s">
        <v>2161</v>
      </c>
      <c r="K164" s="1322" t="s">
        <v>3625</v>
      </c>
      <c r="L164" s="1323">
        <v>12</v>
      </c>
      <c r="M164" s="1324">
        <v>23560.799999999999</v>
      </c>
      <c r="N164" s="1322" t="s">
        <v>3625</v>
      </c>
      <c r="O164" s="1323">
        <v>6</v>
      </c>
      <c r="P164" s="1324">
        <v>12101.05</v>
      </c>
    </row>
    <row r="165" spans="1:16" ht="24">
      <c r="A165" s="1315" t="s">
        <v>3628</v>
      </c>
      <c r="B165" s="1316" t="s">
        <v>1880</v>
      </c>
      <c r="C165" s="1316" t="s">
        <v>504</v>
      </c>
      <c r="D165" s="1320" t="s">
        <v>1922</v>
      </c>
      <c r="E165" s="1327">
        <v>930</v>
      </c>
      <c r="F165" s="1328" t="s">
        <v>3904</v>
      </c>
      <c r="G165" s="1319" t="s">
        <v>3903</v>
      </c>
      <c r="H165" s="1320" t="s">
        <v>1922</v>
      </c>
      <c r="I165" s="1320" t="s">
        <v>3626</v>
      </c>
      <c r="J165" s="1321" t="s">
        <v>1922</v>
      </c>
      <c r="K165" s="1322" t="s">
        <v>3625</v>
      </c>
      <c r="L165" s="1323">
        <v>12</v>
      </c>
      <c r="M165" s="1324">
        <v>12764.4</v>
      </c>
      <c r="N165" s="1322" t="s">
        <v>3625</v>
      </c>
      <c r="O165" s="1323">
        <v>6</v>
      </c>
      <c r="P165" s="1324">
        <v>5580</v>
      </c>
    </row>
    <row r="166" spans="1:16">
      <c r="A166" s="1315" t="s">
        <v>3628</v>
      </c>
      <c r="B166" s="1316" t="s">
        <v>1880</v>
      </c>
      <c r="C166" s="1316" t="s">
        <v>504</v>
      </c>
      <c r="D166" s="1319" t="s">
        <v>1439</v>
      </c>
      <c r="E166" s="1318">
        <v>6000</v>
      </c>
      <c r="F166" s="1325" t="s">
        <v>3902</v>
      </c>
      <c r="G166" s="1319" t="s">
        <v>3901</v>
      </c>
      <c r="H166" s="1319" t="s">
        <v>1439</v>
      </c>
      <c r="I166" s="1319" t="s">
        <v>3633</v>
      </c>
      <c r="J166" s="1326" t="s">
        <v>1439</v>
      </c>
      <c r="K166" s="1322" t="s">
        <v>3625</v>
      </c>
      <c r="L166" s="1323">
        <v>1</v>
      </c>
      <c r="M166" s="1324">
        <v>6113.4</v>
      </c>
      <c r="N166" s="1322" t="s">
        <v>3625</v>
      </c>
      <c r="O166" s="1323">
        <v>6</v>
      </c>
      <c r="P166" s="1324">
        <v>37599.83</v>
      </c>
    </row>
    <row r="167" spans="1:16">
      <c r="A167" s="1315" t="s">
        <v>3628</v>
      </c>
      <c r="B167" s="1316" t="s">
        <v>1880</v>
      </c>
      <c r="C167" s="1316" t="s">
        <v>504</v>
      </c>
      <c r="D167" s="1320" t="s">
        <v>1972</v>
      </c>
      <c r="E167" s="1327">
        <v>930</v>
      </c>
      <c r="F167" s="1328" t="s">
        <v>3900</v>
      </c>
      <c r="G167" s="1319" t="s">
        <v>3899</v>
      </c>
      <c r="H167" s="1320" t="s">
        <v>1972</v>
      </c>
      <c r="I167" s="1320" t="s">
        <v>3629</v>
      </c>
      <c r="J167" s="1321" t="s">
        <v>1972</v>
      </c>
      <c r="K167" s="1322" t="s">
        <v>3625</v>
      </c>
      <c r="L167" s="1323">
        <v>12</v>
      </c>
      <c r="M167" s="1324">
        <v>13146</v>
      </c>
      <c r="N167" s="1322" t="s">
        <v>3625</v>
      </c>
      <c r="O167" s="1323">
        <v>6</v>
      </c>
      <c r="P167" s="1324">
        <v>5580</v>
      </c>
    </row>
    <row r="168" spans="1:16">
      <c r="A168" s="1315" t="s">
        <v>3628</v>
      </c>
      <c r="B168" s="1316" t="s">
        <v>1880</v>
      </c>
      <c r="C168" s="1316" t="s">
        <v>504</v>
      </c>
      <c r="D168" s="1319" t="s">
        <v>1972</v>
      </c>
      <c r="E168" s="1318">
        <v>930</v>
      </c>
      <c r="F168" s="1325" t="s">
        <v>3898</v>
      </c>
      <c r="G168" s="1319" t="s">
        <v>3897</v>
      </c>
      <c r="H168" s="1319" t="s">
        <v>1972</v>
      </c>
      <c r="I168" s="1319" t="s">
        <v>3629</v>
      </c>
      <c r="J168" s="1326" t="s">
        <v>1972</v>
      </c>
      <c r="K168" s="1322" t="s">
        <v>3625</v>
      </c>
      <c r="L168" s="1323">
        <v>12</v>
      </c>
      <c r="M168" s="1324">
        <v>13146</v>
      </c>
      <c r="N168" s="1322" t="s">
        <v>3625</v>
      </c>
      <c r="O168" s="1323">
        <v>6</v>
      </c>
      <c r="P168" s="1324">
        <v>5580</v>
      </c>
    </row>
    <row r="169" spans="1:16">
      <c r="A169" s="1315" t="s">
        <v>3628</v>
      </c>
      <c r="B169" s="1316" t="s">
        <v>1880</v>
      </c>
      <c r="C169" s="1316" t="s">
        <v>504</v>
      </c>
      <c r="D169" s="1320" t="s">
        <v>2215</v>
      </c>
      <c r="E169" s="1327">
        <v>950</v>
      </c>
      <c r="F169" s="1328" t="s">
        <v>3896</v>
      </c>
      <c r="G169" s="1319" t="s">
        <v>3895</v>
      </c>
      <c r="H169" s="1320" t="s">
        <v>2215</v>
      </c>
      <c r="I169" s="1320" t="s">
        <v>3626</v>
      </c>
      <c r="J169" s="1321" t="s">
        <v>2215</v>
      </c>
      <c r="K169" s="1322" t="s">
        <v>3625</v>
      </c>
      <c r="L169" s="1323">
        <v>4</v>
      </c>
      <c r="M169" s="1324">
        <v>5126</v>
      </c>
      <c r="N169" s="1322" t="s">
        <v>3625</v>
      </c>
      <c r="O169" s="1323">
        <v>6</v>
      </c>
      <c r="P169" s="1324">
        <v>6542.05</v>
      </c>
    </row>
    <row r="170" spans="1:16">
      <c r="A170" s="1315" t="s">
        <v>3628</v>
      </c>
      <c r="B170" s="1316" t="s">
        <v>1880</v>
      </c>
      <c r="C170" s="1316" t="s">
        <v>504</v>
      </c>
      <c r="D170" s="1319" t="s">
        <v>3747</v>
      </c>
      <c r="E170" s="1318">
        <v>1000</v>
      </c>
      <c r="F170" s="1325" t="s">
        <v>3894</v>
      </c>
      <c r="G170" s="1319" t="s">
        <v>3893</v>
      </c>
      <c r="H170" s="1319" t="s">
        <v>3747</v>
      </c>
      <c r="I170" s="1319" t="s">
        <v>3626</v>
      </c>
      <c r="J170" s="1326" t="s">
        <v>3747</v>
      </c>
      <c r="K170" s="1322" t="s">
        <v>3625</v>
      </c>
      <c r="L170" s="1323">
        <v>12</v>
      </c>
      <c r="M170" s="1324">
        <v>13680</v>
      </c>
      <c r="N170" s="1322" t="s">
        <v>3625</v>
      </c>
      <c r="O170" s="1323">
        <v>6</v>
      </c>
      <c r="P170" s="1324">
        <v>6869.05</v>
      </c>
    </row>
    <row r="171" spans="1:16" ht="24">
      <c r="A171" s="1315" t="s">
        <v>3628</v>
      </c>
      <c r="B171" s="1316" t="s">
        <v>1880</v>
      </c>
      <c r="C171" s="1316" t="s">
        <v>504</v>
      </c>
      <c r="D171" s="1319" t="s">
        <v>3636</v>
      </c>
      <c r="E171" s="1318">
        <v>1000</v>
      </c>
      <c r="F171" s="1325" t="s">
        <v>3892</v>
      </c>
      <c r="G171" s="1319" t="s">
        <v>3891</v>
      </c>
      <c r="H171" s="1319" t="s">
        <v>3636</v>
      </c>
      <c r="I171" s="1319" t="s">
        <v>3626</v>
      </c>
      <c r="J171" s="1326" t="s">
        <v>3636</v>
      </c>
      <c r="K171" s="1322" t="s">
        <v>3625</v>
      </c>
      <c r="L171" s="1323">
        <v>12</v>
      </c>
      <c r="M171" s="1324">
        <v>13680</v>
      </c>
      <c r="N171" s="1322" t="s">
        <v>3625</v>
      </c>
      <c r="O171" s="1323">
        <v>6</v>
      </c>
      <c r="P171" s="1324">
        <v>6936.85</v>
      </c>
    </row>
    <row r="172" spans="1:16">
      <c r="A172" s="1315" t="s">
        <v>3628</v>
      </c>
      <c r="B172" s="1316" t="s">
        <v>1880</v>
      </c>
      <c r="C172" s="1316" t="s">
        <v>504</v>
      </c>
      <c r="D172" s="1320" t="s">
        <v>3747</v>
      </c>
      <c r="E172" s="1327">
        <v>930</v>
      </c>
      <c r="F172" s="1328" t="s">
        <v>3890</v>
      </c>
      <c r="G172" s="1319" t="s">
        <v>3889</v>
      </c>
      <c r="H172" s="1320" t="s">
        <v>3747</v>
      </c>
      <c r="I172" s="1320" t="s">
        <v>3626</v>
      </c>
      <c r="J172" s="1321" t="s">
        <v>3747</v>
      </c>
      <c r="K172" s="1322" t="s">
        <v>3625</v>
      </c>
      <c r="L172" s="1323">
        <v>12</v>
      </c>
      <c r="M172" s="1324">
        <v>12764.4</v>
      </c>
      <c r="N172" s="1322" t="s">
        <v>3625</v>
      </c>
      <c r="O172" s="1323">
        <v>6</v>
      </c>
      <c r="P172" s="1324">
        <v>5580</v>
      </c>
    </row>
    <row r="173" spans="1:16">
      <c r="A173" s="1315" t="s">
        <v>3628</v>
      </c>
      <c r="B173" s="1316" t="s">
        <v>1880</v>
      </c>
      <c r="C173" s="1316" t="s">
        <v>504</v>
      </c>
      <c r="D173" s="1319" t="s">
        <v>3882</v>
      </c>
      <c r="E173" s="1318">
        <v>2100</v>
      </c>
      <c r="F173" s="1325" t="s">
        <v>3888</v>
      </c>
      <c r="G173" s="1319" t="s">
        <v>3887</v>
      </c>
      <c r="H173" s="1319" t="s">
        <v>3882</v>
      </c>
      <c r="I173" s="1319" t="s">
        <v>3819</v>
      </c>
      <c r="J173" s="1326" t="s">
        <v>3882</v>
      </c>
      <c r="K173" s="1322" t="s">
        <v>3625</v>
      </c>
      <c r="L173" s="1323">
        <v>11</v>
      </c>
      <c r="M173" s="1324">
        <v>25565.119999999999</v>
      </c>
      <c r="N173" s="1322" t="s">
        <v>3625</v>
      </c>
      <c r="O173" s="1323">
        <v>0</v>
      </c>
      <c r="P173" s="1324"/>
    </row>
    <row r="174" spans="1:16">
      <c r="A174" s="1315" t="s">
        <v>3628</v>
      </c>
      <c r="B174" s="1316" t="s">
        <v>1880</v>
      </c>
      <c r="C174" s="1316" t="s">
        <v>504</v>
      </c>
      <c r="D174" s="1329" t="s">
        <v>3882</v>
      </c>
      <c r="E174" s="1330">
        <v>2100</v>
      </c>
      <c r="F174" s="1328" t="s">
        <v>3886</v>
      </c>
      <c r="G174" s="1331" t="s">
        <v>3885</v>
      </c>
      <c r="H174" s="1329" t="s">
        <v>3882</v>
      </c>
      <c r="I174" s="1329" t="s">
        <v>3819</v>
      </c>
      <c r="J174" s="1332" t="s">
        <v>3882</v>
      </c>
      <c r="K174" s="1322" t="s">
        <v>3625</v>
      </c>
      <c r="L174" s="1323">
        <v>1</v>
      </c>
      <c r="M174" s="1324">
        <v>2213.4</v>
      </c>
      <c r="N174" s="1322" t="s">
        <v>3625</v>
      </c>
      <c r="O174" s="1323">
        <v>0</v>
      </c>
      <c r="P174" s="1324"/>
    </row>
    <row r="175" spans="1:16">
      <c r="A175" s="1315" t="s">
        <v>3628</v>
      </c>
      <c r="B175" s="1316" t="s">
        <v>1880</v>
      </c>
      <c r="C175" s="1316" t="s">
        <v>504</v>
      </c>
      <c r="D175" s="1319" t="s">
        <v>3882</v>
      </c>
      <c r="E175" s="1318">
        <v>2100</v>
      </c>
      <c r="F175" s="1325" t="s">
        <v>3884</v>
      </c>
      <c r="G175" s="1319" t="s">
        <v>3883</v>
      </c>
      <c r="H175" s="1319" t="s">
        <v>3882</v>
      </c>
      <c r="I175" s="1319" t="s">
        <v>3819</v>
      </c>
      <c r="J175" s="1326" t="s">
        <v>3882</v>
      </c>
      <c r="K175" s="1322" t="s">
        <v>3625</v>
      </c>
      <c r="L175" s="1323">
        <v>12</v>
      </c>
      <c r="M175" s="1324">
        <v>27665.119999999999</v>
      </c>
      <c r="N175" s="1322" t="s">
        <v>3625</v>
      </c>
      <c r="O175" s="1323">
        <v>6</v>
      </c>
      <c r="P175" s="1324">
        <v>14380.71</v>
      </c>
    </row>
    <row r="176" spans="1:16">
      <c r="A176" s="1315" t="s">
        <v>3628</v>
      </c>
      <c r="B176" s="1316" t="s">
        <v>1880</v>
      </c>
      <c r="C176" s="1316" t="s">
        <v>504</v>
      </c>
      <c r="D176" s="1320" t="s">
        <v>3879</v>
      </c>
      <c r="E176" s="1327">
        <v>2050</v>
      </c>
      <c r="F176" s="1328" t="s">
        <v>3881</v>
      </c>
      <c r="G176" s="1319" t="s">
        <v>3880</v>
      </c>
      <c r="H176" s="1320" t="s">
        <v>3879</v>
      </c>
      <c r="I176" s="1320" t="s">
        <v>3633</v>
      </c>
      <c r="J176" s="1321" t="s">
        <v>3879</v>
      </c>
      <c r="K176" s="1322" t="s">
        <v>3625</v>
      </c>
      <c r="L176" s="1323">
        <v>12</v>
      </c>
      <c r="M176" s="1324">
        <v>26560.799999999999</v>
      </c>
      <c r="N176" s="1322" t="s">
        <v>3625</v>
      </c>
      <c r="O176" s="1323">
        <v>6</v>
      </c>
      <c r="P176" s="1324">
        <v>13899.83</v>
      </c>
    </row>
    <row r="177" spans="1:16">
      <c r="A177" s="1315" t="s">
        <v>3628</v>
      </c>
      <c r="B177" s="1316" t="s">
        <v>1880</v>
      </c>
      <c r="C177" s="1316" t="s">
        <v>504</v>
      </c>
      <c r="D177" s="1319" t="s">
        <v>2161</v>
      </c>
      <c r="E177" s="1318">
        <v>930</v>
      </c>
      <c r="F177" s="1325" t="s">
        <v>3878</v>
      </c>
      <c r="G177" s="1319" t="s">
        <v>3877</v>
      </c>
      <c r="H177" s="1319" t="s">
        <v>2161</v>
      </c>
      <c r="I177" s="1319" t="s">
        <v>3626</v>
      </c>
      <c r="J177" s="1326" t="s">
        <v>2161</v>
      </c>
      <c r="K177" s="1322" t="s">
        <v>3625</v>
      </c>
      <c r="L177" s="1323">
        <v>12</v>
      </c>
      <c r="M177" s="1324">
        <v>12764.4</v>
      </c>
      <c r="N177" s="1322" t="s">
        <v>3625</v>
      </c>
      <c r="O177" s="1323">
        <v>6</v>
      </c>
      <c r="P177" s="1324">
        <v>5580</v>
      </c>
    </row>
    <row r="178" spans="1:16">
      <c r="A178" s="1315" t="s">
        <v>3628</v>
      </c>
      <c r="B178" s="1316" t="s">
        <v>1880</v>
      </c>
      <c r="C178" s="1316" t="s">
        <v>504</v>
      </c>
      <c r="D178" s="1320" t="s">
        <v>1925</v>
      </c>
      <c r="E178" s="1327">
        <v>930</v>
      </c>
      <c r="F178" s="1328" t="s">
        <v>3876</v>
      </c>
      <c r="G178" s="1319" t="s">
        <v>3875</v>
      </c>
      <c r="H178" s="1320" t="s">
        <v>1925</v>
      </c>
      <c r="I178" s="1320" t="s">
        <v>3629</v>
      </c>
      <c r="J178" s="1321" t="s">
        <v>1925</v>
      </c>
      <c r="K178" s="1322" t="s">
        <v>3625</v>
      </c>
      <c r="L178" s="1323">
        <v>12</v>
      </c>
      <c r="M178" s="1324">
        <v>12764.4</v>
      </c>
      <c r="N178" s="1322" t="s">
        <v>3625</v>
      </c>
      <c r="O178" s="1323">
        <v>6</v>
      </c>
      <c r="P178" s="1324">
        <v>5580</v>
      </c>
    </row>
    <row r="179" spans="1:16">
      <c r="A179" s="1315" t="s">
        <v>3628</v>
      </c>
      <c r="B179" s="1316" t="s">
        <v>1880</v>
      </c>
      <c r="C179" s="1316" t="s">
        <v>504</v>
      </c>
      <c r="D179" s="1319" t="s">
        <v>1888</v>
      </c>
      <c r="E179" s="1318">
        <v>930</v>
      </c>
      <c r="F179" s="1325" t="s">
        <v>3874</v>
      </c>
      <c r="G179" s="1319" t="s">
        <v>3873</v>
      </c>
      <c r="H179" s="1319" t="s">
        <v>1888</v>
      </c>
      <c r="I179" s="1319" t="s">
        <v>3629</v>
      </c>
      <c r="J179" s="1326" t="s">
        <v>1888</v>
      </c>
      <c r="K179" s="1322" t="s">
        <v>3625</v>
      </c>
      <c r="L179" s="1323">
        <v>12</v>
      </c>
      <c r="M179" s="1324">
        <v>13146</v>
      </c>
      <c r="N179" s="1322" t="s">
        <v>3625</v>
      </c>
      <c r="O179" s="1323">
        <v>6</v>
      </c>
      <c r="P179" s="1324">
        <v>5580</v>
      </c>
    </row>
    <row r="180" spans="1:16">
      <c r="A180" s="1315" t="s">
        <v>3628</v>
      </c>
      <c r="B180" s="1316" t="s">
        <v>1880</v>
      </c>
      <c r="C180" s="1316" t="s">
        <v>504</v>
      </c>
      <c r="D180" s="1320" t="s">
        <v>3864</v>
      </c>
      <c r="E180" s="1327">
        <v>7530</v>
      </c>
      <c r="F180" s="1328" t="s">
        <v>3872</v>
      </c>
      <c r="G180" s="1319" t="s">
        <v>3871</v>
      </c>
      <c r="H180" s="1320" t="s">
        <v>3864</v>
      </c>
      <c r="I180" s="1320" t="s">
        <v>3633</v>
      </c>
      <c r="J180" s="1321" t="s">
        <v>3864</v>
      </c>
      <c r="K180" s="1322" t="s">
        <v>3625</v>
      </c>
      <c r="L180" s="1323">
        <v>12</v>
      </c>
      <c r="M180" s="1324">
        <v>92320.8</v>
      </c>
      <c r="N180" s="1322" t="s">
        <v>3625</v>
      </c>
      <c r="O180" s="1323">
        <v>6</v>
      </c>
      <c r="P180" s="1324">
        <v>46779.83</v>
      </c>
    </row>
    <row r="181" spans="1:16">
      <c r="A181" s="1315" t="s">
        <v>3628</v>
      </c>
      <c r="B181" s="1316" t="s">
        <v>1880</v>
      </c>
      <c r="C181" s="1316" t="s">
        <v>504</v>
      </c>
      <c r="D181" s="1329" t="s">
        <v>3864</v>
      </c>
      <c r="E181" s="1330">
        <v>7530</v>
      </c>
      <c r="F181" s="1328" t="s">
        <v>3870</v>
      </c>
      <c r="G181" s="1319" t="s">
        <v>3869</v>
      </c>
      <c r="H181" s="1329" t="s">
        <v>3864</v>
      </c>
      <c r="I181" s="1329" t="s">
        <v>3633</v>
      </c>
      <c r="J181" s="1332" t="s">
        <v>3864</v>
      </c>
      <c r="K181" s="1322" t="s">
        <v>3625</v>
      </c>
      <c r="L181" s="1323">
        <v>12</v>
      </c>
      <c r="M181" s="1324">
        <v>91720.8</v>
      </c>
      <c r="N181" s="1322" t="s">
        <v>3625</v>
      </c>
      <c r="O181" s="1323">
        <v>5</v>
      </c>
      <c r="P181" s="1324">
        <v>39023.949999999997</v>
      </c>
    </row>
    <row r="182" spans="1:16">
      <c r="A182" s="1315" t="s">
        <v>3628</v>
      </c>
      <c r="B182" s="1316" t="s">
        <v>1880</v>
      </c>
      <c r="C182" s="1316" t="s">
        <v>504</v>
      </c>
      <c r="D182" s="1320" t="s">
        <v>3864</v>
      </c>
      <c r="E182" s="1327">
        <v>7530</v>
      </c>
      <c r="F182" s="1328" t="s">
        <v>3868</v>
      </c>
      <c r="G182" s="1319" t="s">
        <v>3867</v>
      </c>
      <c r="H182" s="1320" t="s">
        <v>3864</v>
      </c>
      <c r="I182" s="1320" t="s">
        <v>3633</v>
      </c>
      <c r="J182" s="1321" t="s">
        <v>3864</v>
      </c>
      <c r="K182" s="1322" t="s">
        <v>3625</v>
      </c>
      <c r="L182" s="1323">
        <v>12</v>
      </c>
      <c r="M182" s="1324">
        <v>91720.8</v>
      </c>
      <c r="N182" s="1322" t="s">
        <v>3625</v>
      </c>
      <c r="O182" s="1323">
        <v>6</v>
      </c>
      <c r="P182" s="1324">
        <v>46779.83</v>
      </c>
    </row>
    <row r="183" spans="1:16">
      <c r="A183" s="1315" t="s">
        <v>3628</v>
      </c>
      <c r="B183" s="1316" t="s">
        <v>1880</v>
      </c>
      <c r="C183" s="1316" t="s">
        <v>504</v>
      </c>
      <c r="D183" s="1319" t="s">
        <v>3864</v>
      </c>
      <c r="E183" s="1318">
        <v>7530</v>
      </c>
      <c r="F183" s="1325" t="s">
        <v>3866</v>
      </c>
      <c r="G183" s="1319" t="s">
        <v>3865</v>
      </c>
      <c r="H183" s="1319" t="s">
        <v>3864</v>
      </c>
      <c r="I183" s="1319" t="s">
        <v>3633</v>
      </c>
      <c r="J183" s="1326" t="s">
        <v>3864</v>
      </c>
      <c r="K183" s="1322" t="s">
        <v>3625</v>
      </c>
      <c r="L183" s="1323">
        <v>12</v>
      </c>
      <c r="M183" s="1324">
        <v>91720.8</v>
      </c>
      <c r="N183" s="1322" t="s">
        <v>3625</v>
      </c>
      <c r="O183" s="1323">
        <v>6</v>
      </c>
      <c r="P183" s="1324">
        <v>46779.83</v>
      </c>
    </row>
    <row r="184" spans="1:16" ht="24">
      <c r="A184" s="1315" t="s">
        <v>3628</v>
      </c>
      <c r="B184" s="1316" t="s">
        <v>1880</v>
      </c>
      <c r="C184" s="1316" t="s">
        <v>504</v>
      </c>
      <c r="D184" s="1320" t="s">
        <v>3859</v>
      </c>
      <c r="E184" s="1327">
        <v>7500</v>
      </c>
      <c r="F184" s="1328" t="s">
        <v>3863</v>
      </c>
      <c r="G184" s="1319" t="s">
        <v>3862</v>
      </c>
      <c r="H184" s="1320" t="s">
        <v>3859</v>
      </c>
      <c r="I184" s="1320" t="s">
        <v>3633</v>
      </c>
      <c r="J184" s="1321" t="s">
        <v>3859</v>
      </c>
      <c r="K184" s="1322" t="s">
        <v>3625</v>
      </c>
      <c r="L184" s="1323">
        <v>12</v>
      </c>
      <c r="M184" s="1324">
        <v>91360.8</v>
      </c>
      <c r="N184" s="1322" t="s">
        <v>3625</v>
      </c>
      <c r="O184" s="1323">
        <v>3</v>
      </c>
      <c r="P184" s="1324">
        <v>23351.5</v>
      </c>
    </row>
    <row r="185" spans="1:16" ht="24">
      <c r="A185" s="1315" t="s">
        <v>3628</v>
      </c>
      <c r="B185" s="1316" t="s">
        <v>1880</v>
      </c>
      <c r="C185" s="1316" t="s">
        <v>504</v>
      </c>
      <c r="D185" s="1319" t="s">
        <v>3859</v>
      </c>
      <c r="E185" s="1318">
        <v>7375</v>
      </c>
      <c r="F185" s="1325" t="s">
        <v>3861</v>
      </c>
      <c r="G185" s="1319" t="s">
        <v>3860</v>
      </c>
      <c r="H185" s="1319" t="s">
        <v>3859</v>
      </c>
      <c r="I185" s="1319" t="s">
        <v>3633</v>
      </c>
      <c r="J185" s="1326" t="s">
        <v>3859</v>
      </c>
      <c r="K185" s="1322" t="s">
        <v>3625</v>
      </c>
      <c r="L185" s="1323">
        <v>12</v>
      </c>
      <c r="M185" s="1324">
        <v>90460.800000000003</v>
      </c>
      <c r="N185" s="1322" t="s">
        <v>3625</v>
      </c>
      <c r="O185" s="1323">
        <v>6</v>
      </c>
      <c r="P185" s="1324">
        <v>45849.83</v>
      </c>
    </row>
    <row r="186" spans="1:16">
      <c r="A186" s="1315" t="s">
        <v>3628</v>
      </c>
      <c r="B186" s="1316" t="s">
        <v>1880</v>
      </c>
      <c r="C186" s="1316" t="s">
        <v>504</v>
      </c>
      <c r="D186" s="1320" t="s">
        <v>1439</v>
      </c>
      <c r="E186" s="1327">
        <v>5500</v>
      </c>
      <c r="F186" s="1328" t="s">
        <v>3858</v>
      </c>
      <c r="G186" s="1319" t="s">
        <v>3857</v>
      </c>
      <c r="H186" s="1320" t="s">
        <v>1439</v>
      </c>
      <c r="I186" s="1320" t="s">
        <v>3633</v>
      </c>
      <c r="J186" s="1321" t="s">
        <v>1439</v>
      </c>
      <c r="K186" s="1322" t="s">
        <v>3625</v>
      </c>
      <c r="L186" s="1323">
        <v>6</v>
      </c>
      <c r="M186" s="1324">
        <v>33980.400000000001</v>
      </c>
      <c r="N186" s="1322" t="s">
        <v>3625</v>
      </c>
      <c r="O186" s="1323">
        <v>6</v>
      </c>
      <c r="P186" s="1324">
        <v>34599.83</v>
      </c>
    </row>
    <row r="187" spans="1:16">
      <c r="A187" s="1315" t="s">
        <v>3628</v>
      </c>
      <c r="B187" s="1316" t="s">
        <v>1880</v>
      </c>
      <c r="C187" s="1316" t="s">
        <v>504</v>
      </c>
      <c r="D187" s="1319" t="s">
        <v>1439</v>
      </c>
      <c r="E187" s="1318">
        <v>6000</v>
      </c>
      <c r="F187" s="1325" t="s">
        <v>3856</v>
      </c>
      <c r="G187" s="1319" t="s">
        <v>3855</v>
      </c>
      <c r="H187" s="1319" t="s">
        <v>1439</v>
      </c>
      <c r="I187" s="1319" t="s">
        <v>3633</v>
      </c>
      <c r="J187" s="1326" t="s">
        <v>1439</v>
      </c>
      <c r="K187" s="1322" t="s">
        <v>3625</v>
      </c>
      <c r="L187" s="1323">
        <v>12</v>
      </c>
      <c r="M187" s="1324">
        <v>73360.800000000003</v>
      </c>
      <c r="N187" s="1322" t="s">
        <v>3625</v>
      </c>
      <c r="O187" s="1323">
        <v>6</v>
      </c>
      <c r="P187" s="1324">
        <v>37599.83</v>
      </c>
    </row>
    <row r="188" spans="1:16">
      <c r="A188" s="1315" t="s">
        <v>3628</v>
      </c>
      <c r="B188" s="1316" t="s">
        <v>1880</v>
      </c>
      <c r="C188" s="1316" t="s">
        <v>504</v>
      </c>
      <c r="D188" s="1320" t="s">
        <v>3740</v>
      </c>
      <c r="E188" s="1327">
        <v>1000</v>
      </c>
      <c r="F188" s="1328" t="s">
        <v>3854</v>
      </c>
      <c r="G188" s="1319" t="s">
        <v>3853</v>
      </c>
      <c r="H188" s="1320" t="s">
        <v>3740</v>
      </c>
      <c r="I188" s="1320" t="s">
        <v>3629</v>
      </c>
      <c r="J188" s="1321" t="s">
        <v>3740</v>
      </c>
      <c r="K188" s="1322" t="s">
        <v>3625</v>
      </c>
      <c r="L188" s="1323">
        <v>12</v>
      </c>
      <c r="M188" s="1324">
        <v>13680</v>
      </c>
      <c r="N188" s="1322" t="s">
        <v>3625</v>
      </c>
      <c r="O188" s="1323">
        <v>6</v>
      </c>
      <c r="P188" s="1324">
        <v>6869.05</v>
      </c>
    </row>
    <row r="189" spans="1:16">
      <c r="A189" s="1315" t="s">
        <v>3628</v>
      </c>
      <c r="B189" s="1316" t="s">
        <v>1880</v>
      </c>
      <c r="C189" s="1316" t="s">
        <v>504</v>
      </c>
      <c r="D189" s="1319" t="s">
        <v>3850</v>
      </c>
      <c r="E189" s="1318">
        <v>4000</v>
      </c>
      <c r="F189" s="1325" t="s">
        <v>3852</v>
      </c>
      <c r="G189" s="1319" t="s">
        <v>3851</v>
      </c>
      <c r="H189" s="1319" t="s">
        <v>3850</v>
      </c>
      <c r="I189" s="1319" t="s">
        <v>3633</v>
      </c>
      <c r="J189" s="1326" t="s">
        <v>3850</v>
      </c>
      <c r="K189" s="1322" t="s">
        <v>3625</v>
      </c>
      <c r="L189" s="1323">
        <v>12</v>
      </c>
      <c r="M189" s="1324">
        <v>49960.800000000003</v>
      </c>
      <c r="N189" s="1322" t="s">
        <v>3625</v>
      </c>
      <c r="O189" s="1323">
        <v>6</v>
      </c>
      <c r="P189" s="1324">
        <v>25599.83</v>
      </c>
    </row>
    <row r="190" spans="1:16">
      <c r="A190" s="1315" t="s">
        <v>3628</v>
      </c>
      <c r="B190" s="1316" t="s">
        <v>1880</v>
      </c>
      <c r="C190" s="1316" t="s">
        <v>504</v>
      </c>
      <c r="D190" s="1320" t="s">
        <v>3847</v>
      </c>
      <c r="E190" s="1327">
        <v>8500</v>
      </c>
      <c r="F190" s="1328" t="s">
        <v>3849</v>
      </c>
      <c r="G190" s="1319" t="s">
        <v>3848</v>
      </c>
      <c r="H190" s="1320" t="s">
        <v>3847</v>
      </c>
      <c r="I190" s="1320" t="s">
        <v>3633</v>
      </c>
      <c r="J190" s="1321" t="s">
        <v>3847</v>
      </c>
      <c r="K190" s="1322" t="s">
        <v>3625</v>
      </c>
      <c r="L190" s="1323">
        <v>12</v>
      </c>
      <c r="M190" s="1324">
        <v>103960.8</v>
      </c>
      <c r="N190" s="1322" t="s">
        <v>3625</v>
      </c>
      <c r="O190" s="1323">
        <v>6</v>
      </c>
      <c r="P190" s="1324">
        <v>52599.83</v>
      </c>
    </row>
    <row r="191" spans="1:16" ht="24">
      <c r="A191" s="1315" t="s">
        <v>3628</v>
      </c>
      <c r="B191" s="1316" t="s">
        <v>1880</v>
      </c>
      <c r="C191" s="1316" t="s">
        <v>504</v>
      </c>
      <c r="D191" s="1319" t="s">
        <v>3836</v>
      </c>
      <c r="E191" s="1318">
        <v>3000</v>
      </c>
      <c r="F191" s="1325" t="s">
        <v>3846</v>
      </c>
      <c r="G191" s="1319" t="s">
        <v>3845</v>
      </c>
      <c r="H191" s="1319" t="s">
        <v>3836</v>
      </c>
      <c r="I191" s="1319" t="s">
        <v>3629</v>
      </c>
      <c r="J191" s="1326" t="s">
        <v>3836</v>
      </c>
      <c r="K191" s="1322" t="s">
        <v>3625</v>
      </c>
      <c r="L191" s="1323">
        <v>12</v>
      </c>
      <c r="M191" s="1324">
        <v>37360.800000000003</v>
      </c>
      <c r="N191" s="1322" t="s">
        <v>3625</v>
      </c>
      <c r="O191" s="1323">
        <v>6</v>
      </c>
      <c r="P191" s="1324">
        <v>19373.95</v>
      </c>
    </row>
    <row r="192" spans="1:16">
      <c r="A192" s="1315" t="s">
        <v>3628</v>
      </c>
      <c r="B192" s="1316" t="s">
        <v>1880</v>
      </c>
      <c r="C192" s="1316" t="s">
        <v>504</v>
      </c>
      <c r="D192" s="1319" t="s">
        <v>3843</v>
      </c>
      <c r="E192" s="1318">
        <v>4200</v>
      </c>
      <c r="F192" s="1187">
        <v>45407298</v>
      </c>
      <c r="G192" s="1319" t="s">
        <v>3844</v>
      </c>
      <c r="H192" s="1319" t="s">
        <v>3843</v>
      </c>
      <c r="I192" s="1319" t="s">
        <v>3633</v>
      </c>
      <c r="J192" s="1326" t="s">
        <v>3843</v>
      </c>
      <c r="K192" s="1322" t="s">
        <v>3625</v>
      </c>
      <c r="L192" s="1323">
        <v>12</v>
      </c>
      <c r="M192" s="1324">
        <v>52742.46</v>
      </c>
      <c r="N192" s="1322" t="s">
        <v>3625</v>
      </c>
      <c r="O192" s="1323">
        <v>6</v>
      </c>
      <c r="P192" s="1324">
        <v>26874.31</v>
      </c>
    </row>
    <row r="193" spans="1:16">
      <c r="A193" s="1315" t="s">
        <v>3628</v>
      </c>
      <c r="B193" s="1316" t="s">
        <v>1880</v>
      </c>
      <c r="C193" s="1316" t="s">
        <v>504</v>
      </c>
      <c r="D193" s="1320" t="s">
        <v>2032</v>
      </c>
      <c r="E193" s="1327">
        <v>1000</v>
      </c>
      <c r="F193" s="1187">
        <v>45115194</v>
      </c>
      <c r="G193" s="1319" t="s">
        <v>3842</v>
      </c>
      <c r="H193" s="1320" t="s">
        <v>2032</v>
      </c>
      <c r="I193" s="1320" t="s">
        <v>3626</v>
      </c>
      <c r="J193" s="1321" t="s">
        <v>2032</v>
      </c>
      <c r="K193" s="1322" t="s">
        <v>3625</v>
      </c>
      <c r="L193" s="1323">
        <v>12</v>
      </c>
      <c r="M193" s="1324">
        <v>13680</v>
      </c>
      <c r="N193" s="1322" t="s">
        <v>3625</v>
      </c>
      <c r="O193" s="1323">
        <v>6</v>
      </c>
      <c r="P193" s="1324">
        <v>6869.05</v>
      </c>
    </row>
    <row r="194" spans="1:16">
      <c r="A194" s="1315" t="s">
        <v>3628</v>
      </c>
      <c r="B194" s="1316" t="s">
        <v>1880</v>
      </c>
      <c r="C194" s="1316" t="s">
        <v>504</v>
      </c>
      <c r="D194" s="1319" t="s">
        <v>2032</v>
      </c>
      <c r="E194" s="1318">
        <v>1000</v>
      </c>
      <c r="F194" s="1187">
        <v>44949916</v>
      </c>
      <c r="G194" s="1319" t="s">
        <v>3841</v>
      </c>
      <c r="H194" s="1319" t="s">
        <v>2032</v>
      </c>
      <c r="I194" s="1319" t="s">
        <v>3626</v>
      </c>
      <c r="J194" s="1326" t="s">
        <v>2032</v>
      </c>
      <c r="K194" s="1322" t="s">
        <v>3625</v>
      </c>
      <c r="L194" s="1323">
        <v>12</v>
      </c>
      <c r="M194" s="1324">
        <v>13680</v>
      </c>
      <c r="N194" s="1322" t="s">
        <v>3625</v>
      </c>
      <c r="O194" s="1323">
        <v>6</v>
      </c>
      <c r="P194" s="1324">
        <v>6869.05</v>
      </c>
    </row>
    <row r="195" spans="1:16" ht="24">
      <c r="A195" s="1315" t="s">
        <v>3628</v>
      </c>
      <c r="B195" s="1316" t="s">
        <v>1880</v>
      </c>
      <c r="C195" s="1316" t="s">
        <v>504</v>
      </c>
      <c r="D195" s="1319" t="s">
        <v>1784</v>
      </c>
      <c r="E195" s="1318">
        <v>1800</v>
      </c>
      <c r="F195" s="1187">
        <v>72192533</v>
      </c>
      <c r="G195" s="1319" t="s">
        <v>3840</v>
      </c>
      <c r="H195" s="1319" t="s">
        <v>1784</v>
      </c>
      <c r="I195" s="1319" t="s">
        <v>3629</v>
      </c>
      <c r="J195" s="1326" t="s">
        <v>1784</v>
      </c>
      <c r="K195" s="1322" t="s">
        <v>3625</v>
      </c>
      <c r="L195" s="1323">
        <v>12</v>
      </c>
      <c r="M195" s="1324">
        <v>23560.799999999999</v>
      </c>
      <c r="N195" s="1322" t="s">
        <v>3625</v>
      </c>
      <c r="O195" s="1323">
        <v>6</v>
      </c>
      <c r="P195" s="1324">
        <v>12101.05</v>
      </c>
    </row>
    <row r="196" spans="1:16">
      <c r="A196" s="1315" t="s">
        <v>3628</v>
      </c>
      <c r="B196" s="1316" t="s">
        <v>1880</v>
      </c>
      <c r="C196" s="1316" t="s">
        <v>504</v>
      </c>
      <c r="D196" s="1320" t="s">
        <v>3838</v>
      </c>
      <c r="E196" s="1327">
        <v>2000</v>
      </c>
      <c r="F196" s="1187">
        <v>74626298</v>
      </c>
      <c r="G196" s="1319" t="s">
        <v>3839</v>
      </c>
      <c r="H196" s="1320" t="s">
        <v>3838</v>
      </c>
      <c r="I196" s="1320" t="s">
        <v>3629</v>
      </c>
      <c r="J196" s="1321" t="s">
        <v>3838</v>
      </c>
      <c r="K196" s="1322" t="s">
        <v>3625</v>
      </c>
      <c r="L196" s="1323">
        <v>12</v>
      </c>
      <c r="M196" s="1324">
        <v>25960.799999999999</v>
      </c>
      <c r="N196" s="1322" t="s">
        <v>3625</v>
      </c>
      <c r="O196" s="1323">
        <v>6</v>
      </c>
      <c r="P196" s="1324">
        <v>13373.95</v>
      </c>
    </row>
    <row r="197" spans="1:16" ht="24">
      <c r="A197" s="1315" t="s">
        <v>3628</v>
      </c>
      <c r="B197" s="1316" t="s">
        <v>1880</v>
      </c>
      <c r="C197" s="1316" t="s">
        <v>504</v>
      </c>
      <c r="D197" s="1319" t="s">
        <v>3836</v>
      </c>
      <c r="E197" s="1318">
        <v>3000</v>
      </c>
      <c r="F197" s="1187">
        <v>43336903</v>
      </c>
      <c r="G197" s="1319" t="s">
        <v>3837</v>
      </c>
      <c r="H197" s="1319" t="s">
        <v>3836</v>
      </c>
      <c r="I197" s="1319" t="s">
        <v>3629</v>
      </c>
      <c r="J197" s="1326" t="s">
        <v>3836</v>
      </c>
      <c r="K197" s="1322" t="s">
        <v>3625</v>
      </c>
      <c r="L197" s="1323">
        <v>12</v>
      </c>
      <c r="M197" s="1324">
        <v>37360.800000000003</v>
      </c>
      <c r="N197" s="1322" t="s">
        <v>3625</v>
      </c>
      <c r="O197" s="1323">
        <v>6</v>
      </c>
      <c r="P197" s="1324">
        <v>19373.95</v>
      </c>
    </row>
    <row r="198" spans="1:16" ht="24">
      <c r="A198" s="1315" t="s">
        <v>3628</v>
      </c>
      <c r="B198" s="1316" t="s">
        <v>1880</v>
      </c>
      <c r="C198" s="1316" t="s">
        <v>504</v>
      </c>
      <c r="D198" s="1319" t="s">
        <v>511</v>
      </c>
      <c r="E198" s="1318">
        <v>2500</v>
      </c>
      <c r="F198" s="1122" t="s">
        <v>3835</v>
      </c>
      <c r="G198" s="1319" t="s">
        <v>3834</v>
      </c>
      <c r="H198" s="1319" t="s">
        <v>511</v>
      </c>
      <c r="I198" s="1319" t="s">
        <v>3633</v>
      </c>
      <c r="J198" s="1326" t="s">
        <v>511</v>
      </c>
      <c r="K198" s="1322" t="s">
        <v>3625</v>
      </c>
      <c r="L198" s="1323">
        <v>12</v>
      </c>
      <c r="M198" s="1324">
        <v>31960.799999999999</v>
      </c>
      <c r="N198" s="1322" t="s">
        <v>3625</v>
      </c>
      <c r="O198" s="1323">
        <v>6</v>
      </c>
      <c r="P198" s="1324">
        <v>16599.830000000002</v>
      </c>
    </row>
    <row r="199" spans="1:16" ht="24">
      <c r="A199" s="1315" t="s">
        <v>3628</v>
      </c>
      <c r="B199" s="1316" t="s">
        <v>1880</v>
      </c>
      <c r="C199" s="1316" t="s">
        <v>504</v>
      </c>
      <c r="D199" s="1319" t="s">
        <v>2611</v>
      </c>
      <c r="E199" s="1318">
        <v>3000</v>
      </c>
      <c r="F199" s="1122" t="s">
        <v>3833</v>
      </c>
      <c r="G199" s="1319" t="s">
        <v>3832</v>
      </c>
      <c r="H199" s="1319" t="s">
        <v>2611</v>
      </c>
      <c r="I199" s="1319" t="s">
        <v>3629</v>
      </c>
      <c r="J199" s="1326" t="s">
        <v>2611</v>
      </c>
      <c r="K199" s="1322" t="s">
        <v>3625</v>
      </c>
      <c r="L199" s="1323">
        <v>12</v>
      </c>
      <c r="M199" s="1324">
        <v>37360.800000000003</v>
      </c>
      <c r="N199" s="1322" t="s">
        <v>3625</v>
      </c>
      <c r="O199" s="1323">
        <v>6</v>
      </c>
      <c r="P199" s="1324">
        <v>19373.95</v>
      </c>
    </row>
    <row r="200" spans="1:16" ht="24">
      <c r="A200" s="1315" t="s">
        <v>3628</v>
      </c>
      <c r="B200" s="1316" t="s">
        <v>1880</v>
      </c>
      <c r="C200" s="1316" t="s">
        <v>504</v>
      </c>
      <c r="D200" s="1319" t="s">
        <v>1784</v>
      </c>
      <c r="E200" s="1318">
        <v>3000</v>
      </c>
      <c r="F200" s="1122" t="s">
        <v>3831</v>
      </c>
      <c r="G200" s="1319" t="s">
        <v>3830</v>
      </c>
      <c r="H200" s="1319" t="s">
        <v>1784</v>
      </c>
      <c r="I200" s="1319" t="s">
        <v>3629</v>
      </c>
      <c r="J200" s="1326" t="s">
        <v>1784</v>
      </c>
      <c r="K200" s="1322" t="s">
        <v>3625</v>
      </c>
      <c r="L200" s="1323">
        <v>12</v>
      </c>
      <c r="M200" s="1324">
        <v>37360.800000000003</v>
      </c>
      <c r="N200" s="1322" t="s">
        <v>3625</v>
      </c>
      <c r="O200" s="1323">
        <v>6</v>
      </c>
      <c r="P200" s="1324">
        <v>19373.95</v>
      </c>
    </row>
    <row r="201" spans="1:16" ht="24">
      <c r="A201" s="1315" t="s">
        <v>3628</v>
      </c>
      <c r="B201" s="1316" t="s">
        <v>1880</v>
      </c>
      <c r="C201" s="1316" t="s">
        <v>504</v>
      </c>
      <c r="D201" s="1319" t="s">
        <v>1784</v>
      </c>
      <c r="E201" s="1318">
        <v>3000</v>
      </c>
      <c r="F201" s="1122" t="s">
        <v>3829</v>
      </c>
      <c r="G201" s="1319" t="s">
        <v>3828</v>
      </c>
      <c r="H201" s="1319" t="s">
        <v>1784</v>
      </c>
      <c r="I201" s="1319" t="s">
        <v>3629</v>
      </c>
      <c r="J201" s="1326" t="s">
        <v>1784</v>
      </c>
      <c r="K201" s="1322" t="s">
        <v>3625</v>
      </c>
      <c r="L201" s="1323">
        <v>12</v>
      </c>
      <c r="M201" s="1324">
        <v>37360.800000000003</v>
      </c>
      <c r="N201" s="1322" t="s">
        <v>3625</v>
      </c>
      <c r="O201" s="1323">
        <v>6</v>
      </c>
      <c r="P201" s="1324">
        <v>19373.95</v>
      </c>
    </row>
    <row r="202" spans="1:16" ht="24">
      <c r="A202" s="1315" t="s">
        <v>3628</v>
      </c>
      <c r="B202" s="1316" t="s">
        <v>1880</v>
      </c>
      <c r="C202" s="1316" t="s">
        <v>504</v>
      </c>
      <c r="D202" s="1319" t="s">
        <v>1784</v>
      </c>
      <c r="E202" s="1318">
        <v>3000</v>
      </c>
      <c r="F202" s="1122" t="s">
        <v>3827</v>
      </c>
      <c r="G202" s="1319" t="s">
        <v>3826</v>
      </c>
      <c r="H202" s="1319" t="s">
        <v>1784</v>
      </c>
      <c r="I202" s="1319" t="s">
        <v>3629</v>
      </c>
      <c r="J202" s="1326" t="s">
        <v>1784</v>
      </c>
      <c r="K202" s="1322" t="s">
        <v>3625</v>
      </c>
      <c r="L202" s="1323">
        <v>12</v>
      </c>
      <c r="M202" s="1324">
        <v>37360.800000000003</v>
      </c>
      <c r="N202" s="1322" t="s">
        <v>3625</v>
      </c>
      <c r="O202" s="1323">
        <v>6</v>
      </c>
      <c r="P202" s="1324">
        <v>19373.95</v>
      </c>
    </row>
    <row r="203" spans="1:16" ht="24">
      <c r="A203" s="1315" t="s">
        <v>3628</v>
      </c>
      <c r="B203" s="1316" t="s">
        <v>1880</v>
      </c>
      <c r="C203" s="1316" t="s">
        <v>504</v>
      </c>
      <c r="D203" s="1319" t="s">
        <v>1784</v>
      </c>
      <c r="E203" s="1318">
        <v>3000</v>
      </c>
      <c r="F203" s="1122" t="s">
        <v>3825</v>
      </c>
      <c r="G203" s="1319" t="s">
        <v>3824</v>
      </c>
      <c r="H203" s="1319" t="s">
        <v>1784</v>
      </c>
      <c r="I203" s="1319" t="s">
        <v>3629</v>
      </c>
      <c r="J203" s="1326" t="s">
        <v>1784</v>
      </c>
      <c r="K203" s="1322" t="s">
        <v>3625</v>
      </c>
      <c r="L203" s="1323">
        <v>12</v>
      </c>
      <c r="M203" s="1324">
        <v>37360.800000000003</v>
      </c>
      <c r="N203" s="1322" t="s">
        <v>3625</v>
      </c>
      <c r="O203" s="1323">
        <v>6</v>
      </c>
      <c r="P203" s="1324">
        <v>19373.95</v>
      </c>
    </row>
    <row r="204" spans="1:16">
      <c r="A204" s="1315" t="s">
        <v>3628</v>
      </c>
      <c r="B204" s="1316" t="s">
        <v>1880</v>
      </c>
      <c r="C204" s="1316" t="s">
        <v>504</v>
      </c>
      <c r="D204" s="1319" t="s">
        <v>759</v>
      </c>
      <c r="E204" s="1318">
        <v>6000</v>
      </c>
      <c r="F204" s="1122" t="s">
        <v>3823</v>
      </c>
      <c r="G204" s="1319" t="s">
        <v>3822</v>
      </c>
      <c r="H204" s="1319" t="s">
        <v>759</v>
      </c>
      <c r="I204" s="1319" t="s">
        <v>3633</v>
      </c>
      <c r="J204" s="1326" t="s">
        <v>759</v>
      </c>
      <c r="K204" s="1322" t="s">
        <v>3625</v>
      </c>
      <c r="L204" s="1323">
        <v>12</v>
      </c>
      <c r="M204" s="1324">
        <v>73960.800000000003</v>
      </c>
      <c r="N204" s="1322" t="s">
        <v>3625</v>
      </c>
      <c r="O204" s="1323">
        <v>6</v>
      </c>
      <c r="P204" s="1324">
        <v>37599.83</v>
      </c>
    </row>
    <row r="205" spans="1:16">
      <c r="A205" s="1315" t="s">
        <v>3628</v>
      </c>
      <c r="B205" s="1316" t="s">
        <v>1880</v>
      </c>
      <c r="C205" s="1316" t="s">
        <v>504</v>
      </c>
      <c r="D205" s="1319" t="s">
        <v>3818</v>
      </c>
      <c r="E205" s="1318">
        <v>6000</v>
      </c>
      <c r="F205" s="1122" t="s">
        <v>3821</v>
      </c>
      <c r="G205" s="1319" t="s">
        <v>3820</v>
      </c>
      <c r="H205" s="1319" t="s">
        <v>3818</v>
      </c>
      <c r="I205" s="1319" t="s">
        <v>3819</v>
      </c>
      <c r="J205" s="1326" t="s">
        <v>3818</v>
      </c>
      <c r="K205" s="1322" t="s">
        <v>3625</v>
      </c>
      <c r="L205" s="1323">
        <v>1</v>
      </c>
      <c r="M205" s="1324">
        <v>6113.4</v>
      </c>
      <c r="N205" s="1322" t="s">
        <v>3625</v>
      </c>
      <c r="O205" s="1323">
        <v>6</v>
      </c>
      <c r="P205" s="1324">
        <v>37780.71</v>
      </c>
    </row>
    <row r="206" spans="1:16" ht="24">
      <c r="A206" s="1315" t="s">
        <v>3628</v>
      </c>
      <c r="B206" s="1316" t="s">
        <v>1869</v>
      </c>
      <c r="C206" s="1316" t="s">
        <v>504</v>
      </c>
      <c r="D206" s="1319" t="s">
        <v>3636</v>
      </c>
      <c r="E206" s="1318">
        <v>1000</v>
      </c>
      <c r="F206" s="1122" t="s">
        <v>3817</v>
      </c>
      <c r="G206" s="1319" t="s">
        <v>3816</v>
      </c>
      <c r="H206" s="1319" t="s">
        <v>3636</v>
      </c>
      <c r="I206" s="1319" t="s">
        <v>3626</v>
      </c>
      <c r="J206" s="1326" t="s">
        <v>3636</v>
      </c>
      <c r="K206" s="1322" t="s">
        <v>3625</v>
      </c>
      <c r="L206" s="1323">
        <v>12</v>
      </c>
      <c r="M206" s="1324">
        <v>13680</v>
      </c>
      <c r="N206" s="1335" t="s">
        <v>3625</v>
      </c>
      <c r="O206" s="1336" t="s">
        <v>687</v>
      </c>
      <c r="P206" s="1324">
        <v>6540</v>
      </c>
    </row>
    <row r="207" spans="1:16">
      <c r="A207" s="1315" t="s">
        <v>3628</v>
      </c>
      <c r="B207" s="1316" t="s">
        <v>1869</v>
      </c>
      <c r="C207" s="1316" t="s">
        <v>504</v>
      </c>
      <c r="D207" s="1319" t="s">
        <v>3691</v>
      </c>
      <c r="E207" s="1318">
        <v>1050</v>
      </c>
      <c r="F207" s="1122" t="s">
        <v>3815</v>
      </c>
      <c r="G207" s="1319" t="s">
        <v>3814</v>
      </c>
      <c r="H207" s="1319" t="s">
        <v>3691</v>
      </c>
      <c r="I207" s="1319" t="s">
        <v>3626</v>
      </c>
      <c r="J207" s="1326" t="s">
        <v>3691</v>
      </c>
      <c r="K207" s="1322" t="s">
        <v>3625</v>
      </c>
      <c r="L207" s="1323" t="s">
        <v>556</v>
      </c>
      <c r="M207" s="1324">
        <v>9688</v>
      </c>
      <c r="N207" s="1335" t="s">
        <v>3625</v>
      </c>
      <c r="O207" s="1336" t="s">
        <v>773</v>
      </c>
      <c r="P207" s="1324">
        <v>0</v>
      </c>
    </row>
    <row r="208" spans="1:16" ht="24">
      <c r="A208" s="1315" t="s">
        <v>3628</v>
      </c>
      <c r="B208" s="1316" t="s">
        <v>1869</v>
      </c>
      <c r="C208" s="1316" t="s">
        <v>504</v>
      </c>
      <c r="D208" s="1319" t="s">
        <v>1784</v>
      </c>
      <c r="E208" s="1318">
        <v>1500</v>
      </c>
      <c r="F208" s="1122">
        <v>48137259</v>
      </c>
      <c r="G208" s="1319" t="s">
        <v>3813</v>
      </c>
      <c r="H208" s="1319" t="s">
        <v>1784</v>
      </c>
      <c r="I208" s="1319" t="s">
        <v>3629</v>
      </c>
      <c r="J208" s="1326" t="s">
        <v>1784</v>
      </c>
      <c r="K208" s="1322" t="s">
        <v>3625</v>
      </c>
      <c r="L208" s="1323" t="s">
        <v>1012</v>
      </c>
      <c r="M208" s="1324">
        <v>14445</v>
      </c>
      <c r="N208" s="1335" t="s">
        <v>3625</v>
      </c>
      <c r="O208" s="1336" t="s">
        <v>773</v>
      </c>
      <c r="P208" s="1324">
        <v>0</v>
      </c>
    </row>
    <row r="209" spans="1:16" ht="36">
      <c r="A209" s="1315" t="s">
        <v>3628</v>
      </c>
      <c r="B209" s="1316" t="s">
        <v>1869</v>
      </c>
      <c r="C209" s="1316" t="s">
        <v>504</v>
      </c>
      <c r="D209" s="1319" t="s">
        <v>3701</v>
      </c>
      <c r="E209" s="1318">
        <v>1400</v>
      </c>
      <c r="F209" s="1122" t="s">
        <v>3812</v>
      </c>
      <c r="G209" s="1319" t="s">
        <v>3811</v>
      </c>
      <c r="H209" s="1319" t="s">
        <v>3701</v>
      </c>
      <c r="I209" s="1319" t="s">
        <v>3629</v>
      </c>
      <c r="J209" s="1326" t="s">
        <v>3701</v>
      </c>
      <c r="K209" s="1322" t="s">
        <v>3625</v>
      </c>
      <c r="L209" s="1323" t="s">
        <v>498</v>
      </c>
      <c r="M209" s="1324">
        <v>5082</v>
      </c>
      <c r="N209" s="1335" t="s">
        <v>3625</v>
      </c>
      <c r="O209" s="1336" t="s">
        <v>773</v>
      </c>
      <c r="P209" s="1324">
        <v>0</v>
      </c>
    </row>
    <row r="210" spans="1:16" ht="24">
      <c r="A210" s="1315" t="s">
        <v>3628</v>
      </c>
      <c r="B210" s="1316" t="s">
        <v>1869</v>
      </c>
      <c r="C210" s="1316" t="s">
        <v>504</v>
      </c>
      <c r="D210" s="1319" t="s">
        <v>3808</v>
      </c>
      <c r="E210" s="1318">
        <v>1000</v>
      </c>
      <c r="F210" s="1122" t="s">
        <v>3810</v>
      </c>
      <c r="G210" s="1319" t="s">
        <v>3809</v>
      </c>
      <c r="H210" s="1319" t="s">
        <v>3808</v>
      </c>
      <c r="I210" s="1319" t="s">
        <v>3629</v>
      </c>
      <c r="J210" s="1326" t="s">
        <v>3808</v>
      </c>
      <c r="K210" s="1322" t="s">
        <v>3625</v>
      </c>
      <c r="L210" s="1323">
        <v>12</v>
      </c>
      <c r="M210" s="1324">
        <v>13680</v>
      </c>
      <c r="N210" s="1335" t="s">
        <v>3625</v>
      </c>
      <c r="O210" s="1336" t="s">
        <v>687</v>
      </c>
      <c r="P210" s="1324">
        <v>6540</v>
      </c>
    </row>
    <row r="211" spans="1:16" ht="24">
      <c r="A211" s="1315" t="s">
        <v>3628</v>
      </c>
      <c r="B211" s="1316" t="s">
        <v>1869</v>
      </c>
      <c r="C211" s="1316" t="s">
        <v>504</v>
      </c>
      <c r="D211" s="1319" t="s">
        <v>1922</v>
      </c>
      <c r="E211" s="1318">
        <v>1000</v>
      </c>
      <c r="F211" s="1122" t="s">
        <v>3807</v>
      </c>
      <c r="G211" s="1319" t="s">
        <v>3806</v>
      </c>
      <c r="H211" s="1319" t="s">
        <v>1922</v>
      </c>
      <c r="I211" s="1319" t="s">
        <v>3626</v>
      </c>
      <c r="J211" s="1326" t="s">
        <v>1922</v>
      </c>
      <c r="K211" s="1322" t="s">
        <v>3625</v>
      </c>
      <c r="L211" s="1323">
        <v>12</v>
      </c>
      <c r="M211" s="1324">
        <v>13680</v>
      </c>
      <c r="N211" s="1335" t="s">
        <v>3625</v>
      </c>
      <c r="O211" s="1336" t="s">
        <v>687</v>
      </c>
      <c r="P211" s="1324">
        <v>6540</v>
      </c>
    </row>
    <row r="212" spans="1:16" ht="24">
      <c r="A212" s="1315" t="s">
        <v>3628</v>
      </c>
      <c r="B212" s="1316" t="s">
        <v>1869</v>
      </c>
      <c r="C212" s="1316" t="s">
        <v>504</v>
      </c>
      <c r="D212" s="1319" t="s">
        <v>670</v>
      </c>
      <c r="E212" s="1318">
        <v>4500</v>
      </c>
      <c r="F212" s="1122" t="s">
        <v>3805</v>
      </c>
      <c r="G212" s="1319" t="s">
        <v>3804</v>
      </c>
      <c r="H212" s="1319" t="s">
        <v>670</v>
      </c>
      <c r="I212" s="1319" t="s">
        <v>3633</v>
      </c>
      <c r="J212" s="1326" t="s">
        <v>670</v>
      </c>
      <c r="K212" s="1322" t="s">
        <v>3625</v>
      </c>
      <c r="L212" s="1323">
        <v>12</v>
      </c>
      <c r="M212" s="1324">
        <v>55960.800000000003</v>
      </c>
      <c r="N212" s="1335" t="s">
        <v>3625</v>
      </c>
      <c r="O212" s="1336" t="s">
        <v>687</v>
      </c>
      <c r="P212" s="1324">
        <v>28044.9</v>
      </c>
    </row>
    <row r="213" spans="1:16">
      <c r="A213" s="1315" t="s">
        <v>3628</v>
      </c>
      <c r="B213" s="1316" t="s">
        <v>1869</v>
      </c>
      <c r="C213" s="1316" t="s">
        <v>504</v>
      </c>
      <c r="D213" s="1319" t="s">
        <v>3747</v>
      </c>
      <c r="E213" s="1318">
        <v>930</v>
      </c>
      <c r="F213" s="1122" t="s">
        <v>3803</v>
      </c>
      <c r="G213" s="1319" t="s">
        <v>3802</v>
      </c>
      <c r="H213" s="1319" t="s">
        <v>3747</v>
      </c>
      <c r="I213" s="1319" t="s">
        <v>3626</v>
      </c>
      <c r="J213" s="1326" t="s">
        <v>3747</v>
      </c>
      <c r="K213" s="1322" t="s">
        <v>3625</v>
      </c>
      <c r="L213" s="1323">
        <v>12</v>
      </c>
      <c r="M213" s="1324">
        <v>12764.4</v>
      </c>
      <c r="N213" s="1335" t="s">
        <v>3625</v>
      </c>
      <c r="O213" s="1336" t="s">
        <v>687</v>
      </c>
      <c r="P213" s="1324">
        <v>6082.2</v>
      </c>
    </row>
    <row r="214" spans="1:16">
      <c r="A214" s="1315" t="s">
        <v>3628</v>
      </c>
      <c r="B214" s="1316" t="s">
        <v>1869</v>
      </c>
      <c r="C214" s="1316" t="s">
        <v>504</v>
      </c>
      <c r="D214" s="1319" t="s">
        <v>1980</v>
      </c>
      <c r="E214" s="1318">
        <v>1050</v>
      </c>
      <c r="F214" s="1122" t="s">
        <v>3801</v>
      </c>
      <c r="G214" s="1319" t="s">
        <v>3800</v>
      </c>
      <c r="H214" s="1319" t="s">
        <v>1980</v>
      </c>
      <c r="I214" s="1319" t="s">
        <v>3626</v>
      </c>
      <c r="J214" s="1326" t="s">
        <v>1980</v>
      </c>
      <c r="K214" s="1322" t="s">
        <v>3625</v>
      </c>
      <c r="L214" s="1323">
        <v>12</v>
      </c>
      <c r="M214" s="1324">
        <v>14334</v>
      </c>
      <c r="N214" s="1335" t="s">
        <v>3625</v>
      </c>
      <c r="O214" s="1336" t="s">
        <v>687</v>
      </c>
      <c r="P214" s="1324">
        <v>6867</v>
      </c>
    </row>
    <row r="215" spans="1:16" ht="24">
      <c r="A215" s="1315" t="s">
        <v>3628</v>
      </c>
      <c r="B215" s="1316" t="s">
        <v>1869</v>
      </c>
      <c r="C215" s="1316" t="s">
        <v>504</v>
      </c>
      <c r="D215" s="1319" t="s">
        <v>1922</v>
      </c>
      <c r="E215" s="1318">
        <v>930</v>
      </c>
      <c r="F215" s="1122" t="s">
        <v>3799</v>
      </c>
      <c r="G215" s="1319" t="s">
        <v>3798</v>
      </c>
      <c r="H215" s="1319" t="s">
        <v>1922</v>
      </c>
      <c r="I215" s="1319" t="s">
        <v>3626</v>
      </c>
      <c r="J215" s="1326" t="s">
        <v>1922</v>
      </c>
      <c r="K215" s="1322" t="s">
        <v>3625</v>
      </c>
      <c r="L215" s="1323">
        <v>12</v>
      </c>
      <c r="M215" s="1324">
        <v>12818.4</v>
      </c>
      <c r="N215" s="1335" t="s">
        <v>3625</v>
      </c>
      <c r="O215" s="1336" t="s">
        <v>687</v>
      </c>
      <c r="P215" s="1324">
        <v>6082.2</v>
      </c>
    </row>
    <row r="216" spans="1:16">
      <c r="A216" s="1315" t="s">
        <v>3628</v>
      </c>
      <c r="B216" s="1316" t="s">
        <v>1869</v>
      </c>
      <c r="C216" s="1316" t="s">
        <v>504</v>
      </c>
      <c r="D216" s="1319" t="s">
        <v>3795</v>
      </c>
      <c r="E216" s="1318">
        <v>1050</v>
      </c>
      <c r="F216" s="1122" t="s">
        <v>3797</v>
      </c>
      <c r="G216" s="1319" t="s">
        <v>3796</v>
      </c>
      <c r="H216" s="1319" t="s">
        <v>3795</v>
      </c>
      <c r="I216" s="1319" t="s">
        <v>3629</v>
      </c>
      <c r="J216" s="1326" t="s">
        <v>3795</v>
      </c>
      <c r="K216" s="1322" t="s">
        <v>3625</v>
      </c>
      <c r="L216" s="1323">
        <v>12</v>
      </c>
      <c r="M216" s="1324">
        <v>14388</v>
      </c>
      <c r="N216" s="1335" t="s">
        <v>3625</v>
      </c>
      <c r="O216" s="1336" t="s">
        <v>687</v>
      </c>
      <c r="P216" s="1324">
        <v>6867</v>
      </c>
    </row>
    <row r="217" spans="1:16" ht="24">
      <c r="A217" s="1315" t="s">
        <v>3628</v>
      </c>
      <c r="B217" s="1316" t="s">
        <v>1869</v>
      </c>
      <c r="C217" s="1316" t="s">
        <v>504</v>
      </c>
      <c r="D217" s="1319" t="s">
        <v>2611</v>
      </c>
      <c r="E217" s="1318">
        <v>1050</v>
      </c>
      <c r="F217" s="1122" t="s">
        <v>3794</v>
      </c>
      <c r="G217" s="1319" t="s">
        <v>3793</v>
      </c>
      <c r="H217" s="1319" t="s">
        <v>2611</v>
      </c>
      <c r="I217" s="1319" t="s">
        <v>3629</v>
      </c>
      <c r="J217" s="1326" t="s">
        <v>2611</v>
      </c>
      <c r="K217" s="1322" t="s">
        <v>3625</v>
      </c>
      <c r="L217" s="1323">
        <v>12</v>
      </c>
      <c r="M217" s="1324">
        <v>14334</v>
      </c>
      <c r="N217" s="1335" t="s">
        <v>3625</v>
      </c>
      <c r="O217" s="1336" t="s">
        <v>687</v>
      </c>
      <c r="P217" s="1324">
        <v>6867</v>
      </c>
    </row>
    <row r="218" spans="1:16" ht="24">
      <c r="A218" s="1315" t="s">
        <v>3628</v>
      </c>
      <c r="B218" s="1316" t="s">
        <v>1869</v>
      </c>
      <c r="C218" s="1316" t="s">
        <v>504</v>
      </c>
      <c r="D218" s="1319" t="s">
        <v>2611</v>
      </c>
      <c r="E218" s="1318">
        <v>1050</v>
      </c>
      <c r="F218" s="1122" t="s">
        <v>3792</v>
      </c>
      <c r="G218" s="1319" t="s">
        <v>3791</v>
      </c>
      <c r="H218" s="1319" t="s">
        <v>2611</v>
      </c>
      <c r="I218" s="1319" t="s">
        <v>3629</v>
      </c>
      <c r="J218" s="1326" t="s">
        <v>2611</v>
      </c>
      <c r="K218" s="1322" t="s">
        <v>3625</v>
      </c>
      <c r="L218" s="1323">
        <v>12</v>
      </c>
      <c r="M218" s="1324">
        <v>14334</v>
      </c>
      <c r="N218" s="1335" t="s">
        <v>3625</v>
      </c>
      <c r="O218" s="1336" t="s">
        <v>687</v>
      </c>
      <c r="P218" s="1324">
        <v>6867</v>
      </c>
    </row>
    <row r="219" spans="1:16">
      <c r="A219" s="1315" t="s">
        <v>3628</v>
      </c>
      <c r="B219" s="1316" t="s">
        <v>1869</v>
      </c>
      <c r="C219" s="1316" t="s">
        <v>504</v>
      </c>
      <c r="D219" s="1319" t="s">
        <v>2161</v>
      </c>
      <c r="E219" s="1318">
        <v>1050</v>
      </c>
      <c r="F219" s="1122" t="s">
        <v>3790</v>
      </c>
      <c r="G219" s="1319" t="s">
        <v>3789</v>
      </c>
      <c r="H219" s="1319" t="s">
        <v>2161</v>
      </c>
      <c r="I219" s="1319" t="s">
        <v>3629</v>
      </c>
      <c r="J219" s="1326" t="s">
        <v>2161</v>
      </c>
      <c r="K219" s="1322" t="s">
        <v>3625</v>
      </c>
      <c r="L219" s="1323">
        <v>12</v>
      </c>
      <c r="M219" s="1324">
        <v>14334</v>
      </c>
      <c r="N219" s="1335" t="s">
        <v>3625</v>
      </c>
      <c r="O219" s="1336" t="s">
        <v>687</v>
      </c>
      <c r="P219" s="1324">
        <v>6867</v>
      </c>
    </row>
    <row r="220" spans="1:16">
      <c r="A220" s="1315" t="s">
        <v>3628</v>
      </c>
      <c r="B220" s="1316" t="s">
        <v>1869</v>
      </c>
      <c r="C220" s="1316" t="s">
        <v>504</v>
      </c>
      <c r="D220" s="1319" t="s">
        <v>2161</v>
      </c>
      <c r="E220" s="1318">
        <v>1050</v>
      </c>
      <c r="F220" s="1122" t="s">
        <v>3788</v>
      </c>
      <c r="G220" s="1319" t="s">
        <v>3787</v>
      </c>
      <c r="H220" s="1319" t="s">
        <v>2161</v>
      </c>
      <c r="I220" s="1319" t="s">
        <v>3629</v>
      </c>
      <c r="J220" s="1326" t="s">
        <v>2161</v>
      </c>
      <c r="K220" s="1322" t="s">
        <v>3625</v>
      </c>
      <c r="L220" s="1323">
        <v>12</v>
      </c>
      <c r="M220" s="1324">
        <v>14334</v>
      </c>
      <c r="N220" s="1335" t="s">
        <v>3625</v>
      </c>
      <c r="O220" s="1336" t="s">
        <v>687</v>
      </c>
      <c r="P220" s="1324">
        <v>6867</v>
      </c>
    </row>
    <row r="221" spans="1:16" ht="24">
      <c r="A221" s="1315" t="s">
        <v>3628</v>
      </c>
      <c r="B221" s="1316" t="s">
        <v>1869</v>
      </c>
      <c r="C221" s="1316" t="s">
        <v>504</v>
      </c>
      <c r="D221" s="1319" t="s">
        <v>3636</v>
      </c>
      <c r="E221" s="1318">
        <v>1050</v>
      </c>
      <c r="F221" s="1122" t="s">
        <v>3786</v>
      </c>
      <c r="G221" s="1319" t="s">
        <v>3785</v>
      </c>
      <c r="H221" s="1319" t="s">
        <v>3636</v>
      </c>
      <c r="I221" s="1319" t="s">
        <v>3626</v>
      </c>
      <c r="J221" s="1326" t="s">
        <v>3636</v>
      </c>
      <c r="K221" s="1322" t="s">
        <v>3625</v>
      </c>
      <c r="L221" s="1323">
        <v>12</v>
      </c>
      <c r="M221" s="1324">
        <v>14334</v>
      </c>
      <c r="N221" s="1335" t="s">
        <v>3625</v>
      </c>
      <c r="O221" s="1336" t="s">
        <v>687</v>
      </c>
      <c r="P221" s="1324">
        <v>6867</v>
      </c>
    </row>
    <row r="222" spans="1:16">
      <c r="A222" s="1315" t="s">
        <v>3628</v>
      </c>
      <c r="B222" s="1316" t="s">
        <v>1869</v>
      </c>
      <c r="C222" s="1316" t="s">
        <v>504</v>
      </c>
      <c r="D222" s="1319" t="s">
        <v>2215</v>
      </c>
      <c r="E222" s="1318">
        <v>930</v>
      </c>
      <c r="F222" s="1122" t="s">
        <v>3784</v>
      </c>
      <c r="G222" s="1319" t="s">
        <v>3783</v>
      </c>
      <c r="H222" s="1319" t="s">
        <v>2215</v>
      </c>
      <c r="I222" s="1319" t="s">
        <v>3626</v>
      </c>
      <c r="J222" s="1326" t="s">
        <v>2215</v>
      </c>
      <c r="K222" s="1322" t="s">
        <v>3625</v>
      </c>
      <c r="L222" s="1323">
        <v>12</v>
      </c>
      <c r="M222" s="1324">
        <v>12764.4</v>
      </c>
      <c r="N222" s="1335" t="s">
        <v>3625</v>
      </c>
      <c r="O222" s="1336" t="s">
        <v>687</v>
      </c>
      <c r="P222" s="1324">
        <v>6082.2</v>
      </c>
    </row>
    <row r="223" spans="1:16" ht="24">
      <c r="A223" s="1315" t="s">
        <v>3628</v>
      </c>
      <c r="B223" s="1316" t="s">
        <v>1869</v>
      </c>
      <c r="C223" s="1316" t="s">
        <v>504</v>
      </c>
      <c r="D223" s="1319" t="s">
        <v>3636</v>
      </c>
      <c r="E223" s="1318">
        <v>1000</v>
      </c>
      <c r="F223" s="1122" t="s">
        <v>3782</v>
      </c>
      <c r="G223" s="1319" t="s">
        <v>3781</v>
      </c>
      <c r="H223" s="1319" t="s">
        <v>3636</v>
      </c>
      <c r="I223" s="1319" t="s">
        <v>3626</v>
      </c>
      <c r="J223" s="1326" t="s">
        <v>3636</v>
      </c>
      <c r="K223" s="1322" t="s">
        <v>3625</v>
      </c>
      <c r="L223" s="1323">
        <v>12</v>
      </c>
      <c r="M223" s="1324">
        <v>13680</v>
      </c>
      <c r="N223" s="1335" t="s">
        <v>3625</v>
      </c>
      <c r="O223" s="1336" t="s">
        <v>687</v>
      </c>
      <c r="P223" s="1324">
        <v>6540</v>
      </c>
    </row>
    <row r="224" spans="1:16" ht="24">
      <c r="A224" s="1315" t="s">
        <v>3628</v>
      </c>
      <c r="B224" s="1316" t="s">
        <v>1869</v>
      </c>
      <c r="C224" s="1316" t="s">
        <v>504</v>
      </c>
      <c r="D224" s="1319" t="s">
        <v>1922</v>
      </c>
      <c r="E224" s="1318">
        <v>930</v>
      </c>
      <c r="F224" s="1122" t="s">
        <v>3780</v>
      </c>
      <c r="G224" s="1319" t="s">
        <v>3779</v>
      </c>
      <c r="H224" s="1319" t="s">
        <v>1922</v>
      </c>
      <c r="I224" s="1319" t="s">
        <v>3626</v>
      </c>
      <c r="J224" s="1326" t="s">
        <v>1922</v>
      </c>
      <c r="K224" s="1322" t="s">
        <v>3625</v>
      </c>
      <c r="L224" s="1323">
        <v>12</v>
      </c>
      <c r="M224" s="1324">
        <v>12764.4</v>
      </c>
      <c r="N224" s="1335" t="s">
        <v>3625</v>
      </c>
      <c r="O224" s="1336" t="s">
        <v>687</v>
      </c>
      <c r="P224" s="1324">
        <v>6082.2</v>
      </c>
    </row>
    <row r="225" spans="1:16">
      <c r="A225" s="1315" t="s">
        <v>3628</v>
      </c>
      <c r="B225" s="1316" t="s">
        <v>1869</v>
      </c>
      <c r="C225" s="1316" t="s">
        <v>504</v>
      </c>
      <c r="D225" s="1319" t="s">
        <v>1925</v>
      </c>
      <c r="E225" s="1318">
        <v>1050</v>
      </c>
      <c r="F225" s="1122" t="s">
        <v>3778</v>
      </c>
      <c r="G225" s="1319" t="s">
        <v>3777</v>
      </c>
      <c r="H225" s="1319" t="s">
        <v>1925</v>
      </c>
      <c r="I225" s="1319" t="s">
        <v>3629</v>
      </c>
      <c r="J225" s="1326" t="s">
        <v>1925</v>
      </c>
      <c r="K225" s="1322" t="s">
        <v>3625</v>
      </c>
      <c r="L225" s="1323">
        <v>12</v>
      </c>
      <c r="M225" s="1324">
        <v>14334</v>
      </c>
      <c r="N225" s="1335" t="s">
        <v>3625</v>
      </c>
      <c r="O225" s="1336" t="s">
        <v>687</v>
      </c>
      <c r="P225" s="1324">
        <v>6867</v>
      </c>
    </row>
    <row r="226" spans="1:16">
      <c r="A226" s="1315" t="s">
        <v>3628</v>
      </c>
      <c r="B226" s="1316" t="s">
        <v>1869</v>
      </c>
      <c r="C226" s="1316" t="s">
        <v>504</v>
      </c>
      <c r="D226" s="1319" t="s">
        <v>2215</v>
      </c>
      <c r="E226" s="1318">
        <v>930</v>
      </c>
      <c r="F226" s="1122" t="s">
        <v>3776</v>
      </c>
      <c r="G226" s="1319" t="s">
        <v>3775</v>
      </c>
      <c r="H226" s="1319" t="s">
        <v>2215</v>
      </c>
      <c r="I226" s="1319" t="s">
        <v>3626</v>
      </c>
      <c r="J226" s="1326" t="s">
        <v>2215</v>
      </c>
      <c r="K226" s="1322" t="s">
        <v>3625</v>
      </c>
      <c r="L226" s="1323">
        <v>12</v>
      </c>
      <c r="M226" s="1324">
        <v>12764.4</v>
      </c>
      <c r="N226" s="1335" t="s">
        <v>3625</v>
      </c>
      <c r="O226" s="1336" t="s">
        <v>687</v>
      </c>
      <c r="P226" s="1324">
        <v>6082.2</v>
      </c>
    </row>
    <row r="227" spans="1:16">
      <c r="A227" s="1315" t="s">
        <v>3628</v>
      </c>
      <c r="B227" s="1316" t="s">
        <v>1869</v>
      </c>
      <c r="C227" s="1316" t="s">
        <v>504</v>
      </c>
      <c r="D227" s="1319" t="s">
        <v>2215</v>
      </c>
      <c r="E227" s="1318">
        <v>930</v>
      </c>
      <c r="F227" s="1122" t="s">
        <v>3774</v>
      </c>
      <c r="G227" s="1319" t="s">
        <v>3773</v>
      </c>
      <c r="H227" s="1319" t="s">
        <v>2215</v>
      </c>
      <c r="I227" s="1319" t="s">
        <v>3626</v>
      </c>
      <c r="J227" s="1326" t="s">
        <v>2215</v>
      </c>
      <c r="K227" s="1322" t="s">
        <v>3625</v>
      </c>
      <c r="L227" s="1323">
        <v>12</v>
      </c>
      <c r="M227" s="1324">
        <v>12764.4</v>
      </c>
      <c r="N227" s="1335" t="s">
        <v>3625</v>
      </c>
      <c r="O227" s="1336" t="s">
        <v>687</v>
      </c>
      <c r="P227" s="1324">
        <v>6082.2</v>
      </c>
    </row>
    <row r="228" spans="1:16">
      <c r="A228" s="1315" t="s">
        <v>3628</v>
      </c>
      <c r="B228" s="1316" t="s">
        <v>1869</v>
      </c>
      <c r="C228" s="1316" t="s">
        <v>504</v>
      </c>
      <c r="D228" s="1319" t="s">
        <v>2215</v>
      </c>
      <c r="E228" s="1318">
        <v>930</v>
      </c>
      <c r="F228" s="1122" t="s">
        <v>3772</v>
      </c>
      <c r="G228" s="1319" t="s">
        <v>3771</v>
      </c>
      <c r="H228" s="1319" t="s">
        <v>2215</v>
      </c>
      <c r="I228" s="1319" t="s">
        <v>3626</v>
      </c>
      <c r="J228" s="1326" t="s">
        <v>2215</v>
      </c>
      <c r="K228" s="1322" t="s">
        <v>3625</v>
      </c>
      <c r="L228" s="1323">
        <v>12</v>
      </c>
      <c r="M228" s="1324">
        <v>12764.4</v>
      </c>
      <c r="N228" s="1335" t="s">
        <v>3625</v>
      </c>
      <c r="O228" s="1336" t="s">
        <v>687</v>
      </c>
      <c r="P228" s="1324">
        <v>6082.2</v>
      </c>
    </row>
    <row r="229" spans="1:16" ht="24">
      <c r="A229" s="1315" t="s">
        <v>3628</v>
      </c>
      <c r="B229" s="1316" t="s">
        <v>1869</v>
      </c>
      <c r="C229" s="1316" t="s">
        <v>504</v>
      </c>
      <c r="D229" s="1319" t="s">
        <v>2611</v>
      </c>
      <c r="E229" s="1318">
        <v>930</v>
      </c>
      <c r="F229" s="1122" t="s">
        <v>3770</v>
      </c>
      <c r="G229" s="1319" t="s">
        <v>3769</v>
      </c>
      <c r="H229" s="1319" t="s">
        <v>2611</v>
      </c>
      <c r="I229" s="1319" t="s">
        <v>3629</v>
      </c>
      <c r="J229" s="1326" t="s">
        <v>2611</v>
      </c>
      <c r="K229" s="1322" t="s">
        <v>3625</v>
      </c>
      <c r="L229" s="1323">
        <v>12</v>
      </c>
      <c r="M229" s="1324">
        <v>12764.4</v>
      </c>
      <c r="N229" s="1335" t="s">
        <v>3625</v>
      </c>
      <c r="O229" s="1336" t="s">
        <v>687</v>
      </c>
      <c r="P229" s="1324">
        <v>6082.2</v>
      </c>
    </row>
    <row r="230" spans="1:16">
      <c r="A230" s="1315" t="s">
        <v>3628</v>
      </c>
      <c r="B230" s="1316" t="s">
        <v>1869</v>
      </c>
      <c r="C230" s="1316" t="s">
        <v>504</v>
      </c>
      <c r="D230" s="1319" t="s">
        <v>3747</v>
      </c>
      <c r="E230" s="1318">
        <v>930</v>
      </c>
      <c r="F230" s="1122" t="s">
        <v>3768</v>
      </c>
      <c r="G230" s="1319" t="s">
        <v>3767</v>
      </c>
      <c r="H230" s="1319" t="s">
        <v>3747</v>
      </c>
      <c r="I230" s="1319" t="s">
        <v>3626</v>
      </c>
      <c r="J230" s="1326" t="s">
        <v>3747</v>
      </c>
      <c r="K230" s="1322" t="s">
        <v>3625</v>
      </c>
      <c r="L230" s="1323">
        <v>12</v>
      </c>
      <c r="M230" s="1324">
        <v>12764.4</v>
      </c>
      <c r="N230" s="1335" t="s">
        <v>3625</v>
      </c>
      <c r="O230" s="1336" t="s">
        <v>687</v>
      </c>
      <c r="P230" s="1324">
        <v>6082.2</v>
      </c>
    </row>
    <row r="231" spans="1:16" ht="24">
      <c r="A231" s="1315" t="s">
        <v>3628</v>
      </c>
      <c r="B231" s="1316" t="s">
        <v>1869</v>
      </c>
      <c r="C231" s="1316" t="s">
        <v>504</v>
      </c>
      <c r="D231" s="1319" t="s">
        <v>3636</v>
      </c>
      <c r="E231" s="1318">
        <v>930</v>
      </c>
      <c r="F231" s="1122" t="s">
        <v>3766</v>
      </c>
      <c r="G231" s="1319" t="s">
        <v>3765</v>
      </c>
      <c r="H231" s="1319" t="s">
        <v>3636</v>
      </c>
      <c r="I231" s="1319" t="s">
        <v>3626</v>
      </c>
      <c r="J231" s="1326" t="s">
        <v>3636</v>
      </c>
      <c r="K231" s="1322" t="s">
        <v>3625</v>
      </c>
      <c r="L231" s="1323">
        <v>12</v>
      </c>
      <c r="M231" s="1324">
        <v>12764.4</v>
      </c>
      <c r="N231" s="1335" t="s">
        <v>3625</v>
      </c>
      <c r="O231" s="1336" t="s">
        <v>687</v>
      </c>
      <c r="P231" s="1324">
        <v>6082.2</v>
      </c>
    </row>
    <row r="232" spans="1:16">
      <c r="A232" s="1315" t="s">
        <v>3628</v>
      </c>
      <c r="B232" s="1316" t="s">
        <v>1869</v>
      </c>
      <c r="C232" s="1316" t="s">
        <v>504</v>
      </c>
      <c r="D232" s="1319" t="s">
        <v>1952</v>
      </c>
      <c r="E232" s="1318">
        <v>1050</v>
      </c>
      <c r="F232" s="1122" t="s">
        <v>3764</v>
      </c>
      <c r="G232" s="1319" t="s">
        <v>3763</v>
      </c>
      <c r="H232" s="1319" t="s">
        <v>1952</v>
      </c>
      <c r="I232" s="1319" t="s">
        <v>3626</v>
      </c>
      <c r="J232" s="1326" t="s">
        <v>1952</v>
      </c>
      <c r="K232" s="1322" t="s">
        <v>3625</v>
      </c>
      <c r="L232" s="1323">
        <v>12</v>
      </c>
      <c r="M232" s="1324">
        <v>14644.44</v>
      </c>
      <c r="N232" s="1335" t="s">
        <v>3625</v>
      </c>
      <c r="O232" s="1336" t="s">
        <v>687</v>
      </c>
      <c r="P232" s="1324">
        <v>6867</v>
      </c>
    </row>
    <row r="233" spans="1:16">
      <c r="A233" s="1315" t="s">
        <v>3628</v>
      </c>
      <c r="B233" s="1316" t="s">
        <v>1869</v>
      </c>
      <c r="C233" s="1316" t="s">
        <v>504</v>
      </c>
      <c r="D233" s="1319" t="s">
        <v>2215</v>
      </c>
      <c r="E233" s="1318">
        <v>930</v>
      </c>
      <c r="F233" s="1122" t="s">
        <v>3762</v>
      </c>
      <c r="G233" s="1319" t="s">
        <v>3761</v>
      </c>
      <c r="H233" s="1319" t="s">
        <v>2215</v>
      </c>
      <c r="I233" s="1319" t="s">
        <v>3626</v>
      </c>
      <c r="J233" s="1326" t="s">
        <v>2215</v>
      </c>
      <c r="K233" s="1322" t="s">
        <v>3625</v>
      </c>
      <c r="L233" s="1323">
        <v>12</v>
      </c>
      <c r="M233" s="1324">
        <v>12764.4</v>
      </c>
      <c r="N233" s="1335" t="s">
        <v>3625</v>
      </c>
      <c r="O233" s="1336" t="s">
        <v>562</v>
      </c>
      <c r="P233" s="1324">
        <v>4222.2</v>
      </c>
    </row>
    <row r="234" spans="1:16">
      <c r="A234" s="1315" t="s">
        <v>3628</v>
      </c>
      <c r="B234" s="1316" t="s">
        <v>1869</v>
      </c>
      <c r="C234" s="1316" t="s">
        <v>504</v>
      </c>
      <c r="D234" s="1319" t="s">
        <v>1992</v>
      </c>
      <c r="E234" s="1318">
        <v>1050</v>
      </c>
      <c r="F234" s="1122" t="s">
        <v>3760</v>
      </c>
      <c r="G234" s="1319" t="s">
        <v>3759</v>
      </c>
      <c r="H234" s="1319" t="s">
        <v>1992</v>
      </c>
      <c r="I234" s="1319" t="s">
        <v>3626</v>
      </c>
      <c r="J234" s="1326" t="s">
        <v>1992</v>
      </c>
      <c r="K234" s="1322" t="s">
        <v>3625</v>
      </c>
      <c r="L234" s="1323">
        <v>12</v>
      </c>
      <c r="M234" s="1324">
        <v>14334</v>
      </c>
      <c r="N234" s="1335" t="s">
        <v>3625</v>
      </c>
      <c r="O234" s="1336" t="s">
        <v>687</v>
      </c>
      <c r="P234" s="1324">
        <v>6867</v>
      </c>
    </row>
    <row r="235" spans="1:16" ht="24">
      <c r="A235" s="1315" t="s">
        <v>3628</v>
      </c>
      <c r="B235" s="1316" t="s">
        <v>1869</v>
      </c>
      <c r="C235" s="1316" t="s">
        <v>504</v>
      </c>
      <c r="D235" s="1319" t="s">
        <v>1922</v>
      </c>
      <c r="E235" s="1318">
        <v>930</v>
      </c>
      <c r="F235" s="1122" t="s">
        <v>3758</v>
      </c>
      <c r="G235" s="1319" t="s">
        <v>3757</v>
      </c>
      <c r="H235" s="1319" t="s">
        <v>1922</v>
      </c>
      <c r="I235" s="1319" t="s">
        <v>3626</v>
      </c>
      <c r="J235" s="1326" t="s">
        <v>1922</v>
      </c>
      <c r="K235" s="1322" t="s">
        <v>3625</v>
      </c>
      <c r="L235" s="1323">
        <v>12</v>
      </c>
      <c r="M235" s="1324">
        <v>12764.4</v>
      </c>
      <c r="N235" s="1335" t="s">
        <v>3625</v>
      </c>
      <c r="O235" s="1336" t="s">
        <v>687</v>
      </c>
      <c r="P235" s="1324">
        <v>6082.2</v>
      </c>
    </row>
    <row r="236" spans="1:16" ht="24">
      <c r="A236" s="1315" t="s">
        <v>3628</v>
      </c>
      <c r="B236" s="1316" t="s">
        <v>1869</v>
      </c>
      <c r="C236" s="1316" t="s">
        <v>504</v>
      </c>
      <c r="D236" s="1319" t="s">
        <v>3754</v>
      </c>
      <c r="E236" s="1318">
        <v>930</v>
      </c>
      <c r="F236" s="1122" t="s">
        <v>3756</v>
      </c>
      <c r="G236" s="1319" t="s">
        <v>3755</v>
      </c>
      <c r="H236" s="1319" t="s">
        <v>3754</v>
      </c>
      <c r="I236" s="1319" t="s">
        <v>3626</v>
      </c>
      <c r="J236" s="1326" t="s">
        <v>3754</v>
      </c>
      <c r="K236" s="1322" t="s">
        <v>3625</v>
      </c>
      <c r="L236" s="1323">
        <v>12</v>
      </c>
      <c r="M236" s="1324">
        <v>12764.4</v>
      </c>
      <c r="N236" s="1335" t="s">
        <v>3625</v>
      </c>
      <c r="O236" s="1336" t="s">
        <v>687</v>
      </c>
      <c r="P236" s="1324">
        <v>6082.2</v>
      </c>
    </row>
    <row r="237" spans="1:16">
      <c r="A237" s="1315" t="s">
        <v>3628</v>
      </c>
      <c r="B237" s="1316" t="s">
        <v>1869</v>
      </c>
      <c r="C237" s="1316" t="s">
        <v>504</v>
      </c>
      <c r="D237" s="1319" t="s">
        <v>2215</v>
      </c>
      <c r="E237" s="1318">
        <v>930</v>
      </c>
      <c r="F237" s="1122" t="s">
        <v>3753</v>
      </c>
      <c r="G237" s="1319" t="s">
        <v>3752</v>
      </c>
      <c r="H237" s="1319" t="s">
        <v>2215</v>
      </c>
      <c r="I237" s="1319" t="s">
        <v>3626</v>
      </c>
      <c r="J237" s="1326" t="s">
        <v>2215</v>
      </c>
      <c r="K237" s="1322" t="s">
        <v>3625</v>
      </c>
      <c r="L237" s="1323">
        <v>12</v>
      </c>
      <c r="M237" s="1324">
        <v>12764.4</v>
      </c>
      <c r="N237" s="1335" t="s">
        <v>3625</v>
      </c>
      <c r="O237" s="1336" t="s">
        <v>687</v>
      </c>
      <c r="P237" s="1324">
        <v>6082.2</v>
      </c>
    </row>
    <row r="238" spans="1:16" ht="24">
      <c r="A238" s="1315" t="s">
        <v>3628</v>
      </c>
      <c r="B238" s="1316" t="s">
        <v>1869</v>
      </c>
      <c r="C238" s="1316" t="s">
        <v>504</v>
      </c>
      <c r="D238" s="1319" t="s">
        <v>3636</v>
      </c>
      <c r="E238" s="1318">
        <v>1100</v>
      </c>
      <c r="F238" s="1122" t="s">
        <v>3751</v>
      </c>
      <c r="G238" s="1319" t="s">
        <v>3750</v>
      </c>
      <c r="H238" s="1319" t="s">
        <v>3636</v>
      </c>
      <c r="I238" s="1319" t="s">
        <v>3626</v>
      </c>
      <c r="J238" s="1326" t="s">
        <v>3636</v>
      </c>
      <c r="K238" s="1322" t="s">
        <v>3625</v>
      </c>
      <c r="L238" s="1323">
        <v>12</v>
      </c>
      <c r="M238" s="1324">
        <v>14988</v>
      </c>
      <c r="N238" s="1335" t="s">
        <v>3625</v>
      </c>
      <c r="O238" s="1336" t="s">
        <v>687</v>
      </c>
      <c r="P238" s="1324">
        <v>7194</v>
      </c>
    </row>
    <row r="239" spans="1:16">
      <c r="A239" s="1315" t="s">
        <v>3628</v>
      </c>
      <c r="B239" s="1316" t="s">
        <v>1869</v>
      </c>
      <c r="C239" s="1316" t="s">
        <v>504</v>
      </c>
      <c r="D239" s="1319" t="s">
        <v>3747</v>
      </c>
      <c r="E239" s="1318">
        <v>930</v>
      </c>
      <c r="F239" s="1122" t="s">
        <v>3749</v>
      </c>
      <c r="G239" s="1319" t="s">
        <v>3748</v>
      </c>
      <c r="H239" s="1319" t="s">
        <v>3747</v>
      </c>
      <c r="I239" s="1319" t="s">
        <v>3626</v>
      </c>
      <c r="J239" s="1326" t="s">
        <v>3747</v>
      </c>
      <c r="K239" s="1322" t="s">
        <v>3625</v>
      </c>
      <c r="L239" s="1323">
        <v>12</v>
      </c>
      <c r="M239" s="1324">
        <v>12764.4</v>
      </c>
      <c r="N239" s="1335" t="s">
        <v>3625</v>
      </c>
      <c r="O239" s="1336" t="s">
        <v>687</v>
      </c>
      <c r="P239" s="1324">
        <v>6082.2</v>
      </c>
    </row>
    <row r="240" spans="1:16">
      <c r="A240" s="1315" t="s">
        <v>3628</v>
      </c>
      <c r="B240" s="1316" t="s">
        <v>1869</v>
      </c>
      <c r="C240" s="1316" t="s">
        <v>504</v>
      </c>
      <c r="D240" s="1319" t="s">
        <v>1925</v>
      </c>
      <c r="E240" s="1318">
        <v>1017</v>
      </c>
      <c r="F240" s="1122" t="s">
        <v>3746</v>
      </c>
      <c r="G240" s="1319" t="s">
        <v>3745</v>
      </c>
      <c r="H240" s="1319" t="s">
        <v>1925</v>
      </c>
      <c r="I240" s="1319" t="s">
        <v>3629</v>
      </c>
      <c r="J240" s="1326" t="s">
        <v>1925</v>
      </c>
      <c r="K240" s="1322" t="s">
        <v>3625</v>
      </c>
      <c r="L240" s="1323">
        <v>12</v>
      </c>
      <c r="M240" s="1324">
        <v>13902.36</v>
      </c>
      <c r="N240" s="1335" t="s">
        <v>3625</v>
      </c>
      <c r="O240" s="1336" t="s">
        <v>687</v>
      </c>
      <c r="P240" s="1324">
        <v>6651.18</v>
      </c>
    </row>
    <row r="241" spans="1:16" ht="24">
      <c r="A241" s="1315" t="s">
        <v>3628</v>
      </c>
      <c r="B241" s="1316" t="s">
        <v>1869</v>
      </c>
      <c r="C241" s="1316" t="s">
        <v>504</v>
      </c>
      <c r="D241" s="1319" t="s">
        <v>1922</v>
      </c>
      <c r="E241" s="1318">
        <v>930</v>
      </c>
      <c r="F241" s="1122" t="s">
        <v>3744</v>
      </c>
      <c r="G241" s="1319" t="s">
        <v>3743</v>
      </c>
      <c r="H241" s="1319" t="s">
        <v>1922</v>
      </c>
      <c r="I241" s="1319" t="s">
        <v>3626</v>
      </c>
      <c r="J241" s="1326" t="s">
        <v>1922</v>
      </c>
      <c r="K241" s="1322" t="s">
        <v>3625</v>
      </c>
      <c r="L241" s="1323">
        <v>12</v>
      </c>
      <c r="M241" s="1324">
        <v>12900.5</v>
      </c>
      <c r="N241" s="1335" t="s">
        <v>3625</v>
      </c>
      <c r="O241" s="1336" t="s">
        <v>687</v>
      </c>
      <c r="P241" s="1324">
        <v>6172.1</v>
      </c>
    </row>
    <row r="242" spans="1:16">
      <c r="A242" s="1315" t="s">
        <v>3628</v>
      </c>
      <c r="B242" s="1316" t="s">
        <v>1869</v>
      </c>
      <c r="C242" s="1316" t="s">
        <v>504</v>
      </c>
      <c r="D242" s="1319" t="s">
        <v>3740</v>
      </c>
      <c r="E242" s="1318">
        <v>1050</v>
      </c>
      <c r="F242" s="1122" t="s">
        <v>3742</v>
      </c>
      <c r="G242" s="1319" t="s">
        <v>3741</v>
      </c>
      <c r="H242" s="1319" t="s">
        <v>3740</v>
      </c>
      <c r="I242" s="1319" t="s">
        <v>3629</v>
      </c>
      <c r="J242" s="1326" t="s">
        <v>3740</v>
      </c>
      <c r="K242" s="1322" t="s">
        <v>3625</v>
      </c>
      <c r="L242" s="1323">
        <v>12</v>
      </c>
      <c r="M242" s="1324">
        <v>14334</v>
      </c>
      <c r="N242" s="1335" t="s">
        <v>3625</v>
      </c>
      <c r="O242" s="1336" t="s">
        <v>687</v>
      </c>
      <c r="P242" s="1324">
        <v>6867</v>
      </c>
    </row>
    <row r="243" spans="1:16" ht="24">
      <c r="A243" s="1315" t="s">
        <v>3628</v>
      </c>
      <c r="B243" s="1316" t="s">
        <v>1869</v>
      </c>
      <c r="C243" s="1316" t="s">
        <v>504</v>
      </c>
      <c r="D243" s="1319" t="s">
        <v>3636</v>
      </c>
      <c r="E243" s="1318">
        <v>1000</v>
      </c>
      <c r="F243" s="1122" t="s">
        <v>3739</v>
      </c>
      <c r="G243" s="1319" t="s">
        <v>3738</v>
      </c>
      <c r="H243" s="1319" t="s">
        <v>3636</v>
      </c>
      <c r="I243" s="1319" t="s">
        <v>3626</v>
      </c>
      <c r="J243" s="1326" t="s">
        <v>3636</v>
      </c>
      <c r="K243" s="1322" t="s">
        <v>3625</v>
      </c>
      <c r="L243" s="1323">
        <v>12</v>
      </c>
      <c r="M243" s="1324">
        <v>13680</v>
      </c>
      <c r="N243" s="1335" t="s">
        <v>3625</v>
      </c>
      <c r="O243" s="1336" t="s">
        <v>687</v>
      </c>
      <c r="P243" s="1324">
        <v>6540</v>
      </c>
    </row>
    <row r="244" spans="1:16" ht="24">
      <c r="A244" s="1315" t="s">
        <v>3628</v>
      </c>
      <c r="B244" s="1316" t="s">
        <v>1869</v>
      </c>
      <c r="C244" s="1316" t="s">
        <v>504</v>
      </c>
      <c r="D244" s="1319" t="s">
        <v>1922</v>
      </c>
      <c r="E244" s="1318">
        <v>930</v>
      </c>
      <c r="F244" s="1122" t="s">
        <v>3737</v>
      </c>
      <c r="G244" s="1319" t="s">
        <v>3736</v>
      </c>
      <c r="H244" s="1319" t="s">
        <v>1922</v>
      </c>
      <c r="I244" s="1319" t="s">
        <v>3626</v>
      </c>
      <c r="J244" s="1326" t="s">
        <v>1922</v>
      </c>
      <c r="K244" s="1322" t="s">
        <v>3625</v>
      </c>
      <c r="L244" s="1323">
        <v>12</v>
      </c>
      <c r="M244" s="1324">
        <v>12900.5</v>
      </c>
      <c r="N244" s="1335" t="s">
        <v>3625</v>
      </c>
      <c r="O244" s="1336" t="s">
        <v>687</v>
      </c>
      <c r="P244" s="1324">
        <v>6172.1</v>
      </c>
    </row>
    <row r="245" spans="1:16" ht="24">
      <c r="A245" s="1315" t="s">
        <v>3628</v>
      </c>
      <c r="B245" s="1316" t="s">
        <v>1869</v>
      </c>
      <c r="C245" s="1316" t="s">
        <v>504</v>
      </c>
      <c r="D245" s="1319" t="s">
        <v>1922</v>
      </c>
      <c r="E245" s="1318">
        <v>930</v>
      </c>
      <c r="F245" s="1122" t="s">
        <v>3735</v>
      </c>
      <c r="G245" s="1319" t="s">
        <v>3734</v>
      </c>
      <c r="H245" s="1319" t="s">
        <v>1922</v>
      </c>
      <c r="I245" s="1319" t="s">
        <v>3626</v>
      </c>
      <c r="J245" s="1326" t="s">
        <v>1922</v>
      </c>
      <c r="K245" s="1322" t="s">
        <v>3625</v>
      </c>
      <c r="L245" s="1323">
        <v>12</v>
      </c>
      <c r="M245" s="1324">
        <v>12900.5</v>
      </c>
      <c r="N245" s="1335" t="s">
        <v>3625</v>
      </c>
      <c r="O245" s="1336" t="s">
        <v>687</v>
      </c>
      <c r="P245" s="1324">
        <v>6172.1</v>
      </c>
    </row>
    <row r="246" spans="1:16">
      <c r="A246" s="1315" t="s">
        <v>3628</v>
      </c>
      <c r="B246" s="1316" t="s">
        <v>1869</v>
      </c>
      <c r="C246" s="1316" t="s">
        <v>504</v>
      </c>
      <c r="D246" s="1319" t="s">
        <v>3632</v>
      </c>
      <c r="E246" s="1318">
        <v>7200</v>
      </c>
      <c r="F246" s="1122" t="s">
        <v>3733</v>
      </c>
      <c r="G246" s="1319" t="s">
        <v>3732</v>
      </c>
      <c r="H246" s="1319" t="s">
        <v>3632</v>
      </c>
      <c r="I246" s="1319" t="s">
        <v>3633</v>
      </c>
      <c r="J246" s="1326" t="s">
        <v>3632</v>
      </c>
      <c r="K246" s="1322" t="s">
        <v>3625</v>
      </c>
      <c r="L246" s="1323">
        <v>12</v>
      </c>
      <c r="M246" s="1324">
        <v>88360.8</v>
      </c>
      <c r="N246" s="1335" t="s">
        <v>3625</v>
      </c>
      <c r="O246" s="1336" t="s">
        <v>687</v>
      </c>
      <c r="P246" s="1324">
        <v>44244.9</v>
      </c>
    </row>
    <row r="247" spans="1:16">
      <c r="A247" s="1315" t="s">
        <v>3628</v>
      </c>
      <c r="B247" s="1316" t="s">
        <v>1869</v>
      </c>
      <c r="C247" s="1316" t="s">
        <v>504</v>
      </c>
      <c r="D247" s="1319" t="s">
        <v>2215</v>
      </c>
      <c r="E247" s="1318">
        <v>930</v>
      </c>
      <c r="F247" s="1122" t="s">
        <v>3731</v>
      </c>
      <c r="G247" s="1319" t="s">
        <v>3730</v>
      </c>
      <c r="H247" s="1319" t="s">
        <v>2215</v>
      </c>
      <c r="I247" s="1319" t="s">
        <v>3626</v>
      </c>
      <c r="J247" s="1326" t="s">
        <v>2215</v>
      </c>
      <c r="K247" s="1322" t="s">
        <v>3625</v>
      </c>
      <c r="L247" s="1323">
        <v>12</v>
      </c>
      <c r="M247" s="1324">
        <v>12764.4</v>
      </c>
      <c r="N247" s="1335" t="s">
        <v>3625</v>
      </c>
      <c r="O247" s="1336" t="s">
        <v>687</v>
      </c>
      <c r="P247" s="1324">
        <v>6082.2</v>
      </c>
    </row>
    <row r="248" spans="1:16">
      <c r="A248" s="1315" t="s">
        <v>3628</v>
      </c>
      <c r="B248" s="1316" t="s">
        <v>1869</v>
      </c>
      <c r="C248" s="1316" t="s">
        <v>504</v>
      </c>
      <c r="D248" s="1319" t="s">
        <v>3727</v>
      </c>
      <c r="E248" s="1318">
        <v>1000</v>
      </c>
      <c r="F248" s="1122" t="s">
        <v>3729</v>
      </c>
      <c r="G248" s="1319" t="s">
        <v>3728</v>
      </c>
      <c r="H248" s="1319" t="s">
        <v>3727</v>
      </c>
      <c r="I248" s="1319" t="s">
        <v>3633</v>
      </c>
      <c r="J248" s="1326" t="s">
        <v>3727</v>
      </c>
      <c r="K248" s="1322" t="s">
        <v>3625</v>
      </c>
      <c r="L248" s="1323">
        <v>12</v>
      </c>
      <c r="M248" s="1324">
        <v>13080</v>
      </c>
      <c r="N248" s="1335" t="s">
        <v>3625</v>
      </c>
      <c r="O248" s="1336" t="s">
        <v>687</v>
      </c>
      <c r="P248" s="1324">
        <v>6540</v>
      </c>
    </row>
    <row r="249" spans="1:16" ht="24">
      <c r="A249" s="1315" t="s">
        <v>3628</v>
      </c>
      <c r="B249" s="1316" t="s">
        <v>1869</v>
      </c>
      <c r="C249" s="1316" t="s">
        <v>504</v>
      </c>
      <c r="D249" s="1319" t="s">
        <v>1913</v>
      </c>
      <c r="E249" s="1318">
        <v>1050</v>
      </c>
      <c r="F249" s="1122" t="s">
        <v>3726</v>
      </c>
      <c r="G249" s="1319" t="s">
        <v>3725</v>
      </c>
      <c r="H249" s="1319" t="s">
        <v>1913</v>
      </c>
      <c r="I249" s="1319" t="s">
        <v>3626</v>
      </c>
      <c r="J249" s="1326" t="s">
        <v>1913</v>
      </c>
      <c r="K249" s="1322" t="s">
        <v>3625</v>
      </c>
      <c r="L249" s="1323">
        <v>12</v>
      </c>
      <c r="M249" s="1324">
        <v>14334</v>
      </c>
      <c r="N249" s="1335" t="s">
        <v>3625</v>
      </c>
      <c r="O249" s="1336" t="s">
        <v>687</v>
      </c>
      <c r="P249" s="1324">
        <v>6867</v>
      </c>
    </row>
    <row r="250" spans="1:16" ht="24">
      <c r="A250" s="1315" t="s">
        <v>3628</v>
      </c>
      <c r="B250" s="1316" t="s">
        <v>1869</v>
      </c>
      <c r="C250" s="1316" t="s">
        <v>504</v>
      </c>
      <c r="D250" s="1319" t="s">
        <v>3722</v>
      </c>
      <c r="E250" s="1318">
        <v>3000</v>
      </c>
      <c r="F250" s="1122" t="s">
        <v>3724</v>
      </c>
      <c r="G250" s="1319" t="s">
        <v>3723</v>
      </c>
      <c r="H250" s="1319" t="s">
        <v>3722</v>
      </c>
      <c r="I250" s="1319" t="s">
        <v>3633</v>
      </c>
      <c r="J250" s="1326" t="s">
        <v>3722</v>
      </c>
      <c r="K250" s="1322" t="s">
        <v>3625</v>
      </c>
      <c r="L250" s="1323">
        <v>12</v>
      </c>
      <c r="M250" s="1324">
        <v>37360.800000000003</v>
      </c>
      <c r="N250" s="1335" t="s">
        <v>3625</v>
      </c>
      <c r="O250" s="1336" t="s">
        <v>687</v>
      </c>
      <c r="P250" s="1324">
        <v>19044.900000000001</v>
      </c>
    </row>
    <row r="251" spans="1:16">
      <c r="A251" s="1315" t="s">
        <v>3628</v>
      </c>
      <c r="B251" s="1316" t="s">
        <v>1869</v>
      </c>
      <c r="C251" s="1316" t="s">
        <v>504</v>
      </c>
      <c r="D251" s="1319" t="s">
        <v>1933</v>
      </c>
      <c r="E251" s="1318">
        <v>1050</v>
      </c>
      <c r="F251" s="1122" t="s">
        <v>3721</v>
      </c>
      <c r="G251" s="1319" t="s">
        <v>3720</v>
      </c>
      <c r="H251" s="1319" t="s">
        <v>1933</v>
      </c>
      <c r="I251" s="1319" t="s">
        <v>3629</v>
      </c>
      <c r="J251" s="1326" t="s">
        <v>1933</v>
      </c>
      <c r="K251" s="1322" t="s">
        <v>3625</v>
      </c>
      <c r="L251" s="1323">
        <v>12</v>
      </c>
      <c r="M251" s="1324">
        <v>14334</v>
      </c>
      <c r="N251" s="1335" t="s">
        <v>3625</v>
      </c>
      <c r="O251" s="1336" t="s">
        <v>687</v>
      </c>
      <c r="P251" s="1324">
        <v>6867</v>
      </c>
    </row>
    <row r="252" spans="1:16" ht="24">
      <c r="A252" s="1315" t="s">
        <v>3628</v>
      </c>
      <c r="B252" s="1316" t="s">
        <v>1869</v>
      </c>
      <c r="C252" s="1316" t="s">
        <v>504</v>
      </c>
      <c r="D252" s="1319" t="s">
        <v>1922</v>
      </c>
      <c r="E252" s="1318">
        <v>1050</v>
      </c>
      <c r="F252" s="1122" t="s">
        <v>3719</v>
      </c>
      <c r="G252" s="1319" t="s">
        <v>3718</v>
      </c>
      <c r="H252" s="1319" t="s">
        <v>1922</v>
      </c>
      <c r="I252" s="1319" t="s">
        <v>3626</v>
      </c>
      <c r="J252" s="1326" t="s">
        <v>1922</v>
      </c>
      <c r="K252" s="1322" t="s">
        <v>3625</v>
      </c>
      <c r="L252" s="1323">
        <v>12</v>
      </c>
      <c r="M252" s="1324">
        <v>14334</v>
      </c>
      <c r="N252" s="1335" t="s">
        <v>3625</v>
      </c>
      <c r="O252" s="1336" t="s">
        <v>687</v>
      </c>
      <c r="P252" s="1324">
        <v>6867</v>
      </c>
    </row>
    <row r="253" spans="1:16">
      <c r="A253" s="1315" t="s">
        <v>3628</v>
      </c>
      <c r="B253" s="1316" t="s">
        <v>1869</v>
      </c>
      <c r="C253" s="1316" t="s">
        <v>504</v>
      </c>
      <c r="D253" s="1319" t="s">
        <v>2215</v>
      </c>
      <c r="E253" s="1318">
        <v>1050</v>
      </c>
      <c r="F253" s="1122" t="s">
        <v>3717</v>
      </c>
      <c r="G253" s="1319" t="s">
        <v>3716</v>
      </c>
      <c r="H253" s="1319" t="s">
        <v>2215</v>
      </c>
      <c r="I253" s="1319" t="s">
        <v>3626</v>
      </c>
      <c r="J253" s="1326" t="s">
        <v>2215</v>
      </c>
      <c r="K253" s="1322" t="s">
        <v>3625</v>
      </c>
      <c r="L253" s="1323">
        <v>12</v>
      </c>
      <c r="M253" s="1324">
        <v>14334</v>
      </c>
      <c r="N253" s="1335" t="s">
        <v>3625</v>
      </c>
      <c r="O253" s="1336" t="s">
        <v>687</v>
      </c>
      <c r="P253" s="1324">
        <v>6867</v>
      </c>
    </row>
    <row r="254" spans="1:16" ht="24">
      <c r="A254" s="1315" t="s">
        <v>3628</v>
      </c>
      <c r="B254" s="1316" t="s">
        <v>1869</v>
      </c>
      <c r="C254" s="1316" t="s">
        <v>504</v>
      </c>
      <c r="D254" s="1319" t="s">
        <v>1922</v>
      </c>
      <c r="E254" s="1318">
        <v>930</v>
      </c>
      <c r="F254" s="1122" t="s">
        <v>3715</v>
      </c>
      <c r="G254" s="1319" t="s">
        <v>3714</v>
      </c>
      <c r="H254" s="1319" t="s">
        <v>1922</v>
      </c>
      <c r="I254" s="1319" t="s">
        <v>3626</v>
      </c>
      <c r="J254" s="1326" t="s">
        <v>1922</v>
      </c>
      <c r="K254" s="1322" t="s">
        <v>3625</v>
      </c>
      <c r="L254" s="1323">
        <v>12</v>
      </c>
      <c r="M254" s="1324">
        <v>12900.5</v>
      </c>
      <c r="N254" s="1335" t="s">
        <v>3625</v>
      </c>
      <c r="O254" s="1336" t="s">
        <v>687</v>
      </c>
      <c r="P254" s="1324">
        <v>6172.1</v>
      </c>
    </row>
    <row r="255" spans="1:16" ht="24">
      <c r="A255" s="1315" t="s">
        <v>3628</v>
      </c>
      <c r="B255" s="1316" t="s">
        <v>1869</v>
      </c>
      <c r="C255" s="1316" t="s">
        <v>504</v>
      </c>
      <c r="D255" s="1319" t="s">
        <v>1922</v>
      </c>
      <c r="E255" s="1318">
        <v>930</v>
      </c>
      <c r="F255" s="1122" t="s">
        <v>3713</v>
      </c>
      <c r="G255" s="1319" t="s">
        <v>3712</v>
      </c>
      <c r="H255" s="1319" t="s">
        <v>1922</v>
      </c>
      <c r="I255" s="1319" t="s">
        <v>3626</v>
      </c>
      <c r="J255" s="1326" t="s">
        <v>1922</v>
      </c>
      <c r="K255" s="1322" t="s">
        <v>3625</v>
      </c>
      <c r="L255" s="1323">
        <v>12</v>
      </c>
      <c r="M255" s="1324">
        <v>12900.5</v>
      </c>
      <c r="N255" s="1335" t="s">
        <v>3625</v>
      </c>
      <c r="O255" s="1336" t="s">
        <v>687</v>
      </c>
      <c r="P255" s="1324">
        <v>6172.1</v>
      </c>
    </row>
    <row r="256" spans="1:16">
      <c r="A256" s="1315" t="s">
        <v>3628</v>
      </c>
      <c r="B256" s="1316" t="s">
        <v>1869</v>
      </c>
      <c r="C256" s="1316" t="s">
        <v>504</v>
      </c>
      <c r="D256" s="1319" t="s">
        <v>1695</v>
      </c>
      <c r="E256" s="1318">
        <v>4400</v>
      </c>
      <c r="F256" s="1122" t="s">
        <v>3711</v>
      </c>
      <c r="G256" s="1319" t="s">
        <v>3710</v>
      </c>
      <c r="H256" s="1319" t="s">
        <v>1695</v>
      </c>
      <c r="I256" s="1319" t="s">
        <v>3633</v>
      </c>
      <c r="J256" s="1326" t="s">
        <v>1695</v>
      </c>
      <c r="K256" s="1322" t="s">
        <v>3625</v>
      </c>
      <c r="L256" s="1323">
        <v>12</v>
      </c>
      <c r="M256" s="1324">
        <v>54296.9</v>
      </c>
      <c r="N256" s="1335" t="s">
        <v>3625</v>
      </c>
      <c r="O256" s="1336" t="s">
        <v>687</v>
      </c>
      <c r="P256" s="1324">
        <v>27444.9</v>
      </c>
    </row>
    <row r="257" spans="1:16">
      <c r="A257" s="1315" t="s">
        <v>3628</v>
      </c>
      <c r="B257" s="1316" t="s">
        <v>1869</v>
      </c>
      <c r="C257" s="1316" t="s">
        <v>504</v>
      </c>
      <c r="D257" s="1319" t="s">
        <v>3658</v>
      </c>
      <c r="E257" s="1318">
        <v>1400</v>
      </c>
      <c r="F257" s="1122" t="s">
        <v>3709</v>
      </c>
      <c r="G257" s="1319" t="s">
        <v>3708</v>
      </c>
      <c r="H257" s="1319" t="s">
        <v>3658</v>
      </c>
      <c r="I257" s="1319" t="s">
        <v>3629</v>
      </c>
      <c r="J257" s="1326" t="s">
        <v>3658</v>
      </c>
      <c r="K257" s="1322" t="s">
        <v>3625</v>
      </c>
      <c r="L257" s="1323">
        <v>12</v>
      </c>
      <c r="M257" s="1324">
        <v>18296.900000000001</v>
      </c>
      <c r="N257" s="1335" t="s">
        <v>3625</v>
      </c>
      <c r="O257" s="1336" t="s">
        <v>687</v>
      </c>
      <c r="P257" s="1324">
        <v>9156</v>
      </c>
    </row>
    <row r="258" spans="1:16">
      <c r="A258" s="1315" t="s">
        <v>3628</v>
      </c>
      <c r="B258" s="1316" t="s">
        <v>1869</v>
      </c>
      <c r="C258" s="1316" t="s">
        <v>504</v>
      </c>
      <c r="D258" s="1319" t="s">
        <v>3658</v>
      </c>
      <c r="E258" s="1318">
        <v>1400</v>
      </c>
      <c r="F258" s="1122" t="s">
        <v>3707</v>
      </c>
      <c r="G258" s="1319" t="s">
        <v>3706</v>
      </c>
      <c r="H258" s="1319" t="s">
        <v>3658</v>
      </c>
      <c r="I258" s="1319" t="s">
        <v>3629</v>
      </c>
      <c r="J258" s="1326" t="s">
        <v>3658</v>
      </c>
      <c r="K258" s="1322" t="s">
        <v>3625</v>
      </c>
      <c r="L258" s="1323">
        <v>12</v>
      </c>
      <c r="M258" s="1324">
        <v>18296.900000000001</v>
      </c>
      <c r="N258" s="1335" t="s">
        <v>3625</v>
      </c>
      <c r="O258" s="1336" t="s">
        <v>687</v>
      </c>
      <c r="P258" s="1324">
        <v>9156</v>
      </c>
    </row>
    <row r="259" spans="1:16">
      <c r="A259" s="1315" t="s">
        <v>3628</v>
      </c>
      <c r="B259" s="1316" t="s">
        <v>1869</v>
      </c>
      <c r="C259" s="1316" t="s">
        <v>504</v>
      </c>
      <c r="D259" s="1319" t="s">
        <v>3658</v>
      </c>
      <c r="E259" s="1318">
        <v>1400</v>
      </c>
      <c r="F259" s="1122" t="s">
        <v>3705</v>
      </c>
      <c r="G259" s="1319" t="s">
        <v>3704</v>
      </c>
      <c r="H259" s="1319" t="s">
        <v>3658</v>
      </c>
      <c r="I259" s="1319" t="s">
        <v>3629</v>
      </c>
      <c r="J259" s="1326" t="s">
        <v>3658</v>
      </c>
      <c r="K259" s="1322" t="s">
        <v>3625</v>
      </c>
      <c r="L259" s="1323">
        <v>12</v>
      </c>
      <c r="M259" s="1324">
        <v>18296.900000000001</v>
      </c>
      <c r="N259" s="1335" t="s">
        <v>3625</v>
      </c>
      <c r="O259" s="1336" t="s">
        <v>687</v>
      </c>
      <c r="P259" s="1324">
        <v>9156</v>
      </c>
    </row>
    <row r="260" spans="1:16" ht="36">
      <c r="A260" s="1315" t="s">
        <v>3628</v>
      </c>
      <c r="B260" s="1316" t="s">
        <v>1869</v>
      </c>
      <c r="C260" s="1316" t="s">
        <v>504</v>
      </c>
      <c r="D260" s="1319" t="s">
        <v>3701</v>
      </c>
      <c r="E260" s="1318">
        <v>1400</v>
      </c>
      <c r="F260" s="1122" t="s">
        <v>3703</v>
      </c>
      <c r="G260" s="1319" t="s">
        <v>3702</v>
      </c>
      <c r="H260" s="1319" t="s">
        <v>3701</v>
      </c>
      <c r="I260" s="1319" t="s">
        <v>3629</v>
      </c>
      <c r="J260" s="1326" t="s">
        <v>3701</v>
      </c>
      <c r="K260" s="1322" t="s">
        <v>3625</v>
      </c>
      <c r="L260" s="1323">
        <v>12</v>
      </c>
      <c r="M260" s="1324">
        <v>18296.900000000001</v>
      </c>
      <c r="N260" s="1335" t="s">
        <v>3625</v>
      </c>
      <c r="O260" s="1336" t="s">
        <v>687</v>
      </c>
      <c r="P260" s="1324">
        <v>9156</v>
      </c>
    </row>
    <row r="261" spans="1:16" ht="24">
      <c r="A261" s="1315" t="s">
        <v>3628</v>
      </c>
      <c r="B261" s="1316" t="s">
        <v>1869</v>
      </c>
      <c r="C261" s="1316" t="s">
        <v>504</v>
      </c>
      <c r="D261" s="1319" t="s">
        <v>1922</v>
      </c>
      <c r="E261" s="1318">
        <v>930</v>
      </c>
      <c r="F261" s="1122" t="s">
        <v>3700</v>
      </c>
      <c r="G261" s="1319" t="s">
        <v>3699</v>
      </c>
      <c r="H261" s="1319" t="s">
        <v>1922</v>
      </c>
      <c r="I261" s="1319" t="s">
        <v>3626</v>
      </c>
      <c r="J261" s="1326" t="s">
        <v>1922</v>
      </c>
      <c r="K261" s="1322" t="s">
        <v>3625</v>
      </c>
      <c r="L261" s="1323">
        <v>12</v>
      </c>
      <c r="M261" s="1324">
        <v>12764.4</v>
      </c>
      <c r="N261" s="1335" t="s">
        <v>3625</v>
      </c>
      <c r="O261" s="1336" t="s">
        <v>687</v>
      </c>
      <c r="P261" s="1324">
        <v>6082.2</v>
      </c>
    </row>
    <row r="262" spans="1:16" ht="24">
      <c r="A262" s="1315" t="s">
        <v>3628</v>
      </c>
      <c r="B262" s="1316" t="s">
        <v>1869</v>
      </c>
      <c r="C262" s="1316" t="s">
        <v>504</v>
      </c>
      <c r="D262" s="1319" t="s">
        <v>1784</v>
      </c>
      <c r="E262" s="1318">
        <v>930</v>
      </c>
      <c r="F262" s="1122" t="s">
        <v>3698</v>
      </c>
      <c r="G262" s="1319" t="s">
        <v>3697</v>
      </c>
      <c r="H262" s="1319" t="s">
        <v>1784</v>
      </c>
      <c r="I262" s="1319" t="s">
        <v>3629</v>
      </c>
      <c r="J262" s="1326" t="s">
        <v>1784</v>
      </c>
      <c r="K262" s="1322" t="s">
        <v>3625</v>
      </c>
      <c r="L262" s="1323">
        <v>12</v>
      </c>
      <c r="M262" s="1324">
        <v>12764.4</v>
      </c>
      <c r="N262" s="1335" t="s">
        <v>3625</v>
      </c>
      <c r="O262" s="1336" t="s">
        <v>687</v>
      </c>
      <c r="P262" s="1324">
        <v>6082.2</v>
      </c>
    </row>
    <row r="263" spans="1:16">
      <c r="A263" s="1315" t="s">
        <v>3628</v>
      </c>
      <c r="B263" s="1316" t="s">
        <v>1869</v>
      </c>
      <c r="C263" s="1316" t="s">
        <v>504</v>
      </c>
      <c r="D263" s="1319" t="s">
        <v>2215</v>
      </c>
      <c r="E263" s="1318">
        <v>980</v>
      </c>
      <c r="F263" s="1122">
        <v>70081932</v>
      </c>
      <c r="G263" s="1319" t="s">
        <v>3696</v>
      </c>
      <c r="H263" s="1319" t="s">
        <v>2215</v>
      </c>
      <c r="I263" s="1319" t="s">
        <v>3626</v>
      </c>
      <c r="J263" s="1326" t="s">
        <v>2215</v>
      </c>
      <c r="K263" s="1322" t="s">
        <v>3625</v>
      </c>
      <c r="L263" s="1323">
        <v>12</v>
      </c>
      <c r="M263" s="1324">
        <v>13418.4</v>
      </c>
      <c r="N263" s="1335" t="s">
        <v>3625</v>
      </c>
      <c r="O263" s="1336" t="s">
        <v>687</v>
      </c>
      <c r="P263" s="1324">
        <v>6409.22</v>
      </c>
    </row>
    <row r="264" spans="1:16">
      <c r="A264" s="1315" t="s">
        <v>3628</v>
      </c>
      <c r="B264" s="1316" t="s">
        <v>1869</v>
      </c>
      <c r="C264" s="1316" t="s">
        <v>504</v>
      </c>
      <c r="D264" s="1319" t="s">
        <v>2161</v>
      </c>
      <c r="E264" s="1318">
        <v>1150</v>
      </c>
      <c r="F264" s="1122">
        <v>5335642</v>
      </c>
      <c r="G264" s="1319" t="s">
        <v>3695</v>
      </c>
      <c r="H264" s="1319" t="s">
        <v>2161</v>
      </c>
      <c r="I264" s="1319" t="s">
        <v>3626</v>
      </c>
      <c r="J264" s="1326" t="s">
        <v>2161</v>
      </c>
      <c r="K264" s="1322" t="s">
        <v>3625</v>
      </c>
      <c r="L264" s="1323">
        <v>12</v>
      </c>
      <c r="M264" s="1324">
        <v>15642</v>
      </c>
      <c r="N264" s="1335" t="s">
        <v>3625</v>
      </c>
      <c r="O264" s="1336" t="s">
        <v>687</v>
      </c>
      <c r="P264" s="1324">
        <v>7521</v>
      </c>
    </row>
    <row r="265" spans="1:16" ht="24">
      <c r="A265" s="1315" t="s">
        <v>3628</v>
      </c>
      <c r="B265" s="1316" t="s">
        <v>1869</v>
      </c>
      <c r="C265" s="1316" t="s">
        <v>504</v>
      </c>
      <c r="D265" s="1319" t="s">
        <v>3693</v>
      </c>
      <c r="E265" s="1318">
        <v>1500</v>
      </c>
      <c r="F265" s="1122">
        <v>75686923</v>
      </c>
      <c r="G265" s="1319" t="s">
        <v>3694</v>
      </c>
      <c r="H265" s="1319" t="s">
        <v>3693</v>
      </c>
      <c r="I265" s="1319" t="s">
        <v>3626</v>
      </c>
      <c r="J265" s="1326" t="s">
        <v>3693</v>
      </c>
      <c r="K265" s="1322" t="s">
        <v>3625</v>
      </c>
      <c r="L265" s="1323">
        <v>12</v>
      </c>
      <c r="M265" s="1324">
        <v>19960.8</v>
      </c>
      <c r="N265" s="1335" t="s">
        <v>3625</v>
      </c>
      <c r="O265" s="1336" t="s">
        <v>687</v>
      </c>
      <c r="P265" s="1324">
        <v>9810</v>
      </c>
    </row>
    <row r="266" spans="1:16">
      <c r="A266" s="1315" t="s">
        <v>3628</v>
      </c>
      <c r="B266" s="1316" t="s">
        <v>1869</v>
      </c>
      <c r="C266" s="1316" t="s">
        <v>504</v>
      </c>
      <c r="D266" s="1319" t="s">
        <v>3691</v>
      </c>
      <c r="E266" s="1318">
        <v>1500</v>
      </c>
      <c r="F266" s="1122">
        <v>46003765</v>
      </c>
      <c r="G266" s="1319" t="s">
        <v>3692</v>
      </c>
      <c r="H266" s="1319" t="s">
        <v>3691</v>
      </c>
      <c r="I266" s="1319" t="s">
        <v>3629</v>
      </c>
      <c r="J266" s="1326" t="s">
        <v>3691</v>
      </c>
      <c r="K266" s="1322" t="s">
        <v>3625</v>
      </c>
      <c r="L266" s="1323">
        <v>12</v>
      </c>
      <c r="M266" s="1324">
        <v>19960.8</v>
      </c>
      <c r="N266" s="1335" t="s">
        <v>3625</v>
      </c>
      <c r="O266" s="1336" t="s">
        <v>687</v>
      </c>
      <c r="P266" s="1324">
        <v>9810</v>
      </c>
    </row>
    <row r="267" spans="1:16">
      <c r="A267" s="1315" t="s">
        <v>3628</v>
      </c>
      <c r="B267" s="1316" t="s">
        <v>1869</v>
      </c>
      <c r="C267" s="1316" t="s">
        <v>504</v>
      </c>
      <c r="D267" s="1319" t="s">
        <v>3689</v>
      </c>
      <c r="E267" s="1318">
        <v>1500</v>
      </c>
      <c r="F267" s="1122">
        <v>47047586</v>
      </c>
      <c r="G267" s="1319" t="s">
        <v>3690</v>
      </c>
      <c r="H267" s="1319" t="s">
        <v>3689</v>
      </c>
      <c r="I267" s="1319" t="s">
        <v>3629</v>
      </c>
      <c r="J267" s="1326" t="s">
        <v>3689</v>
      </c>
      <c r="K267" s="1322" t="s">
        <v>3625</v>
      </c>
      <c r="L267" s="1323">
        <v>12</v>
      </c>
      <c r="M267" s="1324">
        <v>19960.8</v>
      </c>
      <c r="N267" s="1335" t="s">
        <v>3625</v>
      </c>
      <c r="O267" s="1336" t="s">
        <v>687</v>
      </c>
      <c r="P267" s="1324">
        <v>9810</v>
      </c>
    </row>
    <row r="268" spans="1:16">
      <c r="A268" s="1315" t="s">
        <v>3628</v>
      </c>
      <c r="B268" s="1316" t="s">
        <v>1869</v>
      </c>
      <c r="C268" s="1316" t="s">
        <v>504</v>
      </c>
      <c r="D268" s="1319" t="s">
        <v>2161</v>
      </c>
      <c r="E268" s="1318">
        <v>1100</v>
      </c>
      <c r="F268" s="1122">
        <v>45008494</v>
      </c>
      <c r="G268" s="1319" t="s">
        <v>3688</v>
      </c>
      <c r="H268" s="1319" t="s">
        <v>2161</v>
      </c>
      <c r="I268" s="1319" t="s">
        <v>3626</v>
      </c>
      <c r="J268" s="1326" t="s">
        <v>2161</v>
      </c>
      <c r="K268" s="1322" t="s">
        <v>3625</v>
      </c>
      <c r="L268" s="1323">
        <v>12</v>
      </c>
      <c r="M268" s="1324">
        <v>15042</v>
      </c>
      <c r="N268" s="1335" t="s">
        <v>3625</v>
      </c>
      <c r="O268" s="1336" t="s">
        <v>687</v>
      </c>
      <c r="P268" s="1324">
        <v>7194</v>
      </c>
    </row>
    <row r="269" spans="1:16">
      <c r="A269" s="1315" t="s">
        <v>3628</v>
      </c>
      <c r="B269" s="1316" t="s">
        <v>1869</v>
      </c>
      <c r="C269" s="1316" t="s">
        <v>504</v>
      </c>
      <c r="D269" s="1319" t="s">
        <v>3686</v>
      </c>
      <c r="E269" s="1318">
        <v>1100</v>
      </c>
      <c r="F269" s="1122">
        <v>72744768</v>
      </c>
      <c r="G269" s="1319" t="s">
        <v>3687</v>
      </c>
      <c r="H269" s="1319" t="s">
        <v>3686</v>
      </c>
      <c r="I269" s="1319" t="s">
        <v>3629</v>
      </c>
      <c r="J269" s="1326" t="s">
        <v>3686</v>
      </c>
      <c r="K269" s="1322" t="s">
        <v>3625</v>
      </c>
      <c r="L269" s="1323">
        <v>12</v>
      </c>
      <c r="M269" s="1324">
        <v>14988</v>
      </c>
      <c r="N269" s="1335" t="s">
        <v>3625</v>
      </c>
      <c r="O269" s="1336" t="s">
        <v>687</v>
      </c>
      <c r="P269" s="1324">
        <v>7194</v>
      </c>
    </row>
    <row r="270" spans="1:16" ht="24">
      <c r="A270" s="1315" t="s">
        <v>3628</v>
      </c>
      <c r="B270" s="1316" t="s">
        <v>1869</v>
      </c>
      <c r="C270" s="1316" t="s">
        <v>504</v>
      </c>
      <c r="D270" s="1319" t="s">
        <v>1922</v>
      </c>
      <c r="E270" s="1318">
        <v>1100</v>
      </c>
      <c r="F270" s="1122">
        <v>70564501</v>
      </c>
      <c r="G270" s="1319" t="s">
        <v>3685</v>
      </c>
      <c r="H270" s="1319" t="s">
        <v>1922</v>
      </c>
      <c r="I270" s="1319" t="s">
        <v>3626</v>
      </c>
      <c r="J270" s="1326" t="s">
        <v>1922</v>
      </c>
      <c r="K270" s="1322" t="s">
        <v>3625</v>
      </c>
      <c r="L270" s="1323">
        <v>12</v>
      </c>
      <c r="M270" s="1324">
        <v>14988</v>
      </c>
      <c r="N270" s="1335" t="s">
        <v>3625</v>
      </c>
      <c r="O270" s="1336" t="s">
        <v>687</v>
      </c>
      <c r="P270" s="1324">
        <v>7194</v>
      </c>
    </row>
    <row r="271" spans="1:16" ht="24">
      <c r="A271" s="1315" t="s">
        <v>3628</v>
      </c>
      <c r="B271" s="1316" t="s">
        <v>1869</v>
      </c>
      <c r="C271" s="1316" t="s">
        <v>504</v>
      </c>
      <c r="D271" s="1319" t="s">
        <v>1922</v>
      </c>
      <c r="E271" s="1318">
        <v>1100</v>
      </c>
      <c r="F271" s="1122">
        <v>46524059</v>
      </c>
      <c r="G271" s="1319" t="s">
        <v>3684</v>
      </c>
      <c r="H271" s="1319" t="s">
        <v>1922</v>
      </c>
      <c r="I271" s="1319" t="s">
        <v>3626</v>
      </c>
      <c r="J271" s="1326" t="s">
        <v>1922</v>
      </c>
      <c r="K271" s="1322" t="s">
        <v>3625</v>
      </c>
      <c r="L271" s="1323">
        <v>12</v>
      </c>
      <c r="M271" s="1324">
        <v>14988</v>
      </c>
      <c r="N271" s="1335" t="s">
        <v>3625</v>
      </c>
      <c r="O271" s="1336" t="s">
        <v>687</v>
      </c>
      <c r="P271" s="1324">
        <v>7194</v>
      </c>
    </row>
    <row r="272" spans="1:16" ht="24">
      <c r="A272" s="1315" t="s">
        <v>3628</v>
      </c>
      <c r="B272" s="1316" t="s">
        <v>1869</v>
      </c>
      <c r="C272" s="1316" t="s">
        <v>504</v>
      </c>
      <c r="D272" s="1319" t="s">
        <v>1922</v>
      </c>
      <c r="E272" s="1318">
        <v>1100</v>
      </c>
      <c r="F272" s="1122">
        <v>72490984</v>
      </c>
      <c r="G272" s="1319" t="s">
        <v>3683</v>
      </c>
      <c r="H272" s="1319" t="s">
        <v>1922</v>
      </c>
      <c r="I272" s="1319" t="s">
        <v>3626</v>
      </c>
      <c r="J272" s="1326" t="s">
        <v>1922</v>
      </c>
      <c r="K272" s="1322" t="s">
        <v>3625</v>
      </c>
      <c r="L272" s="1323">
        <v>12</v>
      </c>
      <c r="M272" s="1324">
        <v>14988</v>
      </c>
      <c r="N272" s="1335" t="s">
        <v>3625</v>
      </c>
      <c r="O272" s="1336" t="s">
        <v>687</v>
      </c>
      <c r="P272" s="1324">
        <v>7194</v>
      </c>
    </row>
    <row r="273" spans="1:16" ht="24">
      <c r="A273" s="1315" t="s">
        <v>3628</v>
      </c>
      <c r="B273" s="1316" t="s">
        <v>1869</v>
      </c>
      <c r="C273" s="1316" t="s">
        <v>504</v>
      </c>
      <c r="D273" s="1319" t="s">
        <v>1922</v>
      </c>
      <c r="E273" s="1318">
        <v>1100</v>
      </c>
      <c r="F273" s="1122">
        <v>44745597</v>
      </c>
      <c r="G273" s="1319" t="s">
        <v>3682</v>
      </c>
      <c r="H273" s="1319" t="s">
        <v>1922</v>
      </c>
      <c r="I273" s="1319" t="s">
        <v>3626</v>
      </c>
      <c r="J273" s="1326" t="s">
        <v>1922</v>
      </c>
      <c r="K273" s="1322" t="s">
        <v>3625</v>
      </c>
      <c r="L273" s="1323">
        <v>12</v>
      </c>
      <c r="M273" s="1324">
        <v>14988</v>
      </c>
      <c r="N273" s="1335" t="s">
        <v>3625</v>
      </c>
      <c r="O273" s="1336" t="s">
        <v>687</v>
      </c>
      <c r="P273" s="1324">
        <v>7194</v>
      </c>
    </row>
    <row r="274" spans="1:16" ht="24">
      <c r="A274" s="1315" t="s">
        <v>3628</v>
      </c>
      <c r="B274" s="1316" t="s">
        <v>1869</v>
      </c>
      <c r="C274" s="1316" t="s">
        <v>504</v>
      </c>
      <c r="D274" s="1319" t="s">
        <v>1922</v>
      </c>
      <c r="E274" s="1318">
        <v>1100</v>
      </c>
      <c r="F274" s="1122">
        <v>74568948</v>
      </c>
      <c r="G274" s="1319" t="s">
        <v>3681</v>
      </c>
      <c r="H274" s="1319" t="s">
        <v>1922</v>
      </c>
      <c r="I274" s="1319" t="s">
        <v>3626</v>
      </c>
      <c r="J274" s="1326" t="s">
        <v>1922</v>
      </c>
      <c r="K274" s="1322" t="s">
        <v>3625</v>
      </c>
      <c r="L274" s="1323">
        <v>12</v>
      </c>
      <c r="M274" s="1324">
        <v>14988</v>
      </c>
      <c r="N274" s="1335" t="s">
        <v>3625</v>
      </c>
      <c r="O274" s="1336" t="s">
        <v>687</v>
      </c>
      <c r="P274" s="1324">
        <v>7194</v>
      </c>
    </row>
    <row r="275" spans="1:16" ht="24">
      <c r="A275" s="1315" t="s">
        <v>3628</v>
      </c>
      <c r="B275" s="1316" t="s">
        <v>1869</v>
      </c>
      <c r="C275" s="1316" t="s">
        <v>504</v>
      </c>
      <c r="D275" s="1319" t="s">
        <v>1922</v>
      </c>
      <c r="E275" s="1318">
        <v>1100</v>
      </c>
      <c r="F275" s="1122" t="s">
        <v>3680</v>
      </c>
      <c r="G275" s="1319" t="s">
        <v>3679</v>
      </c>
      <c r="H275" s="1319" t="s">
        <v>1922</v>
      </c>
      <c r="I275" s="1319" t="s">
        <v>3626</v>
      </c>
      <c r="J275" s="1326" t="s">
        <v>1922</v>
      </c>
      <c r="K275" s="1322" t="s">
        <v>3625</v>
      </c>
      <c r="L275" s="1323">
        <v>12</v>
      </c>
      <c r="M275" s="1324">
        <v>14988</v>
      </c>
      <c r="N275" s="1335" t="s">
        <v>3625</v>
      </c>
      <c r="O275" s="1336" t="s">
        <v>687</v>
      </c>
      <c r="P275" s="1324">
        <v>7194</v>
      </c>
    </row>
    <row r="276" spans="1:16" ht="24">
      <c r="A276" s="1315" t="s">
        <v>3628</v>
      </c>
      <c r="B276" s="1316" t="s">
        <v>1869</v>
      </c>
      <c r="C276" s="1316" t="s">
        <v>504</v>
      </c>
      <c r="D276" s="1319" t="s">
        <v>1922</v>
      </c>
      <c r="E276" s="1318">
        <v>1100</v>
      </c>
      <c r="F276" s="1122">
        <v>77279148</v>
      </c>
      <c r="G276" s="1319" t="s">
        <v>3678</v>
      </c>
      <c r="H276" s="1319" t="s">
        <v>1922</v>
      </c>
      <c r="I276" s="1319" t="s">
        <v>3626</v>
      </c>
      <c r="J276" s="1326" t="s">
        <v>1922</v>
      </c>
      <c r="K276" s="1322" t="s">
        <v>3625</v>
      </c>
      <c r="L276" s="1323">
        <v>12</v>
      </c>
      <c r="M276" s="1324">
        <v>14988</v>
      </c>
      <c r="N276" s="1335" t="s">
        <v>3625</v>
      </c>
      <c r="O276" s="1336" t="s">
        <v>687</v>
      </c>
      <c r="P276" s="1324">
        <v>7194</v>
      </c>
    </row>
    <row r="277" spans="1:16" ht="24">
      <c r="A277" s="1315" t="s">
        <v>3628</v>
      </c>
      <c r="B277" s="1316" t="s">
        <v>1869</v>
      </c>
      <c r="C277" s="1316" t="s">
        <v>504</v>
      </c>
      <c r="D277" s="1319" t="s">
        <v>3676</v>
      </c>
      <c r="E277" s="1318">
        <v>1100</v>
      </c>
      <c r="F277" s="1122">
        <v>48077057</v>
      </c>
      <c r="G277" s="1319" t="s">
        <v>3677</v>
      </c>
      <c r="H277" s="1319" t="s">
        <v>3676</v>
      </c>
      <c r="I277" s="1319" t="s">
        <v>3629</v>
      </c>
      <c r="J277" s="1326" t="s">
        <v>3676</v>
      </c>
      <c r="K277" s="1322" t="s">
        <v>3625</v>
      </c>
      <c r="L277" s="1323">
        <v>12</v>
      </c>
      <c r="M277" s="1324">
        <v>14988</v>
      </c>
      <c r="N277" s="1335" t="s">
        <v>3625</v>
      </c>
      <c r="O277" s="1336" t="s">
        <v>687</v>
      </c>
      <c r="P277" s="1324">
        <v>7194</v>
      </c>
    </row>
    <row r="278" spans="1:16">
      <c r="A278" s="1315" t="s">
        <v>3628</v>
      </c>
      <c r="B278" s="1316" t="s">
        <v>1869</v>
      </c>
      <c r="C278" s="1316" t="s">
        <v>504</v>
      </c>
      <c r="D278" s="1319" t="s">
        <v>2215</v>
      </c>
      <c r="E278" s="1318">
        <v>1100</v>
      </c>
      <c r="F278" s="1122">
        <v>48144087</v>
      </c>
      <c r="G278" s="1319" t="s">
        <v>3675</v>
      </c>
      <c r="H278" s="1319" t="s">
        <v>2215</v>
      </c>
      <c r="I278" s="1319" t="s">
        <v>3626</v>
      </c>
      <c r="J278" s="1326" t="s">
        <v>2215</v>
      </c>
      <c r="K278" s="1322" t="s">
        <v>3625</v>
      </c>
      <c r="L278" s="1323">
        <v>12</v>
      </c>
      <c r="M278" s="1324">
        <v>14988</v>
      </c>
      <c r="N278" s="1335" t="s">
        <v>3625</v>
      </c>
      <c r="O278" s="1336" t="s">
        <v>687</v>
      </c>
      <c r="P278" s="1324">
        <v>7194</v>
      </c>
    </row>
    <row r="279" spans="1:16" ht="24">
      <c r="A279" s="1315" t="s">
        <v>3628</v>
      </c>
      <c r="B279" s="1316" t="s">
        <v>1869</v>
      </c>
      <c r="C279" s="1316" t="s">
        <v>504</v>
      </c>
      <c r="D279" s="1319" t="s">
        <v>2215</v>
      </c>
      <c r="E279" s="1318">
        <v>1100</v>
      </c>
      <c r="F279" s="1122" t="s">
        <v>3674</v>
      </c>
      <c r="G279" s="1319" t="s">
        <v>3673</v>
      </c>
      <c r="H279" s="1319" t="s">
        <v>2215</v>
      </c>
      <c r="I279" s="1319" t="s">
        <v>3626</v>
      </c>
      <c r="J279" s="1326" t="s">
        <v>2215</v>
      </c>
      <c r="K279" s="1322" t="s">
        <v>3625</v>
      </c>
      <c r="L279" s="1323">
        <v>12</v>
      </c>
      <c r="M279" s="1324">
        <v>14988</v>
      </c>
      <c r="N279" s="1335" t="s">
        <v>3625</v>
      </c>
      <c r="O279" s="1336" t="s">
        <v>687</v>
      </c>
      <c r="P279" s="1324">
        <v>7194</v>
      </c>
    </row>
    <row r="280" spans="1:16" ht="24">
      <c r="A280" s="1315" t="s">
        <v>3628</v>
      </c>
      <c r="B280" s="1316" t="s">
        <v>1869</v>
      </c>
      <c r="C280" s="1316" t="s">
        <v>504</v>
      </c>
      <c r="D280" s="1319" t="s">
        <v>1784</v>
      </c>
      <c r="E280" s="1318">
        <v>1500</v>
      </c>
      <c r="F280" s="1122" t="s">
        <v>3672</v>
      </c>
      <c r="G280" s="1319" t="s">
        <v>3671</v>
      </c>
      <c r="H280" s="1319" t="s">
        <v>1784</v>
      </c>
      <c r="I280" s="1319" t="s">
        <v>3629</v>
      </c>
      <c r="J280" s="1326" t="s">
        <v>1784</v>
      </c>
      <c r="K280" s="1322" t="s">
        <v>3625</v>
      </c>
      <c r="L280" s="1323">
        <v>12</v>
      </c>
      <c r="M280" s="1324">
        <v>19960.8</v>
      </c>
      <c r="N280" s="1335" t="s">
        <v>3625</v>
      </c>
      <c r="O280" s="1336" t="s">
        <v>687</v>
      </c>
      <c r="P280" s="1324">
        <v>9810</v>
      </c>
    </row>
    <row r="281" spans="1:16">
      <c r="A281" s="1315" t="s">
        <v>3628</v>
      </c>
      <c r="B281" s="1316" t="s">
        <v>1869</v>
      </c>
      <c r="C281" s="1316" t="s">
        <v>504</v>
      </c>
      <c r="D281" s="1319" t="s">
        <v>622</v>
      </c>
      <c r="E281" s="1318">
        <v>1500</v>
      </c>
      <c r="F281" s="1122" t="s">
        <v>3670</v>
      </c>
      <c r="G281" s="1319" t="s">
        <v>3669</v>
      </c>
      <c r="H281" s="1319" t="s">
        <v>622</v>
      </c>
      <c r="I281" s="1319" t="s">
        <v>3629</v>
      </c>
      <c r="J281" s="1326" t="s">
        <v>622</v>
      </c>
      <c r="K281" s="1322" t="s">
        <v>3625</v>
      </c>
      <c r="L281" s="1323">
        <v>12</v>
      </c>
      <c r="M281" s="1324">
        <v>19960.8</v>
      </c>
      <c r="N281" s="1335" t="s">
        <v>3625</v>
      </c>
      <c r="O281" s="1336" t="s">
        <v>687</v>
      </c>
      <c r="P281" s="1324">
        <v>9810</v>
      </c>
    </row>
    <row r="282" spans="1:16">
      <c r="A282" s="1315" t="s">
        <v>3628</v>
      </c>
      <c r="B282" s="1316" t="s">
        <v>1869</v>
      </c>
      <c r="C282" s="1316" t="s">
        <v>504</v>
      </c>
      <c r="D282" s="1319" t="s">
        <v>2215</v>
      </c>
      <c r="E282" s="1318">
        <v>1300</v>
      </c>
      <c r="F282" s="1122" t="s">
        <v>3668</v>
      </c>
      <c r="G282" s="1319" t="s">
        <v>3667</v>
      </c>
      <c r="H282" s="1319" t="s">
        <v>2215</v>
      </c>
      <c r="I282" s="1319" t="s">
        <v>3626</v>
      </c>
      <c r="J282" s="1326" t="s">
        <v>2215</v>
      </c>
      <c r="K282" s="1322" t="s">
        <v>3625</v>
      </c>
      <c r="L282" s="1323">
        <v>12</v>
      </c>
      <c r="M282" s="1324">
        <v>17560.8</v>
      </c>
      <c r="N282" s="1335" t="s">
        <v>3625</v>
      </c>
      <c r="O282" s="1336" t="s">
        <v>687</v>
      </c>
      <c r="P282" s="1324">
        <v>8502</v>
      </c>
    </row>
    <row r="283" spans="1:16" ht="24">
      <c r="A283" s="1315" t="s">
        <v>3628</v>
      </c>
      <c r="B283" s="1316" t="s">
        <v>1869</v>
      </c>
      <c r="C283" s="1316" t="s">
        <v>504</v>
      </c>
      <c r="D283" s="1319" t="s">
        <v>1922</v>
      </c>
      <c r="E283" s="1318">
        <v>1500</v>
      </c>
      <c r="F283" s="1122" t="s">
        <v>3666</v>
      </c>
      <c r="G283" s="1319" t="s">
        <v>3665</v>
      </c>
      <c r="H283" s="1319" t="s">
        <v>1922</v>
      </c>
      <c r="I283" s="1319" t="s">
        <v>3626</v>
      </c>
      <c r="J283" s="1326" t="s">
        <v>1922</v>
      </c>
      <c r="K283" s="1322" t="s">
        <v>3625</v>
      </c>
      <c r="L283" s="1323">
        <v>12</v>
      </c>
      <c r="M283" s="1324">
        <v>19960.8</v>
      </c>
      <c r="N283" s="1335" t="s">
        <v>3625</v>
      </c>
      <c r="O283" s="1336" t="s">
        <v>687</v>
      </c>
      <c r="P283" s="1324">
        <v>9810</v>
      </c>
    </row>
    <row r="284" spans="1:16">
      <c r="A284" s="1315" t="s">
        <v>3628</v>
      </c>
      <c r="B284" s="1316" t="s">
        <v>1869</v>
      </c>
      <c r="C284" s="1316" t="s">
        <v>504</v>
      </c>
      <c r="D284" s="1319" t="s">
        <v>3658</v>
      </c>
      <c r="E284" s="1318">
        <v>1500</v>
      </c>
      <c r="F284" s="1122" t="s">
        <v>3664</v>
      </c>
      <c r="G284" s="1319" t="s">
        <v>3663</v>
      </c>
      <c r="H284" s="1319" t="s">
        <v>3658</v>
      </c>
      <c r="I284" s="1319" t="s">
        <v>3629</v>
      </c>
      <c r="J284" s="1326" t="s">
        <v>3658</v>
      </c>
      <c r="K284" s="1322" t="s">
        <v>3625</v>
      </c>
      <c r="L284" s="1323">
        <v>12</v>
      </c>
      <c r="M284" s="1324">
        <v>19960.8</v>
      </c>
      <c r="N284" s="1335" t="s">
        <v>3625</v>
      </c>
      <c r="O284" s="1336" t="s">
        <v>687</v>
      </c>
      <c r="P284" s="1324">
        <v>9810</v>
      </c>
    </row>
    <row r="285" spans="1:16" ht="24">
      <c r="A285" s="1315" t="s">
        <v>3628</v>
      </c>
      <c r="B285" s="1316" t="s">
        <v>1869</v>
      </c>
      <c r="C285" s="1316" t="s">
        <v>504</v>
      </c>
      <c r="D285" s="1319" t="s">
        <v>1922</v>
      </c>
      <c r="E285" s="1318">
        <v>1500</v>
      </c>
      <c r="F285" s="1122" t="s">
        <v>3662</v>
      </c>
      <c r="G285" s="1319" t="s">
        <v>3661</v>
      </c>
      <c r="H285" s="1319" t="s">
        <v>1922</v>
      </c>
      <c r="I285" s="1319" t="s">
        <v>3626</v>
      </c>
      <c r="J285" s="1326" t="s">
        <v>1922</v>
      </c>
      <c r="K285" s="1322" t="s">
        <v>3625</v>
      </c>
      <c r="L285" s="1323">
        <v>12</v>
      </c>
      <c r="M285" s="1324">
        <v>19960.8</v>
      </c>
      <c r="N285" s="1335" t="s">
        <v>3625</v>
      </c>
      <c r="O285" s="1336" t="s">
        <v>687</v>
      </c>
      <c r="P285" s="1324">
        <v>9810</v>
      </c>
    </row>
    <row r="286" spans="1:16">
      <c r="A286" s="1315" t="s">
        <v>3628</v>
      </c>
      <c r="B286" s="1316" t="s">
        <v>1869</v>
      </c>
      <c r="C286" s="1316" t="s">
        <v>504</v>
      </c>
      <c r="D286" s="1319" t="s">
        <v>3658</v>
      </c>
      <c r="E286" s="1318">
        <v>1500</v>
      </c>
      <c r="F286" s="1122" t="s">
        <v>3660</v>
      </c>
      <c r="G286" s="1319" t="s">
        <v>3659</v>
      </c>
      <c r="H286" s="1319" t="s">
        <v>3658</v>
      </c>
      <c r="I286" s="1319" t="s">
        <v>3629</v>
      </c>
      <c r="J286" s="1326" t="s">
        <v>3658</v>
      </c>
      <c r="K286" s="1322" t="s">
        <v>3625</v>
      </c>
      <c r="L286" s="1323">
        <v>12</v>
      </c>
      <c r="M286" s="1324">
        <v>19960.8</v>
      </c>
      <c r="N286" s="1335" t="s">
        <v>3625</v>
      </c>
      <c r="O286" s="1336" t="s">
        <v>687</v>
      </c>
      <c r="P286" s="1324">
        <v>9810</v>
      </c>
    </row>
    <row r="287" spans="1:16" ht="24">
      <c r="A287" s="1315" t="s">
        <v>3628</v>
      </c>
      <c r="B287" s="1316" t="s">
        <v>1869</v>
      </c>
      <c r="C287" s="1316" t="s">
        <v>504</v>
      </c>
      <c r="D287" s="1319" t="s">
        <v>3655</v>
      </c>
      <c r="E287" s="1318">
        <v>1500</v>
      </c>
      <c r="F287" s="1122" t="s">
        <v>3657</v>
      </c>
      <c r="G287" s="1319" t="s">
        <v>3656</v>
      </c>
      <c r="H287" s="1319" t="s">
        <v>3655</v>
      </c>
      <c r="I287" s="1319" t="s">
        <v>3629</v>
      </c>
      <c r="J287" s="1326" t="s">
        <v>3655</v>
      </c>
      <c r="K287" s="1322" t="s">
        <v>3625</v>
      </c>
      <c r="L287" s="1323">
        <v>12</v>
      </c>
      <c r="M287" s="1324">
        <v>19960.8</v>
      </c>
      <c r="N287" s="1335" t="s">
        <v>3625</v>
      </c>
      <c r="O287" s="1336" t="s">
        <v>687</v>
      </c>
      <c r="P287" s="1324">
        <v>9810</v>
      </c>
    </row>
    <row r="288" spans="1:16">
      <c r="A288" s="1315" t="s">
        <v>3628</v>
      </c>
      <c r="B288" s="1316" t="s">
        <v>1869</v>
      </c>
      <c r="C288" s="1316" t="s">
        <v>504</v>
      </c>
      <c r="D288" s="1319" t="s">
        <v>2161</v>
      </c>
      <c r="E288" s="1318">
        <v>1500</v>
      </c>
      <c r="F288" s="1122" t="s">
        <v>3654</v>
      </c>
      <c r="G288" s="1319" t="s">
        <v>3653</v>
      </c>
      <c r="H288" s="1319" t="s">
        <v>2161</v>
      </c>
      <c r="I288" s="1319" t="s">
        <v>3626</v>
      </c>
      <c r="J288" s="1326" t="s">
        <v>2161</v>
      </c>
      <c r="K288" s="1322" t="s">
        <v>3625</v>
      </c>
      <c r="L288" s="1323">
        <v>12</v>
      </c>
      <c r="M288" s="1324">
        <v>19960.8</v>
      </c>
      <c r="N288" s="1335" t="s">
        <v>3625</v>
      </c>
      <c r="O288" s="1336" t="s">
        <v>687</v>
      </c>
      <c r="P288" s="1324">
        <v>9810</v>
      </c>
    </row>
    <row r="289" spans="1:16" ht="24">
      <c r="A289" s="1315" t="s">
        <v>3628</v>
      </c>
      <c r="B289" s="1316" t="s">
        <v>1869</v>
      </c>
      <c r="C289" s="1316" t="s">
        <v>504</v>
      </c>
      <c r="D289" s="1319" t="s">
        <v>1922</v>
      </c>
      <c r="E289" s="1318">
        <v>1500</v>
      </c>
      <c r="F289" s="1122" t="s">
        <v>3652</v>
      </c>
      <c r="G289" s="1319" t="s">
        <v>3651</v>
      </c>
      <c r="H289" s="1319" t="s">
        <v>1922</v>
      </c>
      <c r="I289" s="1319" t="s">
        <v>3626</v>
      </c>
      <c r="J289" s="1326" t="s">
        <v>1922</v>
      </c>
      <c r="K289" s="1322" t="s">
        <v>3625</v>
      </c>
      <c r="L289" s="1323">
        <v>12</v>
      </c>
      <c r="M289" s="1324">
        <v>19960.8</v>
      </c>
      <c r="N289" s="1335" t="s">
        <v>3625</v>
      </c>
      <c r="O289" s="1336" t="s">
        <v>687</v>
      </c>
      <c r="P289" s="1324">
        <v>9810</v>
      </c>
    </row>
    <row r="290" spans="1:16">
      <c r="A290" s="1315" t="s">
        <v>3628</v>
      </c>
      <c r="B290" s="1316" t="s">
        <v>1869</v>
      </c>
      <c r="C290" s="1316" t="s">
        <v>504</v>
      </c>
      <c r="D290" s="1319" t="s">
        <v>622</v>
      </c>
      <c r="E290" s="1318">
        <v>1500</v>
      </c>
      <c r="F290" s="1122" t="s">
        <v>3650</v>
      </c>
      <c r="G290" s="1319" t="s">
        <v>3649</v>
      </c>
      <c r="H290" s="1319" t="s">
        <v>622</v>
      </c>
      <c r="I290" s="1319" t="s">
        <v>3629</v>
      </c>
      <c r="J290" s="1326" t="s">
        <v>622</v>
      </c>
      <c r="K290" s="1322" t="s">
        <v>3625</v>
      </c>
      <c r="L290" s="1323">
        <v>12</v>
      </c>
      <c r="M290" s="1324">
        <v>19960.8</v>
      </c>
      <c r="N290" s="1335" t="s">
        <v>3625</v>
      </c>
      <c r="O290" s="1336" t="s">
        <v>687</v>
      </c>
      <c r="P290" s="1324">
        <v>9810</v>
      </c>
    </row>
    <row r="291" spans="1:16" ht="24">
      <c r="A291" s="1315" t="s">
        <v>3628</v>
      </c>
      <c r="B291" s="1316" t="s">
        <v>1869</v>
      </c>
      <c r="C291" s="1316" t="s">
        <v>504</v>
      </c>
      <c r="D291" s="1319" t="s">
        <v>1784</v>
      </c>
      <c r="E291" s="1318">
        <v>1500</v>
      </c>
      <c r="F291" s="1122" t="s">
        <v>3648</v>
      </c>
      <c r="G291" s="1319" t="s">
        <v>3647</v>
      </c>
      <c r="H291" s="1319" t="s">
        <v>1784</v>
      </c>
      <c r="I291" s="1319" t="s">
        <v>3629</v>
      </c>
      <c r="J291" s="1326" t="s">
        <v>1784</v>
      </c>
      <c r="K291" s="1322" t="s">
        <v>3625</v>
      </c>
      <c r="L291" s="1323">
        <v>12</v>
      </c>
      <c r="M291" s="1324">
        <v>19960.8</v>
      </c>
      <c r="N291" s="1335" t="s">
        <v>3625</v>
      </c>
      <c r="O291" s="1336" t="s">
        <v>687</v>
      </c>
      <c r="P291" s="1324">
        <v>9810</v>
      </c>
    </row>
    <row r="292" spans="1:16" ht="24">
      <c r="A292" s="1315" t="s">
        <v>3628</v>
      </c>
      <c r="B292" s="1316" t="s">
        <v>1869</v>
      </c>
      <c r="C292" s="1316" t="s">
        <v>504</v>
      </c>
      <c r="D292" s="1319" t="s">
        <v>1784</v>
      </c>
      <c r="E292" s="1318">
        <v>1500</v>
      </c>
      <c r="F292" s="1122" t="s">
        <v>3646</v>
      </c>
      <c r="G292" s="1319" t="s">
        <v>3645</v>
      </c>
      <c r="H292" s="1319" t="s">
        <v>1784</v>
      </c>
      <c r="I292" s="1319" t="s">
        <v>3629</v>
      </c>
      <c r="J292" s="1326" t="s">
        <v>1784</v>
      </c>
      <c r="K292" s="1322" t="s">
        <v>3625</v>
      </c>
      <c r="L292" s="1323">
        <v>12</v>
      </c>
      <c r="M292" s="1324">
        <v>19960.8</v>
      </c>
      <c r="N292" s="1335" t="s">
        <v>3625</v>
      </c>
      <c r="O292" s="1336" t="s">
        <v>687</v>
      </c>
      <c r="P292" s="1324">
        <v>9810</v>
      </c>
    </row>
    <row r="293" spans="1:16" ht="24">
      <c r="A293" s="1315" t="s">
        <v>3628</v>
      </c>
      <c r="B293" s="1316" t="s">
        <v>1869</v>
      </c>
      <c r="C293" s="1316" t="s">
        <v>504</v>
      </c>
      <c r="D293" s="1319" t="s">
        <v>1922</v>
      </c>
      <c r="E293" s="1318">
        <v>1500</v>
      </c>
      <c r="F293" s="1122" t="s">
        <v>3644</v>
      </c>
      <c r="G293" s="1319" t="s">
        <v>3643</v>
      </c>
      <c r="H293" s="1319" t="s">
        <v>1922</v>
      </c>
      <c r="I293" s="1319" t="s">
        <v>3626</v>
      </c>
      <c r="J293" s="1326" t="s">
        <v>1922</v>
      </c>
      <c r="K293" s="1322" t="s">
        <v>3625</v>
      </c>
      <c r="L293" s="1323">
        <v>12</v>
      </c>
      <c r="M293" s="1324">
        <v>19960.8</v>
      </c>
      <c r="N293" s="1335" t="s">
        <v>3625</v>
      </c>
      <c r="O293" s="1336" t="s">
        <v>687</v>
      </c>
      <c r="P293" s="1324">
        <v>9810</v>
      </c>
    </row>
    <row r="294" spans="1:16" ht="24">
      <c r="A294" s="1315" t="s">
        <v>3628</v>
      </c>
      <c r="B294" s="1316" t="s">
        <v>1869</v>
      </c>
      <c r="C294" s="1316" t="s">
        <v>504</v>
      </c>
      <c r="D294" s="1319" t="s">
        <v>1922</v>
      </c>
      <c r="E294" s="1318">
        <v>1300</v>
      </c>
      <c r="F294" s="1122" t="s">
        <v>3642</v>
      </c>
      <c r="G294" s="1319" t="s">
        <v>3641</v>
      </c>
      <c r="H294" s="1319" t="s">
        <v>1922</v>
      </c>
      <c r="I294" s="1319" t="s">
        <v>3626</v>
      </c>
      <c r="J294" s="1326" t="s">
        <v>1922</v>
      </c>
      <c r="K294" s="1322" t="s">
        <v>3625</v>
      </c>
      <c r="L294" s="1323">
        <v>12</v>
      </c>
      <c r="M294" s="1324">
        <v>17560.8</v>
      </c>
      <c r="N294" s="1335" t="s">
        <v>3625</v>
      </c>
      <c r="O294" s="1336" t="s">
        <v>687</v>
      </c>
      <c r="P294" s="1324">
        <v>8502</v>
      </c>
    </row>
    <row r="295" spans="1:16">
      <c r="A295" s="1315" t="s">
        <v>3628</v>
      </c>
      <c r="B295" s="1316" t="s">
        <v>1869</v>
      </c>
      <c r="C295" s="1316" t="s">
        <v>504</v>
      </c>
      <c r="D295" s="1319" t="s">
        <v>3632</v>
      </c>
      <c r="E295" s="1318">
        <v>7200</v>
      </c>
      <c r="F295" s="1122" t="s">
        <v>3640</v>
      </c>
      <c r="G295" s="1319" t="s">
        <v>3639</v>
      </c>
      <c r="H295" s="1319" t="s">
        <v>3632</v>
      </c>
      <c r="I295" s="1319" t="s">
        <v>3633</v>
      </c>
      <c r="J295" s="1326" t="s">
        <v>3632</v>
      </c>
      <c r="K295" s="1322" t="s">
        <v>3625</v>
      </c>
      <c r="L295" s="1323">
        <v>12</v>
      </c>
      <c r="M295" s="1324">
        <v>88165.8</v>
      </c>
      <c r="N295" s="1335" t="s">
        <v>3625</v>
      </c>
      <c r="O295" s="1336" t="s">
        <v>687</v>
      </c>
      <c r="P295" s="1324">
        <v>44244.9</v>
      </c>
    </row>
    <row r="296" spans="1:16" ht="24">
      <c r="A296" s="1315" t="s">
        <v>3628</v>
      </c>
      <c r="B296" s="1316" t="s">
        <v>1869</v>
      </c>
      <c r="C296" s="1316" t="s">
        <v>504</v>
      </c>
      <c r="D296" s="1319" t="s">
        <v>3636</v>
      </c>
      <c r="E296" s="1318">
        <v>1000</v>
      </c>
      <c r="F296" s="1122" t="s">
        <v>3638</v>
      </c>
      <c r="G296" s="1319" t="s">
        <v>3637</v>
      </c>
      <c r="H296" s="1319" t="s">
        <v>3636</v>
      </c>
      <c r="I296" s="1319" t="s">
        <v>3626</v>
      </c>
      <c r="J296" s="1326" t="s">
        <v>3636</v>
      </c>
      <c r="K296" s="1322" t="s">
        <v>3625</v>
      </c>
      <c r="L296" s="1323">
        <v>12</v>
      </c>
      <c r="M296" s="1324">
        <v>13680</v>
      </c>
      <c r="N296" s="1335" t="s">
        <v>3625</v>
      </c>
      <c r="O296" s="1336" t="s">
        <v>687</v>
      </c>
      <c r="P296" s="1324">
        <v>6540</v>
      </c>
    </row>
    <row r="297" spans="1:16">
      <c r="A297" s="1315" t="s">
        <v>3628</v>
      </c>
      <c r="B297" s="1316" t="s">
        <v>1869</v>
      </c>
      <c r="C297" s="1316" t="s">
        <v>504</v>
      </c>
      <c r="D297" s="1319" t="s">
        <v>3632</v>
      </c>
      <c r="E297" s="1318">
        <v>2898</v>
      </c>
      <c r="F297" s="1122" t="s">
        <v>3635</v>
      </c>
      <c r="G297" s="1319" t="s">
        <v>3634</v>
      </c>
      <c r="H297" s="1319" t="s">
        <v>3632</v>
      </c>
      <c r="I297" s="1319" t="s">
        <v>3633</v>
      </c>
      <c r="J297" s="1326" t="s">
        <v>3632</v>
      </c>
      <c r="K297" s="1322" t="s">
        <v>3625</v>
      </c>
      <c r="L297" s="1323">
        <v>12</v>
      </c>
      <c r="M297" s="1324">
        <v>36136.800000000003</v>
      </c>
      <c r="N297" s="1335" t="s">
        <v>3625</v>
      </c>
      <c r="O297" s="1336" t="s">
        <v>687</v>
      </c>
      <c r="P297" s="1324">
        <v>18432.900000000001</v>
      </c>
    </row>
    <row r="298" spans="1:16">
      <c r="A298" s="1315" t="s">
        <v>3628</v>
      </c>
      <c r="B298" s="1316" t="s">
        <v>1869</v>
      </c>
      <c r="C298" s="1316" t="s">
        <v>504</v>
      </c>
      <c r="D298" s="1319" t="s">
        <v>622</v>
      </c>
      <c r="E298" s="1318">
        <v>2248</v>
      </c>
      <c r="F298" s="1122" t="s">
        <v>3631</v>
      </c>
      <c r="G298" s="1319" t="s">
        <v>3630</v>
      </c>
      <c r="H298" s="1319" t="s">
        <v>622</v>
      </c>
      <c r="I298" s="1319" t="s">
        <v>3629</v>
      </c>
      <c r="J298" s="1326" t="s">
        <v>622</v>
      </c>
      <c r="K298" s="1322" t="s">
        <v>3625</v>
      </c>
      <c r="L298" s="1323">
        <v>12</v>
      </c>
      <c r="M298" s="1324">
        <v>28636.799999999999</v>
      </c>
      <c r="N298" s="1335" t="s">
        <v>3625</v>
      </c>
      <c r="O298" s="1336" t="s">
        <v>687</v>
      </c>
      <c r="P298" s="1324">
        <v>14532.9</v>
      </c>
    </row>
    <row r="299" spans="1:16" ht="12.75" thickBot="1">
      <c r="A299" s="1315" t="s">
        <v>3628</v>
      </c>
      <c r="B299" s="1316" t="s">
        <v>1869</v>
      </c>
      <c r="C299" s="1316" t="s">
        <v>504</v>
      </c>
      <c r="D299" s="1319" t="s">
        <v>2215</v>
      </c>
      <c r="E299" s="1318">
        <v>930</v>
      </c>
      <c r="F299" s="1122">
        <v>46455591</v>
      </c>
      <c r="G299" s="1319" t="s">
        <v>3627</v>
      </c>
      <c r="H299" s="1319" t="s">
        <v>2215</v>
      </c>
      <c r="I299" s="1319" t="s">
        <v>3626</v>
      </c>
      <c r="J299" s="1326" t="s">
        <v>2215</v>
      </c>
      <c r="K299" s="1322" t="s">
        <v>3625</v>
      </c>
      <c r="L299" s="1323">
        <v>12</v>
      </c>
      <c r="M299" s="1324">
        <v>12764.4</v>
      </c>
      <c r="N299" s="1337" t="s">
        <v>3625</v>
      </c>
      <c r="O299" s="1338" t="s">
        <v>687</v>
      </c>
      <c r="P299" s="1324">
        <v>6082.2</v>
      </c>
    </row>
    <row r="300" spans="1:16" ht="12.75" thickBot="1">
      <c r="A300" s="1209" t="s">
        <v>0</v>
      </c>
      <c r="B300" s="1230"/>
      <c r="C300" s="1230"/>
      <c r="D300" s="1207"/>
      <c r="E300" s="1211"/>
      <c r="F300" s="1230"/>
      <c r="G300" s="1207"/>
      <c r="H300" s="1207"/>
      <c r="I300" s="1210"/>
      <c r="J300" s="1231"/>
      <c r="K300" s="1212"/>
      <c r="L300" s="1213"/>
      <c r="M300" s="1339">
        <f>SUM(M7:M299)</f>
        <v>6604708.9999999991</v>
      </c>
      <c r="N300" s="1212"/>
      <c r="O300" s="1213"/>
      <c r="P300" s="1339">
        <f>SUM(P7:P299)</f>
        <v>3316386.9400000069</v>
      </c>
    </row>
    <row r="301" spans="1:16" ht="24">
      <c r="A301" s="277" t="s">
        <v>449</v>
      </c>
      <c r="B301" s="277"/>
      <c r="C301" s="277"/>
      <c r="D301" s="445"/>
      <c r="E301" s="445"/>
      <c r="F301" s="445"/>
      <c r="G301" s="445"/>
      <c r="H301" s="445"/>
      <c r="I301" s="445"/>
      <c r="J301" s="445"/>
      <c r="K301" s="1136"/>
      <c r="L301" s="1136"/>
      <c r="M301" s="445"/>
      <c r="N301" s="445"/>
      <c r="O301" s="445"/>
      <c r="P301" s="445"/>
    </row>
    <row r="302" spans="1:16">
      <c r="A302" s="277"/>
      <c r="B302" s="277"/>
      <c r="C302" s="277"/>
      <c r="D302" s="445"/>
      <c r="E302" s="445"/>
      <c r="F302" s="445"/>
      <c r="G302" s="445"/>
      <c r="H302" s="445"/>
      <c r="I302" s="445"/>
      <c r="J302" s="445"/>
      <c r="K302" s="1136"/>
      <c r="L302" s="1136"/>
      <c r="M302" s="445"/>
      <c r="N302" s="445"/>
      <c r="O302" s="445"/>
      <c r="P302" s="445"/>
    </row>
    <row r="303" spans="1:16">
      <c r="A303" s="277"/>
      <c r="B303" s="277"/>
      <c r="C303" s="277"/>
      <c r="D303" s="445"/>
      <c r="E303" s="445"/>
      <c r="F303" s="445"/>
      <c r="G303" s="445"/>
      <c r="H303" s="445"/>
      <c r="I303" s="445"/>
      <c r="J303" s="445"/>
      <c r="K303" s="1136"/>
      <c r="L303" s="1136"/>
      <c r="M303" s="445"/>
      <c r="N303" s="445"/>
      <c r="O303" s="445"/>
      <c r="P303" s="445"/>
    </row>
    <row r="304" spans="1:16">
      <c r="A304" s="277"/>
      <c r="B304" s="277"/>
      <c r="C304" s="277"/>
      <c r="D304" s="445"/>
      <c r="E304" s="445"/>
      <c r="F304" s="445"/>
      <c r="G304" s="445"/>
      <c r="H304" s="445"/>
      <c r="I304" s="445"/>
      <c r="J304" s="445"/>
      <c r="K304" s="1136"/>
      <c r="L304" s="1136"/>
      <c r="M304" s="445"/>
      <c r="N304" s="445"/>
      <c r="O304" s="445"/>
      <c r="P304" s="445"/>
    </row>
    <row r="305" spans="1:16">
      <c r="A305" s="277"/>
      <c r="B305" s="277"/>
      <c r="C305" s="277"/>
      <c r="D305" s="445"/>
      <c r="E305" s="445"/>
      <c r="F305" s="445"/>
      <c r="G305" s="445"/>
      <c r="H305" s="445"/>
      <c r="I305" s="445"/>
      <c r="J305" s="445"/>
      <c r="K305" s="1136"/>
      <c r="L305" s="1136"/>
      <c r="M305" s="445"/>
      <c r="N305" s="445"/>
      <c r="O305" s="445"/>
      <c r="P305" s="445"/>
    </row>
    <row r="306" spans="1:16">
      <c r="A306" s="277"/>
      <c r="B306" s="277"/>
      <c r="C306" s="277"/>
      <c r="D306" s="445"/>
      <c r="E306" s="445"/>
      <c r="F306" s="445"/>
      <c r="G306" s="445"/>
      <c r="H306" s="445"/>
      <c r="I306" s="445"/>
      <c r="J306" s="445"/>
      <c r="K306" s="1136"/>
      <c r="L306" s="1136"/>
      <c r="M306" s="445"/>
      <c r="N306" s="445"/>
      <c r="O306" s="445"/>
      <c r="P306" s="445"/>
    </row>
    <row r="307" spans="1:16">
      <c r="A307" s="277"/>
      <c r="B307" s="277"/>
      <c r="C307" s="277"/>
      <c r="D307" s="445"/>
      <c r="E307" s="445"/>
      <c r="F307" s="445"/>
      <c r="G307" s="445"/>
      <c r="H307" s="445"/>
      <c r="I307" s="445"/>
      <c r="J307" s="445"/>
      <c r="K307" s="1136"/>
      <c r="L307" s="1136"/>
      <c r="M307" s="445"/>
      <c r="N307" s="445"/>
      <c r="O307" s="445"/>
      <c r="P307" s="445"/>
    </row>
    <row r="308" spans="1:16">
      <c r="A308" s="277"/>
      <c r="B308" s="277"/>
      <c r="C308" s="277"/>
      <c r="D308" s="445"/>
      <c r="E308" s="445"/>
      <c r="F308" s="445"/>
      <c r="G308" s="445"/>
      <c r="H308" s="445"/>
      <c r="I308" s="445"/>
      <c r="J308" s="445"/>
      <c r="K308" s="1136"/>
      <c r="L308" s="1136"/>
      <c r="M308" s="445"/>
      <c r="N308" s="445"/>
      <c r="O308" s="445"/>
      <c r="P308" s="445"/>
    </row>
    <row r="309" spans="1:16">
      <c r="A309" s="277"/>
      <c r="B309" s="277"/>
      <c r="C309" s="277"/>
      <c r="D309" s="445"/>
      <c r="E309" s="445"/>
      <c r="F309" s="445"/>
      <c r="G309" s="445"/>
      <c r="H309" s="445"/>
      <c r="I309" s="445"/>
      <c r="J309" s="445"/>
      <c r="K309" s="1136"/>
      <c r="L309" s="1136"/>
      <c r="M309" s="445"/>
      <c r="N309" s="445"/>
      <c r="O309" s="445"/>
      <c r="P309" s="445"/>
    </row>
    <row r="310" spans="1:16">
      <c r="A310" s="277"/>
      <c r="B310" s="277"/>
      <c r="C310" s="277"/>
      <c r="D310" s="445"/>
      <c r="E310" s="445"/>
      <c r="F310" s="445"/>
      <c r="G310" s="445"/>
      <c r="H310" s="445"/>
      <c r="I310" s="445"/>
      <c r="J310" s="445"/>
      <c r="K310" s="1136"/>
      <c r="L310" s="1136"/>
      <c r="M310" s="445"/>
      <c r="N310" s="445"/>
      <c r="O310" s="445"/>
      <c r="P310" s="445"/>
    </row>
    <row r="311" spans="1:16">
      <c r="A311" s="277"/>
      <c r="B311" s="277"/>
      <c r="C311" s="277"/>
      <c r="D311" s="445"/>
      <c r="E311" s="445"/>
      <c r="F311" s="445"/>
      <c r="G311" s="445"/>
      <c r="H311" s="445"/>
      <c r="I311" s="445"/>
      <c r="J311" s="445"/>
      <c r="K311" s="1136"/>
      <c r="L311" s="1136"/>
      <c r="M311" s="445"/>
      <c r="N311" s="445"/>
      <c r="O311" s="445"/>
      <c r="P311" s="445"/>
    </row>
    <row r="312" spans="1:16">
      <c r="A312" s="277"/>
      <c r="B312" s="277"/>
      <c r="C312" s="277"/>
      <c r="D312" s="445"/>
      <c r="E312" s="445"/>
      <c r="F312" s="445"/>
      <c r="G312" s="445"/>
      <c r="H312" s="445"/>
      <c r="I312" s="445"/>
      <c r="J312" s="445"/>
      <c r="K312" s="1136"/>
      <c r="L312" s="1136"/>
      <c r="M312" s="445"/>
      <c r="N312" s="445"/>
      <c r="O312" s="445"/>
      <c r="P312" s="445"/>
    </row>
    <row r="313" spans="1:16">
      <c r="A313" s="277"/>
      <c r="B313" s="277"/>
      <c r="C313" s="277"/>
      <c r="D313" s="445"/>
      <c r="E313" s="445"/>
      <c r="F313" s="445"/>
      <c r="G313" s="445"/>
      <c r="H313" s="445"/>
      <c r="I313" s="445"/>
      <c r="J313" s="445"/>
      <c r="K313" s="1136"/>
      <c r="L313" s="1136"/>
      <c r="M313" s="445"/>
      <c r="N313" s="445"/>
      <c r="O313" s="445"/>
      <c r="P313" s="445"/>
    </row>
    <row r="314" spans="1:16">
      <c r="A314" s="277"/>
      <c r="B314" s="277"/>
      <c r="C314" s="277"/>
      <c r="D314" s="445"/>
      <c r="E314" s="445"/>
      <c r="F314" s="445"/>
      <c r="G314" s="445"/>
      <c r="H314" s="445"/>
      <c r="I314" s="445"/>
      <c r="J314" s="445"/>
      <c r="K314" s="1136"/>
      <c r="L314" s="1136"/>
      <c r="M314" s="445"/>
      <c r="N314" s="445"/>
      <c r="O314" s="445"/>
      <c r="P314" s="445"/>
    </row>
    <row r="315" spans="1:16">
      <c r="A315" s="277"/>
      <c r="B315" s="277"/>
      <c r="C315" s="277"/>
      <c r="D315" s="445"/>
      <c r="E315" s="445"/>
      <c r="F315" s="445"/>
      <c r="G315" s="445"/>
      <c r="H315" s="445"/>
      <c r="I315" s="445"/>
      <c r="J315" s="445"/>
      <c r="K315" s="1136"/>
      <c r="L315" s="1136"/>
      <c r="M315" s="445"/>
      <c r="N315" s="445"/>
      <c r="O315" s="445"/>
      <c r="P315" s="445"/>
    </row>
    <row r="316" spans="1:16">
      <c r="A316" s="277"/>
      <c r="B316" s="277"/>
      <c r="C316" s="277"/>
      <c r="D316" s="445"/>
      <c r="E316" s="445"/>
      <c r="F316" s="445"/>
      <c r="G316" s="445"/>
      <c r="H316" s="445"/>
      <c r="I316" s="445"/>
      <c r="J316" s="445"/>
      <c r="K316" s="1136"/>
      <c r="L316" s="1136"/>
      <c r="M316" s="445"/>
      <c r="N316" s="445"/>
      <c r="O316" s="445"/>
      <c r="P316" s="445"/>
    </row>
    <row r="317" spans="1:16">
      <c r="A317" s="277"/>
      <c r="B317" s="277"/>
      <c r="C317" s="277"/>
      <c r="D317" s="445"/>
      <c r="E317" s="445"/>
      <c r="F317" s="445"/>
      <c r="G317" s="445"/>
      <c r="H317" s="445"/>
      <c r="I317" s="445"/>
      <c r="J317" s="445"/>
      <c r="K317" s="1136"/>
      <c r="L317" s="1136"/>
      <c r="M317" s="445"/>
      <c r="N317" s="445"/>
      <c r="O317" s="445"/>
      <c r="P317" s="445"/>
    </row>
    <row r="318" spans="1:16">
      <c r="A318" s="277"/>
      <c r="B318" s="277"/>
      <c r="C318" s="277"/>
      <c r="D318" s="445"/>
      <c r="E318" s="445"/>
      <c r="F318" s="445"/>
      <c r="G318" s="445"/>
      <c r="H318" s="445"/>
      <c r="I318" s="445"/>
      <c r="J318" s="445"/>
      <c r="K318" s="1136"/>
      <c r="L318" s="1136"/>
      <c r="M318" s="445"/>
      <c r="N318" s="445"/>
      <c r="O318" s="445"/>
      <c r="P318" s="445"/>
    </row>
    <row r="319" spans="1:16">
      <c r="A319" s="277"/>
      <c r="B319" s="277"/>
      <c r="C319" s="277"/>
      <c r="D319" s="445"/>
      <c r="E319" s="445"/>
      <c r="F319" s="445"/>
      <c r="G319" s="445"/>
      <c r="H319" s="445"/>
      <c r="I319" s="445"/>
      <c r="J319" s="445"/>
      <c r="K319" s="1136"/>
      <c r="L319" s="1136"/>
      <c r="M319" s="445"/>
      <c r="N319" s="445"/>
      <c r="O319" s="445"/>
      <c r="P319" s="445"/>
    </row>
    <row r="320" spans="1:16">
      <c r="A320" s="277"/>
      <c r="B320" s="277"/>
      <c r="C320" s="277"/>
      <c r="D320" s="445"/>
      <c r="E320" s="445"/>
      <c r="F320" s="445"/>
      <c r="G320" s="445"/>
      <c r="H320" s="445"/>
      <c r="I320" s="445"/>
      <c r="J320" s="445"/>
      <c r="K320" s="1136"/>
      <c r="L320" s="1136"/>
      <c r="M320" s="445"/>
      <c r="N320" s="445"/>
      <c r="O320" s="445"/>
      <c r="P320" s="445"/>
    </row>
    <row r="321" spans="1:16">
      <c r="A321" s="277"/>
      <c r="B321" s="277"/>
      <c r="C321" s="277"/>
      <c r="D321" s="445"/>
      <c r="E321" s="445"/>
      <c r="F321" s="445"/>
      <c r="G321" s="445"/>
      <c r="H321" s="445"/>
      <c r="I321" s="445"/>
      <c r="J321" s="445"/>
      <c r="K321" s="1136"/>
      <c r="L321" s="1136"/>
      <c r="M321" s="445"/>
      <c r="N321" s="445"/>
      <c r="O321" s="445"/>
      <c r="P321" s="445"/>
    </row>
    <row r="322" spans="1:16">
      <c r="A322" s="277"/>
      <c r="B322" s="277"/>
      <c r="C322" s="277"/>
      <c r="D322" s="445"/>
      <c r="E322" s="445"/>
      <c r="F322" s="445"/>
      <c r="G322" s="445"/>
      <c r="H322" s="445"/>
      <c r="I322" s="445"/>
      <c r="J322" s="445"/>
      <c r="K322" s="1136"/>
      <c r="L322" s="1136"/>
      <c r="M322" s="445"/>
      <c r="N322" s="445"/>
      <c r="O322" s="445"/>
      <c r="P322" s="445"/>
    </row>
    <row r="323" spans="1:16">
      <c r="A323" s="277"/>
      <c r="B323" s="277"/>
      <c r="C323" s="277"/>
      <c r="D323" s="445"/>
      <c r="E323" s="445"/>
      <c r="F323" s="445"/>
      <c r="G323" s="445"/>
      <c r="H323" s="445"/>
      <c r="I323" s="445"/>
      <c r="J323" s="445"/>
      <c r="K323" s="1136"/>
      <c r="L323" s="1136"/>
      <c r="M323" s="445"/>
      <c r="N323" s="445"/>
      <c r="O323" s="445"/>
      <c r="P323" s="445"/>
    </row>
    <row r="324" spans="1:16">
      <c r="A324" s="277"/>
      <c r="B324" s="277"/>
      <c r="C324" s="277"/>
      <c r="D324" s="445"/>
      <c r="E324" s="445"/>
      <c r="F324" s="445"/>
      <c r="G324" s="445"/>
      <c r="H324" s="445"/>
      <c r="I324" s="445"/>
      <c r="J324" s="445"/>
      <c r="K324" s="1136"/>
      <c r="L324" s="1136"/>
      <c r="M324" s="445"/>
      <c r="N324" s="445"/>
      <c r="O324" s="445"/>
      <c r="P324" s="445"/>
    </row>
    <row r="325" spans="1:16">
      <c r="A325" s="277"/>
      <c r="B325" s="277"/>
      <c r="C325" s="277"/>
      <c r="D325" s="445"/>
      <c r="E325" s="445"/>
      <c r="F325" s="445"/>
      <c r="G325" s="445"/>
      <c r="H325" s="445"/>
      <c r="I325" s="445"/>
      <c r="J325" s="445"/>
      <c r="K325" s="1136"/>
      <c r="L325" s="1136"/>
      <c r="M325" s="445"/>
      <c r="N325" s="445"/>
      <c r="O325" s="445"/>
      <c r="P325" s="445"/>
    </row>
    <row r="326" spans="1:16">
      <c r="A326" s="277"/>
      <c r="B326" s="277"/>
      <c r="C326" s="277"/>
      <c r="D326" s="445"/>
      <c r="E326" s="445"/>
      <c r="F326" s="445"/>
      <c r="G326" s="445"/>
      <c r="H326" s="445"/>
      <c r="I326" s="445"/>
      <c r="J326" s="445"/>
      <c r="K326" s="1136"/>
      <c r="L326" s="1136"/>
      <c r="M326" s="445"/>
      <c r="N326" s="445"/>
      <c r="O326" s="445"/>
      <c r="P326" s="445"/>
    </row>
    <row r="327" spans="1:16">
      <c r="A327" s="277"/>
      <c r="B327" s="277"/>
      <c r="C327" s="277"/>
      <c r="D327" s="445"/>
      <c r="E327" s="445"/>
      <c r="F327" s="445"/>
      <c r="G327" s="445"/>
      <c r="H327" s="445"/>
      <c r="I327" s="445"/>
      <c r="J327" s="445"/>
      <c r="K327" s="1136"/>
      <c r="L327" s="1136"/>
      <c r="M327" s="445"/>
      <c r="N327" s="445"/>
      <c r="O327" s="445"/>
      <c r="P327" s="445"/>
    </row>
    <row r="328" spans="1:16">
      <c r="A328" s="277"/>
      <c r="B328" s="277"/>
      <c r="C328" s="277"/>
      <c r="D328" s="445"/>
      <c r="E328" s="445"/>
      <c r="F328" s="445"/>
      <c r="G328" s="445"/>
      <c r="H328" s="445"/>
      <c r="I328" s="445"/>
      <c r="J328" s="445"/>
      <c r="K328" s="1136"/>
      <c r="L328" s="1136"/>
      <c r="M328" s="445"/>
      <c r="N328" s="445"/>
      <c r="O328" s="445"/>
      <c r="P328" s="445"/>
    </row>
    <row r="329" spans="1:16">
      <c r="A329" s="277"/>
      <c r="B329" s="277"/>
      <c r="C329" s="277"/>
      <c r="D329" s="445"/>
      <c r="E329" s="445"/>
      <c r="F329" s="445"/>
      <c r="G329" s="445"/>
      <c r="H329" s="445"/>
      <c r="I329" s="445"/>
      <c r="J329" s="445"/>
      <c r="K329" s="1136"/>
      <c r="L329" s="1136"/>
      <c r="M329" s="445"/>
      <c r="N329" s="445"/>
      <c r="O329" s="445"/>
      <c r="P329" s="445"/>
    </row>
    <row r="330" spans="1:16">
      <c r="A330" s="277"/>
      <c r="B330" s="277"/>
      <c r="C330" s="277"/>
      <c r="D330" s="445"/>
      <c r="E330" s="445"/>
      <c r="F330" s="445"/>
      <c r="G330" s="445"/>
      <c r="H330" s="445"/>
      <c r="I330" s="445"/>
      <c r="J330" s="445"/>
      <c r="K330" s="1136"/>
      <c r="L330" s="1136"/>
      <c r="M330" s="445"/>
      <c r="N330" s="445"/>
      <c r="O330" s="445"/>
      <c r="P330" s="445"/>
    </row>
    <row r="331" spans="1:16">
      <c r="A331" s="277"/>
      <c r="B331" s="277"/>
      <c r="C331" s="277"/>
      <c r="D331" s="445"/>
      <c r="E331" s="445"/>
      <c r="F331" s="445"/>
      <c r="G331" s="445"/>
      <c r="H331" s="445"/>
      <c r="I331" s="445"/>
      <c r="J331" s="445"/>
      <c r="K331" s="1136"/>
      <c r="L331" s="1136"/>
      <c r="M331" s="445"/>
      <c r="N331" s="445"/>
      <c r="O331" s="445"/>
      <c r="P331" s="445"/>
    </row>
    <row r="332" spans="1:16">
      <c r="A332" s="277"/>
      <c r="B332" s="277"/>
      <c r="C332" s="277"/>
      <c r="D332" s="445"/>
      <c r="E332" s="445"/>
      <c r="F332" s="445"/>
      <c r="G332" s="445"/>
      <c r="H332" s="445"/>
      <c r="I332" s="445"/>
      <c r="J332" s="445"/>
      <c r="K332" s="1136"/>
      <c r="L332" s="1136"/>
      <c r="M332" s="445"/>
      <c r="N332" s="445"/>
      <c r="O332" s="445"/>
      <c r="P332" s="445"/>
    </row>
    <row r="333" spans="1:16">
      <c r="A333" s="277"/>
      <c r="B333" s="277"/>
      <c r="C333" s="277"/>
      <c r="D333" s="445"/>
      <c r="E333" s="445"/>
      <c r="F333" s="445"/>
      <c r="G333" s="445"/>
      <c r="H333" s="445"/>
      <c r="I333" s="445"/>
      <c r="J333" s="445"/>
      <c r="K333" s="1136"/>
      <c r="L333" s="1136"/>
      <c r="M333" s="445"/>
      <c r="N333" s="445"/>
      <c r="O333" s="445"/>
      <c r="P333" s="445"/>
    </row>
    <row r="334" spans="1:16">
      <c r="A334" s="277"/>
      <c r="B334" s="277"/>
      <c r="C334" s="277"/>
      <c r="D334" s="445"/>
      <c r="E334" s="445"/>
      <c r="F334" s="445"/>
      <c r="G334" s="445"/>
      <c r="H334" s="445"/>
      <c r="I334" s="445"/>
      <c r="J334" s="445"/>
      <c r="K334" s="1136"/>
      <c r="L334" s="1136"/>
      <c r="M334" s="445"/>
      <c r="N334" s="445"/>
      <c r="O334" s="445"/>
      <c r="P334" s="445"/>
    </row>
    <row r="335" spans="1:16">
      <c r="A335" s="277"/>
      <c r="B335" s="277"/>
      <c r="C335" s="277"/>
      <c r="D335" s="445"/>
      <c r="E335" s="445"/>
      <c r="F335" s="445"/>
      <c r="G335" s="445"/>
      <c r="H335" s="445"/>
      <c r="I335" s="445"/>
      <c r="J335" s="445"/>
      <c r="K335" s="1136"/>
      <c r="L335" s="1136"/>
      <c r="M335" s="445"/>
      <c r="N335" s="445"/>
      <c r="O335" s="445"/>
      <c r="P335" s="445"/>
    </row>
    <row r="336" spans="1:16">
      <c r="A336" s="277"/>
      <c r="B336" s="277"/>
      <c r="C336" s="277"/>
      <c r="D336" s="445"/>
      <c r="E336" s="445"/>
      <c r="F336" s="445"/>
      <c r="G336" s="445"/>
      <c r="H336" s="445"/>
      <c r="I336" s="445"/>
      <c r="J336" s="445"/>
      <c r="K336" s="1136"/>
      <c r="L336" s="1136"/>
      <c r="M336" s="445"/>
      <c r="N336" s="445"/>
      <c r="O336" s="445"/>
      <c r="P336" s="445"/>
    </row>
    <row r="337" spans="1:16">
      <c r="A337" s="277"/>
      <c r="B337" s="277"/>
      <c r="C337" s="277"/>
      <c r="D337" s="445"/>
      <c r="E337" s="445"/>
      <c r="F337" s="445"/>
      <c r="G337" s="445"/>
      <c r="H337" s="445"/>
      <c r="I337" s="445"/>
      <c r="J337" s="445"/>
      <c r="K337" s="1136"/>
      <c r="L337" s="1136"/>
      <c r="M337" s="445"/>
      <c r="N337" s="445"/>
      <c r="O337" s="445"/>
      <c r="P337" s="445"/>
    </row>
    <row r="338" spans="1:16">
      <c r="A338" s="277"/>
      <c r="B338" s="277"/>
      <c r="C338" s="277"/>
      <c r="D338" s="445"/>
      <c r="E338" s="445"/>
      <c r="F338" s="445"/>
      <c r="G338" s="445"/>
      <c r="H338" s="445"/>
      <c r="I338" s="445"/>
      <c r="J338" s="445"/>
      <c r="K338" s="1136"/>
      <c r="L338" s="1136"/>
      <c r="M338" s="445"/>
      <c r="N338" s="445"/>
      <c r="O338" s="445"/>
      <c r="P338" s="445"/>
    </row>
    <row r="339" spans="1:16">
      <c r="A339" s="277"/>
      <c r="B339" s="277"/>
      <c r="C339" s="277"/>
      <c r="D339" s="445"/>
      <c r="E339" s="445"/>
      <c r="F339" s="445"/>
      <c r="G339" s="445"/>
      <c r="H339" s="445"/>
      <c r="I339" s="445"/>
      <c r="J339" s="445"/>
      <c r="K339" s="1136"/>
      <c r="L339" s="1136"/>
      <c r="M339" s="445"/>
      <c r="N339" s="445"/>
      <c r="O339" s="445"/>
      <c r="P339" s="445"/>
    </row>
    <row r="340" spans="1:16">
      <c r="A340" s="277"/>
      <c r="B340" s="277"/>
      <c r="C340" s="277"/>
      <c r="D340" s="445"/>
      <c r="E340" s="445"/>
      <c r="F340" s="445"/>
      <c r="G340" s="445"/>
      <c r="H340" s="445"/>
      <c r="I340" s="445"/>
      <c r="J340" s="445"/>
      <c r="K340" s="1136"/>
      <c r="L340" s="1136"/>
      <c r="M340" s="445"/>
      <c r="N340" s="445"/>
      <c r="O340" s="445"/>
      <c r="P340" s="445"/>
    </row>
    <row r="341" spans="1:16">
      <c r="A341" s="277"/>
      <c r="B341" s="277"/>
      <c r="C341" s="277"/>
      <c r="D341" s="445"/>
      <c r="E341" s="445"/>
      <c r="F341" s="445"/>
      <c r="G341" s="445"/>
      <c r="H341" s="445"/>
      <c r="I341" s="445"/>
      <c r="J341" s="445"/>
      <c r="K341" s="1136"/>
      <c r="L341" s="1136"/>
      <c r="M341" s="445"/>
      <c r="N341" s="445"/>
      <c r="O341" s="445"/>
      <c r="P341" s="445"/>
    </row>
    <row r="342" spans="1:16">
      <c r="A342" s="277"/>
      <c r="B342" s="277"/>
      <c r="C342" s="277"/>
      <c r="D342" s="445"/>
      <c r="E342" s="445"/>
      <c r="F342" s="445"/>
      <c r="G342" s="445"/>
      <c r="H342" s="445"/>
      <c r="I342" s="445"/>
      <c r="J342" s="445"/>
      <c r="K342" s="1136"/>
      <c r="L342" s="1136"/>
      <c r="M342" s="445"/>
      <c r="N342" s="445"/>
      <c r="O342" s="445"/>
      <c r="P342" s="445"/>
    </row>
    <row r="343" spans="1:16">
      <c r="A343" s="277"/>
      <c r="B343" s="277"/>
      <c r="C343" s="277"/>
      <c r="D343" s="445"/>
      <c r="E343" s="445"/>
      <c r="F343" s="445"/>
      <c r="G343" s="445"/>
      <c r="H343" s="445"/>
      <c r="I343" s="445"/>
      <c r="J343" s="445"/>
      <c r="K343" s="1136"/>
      <c r="L343" s="1136"/>
      <c r="M343" s="445"/>
      <c r="N343" s="445"/>
      <c r="O343" s="445"/>
      <c r="P343" s="445"/>
    </row>
    <row r="344" spans="1:16">
      <c r="A344" s="277"/>
      <c r="B344" s="277"/>
      <c r="C344" s="277"/>
      <c r="D344" s="445"/>
      <c r="E344" s="445"/>
      <c r="F344" s="445"/>
      <c r="G344" s="445"/>
      <c r="H344" s="445"/>
      <c r="I344" s="445"/>
      <c r="J344" s="445"/>
      <c r="K344" s="1136"/>
      <c r="L344" s="1136"/>
      <c r="M344" s="445"/>
      <c r="N344" s="445"/>
      <c r="O344" s="445"/>
      <c r="P344" s="445"/>
    </row>
    <row r="345" spans="1:16">
      <c r="A345" s="277"/>
      <c r="B345" s="277"/>
      <c r="C345" s="277"/>
      <c r="D345" s="445"/>
      <c r="E345" s="445"/>
      <c r="F345" s="445"/>
      <c r="G345" s="445"/>
      <c r="H345" s="445"/>
      <c r="I345" s="445"/>
      <c r="J345" s="445"/>
      <c r="K345" s="1136"/>
      <c r="L345" s="1136"/>
      <c r="M345" s="445"/>
      <c r="N345" s="445"/>
      <c r="O345" s="445"/>
      <c r="P345" s="445"/>
    </row>
    <row r="346" spans="1:16">
      <c r="A346" s="277"/>
      <c r="B346" s="277"/>
      <c r="C346" s="277"/>
      <c r="D346" s="445"/>
      <c r="E346" s="445"/>
      <c r="F346" s="445"/>
      <c r="G346" s="445"/>
      <c r="H346" s="445"/>
      <c r="I346" s="445"/>
      <c r="J346" s="445"/>
      <c r="K346" s="1136"/>
      <c r="L346" s="1136"/>
      <c r="M346" s="445"/>
      <c r="N346" s="445"/>
      <c r="O346" s="445"/>
      <c r="P346" s="445"/>
    </row>
    <row r="347" spans="1:16">
      <c r="A347" s="277"/>
      <c r="B347" s="277"/>
      <c r="C347" s="277"/>
      <c r="D347" s="445"/>
      <c r="E347" s="445"/>
      <c r="F347" s="445"/>
      <c r="G347" s="445"/>
      <c r="H347" s="445"/>
      <c r="I347" s="445"/>
      <c r="J347" s="445"/>
      <c r="K347" s="1136"/>
      <c r="L347" s="1136"/>
      <c r="M347" s="445"/>
      <c r="N347" s="445"/>
      <c r="O347" s="445"/>
      <c r="P347" s="445"/>
    </row>
    <row r="348" spans="1:16">
      <c r="A348" s="277"/>
      <c r="B348" s="277"/>
      <c r="C348" s="277"/>
      <c r="D348" s="445"/>
      <c r="E348" s="445"/>
      <c r="F348" s="445"/>
      <c r="G348" s="445"/>
      <c r="H348" s="445"/>
      <c r="I348" s="445"/>
      <c r="J348" s="445"/>
      <c r="K348" s="1136"/>
      <c r="L348" s="1136"/>
      <c r="M348" s="445"/>
      <c r="N348" s="445"/>
      <c r="O348" s="445"/>
      <c r="P348" s="445"/>
    </row>
    <row r="349" spans="1:16">
      <c r="A349" s="277"/>
      <c r="B349" s="277"/>
      <c r="C349" s="277"/>
      <c r="D349" s="445"/>
      <c r="E349" s="445"/>
      <c r="F349" s="445"/>
      <c r="G349" s="445"/>
      <c r="H349" s="445"/>
      <c r="I349" s="445"/>
      <c r="J349" s="445"/>
      <c r="K349" s="1136"/>
      <c r="L349" s="1136"/>
      <c r="M349" s="445"/>
      <c r="N349" s="445"/>
      <c r="O349" s="445"/>
      <c r="P349" s="445"/>
    </row>
    <row r="350" spans="1:16">
      <c r="A350" s="277"/>
      <c r="B350" s="277"/>
      <c r="C350" s="277"/>
      <c r="D350" s="445"/>
      <c r="E350" s="445"/>
      <c r="F350" s="445"/>
      <c r="G350" s="445"/>
      <c r="H350" s="445"/>
      <c r="I350" s="445"/>
      <c r="J350" s="445"/>
      <c r="K350" s="1136"/>
      <c r="L350" s="1136"/>
      <c r="M350" s="445"/>
      <c r="N350" s="445"/>
      <c r="O350" s="445"/>
      <c r="P350" s="445"/>
    </row>
    <row r="351" spans="1:16">
      <c r="A351" s="277"/>
      <c r="B351" s="277"/>
      <c r="C351" s="277"/>
      <c r="D351" s="445"/>
      <c r="E351" s="445"/>
      <c r="F351" s="445"/>
      <c r="G351" s="445"/>
      <c r="H351" s="445"/>
      <c r="I351" s="445"/>
      <c r="J351" s="445"/>
      <c r="K351" s="1136"/>
      <c r="L351" s="1136"/>
      <c r="M351" s="445"/>
      <c r="N351" s="445"/>
      <c r="O351" s="445"/>
      <c r="P351" s="445"/>
    </row>
    <row r="352" spans="1:16">
      <c r="A352" s="277"/>
      <c r="B352" s="277"/>
      <c r="C352" s="277"/>
      <c r="D352" s="445"/>
      <c r="E352" s="445"/>
      <c r="F352" s="445"/>
      <c r="G352" s="445"/>
      <c r="H352" s="445"/>
      <c r="I352" s="445"/>
      <c r="J352" s="445"/>
      <c r="K352" s="1136"/>
      <c r="L352" s="1136"/>
      <c r="M352" s="445"/>
      <c r="N352" s="445"/>
      <c r="O352" s="445"/>
      <c r="P352" s="445"/>
    </row>
    <row r="353" spans="1:16">
      <c r="A353" s="277"/>
      <c r="B353" s="277"/>
      <c r="C353" s="277"/>
      <c r="D353" s="445"/>
      <c r="E353" s="445"/>
      <c r="F353" s="445"/>
      <c r="G353" s="445"/>
      <c r="H353" s="445"/>
      <c r="I353" s="445"/>
      <c r="J353" s="445"/>
      <c r="K353" s="1136"/>
      <c r="L353" s="1136"/>
      <c r="M353" s="445"/>
      <c r="N353" s="445"/>
      <c r="O353" s="445"/>
      <c r="P353" s="445"/>
    </row>
    <row r="354" spans="1:16">
      <c r="A354" s="277"/>
      <c r="B354" s="277"/>
      <c r="C354" s="277"/>
      <c r="D354" s="445"/>
      <c r="E354" s="445"/>
      <c r="F354" s="445"/>
      <c r="G354" s="445"/>
      <c r="H354" s="445"/>
      <c r="I354" s="445"/>
      <c r="J354" s="445"/>
      <c r="K354" s="1136"/>
      <c r="L354" s="1136"/>
      <c r="M354" s="445"/>
      <c r="N354" s="445"/>
      <c r="O354" s="445"/>
      <c r="P354" s="445"/>
    </row>
    <row r="355" spans="1:16">
      <c r="A355" s="277"/>
      <c r="B355" s="277"/>
      <c r="C355" s="277"/>
      <c r="D355" s="445"/>
      <c r="E355" s="445"/>
      <c r="F355" s="445"/>
      <c r="G355" s="445"/>
      <c r="H355" s="445"/>
      <c r="I355" s="445"/>
      <c r="J355" s="445"/>
      <c r="K355" s="1136"/>
      <c r="L355" s="1136"/>
      <c r="M355" s="445"/>
      <c r="N355" s="445"/>
      <c r="O355" s="445"/>
      <c r="P355" s="445"/>
    </row>
    <row r="356" spans="1:16">
      <c r="A356" s="277"/>
      <c r="B356" s="277"/>
      <c r="C356" s="277"/>
      <c r="D356" s="445"/>
      <c r="E356" s="445"/>
      <c r="F356" s="445"/>
      <c r="G356" s="445"/>
      <c r="H356" s="445"/>
      <c r="I356" s="445"/>
      <c r="J356" s="445"/>
      <c r="K356" s="1136"/>
      <c r="L356" s="1136"/>
      <c r="M356" s="445"/>
      <c r="N356" s="445"/>
      <c r="O356" s="445"/>
      <c r="P356" s="445"/>
    </row>
    <row r="357" spans="1:16">
      <c r="A357" s="277"/>
      <c r="B357" s="277"/>
      <c r="C357" s="277"/>
      <c r="D357" s="445"/>
      <c r="E357" s="445"/>
      <c r="F357" s="445"/>
      <c r="G357" s="445"/>
      <c r="H357" s="445"/>
      <c r="I357" s="445"/>
      <c r="J357" s="445"/>
      <c r="K357" s="1136"/>
      <c r="L357" s="1136"/>
      <c r="M357" s="445"/>
      <c r="N357" s="445"/>
      <c r="O357" s="445"/>
      <c r="P357" s="445"/>
    </row>
    <row r="358" spans="1:16">
      <c r="A358" s="277"/>
      <c r="B358" s="277"/>
      <c r="C358" s="277"/>
      <c r="D358" s="445"/>
      <c r="E358" s="445"/>
      <c r="F358" s="445"/>
      <c r="G358" s="445"/>
      <c r="H358" s="445"/>
      <c r="I358" s="445"/>
      <c r="J358" s="445"/>
      <c r="K358" s="1136"/>
      <c r="L358" s="1136"/>
      <c r="M358" s="445"/>
      <c r="N358" s="445"/>
      <c r="O358" s="445"/>
      <c r="P358" s="445"/>
    </row>
    <row r="359" spans="1:16">
      <c r="A359" s="277"/>
      <c r="B359" s="277"/>
      <c r="C359" s="277"/>
      <c r="D359" s="445"/>
      <c r="E359" s="445"/>
      <c r="F359" s="445"/>
      <c r="G359" s="445"/>
      <c r="H359" s="445"/>
      <c r="I359" s="445"/>
      <c r="J359" s="445"/>
      <c r="K359" s="1136"/>
      <c r="L359" s="1136"/>
      <c r="M359" s="445"/>
      <c r="N359" s="445"/>
      <c r="O359" s="445"/>
      <c r="P359" s="445"/>
    </row>
    <row r="360" spans="1:16">
      <c r="A360" s="277"/>
      <c r="B360" s="277"/>
      <c r="C360" s="277"/>
      <c r="D360" s="445"/>
      <c r="E360" s="445"/>
      <c r="F360" s="445"/>
      <c r="G360" s="445"/>
      <c r="H360" s="445"/>
      <c r="I360" s="445"/>
      <c r="J360" s="445"/>
      <c r="K360" s="1136"/>
      <c r="L360" s="1136"/>
      <c r="M360" s="445"/>
      <c r="N360" s="445"/>
      <c r="O360" s="445"/>
      <c r="P360" s="445"/>
    </row>
    <row r="361" spans="1:16">
      <c r="A361" s="277"/>
      <c r="B361" s="277"/>
      <c r="C361" s="277"/>
      <c r="D361" s="445"/>
      <c r="E361" s="445"/>
      <c r="F361" s="445"/>
      <c r="G361" s="445"/>
      <c r="H361" s="445"/>
      <c r="I361" s="445"/>
      <c r="J361" s="445"/>
      <c r="K361" s="1136"/>
      <c r="L361" s="1136"/>
      <c r="M361" s="445"/>
      <c r="N361" s="445"/>
      <c r="O361" s="445"/>
      <c r="P361" s="445"/>
    </row>
    <row r="362" spans="1:16">
      <c r="A362" s="277"/>
      <c r="B362" s="277"/>
      <c r="C362" s="277"/>
      <c r="D362" s="445"/>
      <c r="E362" s="445"/>
      <c r="F362" s="445"/>
      <c r="G362" s="445"/>
      <c r="H362" s="445"/>
      <c r="I362" s="445"/>
      <c r="J362" s="445"/>
      <c r="K362" s="1136"/>
      <c r="L362" s="1136"/>
      <c r="M362" s="445"/>
      <c r="N362" s="445"/>
      <c r="O362" s="445"/>
      <c r="P362" s="445"/>
    </row>
    <row r="363" spans="1:16">
      <c r="A363" s="277"/>
      <c r="B363" s="277"/>
      <c r="C363" s="277"/>
      <c r="D363" s="445"/>
      <c r="E363" s="445"/>
      <c r="F363" s="445"/>
      <c r="G363" s="445"/>
      <c r="H363" s="445"/>
      <c r="I363" s="445"/>
      <c r="J363" s="445"/>
      <c r="K363" s="1136"/>
      <c r="L363" s="1136"/>
      <c r="M363" s="445"/>
      <c r="N363" s="445"/>
      <c r="O363" s="445"/>
      <c r="P363" s="445"/>
    </row>
    <row r="364" spans="1:16">
      <c r="A364" s="277"/>
      <c r="B364" s="277"/>
      <c r="C364" s="277"/>
      <c r="D364" s="445"/>
      <c r="E364" s="445"/>
      <c r="F364" s="445"/>
      <c r="G364" s="445"/>
      <c r="H364" s="445"/>
      <c r="I364" s="445"/>
      <c r="J364" s="445"/>
      <c r="K364" s="1136"/>
      <c r="L364" s="1136"/>
      <c r="M364" s="445"/>
      <c r="N364" s="445"/>
      <c r="O364" s="445"/>
      <c r="P364" s="445"/>
    </row>
    <row r="365" spans="1:16">
      <c r="A365" s="277"/>
      <c r="B365" s="277"/>
      <c r="C365" s="277"/>
      <c r="D365" s="445"/>
      <c r="E365" s="445"/>
      <c r="F365" s="445"/>
      <c r="G365" s="445"/>
      <c r="H365" s="445"/>
      <c r="I365" s="445"/>
      <c r="J365" s="445"/>
      <c r="K365" s="1136"/>
      <c r="L365" s="1136"/>
      <c r="M365" s="445"/>
      <c r="N365" s="445"/>
      <c r="O365" s="445"/>
      <c r="P365" s="445"/>
    </row>
    <row r="366" spans="1:16">
      <c r="A366" s="277"/>
      <c r="B366" s="277"/>
      <c r="C366" s="277"/>
      <c r="D366" s="445"/>
      <c r="E366" s="445"/>
      <c r="F366" s="445"/>
      <c r="G366" s="445"/>
      <c r="H366" s="445"/>
      <c r="I366" s="445"/>
      <c r="J366" s="445"/>
      <c r="K366" s="1136"/>
      <c r="L366" s="1136"/>
      <c r="M366" s="445"/>
      <c r="N366" s="445"/>
      <c r="O366" s="445"/>
      <c r="P366" s="445"/>
    </row>
    <row r="367" spans="1:16">
      <c r="A367" s="277"/>
      <c r="B367" s="277"/>
      <c r="C367" s="277"/>
      <c r="D367" s="445"/>
      <c r="E367" s="445"/>
      <c r="F367" s="445"/>
      <c r="G367" s="445"/>
      <c r="H367" s="445"/>
      <c r="I367" s="445"/>
      <c r="J367" s="445"/>
      <c r="K367" s="1136"/>
      <c r="L367" s="1136"/>
      <c r="M367" s="445"/>
      <c r="N367" s="445"/>
      <c r="O367" s="445"/>
      <c r="P367" s="445"/>
    </row>
    <row r="368" spans="1:16">
      <c r="A368" s="277"/>
      <c r="B368" s="277"/>
      <c r="C368" s="277"/>
      <c r="D368" s="445"/>
      <c r="E368" s="445"/>
      <c r="F368" s="445"/>
      <c r="G368" s="445"/>
      <c r="H368" s="445"/>
      <c r="I368" s="445"/>
      <c r="J368" s="445"/>
      <c r="K368" s="1136"/>
      <c r="L368" s="1136"/>
      <c r="M368" s="445"/>
      <c r="N368" s="445"/>
      <c r="O368" s="445"/>
      <c r="P368" s="445"/>
    </row>
    <row r="369" spans="1:16">
      <c r="A369" s="277"/>
      <c r="B369" s="277"/>
      <c r="C369" s="277"/>
      <c r="D369" s="445"/>
      <c r="E369" s="445"/>
      <c r="F369" s="445"/>
      <c r="G369" s="445"/>
      <c r="H369" s="445"/>
      <c r="I369" s="445"/>
      <c r="J369" s="445"/>
      <c r="K369" s="1136"/>
      <c r="L369" s="1136"/>
      <c r="M369" s="445"/>
      <c r="N369" s="445"/>
      <c r="O369" s="445"/>
      <c r="P369" s="445"/>
    </row>
    <row r="370" spans="1:16">
      <c r="A370" s="277"/>
      <c r="B370" s="277"/>
      <c r="C370" s="277"/>
      <c r="D370" s="445"/>
      <c r="E370" s="445"/>
      <c r="F370" s="445"/>
      <c r="G370" s="445"/>
      <c r="H370" s="445"/>
      <c r="I370" s="445"/>
      <c r="J370" s="445"/>
      <c r="K370" s="1136"/>
      <c r="L370" s="1136"/>
      <c r="M370" s="445"/>
      <c r="N370" s="445"/>
      <c r="O370" s="445"/>
      <c r="P370" s="445"/>
    </row>
    <row r="371" spans="1:16">
      <c r="A371" s="277"/>
      <c r="B371" s="277"/>
      <c r="C371" s="277"/>
      <c r="D371" s="445"/>
      <c r="E371" s="445"/>
      <c r="F371" s="445"/>
      <c r="G371" s="445"/>
      <c r="H371" s="445"/>
      <c r="I371" s="445"/>
      <c r="J371" s="445"/>
      <c r="K371" s="1136"/>
      <c r="L371" s="1136"/>
      <c r="M371" s="445"/>
      <c r="N371" s="445"/>
      <c r="O371" s="445"/>
      <c r="P371" s="445"/>
    </row>
    <row r="372" spans="1:16">
      <c r="A372" s="277"/>
      <c r="B372" s="277"/>
      <c r="C372" s="277"/>
      <c r="D372" s="445"/>
      <c r="E372" s="445"/>
      <c r="F372" s="445"/>
      <c r="G372" s="445"/>
      <c r="H372" s="445"/>
      <c r="I372" s="445"/>
      <c r="J372" s="445"/>
      <c r="K372" s="1136"/>
      <c r="L372" s="1136"/>
      <c r="M372" s="445"/>
      <c r="N372" s="445"/>
      <c r="O372" s="445"/>
      <c r="P372" s="445"/>
    </row>
    <row r="373" spans="1:16">
      <c r="A373" s="277"/>
      <c r="B373" s="277"/>
      <c r="C373" s="277"/>
      <c r="D373" s="445"/>
      <c r="E373" s="445"/>
      <c r="F373" s="445"/>
      <c r="G373" s="445"/>
      <c r="H373" s="445"/>
      <c r="I373" s="445"/>
      <c r="J373" s="445"/>
      <c r="K373" s="1136"/>
      <c r="L373" s="1136"/>
      <c r="M373" s="445"/>
      <c r="N373" s="445"/>
      <c r="O373" s="445"/>
      <c r="P373" s="445"/>
    </row>
    <row r="374" spans="1:16">
      <c r="A374" s="277"/>
      <c r="B374" s="277"/>
      <c r="C374" s="277"/>
      <c r="D374" s="445"/>
      <c r="E374" s="445"/>
      <c r="F374" s="445"/>
      <c r="G374" s="445"/>
      <c r="H374" s="445"/>
      <c r="I374" s="445"/>
      <c r="J374" s="445"/>
      <c r="K374" s="1136"/>
      <c r="L374" s="1136"/>
      <c r="M374" s="445"/>
      <c r="N374" s="445"/>
      <c r="O374" s="445"/>
      <c r="P374" s="445"/>
    </row>
    <row r="375" spans="1:16">
      <c r="A375" s="277"/>
      <c r="B375" s="277"/>
      <c r="C375" s="277"/>
      <c r="D375" s="445"/>
      <c r="E375" s="445"/>
      <c r="F375" s="445"/>
      <c r="G375" s="445"/>
      <c r="H375" s="445"/>
      <c r="I375" s="445"/>
      <c r="J375" s="445"/>
      <c r="K375" s="1136"/>
      <c r="L375" s="1136"/>
      <c r="M375" s="445"/>
      <c r="N375" s="445"/>
      <c r="O375" s="445"/>
      <c r="P375" s="445"/>
    </row>
    <row r="376" spans="1:16">
      <c r="A376" s="277"/>
      <c r="B376" s="277"/>
      <c r="C376" s="277"/>
      <c r="D376" s="445"/>
      <c r="E376" s="445"/>
      <c r="F376" s="445"/>
      <c r="G376" s="445"/>
      <c r="H376" s="445"/>
      <c r="I376" s="445"/>
      <c r="J376" s="445"/>
      <c r="K376" s="1136"/>
      <c r="L376" s="1136"/>
      <c r="M376" s="445"/>
      <c r="N376" s="445"/>
      <c r="O376" s="445"/>
      <c r="P376" s="445"/>
    </row>
    <row r="377" spans="1:16">
      <c r="A377" s="277"/>
      <c r="B377" s="277"/>
      <c r="C377" s="277"/>
      <c r="D377" s="445"/>
      <c r="E377" s="445"/>
      <c r="F377" s="445"/>
      <c r="G377" s="445"/>
      <c r="H377" s="445"/>
      <c r="I377" s="445"/>
      <c r="J377" s="445"/>
      <c r="K377" s="1136"/>
      <c r="L377" s="1136"/>
      <c r="M377" s="445"/>
      <c r="N377" s="445"/>
      <c r="O377" s="445"/>
      <c r="P377" s="445"/>
    </row>
    <row r="378" spans="1:16">
      <c r="A378" s="277"/>
      <c r="B378" s="277"/>
      <c r="C378" s="277"/>
      <c r="D378" s="445"/>
      <c r="E378" s="445"/>
      <c r="F378" s="445"/>
      <c r="G378" s="445"/>
      <c r="H378" s="445"/>
      <c r="I378" s="445"/>
      <c r="J378" s="445"/>
      <c r="K378" s="1136"/>
      <c r="L378" s="1136"/>
      <c r="M378" s="445"/>
      <c r="N378" s="445"/>
      <c r="O378" s="445"/>
      <c r="P378" s="445"/>
    </row>
    <row r="379" spans="1:16">
      <c r="A379" s="277"/>
      <c r="B379" s="277"/>
      <c r="C379" s="277"/>
      <c r="D379" s="445"/>
      <c r="E379" s="445"/>
      <c r="F379" s="445"/>
      <c r="G379" s="445"/>
      <c r="H379" s="445"/>
      <c r="I379" s="445"/>
      <c r="J379" s="445"/>
      <c r="K379" s="1136"/>
      <c r="L379" s="1136"/>
      <c r="M379" s="445"/>
      <c r="N379" s="445"/>
      <c r="O379" s="445"/>
      <c r="P379" s="445"/>
    </row>
    <row r="380" spans="1:16">
      <c r="A380" s="277"/>
      <c r="B380" s="277"/>
      <c r="C380" s="277"/>
      <c r="D380" s="445"/>
      <c r="E380" s="445"/>
      <c r="F380" s="445"/>
      <c r="G380" s="445"/>
      <c r="H380" s="445"/>
      <c r="I380" s="445"/>
      <c r="J380" s="445"/>
      <c r="K380" s="1136"/>
      <c r="L380" s="1136"/>
      <c r="M380" s="445"/>
      <c r="N380" s="445"/>
      <c r="O380" s="445"/>
      <c r="P380" s="445"/>
    </row>
    <row r="381" spans="1:16">
      <c r="A381" s="277"/>
      <c r="B381" s="277"/>
      <c r="C381" s="277"/>
      <c r="D381" s="445"/>
      <c r="E381" s="445"/>
      <c r="F381" s="445"/>
      <c r="G381" s="445"/>
      <c r="H381" s="445"/>
      <c r="I381" s="445"/>
      <c r="J381" s="445"/>
      <c r="K381" s="1136"/>
      <c r="L381" s="1136"/>
      <c r="M381" s="445"/>
      <c r="N381" s="445"/>
      <c r="O381" s="445"/>
      <c r="P381" s="445"/>
    </row>
    <row r="382" spans="1:16">
      <c r="A382" s="277"/>
      <c r="B382" s="277"/>
      <c r="C382" s="277"/>
      <c r="D382" s="445"/>
      <c r="E382" s="445"/>
      <c r="F382" s="445"/>
      <c r="G382" s="445"/>
      <c r="H382" s="445"/>
      <c r="I382" s="445"/>
      <c r="J382" s="445"/>
      <c r="K382" s="1136"/>
      <c r="L382" s="1136"/>
      <c r="M382" s="445"/>
      <c r="N382" s="445"/>
      <c r="O382" s="445"/>
      <c r="P382" s="445"/>
    </row>
    <row r="383" spans="1:16">
      <c r="A383" s="277"/>
      <c r="B383" s="277"/>
      <c r="C383" s="277"/>
      <c r="D383" s="445"/>
      <c r="E383" s="445"/>
      <c r="F383" s="445"/>
      <c r="G383" s="445"/>
      <c r="H383" s="445"/>
      <c r="I383" s="445"/>
      <c r="J383" s="445"/>
      <c r="K383" s="1136"/>
      <c r="L383" s="1136"/>
      <c r="M383" s="445"/>
      <c r="N383" s="445"/>
      <c r="O383" s="445"/>
      <c r="P383" s="445"/>
    </row>
    <row r="384" spans="1:16">
      <c r="A384" s="277"/>
      <c r="B384" s="277"/>
      <c r="C384" s="277"/>
      <c r="D384" s="445"/>
      <c r="E384" s="445"/>
      <c r="F384" s="445"/>
      <c r="G384" s="445"/>
      <c r="H384" s="445"/>
      <c r="I384" s="445"/>
      <c r="J384" s="445"/>
      <c r="K384" s="1136"/>
      <c r="L384" s="1136"/>
      <c r="M384" s="445"/>
      <c r="N384" s="445"/>
      <c r="O384" s="445"/>
      <c r="P384" s="445"/>
    </row>
    <row r="385" spans="1:16">
      <c r="A385" s="277"/>
      <c r="B385" s="277"/>
      <c r="C385" s="277"/>
      <c r="D385" s="445"/>
      <c r="E385" s="445"/>
      <c r="F385" s="445"/>
      <c r="G385" s="445"/>
      <c r="H385" s="445"/>
      <c r="I385" s="445"/>
      <c r="J385" s="445"/>
      <c r="K385" s="1136"/>
      <c r="L385" s="1136"/>
      <c r="M385" s="445"/>
      <c r="N385" s="445"/>
      <c r="O385" s="445"/>
      <c r="P385" s="445"/>
    </row>
    <row r="386" spans="1:16">
      <c r="A386" s="277"/>
      <c r="B386" s="277"/>
      <c r="C386" s="277"/>
      <c r="D386" s="445"/>
      <c r="E386" s="445"/>
      <c r="F386" s="445"/>
      <c r="G386" s="445"/>
      <c r="H386" s="445"/>
      <c r="I386" s="445"/>
      <c r="J386" s="445"/>
      <c r="K386" s="1136"/>
      <c r="L386" s="1136"/>
      <c r="M386" s="445"/>
      <c r="N386" s="445"/>
      <c r="O386" s="445"/>
      <c r="P386" s="445"/>
    </row>
    <row r="387" spans="1:16">
      <c r="A387" s="277"/>
      <c r="B387" s="277"/>
      <c r="C387" s="277"/>
      <c r="D387" s="445"/>
      <c r="E387" s="445"/>
      <c r="F387" s="445"/>
      <c r="G387" s="445"/>
      <c r="H387" s="445"/>
      <c r="I387" s="445"/>
      <c r="J387" s="445"/>
      <c r="K387" s="1136"/>
      <c r="L387" s="1136"/>
      <c r="M387" s="445"/>
      <c r="N387" s="445"/>
      <c r="O387" s="445"/>
      <c r="P387" s="445"/>
    </row>
    <row r="388" spans="1:16">
      <c r="A388" s="277"/>
      <c r="B388" s="277"/>
      <c r="C388" s="277"/>
      <c r="D388" s="445"/>
      <c r="E388" s="445"/>
      <c r="F388" s="445"/>
      <c r="G388" s="445"/>
      <c r="H388" s="445"/>
      <c r="I388" s="445"/>
      <c r="J388" s="445"/>
      <c r="K388" s="1136"/>
      <c r="L388" s="1136"/>
      <c r="M388" s="445"/>
      <c r="N388" s="445"/>
      <c r="O388" s="445"/>
      <c r="P388" s="445"/>
    </row>
    <row r="389" spans="1:16">
      <c r="A389" s="277"/>
      <c r="B389" s="277"/>
      <c r="C389" s="277"/>
      <c r="D389" s="445"/>
      <c r="E389" s="445"/>
      <c r="F389" s="445"/>
      <c r="G389" s="445"/>
      <c r="H389" s="445"/>
      <c r="I389" s="445"/>
      <c r="J389" s="445"/>
      <c r="K389" s="1136"/>
      <c r="L389" s="1136"/>
      <c r="M389" s="445"/>
      <c r="N389" s="445"/>
      <c r="O389" s="445"/>
      <c r="P389" s="445"/>
    </row>
    <row r="390" spans="1:16">
      <c r="A390" s="277"/>
      <c r="B390" s="277"/>
      <c r="C390" s="277"/>
      <c r="D390" s="445"/>
      <c r="E390" s="445"/>
      <c r="F390" s="445"/>
      <c r="G390" s="445"/>
      <c r="H390" s="445"/>
      <c r="I390" s="445"/>
      <c r="J390" s="445"/>
      <c r="K390" s="1136"/>
      <c r="L390" s="1136"/>
      <c r="M390" s="445"/>
      <c r="N390" s="445"/>
      <c r="O390" s="445"/>
      <c r="P390" s="445"/>
    </row>
    <row r="391" spans="1:16">
      <c r="A391" s="277"/>
      <c r="B391" s="277"/>
      <c r="C391" s="277"/>
      <c r="D391" s="445"/>
      <c r="E391" s="445"/>
      <c r="F391" s="445"/>
      <c r="G391" s="445"/>
      <c r="H391" s="445"/>
      <c r="I391" s="445"/>
      <c r="J391" s="445"/>
      <c r="K391" s="1136"/>
      <c r="L391" s="1136"/>
      <c r="M391" s="445"/>
      <c r="N391" s="445"/>
      <c r="O391" s="445"/>
      <c r="P391" s="445"/>
    </row>
    <row r="392" spans="1:16">
      <c r="A392" s="277"/>
      <c r="B392" s="277"/>
      <c r="C392" s="277"/>
      <c r="D392" s="445"/>
      <c r="E392" s="445"/>
      <c r="F392" s="445"/>
      <c r="G392" s="445"/>
      <c r="H392" s="445"/>
      <c r="I392" s="445"/>
      <c r="J392" s="445"/>
      <c r="K392" s="1136"/>
      <c r="L392" s="1136"/>
      <c r="M392" s="445"/>
      <c r="N392" s="445"/>
      <c r="O392" s="445"/>
      <c r="P392" s="445"/>
    </row>
    <row r="393" spans="1:16">
      <c r="A393" s="277"/>
      <c r="B393" s="277"/>
      <c r="C393" s="277"/>
      <c r="D393" s="445"/>
      <c r="E393" s="445"/>
      <c r="F393" s="445"/>
      <c r="G393" s="445"/>
      <c r="H393" s="445"/>
      <c r="I393" s="445"/>
      <c r="J393" s="445"/>
      <c r="K393" s="1136"/>
      <c r="L393" s="1136"/>
      <c r="M393" s="445"/>
      <c r="N393" s="445"/>
      <c r="O393" s="445"/>
      <c r="P393" s="445"/>
    </row>
    <row r="394" spans="1:16">
      <c r="A394" s="277"/>
      <c r="B394" s="277"/>
      <c r="C394" s="277"/>
      <c r="D394" s="445"/>
      <c r="E394" s="445"/>
      <c r="F394" s="445"/>
      <c r="G394" s="445"/>
      <c r="H394" s="445"/>
      <c r="I394" s="445"/>
      <c r="J394" s="445"/>
      <c r="K394" s="1136"/>
      <c r="L394" s="1136"/>
      <c r="M394" s="445"/>
      <c r="N394" s="445"/>
      <c r="O394" s="445"/>
      <c r="P394" s="445"/>
    </row>
    <row r="395" spans="1:16">
      <c r="A395" s="277"/>
      <c r="B395" s="277"/>
      <c r="C395" s="277"/>
      <c r="D395" s="445"/>
      <c r="E395" s="445"/>
      <c r="F395" s="445"/>
      <c r="G395" s="445"/>
      <c r="H395" s="445"/>
      <c r="I395" s="445"/>
      <c r="J395" s="445"/>
      <c r="K395" s="1136"/>
      <c r="L395" s="1136"/>
      <c r="M395" s="445"/>
      <c r="N395" s="445"/>
      <c r="O395" s="445"/>
      <c r="P395" s="445"/>
    </row>
    <row r="396" spans="1:16">
      <c r="A396" s="277"/>
      <c r="B396" s="277"/>
      <c r="C396" s="277"/>
      <c r="D396" s="445"/>
      <c r="E396" s="445"/>
      <c r="F396" s="445"/>
      <c r="G396" s="445"/>
      <c r="H396" s="445"/>
      <c r="I396" s="445"/>
      <c r="J396" s="445"/>
      <c r="K396" s="1136"/>
      <c r="L396" s="1136"/>
      <c r="M396" s="445"/>
      <c r="N396" s="445"/>
      <c r="O396" s="445"/>
      <c r="P396" s="445"/>
    </row>
    <row r="397" spans="1:16">
      <c r="A397" s="277"/>
      <c r="B397" s="277"/>
      <c r="C397" s="277"/>
      <c r="D397" s="445"/>
      <c r="E397" s="445"/>
      <c r="F397" s="445"/>
      <c r="G397" s="445"/>
      <c r="H397" s="445"/>
      <c r="I397" s="445"/>
      <c r="J397" s="445"/>
      <c r="K397" s="1136"/>
      <c r="L397" s="1136"/>
      <c r="M397" s="445"/>
      <c r="N397" s="445"/>
      <c r="O397" s="445"/>
      <c r="P397" s="445"/>
    </row>
    <row r="398" spans="1:16">
      <c r="A398" s="277"/>
      <c r="B398" s="277"/>
      <c r="C398" s="277"/>
      <c r="D398" s="445"/>
      <c r="E398" s="445"/>
      <c r="F398" s="445"/>
      <c r="G398" s="445"/>
      <c r="H398" s="445"/>
      <c r="I398" s="445"/>
      <c r="J398" s="445"/>
      <c r="K398" s="1136"/>
      <c r="L398" s="1136"/>
      <c r="M398" s="445"/>
      <c r="N398" s="445"/>
      <c r="O398" s="445"/>
      <c r="P398" s="445"/>
    </row>
    <row r="399" spans="1:16">
      <c r="A399" s="277"/>
      <c r="B399" s="277"/>
      <c r="C399" s="277"/>
      <c r="D399" s="445"/>
      <c r="E399" s="445"/>
      <c r="F399" s="445"/>
      <c r="G399" s="445"/>
      <c r="H399" s="445"/>
      <c r="I399" s="445"/>
      <c r="J399" s="445"/>
      <c r="K399" s="1136"/>
      <c r="L399" s="1136"/>
      <c r="M399" s="445"/>
      <c r="N399" s="445"/>
      <c r="O399" s="445"/>
      <c r="P399" s="445"/>
    </row>
    <row r="400" spans="1:16">
      <c r="A400" s="277"/>
      <c r="B400" s="277"/>
      <c r="C400" s="277"/>
      <c r="D400" s="445"/>
      <c r="E400" s="445"/>
      <c r="F400" s="445"/>
      <c r="G400" s="445"/>
      <c r="H400" s="445"/>
      <c r="I400" s="445"/>
      <c r="J400" s="445"/>
      <c r="K400" s="1136"/>
      <c r="L400" s="1136"/>
      <c r="M400" s="445"/>
      <c r="N400" s="445"/>
      <c r="O400" s="445"/>
      <c r="P400" s="445"/>
    </row>
    <row r="401" spans="1:16">
      <c r="A401" s="277"/>
      <c r="B401" s="277"/>
      <c r="C401" s="277"/>
      <c r="D401" s="445"/>
      <c r="E401" s="445"/>
      <c r="F401" s="445"/>
      <c r="G401" s="445"/>
      <c r="H401" s="445"/>
      <c r="I401" s="445"/>
      <c r="J401" s="445"/>
      <c r="K401" s="1136"/>
      <c r="L401" s="1136"/>
      <c r="M401" s="445"/>
      <c r="N401" s="445"/>
      <c r="O401" s="445"/>
      <c r="P401" s="445"/>
    </row>
    <row r="402" spans="1:16">
      <c r="A402" s="277"/>
      <c r="B402" s="277"/>
      <c r="C402" s="277"/>
      <c r="D402" s="445"/>
      <c r="E402" s="445"/>
      <c r="F402" s="445"/>
      <c r="G402" s="445"/>
      <c r="H402" s="445"/>
      <c r="I402" s="445"/>
      <c r="J402" s="445"/>
      <c r="K402" s="1136"/>
      <c r="L402" s="1136"/>
      <c r="M402" s="445"/>
      <c r="N402" s="445"/>
      <c r="O402" s="445"/>
      <c r="P402" s="445"/>
    </row>
    <row r="403" spans="1:16">
      <c r="A403" s="277"/>
      <c r="B403" s="277"/>
      <c r="C403" s="277"/>
      <c r="D403" s="445"/>
      <c r="E403" s="445"/>
      <c r="F403" s="445"/>
      <c r="G403" s="445"/>
      <c r="H403" s="445"/>
      <c r="I403" s="445"/>
      <c r="J403" s="445"/>
      <c r="K403" s="1136"/>
      <c r="L403" s="1136"/>
      <c r="M403" s="445"/>
      <c r="N403" s="445"/>
      <c r="O403" s="445"/>
      <c r="P403" s="445"/>
    </row>
    <row r="404" spans="1:16">
      <c r="A404" s="277"/>
      <c r="B404" s="277"/>
      <c r="C404" s="277"/>
      <c r="D404" s="445"/>
      <c r="E404" s="445"/>
      <c r="F404" s="445"/>
      <c r="G404" s="445"/>
      <c r="H404" s="445"/>
      <c r="I404" s="445"/>
      <c r="J404" s="445"/>
      <c r="K404" s="1136"/>
      <c r="L404" s="1136"/>
      <c r="M404" s="445"/>
      <c r="N404" s="445"/>
      <c r="O404" s="445"/>
      <c r="P404" s="445"/>
    </row>
    <row r="405" spans="1:16">
      <c r="A405" s="277"/>
      <c r="B405" s="277"/>
      <c r="C405" s="277"/>
      <c r="D405" s="445"/>
      <c r="E405" s="445"/>
      <c r="F405" s="445"/>
      <c r="G405" s="445"/>
      <c r="H405" s="445"/>
      <c r="I405" s="445"/>
      <c r="J405" s="445"/>
      <c r="K405" s="1136"/>
      <c r="L405" s="1136"/>
      <c r="M405" s="445"/>
      <c r="N405" s="445"/>
      <c r="O405" s="445"/>
      <c r="P405" s="445"/>
    </row>
    <row r="406" spans="1:16">
      <c r="A406" s="277"/>
      <c r="B406" s="277"/>
      <c r="C406" s="277"/>
      <c r="D406" s="445"/>
      <c r="E406" s="445"/>
      <c r="F406" s="445"/>
      <c r="G406" s="445"/>
      <c r="H406" s="445"/>
      <c r="I406" s="445"/>
      <c r="J406" s="445"/>
      <c r="K406" s="1136"/>
      <c r="L406" s="1136"/>
      <c r="M406" s="445"/>
      <c r="N406" s="445"/>
      <c r="O406" s="445"/>
      <c r="P406" s="445"/>
    </row>
    <row r="407" spans="1:16">
      <c r="A407" s="277"/>
      <c r="B407" s="277"/>
      <c r="C407" s="277"/>
      <c r="D407" s="445"/>
      <c r="E407" s="445"/>
      <c r="F407" s="445"/>
      <c r="G407" s="445"/>
      <c r="H407" s="445"/>
      <c r="I407" s="445"/>
      <c r="J407" s="445"/>
      <c r="K407" s="1136"/>
      <c r="L407" s="1136"/>
      <c r="M407" s="445"/>
      <c r="N407" s="445"/>
      <c r="O407" s="445"/>
      <c r="P407" s="445"/>
    </row>
    <row r="408" spans="1:16">
      <c r="A408" s="277"/>
      <c r="B408" s="277"/>
      <c r="C408" s="277"/>
      <c r="D408" s="445"/>
      <c r="E408" s="445"/>
      <c r="F408" s="445"/>
      <c r="G408" s="445"/>
      <c r="H408" s="445"/>
      <c r="I408" s="445"/>
      <c r="J408" s="445"/>
      <c r="K408" s="1136"/>
      <c r="L408" s="1136"/>
      <c r="M408" s="445"/>
      <c r="N408" s="445"/>
      <c r="O408" s="445"/>
      <c r="P408" s="445"/>
    </row>
    <row r="409" spans="1:16">
      <c r="A409" s="277"/>
      <c r="B409" s="277"/>
      <c r="C409" s="277"/>
      <c r="D409" s="445"/>
      <c r="E409" s="445"/>
      <c r="F409" s="445"/>
      <c r="G409" s="445"/>
      <c r="H409" s="445"/>
      <c r="I409" s="445"/>
      <c r="J409" s="445"/>
      <c r="K409" s="1136"/>
      <c r="L409" s="1136"/>
      <c r="M409" s="445"/>
      <c r="N409" s="445"/>
      <c r="O409" s="445"/>
      <c r="P409" s="445"/>
    </row>
    <row r="410" spans="1:16">
      <c r="A410" s="277"/>
      <c r="B410" s="277"/>
      <c r="C410" s="277"/>
      <c r="D410" s="445"/>
      <c r="E410" s="445"/>
      <c r="F410" s="445"/>
      <c r="G410" s="445"/>
      <c r="H410" s="445"/>
      <c r="I410" s="445"/>
      <c r="J410" s="445"/>
      <c r="K410" s="1136"/>
      <c r="L410" s="1136"/>
      <c r="M410" s="445"/>
      <c r="N410" s="445"/>
      <c r="O410" s="445"/>
      <c r="P410" s="445"/>
    </row>
    <row r="411" spans="1:16">
      <c r="A411" s="277"/>
      <c r="B411" s="277"/>
      <c r="C411" s="277"/>
      <c r="D411" s="445"/>
      <c r="E411" s="445"/>
      <c r="F411" s="445"/>
      <c r="G411" s="445"/>
      <c r="H411" s="445"/>
      <c r="I411" s="445"/>
      <c r="J411" s="445"/>
      <c r="K411" s="1136"/>
      <c r="L411" s="1136"/>
      <c r="M411" s="445"/>
      <c r="N411" s="445"/>
      <c r="O411" s="445"/>
      <c r="P411" s="445"/>
    </row>
    <row r="412" spans="1:16">
      <c r="A412" s="277"/>
      <c r="B412" s="277"/>
      <c r="C412" s="277"/>
      <c r="D412" s="445"/>
      <c r="E412" s="445"/>
      <c r="F412" s="445"/>
      <c r="G412" s="445"/>
      <c r="H412" s="445"/>
      <c r="I412" s="445"/>
      <c r="J412" s="445"/>
      <c r="K412" s="1136"/>
      <c r="L412" s="1136"/>
      <c r="M412" s="445"/>
      <c r="N412" s="445"/>
      <c r="O412" s="445"/>
      <c r="P412" s="445"/>
    </row>
    <row r="413" spans="1:16">
      <c r="A413" s="277"/>
      <c r="B413" s="277"/>
      <c r="C413" s="277"/>
      <c r="D413" s="445"/>
      <c r="E413" s="445"/>
      <c r="F413" s="445"/>
      <c r="G413" s="445"/>
      <c r="H413" s="445"/>
      <c r="I413" s="445"/>
      <c r="J413" s="445"/>
      <c r="K413" s="1136"/>
      <c r="L413" s="1136"/>
      <c r="M413" s="445"/>
      <c r="N413" s="445"/>
      <c r="O413" s="445"/>
      <c r="P413" s="445"/>
    </row>
    <row r="414" spans="1:16">
      <c r="A414" s="277"/>
      <c r="B414" s="277"/>
      <c r="C414" s="277"/>
      <c r="D414" s="445"/>
      <c r="E414" s="445"/>
      <c r="F414" s="445"/>
      <c r="G414" s="445"/>
      <c r="H414" s="445"/>
      <c r="I414" s="445"/>
      <c r="J414" s="445"/>
      <c r="K414" s="1136"/>
      <c r="L414" s="1136"/>
      <c r="M414" s="445"/>
      <c r="N414" s="445"/>
      <c r="O414" s="445"/>
      <c r="P414" s="445"/>
    </row>
    <row r="415" spans="1:16">
      <c r="A415" s="277"/>
      <c r="B415" s="277"/>
      <c r="C415" s="277"/>
      <c r="D415" s="445"/>
      <c r="E415" s="445"/>
      <c r="F415" s="445"/>
      <c r="G415" s="445"/>
      <c r="H415" s="445"/>
      <c r="I415" s="445"/>
      <c r="J415" s="445"/>
      <c r="K415" s="1136"/>
      <c r="L415" s="1136"/>
      <c r="M415" s="445"/>
      <c r="N415" s="445"/>
      <c r="O415" s="445"/>
      <c r="P415" s="445"/>
    </row>
    <row r="416" spans="1:16">
      <c r="A416" s="277"/>
      <c r="B416" s="277"/>
      <c r="C416" s="277"/>
      <c r="D416" s="445"/>
      <c r="E416" s="445"/>
      <c r="F416" s="445"/>
      <c r="G416" s="445"/>
      <c r="H416" s="445"/>
      <c r="I416" s="445"/>
      <c r="J416" s="445"/>
      <c r="K416" s="1136"/>
      <c r="L416" s="1136"/>
      <c r="M416" s="445"/>
      <c r="N416" s="445"/>
      <c r="O416" s="445"/>
      <c r="P416" s="445"/>
    </row>
    <row r="417" spans="1:16">
      <c r="A417" s="277"/>
      <c r="B417" s="277"/>
      <c r="C417" s="277"/>
      <c r="D417" s="445"/>
      <c r="E417" s="445"/>
      <c r="F417" s="445"/>
      <c r="G417" s="445"/>
      <c r="H417" s="445"/>
      <c r="I417" s="445"/>
      <c r="J417" s="445"/>
      <c r="K417" s="1136"/>
      <c r="L417" s="1136"/>
      <c r="M417" s="445"/>
      <c r="N417" s="445"/>
      <c r="O417" s="445"/>
      <c r="P417" s="445"/>
    </row>
    <row r="418" spans="1:16">
      <c r="A418" s="277"/>
      <c r="B418" s="277"/>
      <c r="C418" s="277"/>
      <c r="D418" s="445"/>
      <c r="E418" s="445"/>
      <c r="F418" s="445"/>
      <c r="G418" s="445"/>
      <c r="H418" s="445"/>
      <c r="I418" s="445"/>
      <c r="J418" s="445"/>
      <c r="K418" s="1136"/>
      <c r="L418" s="1136"/>
      <c r="M418" s="445"/>
      <c r="N418" s="445"/>
      <c r="O418" s="445"/>
      <c r="P418" s="445"/>
    </row>
    <row r="419" spans="1:16">
      <c r="A419" s="277"/>
      <c r="B419" s="277"/>
      <c r="C419" s="277"/>
      <c r="D419" s="445"/>
      <c r="E419" s="445"/>
      <c r="F419" s="445"/>
      <c r="G419" s="445"/>
      <c r="H419" s="445"/>
      <c r="I419" s="445"/>
      <c r="J419" s="445"/>
      <c r="K419" s="1136"/>
      <c r="L419" s="1136"/>
      <c r="M419" s="445"/>
      <c r="N419" s="445"/>
      <c r="O419" s="445"/>
      <c r="P419" s="445"/>
    </row>
    <row r="420" spans="1:16">
      <c r="A420" s="277"/>
      <c r="B420" s="277"/>
      <c r="C420" s="277"/>
      <c r="D420" s="445"/>
      <c r="E420" s="445"/>
      <c r="F420" s="445"/>
      <c r="G420" s="445"/>
      <c r="H420" s="445"/>
      <c r="I420" s="445"/>
      <c r="J420" s="445"/>
      <c r="K420" s="1136"/>
      <c r="L420" s="1136"/>
      <c r="M420" s="445"/>
      <c r="N420" s="445"/>
      <c r="O420" s="445"/>
      <c r="P420" s="445"/>
    </row>
    <row r="421" spans="1:16">
      <c r="A421" s="277"/>
      <c r="B421" s="277"/>
      <c r="C421" s="277"/>
      <c r="D421" s="445"/>
      <c r="E421" s="445"/>
      <c r="F421" s="445"/>
      <c r="G421" s="445"/>
      <c r="H421" s="445"/>
      <c r="I421" s="445"/>
      <c r="J421" s="445"/>
      <c r="K421" s="1136"/>
      <c r="L421" s="1136"/>
      <c r="M421" s="445"/>
      <c r="N421" s="445"/>
      <c r="O421" s="445"/>
      <c r="P421" s="445"/>
    </row>
    <row r="422" spans="1:16">
      <c r="A422" s="277"/>
      <c r="B422" s="277"/>
      <c r="C422" s="277"/>
      <c r="D422" s="445"/>
      <c r="E422" s="445"/>
      <c r="F422" s="445"/>
      <c r="G422" s="445"/>
      <c r="H422" s="445"/>
      <c r="I422" s="445"/>
      <c r="J422" s="445"/>
      <c r="K422" s="1136"/>
      <c r="L422" s="1136"/>
      <c r="M422" s="445"/>
      <c r="N422" s="445"/>
      <c r="O422" s="445"/>
      <c r="P422" s="445"/>
    </row>
    <row r="423" spans="1:16">
      <c r="A423" s="277"/>
      <c r="B423" s="277"/>
      <c r="C423" s="277"/>
      <c r="D423" s="445"/>
      <c r="E423" s="445"/>
      <c r="F423" s="445"/>
      <c r="G423" s="445"/>
      <c r="H423" s="445"/>
      <c r="I423" s="445"/>
      <c r="J423" s="445"/>
      <c r="K423" s="1136"/>
      <c r="L423" s="1136"/>
      <c r="M423" s="445"/>
      <c r="N423" s="445"/>
      <c r="O423" s="445"/>
      <c r="P423" s="445"/>
    </row>
    <row r="424" spans="1:16">
      <c r="A424" s="277"/>
      <c r="B424" s="277"/>
      <c r="C424" s="277"/>
      <c r="D424" s="445"/>
      <c r="E424" s="445"/>
      <c r="F424" s="445"/>
      <c r="G424" s="445"/>
      <c r="H424" s="445"/>
      <c r="I424" s="445"/>
      <c r="J424" s="445"/>
      <c r="K424" s="1136"/>
      <c r="L424" s="1136"/>
      <c r="M424" s="445"/>
      <c r="N424" s="445"/>
      <c r="O424" s="445"/>
      <c r="P424" s="445"/>
    </row>
    <row r="425" spans="1:16">
      <c r="A425" s="277"/>
      <c r="B425" s="277"/>
      <c r="C425" s="277"/>
      <c r="D425" s="445"/>
      <c r="E425" s="445"/>
      <c r="F425" s="445"/>
      <c r="G425" s="445"/>
      <c r="H425" s="445"/>
      <c r="I425" s="445"/>
      <c r="J425" s="445"/>
      <c r="K425" s="1136"/>
      <c r="L425" s="1136"/>
      <c r="M425" s="445"/>
      <c r="N425" s="445"/>
      <c r="O425" s="445"/>
      <c r="P425" s="445"/>
    </row>
    <row r="426" spans="1:16">
      <c r="A426" s="277"/>
      <c r="B426" s="277"/>
      <c r="C426" s="277"/>
      <c r="D426" s="445"/>
      <c r="E426" s="445"/>
      <c r="F426" s="445"/>
      <c r="G426" s="445"/>
      <c r="H426" s="445"/>
      <c r="I426" s="445"/>
      <c r="J426" s="445"/>
      <c r="K426" s="1136"/>
      <c r="L426" s="1136"/>
      <c r="M426" s="445"/>
      <c r="N426" s="445"/>
      <c r="O426" s="445"/>
      <c r="P426" s="445"/>
    </row>
    <row r="427" spans="1:16">
      <c r="A427" s="277"/>
      <c r="B427" s="277"/>
      <c r="C427" s="277"/>
      <c r="D427" s="445"/>
      <c r="E427" s="445"/>
      <c r="F427" s="445"/>
      <c r="G427" s="445"/>
      <c r="H427" s="445"/>
      <c r="I427" s="445"/>
      <c r="J427" s="445"/>
      <c r="K427" s="1136"/>
      <c r="L427" s="1136"/>
      <c r="M427" s="445"/>
      <c r="N427" s="445"/>
      <c r="O427" s="445"/>
      <c r="P427" s="445"/>
    </row>
    <row r="428" spans="1:16">
      <c r="A428" s="277"/>
      <c r="B428" s="277"/>
      <c r="C428" s="277"/>
      <c r="D428" s="445"/>
      <c r="E428" s="445"/>
      <c r="F428" s="445"/>
      <c r="G428" s="445"/>
      <c r="H428" s="445"/>
      <c r="I428" s="445"/>
      <c r="J428" s="445"/>
      <c r="K428" s="1136"/>
      <c r="L428" s="1136"/>
      <c r="M428" s="445"/>
      <c r="N428" s="445"/>
      <c r="O428" s="445"/>
      <c r="P428" s="445"/>
    </row>
    <row r="429" spans="1:16">
      <c r="A429" s="277"/>
      <c r="B429" s="277"/>
      <c r="C429" s="277"/>
      <c r="D429" s="445"/>
      <c r="E429" s="445"/>
      <c r="F429" s="445"/>
      <c r="G429" s="445"/>
      <c r="H429" s="445"/>
      <c r="I429" s="445"/>
      <c r="J429" s="445"/>
      <c r="K429" s="1136"/>
      <c r="L429" s="1136"/>
      <c r="M429" s="445"/>
      <c r="N429" s="445"/>
      <c r="O429" s="445"/>
      <c r="P429" s="445"/>
    </row>
    <row r="430" spans="1:16">
      <c r="A430" s="277"/>
      <c r="B430" s="277"/>
      <c r="C430" s="277"/>
      <c r="D430" s="445"/>
      <c r="E430" s="445"/>
      <c r="F430" s="445"/>
      <c r="G430" s="445"/>
      <c r="H430" s="445"/>
      <c r="I430" s="445"/>
      <c r="J430" s="445"/>
      <c r="K430" s="1136"/>
      <c r="L430" s="1136"/>
      <c r="M430" s="445"/>
      <c r="N430" s="445"/>
      <c r="O430" s="445"/>
      <c r="P430" s="445"/>
    </row>
    <row r="431" spans="1:16">
      <c r="A431" s="277"/>
      <c r="B431" s="277"/>
      <c r="C431" s="277"/>
      <c r="D431" s="445"/>
      <c r="E431" s="445"/>
      <c r="F431" s="445"/>
      <c r="G431" s="445"/>
      <c r="H431" s="445"/>
      <c r="I431" s="445"/>
      <c r="J431" s="445"/>
      <c r="K431" s="1136"/>
      <c r="L431" s="1136"/>
      <c r="M431" s="445"/>
      <c r="N431" s="445"/>
      <c r="O431" s="445"/>
      <c r="P431" s="445"/>
    </row>
    <row r="432" spans="1:16">
      <c r="A432" s="277"/>
      <c r="B432" s="277"/>
      <c r="C432" s="277"/>
      <c r="D432" s="445"/>
      <c r="E432" s="445"/>
      <c r="F432" s="445"/>
      <c r="G432" s="445"/>
      <c r="H432" s="445"/>
      <c r="I432" s="445"/>
      <c r="J432" s="445"/>
      <c r="K432" s="1136"/>
      <c r="L432" s="1136"/>
      <c r="M432" s="445"/>
      <c r="N432" s="445"/>
      <c r="O432" s="445"/>
      <c r="P432" s="445"/>
    </row>
    <row r="433" spans="1:16">
      <c r="A433" s="277"/>
      <c r="B433" s="277"/>
      <c r="C433" s="277"/>
      <c r="D433" s="445"/>
      <c r="E433" s="445"/>
      <c r="F433" s="445"/>
      <c r="G433" s="445"/>
      <c r="H433" s="445"/>
      <c r="I433" s="445"/>
      <c r="J433" s="445"/>
      <c r="K433" s="1136"/>
      <c r="L433" s="1136"/>
      <c r="M433" s="445"/>
      <c r="N433" s="445"/>
      <c r="O433" s="445"/>
      <c r="P433" s="445"/>
    </row>
    <row r="434" spans="1:16">
      <c r="A434" s="277"/>
      <c r="B434" s="277"/>
      <c r="C434" s="277"/>
      <c r="D434" s="445"/>
      <c r="E434" s="445"/>
      <c r="F434" s="445"/>
      <c r="G434" s="445"/>
      <c r="H434" s="445"/>
      <c r="I434" s="445"/>
      <c r="J434" s="445"/>
      <c r="K434" s="1136"/>
      <c r="L434" s="1136"/>
      <c r="M434" s="445"/>
      <c r="N434" s="445"/>
      <c r="O434" s="445"/>
      <c r="P434" s="445"/>
    </row>
    <row r="435" spans="1:16">
      <c r="A435" s="277"/>
      <c r="B435" s="277"/>
      <c r="C435" s="277"/>
      <c r="D435" s="445"/>
      <c r="E435" s="445"/>
      <c r="F435" s="445"/>
      <c r="G435" s="445"/>
      <c r="H435" s="445"/>
      <c r="I435" s="445"/>
      <c r="J435" s="445"/>
      <c r="K435" s="1136"/>
      <c r="L435" s="1136"/>
      <c r="M435" s="445"/>
      <c r="N435" s="445"/>
      <c r="O435" s="445"/>
      <c r="P435" s="445"/>
    </row>
    <row r="436" spans="1:16">
      <c r="A436" s="277"/>
      <c r="B436" s="277"/>
      <c r="C436" s="277"/>
      <c r="D436" s="445"/>
      <c r="E436" s="445"/>
      <c r="F436" s="445"/>
      <c r="G436" s="445"/>
      <c r="H436" s="445"/>
      <c r="I436" s="445"/>
      <c r="J436" s="445"/>
      <c r="K436" s="1136"/>
      <c r="L436" s="1136"/>
      <c r="M436" s="445"/>
      <c r="N436" s="445"/>
      <c r="O436" s="445"/>
      <c r="P436" s="445"/>
    </row>
    <row r="437" spans="1:16">
      <c r="A437" s="277"/>
      <c r="B437" s="277"/>
      <c r="C437" s="277"/>
      <c r="D437" s="445"/>
      <c r="E437" s="445"/>
      <c r="F437" s="445"/>
      <c r="G437" s="445"/>
      <c r="H437" s="445"/>
      <c r="I437" s="445"/>
      <c r="J437" s="445"/>
      <c r="K437" s="1136"/>
      <c r="L437" s="1136"/>
      <c r="M437" s="445"/>
      <c r="N437" s="445"/>
      <c r="O437" s="445"/>
      <c r="P437" s="445"/>
    </row>
    <row r="438" spans="1:16">
      <c r="A438" s="277"/>
      <c r="B438" s="277"/>
      <c r="C438" s="277"/>
      <c r="D438" s="445"/>
      <c r="E438" s="445"/>
      <c r="F438" s="445"/>
      <c r="G438" s="445"/>
      <c r="H438" s="445"/>
      <c r="I438" s="445"/>
      <c r="J438" s="445"/>
      <c r="K438" s="1136"/>
      <c r="L438" s="1136"/>
      <c r="M438" s="445"/>
      <c r="N438" s="445"/>
      <c r="O438" s="445"/>
      <c r="P438" s="445"/>
    </row>
    <row r="439" spans="1:16">
      <c r="A439" s="277"/>
      <c r="B439" s="277"/>
      <c r="C439" s="277"/>
      <c r="D439" s="445"/>
      <c r="E439" s="445"/>
      <c r="F439" s="445"/>
      <c r="G439" s="445"/>
      <c r="H439" s="445"/>
      <c r="I439" s="445"/>
      <c r="J439" s="445"/>
      <c r="K439" s="1136"/>
      <c r="L439" s="1136"/>
      <c r="M439" s="445"/>
      <c r="N439" s="445"/>
      <c r="O439" s="445"/>
      <c r="P439" s="445"/>
    </row>
    <row r="440" spans="1:16">
      <c r="A440" s="277"/>
      <c r="B440" s="277"/>
      <c r="C440" s="277"/>
      <c r="D440" s="445"/>
      <c r="E440" s="445"/>
      <c r="F440" s="445"/>
      <c r="G440" s="445"/>
      <c r="H440" s="445"/>
      <c r="I440" s="445"/>
      <c r="J440" s="445"/>
      <c r="K440" s="1136"/>
      <c r="L440" s="1136"/>
      <c r="M440" s="445"/>
      <c r="N440" s="445"/>
      <c r="O440" s="445"/>
      <c r="P440" s="445"/>
    </row>
    <row r="441" spans="1:16">
      <c r="A441" s="277"/>
      <c r="B441" s="277"/>
      <c r="C441" s="277"/>
      <c r="D441" s="445"/>
      <c r="E441" s="445"/>
      <c r="F441" s="445"/>
      <c r="G441" s="445"/>
      <c r="H441" s="445"/>
      <c r="I441" s="445"/>
      <c r="J441" s="445"/>
      <c r="K441" s="1136"/>
      <c r="L441" s="1136"/>
      <c r="M441" s="445"/>
      <c r="N441" s="445"/>
      <c r="O441" s="445"/>
      <c r="P441" s="445"/>
    </row>
    <row r="442" spans="1:16">
      <c r="A442" s="277"/>
      <c r="B442" s="277"/>
      <c r="C442" s="277"/>
      <c r="D442" s="445"/>
      <c r="E442" s="445"/>
      <c r="F442" s="445"/>
      <c r="G442" s="445"/>
      <c r="H442" s="445"/>
      <c r="I442" s="445"/>
      <c r="J442" s="445"/>
      <c r="K442" s="1136"/>
      <c r="L442" s="1136"/>
      <c r="M442" s="445"/>
      <c r="N442" s="445"/>
      <c r="O442" s="445"/>
      <c r="P442" s="445"/>
    </row>
    <row r="443" spans="1:16">
      <c r="A443" s="277"/>
      <c r="B443" s="277"/>
      <c r="C443" s="277"/>
      <c r="D443" s="445"/>
      <c r="E443" s="445"/>
      <c r="F443" s="445"/>
      <c r="G443" s="445"/>
      <c r="H443" s="445"/>
      <c r="I443" s="445"/>
      <c r="J443" s="445"/>
      <c r="K443" s="1136"/>
      <c r="L443" s="1136"/>
      <c r="M443" s="445"/>
      <c r="N443" s="445"/>
      <c r="O443" s="445"/>
      <c r="P443" s="445"/>
    </row>
    <row r="444" spans="1:16">
      <c r="A444" s="277"/>
      <c r="B444" s="277"/>
      <c r="C444" s="277"/>
      <c r="D444" s="445"/>
      <c r="E444" s="445"/>
      <c r="F444" s="445"/>
      <c r="G444" s="445"/>
      <c r="H444" s="445"/>
      <c r="I444" s="445"/>
      <c r="J444" s="445"/>
      <c r="K444" s="1136"/>
      <c r="L444" s="1136"/>
      <c r="M444" s="445"/>
      <c r="N444" s="445"/>
      <c r="O444" s="445"/>
      <c r="P444" s="445"/>
    </row>
    <row r="445" spans="1:16">
      <c r="A445" s="277"/>
      <c r="B445" s="277"/>
      <c r="C445" s="277"/>
      <c r="D445" s="445"/>
      <c r="E445" s="445"/>
      <c r="F445" s="445"/>
      <c r="G445" s="445"/>
      <c r="H445" s="445"/>
      <c r="I445" s="445"/>
      <c r="J445" s="445"/>
      <c r="K445" s="1136"/>
      <c r="L445" s="1136"/>
      <c r="M445" s="445"/>
      <c r="N445" s="445"/>
      <c r="O445" s="445"/>
      <c r="P445" s="445"/>
    </row>
    <row r="446" spans="1:16">
      <c r="A446" s="277"/>
      <c r="B446" s="277"/>
      <c r="C446" s="277"/>
      <c r="D446" s="445"/>
      <c r="E446" s="445"/>
      <c r="F446" s="445"/>
      <c r="G446" s="445"/>
      <c r="H446" s="445"/>
      <c r="I446" s="445"/>
      <c r="J446" s="445"/>
      <c r="K446" s="1136"/>
      <c r="L446" s="1136"/>
      <c r="M446" s="445"/>
      <c r="N446" s="445"/>
      <c r="O446" s="445"/>
      <c r="P446" s="445"/>
    </row>
    <row r="447" spans="1:16">
      <c r="A447" s="277"/>
      <c r="B447" s="277"/>
      <c r="C447" s="277"/>
      <c r="D447" s="445"/>
      <c r="E447" s="445"/>
      <c r="F447" s="445"/>
      <c r="G447" s="445"/>
      <c r="H447" s="445"/>
      <c r="I447" s="445"/>
      <c r="J447" s="445"/>
      <c r="K447" s="1136"/>
      <c r="L447" s="1136"/>
      <c r="M447" s="445"/>
      <c r="N447" s="445"/>
      <c r="O447" s="445"/>
      <c r="P447" s="445"/>
    </row>
    <row r="448" spans="1:16">
      <c r="A448" s="277"/>
      <c r="B448" s="277"/>
      <c r="C448" s="277"/>
      <c r="D448" s="445"/>
      <c r="E448" s="445"/>
      <c r="F448" s="445"/>
      <c r="G448" s="445"/>
      <c r="H448" s="445"/>
      <c r="I448" s="445"/>
      <c r="J448" s="445"/>
      <c r="K448" s="1136"/>
      <c r="L448" s="1136"/>
      <c r="M448" s="445"/>
      <c r="N448" s="445"/>
      <c r="O448" s="445"/>
      <c r="P448" s="445"/>
    </row>
    <row r="449" spans="1:16">
      <c r="A449" s="277"/>
      <c r="B449" s="277"/>
      <c r="C449" s="277"/>
      <c r="D449" s="445"/>
      <c r="E449" s="445"/>
      <c r="F449" s="445"/>
      <c r="G449" s="445"/>
      <c r="H449" s="445"/>
      <c r="I449" s="445"/>
      <c r="J449" s="445"/>
      <c r="K449" s="1136"/>
      <c r="L449" s="1136"/>
      <c r="M449" s="445"/>
      <c r="N449" s="445"/>
      <c r="O449" s="445"/>
      <c r="P449" s="445"/>
    </row>
    <row r="450" spans="1:16">
      <c r="A450" s="277"/>
      <c r="B450" s="277"/>
      <c r="C450" s="277"/>
      <c r="D450" s="445"/>
      <c r="E450" s="445"/>
      <c r="F450" s="445"/>
      <c r="G450" s="445"/>
      <c r="H450" s="445"/>
      <c r="I450" s="445"/>
      <c r="J450" s="445"/>
      <c r="K450" s="1136"/>
      <c r="L450" s="1136"/>
      <c r="M450" s="445"/>
      <c r="N450" s="445"/>
      <c r="O450" s="445"/>
      <c r="P450" s="445"/>
    </row>
    <row r="451" spans="1:16">
      <c r="A451" s="277"/>
      <c r="B451" s="277"/>
      <c r="C451" s="277"/>
      <c r="D451" s="445"/>
      <c r="E451" s="445"/>
      <c r="F451" s="445"/>
      <c r="G451" s="445"/>
      <c r="H451" s="445"/>
      <c r="I451" s="445"/>
      <c r="J451" s="445"/>
      <c r="K451" s="1136"/>
      <c r="L451" s="1136"/>
      <c r="M451" s="445"/>
      <c r="N451" s="445"/>
      <c r="O451" s="445"/>
      <c r="P451" s="445"/>
    </row>
    <row r="452" spans="1:16">
      <c r="A452" s="277"/>
      <c r="B452" s="277"/>
      <c r="C452" s="277"/>
      <c r="D452" s="445"/>
      <c r="E452" s="445"/>
      <c r="F452" s="445"/>
      <c r="G452" s="445"/>
      <c r="H452" s="445"/>
      <c r="I452" s="445"/>
      <c r="J452" s="445"/>
      <c r="K452" s="1136"/>
      <c r="L452" s="1136"/>
      <c r="M452" s="445"/>
      <c r="N452" s="445"/>
      <c r="O452" s="445"/>
      <c r="P452" s="445"/>
    </row>
    <row r="453" spans="1:16">
      <c r="A453" s="277"/>
      <c r="B453" s="277"/>
      <c r="C453" s="277"/>
      <c r="D453" s="445"/>
      <c r="E453" s="445"/>
      <c r="F453" s="445"/>
      <c r="G453" s="445"/>
      <c r="H453" s="445"/>
      <c r="I453" s="445"/>
      <c r="J453" s="445"/>
      <c r="K453" s="1136"/>
      <c r="L453" s="1136"/>
      <c r="M453" s="445"/>
      <c r="N453" s="445"/>
      <c r="O453" s="445"/>
      <c r="P453" s="445"/>
    </row>
    <row r="454" spans="1:16">
      <c r="A454" s="277"/>
      <c r="B454" s="277"/>
      <c r="C454" s="277"/>
      <c r="D454" s="445"/>
      <c r="E454" s="445"/>
      <c r="F454" s="445"/>
      <c r="G454" s="445"/>
      <c r="H454" s="445"/>
      <c r="I454" s="445"/>
      <c r="J454" s="445"/>
      <c r="K454" s="1136"/>
      <c r="L454" s="1136"/>
      <c r="M454" s="445"/>
      <c r="N454" s="445"/>
      <c r="O454" s="445"/>
      <c r="P454" s="445"/>
    </row>
    <row r="455" spans="1:16">
      <c r="A455" s="277"/>
      <c r="B455" s="277"/>
      <c r="C455" s="277"/>
      <c r="D455" s="445"/>
      <c r="E455" s="445"/>
      <c r="F455" s="445"/>
      <c r="G455" s="445"/>
      <c r="H455" s="445"/>
      <c r="I455" s="445"/>
      <c r="J455" s="445"/>
      <c r="K455" s="1136"/>
      <c r="L455" s="1136"/>
      <c r="M455" s="445"/>
      <c r="N455" s="445"/>
      <c r="O455" s="445"/>
      <c r="P455" s="445"/>
    </row>
    <row r="456" spans="1:16">
      <c r="A456" s="277"/>
      <c r="B456" s="277"/>
      <c r="C456" s="277"/>
      <c r="D456" s="445"/>
      <c r="E456" s="445"/>
      <c r="F456" s="445"/>
      <c r="G456" s="445"/>
      <c r="H456" s="445"/>
      <c r="I456" s="445"/>
      <c r="J456" s="445"/>
      <c r="K456" s="1136"/>
      <c r="L456" s="1136"/>
      <c r="M456" s="445"/>
      <c r="N456" s="445"/>
      <c r="O456" s="445"/>
      <c r="P456" s="445"/>
    </row>
    <row r="457" spans="1:16">
      <c r="A457" s="277"/>
      <c r="B457" s="277"/>
      <c r="C457" s="277"/>
      <c r="D457" s="445"/>
      <c r="E457" s="445"/>
      <c r="F457" s="445"/>
      <c r="G457" s="445"/>
      <c r="H457" s="445"/>
      <c r="I457" s="445"/>
      <c r="J457" s="445"/>
      <c r="K457" s="1136"/>
      <c r="L457" s="1136"/>
      <c r="M457" s="445"/>
      <c r="N457" s="445"/>
      <c r="O457" s="445"/>
      <c r="P457" s="445"/>
    </row>
    <row r="458" spans="1:16">
      <c r="A458" s="277"/>
      <c r="B458" s="277"/>
      <c r="C458" s="277"/>
      <c r="D458" s="445"/>
      <c r="E458" s="445"/>
      <c r="F458" s="445"/>
      <c r="G458" s="445"/>
      <c r="H458" s="445"/>
      <c r="I458" s="445"/>
      <c r="J458" s="445"/>
      <c r="K458" s="1136"/>
      <c r="L458" s="1136"/>
      <c r="M458" s="445"/>
      <c r="N458" s="445"/>
      <c r="O458" s="445"/>
      <c r="P458" s="445"/>
    </row>
    <row r="459" spans="1:16">
      <c r="A459" s="277"/>
      <c r="B459" s="277"/>
      <c r="C459" s="277"/>
      <c r="D459" s="445"/>
      <c r="E459" s="445"/>
      <c r="F459" s="445"/>
      <c r="G459" s="445"/>
      <c r="H459" s="445"/>
      <c r="I459" s="445"/>
      <c r="J459" s="445"/>
      <c r="K459" s="1136"/>
      <c r="L459" s="1136"/>
      <c r="M459" s="445"/>
      <c r="N459" s="445"/>
      <c r="O459" s="445"/>
      <c r="P459" s="445"/>
    </row>
    <row r="460" spans="1:16">
      <c r="A460" s="277"/>
      <c r="B460" s="277"/>
      <c r="C460" s="277"/>
      <c r="D460" s="445"/>
      <c r="E460" s="445"/>
      <c r="F460" s="445"/>
      <c r="G460" s="445"/>
      <c r="H460" s="445"/>
      <c r="I460" s="445"/>
      <c r="J460" s="445"/>
      <c r="K460" s="1136"/>
      <c r="L460" s="1136"/>
      <c r="M460" s="445"/>
      <c r="N460" s="445"/>
      <c r="O460" s="445"/>
      <c r="P460" s="445"/>
    </row>
    <row r="461" spans="1:16">
      <c r="A461" s="277"/>
      <c r="B461" s="277"/>
      <c r="C461" s="277"/>
      <c r="D461" s="445"/>
      <c r="E461" s="445"/>
      <c r="F461" s="445"/>
      <c r="G461" s="445"/>
      <c r="H461" s="445"/>
      <c r="I461" s="445"/>
      <c r="J461" s="445"/>
      <c r="K461" s="1136"/>
      <c r="L461" s="1136"/>
      <c r="M461" s="445"/>
      <c r="N461" s="445"/>
      <c r="O461" s="445"/>
      <c r="P461" s="445"/>
    </row>
    <row r="462" spans="1:16">
      <c r="A462" s="277"/>
      <c r="B462" s="277"/>
      <c r="C462" s="277"/>
      <c r="D462" s="445"/>
      <c r="E462" s="445"/>
      <c r="F462" s="445"/>
      <c r="G462" s="445"/>
      <c r="H462" s="445"/>
      <c r="I462" s="445"/>
      <c r="J462" s="445"/>
      <c r="K462" s="1136"/>
      <c r="L462" s="1136"/>
      <c r="M462" s="445"/>
      <c r="N462" s="445"/>
      <c r="O462" s="445"/>
      <c r="P462" s="445"/>
    </row>
    <row r="463" spans="1:16">
      <c r="A463" s="277"/>
      <c r="B463" s="277"/>
      <c r="C463" s="277"/>
      <c r="D463" s="445"/>
      <c r="E463" s="445"/>
      <c r="F463" s="445"/>
      <c r="G463" s="445"/>
      <c r="H463" s="445"/>
      <c r="I463" s="445"/>
      <c r="J463" s="445"/>
      <c r="K463" s="1136"/>
      <c r="L463" s="1136"/>
      <c r="M463" s="445"/>
      <c r="N463" s="445"/>
      <c r="O463" s="445"/>
      <c r="P463" s="445"/>
    </row>
    <row r="464" spans="1:16">
      <c r="A464" s="277"/>
      <c r="B464" s="277"/>
      <c r="C464" s="277"/>
      <c r="D464" s="445"/>
      <c r="E464" s="445"/>
      <c r="F464" s="445"/>
      <c r="G464" s="445"/>
      <c r="H464" s="445"/>
      <c r="I464" s="445"/>
      <c r="J464" s="445"/>
      <c r="K464" s="1136"/>
      <c r="L464" s="1136"/>
      <c r="M464" s="445"/>
      <c r="N464" s="445"/>
      <c r="O464" s="445"/>
      <c r="P464" s="445"/>
    </row>
    <row r="465" spans="1:16">
      <c r="A465" s="277"/>
      <c r="B465" s="277"/>
      <c r="C465" s="277"/>
      <c r="D465" s="445"/>
      <c r="E465" s="445"/>
      <c r="F465" s="445"/>
      <c r="G465" s="445"/>
      <c r="H465" s="445"/>
      <c r="I465" s="445"/>
      <c r="J465" s="445"/>
      <c r="K465" s="1136"/>
      <c r="L465" s="1136"/>
      <c r="M465" s="445"/>
      <c r="N465" s="445"/>
      <c r="O465" s="445"/>
      <c r="P465" s="445"/>
    </row>
    <row r="466" spans="1:16">
      <c r="A466" s="277"/>
      <c r="B466" s="277"/>
      <c r="C466" s="277"/>
      <c r="D466" s="445"/>
      <c r="E466" s="445"/>
      <c r="F466" s="445"/>
      <c r="G466" s="445"/>
      <c r="H466" s="445"/>
      <c r="I466" s="445"/>
      <c r="J466" s="445"/>
      <c r="K466" s="1136"/>
      <c r="L466" s="1136"/>
      <c r="M466" s="445"/>
      <c r="N466" s="445"/>
      <c r="O466" s="445"/>
      <c r="P466" s="445"/>
    </row>
    <row r="467" spans="1:16">
      <c r="A467" s="277"/>
      <c r="B467" s="277"/>
      <c r="C467" s="277"/>
      <c r="D467" s="445"/>
      <c r="E467" s="445"/>
      <c r="F467" s="445"/>
      <c r="G467" s="445"/>
      <c r="H467" s="445"/>
      <c r="I467" s="445"/>
      <c r="J467" s="445"/>
      <c r="K467" s="1136"/>
      <c r="L467" s="1136"/>
      <c r="M467" s="445"/>
      <c r="N467" s="445"/>
      <c r="O467" s="445"/>
      <c r="P467" s="445"/>
    </row>
    <row r="468" spans="1:16">
      <c r="A468" s="277"/>
      <c r="B468" s="277"/>
      <c r="C468" s="277"/>
      <c r="D468" s="445"/>
      <c r="E468" s="445"/>
      <c r="F468" s="445"/>
      <c r="G468" s="445"/>
      <c r="H468" s="445"/>
      <c r="I468" s="445"/>
      <c r="J468" s="445"/>
      <c r="K468" s="1136"/>
      <c r="L468" s="1136"/>
      <c r="M468" s="445"/>
      <c r="N468" s="445"/>
      <c r="O468" s="445"/>
      <c r="P468" s="445"/>
    </row>
    <row r="469" spans="1:16">
      <c r="A469" s="277"/>
      <c r="B469" s="277"/>
      <c r="C469" s="277"/>
      <c r="D469" s="445"/>
      <c r="E469" s="445"/>
      <c r="F469" s="445"/>
      <c r="G469" s="445"/>
      <c r="H469" s="445"/>
      <c r="I469" s="445"/>
      <c r="J469" s="445"/>
      <c r="K469" s="1136"/>
      <c r="L469" s="1136"/>
      <c r="M469" s="445"/>
      <c r="N469" s="445"/>
      <c r="O469" s="445"/>
      <c r="P469" s="445"/>
    </row>
    <row r="470" spans="1:16">
      <c r="A470" s="277"/>
      <c r="B470" s="277"/>
      <c r="C470" s="277"/>
      <c r="D470" s="445"/>
      <c r="E470" s="445"/>
      <c r="F470" s="445"/>
      <c r="G470" s="445"/>
      <c r="H470" s="445"/>
      <c r="I470" s="445"/>
      <c r="J470" s="445"/>
      <c r="K470" s="1136"/>
      <c r="L470" s="1136"/>
      <c r="M470" s="445"/>
      <c r="N470" s="445"/>
      <c r="O470" s="445"/>
      <c r="P470" s="445"/>
    </row>
    <row r="471" spans="1:16">
      <c r="A471" s="277"/>
      <c r="B471" s="277"/>
      <c r="C471" s="277"/>
      <c r="D471" s="445"/>
      <c r="E471" s="445"/>
      <c r="F471" s="445"/>
      <c r="G471" s="445"/>
      <c r="H471" s="445"/>
      <c r="I471" s="445"/>
      <c r="J471" s="445"/>
      <c r="K471" s="1136"/>
      <c r="L471" s="1136"/>
      <c r="M471" s="445"/>
      <c r="N471" s="445"/>
      <c r="O471" s="445"/>
      <c r="P471" s="445"/>
    </row>
    <row r="472" spans="1:16">
      <c r="A472" s="277"/>
      <c r="B472" s="277"/>
      <c r="C472" s="277"/>
      <c r="D472" s="445"/>
      <c r="E472" s="445"/>
      <c r="F472" s="445"/>
      <c r="G472" s="445"/>
      <c r="H472" s="445"/>
      <c r="I472" s="445"/>
      <c r="J472" s="445"/>
      <c r="K472" s="1136"/>
      <c r="L472" s="1136"/>
      <c r="M472" s="445"/>
      <c r="N472" s="445"/>
      <c r="O472" s="445"/>
      <c r="P472" s="445"/>
    </row>
    <row r="473" spans="1:16">
      <c r="A473" s="277"/>
      <c r="B473" s="277"/>
      <c r="C473" s="277"/>
      <c r="D473" s="445"/>
      <c r="E473" s="445"/>
      <c r="F473" s="445"/>
      <c r="G473" s="445"/>
      <c r="H473" s="445"/>
      <c r="I473" s="445"/>
      <c r="J473" s="445"/>
      <c r="K473" s="1136"/>
      <c r="L473" s="1136"/>
      <c r="M473" s="445"/>
      <c r="N473" s="445"/>
      <c r="O473" s="445"/>
      <c r="P473" s="445"/>
    </row>
    <row r="474" spans="1:16">
      <c r="A474" s="277"/>
      <c r="B474" s="277"/>
      <c r="C474" s="277"/>
      <c r="D474" s="445"/>
      <c r="E474" s="445"/>
      <c r="F474" s="445"/>
      <c r="G474" s="445"/>
      <c r="H474" s="445"/>
      <c r="I474" s="445"/>
      <c r="J474" s="445"/>
      <c r="K474" s="1136"/>
      <c r="L474" s="1136"/>
      <c r="M474" s="445"/>
      <c r="N474" s="445"/>
      <c r="O474" s="445"/>
      <c r="P474" s="445"/>
    </row>
    <row r="475" spans="1:16">
      <c r="A475" s="277"/>
      <c r="B475" s="277"/>
      <c r="C475" s="277"/>
      <c r="D475" s="445"/>
      <c r="E475" s="445"/>
      <c r="F475" s="445"/>
      <c r="G475" s="445"/>
      <c r="H475" s="445"/>
      <c r="I475" s="445"/>
      <c r="J475" s="445"/>
      <c r="K475" s="1136"/>
      <c r="L475" s="1136"/>
      <c r="M475" s="445"/>
      <c r="N475" s="445"/>
      <c r="O475" s="445"/>
      <c r="P475" s="445"/>
    </row>
    <row r="476" spans="1:16">
      <c r="A476" s="277"/>
      <c r="B476" s="277"/>
      <c r="C476" s="277"/>
      <c r="D476" s="445"/>
      <c r="E476" s="445"/>
      <c r="F476" s="445"/>
      <c r="G476" s="445"/>
      <c r="H476" s="445"/>
      <c r="I476" s="445"/>
      <c r="J476" s="445"/>
      <c r="K476" s="1136"/>
      <c r="L476" s="1136"/>
      <c r="M476" s="445"/>
      <c r="N476" s="445"/>
      <c r="O476" s="445"/>
      <c r="P476" s="445"/>
    </row>
    <row r="477" spans="1:16">
      <c r="A477" s="277"/>
      <c r="B477" s="277"/>
      <c r="C477" s="277"/>
      <c r="D477" s="445"/>
      <c r="E477" s="445"/>
      <c r="F477" s="445"/>
      <c r="G477" s="445"/>
      <c r="H477" s="445"/>
      <c r="I477" s="445"/>
      <c r="J477" s="445"/>
      <c r="K477" s="1136"/>
      <c r="L477" s="1136"/>
      <c r="M477" s="445"/>
      <c r="N477" s="445"/>
      <c r="O477" s="445"/>
      <c r="P477" s="445"/>
    </row>
    <row r="478" spans="1:16">
      <c r="A478" s="277"/>
      <c r="B478" s="277"/>
      <c r="C478" s="277"/>
      <c r="D478" s="445"/>
      <c r="E478" s="445"/>
      <c r="F478" s="445"/>
      <c r="G478" s="445"/>
      <c r="H478" s="445"/>
      <c r="I478" s="445"/>
      <c r="J478" s="445"/>
      <c r="K478" s="1136"/>
      <c r="L478" s="1136"/>
      <c r="M478" s="445"/>
      <c r="N478" s="445"/>
      <c r="O478" s="445"/>
      <c r="P478" s="445"/>
    </row>
  </sheetData>
  <mergeCells count="4">
    <mergeCell ref="A5:E5"/>
    <mergeCell ref="F5:J5"/>
    <mergeCell ref="K5:M5"/>
    <mergeCell ref="N5:P5"/>
  </mergeCells>
  <printOptions horizontalCentered="1"/>
  <pageMargins left="0.19685039370078741" right="0.19685039370078741" top="0.78740157480314965" bottom="0.78740157480314965" header="0.19685039370078741" footer="0.19685039370078741"/>
  <pageSetup paperSize="9" scale="63" fitToHeight="100" orientation="landscape" r:id="rId1"/>
  <headerFooter>
    <oddHeader>&amp;C&amp;"Arial,Negrita"&amp;20PROYECTO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2060"/>
    <pageSetUpPr fitToPage="1"/>
  </sheetPr>
  <dimension ref="A1:V478"/>
  <sheetViews>
    <sheetView view="pageBreakPreview" zoomScaleNormal="100" zoomScaleSheetLayoutView="100" workbookViewId="0">
      <selection activeCell="B8" sqref="B8"/>
    </sheetView>
  </sheetViews>
  <sheetFormatPr baseColWidth="10" defaultColWidth="11.42578125" defaultRowHeight="12"/>
  <cols>
    <col min="1" max="1" width="13.140625" style="265" customWidth="1"/>
    <col min="2" max="2" width="9.140625" style="265" customWidth="1"/>
    <col min="3" max="3" width="10.140625" style="285" customWidth="1"/>
    <col min="4" max="4" width="20.7109375" style="265" customWidth="1"/>
    <col min="5" max="5" width="10.7109375" style="265" customWidth="1"/>
    <col min="6" max="6" width="10" style="265" bestFit="1" customWidth="1"/>
    <col min="7" max="7" width="35.7109375" style="265" customWidth="1"/>
    <col min="8" max="8" width="20.7109375" style="265" customWidth="1"/>
    <col min="9" max="9" width="35.7109375" style="265" customWidth="1"/>
    <col min="10" max="10" width="20.7109375" style="265" customWidth="1"/>
    <col min="11" max="11" width="7.7109375" style="276" bestFit="1" customWidth="1"/>
    <col min="12" max="12" width="5.42578125" style="276" bestFit="1" customWidth="1"/>
    <col min="13" max="13" width="8.85546875" style="265" bestFit="1" customWidth="1"/>
    <col min="14" max="14" width="7.7109375" style="265" bestFit="1" customWidth="1"/>
    <col min="15" max="15" width="5.42578125" style="265" bestFit="1" customWidth="1"/>
    <col min="16" max="16" width="8.85546875" style="265" bestFit="1" customWidth="1"/>
    <col min="17" max="16384" width="11.42578125" style="265"/>
  </cols>
  <sheetData>
    <row r="1" spans="1:22" s="275" customFormat="1">
      <c r="A1" s="275" t="s">
        <v>473</v>
      </c>
      <c r="C1" s="444"/>
    </row>
    <row r="2" spans="1:22" s="264" customFormat="1">
      <c r="A2" s="69" t="s">
        <v>1655</v>
      </c>
      <c r="B2" s="69"/>
      <c r="C2" s="282"/>
      <c r="D2" s="69"/>
      <c r="E2" s="69"/>
      <c r="F2" s="69"/>
      <c r="G2" s="69"/>
      <c r="H2" s="69"/>
      <c r="I2" s="69"/>
      <c r="J2" s="69"/>
      <c r="K2" s="69"/>
      <c r="L2" s="69"/>
      <c r="M2" s="69"/>
      <c r="N2" s="69"/>
      <c r="O2" s="69"/>
      <c r="P2" s="69"/>
      <c r="Q2" s="69"/>
      <c r="R2" s="69"/>
      <c r="S2" s="69"/>
      <c r="T2" s="69"/>
      <c r="U2" s="69"/>
      <c r="V2" s="69"/>
    </row>
    <row r="3" spans="1:22" s="264" customFormat="1">
      <c r="A3" s="742" t="s">
        <v>1654</v>
      </c>
      <c r="B3" s="69"/>
      <c r="C3" s="282"/>
      <c r="D3" s="69"/>
      <c r="E3" s="69"/>
      <c r="F3" s="69"/>
      <c r="G3" s="69"/>
      <c r="H3" s="69"/>
      <c r="I3" s="69"/>
      <c r="J3" s="69"/>
      <c r="K3" s="69"/>
      <c r="L3" s="69"/>
      <c r="M3" s="69"/>
      <c r="N3" s="69"/>
      <c r="O3" s="69"/>
      <c r="P3" s="69"/>
      <c r="Q3" s="69"/>
      <c r="R3" s="69"/>
      <c r="S3" s="69"/>
      <c r="T3" s="69"/>
      <c r="U3" s="69"/>
      <c r="V3" s="69"/>
    </row>
    <row r="4" spans="1:22" ht="12.75" thickBot="1">
      <c r="A4" s="742" t="s">
        <v>4387</v>
      </c>
    </row>
    <row r="5" spans="1:22" s="277" customFormat="1" ht="12.75" thickBot="1">
      <c r="A5" s="2024" t="s">
        <v>131</v>
      </c>
      <c r="B5" s="2069"/>
      <c r="C5" s="2069"/>
      <c r="D5" s="2069"/>
      <c r="E5" s="2025"/>
      <c r="F5" s="2070" t="s">
        <v>132</v>
      </c>
      <c r="G5" s="2071"/>
      <c r="H5" s="2072"/>
      <c r="I5" s="2072"/>
      <c r="J5" s="2073"/>
      <c r="K5" s="2074" t="s">
        <v>1652</v>
      </c>
      <c r="L5" s="2075"/>
      <c r="M5" s="2076"/>
      <c r="N5" s="2074" t="s">
        <v>1651</v>
      </c>
      <c r="O5" s="2075"/>
      <c r="P5" s="2076"/>
    </row>
    <row r="6" spans="1:22" s="278" customFormat="1" ht="78" thickBot="1">
      <c r="A6" s="451" t="s">
        <v>94</v>
      </c>
      <c r="B6" s="450" t="s">
        <v>8</v>
      </c>
      <c r="C6" s="139" t="s">
        <v>91</v>
      </c>
      <c r="D6" s="402" t="s">
        <v>95</v>
      </c>
      <c r="E6" s="404" t="s">
        <v>115</v>
      </c>
      <c r="F6" s="401" t="s">
        <v>119</v>
      </c>
      <c r="G6" s="402" t="s">
        <v>120</v>
      </c>
      <c r="H6" s="402" t="s">
        <v>134</v>
      </c>
      <c r="I6" s="139" t="s">
        <v>135</v>
      </c>
      <c r="J6" s="400" t="s">
        <v>124</v>
      </c>
      <c r="K6" s="443" t="s">
        <v>121</v>
      </c>
      <c r="L6" s="140" t="s">
        <v>122</v>
      </c>
      <c r="M6" s="141" t="s">
        <v>123</v>
      </c>
      <c r="N6" s="443" t="s">
        <v>121</v>
      </c>
      <c r="O6" s="140" t="s">
        <v>122</v>
      </c>
      <c r="P6" s="141" t="s">
        <v>123</v>
      </c>
    </row>
    <row r="7" spans="1:22" s="264" customFormat="1">
      <c r="A7" s="1340" t="s">
        <v>4242</v>
      </c>
      <c r="B7" s="1341" t="s">
        <v>1880</v>
      </c>
      <c r="C7" s="1342" t="s">
        <v>504</v>
      </c>
      <c r="D7" s="1343" t="s">
        <v>4339</v>
      </c>
      <c r="E7" s="1344">
        <v>14000</v>
      </c>
      <c r="F7" s="1345">
        <v>78856820</v>
      </c>
      <c r="G7" s="1346" t="s">
        <v>4386</v>
      </c>
      <c r="H7" s="1347" t="s">
        <v>599</v>
      </c>
      <c r="I7" s="1343" t="s">
        <v>507</v>
      </c>
      <c r="J7" s="1348" t="s">
        <v>507</v>
      </c>
      <c r="K7" s="1349">
        <v>2</v>
      </c>
      <c r="L7" s="1350">
        <v>11</v>
      </c>
      <c r="M7" s="1351">
        <f>+L7*E7+600+134*L7-2416</f>
        <v>153658</v>
      </c>
      <c r="N7" s="1349">
        <v>1</v>
      </c>
      <c r="O7" s="1350">
        <v>6</v>
      </c>
      <c r="P7" s="1352">
        <f>+O7*E7+300+134*5+43</f>
        <v>85013</v>
      </c>
    </row>
    <row r="8" spans="1:22" s="264" customFormat="1">
      <c r="A8" s="1340" t="s">
        <v>4242</v>
      </c>
      <c r="B8" s="1341" t="s">
        <v>1880</v>
      </c>
      <c r="C8" s="1341" t="s">
        <v>504</v>
      </c>
      <c r="D8" s="1353" t="s">
        <v>787</v>
      </c>
      <c r="E8" s="1354">
        <v>13000</v>
      </c>
      <c r="F8" s="1355">
        <v>257006827</v>
      </c>
      <c r="G8" s="1356" t="s">
        <v>4385</v>
      </c>
      <c r="H8" s="1357" t="s">
        <v>4334</v>
      </c>
      <c r="I8" s="1358" t="s">
        <v>599</v>
      </c>
      <c r="J8" s="1359" t="s">
        <v>599</v>
      </c>
      <c r="K8" s="1360">
        <v>2</v>
      </c>
      <c r="L8" s="1361">
        <v>12</v>
      </c>
      <c r="M8" s="1362">
        <f>+L8*E8+600+134*L8</f>
        <v>158208</v>
      </c>
      <c r="N8" s="1360">
        <v>1</v>
      </c>
      <c r="O8" s="1361">
        <v>6</v>
      </c>
      <c r="P8" s="1224">
        <f>+O8*E8+300+134*5</f>
        <v>78970</v>
      </c>
    </row>
    <row r="9" spans="1:22" s="264" customFormat="1">
      <c r="A9" s="1340" t="s">
        <v>4242</v>
      </c>
      <c r="B9" s="1341" t="s">
        <v>1880</v>
      </c>
      <c r="C9" s="1341" t="s">
        <v>504</v>
      </c>
      <c r="D9" s="1353" t="s">
        <v>4384</v>
      </c>
      <c r="E9" s="1354">
        <v>11000</v>
      </c>
      <c r="F9" s="1355">
        <v>7914152</v>
      </c>
      <c r="G9" s="1356" t="s">
        <v>4383</v>
      </c>
      <c r="H9" s="1357" t="s">
        <v>4372</v>
      </c>
      <c r="I9" s="1358" t="s">
        <v>599</v>
      </c>
      <c r="J9" s="1359" t="s">
        <v>599</v>
      </c>
      <c r="K9" s="1360">
        <v>2</v>
      </c>
      <c r="L9" s="1361">
        <v>12</v>
      </c>
      <c r="M9" s="1362">
        <f>+L9*E9+600+134*L9</f>
        <v>134208</v>
      </c>
      <c r="N9" s="1360">
        <v>1</v>
      </c>
      <c r="O9" s="1361">
        <v>6</v>
      </c>
      <c r="P9" s="1224">
        <f t="shared" ref="P9:P40" si="0">+O9*E9+300+134*4</f>
        <v>66836</v>
      </c>
    </row>
    <row r="10" spans="1:22" s="264" customFormat="1">
      <c r="A10" s="1340" t="s">
        <v>4242</v>
      </c>
      <c r="B10" s="1341" t="s">
        <v>1880</v>
      </c>
      <c r="C10" s="1341" t="s">
        <v>504</v>
      </c>
      <c r="D10" s="1358" t="s">
        <v>4339</v>
      </c>
      <c r="E10" s="1363">
        <v>11000</v>
      </c>
      <c r="F10" s="1355">
        <v>40365682</v>
      </c>
      <c r="G10" s="1356" t="s">
        <v>4382</v>
      </c>
      <c r="H10" s="1357" t="s">
        <v>4301</v>
      </c>
      <c r="I10" s="1358" t="s">
        <v>599</v>
      </c>
      <c r="J10" s="1359" t="s">
        <v>599</v>
      </c>
      <c r="K10" s="1360">
        <v>2</v>
      </c>
      <c r="L10" s="1361">
        <v>12</v>
      </c>
      <c r="M10" s="1362">
        <f>+L10*E10+600+134*L10</f>
        <v>134208</v>
      </c>
      <c r="N10" s="1360">
        <v>1</v>
      </c>
      <c r="O10" s="1361">
        <v>6</v>
      </c>
      <c r="P10" s="1224">
        <f t="shared" si="0"/>
        <v>66836</v>
      </c>
    </row>
    <row r="11" spans="1:22" s="264" customFormat="1">
      <c r="A11" s="1340" t="s">
        <v>4242</v>
      </c>
      <c r="B11" s="1341" t="s">
        <v>1880</v>
      </c>
      <c r="C11" s="1341" t="s">
        <v>504</v>
      </c>
      <c r="D11" s="1356" t="s">
        <v>787</v>
      </c>
      <c r="E11" s="1354">
        <v>10500</v>
      </c>
      <c r="F11" s="1355">
        <v>41813194</v>
      </c>
      <c r="G11" s="1356" t="s">
        <v>4381</v>
      </c>
      <c r="H11" s="1357" t="s">
        <v>4372</v>
      </c>
      <c r="I11" s="1358" t="s">
        <v>4240</v>
      </c>
      <c r="J11" s="1359" t="s">
        <v>4240</v>
      </c>
      <c r="K11" s="1360">
        <v>2</v>
      </c>
      <c r="L11" s="1361">
        <v>12</v>
      </c>
      <c r="M11" s="1362">
        <f>+L11*E11+600+134*L11-269</f>
        <v>127939</v>
      </c>
      <c r="N11" s="1360">
        <v>1</v>
      </c>
      <c r="O11" s="1361">
        <v>6</v>
      </c>
      <c r="P11" s="1224">
        <f t="shared" si="0"/>
        <v>63836</v>
      </c>
    </row>
    <row r="12" spans="1:22" s="264" customFormat="1">
      <c r="A12" s="1340" t="s">
        <v>4242</v>
      </c>
      <c r="B12" s="1341" t="s">
        <v>1880</v>
      </c>
      <c r="C12" s="1341" t="s">
        <v>504</v>
      </c>
      <c r="D12" s="1353"/>
      <c r="E12" s="1354">
        <v>10000</v>
      </c>
      <c r="F12" s="1355">
        <v>43571915</v>
      </c>
      <c r="G12" s="1356" t="s">
        <v>4380</v>
      </c>
      <c r="H12" s="1357" t="s">
        <v>1695</v>
      </c>
      <c r="I12" s="1358" t="s">
        <v>4240</v>
      </c>
      <c r="J12" s="1359" t="s">
        <v>4240</v>
      </c>
      <c r="K12" s="1360">
        <v>2</v>
      </c>
      <c r="L12" s="1361">
        <v>12</v>
      </c>
      <c r="M12" s="1362">
        <f t="shared" ref="M12:M43" si="1">+L12*E12+600+134*L12</f>
        <v>122208</v>
      </c>
      <c r="N12" s="1360">
        <v>1</v>
      </c>
      <c r="O12" s="1361">
        <v>6</v>
      </c>
      <c r="P12" s="1224">
        <f t="shared" si="0"/>
        <v>60836</v>
      </c>
    </row>
    <row r="13" spans="1:22" s="264" customFormat="1">
      <c r="A13" s="1340" t="s">
        <v>4242</v>
      </c>
      <c r="B13" s="1341" t="s">
        <v>1880</v>
      </c>
      <c r="C13" s="1341" t="s">
        <v>504</v>
      </c>
      <c r="D13" s="1353" t="s">
        <v>787</v>
      </c>
      <c r="E13" s="1354">
        <v>10000</v>
      </c>
      <c r="F13" s="1355">
        <v>10531887</v>
      </c>
      <c r="G13" s="1356" t="s">
        <v>4379</v>
      </c>
      <c r="H13" s="1357" t="s">
        <v>4372</v>
      </c>
      <c r="I13" s="1358" t="s">
        <v>4240</v>
      </c>
      <c r="J13" s="1359" t="s">
        <v>4240</v>
      </c>
      <c r="K13" s="1360">
        <v>2</v>
      </c>
      <c r="L13" s="1361">
        <v>12</v>
      </c>
      <c r="M13" s="1362">
        <f t="shared" si="1"/>
        <v>122208</v>
      </c>
      <c r="N13" s="1360">
        <v>1</v>
      </c>
      <c r="O13" s="1361">
        <v>6</v>
      </c>
      <c r="P13" s="1224">
        <f t="shared" si="0"/>
        <v>60836</v>
      </c>
    </row>
    <row r="14" spans="1:22" s="264" customFormat="1">
      <c r="A14" s="1340" t="s">
        <v>4242</v>
      </c>
      <c r="B14" s="1341" t="s">
        <v>1880</v>
      </c>
      <c r="C14" s="1341" t="s">
        <v>504</v>
      </c>
      <c r="D14" s="1356" t="s">
        <v>787</v>
      </c>
      <c r="E14" s="1363">
        <v>10000</v>
      </c>
      <c r="F14" s="1355">
        <v>7482870</v>
      </c>
      <c r="G14" s="1356" t="s">
        <v>4378</v>
      </c>
      <c r="H14" s="1357" t="s">
        <v>4301</v>
      </c>
      <c r="I14" s="1358" t="s">
        <v>507</v>
      </c>
      <c r="J14" s="1359" t="s">
        <v>507</v>
      </c>
      <c r="K14" s="1360">
        <v>2</v>
      </c>
      <c r="L14" s="1361">
        <v>12</v>
      </c>
      <c r="M14" s="1362">
        <f t="shared" si="1"/>
        <v>122208</v>
      </c>
      <c r="N14" s="1360">
        <v>1</v>
      </c>
      <c r="O14" s="1361">
        <v>6</v>
      </c>
      <c r="P14" s="1224">
        <f t="shared" si="0"/>
        <v>60836</v>
      </c>
    </row>
    <row r="15" spans="1:22" s="264" customFormat="1">
      <c r="A15" s="1340" t="s">
        <v>4242</v>
      </c>
      <c r="B15" s="1341" t="s">
        <v>1880</v>
      </c>
      <c r="C15" s="1341" t="s">
        <v>504</v>
      </c>
      <c r="D15" s="1353" t="s">
        <v>4377</v>
      </c>
      <c r="E15" s="1354">
        <v>10000</v>
      </c>
      <c r="F15" s="1355">
        <v>10137598</v>
      </c>
      <c r="G15" s="1356" t="s">
        <v>4376</v>
      </c>
      <c r="H15" s="1357" t="s">
        <v>925</v>
      </c>
      <c r="I15" s="1358" t="s">
        <v>4240</v>
      </c>
      <c r="J15" s="1359" t="s">
        <v>4240</v>
      </c>
      <c r="K15" s="1360">
        <v>2</v>
      </c>
      <c r="L15" s="1361">
        <v>12</v>
      </c>
      <c r="M15" s="1362">
        <f t="shared" si="1"/>
        <v>122208</v>
      </c>
      <c r="N15" s="1360">
        <v>1</v>
      </c>
      <c r="O15" s="1361">
        <v>6</v>
      </c>
      <c r="P15" s="1224">
        <f t="shared" si="0"/>
        <v>60836</v>
      </c>
    </row>
    <row r="16" spans="1:22" s="264" customFormat="1">
      <c r="A16" s="1340" t="s">
        <v>4242</v>
      </c>
      <c r="B16" s="1341" t="s">
        <v>1880</v>
      </c>
      <c r="C16" s="1341" t="s">
        <v>504</v>
      </c>
      <c r="D16" s="1353" t="s">
        <v>4339</v>
      </c>
      <c r="E16" s="1354">
        <v>8000</v>
      </c>
      <c r="F16" s="1364" t="s">
        <v>4375</v>
      </c>
      <c r="G16" s="1357" t="s">
        <v>4374</v>
      </c>
      <c r="H16" s="1356"/>
      <c r="I16" s="1358"/>
      <c r="J16" s="1359"/>
      <c r="K16" s="1360">
        <v>2</v>
      </c>
      <c r="L16" s="1361">
        <v>12</v>
      </c>
      <c r="M16" s="1362">
        <f t="shared" si="1"/>
        <v>98208</v>
      </c>
      <c r="N16" s="1360">
        <v>1</v>
      </c>
      <c r="O16" s="1361">
        <v>6</v>
      </c>
      <c r="P16" s="1224">
        <f t="shared" si="0"/>
        <v>48836</v>
      </c>
    </row>
    <row r="17" spans="1:16" s="264" customFormat="1">
      <c r="A17" s="1340" t="s">
        <v>4242</v>
      </c>
      <c r="B17" s="1341" t="s">
        <v>1880</v>
      </c>
      <c r="C17" s="1341" t="s">
        <v>504</v>
      </c>
      <c r="D17" s="1353" t="s">
        <v>3500</v>
      </c>
      <c r="E17" s="1363">
        <v>8000</v>
      </c>
      <c r="F17" s="1355">
        <v>10471759</v>
      </c>
      <c r="G17" s="1356" t="s">
        <v>4373</v>
      </c>
      <c r="H17" s="1357" t="s">
        <v>4372</v>
      </c>
      <c r="I17" s="1358" t="s">
        <v>507</v>
      </c>
      <c r="J17" s="1359" t="s">
        <v>507</v>
      </c>
      <c r="K17" s="1360">
        <v>2</v>
      </c>
      <c r="L17" s="1361">
        <v>12</v>
      </c>
      <c r="M17" s="1362">
        <f t="shared" si="1"/>
        <v>98208</v>
      </c>
      <c r="N17" s="1360">
        <v>1</v>
      </c>
      <c r="O17" s="1361">
        <v>6</v>
      </c>
      <c r="P17" s="1224">
        <f t="shared" si="0"/>
        <v>48836</v>
      </c>
    </row>
    <row r="18" spans="1:16" s="264" customFormat="1">
      <c r="A18" s="1340" t="s">
        <v>4242</v>
      </c>
      <c r="B18" s="1341" t="s">
        <v>1880</v>
      </c>
      <c r="C18" s="1341" t="s">
        <v>504</v>
      </c>
      <c r="D18" s="1353" t="s">
        <v>787</v>
      </c>
      <c r="E18" s="1354">
        <v>8000</v>
      </c>
      <c r="F18" s="1364" t="s">
        <v>4371</v>
      </c>
      <c r="G18" s="1356" t="s">
        <v>4370</v>
      </c>
      <c r="H18" s="1357"/>
      <c r="I18" s="1358"/>
      <c r="J18" s="1359"/>
      <c r="K18" s="1360">
        <v>2</v>
      </c>
      <c r="L18" s="1361">
        <v>12</v>
      </c>
      <c r="M18" s="1362">
        <f t="shared" si="1"/>
        <v>98208</v>
      </c>
      <c r="N18" s="1360">
        <v>1</v>
      </c>
      <c r="O18" s="1361">
        <v>6</v>
      </c>
      <c r="P18" s="1224">
        <f t="shared" si="0"/>
        <v>48836</v>
      </c>
    </row>
    <row r="19" spans="1:16" s="264" customFormat="1">
      <c r="A19" s="1340" t="s">
        <v>4242</v>
      </c>
      <c r="B19" s="1341" t="s">
        <v>1880</v>
      </c>
      <c r="C19" s="1341" t="s">
        <v>504</v>
      </c>
      <c r="D19" s="1353" t="s">
        <v>4339</v>
      </c>
      <c r="E19" s="1354">
        <v>8000</v>
      </c>
      <c r="F19" s="1355">
        <v>6688585</v>
      </c>
      <c r="G19" s="1356" t="s">
        <v>4369</v>
      </c>
      <c r="H19" s="1357" t="s">
        <v>1571</v>
      </c>
      <c r="I19" s="1358" t="s">
        <v>4240</v>
      </c>
      <c r="J19" s="1359" t="s">
        <v>4240</v>
      </c>
      <c r="K19" s="1360">
        <v>2</v>
      </c>
      <c r="L19" s="1361">
        <v>12</v>
      </c>
      <c r="M19" s="1362">
        <f t="shared" si="1"/>
        <v>98208</v>
      </c>
      <c r="N19" s="1360">
        <v>1</v>
      </c>
      <c r="O19" s="1361">
        <v>6</v>
      </c>
      <c r="P19" s="1224">
        <f t="shared" si="0"/>
        <v>48836</v>
      </c>
    </row>
    <row r="20" spans="1:16" s="264" customFormat="1">
      <c r="A20" s="1340" t="s">
        <v>4242</v>
      </c>
      <c r="B20" s="1341" t="s">
        <v>1880</v>
      </c>
      <c r="C20" s="1341" t="s">
        <v>504</v>
      </c>
      <c r="D20" s="1353" t="s">
        <v>787</v>
      </c>
      <c r="E20" s="1354">
        <v>8000</v>
      </c>
      <c r="F20" s="1364" t="s">
        <v>4368</v>
      </c>
      <c r="G20" s="1357" t="s">
        <v>4367</v>
      </c>
      <c r="H20" s="1356" t="s">
        <v>1695</v>
      </c>
      <c r="I20" s="1358" t="s">
        <v>569</v>
      </c>
      <c r="J20" s="1359" t="s">
        <v>4240</v>
      </c>
      <c r="K20" s="1360">
        <v>2</v>
      </c>
      <c r="L20" s="1361">
        <v>12</v>
      </c>
      <c r="M20" s="1362">
        <f t="shared" si="1"/>
        <v>98208</v>
      </c>
      <c r="N20" s="1360">
        <v>1</v>
      </c>
      <c r="O20" s="1361">
        <v>6</v>
      </c>
      <c r="P20" s="1224">
        <f t="shared" si="0"/>
        <v>48836</v>
      </c>
    </row>
    <row r="21" spans="1:16" s="264" customFormat="1">
      <c r="A21" s="1340" t="s">
        <v>4242</v>
      </c>
      <c r="B21" s="1341" t="s">
        <v>1880</v>
      </c>
      <c r="C21" s="1341" t="s">
        <v>504</v>
      </c>
      <c r="D21" s="1356" t="s">
        <v>1439</v>
      </c>
      <c r="E21" s="1354">
        <v>8000</v>
      </c>
      <c r="F21" s="1364" t="s">
        <v>4366</v>
      </c>
      <c r="G21" s="1356" t="s">
        <v>4365</v>
      </c>
      <c r="H21" s="1357" t="s">
        <v>4244</v>
      </c>
      <c r="I21" s="1358" t="s">
        <v>569</v>
      </c>
      <c r="J21" s="1359" t="s">
        <v>4240</v>
      </c>
      <c r="K21" s="1360">
        <v>2</v>
      </c>
      <c r="L21" s="1361">
        <v>12</v>
      </c>
      <c r="M21" s="1362">
        <f t="shared" si="1"/>
        <v>98208</v>
      </c>
      <c r="N21" s="1360">
        <v>1</v>
      </c>
      <c r="O21" s="1361">
        <v>6</v>
      </c>
      <c r="P21" s="1224">
        <f t="shared" si="0"/>
        <v>48836</v>
      </c>
    </row>
    <row r="22" spans="1:16" s="264" customFormat="1">
      <c r="A22" s="1340" t="s">
        <v>4242</v>
      </c>
      <c r="B22" s="1341" t="s">
        <v>1880</v>
      </c>
      <c r="C22" s="1341" t="s">
        <v>504</v>
      </c>
      <c r="D22" s="1358" t="s">
        <v>4339</v>
      </c>
      <c r="E22" s="1354">
        <v>7000</v>
      </c>
      <c r="F22" s="1355">
        <v>40995029</v>
      </c>
      <c r="G22" s="1356" t="s">
        <v>4317</v>
      </c>
      <c r="H22" s="1357" t="s">
        <v>4301</v>
      </c>
      <c r="I22" s="1358" t="s">
        <v>4240</v>
      </c>
      <c r="J22" s="1359" t="s">
        <v>4240</v>
      </c>
      <c r="K22" s="1360">
        <v>2</v>
      </c>
      <c r="L22" s="1361">
        <v>12</v>
      </c>
      <c r="M22" s="1362">
        <f t="shared" si="1"/>
        <v>86208</v>
      </c>
      <c r="N22" s="1360">
        <v>1</v>
      </c>
      <c r="O22" s="1361">
        <v>6</v>
      </c>
      <c r="P22" s="1224">
        <f t="shared" si="0"/>
        <v>42836</v>
      </c>
    </row>
    <row r="23" spans="1:16" s="264" customFormat="1">
      <c r="A23" s="1340" t="s">
        <v>4242</v>
      </c>
      <c r="B23" s="1341" t="s">
        <v>1880</v>
      </c>
      <c r="C23" s="1341" t="s">
        <v>504</v>
      </c>
      <c r="D23" s="1227" t="s">
        <v>4255</v>
      </c>
      <c r="E23" s="1354">
        <v>7000</v>
      </c>
      <c r="F23" s="1355">
        <v>40666335</v>
      </c>
      <c r="G23" s="1356" t="s">
        <v>4364</v>
      </c>
      <c r="H23" s="1357" t="s">
        <v>4301</v>
      </c>
      <c r="I23" s="1358" t="s">
        <v>4240</v>
      </c>
      <c r="J23" s="1359" t="s">
        <v>4240</v>
      </c>
      <c r="K23" s="1360">
        <v>2</v>
      </c>
      <c r="L23" s="1361">
        <v>9</v>
      </c>
      <c r="M23" s="1362">
        <f t="shared" si="1"/>
        <v>64806</v>
      </c>
      <c r="N23" s="1360">
        <v>1</v>
      </c>
      <c r="O23" s="1361">
        <v>6</v>
      </c>
      <c r="P23" s="1224">
        <f t="shared" si="0"/>
        <v>42836</v>
      </c>
    </row>
    <row r="24" spans="1:16" s="264" customFormat="1">
      <c r="A24" s="1340" t="s">
        <v>4242</v>
      </c>
      <c r="B24" s="1341" t="s">
        <v>1880</v>
      </c>
      <c r="C24" s="1341" t="s">
        <v>504</v>
      </c>
      <c r="D24" s="1353" t="s">
        <v>4339</v>
      </c>
      <c r="E24" s="1354">
        <v>7000</v>
      </c>
      <c r="F24" s="1355">
        <v>7605886</v>
      </c>
      <c r="G24" s="1356" t="s">
        <v>4363</v>
      </c>
      <c r="H24" s="1357" t="s">
        <v>4362</v>
      </c>
      <c r="I24" s="1358" t="s">
        <v>4240</v>
      </c>
      <c r="J24" s="1359" t="s">
        <v>4240</v>
      </c>
      <c r="K24" s="1360">
        <v>2</v>
      </c>
      <c r="L24" s="1361">
        <v>12</v>
      </c>
      <c r="M24" s="1362">
        <f t="shared" si="1"/>
        <v>86208</v>
      </c>
      <c r="N24" s="1360">
        <v>1</v>
      </c>
      <c r="O24" s="1361">
        <v>6</v>
      </c>
      <c r="P24" s="1224">
        <f t="shared" si="0"/>
        <v>42836</v>
      </c>
    </row>
    <row r="25" spans="1:16" s="264" customFormat="1">
      <c r="A25" s="1340" t="s">
        <v>4242</v>
      </c>
      <c r="B25" s="1341" t="s">
        <v>1880</v>
      </c>
      <c r="C25" s="1341" t="s">
        <v>504</v>
      </c>
      <c r="D25" s="1353" t="s">
        <v>787</v>
      </c>
      <c r="E25" s="1354">
        <v>7000</v>
      </c>
      <c r="F25" s="1365">
        <v>23870663</v>
      </c>
      <c r="G25" s="1357" t="s">
        <v>4361</v>
      </c>
      <c r="H25" s="1356" t="s">
        <v>4360</v>
      </c>
      <c r="I25" s="1358" t="s">
        <v>4240</v>
      </c>
      <c r="J25" s="1359" t="s">
        <v>4240</v>
      </c>
      <c r="K25" s="1360">
        <v>2</v>
      </c>
      <c r="L25" s="1361">
        <v>12</v>
      </c>
      <c r="M25" s="1362">
        <f t="shared" si="1"/>
        <v>86208</v>
      </c>
      <c r="N25" s="1360">
        <v>1</v>
      </c>
      <c r="O25" s="1361">
        <v>6</v>
      </c>
      <c r="P25" s="1224">
        <f t="shared" si="0"/>
        <v>42836</v>
      </c>
    </row>
    <row r="26" spans="1:16" s="264" customFormat="1">
      <c r="A26" s="1340" t="s">
        <v>4242</v>
      </c>
      <c r="B26" s="1341" t="s">
        <v>1880</v>
      </c>
      <c r="C26" s="1341" t="s">
        <v>504</v>
      </c>
      <c r="D26" s="1356" t="s">
        <v>787</v>
      </c>
      <c r="E26" s="1363">
        <v>6500</v>
      </c>
      <c r="F26" s="1355">
        <v>25656148</v>
      </c>
      <c r="G26" s="1356" t="s">
        <v>4359</v>
      </c>
      <c r="H26" s="1357" t="s">
        <v>4297</v>
      </c>
      <c r="I26" s="1358" t="s">
        <v>4240</v>
      </c>
      <c r="J26" s="1359" t="s">
        <v>4240</v>
      </c>
      <c r="K26" s="1360">
        <v>2</v>
      </c>
      <c r="L26" s="1361">
        <v>12</v>
      </c>
      <c r="M26" s="1362">
        <f t="shared" si="1"/>
        <v>80208</v>
      </c>
      <c r="N26" s="1360">
        <v>1</v>
      </c>
      <c r="O26" s="1361">
        <v>6</v>
      </c>
      <c r="P26" s="1224">
        <f t="shared" si="0"/>
        <v>39836</v>
      </c>
    </row>
    <row r="27" spans="1:16" s="264" customFormat="1">
      <c r="A27" s="1340" t="s">
        <v>4242</v>
      </c>
      <c r="B27" s="1341" t="s">
        <v>1880</v>
      </c>
      <c r="C27" s="1341" t="s">
        <v>504</v>
      </c>
      <c r="D27" s="1353" t="s">
        <v>787</v>
      </c>
      <c r="E27" s="1354">
        <v>6500</v>
      </c>
      <c r="F27" s="1355">
        <v>8504880</v>
      </c>
      <c r="G27" s="1356" t="s">
        <v>4358</v>
      </c>
      <c r="H27" s="1357" t="s">
        <v>4334</v>
      </c>
      <c r="I27" s="1358" t="s">
        <v>4240</v>
      </c>
      <c r="J27" s="1359" t="s">
        <v>4240</v>
      </c>
      <c r="K27" s="1360">
        <v>2</v>
      </c>
      <c r="L27" s="1361">
        <v>12</v>
      </c>
      <c r="M27" s="1362">
        <f t="shared" si="1"/>
        <v>80208</v>
      </c>
      <c r="N27" s="1360">
        <v>1</v>
      </c>
      <c r="O27" s="1361">
        <v>6</v>
      </c>
      <c r="P27" s="1224">
        <f t="shared" si="0"/>
        <v>39836</v>
      </c>
    </row>
    <row r="28" spans="1:16" s="264" customFormat="1">
      <c r="A28" s="1340" t="s">
        <v>4242</v>
      </c>
      <c r="B28" s="1341" t="s">
        <v>1880</v>
      </c>
      <c r="C28" s="1341" t="s">
        <v>504</v>
      </c>
      <c r="D28" s="1353" t="s">
        <v>787</v>
      </c>
      <c r="E28" s="1354">
        <v>6500</v>
      </c>
      <c r="F28" s="1355">
        <v>10714178</v>
      </c>
      <c r="G28" s="1356" t="s">
        <v>4357</v>
      </c>
      <c r="H28" s="1357" t="s">
        <v>4356</v>
      </c>
      <c r="I28" s="1358" t="s">
        <v>1399</v>
      </c>
      <c r="J28" s="1359" t="s">
        <v>1399</v>
      </c>
      <c r="K28" s="1360">
        <v>2</v>
      </c>
      <c r="L28" s="1361">
        <v>12</v>
      </c>
      <c r="M28" s="1362">
        <f t="shared" si="1"/>
        <v>80208</v>
      </c>
      <c r="N28" s="1360">
        <v>1</v>
      </c>
      <c r="O28" s="1361">
        <v>6</v>
      </c>
      <c r="P28" s="1224">
        <f t="shared" si="0"/>
        <v>39836</v>
      </c>
    </row>
    <row r="29" spans="1:16" s="264" customFormat="1">
      <c r="A29" s="1340" t="s">
        <v>4242</v>
      </c>
      <c r="B29" s="1341" t="s">
        <v>1880</v>
      </c>
      <c r="C29" s="1341" t="s">
        <v>504</v>
      </c>
      <c r="D29" s="1353" t="s">
        <v>787</v>
      </c>
      <c r="E29" s="1354">
        <v>6500</v>
      </c>
      <c r="F29" s="1355">
        <v>10060252</v>
      </c>
      <c r="G29" s="1356" t="s">
        <v>4355</v>
      </c>
      <c r="H29" s="1357" t="s">
        <v>4334</v>
      </c>
      <c r="I29" s="1358" t="s">
        <v>4240</v>
      </c>
      <c r="J29" s="1359" t="s">
        <v>4240</v>
      </c>
      <c r="K29" s="1360">
        <v>2</v>
      </c>
      <c r="L29" s="1361">
        <v>12</v>
      </c>
      <c r="M29" s="1362">
        <f t="shared" si="1"/>
        <v>80208</v>
      </c>
      <c r="N29" s="1360">
        <v>1</v>
      </c>
      <c r="O29" s="1361">
        <v>6</v>
      </c>
      <c r="P29" s="1224">
        <f t="shared" si="0"/>
        <v>39836</v>
      </c>
    </row>
    <row r="30" spans="1:16" s="264" customFormat="1">
      <c r="A30" s="1340" t="s">
        <v>4242</v>
      </c>
      <c r="B30" s="1341" t="s">
        <v>1880</v>
      </c>
      <c r="C30" s="1341" t="s">
        <v>504</v>
      </c>
      <c r="D30" s="1353" t="s">
        <v>787</v>
      </c>
      <c r="E30" s="1354">
        <v>6500</v>
      </c>
      <c r="F30" s="1364" t="s">
        <v>4354</v>
      </c>
      <c r="G30" s="1356" t="s">
        <v>4353</v>
      </c>
      <c r="H30" s="1357" t="s">
        <v>4301</v>
      </c>
      <c r="I30" s="1358"/>
      <c r="J30" s="1359"/>
      <c r="K30" s="1360">
        <v>2</v>
      </c>
      <c r="L30" s="1361">
        <v>12</v>
      </c>
      <c r="M30" s="1362">
        <f t="shared" si="1"/>
        <v>80208</v>
      </c>
      <c r="N30" s="1360">
        <v>1</v>
      </c>
      <c r="O30" s="1361">
        <v>6</v>
      </c>
      <c r="P30" s="1224">
        <f t="shared" si="0"/>
        <v>39836</v>
      </c>
    </row>
    <row r="31" spans="1:16" s="264" customFormat="1">
      <c r="A31" s="1340" t="s">
        <v>4242</v>
      </c>
      <c r="B31" s="1341" t="s">
        <v>1880</v>
      </c>
      <c r="C31" s="1341" t="s">
        <v>504</v>
      </c>
      <c r="D31" s="1227" t="s">
        <v>4351</v>
      </c>
      <c r="E31" s="1354">
        <v>6500</v>
      </c>
      <c r="F31" s="1366">
        <v>41312461</v>
      </c>
      <c r="G31" s="1367" t="s">
        <v>4352</v>
      </c>
      <c r="H31" s="1367" t="s">
        <v>4351</v>
      </c>
      <c r="I31" s="1358" t="s">
        <v>4240</v>
      </c>
      <c r="J31" s="1359" t="s">
        <v>4240</v>
      </c>
      <c r="K31" s="1360">
        <v>2</v>
      </c>
      <c r="L31" s="1361">
        <v>12</v>
      </c>
      <c r="M31" s="1362">
        <f t="shared" si="1"/>
        <v>80208</v>
      </c>
      <c r="N31" s="1360">
        <v>1</v>
      </c>
      <c r="O31" s="1361">
        <v>6</v>
      </c>
      <c r="P31" s="1224">
        <f t="shared" si="0"/>
        <v>39836</v>
      </c>
    </row>
    <row r="32" spans="1:16" s="264" customFormat="1">
      <c r="A32" s="1340" t="s">
        <v>4242</v>
      </c>
      <c r="B32" s="1341" t="s">
        <v>1880</v>
      </c>
      <c r="C32" s="1341" t="s">
        <v>504</v>
      </c>
      <c r="D32" s="1353" t="s">
        <v>4350</v>
      </c>
      <c r="E32" s="1354">
        <v>6500</v>
      </c>
      <c r="F32" s="1355">
        <v>7560639</v>
      </c>
      <c r="G32" s="1356" t="s">
        <v>4349</v>
      </c>
      <c r="H32" s="1357" t="s">
        <v>4332</v>
      </c>
      <c r="I32" s="1358" t="s">
        <v>4240</v>
      </c>
      <c r="J32" s="1359" t="s">
        <v>4240</v>
      </c>
      <c r="K32" s="1360">
        <v>2</v>
      </c>
      <c r="L32" s="1361">
        <v>12</v>
      </c>
      <c r="M32" s="1362">
        <f t="shared" si="1"/>
        <v>80208</v>
      </c>
      <c r="N32" s="1360">
        <v>1</v>
      </c>
      <c r="O32" s="1361">
        <v>6</v>
      </c>
      <c r="P32" s="1224">
        <f t="shared" si="0"/>
        <v>39836</v>
      </c>
    </row>
    <row r="33" spans="1:16" s="264" customFormat="1">
      <c r="A33" s="1340" t="s">
        <v>4242</v>
      </c>
      <c r="B33" s="1341" t="s">
        <v>1880</v>
      </c>
      <c r="C33" s="1341" t="s">
        <v>504</v>
      </c>
      <c r="D33" s="1353" t="s">
        <v>787</v>
      </c>
      <c r="E33" s="1354">
        <v>6500</v>
      </c>
      <c r="F33" s="1364" t="s">
        <v>4348</v>
      </c>
      <c r="G33" s="1357" t="s">
        <v>4347</v>
      </c>
      <c r="H33" s="1356" t="s">
        <v>1695</v>
      </c>
      <c r="I33" s="1358" t="s">
        <v>569</v>
      </c>
      <c r="J33" s="1359" t="s">
        <v>4240</v>
      </c>
      <c r="K33" s="1360">
        <v>2</v>
      </c>
      <c r="L33" s="1361">
        <v>12</v>
      </c>
      <c r="M33" s="1362">
        <f t="shared" si="1"/>
        <v>80208</v>
      </c>
      <c r="N33" s="1360">
        <v>1</v>
      </c>
      <c r="O33" s="1361">
        <v>6</v>
      </c>
      <c r="P33" s="1224">
        <f t="shared" si="0"/>
        <v>39836</v>
      </c>
    </row>
    <row r="34" spans="1:16" s="264" customFormat="1">
      <c r="A34" s="1340" t="s">
        <v>4242</v>
      </c>
      <c r="B34" s="1341" t="s">
        <v>1880</v>
      </c>
      <c r="C34" s="1341" t="s">
        <v>504</v>
      </c>
      <c r="D34" s="1353" t="s">
        <v>511</v>
      </c>
      <c r="E34" s="1354">
        <v>6500</v>
      </c>
      <c r="F34" s="1355">
        <v>8675161</v>
      </c>
      <c r="G34" s="1356" t="s">
        <v>4346</v>
      </c>
      <c r="H34" s="1357" t="s">
        <v>511</v>
      </c>
      <c r="I34" s="1358" t="s">
        <v>569</v>
      </c>
      <c r="J34" s="1359" t="s">
        <v>4240</v>
      </c>
      <c r="K34" s="1360">
        <v>2</v>
      </c>
      <c r="L34" s="1361">
        <v>12</v>
      </c>
      <c r="M34" s="1362">
        <f t="shared" si="1"/>
        <v>80208</v>
      </c>
      <c r="N34" s="1360">
        <v>1</v>
      </c>
      <c r="O34" s="1361">
        <v>6</v>
      </c>
      <c r="P34" s="1224">
        <f t="shared" si="0"/>
        <v>39836</v>
      </c>
    </row>
    <row r="35" spans="1:16" s="264" customFormat="1">
      <c r="A35" s="1340" t="s">
        <v>4242</v>
      </c>
      <c r="B35" s="1341" t="s">
        <v>1880</v>
      </c>
      <c r="C35" s="1341" t="s">
        <v>504</v>
      </c>
      <c r="D35" s="1353" t="s">
        <v>4339</v>
      </c>
      <c r="E35" s="1354">
        <v>6000</v>
      </c>
      <c r="F35" s="1355">
        <v>8401916</v>
      </c>
      <c r="G35" s="1356" t="s">
        <v>4345</v>
      </c>
      <c r="H35" s="1357" t="s">
        <v>4344</v>
      </c>
      <c r="I35" s="1358" t="s">
        <v>4240</v>
      </c>
      <c r="J35" s="1359" t="s">
        <v>4240</v>
      </c>
      <c r="K35" s="1360">
        <v>2</v>
      </c>
      <c r="L35" s="1361">
        <v>12</v>
      </c>
      <c r="M35" s="1362">
        <f t="shared" si="1"/>
        <v>74208</v>
      </c>
      <c r="N35" s="1360">
        <v>1</v>
      </c>
      <c r="O35" s="1361">
        <v>6</v>
      </c>
      <c r="P35" s="1224">
        <f t="shared" si="0"/>
        <v>36836</v>
      </c>
    </row>
    <row r="36" spans="1:16" s="264" customFormat="1">
      <c r="A36" s="1340" t="s">
        <v>4242</v>
      </c>
      <c r="B36" s="1341" t="s">
        <v>1880</v>
      </c>
      <c r="C36" s="1341" t="s">
        <v>504</v>
      </c>
      <c r="D36" s="1227" t="s">
        <v>787</v>
      </c>
      <c r="E36" s="1354">
        <v>6000</v>
      </c>
      <c r="F36" s="1366">
        <v>42908499</v>
      </c>
      <c r="G36" s="1367" t="s">
        <v>4343</v>
      </c>
      <c r="H36" s="1367" t="s">
        <v>1695</v>
      </c>
      <c r="I36" s="1358" t="s">
        <v>4240</v>
      </c>
      <c r="J36" s="1359" t="s">
        <v>4240</v>
      </c>
      <c r="K36" s="1360">
        <v>2</v>
      </c>
      <c r="L36" s="1361">
        <v>12</v>
      </c>
      <c r="M36" s="1362">
        <f t="shared" si="1"/>
        <v>74208</v>
      </c>
      <c r="N36" s="1360">
        <v>1</v>
      </c>
      <c r="O36" s="1361">
        <v>6</v>
      </c>
      <c r="P36" s="1224">
        <f t="shared" si="0"/>
        <v>36836</v>
      </c>
    </row>
    <row r="37" spans="1:16" s="264" customFormat="1">
      <c r="A37" s="1340" t="s">
        <v>4242</v>
      </c>
      <c r="B37" s="1341" t="s">
        <v>1880</v>
      </c>
      <c r="C37" s="1341" t="s">
        <v>504</v>
      </c>
      <c r="D37" s="1356" t="s">
        <v>1439</v>
      </c>
      <c r="E37" s="1354">
        <v>6000</v>
      </c>
      <c r="F37" s="1364" t="s">
        <v>4342</v>
      </c>
      <c r="G37" s="1356" t="s">
        <v>4341</v>
      </c>
      <c r="H37" s="1357" t="s">
        <v>4244</v>
      </c>
      <c r="I37" s="1358"/>
      <c r="J37" s="1359"/>
      <c r="K37" s="1360">
        <v>2</v>
      </c>
      <c r="L37" s="1361">
        <v>12</v>
      </c>
      <c r="M37" s="1362">
        <f t="shared" si="1"/>
        <v>74208</v>
      </c>
      <c r="N37" s="1360">
        <v>1</v>
      </c>
      <c r="O37" s="1361">
        <v>6</v>
      </c>
      <c r="P37" s="1224">
        <f t="shared" si="0"/>
        <v>36836</v>
      </c>
    </row>
    <row r="38" spans="1:16" s="264" customFormat="1">
      <c r="A38" s="1340" t="s">
        <v>4242</v>
      </c>
      <c r="B38" s="1341" t="s">
        <v>1880</v>
      </c>
      <c r="C38" s="1341" t="s">
        <v>504</v>
      </c>
      <c r="D38" s="1353" t="s">
        <v>787</v>
      </c>
      <c r="E38" s="1354">
        <v>6000</v>
      </c>
      <c r="F38" s="1365">
        <v>10707504</v>
      </c>
      <c r="G38" s="1357" t="s">
        <v>4340</v>
      </c>
      <c r="H38" s="1356" t="s">
        <v>519</v>
      </c>
      <c r="I38" s="1358" t="s">
        <v>507</v>
      </c>
      <c r="J38" s="1359" t="s">
        <v>507</v>
      </c>
      <c r="K38" s="1360">
        <v>2</v>
      </c>
      <c r="L38" s="1361">
        <v>12</v>
      </c>
      <c r="M38" s="1362">
        <f t="shared" si="1"/>
        <v>74208</v>
      </c>
      <c r="N38" s="1360">
        <v>1</v>
      </c>
      <c r="O38" s="1361">
        <v>6</v>
      </c>
      <c r="P38" s="1224">
        <f t="shared" si="0"/>
        <v>36836</v>
      </c>
    </row>
    <row r="39" spans="1:16" s="264" customFormat="1">
      <c r="A39" s="1340" t="s">
        <v>4242</v>
      </c>
      <c r="B39" s="1341" t="s">
        <v>1880</v>
      </c>
      <c r="C39" s="1341" t="s">
        <v>504</v>
      </c>
      <c r="D39" s="1227" t="s">
        <v>4339</v>
      </c>
      <c r="E39" s="1354">
        <v>6000</v>
      </c>
      <c r="F39" s="1355">
        <v>10647482</v>
      </c>
      <c r="G39" s="1356" t="s">
        <v>4312</v>
      </c>
      <c r="H39" s="1357" t="s">
        <v>4301</v>
      </c>
      <c r="I39" s="1358" t="s">
        <v>507</v>
      </c>
      <c r="J39" s="1359" t="s">
        <v>507</v>
      </c>
      <c r="K39" s="1360">
        <v>2</v>
      </c>
      <c r="L39" s="1361">
        <v>12</v>
      </c>
      <c r="M39" s="1362">
        <f t="shared" si="1"/>
        <v>74208</v>
      </c>
      <c r="N39" s="1360">
        <v>1</v>
      </c>
      <c r="O39" s="1361">
        <v>6</v>
      </c>
      <c r="P39" s="1224">
        <f t="shared" si="0"/>
        <v>36836</v>
      </c>
    </row>
    <row r="40" spans="1:16" s="264" customFormat="1">
      <c r="A40" s="1340" t="s">
        <v>4242</v>
      </c>
      <c r="B40" s="1341" t="s">
        <v>1880</v>
      </c>
      <c r="C40" s="1341" t="s">
        <v>504</v>
      </c>
      <c r="D40" s="1353" t="s">
        <v>4339</v>
      </c>
      <c r="E40" s="1354">
        <v>6000</v>
      </c>
      <c r="F40" s="1355">
        <v>7499399</v>
      </c>
      <c r="G40" s="1356" t="s">
        <v>4338</v>
      </c>
      <c r="H40" s="1357" t="s">
        <v>4337</v>
      </c>
      <c r="I40" s="1358" t="s">
        <v>4240</v>
      </c>
      <c r="J40" s="1359" t="s">
        <v>4240</v>
      </c>
      <c r="K40" s="1360">
        <v>2</v>
      </c>
      <c r="L40" s="1361">
        <v>12</v>
      </c>
      <c r="M40" s="1362">
        <f t="shared" si="1"/>
        <v>74208</v>
      </c>
      <c r="N40" s="1360">
        <v>1</v>
      </c>
      <c r="O40" s="1361">
        <v>6</v>
      </c>
      <c r="P40" s="1224">
        <f t="shared" si="0"/>
        <v>36836</v>
      </c>
    </row>
    <row r="41" spans="1:16" s="264" customFormat="1">
      <c r="A41" s="1340" t="s">
        <v>4242</v>
      </c>
      <c r="B41" s="1341" t="s">
        <v>1880</v>
      </c>
      <c r="C41" s="1341" t="s">
        <v>504</v>
      </c>
      <c r="D41" s="1353" t="s">
        <v>787</v>
      </c>
      <c r="E41" s="1354">
        <v>5500</v>
      </c>
      <c r="F41" s="1365" t="s">
        <v>4336</v>
      </c>
      <c r="G41" s="1357" t="s">
        <v>4335</v>
      </c>
      <c r="H41" s="1356" t="s">
        <v>4334</v>
      </c>
      <c r="I41" s="1358" t="s">
        <v>507</v>
      </c>
      <c r="J41" s="1359" t="s">
        <v>507</v>
      </c>
      <c r="K41" s="1360">
        <v>2</v>
      </c>
      <c r="L41" s="1361">
        <v>12</v>
      </c>
      <c r="M41" s="1362">
        <f t="shared" si="1"/>
        <v>68208</v>
      </c>
      <c r="N41" s="1360">
        <v>1</v>
      </c>
      <c r="O41" s="1361">
        <v>6</v>
      </c>
      <c r="P41" s="1224">
        <f t="shared" ref="P41:P65" si="2">+O41*E41+300+134*4</f>
        <v>33836</v>
      </c>
    </row>
    <row r="42" spans="1:16" s="264" customFormat="1">
      <c r="A42" s="1340" t="s">
        <v>4242</v>
      </c>
      <c r="B42" s="1341" t="s">
        <v>1880</v>
      </c>
      <c r="C42" s="1341" t="s">
        <v>504</v>
      </c>
      <c r="D42" s="1356" t="s">
        <v>787</v>
      </c>
      <c r="E42" s="1363">
        <v>5500</v>
      </c>
      <c r="F42" s="1355">
        <v>9956273</v>
      </c>
      <c r="G42" s="1356" t="s">
        <v>4333</v>
      </c>
      <c r="H42" s="1357" t="s">
        <v>4332</v>
      </c>
      <c r="I42" s="1358" t="s">
        <v>4309</v>
      </c>
      <c r="J42" s="1359" t="s">
        <v>4309</v>
      </c>
      <c r="K42" s="1360">
        <v>2</v>
      </c>
      <c r="L42" s="1361">
        <v>12</v>
      </c>
      <c r="M42" s="1362">
        <f t="shared" si="1"/>
        <v>68208</v>
      </c>
      <c r="N42" s="1360">
        <v>1</v>
      </c>
      <c r="O42" s="1361">
        <v>6</v>
      </c>
      <c r="P42" s="1224">
        <f t="shared" si="2"/>
        <v>33836</v>
      </c>
    </row>
    <row r="43" spans="1:16" s="264" customFormat="1">
      <c r="A43" s="1340" t="s">
        <v>4242</v>
      </c>
      <c r="B43" s="1341" t="s">
        <v>1880</v>
      </c>
      <c r="C43" s="1341" t="s">
        <v>504</v>
      </c>
      <c r="D43" s="1353" t="s">
        <v>787</v>
      </c>
      <c r="E43" s="1354">
        <v>5500</v>
      </c>
      <c r="F43" s="1365">
        <v>44699657</v>
      </c>
      <c r="G43" s="1357" t="s">
        <v>4331</v>
      </c>
      <c r="H43" s="1356" t="s">
        <v>4330</v>
      </c>
      <c r="I43" s="1358" t="s">
        <v>4240</v>
      </c>
      <c r="J43" s="1359" t="s">
        <v>4240</v>
      </c>
      <c r="K43" s="1360">
        <v>2</v>
      </c>
      <c r="L43" s="1361">
        <v>12</v>
      </c>
      <c r="M43" s="1362">
        <f t="shared" si="1"/>
        <v>68208</v>
      </c>
      <c r="N43" s="1360">
        <v>1</v>
      </c>
      <c r="O43" s="1361">
        <v>6</v>
      </c>
      <c r="P43" s="1224">
        <f t="shared" si="2"/>
        <v>33836</v>
      </c>
    </row>
    <row r="44" spans="1:16" s="264" customFormat="1">
      <c r="A44" s="1340" t="s">
        <v>4242</v>
      </c>
      <c r="B44" s="1341" t="s">
        <v>1880</v>
      </c>
      <c r="C44" s="1341" t="s">
        <v>504</v>
      </c>
      <c r="D44" s="1356" t="s">
        <v>787</v>
      </c>
      <c r="E44" s="1363">
        <v>5500</v>
      </c>
      <c r="F44" s="1355">
        <v>10408055</v>
      </c>
      <c r="G44" s="1356" t="s">
        <v>4329</v>
      </c>
      <c r="H44" s="1357" t="s">
        <v>4301</v>
      </c>
      <c r="I44" s="1358" t="s">
        <v>4240</v>
      </c>
      <c r="J44" s="1359" t="s">
        <v>4240</v>
      </c>
      <c r="K44" s="1360">
        <v>2</v>
      </c>
      <c r="L44" s="1361">
        <v>12</v>
      </c>
      <c r="M44" s="1362">
        <f t="shared" ref="M44:M68" si="3">+L44*E44+600+134*L44</f>
        <v>68208</v>
      </c>
      <c r="N44" s="1360">
        <v>1</v>
      </c>
      <c r="O44" s="1361">
        <v>6</v>
      </c>
      <c r="P44" s="1224">
        <f t="shared" si="2"/>
        <v>33836</v>
      </c>
    </row>
    <row r="45" spans="1:16" s="264" customFormat="1">
      <c r="A45" s="1340" t="s">
        <v>4242</v>
      </c>
      <c r="B45" s="1341" t="s">
        <v>1880</v>
      </c>
      <c r="C45" s="1341" t="s">
        <v>504</v>
      </c>
      <c r="D45" s="1358" t="s">
        <v>4327</v>
      </c>
      <c r="E45" s="1354">
        <v>5500</v>
      </c>
      <c r="F45" s="1355">
        <v>45193305</v>
      </c>
      <c r="G45" s="1356" t="s">
        <v>4328</v>
      </c>
      <c r="H45" s="1357" t="s">
        <v>4327</v>
      </c>
      <c r="I45" s="1358" t="s">
        <v>4240</v>
      </c>
      <c r="J45" s="1359" t="s">
        <v>4240</v>
      </c>
      <c r="K45" s="1360">
        <v>2</v>
      </c>
      <c r="L45" s="1361">
        <v>12</v>
      </c>
      <c r="M45" s="1362">
        <f t="shared" si="3"/>
        <v>68208</v>
      </c>
      <c r="N45" s="1360">
        <v>1</v>
      </c>
      <c r="O45" s="1361">
        <v>6</v>
      </c>
      <c r="P45" s="1224">
        <f t="shared" si="2"/>
        <v>33836</v>
      </c>
    </row>
    <row r="46" spans="1:16" s="264" customFormat="1">
      <c r="A46" s="1340" t="s">
        <v>4242</v>
      </c>
      <c r="B46" s="1341" t="s">
        <v>1880</v>
      </c>
      <c r="C46" s="1341" t="s">
        <v>504</v>
      </c>
      <c r="D46" s="1356" t="s">
        <v>1439</v>
      </c>
      <c r="E46" s="1354">
        <v>5500</v>
      </c>
      <c r="F46" s="1364" t="s">
        <v>4326</v>
      </c>
      <c r="G46" s="1356" t="s">
        <v>4325</v>
      </c>
      <c r="H46" s="1357" t="s">
        <v>1719</v>
      </c>
      <c r="I46" s="1358" t="s">
        <v>569</v>
      </c>
      <c r="J46" s="1359" t="s">
        <v>4240</v>
      </c>
      <c r="K46" s="1360">
        <v>2</v>
      </c>
      <c r="L46" s="1361">
        <v>12</v>
      </c>
      <c r="M46" s="1362">
        <f t="shared" si="3"/>
        <v>68208</v>
      </c>
      <c r="N46" s="1360">
        <v>1</v>
      </c>
      <c r="O46" s="1361">
        <v>6</v>
      </c>
      <c r="P46" s="1224">
        <f t="shared" si="2"/>
        <v>33836</v>
      </c>
    </row>
    <row r="47" spans="1:16" s="264" customFormat="1">
      <c r="A47" s="1340" t="s">
        <v>4242</v>
      </c>
      <c r="B47" s="1341" t="s">
        <v>1880</v>
      </c>
      <c r="C47" s="1341" t="s">
        <v>504</v>
      </c>
      <c r="D47" s="1358" t="s">
        <v>787</v>
      </c>
      <c r="E47" s="1354">
        <v>5000</v>
      </c>
      <c r="F47" s="1355">
        <v>10317928</v>
      </c>
      <c r="G47" s="1356" t="s">
        <v>4324</v>
      </c>
      <c r="H47" s="1357"/>
      <c r="I47" s="1358" t="s">
        <v>4240</v>
      </c>
      <c r="J47" s="1359" t="s">
        <v>4240</v>
      </c>
      <c r="K47" s="1360">
        <v>2</v>
      </c>
      <c r="L47" s="1361">
        <v>3.5</v>
      </c>
      <c r="M47" s="1362">
        <f t="shared" si="3"/>
        <v>18569</v>
      </c>
      <c r="N47" s="1360">
        <v>1</v>
      </c>
      <c r="O47" s="1361">
        <v>6</v>
      </c>
      <c r="P47" s="1224">
        <f t="shared" si="2"/>
        <v>30836</v>
      </c>
    </row>
    <row r="48" spans="1:16" s="264" customFormat="1">
      <c r="A48" s="1340" t="s">
        <v>4242</v>
      </c>
      <c r="B48" s="1341" t="s">
        <v>1880</v>
      </c>
      <c r="C48" s="1341" t="s">
        <v>504</v>
      </c>
      <c r="D48" s="1356" t="s">
        <v>4323</v>
      </c>
      <c r="E48" s="1354">
        <v>5000</v>
      </c>
      <c r="F48" s="1355">
        <v>41795231</v>
      </c>
      <c r="G48" s="1356" t="s">
        <v>4322</v>
      </c>
      <c r="H48" s="1357" t="s">
        <v>4321</v>
      </c>
      <c r="I48" s="1358" t="s">
        <v>4240</v>
      </c>
      <c r="J48" s="1359" t="s">
        <v>4240</v>
      </c>
      <c r="K48" s="1360">
        <v>2</v>
      </c>
      <c r="L48" s="1361">
        <v>12</v>
      </c>
      <c r="M48" s="1362">
        <f t="shared" si="3"/>
        <v>62208</v>
      </c>
      <c r="N48" s="1360">
        <v>1</v>
      </c>
      <c r="O48" s="1361">
        <v>6</v>
      </c>
      <c r="P48" s="1224">
        <f t="shared" si="2"/>
        <v>30836</v>
      </c>
    </row>
    <row r="49" spans="1:16" s="264" customFormat="1">
      <c r="A49" s="1340" t="s">
        <v>4242</v>
      </c>
      <c r="B49" s="1341" t="s">
        <v>1880</v>
      </c>
      <c r="C49" s="1341" t="s">
        <v>504</v>
      </c>
      <c r="D49" s="1356" t="s">
        <v>787</v>
      </c>
      <c r="E49" s="1363">
        <v>4500</v>
      </c>
      <c r="F49" s="1355">
        <v>44766776</v>
      </c>
      <c r="G49" s="1356" t="s">
        <v>4320</v>
      </c>
      <c r="H49" s="1357" t="s">
        <v>4319</v>
      </c>
      <c r="I49" s="1358" t="s">
        <v>507</v>
      </c>
      <c r="J49" s="1359" t="s">
        <v>507</v>
      </c>
      <c r="K49" s="1360">
        <v>2</v>
      </c>
      <c r="L49" s="1361">
        <v>12</v>
      </c>
      <c r="M49" s="1362">
        <f t="shared" si="3"/>
        <v>56208</v>
      </c>
      <c r="N49" s="1360">
        <v>1</v>
      </c>
      <c r="O49" s="1361">
        <v>6</v>
      </c>
      <c r="P49" s="1224">
        <f t="shared" si="2"/>
        <v>27836</v>
      </c>
    </row>
    <row r="50" spans="1:16" s="264" customFormat="1">
      <c r="A50" s="1340" t="s">
        <v>4242</v>
      </c>
      <c r="B50" s="1341" t="s">
        <v>1880</v>
      </c>
      <c r="C50" s="1341" t="s">
        <v>504</v>
      </c>
      <c r="D50" s="1353" t="s">
        <v>787</v>
      </c>
      <c r="E50" s="1354">
        <v>4500</v>
      </c>
      <c r="F50" s="1365">
        <v>47973974</v>
      </c>
      <c r="G50" s="1357" t="s">
        <v>4318</v>
      </c>
      <c r="H50" s="1356" t="s">
        <v>1980</v>
      </c>
      <c r="I50" s="1358" t="s">
        <v>1592</v>
      </c>
      <c r="J50" s="1359" t="s">
        <v>1592</v>
      </c>
      <c r="K50" s="1360">
        <v>2</v>
      </c>
      <c r="L50" s="1361">
        <v>12</v>
      </c>
      <c r="M50" s="1362">
        <f t="shared" si="3"/>
        <v>56208</v>
      </c>
      <c r="N50" s="1360">
        <v>1</v>
      </c>
      <c r="O50" s="1361">
        <v>6</v>
      </c>
      <c r="P50" s="1224">
        <f t="shared" si="2"/>
        <v>27836</v>
      </c>
    </row>
    <row r="51" spans="1:16" s="264" customFormat="1">
      <c r="A51" s="1340" t="s">
        <v>4242</v>
      </c>
      <c r="B51" s="1341" t="s">
        <v>1880</v>
      </c>
      <c r="C51" s="1341" t="s">
        <v>504</v>
      </c>
      <c r="D51" s="1356" t="s">
        <v>787</v>
      </c>
      <c r="E51" s="1354">
        <v>4000</v>
      </c>
      <c r="F51" s="1355">
        <v>40995029</v>
      </c>
      <c r="G51" s="1356" t="s">
        <v>4317</v>
      </c>
      <c r="H51" s="1357" t="s">
        <v>4301</v>
      </c>
      <c r="I51" s="1358" t="s">
        <v>4240</v>
      </c>
      <c r="J51" s="1359" t="s">
        <v>4240</v>
      </c>
      <c r="K51" s="1360">
        <v>2</v>
      </c>
      <c r="L51" s="1361">
        <v>12</v>
      </c>
      <c r="M51" s="1362">
        <f t="shared" si="3"/>
        <v>50208</v>
      </c>
      <c r="N51" s="1360">
        <v>1</v>
      </c>
      <c r="O51" s="1361">
        <v>6</v>
      </c>
      <c r="P51" s="1224">
        <f t="shared" si="2"/>
        <v>24836</v>
      </c>
    </row>
    <row r="52" spans="1:16" s="264" customFormat="1">
      <c r="A52" s="1340" t="s">
        <v>4242</v>
      </c>
      <c r="B52" s="1341" t="s">
        <v>1880</v>
      </c>
      <c r="C52" s="1341" t="s">
        <v>504</v>
      </c>
      <c r="D52" s="1353" t="s">
        <v>1775</v>
      </c>
      <c r="E52" s="1354">
        <v>3500</v>
      </c>
      <c r="F52" s="1355">
        <v>10540726</v>
      </c>
      <c r="G52" s="1356" t="s">
        <v>4316</v>
      </c>
      <c r="H52" s="1357" t="s">
        <v>1571</v>
      </c>
      <c r="I52" s="1358" t="s">
        <v>507</v>
      </c>
      <c r="J52" s="1359" t="s">
        <v>507</v>
      </c>
      <c r="K52" s="1360">
        <v>2</v>
      </c>
      <c r="L52" s="1361">
        <v>12</v>
      </c>
      <c r="M52" s="1362">
        <f t="shared" si="3"/>
        <v>44208</v>
      </c>
      <c r="N52" s="1360">
        <v>1</v>
      </c>
      <c r="O52" s="1361">
        <v>6</v>
      </c>
      <c r="P52" s="1224">
        <f t="shared" si="2"/>
        <v>21836</v>
      </c>
    </row>
    <row r="53" spans="1:16" s="264" customFormat="1">
      <c r="A53" s="1340" t="s">
        <v>4242</v>
      </c>
      <c r="B53" s="1341" t="s">
        <v>1880</v>
      </c>
      <c r="C53" s="1341" t="s">
        <v>504</v>
      </c>
      <c r="D53" s="1356" t="s">
        <v>1775</v>
      </c>
      <c r="E53" s="1354">
        <v>3500</v>
      </c>
      <c r="F53" s="1355">
        <v>9956273</v>
      </c>
      <c r="G53" s="1356" t="s">
        <v>4315</v>
      </c>
      <c r="H53" s="1357" t="s">
        <v>4301</v>
      </c>
      <c r="I53" s="1358" t="s">
        <v>4240</v>
      </c>
      <c r="J53" s="1359" t="s">
        <v>4240</v>
      </c>
      <c r="K53" s="1360">
        <v>2</v>
      </c>
      <c r="L53" s="1361">
        <v>12</v>
      </c>
      <c r="M53" s="1362">
        <f t="shared" si="3"/>
        <v>44208</v>
      </c>
      <c r="N53" s="1360">
        <v>1</v>
      </c>
      <c r="O53" s="1361">
        <v>6</v>
      </c>
      <c r="P53" s="1224">
        <f t="shared" si="2"/>
        <v>21836</v>
      </c>
    </row>
    <row r="54" spans="1:16" s="264" customFormat="1">
      <c r="A54" s="1340" t="s">
        <v>4242</v>
      </c>
      <c r="B54" s="1341" t="s">
        <v>1880</v>
      </c>
      <c r="C54" s="1341" t="s">
        <v>504</v>
      </c>
      <c r="D54" s="1356" t="s">
        <v>787</v>
      </c>
      <c r="E54" s="1363">
        <v>3500</v>
      </c>
      <c r="F54" s="1355">
        <v>6785255</v>
      </c>
      <c r="G54" s="1356" t="s">
        <v>4314</v>
      </c>
      <c r="H54" s="1357" t="s">
        <v>4301</v>
      </c>
      <c r="I54" s="1358" t="s">
        <v>507</v>
      </c>
      <c r="J54" s="1359" t="s">
        <v>507</v>
      </c>
      <c r="K54" s="1360">
        <v>2</v>
      </c>
      <c r="L54" s="1361">
        <v>12</v>
      </c>
      <c r="M54" s="1362">
        <f t="shared" si="3"/>
        <v>44208</v>
      </c>
      <c r="N54" s="1360">
        <v>1</v>
      </c>
      <c r="O54" s="1361">
        <v>6</v>
      </c>
      <c r="P54" s="1224">
        <f t="shared" si="2"/>
        <v>21836</v>
      </c>
    </row>
    <row r="55" spans="1:16" s="264" customFormat="1">
      <c r="A55" s="1340" t="s">
        <v>4242</v>
      </c>
      <c r="B55" s="1341" t="s">
        <v>1880</v>
      </c>
      <c r="C55" s="1341" t="s">
        <v>504</v>
      </c>
      <c r="D55" s="1227" t="s">
        <v>1664</v>
      </c>
      <c r="E55" s="1354">
        <v>3500</v>
      </c>
      <c r="F55" s="1366">
        <v>44912256</v>
      </c>
      <c r="G55" s="1367" t="s">
        <v>4313</v>
      </c>
      <c r="H55" s="1367" t="s">
        <v>1664</v>
      </c>
      <c r="I55" s="1227"/>
      <c r="J55" s="1368"/>
      <c r="K55" s="1360">
        <v>2</v>
      </c>
      <c r="L55" s="1361">
        <v>12</v>
      </c>
      <c r="M55" s="1362">
        <f t="shared" si="3"/>
        <v>44208</v>
      </c>
      <c r="N55" s="1360">
        <v>1</v>
      </c>
      <c r="O55" s="1361">
        <v>6</v>
      </c>
      <c r="P55" s="1224">
        <f t="shared" si="2"/>
        <v>21836</v>
      </c>
    </row>
    <row r="56" spans="1:16" s="264" customFormat="1">
      <c r="A56" s="1340" t="s">
        <v>4242</v>
      </c>
      <c r="B56" s="1341" t="s">
        <v>1880</v>
      </c>
      <c r="C56" s="1341" t="s">
        <v>504</v>
      </c>
      <c r="D56" s="1356" t="s">
        <v>787</v>
      </c>
      <c r="E56" s="1354">
        <v>3500</v>
      </c>
      <c r="F56" s="1355">
        <v>10647482</v>
      </c>
      <c r="G56" s="1356" t="s">
        <v>4312</v>
      </c>
      <c r="H56" s="1357" t="s">
        <v>4301</v>
      </c>
      <c r="I56" s="1358" t="s">
        <v>507</v>
      </c>
      <c r="J56" s="1359" t="s">
        <v>507</v>
      </c>
      <c r="K56" s="1360">
        <v>2</v>
      </c>
      <c r="L56" s="1361">
        <v>12</v>
      </c>
      <c r="M56" s="1362">
        <f t="shared" si="3"/>
        <v>44208</v>
      </c>
      <c r="N56" s="1360">
        <v>1</v>
      </c>
      <c r="O56" s="1361">
        <v>6</v>
      </c>
      <c r="P56" s="1224">
        <f t="shared" si="2"/>
        <v>21836</v>
      </c>
    </row>
    <row r="57" spans="1:16" s="264" customFormat="1">
      <c r="A57" s="1340" t="s">
        <v>4242</v>
      </c>
      <c r="B57" s="1341" t="s">
        <v>1880</v>
      </c>
      <c r="C57" s="1341" t="s">
        <v>504</v>
      </c>
      <c r="D57" s="1353" t="s">
        <v>1439</v>
      </c>
      <c r="E57" s="1354">
        <v>3500</v>
      </c>
      <c r="F57" s="1364" t="s">
        <v>4311</v>
      </c>
      <c r="G57" s="1356" t="s">
        <v>4310</v>
      </c>
      <c r="H57" s="1357" t="s">
        <v>1571</v>
      </c>
      <c r="I57" s="1358" t="s">
        <v>569</v>
      </c>
      <c r="J57" s="1359" t="s">
        <v>4309</v>
      </c>
      <c r="K57" s="1360">
        <v>2</v>
      </c>
      <c r="L57" s="1361">
        <v>12</v>
      </c>
      <c r="M57" s="1362">
        <f t="shared" si="3"/>
        <v>44208</v>
      </c>
      <c r="N57" s="1360">
        <v>1</v>
      </c>
      <c r="O57" s="1361">
        <v>6</v>
      </c>
      <c r="P57" s="1224">
        <f t="shared" si="2"/>
        <v>21836</v>
      </c>
    </row>
    <row r="58" spans="1:16" s="264" customFormat="1">
      <c r="A58" s="1340" t="s">
        <v>4242</v>
      </c>
      <c r="B58" s="1341" t="s">
        <v>1880</v>
      </c>
      <c r="C58" s="1341" t="s">
        <v>504</v>
      </c>
      <c r="D58" s="1369" t="s">
        <v>1992</v>
      </c>
      <c r="E58" s="1354">
        <v>3500</v>
      </c>
      <c r="F58" s="1355">
        <v>10761100</v>
      </c>
      <c r="G58" s="1356" t="s">
        <v>4308</v>
      </c>
      <c r="H58" s="1370" t="s">
        <v>1664</v>
      </c>
      <c r="I58" s="1370" t="s">
        <v>1664</v>
      </c>
      <c r="J58" s="1371" t="s">
        <v>1664</v>
      </c>
      <c r="K58" s="1360">
        <v>2</v>
      </c>
      <c r="L58" s="1361">
        <v>12</v>
      </c>
      <c r="M58" s="1362">
        <f t="shared" si="3"/>
        <v>44208</v>
      </c>
      <c r="N58" s="1360">
        <v>1</v>
      </c>
      <c r="O58" s="1361">
        <v>6</v>
      </c>
      <c r="P58" s="1224">
        <f t="shared" si="2"/>
        <v>21836</v>
      </c>
    </row>
    <row r="59" spans="1:16" s="264" customFormat="1">
      <c r="A59" s="1340" t="s">
        <v>4242</v>
      </c>
      <c r="B59" s="1341" t="s">
        <v>1880</v>
      </c>
      <c r="C59" s="1341" t="s">
        <v>504</v>
      </c>
      <c r="D59" s="1353" t="s">
        <v>622</v>
      </c>
      <c r="E59" s="1354">
        <v>3500</v>
      </c>
      <c r="F59" s="1355">
        <v>16746636</v>
      </c>
      <c r="G59" s="1356" t="s">
        <v>4307</v>
      </c>
      <c r="H59" s="1357" t="s">
        <v>1664</v>
      </c>
      <c r="I59" s="1358" t="s">
        <v>1664</v>
      </c>
      <c r="J59" s="1359" t="s">
        <v>1664</v>
      </c>
      <c r="K59" s="1360">
        <v>2</v>
      </c>
      <c r="L59" s="1361">
        <v>12</v>
      </c>
      <c r="M59" s="1362">
        <f t="shared" si="3"/>
        <v>44208</v>
      </c>
      <c r="N59" s="1360">
        <v>1</v>
      </c>
      <c r="O59" s="1361">
        <v>6</v>
      </c>
      <c r="P59" s="1224">
        <f t="shared" si="2"/>
        <v>21836</v>
      </c>
    </row>
    <row r="60" spans="1:16" s="264" customFormat="1">
      <c r="A60" s="1340" t="s">
        <v>4242</v>
      </c>
      <c r="B60" s="1341" t="s">
        <v>1880</v>
      </c>
      <c r="C60" s="1341" t="s">
        <v>504</v>
      </c>
      <c r="D60" s="1353" t="s">
        <v>1664</v>
      </c>
      <c r="E60" s="1354">
        <v>3500</v>
      </c>
      <c r="F60" s="1365">
        <v>41351114</v>
      </c>
      <c r="G60" s="1357" t="s">
        <v>4306</v>
      </c>
      <c r="H60" s="1356" t="s">
        <v>4305</v>
      </c>
      <c r="I60" s="1358" t="s">
        <v>1664</v>
      </c>
      <c r="J60" s="1359" t="s">
        <v>1664</v>
      </c>
      <c r="K60" s="1360">
        <v>2</v>
      </c>
      <c r="L60" s="1361">
        <v>12</v>
      </c>
      <c r="M60" s="1362">
        <f t="shared" si="3"/>
        <v>44208</v>
      </c>
      <c r="N60" s="1360">
        <v>1</v>
      </c>
      <c r="O60" s="1361">
        <v>6</v>
      </c>
      <c r="P60" s="1224">
        <f t="shared" si="2"/>
        <v>21836</v>
      </c>
    </row>
    <row r="61" spans="1:16" s="264" customFormat="1">
      <c r="A61" s="1340" t="s">
        <v>4242</v>
      </c>
      <c r="B61" s="1341" t="s">
        <v>1880</v>
      </c>
      <c r="C61" s="1341" t="s">
        <v>504</v>
      </c>
      <c r="D61" s="1227" t="s">
        <v>4255</v>
      </c>
      <c r="E61" s="1354">
        <v>3450</v>
      </c>
      <c r="F61" s="1355">
        <v>46764283</v>
      </c>
      <c r="G61" s="1356" t="s">
        <v>4304</v>
      </c>
      <c r="H61" s="1357" t="s">
        <v>507</v>
      </c>
      <c r="I61" s="1358" t="s">
        <v>507</v>
      </c>
      <c r="J61" s="1359" t="s">
        <v>507</v>
      </c>
      <c r="K61" s="1360">
        <v>2</v>
      </c>
      <c r="L61" s="1361">
        <v>8</v>
      </c>
      <c r="M61" s="1362">
        <f t="shared" si="3"/>
        <v>29272</v>
      </c>
      <c r="N61" s="1360">
        <v>1</v>
      </c>
      <c r="O61" s="1361">
        <v>6</v>
      </c>
      <c r="P61" s="1224">
        <f t="shared" si="2"/>
        <v>21536</v>
      </c>
    </row>
    <row r="62" spans="1:16" s="264" customFormat="1">
      <c r="A62" s="1340" t="s">
        <v>4242</v>
      </c>
      <c r="B62" s="1341" t="s">
        <v>1880</v>
      </c>
      <c r="C62" s="1341" t="s">
        <v>504</v>
      </c>
      <c r="D62" s="1227" t="s">
        <v>4255</v>
      </c>
      <c r="E62" s="1354">
        <v>3450</v>
      </c>
      <c r="F62" s="1355">
        <v>46821004</v>
      </c>
      <c r="G62" s="1356" t="s">
        <v>4303</v>
      </c>
      <c r="H62" s="1357" t="s">
        <v>507</v>
      </c>
      <c r="I62" s="1358" t="s">
        <v>507</v>
      </c>
      <c r="J62" s="1359" t="s">
        <v>507</v>
      </c>
      <c r="K62" s="1360">
        <v>2</v>
      </c>
      <c r="L62" s="1361">
        <v>8.5</v>
      </c>
      <c r="M62" s="1362">
        <f t="shared" si="3"/>
        <v>31064</v>
      </c>
      <c r="N62" s="1360">
        <v>1</v>
      </c>
      <c r="O62" s="1361">
        <v>6</v>
      </c>
      <c r="P62" s="1224">
        <f t="shared" si="2"/>
        <v>21536</v>
      </c>
    </row>
    <row r="63" spans="1:16" s="264" customFormat="1">
      <c r="A63" s="1340" t="s">
        <v>4242</v>
      </c>
      <c r="B63" s="1341" t="s">
        <v>1880</v>
      </c>
      <c r="C63" s="1341" t="s">
        <v>504</v>
      </c>
      <c r="D63" s="1227" t="s">
        <v>4255</v>
      </c>
      <c r="E63" s="1354">
        <v>3300</v>
      </c>
      <c r="F63" s="1355">
        <v>42847108</v>
      </c>
      <c r="G63" s="1356" t="s">
        <v>4302</v>
      </c>
      <c r="H63" s="1357" t="s">
        <v>4301</v>
      </c>
      <c r="I63" s="1358"/>
      <c r="J63" s="1359"/>
      <c r="K63" s="1360">
        <v>2</v>
      </c>
      <c r="L63" s="1361">
        <v>12</v>
      </c>
      <c r="M63" s="1362">
        <f t="shared" si="3"/>
        <v>41808</v>
      </c>
      <c r="N63" s="1360">
        <v>1</v>
      </c>
      <c r="O63" s="1361">
        <v>6</v>
      </c>
      <c r="P63" s="1224">
        <f t="shared" si="2"/>
        <v>20636</v>
      </c>
    </row>
    <row r="64" spans="1:16" s="264" customFormat="1">
      <c r="A64" s="1340" t="s">
        <v>4242</v>
      </c>
      <c r="B64" s="1341" t="s">
        <v>1880</v>
      </c>
      <c r="C64" s="1341" t="s">
        <v>504</v>
      </c>
      <c r="D64" s="1356" t="s">
        <v>1775</v>
      </c>
      <c r="E64" s="1354">
        <v>3000</v>
      </c>
      <c r="F64" s="1355">
        <v>43273785</v>
      </c>
      <c r="G64" s="1356" t="s">
        <v>4300</v>
      </c>
      <c r="H64" s="1357" t="s">
        <v>4297</v>
      </c>
      <c r="I64" s="1358" t="s">
        <v>1664</v>
      </c>
      <c r="J64" s="1359" t="s">
        <v>1664</v>
      </c>
      <c r="K64" s="1360">
        <v>2</v>
      </c>
      <c r="L64" s="1361">
        <v>12</v>
      </c>
      <c r="M64" s="1362">
        <f t="shared" si="3"/>
        <v>38208</v>
      </c>
      <c r="N64" s="1360">
        <v>1</v>
      </c>
      <c r="O64" s="1361">
        <v>6</v>
      </c>
      <c r="P64" s="1224">
        <f t="shared" si="2"/>
        <v>18836</v>
      </c>
    </row>
    <row r="65" spans="1:16" s="264" customFormat="1">
      <c r="A65" s="1340" t="s">
        <v>4242</v>
      </c>
      <c r="B65" s="1341" t="s">
        <v>1880</v>
      </c>
      <c r="C65" s="1341" t="s">
        <v>504</v>
      </c>
      <c r="D65" s="1356" t="s">
        <v>4299</v>
      </c>
      <c r="E65" s="1354">
        <v>3000</v>
      </c>
      <c r="F65" s="1365">
        <v>72704660</v>
      </c>
      <c r="G65" s="1356" t="s">
        <v>4298</v>
      </c>
      <c r="H65" s="1357" t="s">
        <v>4297</v>
      </c>
      <c r="I65" s="1358" t="s">
        <v>1664</v>
      </c>
      <c r="J65" s="1359" t="s">
        <v>1664</v>
      </c>
      <c r="K65" s="1360">
        <v>2</v>
      </c>
      <c r="L65" s="1361">
        <v>12</v>
      </c>
      <c r="M65" s="1362">
        <f t="shared" si="3"/>
        <v>38208</v>
      </c>
      <c r="N65" s="1360">
        <v>1</v>
      </c>
      <c r="O65" s="1361">
        <v>6</v>
      </c>
      <c r="P65" s="1224">
        <f t="shared" si="2"/>
        <v>18836</v>
      </c>
    </row>
    <row r="66" spans="1:16" s="264" customFormat="1">
      <c r="A66" s="1340" t="s">
        <v>4242</v>
      </c>
      <c r="B66" s="1341" t="s">
        <v>1880</v>
      </c>
      <c r="C66" s="1341" t="s">
        <v>504</v>
      </c>
      <c r="D66" s="1353" t="s">
        <v>787</v>
      </c>
      <c r="E66" s="1354">
        <v>3000</v>
      </c>
      <c r="F66" s="1365">
        <v>44751477</v>
      </c>
      <c r="G66" s="1357" t="s">
        <v>4296</v>
      </c>
      <c r="H66" s="1357" t="s">
        <v>3500</v>
      </c>
      <c r="I66" s="1358" t="s">
        <v>4240</v>
      </c>
      <c r="J66" s="1359" t="s">
        <v>4240</v>
      </c>
      <c r="K66" s="1360">
        <v>2</v>
      </c>
      <c r="L66" s="1361">
        <v>12</v>
      </c>
      <c r="M66" s="1362">
        <f t="shared" si="3"/>
        <v>38208</v>
      </c>
      <c r="N66" s="1360">
        <v>1</v>
      </c>
      <c r="O66" s="1361">
        <v>6</v>
      </c>
      <c r="P66" s="1224">
        <f>+O66*E66+300</f>
        <v>18300</v>
      </c>
    </row>
    <row r="67" spans="1:16" s="264" customFormat="1">
      <c r="A67" s="1340" t="s">
        <v>4242</v>
      </c>
      <c r="B67" s="1341" t="s">
        <v>1880</v>
      </c>
      <c r="C67" s="1341" t="s">
        <v>504</v>
      </c>
      <c r="D67" s="1356" t="s">
        <v>1688</v>
      </c>
      <c r="E67" s="1363">
        <v>3000</v>
      </c>
      <c r="F67" s="1355">
        <v>45101845</v>
      </c>
      <c r="G67" s="1356" t="s">
        <v>4295</v>
      </c>
      <c r="H67" s="1357" t="s">
        <v>1664</v>
      </c>
      <c r="I67" s="1358" t="s">
        <v>1664</v>
      </c>
      <c r="J67" s="1359"/>
      <c r="K67" s="1360">
        <v>2</v>
      </c>
      <c r="L67" s="1361">
        <v>9</v>
      </c>
      <c r="M67" s="1362">
        <f t="shared" si="3"/>
        <v>28806</v>
      </c>
      <c r="N67" s="1360">
        <v>1</v>
      </c>
      <c r="O67" s="1361">
        <v>6</v>
      </c>
      <c r="P67" s="1224">
        <f>+O67*E67+300</f>
        <v>18300</v>
      </c>
    </row>
    <row r="68" spans="1:16" s="264" customFormat="1">
      <c r="A68" s="1340" t="s">
        <v>4242</v>
      </c>
      <c r="B68" s="1341" t="s">
        <v>1880</v>
      </c>
      <c r="C68" s="1341" t="s">
        <v>504</v>
      </c>
      <c r="D68" s="1356" t="s">
        <v>503</v>
      </c>
      <c r="E68" s="1354">
        <v>3000</v>
      </c>
      <c r="F68" s="1365">
        <v>71434705</v>
      </c>
      <c r="G68" s="1356" t="s">
        <v>4294</v>
      </c>
      <c r="H68" s="1357" t="s">
        <v>503</v>
      </c>
      <c r="I68" s="1358" t="s">
        <v>1664</v>
      </c>
      <c r="J68" s="1359" t="s">
        <v>1664</v>
      </c>
      <c r="K68" s="1360">
        <v>2</v>
      </c>
      <c r="L68" s="1361">
        <v>12</v>
      </c>
      <c r="M68" s="1362">
        <f t="shared" si="3"/>
        <v>38208</v>
      </c>
      <c r="N68" s="1360">
        <v>1</v>
      </c>
      <c r="O68" s="1361">
        <v>6</v>
      </c>
      <c r="P68" s="1224">
        <f>+O68*E68+300+134*4</f>
        <v>18836</v>
      </c>
    </row>
    <row r="69" spans="1:16" s="264" customFormat="1">
      <c r="A69" s="1340" t="s">
        <v>4242</v>
      </c>
      <c r="B69" s="1341" t="s">
        <v>1880</v>
      </c>
      <c r="C69" s="1341" t="s">
        <v>504</v>
      </c>
      <c r="D69" s="1356" t="s">
        <v>3417</v>
      </c>
      <c r="E69" s="1354">
        <v>2800</v>
      </c>
      <c r="F69" s="1365">
        <v>45270908</v>
      </c>
      <c r="G69" s="1356" t="s">
        <v>4293</v>
      </c>
      <c r="H69" s="1357" t="s">
        <v>4292</v>
      </c>
      <c r="I69" s="1358" t="s">
        <v>1664</v>
      </c>
      <c r="J69" s="1359" t="s">
        <v>1664</v>
      </c>
      <c r="K69" s="1360">
        <v>2</v>
      </c>
      <c r="L69" s="1361">
        <v>12</v>
      </c>
      <c r="M69" s="1362">
        <f t="shared" ref="M69:M74" si="4">+L69*E69+600+114*L69</f>
        <v>35568</v>
      </c>
      <c r="N69" s="1360">
        <v>1</v>
      </c>
      <c r="O69" s="1361">
        <v>6</v>
      </c>
      <c r="P69" s="1224">
        <f t="shared" ref="P69:P76" si="5">+O69*E69+300+174*O69</f>
        <v>18144</v>
      </c>
    </row>
    <row r="70" spans="1:16" s="264" customFormat="1">
      <c r="A70" s="1340" t="s">
        <v>4242</v>
      </c>
      <c r="B70" s="1341" t="s">
        <v>1880</v>
      </c>
      <c r="C70" s="1341" t="s">
        <v>504</v>
      </c>
      <c r="D70" s="1227" t="s">
        <v>622</v>
      </c>
      <c r="E70" s="1354">
        <v>2500</v>
      </c>
      <c r="F70" s="1355">
        <v>10675594</v>
      </c>
      <c r="G70" s="1356" t="s">
        <v>4291</v>
      </c>
      <c r="H70" s="1357" t="s">
        <v>622</v>
      </c>
      <c r="I70" s="1358" t="s">
        <v>1664</v>
      </c>
      <c r="J70" s="1359" t="s">
        <v>1664</v>
      </c>
      <c r="K70" s="1360">
        <v>2</v>
      </c>
      <c r="L70" s="1361">
        <v>12</v>
      </c>
      <c r="M70" s="1362">
        <f t="shared" si="4"/>
        <v>31968</v>
      </c>
      <c r="N70" s="1360">
        <v>1</v>
      </c>
      <c r="O70" s="1361">
        <v>6</v>
      </c>
      <c r="P70" s="1224">
        <f t="shared" si="5"/>
        <v>16344</v>
      </c>
    </row>
    <row r="71" spans="1:16" s="264" customFormat="1">
      <c r="A71" s="1340" t="s">
        <v>4242</v>
      </c>
      <c r="B71" s="1341" t="s">
        <v>1880</v>
      </c>
      <c r="C71" s="1341" t="s">
        <v>504</v>
      </c>
      <c r="D71" s="1353" t="s">
        <v>622</v>
      </c>
      <c r="E71" s="1354">
        <v>2500</v>
      </c>
      <c r="F71" s="1365">
        <v>16168642</v>
      </c>
      <c r="G71" s="1357" t="s">
        <v>4290</v>
      </c>
      <c r="H71" s="1356" t="s">
        <v>622</v>
      </c>
      <c r="I71" s="1358" t="s">
        <v>1664</v>
      </c>
      <c r="J71" s="1359" t="s">
        <v>1664</v>
      </c>
      <c r="K71" s="1360">
        <v>2</v>
      </c>
      <c r="L71" s="1361">
        <v>12</v>
      </c>
      <c r="M71" s="1362">
        <f t="shared" si="4"/>
        <v>31968</v>
      </c>
      <c r="N71" s="1360">
        <v>1</v>
      </c>
      <c r="O71" s="1361">
        <v>6</v>
      </c>
      <c r="P71" s="1224">
        <f t="shared" si="5"/>
        <v>16344</v>
      </c>
    </row>
    <row r="72" spans="1:16" s="264" customFormat="1">
      <c r="A72" s="1340" t="s">
        <v>4242</v>
      </c>
      <c r="B72" s="1341" t="s">
        <v>1880</v>
      </c>
      <c r="C72" s="1341" t="s">
        <v>504</v>
      </c>
      <c r="D72" s="1358" t="s">
        <v>503</v>
      </c>
      <c r="E72" s="1354">
        <v>2500</v>
      </c>
      <c r="F72" s="1355">
        <v>40071462</v>
      </c>
      <c r="G72" s="1356" t="s">
        <v>4287</v>
      </c>
      <c r="H72" s="1357" t="s">
        <v>503</v>
      </c>
      <c r="I72" s="1358" t="s">
        <v>1664</v>
      </c>
      <c r="J72" s="1359" t="s">
        <v>1664</v>
      </c>
      <c r="K72" s="1360">
        <v>2</v>
      </c>
      <c r="L72" s="1361">
        <v>12</v>
      </c>
      <c r="M72" s="1362">
        <f t="shared" si="4"/>
        <v>31968</v>
      </c>
      <c r="N72" s="1360">
        <v>1</v>
      </c>
      <c r="O72" s="1361">
        <v>6</v>
      </c>
      <c r="P72" s="1224">
        <f t="shared" si="5"/>
        <v>16344</v>
      </c>
    </row>
    <row r="73" spans="1:16" s="264" customFormat="1">
      <c r="A73" s="1340" t="s">
        <v>4242</v>
      </c>
      <c r="B73" s="1341" t="s">
        <v>1880</v>
      </c>
      <c r="C73" s="1341" t="s">
        <v>504</v>
      </c>
      <c r="D73" s="1358" t="s">
        <v>622</v>
      </c>
      <c r="E73" s="1354">
        <v>2500</v>
      </c>
      <c r="F73" s="1355">
        <v>43685012</v>
      </c>
      <c r="G73" s="1356" t="s">
        <v>4289</v>
      </c>
      <c r="H73" s="1357" t="s">
        <v>622</v>
      </c>
      <c r="I73" s="1358"/>
      <c r="J73" s="1359"/>
      <c r="K73" s="1360">
        <v>2</v>
      </c>
      <c r="L73" s="1361">
        <v>12</v>
      </c>
      <c r="M73" s="1362">
        <f t="shared" si="4"/>
        <v>31968</v>
      </c>
      <c r="N73" s="1360">
        <v>1</v>
      </c>
      <c r="O73" s="1361">
        <v>6</v>
      </c>
      <c r="P73" s="1224">
        <f t="shared" si="5"/>
        <v>16344</v>
      </c>
    </row>
    <row r="74" spans="1:16" s="264" customFormat="1">
      <c r="A74" s="1340" t="s">
        <v>4242</v>
      </c>
      <c r="B74" s="1341" t="s">
        <v>1880</v>
      </c>
      <c r="C74" s="1341" t="s">
        <v>504</v>
      </c>
      <c r="D74" s="1353" t="s">
        <v>622</v>
      </c>
      <c r="E74" s="1354">
        <v>2500</v>
      </c>
      <c r="F74" s="1365">
        <v>23697370</v>
      </c>
      <c r="G74" s="1357" t="s">
        <v>4288</v>
      </c>
      <c r="H74" s="1356" t="s">
        <v>622</v>
      </c>
      <c r="I74" s="1358" t="s">
        <v>1664</v>
      </c>
      <c r="J74" s="1359" t="s">
        <v>1664</v>
      </c>
      <c r="K74" s="1360">
        <v>2</v>
      </c>
      <c r="L74" s="1361">
        <v>12</v>
      </c>
      <c r="M74" s="1362">
        <f t="shared" si="4"/>
        <v>31968</v>
      </c>
      <c r="N74" s="1360">
        <v>1</v>
      </c>
      <c r="O74" s="1361">
        <v>6</v>
      </c>
      <c r="P74" s="1224">
        <f t="shared" si="5"/>
        <v>16344</v>
      </c>
    </row>
    <row r="75" spans="1:16" s="264" customFormat="1">
      <c r="A75" s="1340" t="s">
        <v>4242</v>
      </c>
      <c r="B75" s="1341" t="s">
        <v>1880</v>
      </c>
      <c r="C75" s="1341" t="s">
        <v>504</v>
      </c>
      <c r="D75" s="1353" t="s">
        <v>503</v>
      </c>
      <c r="E75" s="1354">
        <v>2500</v>
      </c>
      <c r="F75" s="1365">
        <v>25768652</v>
      </c>
      <c r="G75" s="1357" t="s">
        <v>4282</v>
      </c>
      <c r="H75" s="1356" t="s">
        <v>503</v>
      </c>
      <c r="I75" s="1358" t="s">
        <v>1664</v>
      </c>
      <c r="J75" s="1359" t="s">
        <v>1664</v>
      </c>
      <c r="K75" s="1360">
        <v>2</v>
      </c>
      <c r="L75" s="1361">
        <v>6</v>
      </c>
      <c r="M75" s="1362">
        <f>+L75*E75+600</f>
        <v>15600</v>
      </c>
      <c r="N75" s="1360">
        <v>1</v>
      </c>
      <c r="O75" s="1361">
        <v>6</v>
      </c>
      <c r="P75" s="1224">
        <f t="shared" si="5"/>
        <v>16344</v>
      </c>
    </row>
    <row r="76" spans="1:16" s="264" customFormat="1">
      <c r="A76" s="1340" t="s">
        <v>4242</v>
      </c>
      <c r="B76" s="1341" t="s">
        <v>1880</v>
      </c>
      <c r="C76" s="1341" t="s">
        <v>504</v>
      </c>
      <c r="D76" s="1356" t="s">
        <v>503</v>
      </c>
      <c r="E76" s="1354">
        <v>2063</v>
      </c>
      <c r="F76" s="1355">
        <v>40071462</v>
      </c>
      <c r="G76" s="1356" t="s">
        <v>4287</v>
      </c>
      <c r="H76" s="1357" t="s">
        <v>503</v>
      </c>
      <c r="I76" s="1358" t="s">
        <v>1664</v>
      </c>
      <c r="J76" s="1359" t="s">
        <v>1664</v>
      </c>
      <c r="K76" s="1360">
        <v>2</v>
      </c>
      <c r="L76" s="1361">
        <v>12</v>
      </c>
      <c r="M76" s="1362">
        <f>+L76*E76+600+114*L76</f>
        <v>26724</v>
      </c>
      <c r="N76" s="1360">
        <v>1</v>
      </c>
      <c r="O76" s="1361">
        <v>6</v>
      </c>
      <c r="P76" s="1224">
        <f t="shared" si="5"/>
        <v>13722</v>
      </c>
    </row>
    <row r="77" spans="1:16" s="264" customFormat="1">
      <c r="A77" s="1340" t="s">
        <v>4242</v>
      </c>
      <c r="B77" s="1341" t="s">
        <v>1880</v>
      </c>
      <c r="C77" s="1341" t="s">
        <v>504</v>
      </c>
      <c r="D77" s="1356" t="s">
        <v>4274</v>
      </c>
      <c r="E77" s="1354">
        <v>2000</v>
      </c>
      <c r="F77" s="1364" t="s">
        <v>4286</v>
      </c>
      <c r="G77" s="1356" t="s">
        <v>4285</v>
      </c>
      <c r="H77" s="1357" t="s">
        <v>1664</v>
      </c>
      <c r="I77" s="1358"/>
      <c r="J77" s="1359"/>
      <c r="K77" s="1360">
        <v>2</v>
      </c>
      <c r="L77" s="1361">
        <v>12</v>
      </c>
      <c r="M77" s="1362">
        <f>+L77*E77+600+114*L77</f>
        <v>25968</v>
      </c>
      <c r="N77" s="1360">
        <v>1</v>
      </c>
      <c r="O77" s="1361">
        <v>6</v>
      </c>
      <c r="P77" s="1224">
        <f t="shared" ref="P77:P89" si="6">+O77*E77+300+14*O77</f>
        <v>12384</v>
      </c>
    </row>
    <row r="78" spans="1:16" s="264" customFormat="1">
      <c r="A78" s="1340" t="s">
        <v>4242</v>
      </c>
      <c r="B78" s="1341" t="s">
        <v>1880</v>
      </c>
      <c r="C78" s="1341" t="s">
        <v>504</v>
      </c>
      <c r="D78" s="1353" t="s">
        <v>1775</v>
      </c>
      <c r="E78" s="1354">
        <v>2000</v>
      </c>
      <c r="F78" s="1364" t="s">
        <v>4284</v>
      </c>
      <c r="G78" s="1356" t="s">
        <v>4283</v>
      </c>
      <c r="H78" s="1357"/>
      <c r="I78" s="1358"/>
      <c r="J78" s="1359"/>
      <c r="K78" s="1360">
        <v>2</v>
      </c>
      <c r="L78" s="1361">
        <v>12</v>
      </c>
      <c r="M78" s="1362">
        <f>+L78*E78+600+114*L78</f>
        <v>25968</v>
      </c>
      <c r="N78" s="1360">
        <v>1</v>
      </c>
      <c r="O78" s="1361">
        <v>6</v>
      </c>
      <c r="P78" s="1224">
        <f t="shared" si="6"/>
        <v>12384</v>
      </c>
    </row>
    <row r="79" spans="1:16" s="264" customFormat="1">
      <c r="A79" s="1340" t="s">
        <v>4242</v>
      </c>
      <c r="B79" s="1341" t="s">
        <v>1880</v>
      </c>
      <c r="C79" s="1341" t="s">
        <v>504</v>
      </c>
      <c r="D79" s="1353" t="s">
        <v>503</v>
      </c>
      <c r="E79" s="1354">
        <v>2000</v>
      </c>
      <c r="F79" s="1365">
        <v>25768652</v>
      </c>
      <c r="G79" s="1357" t="s">
        <v>4282</v>
      </c>
      <c r="H79" s="1356" t="s">
        <v>503</v>
      </c>
      <c r="I79" s="1358" t="s">
        <v>1664</v>
      </c>
      <c r="J79" s="1359" t="s">
        <v>1664</v>
      </c>
      <c r="K79" s="1360">
        <v>2</v>
      </c>
      <c r="L79" s="1361">
        <v>6</v>
      </c>
      <c r="M79" s="1362">
        <f>+L79*E79+600</f>
        <v>12600</v>
      </c>
      <c r="N79" s="1360">
        <v>1</v>
      </c>
      <c r="O79" s="1361">
        <v>6</v>
      </c>
      <c r="P79" s="1224">
        <f t="shared" si="6"/>
        <v>12384</v>
      </c>
    </row>
    <row r="80" spans="1:16" s="264" customFormat="1">
      <c r="A80" s="1340" t="s">
        <v>4242</v>
      </c>
      <c r="B80" s="1341" t="s">
        <v>1880</v>
      </c>
      <c r="C80" s="1341" t="s">
        <v>504</v>
      </c>
      <c r="D80" s="1353" t="s">
        <v>1992</v>
      </c>
      <c r="E80" s="1354">
        <v>1800</v>
      </c>
      <c r="F80" s="1355">
        <v>7289290</v>
      </c>
      <c r="G80" s="1356" t="s">
        <v>4281</v>
      </c>
      <c r="H80" s="1357" t="s">
        <v>1664</v>
      </c>
      <c r="I80" s="1358" t="s">
        <v>1664</v>
      </c>
      <c r="J80" s="1359" t="s">
        <v>1664</v>
      </c>
      <c r="K80" s="1360">
        <v>2</v>
      </c>
      <c r="L80" s="1361">
        <v>12</v>
      </c>
      <c r="M80" s="1362">
        <f t="shared" ref="M80:M89" si="7">+L80*E80+600+114*L80</f>
        <v>23568</v>
      </c>
      <c r="N80" s="1360">
        <v>1</v>
      </c>
      <c r="O80" s="1361">
        <v>6</v>
      </c>
      <c r="P80" s="1224">
        <f t="shared" si="6"/>
        <v>11184</v>
      </c>
    </row>
    <row r="81" spans="1:18" s="264" customFormat="1">
      <c r="A81" s="1340" t="s">
        <v>4242</v>
      </c>
      <c r="B81" s="1341" t="s">
        <v>1880</v>
      </c>
      <c r="C81" s="1341" t="s">
        <v>504</v>
      </c>
      <c r="D81" s="1353" t="s">
        <v>4249</v>
      </c>
      <c r="E81" s="1354">
        <v>1500</v>
      </c>
      <c r="F81" s="1365">
        <v>80132439</v>
      </c>
      <c r="G81" s="1357" t="s">
        <v>4280</v>
      </c>
      <c r="H81" s="1356" t="s">
        <v>4249</v>
      </c>
      <c r="I81" s="1358" t="s">
        <v>1664</v>
      </c>
      <c r="J81" s="1359" t="s">
        <v>1664</v>
      </c>
      <c r="K81" s="1360">
        <v>2</v>
      </c>
      <c r="L81" s="1361">
        <v>12</v>
      </c>
      <c r="M81" s="1362">
        <f t="shared" si="7"/>
        <v>19968</v>
      </c>
      <c r="N81" s="1360">
        <v>1</v>
      </c>
      <c r="O81" s="1361">
        <v>6</v>
      </c>
      <c r="P81" s="1224">
        <f t="shared" si="6"/>
        <v>9384</v>
      </c>
    </row>
    <row r="82" spans="1:18" s="264" customFormat="1">
      <c r="A82" s="1340" t="s">
        <v>4242</v>
      </c>
      <c r="B82" s="1341" t="s">
        <v>1880</v>
      </c>
      <c r="C82" s="1341" t="s">
        <v>504</v>
      </c>
      <c r="D82" s="1353" t="s">
        <v>4249</v>
      </c>
      <c r="E82" s="1354">
        <v>1500</v>
      </c>
      <c r="F82" s="1364" t="s">
        <v>4279</v>
      </c>
      <c r="G82" s="1357" t="s">
        <v>4278</v>
      </c>
      <c r="H82" s="1356" t="s">
        <v>4249</v>
      </c>
      <c r="I82" s="1358"/>
      <c r="J82" s="1359"/>
      <c r="K82" s="1360">
        <v>2</v>
      </c>
      <c r="L82" s="1361">
        <v>12</v>
      </c>
      <c r="M82" s="1362">
        <f t="shared" si="7"/>
        <v>19968</v>
      </c>
      <c r="N82" s="1360">
        <v>1</v>
      </c>
      <c r="O82" s="1361">
        <v>6</v>
      </c>
      <c r="P82" s="1224">
        <f t="shared" si="6"/>
        <v>9384</v>
      </c>
    </row>
    <row r="83" spans="1:18" s="264" customFormat="1">
      <c r="A83" s="1340" t="s">
        <v>4242</v>
      </c>
      <c r="B83" s="1341" t="s">
        <v>1880</v>
      </c>
      <c r="C83" s="1341" t="s">
        <v>504</v>
      </c>
      <c r="D83" s="1353" t="s">
        <v>622</v>
      </c>
      <c r="E83" s="1354">
        <v>1500</v>
      </c>
      <c r="F83" s="1355">
        <v>41382160</v>
      </c>
      <c r="G83" s="1356" t="s">
        <v>4277</v>
      </c>
      <c r="H83" s="1357" t="s">
        <v>622</v>
      </c>
      <c r="I83" s="1358" t="s">
        <v>1664</v>
      </c>
      <c r="J83" s="1359" t="s">
        <v>1664</v>
      </c>
      <c r="K83" s="1360">
        <v>2</v>
      </c>
      <c r="L83" s="1361">
        <v>12</v>
      </c>
      <c r="M83" s="1362">
        <f t="shared" si="7"/>
        <v>19968</v>
      </c>
      <c r="N83" s="1360">
        <v>1</v>
      </c>
      <c r="O83" s="1361">
        <v>6</v>
      </c>
      <c r="P83" s="1224">
        <f t="shared" si="6"/>
        <v>9384</v>
      </c>
    </row>
    <row r="84" spans="1:18" s="264" customFormat="1">
      <c r="A84" s="1340" t="s">
        <v>4242</v>
      </c>
      <c r="B84" s="1341" t="s">
        <v>1880</v>
      </c>
      <c r="C84" s="1341" t="s">
        <v>504</v>
      </c>
      <c r="D84" s="1353" t="s">
        <v>4249</v>
      </c>
      <c r="E84" s="1354">
        <v>1500</v>
      </c>
      <c r="F84" s="1355">
        <v>71856389</v>
      </c>
      <c r="G84" s="1367" t="s">
        <v>4276</v>
      </c>
      <c r="H84" s="1356" t="s">
        <v>4249</v>
      </c>
      <c r="I84" s="1358"/>
      <c r="J84" s="1359"/>
      <c r="K84" s="1360">
        <v>2</v>
      </c>
      <c r="L84" s="1361">
        <v>12</v>
      </c>
      <c r="M84" s="1362">
        <f t="shared" si="7"/>
        <v>19968</v>
      </c>
      <c r="N84" s="1360">
        <v>1</v>
      </c>
      <c r="O84" s="1361">
        <v>6</v>
      </c>
      <c r="P84" s="1224">
        <f t="shared" si="6"/>
        <v>9384</v>
      </c>
    </row>
    <row r="85" spans="1:18" s="264" customFormat="1">
      <c r="A85" s="1340" t="s">
        <v>4242</v>
      </c>
      <c r="B85" s="1341" t="s">
        <v>1880</v>
      </c>
      <c r="C85" s="1341" t="s">
        <v>504</v>
      </c>
      <c r="D85" s="1227" t="s">
        <v>4249</v>
      </c>
      <c r="E85" s="1354">
        <v>1500</v>
      </c>
      <c r="F85" s="1355">
        <v>47353853</v>
      </c>
      <c r="G85" s="1356" t="s">
        <v>4275</v>
      </c>
      <c r="H85" s="1357" t="s">
        <v>4249</v>
      </c>
      <c r="I85" s="1358" t="s">
        <v>1664</v>
      </c>
      <c r="J85" s="1359" t="s">
        <v>1664</v>
      </c>
      <c r="K85" s="1360">
        <v>2</v>
      </c>
      <c r="L85" s="1361">
        <v>12</v>
      </c>
      <c r="M85" s="1362">
        <f t="shared" si="7"/>
        <v>19968</v>
      </c>
      <c r="N85" s="1360">
        <v>1</v>
      </c>
      <c r="O85" s="1361">
        <v>6</v>
      </c>
      <c r="P85" s="1224">
        <f t="shared" si="6"/>
        <v>9384</v>
      </c>
    </row>
    <row r="86" spans="1:18" s="264" customFormat="1">
      <c r="A86" s="1340" t="s">
        <v>4242</v>
      </c>
      <c r="B86" s="1341" t="s">
        <v>1880</v>
      </c>
      <c r="C86" s="1341" t="s">
        <v>504</v>
      </c>
      <c r="D86" s="1227" t="s">
        <v>4274</v>
      </c>
      <c r="E86" s="1354">
        <v>1500</v>
      </c>
      <c r="F86" s="1355">
        <v>45765458</v>
      </c>
      <c r="G86" s="1356" t="s">
        <v>4273</v>
      </c>
      <c r="H86" s="1357" t="s">
        <v>1664</v>
      </c>
      <c r="I86" s="1358"/>
      <c r="J86" s="1359"/>
      <c r="K86" s="1360">
        <v>2</v>
      </c>
      <c r="L86" s="1361">
        <v>12</v>
      </c>
      <c r="M86" s="1362">
        <f t="shared" si="7"/>
        <v>19968</v>
      </c>
      <c r="N86" s="1360">
        <v>1</v>
      </c>
      <c r="O86" s="1361">
        <v>6</v>
      </c>
      <c r="P86" s="1224">
        <f t="shared" si="6"/>
        <v>9384</v>
      </c>
    </row>
    <row r="87" spans="1:18" s="264" customFormat="1">
      <c r="A87" s="1340" t="s">
        <v>4242</v>
      </c>
      <c r="B87" s="1341" t="s">
        <v>1880</v>
      </c>
      <c r="C87" s="1341" t="s">
        <v>504</v>
      </c>
      <c r="D87" s="1353" t="s">
        <v>4249</v>
      </c>
      <c r="E87" s="1354">
        <v>1500</v>
      </c>
      <c r="F87" s="1365" t="s">
        <v>4272</v>
      </c>
      <c r="G87" s="1357" t="s">
        <v>4271</v>
      </c>
      <c r="H87" s="1356" t="s">
        <v>4270</v>
      </c>
      <c r="I87" s="1358" t="s">
        <v>1664</v>
      </c>
      <c r="J87" s="1359" t="s">
        <v>1664</v>
      </c>
      <c r="K87" s="1360">
        <v>2</v>
      </c>
      <c r="L87" s="1361">
        <v>12</v>
      </c>
      <c r="M87" s="1362">
        <f t="shared" si="7"/>
        <v>19968</v>
      </c>
      <c r="N87" s="1360">
        <v>1</v>
      </c>
      <c r="O87" s="1361">
        <v>6</v>
      </c>
      <c r="P87" s="1224">
        <f t="shared" si="6"/>
        <v>9384</v>
      </c>
    </row>
    <row r="88" spans="1:18" s="264" customFormat="1">
      <c r="A88" s="1340" t="s">
        <v>4242</v>
      </c>
      <c r="B88" s="1341" t="s">
        <v>1880</v>
      </c>
      <c r="C88" s="1341" t="s">
        <v>504</v>
      </c>
      <c r="D88" s="1353" t="s">
        <v>4249</v>
      </c>
      <c r="E88" s="1354">
        <v>1500</v>
      </c>
      <c r="F88" s="1365">
        <v>10518278</v>
      </c>
      <c r="G88" s="1357" t="s">
        <v>4269</v>
      </c>
      <c r="H88" s="1356" t="s">
        <v>4249</v>
      </c>
      <c r="I88" s="1358" t="s">
        <v>1664</v>
      </c>
      <c r="J88" s="1359" t="s">
        <v>1664</v>
      </c>
      <c r="K88" s="1360">
        <v>2</v>
      </c>
      <c r="L88" s="1361">
        <v>12</v>
      </c>
      <c r="M88" s="1362">
        <f t="shared" si="7"/>
        <v>19968</v>
      </c>
      <c r="N88" s="1360">
        <v>1</v>
      </c>
      <c r="O88" s="1361">
        <v>6</v>
      </c>
      <c r="P88" s="1224">
        <f t="shared" si="6"/>
        <v>9384</v>
      </c>
    </row>
    <row r="89" spans="1:18" s="264" customFormat="1">
      <c r="A89" s="1340" t="s">
        <v>4242</v>
      </c>
      <c r="B89" s="1341" t="s">
        <v>1880</v>
      </c>
      <c r="C89" s="1341" t="s">
        <v>504</v>
      </c>
      <c r="D89" s="1353" t="s">
        <v>4249</v>
      </c>
      <c r="E89" s="1354">
        <v>1500</v>
      </c>
      <c r="F89" s="1364" t="s">
        <v>4268</v>
      </c>
      <c r="G89" s="1356" t="s">
        <v>4267</v>
      </c>
      <c r="H89" s="1357" t="s">
        <v>1664</v>
      </c>
      <c r="I89" s="1358" t="s">
        <v>1664</v>
      </c>
      <c r="J89" s="1359"/>
      <c r="K89" s="1360">
        <v>2</v>
      </c>
      <c r="L89" s="1361">
        <v>12</v>
      </c>
      <c r="M89" s="1362">
        <f t="shared" si="7"/>
        <v>19968</v>
      </c>
      <c r="N89" s="1360">
        <v>1</v>
      </c>
      <c r="O89" s="1361">
        <v>6</v>
      </c>
      <c r="P89" s="1224">
        <f t="shared" si="6"/>
        <v>9384</v>
      </c>
    </row>
    <row r="90" spans="1:18" s="264" customFormat="1">
      <c r="A90" s="1340" t="s">
        <v>4242</v>
      </c>
      <c r="B90" s="1341" t="s">
        <v>1880</v>
      </c>
      <c r="C90" s="1341" t="s">
        <v>504</v>
      </c>
      <c r="D90" s="1118" t="s">
        <v>787</v>
      </c>
      <c r="E90" s="1354">
        <v>3500</v>
      </c>
      <c r="F90" s="1372">
        <v>43347481</v>
      </c>
      <c r="G90" s="1100" t="s">
        <v>4266</v>
      </c>
      <c r="H90" s="1100"/>
      <c r="I90" s="1118" t="s">
        <v>507</v>
      </c>
      <c r="J90" s="1196"/>
      <c r="K90" s="1360">
        <v>1</v>
      </c>
      <c r="L90" s="1361">
        <v>1</v>
      </c>
      <c r="M90" s="1362">
        <f>+L90*E90+600</f>
        <v>4100</v>
      </c>
      <c r="N90" s="1372">
        <v>0</v>
      </c>
      <c r="O90" s="1118">
        <v>0</v>
      </c>
      <c r="P90" s="1224">
        <v>2058</v>
      </c>
    </row>
    <row r="91" spans="1:18" s="264" customFormat="1">
      <c r="A91" s="1340" t="s">
        <v>4242</v>
      </c>
      <c r="B91" s="1341" t="s">
        <v>1880</v>
      </c>
      <c r="C91" s="1341" t="s">
        <v>504</v>
      </c>
      <c r="D91" s="1118" t="s">
        <v>787</v>
      </c>
      <c r="E91" s="1354">
        <v>12000</v>
      </c>
      <c r="F91" s="1372">
        <v>40673895</v>
      </c>
      <c r="G91" s="1100" t="s">
        <v>4265</v>
      </c>
      <c r="H91" s="1100"/>
      <c r="I91" s="1118" t="s">
        <v>507</v>
      </c>
      <c r="J91" s="1196"/>
      <c r="K91" s="1360">
        <v>1</v>
      </c>
      <c r="L91" s="1361">
        <v>2</v>
      </c>
      <c r="M91" s="1362">
        <f>+L91*E91+100+174*L91+1200</f>
        <v>25648</v>
      </c>
      <c r="N91" s="1372">
        <v>0</v>
      </c>
      <c r="O91" s="1118">
        <v>0</v>
      </c>
      <c r="P91" s="1224">
        <v>1200</v>
      </c>
    </row>
    <row r="92" spans="1:18" s="264" customFormat="1">
      <c r="A92" s="1340" t="s">
        <v>4242</v>
      </c>
      <c r="B92" s="1341" t="s">
        <v>1880</v>
      </c>
      <c r="C92" s="1341" t="s">
        <v>504</v>
      </c>
      <c r="D92" s="1353" t="s">
        <v>787</v>
      </c>
      <c r="E92" s="1354">
        <v>3000</v>
      </c>
      <c r="F92" s="1355">
        <v>43367905</v>
      </c>
      <c r="G92" s="1356" t="s">
        <v>4264</v>
      </c>
      <c r="H92" s="1357" t="s">
        <v>4263</v>
      </c>
      <c r="I92" s="1358"/>
      <c r="J92" s="1359"/>
      <c r="K92" s="1360">
        <v>2</v>
      </c>
      <c r="L92" s="1361">
        <v>1.5</v>
      </c>
      <c r="M92" s="1362">
        <f>+L92*E92+600+134*2</f>
        <v>5368</v>
      </c>
      <c r="N92" s="1372">
        <v>0</v>
      </c>
      <c r="O92" s="1118">
        <v>0</v>
      </c>
      <c r="P92" s="1224"/>
      <c r="R92" s="1148"/>
    </row>
    <row r="93" spans="1:18" s="264" customFormat="1">
      <c r="A93" s="1340" t="s">
        <v>4242</v>
      </c>
      <c r="B93" s="1341" t="s">
        <v>1880</v>
      </c>
      <c r="C93" s="1341"/>
      <c r="D93" s="1356"/>
      <c r="E93" s="1354">
        <v>5500</v>
      </c>
      <c r="F93" s="1373">
        <v>43268806</v>
      </c>
      <c r="G93" s="1356" t="s">
        <v>4262</v>
      </c>
      <c r="H93" s="1357"/>
      <c r="I93" s="1358"/>
      <c r="J93" s="1359"/>
      <c r="K93" s="1360">
        <v>1</v>
      </c>
      <c r="L93" s="1361">
        <v>5</v>
      </c>
      <c r="M93" s="1362">
        <f>+L93*E93+600+174*4</f>
        <v>28796</v>
      </c>
      <c r="N93" s="1372">
        <v>0</v>
      </c>
      <c r="O93" s="1118">
        <v>0</v>
      </c>
      <c r="P93" s="1224"/>
      <c r="R93" s="1148"/>
    </row>
    <row r="94" spans="1:18" s="264" customFormat="1">
      <c r="A94" s="1340" t="s">
        <v>4242</v>
      </c>
      <c r="B94" s="1341" t="s">
        <v>1880</v>
      </c>
      <c r="C94" s="1341" t="s">
        <v>504</v>
      </c>
      <c r="D94" s="1353" t="s">
        <v>1775</v>
      </c>
      <c r="E94" s="1354">
        <v>3500</v>
      </c>
      <c r="F94" s="1365" t="s">
        <v>4261</v>
      </c>
      <c r="G94" s="1357" t="s">
        <v>4260</v>
      </c>
      <c r="H94" s="1356" t="s">
        <v>4259</v>
      </c>
      <c r="I94" s="1358" t="s">
        <v>1664</v>
      </c>
      <c r="J94" s="1359" t="s">
        <v>1664</v>
      </c>
      <c r="K94" s="1360">
        <v>1</v>
      </c>
      <c r="L94" s="1361">
        <v>6</v>
      </c>
      <c r="M94" s="1362">
        <f>+L94*E94+600+135*6</f>
        <v>22410</v>
      </c>
      <c r="N94" s="1372">
        <v>0</v>
      </c>
      <c r="O94" s="1118">
        <v>0</v>
      </c>
      <c r="P94" s="1224"/>
    </row>
    <row r="95" spans="1:18" s="264" customFormat="1">
      <c r="A95" s="1340" t="s">
        <v>4242</v>
      </c>
      <c r="B95" s="1341" t="s">
        <v>1880</v>
      </c>
      <c r="C95" s="1341" t="s">
        <v>504</v>
      </c>
      <c r="D95" s="1353" t="s">
        <v>1992</v>
      </c>
      <c r="E95" s="1354">
        <v>1300</v>
      </c>
      <c r="F95" s="1355">
        <v>25425023</v>
      </c>
      <c r="G95" s="1356" t="s">
        <v>4258</v>
      </c>
      <c r="H95" s="1357" t="s">
        <v>1664</v>
      </c>
      <c r="I95" s="1358" t="s">
        <v>1664</v>
      </c>
      <c r="J95" s="1359" t="s">
        <v>4257</v>
      </c>
      <c r="K95" s="1360">
        <v>2</v>
      </c>
      <c r="L95" s="1361">
        <v>12</v>
      </c>
      <c r="M95" s="1362">
        <f>+L95*E95+600+114*L95+134*12</f>
        <v>19176</v>
      </c>
      <c r="N95" s="1372">
        <v>0</v>
      </c>
      <c r="O95" s="1118">
        <v>0</v>
      </c>
      <c r="P95" s="1224"/>
    </row>
    <row r="96" spans="1:18" s="264" customFormat="1">
      <c r="A96" s="1340" t="s">
        <v>4242</v>
      </c>
      <c r="B96" s="1341" t="s">
        <v>1880</v>
      </c>
      <c r="C96" s="1099"/>
      <c r="D96" s="1118"/>
      <c r="E96" s="1354">
        <v>4500</v>
      </c>
      <c r="F96" s="1372">
        <v>45475671</v>
      </c>
      <c r="G96" s="1100" t="s">
        <v>4256</v>
      </c>
      <c r="H96" s="1100" t="s">
        <v>4244</v>
      </c>
      <c r="I96" s="1118" t="s">
        <v>507</v>
      </c>
      <c r="J96" s="1196"/>
      <c r="K96" s="1360">
        <v>1</v>
      </c>
      <c r="L96" s="1361">
        <v>5.5</v>
      </c>
      <c r="M96" s="1362">
        <f>+L96*E96+600+174*6</f>
        <v>26394</v>
      </c>
      <c r="N96" s="1372">
        <v>0</v>
      </c>
      <c r="O96" s="1118">
        <v>0</v>
      </c>
      <c r="P96" s="1224"/>
    </row>
    <row r="97" spans="1:16" s="264" customFormat="1">
      <c r="A97" s="1340" t="s">
        <v>4242</v>
      </c>
      <c r="B97" s="1341" t="s">
        <v>1880</v>
      </c>
      <c r="C97" s="1341" t="s">
        <v>504</v>
      </c>
      <c r="D97" s="1227" t="s">
        <v>4255</v>
      </c>
      <c r="E97" s="1354">
        <v>5550</v>
      </c>
      <c r="F97" s="1355">
        <v>70020192</v>
      </c>
      <c r="G97" s="1356" t="s">
        <v>4254</v>
      </c>
      <c r="H97" s="1357" t="s">
        <v>507</v>
      </c>
      <c r="I97" s="1358" t="s">
        <v>507</v>
      </c>
      <c r="J97" s="1359" t="s">
        <v>507</v>
      </c>
      <c r="K97" s="1360">
        <v>2</v>
      </c>
      <c r="L97" s="1361">
        <v>5.5</v>
      </c>
      <c r="M97" s="1362">
        <f>+L97*E97+600</f>
        <v>31125</v>
      </c>
      <c r="N97" s="1372">
        <v>0</v>
      </c>
      <c r="O97" s="1118">
        <v>0</v>
      </c>
      <c r="P97" s="1224"/>
    </row>
    <row r="98" spans="1:16" s="264" customFormat="1">
      <c r="A98" s="1340" t="s">
        <v>4242</v>
      </c>
      <c r="B98" s="1341" t="s">
        <v>1880</v>
      </c>
      <c r="C98" s="1341" t="s">
        <v>504</v>
      </c>
      <c r="D98" s="1353" t="s">
        <v>1775</v>
      </c>
      <c r="E98" s="1354">
        <v>1800</v>
      </c>
      <c r="F98" s="1355">
        <v>72649745</v>
      </c>
      <c r="G98" s="1356" t="s">
        <v>4253</v>
      </c>
      <c r="H98" s="1357" t="s">
        <v>4252</v>
      </c>
      <c r="I98" s="1358" t="s">
        <v>507</v>
      </c>
      <c r="J98" s="1359"/>
      <c r="K98" s="1360">
        <v>2</v>
      </c>
      <c r="L98" s="1361">
        <v>8.5</v>
      </c>
      <c r="M98" s="1362">
        <f>+L98*E98+600+114*L98</f>
        <v>16869</v>
      </c>
      <c r="N98" s="1372">
        <v>0</v>
      </c>
      <c r="O98" s="1118">
        <v>0</v>
      </c>
      <c r="P98" s="1224"/>
    </row>
    <row r="99" spans="1:16" s="264" customFormat="1">
      <c r="A99" s="1340" t="s">
        <v>4242</v>
      </c>
      <c r="B99" s="1341" t="s">
        <v>1880</v>
      </c>
      <c r="C99" s="1341" t="s">
        <v>504</v>
      </c>
      <c r="D99" s="1353" t="s">
        <v>787</v>
      </c>
      <c r="E99" s="1354">
        <v>8000</v>
      </c>
      <c r="F99" s="1364" t="s">
        <v>4251</v>
      </c>
      <c r="G99" s="1356" t="s">
        <v>4250</v>
      </c>
      <c r="H99" s="1357"/>
      <c r="I99" s="1358"/>
      <c r="J99" s="1359"/>
      <c r="K99" s="1360">
        <v>1</v>
      </c>
      <c r="L99" s="1374">
        <v>1</v>
      </c>
      <c r="M99" s="1362">
        <f>+L99*E99+600+134</f>
        <v>8734</v>
      </c>
      <c r="N99" s="1372">
        <v>0</v>
      </c>
      <c r="O99" s="1118">
        <v>0</v>
      </c>
      <c r="P99" s="1224"/>
    </row>
    <row r="100" spans="1:16" s="264" customFormat="1" ht="24">
      <c r="A100" s="1340" t="s">
        <v>4242</v>
      </c>
      <c r="B100" s="1341" t="s">
        <v>1880</v>
      </c>
      <c r="C100" s="1341" t="s">
        <v>504</v>
      </c>
      <c r="D100" s="1353" t="s">
        <v>4249</v>
      </c>
      <c r="E100" s="1354">
        <v>1500</v>
      </c>
      <c r="F100" s="1364" t="s">
        <v>4248</v>
      </c>
      <c r="G100" s="1356" t="s">
        <v>4247</v>
      </c>
      <c r="H100" s="1357"/>
      <c r="I100" s="1358"/>
      <c r="J100" s="1359"/>
      <c r="K100" s="1360">
        <v>2</v>
      </c>
      <c r="L100" s="1361">
        <v>2</v>
      </c>
      <c r="M100" s="1362">
        <f>+L100*E100+134*2</f>
        <v>3268</v>
      </c>
      <c r="N100" s="1372">
        <v>0</v>
      </c>
      <c r="O100" s="1118">
        <v>0</v>
      </c>
      <c r="P100" s="1224"/>
    </row>
    <row r="101" spans="1:16" s="264" customFormat="1">
      <c r="A101" s="1340" t="s">
        <v>4242</v>
      </c>
      <c r="B101" s="1341" t="s">
        <v>1880</v>
      </c>
      <c r="C101" s="1341" t="s">
        <v>504</v>
      </c>
      <c r="D101" s="1353" t="s">
        <v>503</v>
      </c>
      <c r="E101" s="1354">
        <v>2800</v>
      </c>
      <c r="F101" s="1355">
        <v>41263759</v>
      </c>
      <c r="G101" s="1356" t="s">
        <v>4246</v>
      </c>
      <c r="H101" s="1357" t="s">
        <v>503</v>
      </c>
      <c r="I101" s="1358" t="s">
        <v>1664</v>
      </c>
      <c r="J101" s="1359" t="s">
        <v>1664</v>
      </c>
      <c r="K101" s="1360">
        <v>2</v>
      </c>
      <c r="L101" s="1361">
        <v>2</v>
      </c>
      <c r="M101" s="1362">
        <f>+L101*E101+134*2</f>
        <v>5868</v>
      </c>
      <c r="N101" s="1372">
        <v>0</v>
      </c>
      <c r="O101" s="1118">
        <v>0</v>
      </c>
      <c r="P101" s="1224"/>
    </row>
    <row r="102" spans="1:16" s="264" customFormat="1">
      <c r="A102" s="1340" t="s">
        <v>4242</v>
      </c>
      <c r="B102" s="1341" t="s">
        <v>1880</v>
      </c>
      <c r="C102" s="1341" t="s">
        <v>504</v>
      </c>
      <c r="D102" s="1358" t="s">
        <v>787</v>
      </c>
      <c r="E102" s="1354">
        <v>5000</v>
      </c>
      <c r="F102" s="1355">
        <v>40250936</v>
      </c>
      <c r="G102" s="1356" t="s">
        <v>4245</v>
      </c>
      <c r="H102" s="1357" t="s">
        <v>4244</v>
      </c>
      <c r="I102" s="1358" t="s">
        <v>4240</v>
      </c>
      <c r="J102" s="1359" t="s">
        <v>4240</v>
      </c>
      <c r="K102" s="1360">
        <v>2</v>
      </c>
      <c r="L102" s="1361">
        <v>5.5</v>
      </c>
      <c r="M102" s="1362">
        <f>+L102*E102+300+174*6</f>
        <v>28844</v>
      </c>
      <c r="N102" s="1372">
        <v>0</v>
      </c>
      <c r="O102" s="1118">
        <v>0</v>
      </c>
      <c r="P102" s="1224"/>
    </row>
    <row r="103" spans="1:16" s="264" customFormat="1">
      <c r="A103" s="1340" t="s">
        <v>4242</v>
      </c>
      <c r="B103" s="1341" t="s">
        <v>1880</v>
      </c>
      <c r="C103" s="1341" t="s">
        <v>504</v>
      </c>
      <c r="D103" s="1118" t="s">
        <v>787</v>
      </c>
      <c r="E103" s="1354">
        <v>12000</v>
      </c>
      <c r="F103" s="1372">
        <v>43381103</v>
      </c>
      <c r="G103" s="1100" t="s">
        <v>4243</v>
      </c>
      <c r="H103" s="1100"/>
      <c r="I103" s="1118" t="s">
        <v>507</v>
      </c>
      <c r="J103" s="1196"/>
      <c r="K103" s="1360">
        <v>1</v>
      </c>
      <c r="L103" s="1361">
        <v>1</v>
      </c>
      <c r="M103" s="1362">
        <f>+L103*E103+600+174</f>
        <v>12774</v>
      </c>
      <c r="N103" s="1372">
        <v>0</v>
      </c>
      <c r="O103" s="1118">
        <v>0</v>
      </c>
      <c r="P103" s="1224">
        <v>1200</v>
      </c>
    </row>
    <row r="104" spans="1:16" s="264" customFormat="1" ht="12.75" thickBot="1">
      <c r="A104" s="1375" t="s">
        <v>4242</v>
      </c>
      <c r="B104" s="1376" t="s">
        <v>1880</v>
      </c>
      <c r="C104" s="1376" t="s">
        <v>504</v>
      </c>
      <c r="D104" s="1377" t="s">
        <v>787</v>
      </c>
      <c r="E104" s="1378">
        <v>8000</v>
      </c>
      <c r="F104" s="1379">
        <v>40980183</v>
      </c>
      <c r="G104" s="1201" t="s">
        <v>4241</v>
      </c>
      <c r="H104" s="1201" t="s">
        <v>787</v>
      </c>
      <c r="I104" s="1380" t="s">
        <v>507</v>
      </c>
      <c r="J104" s="1381" t="s">
        <v>4240</v>
      </c>
      <c r="K104" s="1382">
        <v>1</v>
      </c>
      <c r="L104" s="1383">
        <v>2.5</v>
      </c>
      <c r="M104" s="1384">
        <f>+L104*E104+174*3</f>
        <v>20522</v>
      </c>
      <c r="N104" s="1379">
        <v>0</v>
      </c>
      <c r="O104" s="1380">
        <v>0</v>
      </c>
      <c r="P104" s="1385">
        <v>800</v>
      </c>
    </row>
    <row r="105" spans="1:16" ht="12.75" thickBot="1">
      <c r="A105" s="1386" t="s">
        <v>0</v>
      </c>
      <c r="B105" s="1387"/>
      <c r="C105" s="1387"/>
      <c r="D105" s="1388"/>
      <c r="E105" s="1389"/>
      <c r="F105" s="1209"/>
      <c r="G105" s="1207"/>
      <c r="H105" s="1207"/>
      <c r="I105" s="1207"/>
      <c r="J105" s="1390"/>
      <c r="K105" s="1212"/>
      <c r="L105" s="1213"/>
      <c r="M105" s="1391">
        <f>SUM(M7:M104)</f>
        <v>5376598</v>
      </c>
      <c r="N105" s="1392"/>
      <c r="O105" s="1393"/>
      <c r="P105" s="1391">
        <f>SUM(P7:P104)</f>
        <v>2615251</v>
      </c>
    </row>
    <row r="106" spans="1:16" ht="24">
      <c r="A106" s="445" t="s">
        <v>449</v>
      </c>
      <c r="B106" s="445"/>
      <c r="C106" s="277"/>
      <c r="D106" s="445"/>
      <c r="E106" s="445"/>
      <c r="F106" s="445"/>
      <c r="G106" s="445"/>
      <c r="H106" s="445"/>
      <c r="I106" s="445"/>
      <c r="J106" s="445"/>
      <c r="K106" s="1136"/>
      <c r="L106" s="1136"/>
      <c r="M106" s="445"/>
      <c r="N106" s="445"/>
      <c r="O106" s="445"/>
      <c r="P106" s="445"/>
    </row>
    <row r="107" spans="1:16">
      <c r="A107" s="445"/>
      <c r="B107" s="445"/>
      <c r="C107" s="277"/>
      <c r="D107" s="445"/>
      <c r="E107" s="445"/>
      <c r="F107" s="445"/>
      <c r="G107" s="445"/>
      <c r="H107" s="445"/>
      <c r="I107" s="445"/>
      <c r="J107" s="445"/>
      <c r="K107" s="1136"/>
      <c r="L107" s="1136"/>
      <c r="M107" s="445"/>
      <c r="N107" s="445"/>
      <c r="O107" s="445"/>
      <c r="P107" s="445"/>
    </row>
    <row r="108" spans="1:16">
      <c r="A108" s="445"/>
      <c r="B108" s="445"/>
      <c r="C108" s="277"/>
      <c r="D108" s="445"/>
      <c r="E108" s="445"/>
      <c r="F108" s="445"/>
      <c r="G108" s="445"/>
      <c r="H108" s="445"/>
      <c r="I108" s="445"/>
      <c r="J108" s="445"/>
      <c r="K108" s="1136"/>
      <c r="L108" s="1136"/>
      <c r="M108" s="445"/>
      <c r="N108" s="445"/>
      <c r="O108" s="445"/>
      <c r="P108" s="445"/>
    </row>
    <row r="109" spans="1:16">
      <c r="A109" s="445"/>
      <c r="B109" s="445"/>
      <c r="C109" s="277"/>
      <c r="D109" s="445"/>
      <c r="E109" s="445"/>
      <c r="F109" s="445"/>
      <c r="G109" s="445"/>
      <c r="H109" s="445"/>
      <c r="I109" s="445"/>
      <c r="J109" s="445"/>
      <c r="K109" s="1136"/>
      <c r="L109" s="1136"/>
      <c r="M109" s="445"/>
      <c r="N109" s="445"/>
      <c r="O109" s="445"/>
      <c r="P109" s="445"/>
    </row>
    <row r="110" spans="1:16">
      <c r="A110" s="445"/>
      <c r="B110" s="445"/>
      <c r="C110" s="277"/>
      <c r="D110" s="445"/>
      <c r="E110" s="445"/>
      <c r="F110" s="445"/>
      <c r="G110" s="445"/>
      <c r="H110" s="445"/>
      <c r="I110" s="445"/>
      <c r="J110" s="445"/>
      <c r="K110" s="1136"/>
      <c r="L110" s="1136"/>
      <c r="M110" s="445"/>
      <c r="N110" s="445"/>
      <c r="O110" s="445"/>
      <c r="P110" s="445"/>
    </row>
    <row r="111" spans="1:16">
      <c r="A111" s="445"/>
      <c r="B111" s="445"/>
      <c r="C111" s="277"/>
      <c r="D111" s="445"/>
      <c r="E111" s="445"/>
      <c r="F111" s="445"/>
      <c r="G111" s="445"/>
      <c r="H111" s="445"/>
      <c r="I111" s="445"/>
      <c r="J111" s="445"/>
      <c r="K111" s="1136"/>
      <c r="L111" s="1136"/>
      <c r="M111" s="445"/>
      <c r="N111" s="445"/>
      <c r="O111" s="445"/>
      <c r="P111" s="445"/>
    </row>
    <row r="112" spans="1:16">
      <c r="A112" s="445"/>
      <c r="B112" s="445"/>
      <c r="C112" s="277"/>
      <c r="D112" s="445"/>
      <c r="E112" s="445"/>
      <c r="F112" s="445"/>
      <c r="G112" s="445"/>
      <c r="H112" s="445"/>
      <c r="I112" s="445"/>
      <c r="J112" s="445"/>
      <c r="K112" s="1136"/>
      <c r="L112" s="1136"/>
      <c r="M112" s="445"/>
      <c r="N112" s="445"/>
      <c r="O112" s="445"/>
      <c r="P112" s="445"/>
    </row>
    <row r="113" spans="1:16">
      <c r="A113" s="445"/>
      <c r="B113" s="445"/>
      <c r="C113" s="277"/>
      <c r="D113" s="445"/>
      <c r="E113" s="445"/>
      <c r="F113" s="445"/>
      <c r="G113" s="445"/>
      <c r="H113" s="445"/>
      <c r="I113" s="445"/>
      <c r="J113" s="445"/>
      <c r="K113" s="1136"/>
      <c r="L113" s="1136"/>
      <c r="M113" s="445"/>
      <c r="N113" s="445"/>
      <c r="O113" s="445"/>
      <c r="P113" s="445"/>
    </row>
    <row r="114" spans="1:16">
      <c r="A114" s="445"/>
      <c r="B114" s="445"/>
      <c r="C114" s="277"/>
      <c r="D114" s="445"/>
      <c r="E114" s="445"/>
      <c r="F114" s="445"/>
      <c r="G114" s="445"/>
      <c r="H114" s="445"/>
      <c r="I114" s="445"/>
      <c r="J114" s="445"/>
      <c r="K114" s="1136"/>
      <c r="L114" s="1136"/>
      <c r="M114" s="445"/>
      <c r="N114" s="445"/>
      <c r="O114" s="445"/>
      <c r="P114" s="445"/>
    </row>
    <row r="115" spans="1:16">
      <c r="A115" s="445"/>
      <c r="B115" s="445"/>
      <c r="C115" s="277"/>
      <c r="D115" s="445"/>
      <c r="E115" s="445"/>
      <c r="F115" s="445"/>
      <c r="G115" s="445"/>
      <c r="H115" s="445"/>
      <c r="I115" s="445"/>
      <c r="J115" s="445"/>
      <c r="K115" s="1136"/>
      <c r="L115" s="1136"/>
      <c r="M115" s="445"/>
      <c r="N115" s="445"/>
      <c r="O115" s="445"/>
      <c r="P115" s="445"/>
    </row>
    <row r="116" spans="1:16">
      <c r="A116" s="445"/>
      <c r="B116" s="445"/>
      <c r="C116" s="277"/>
      <c r="D116" s="445"/>
      <c r="E116" s="445"/>
      <c r="F116" s="445"/>
      <c r="G116" s="445"/>
      <c r="H116" s="445"/>
      <c r="I116" s="445"/>
      <c r="J116" s="445"/>
      <c r="K116" s="1136"/>
      <c r="L116" s="1136"/>
      <c r="M116" s="445"/>
      <c r="N116" s="445"/>
      <c r="O116" s="445"/>
      <c r="P116" s="445"/>
    </row>
    <row r="117" spans="1:16">
      <c r="A117" s="445"/>
      <c r="B117" s="445"/>
      <c r="C117" s="277"/>
      <c r="D117" s="445"/>
      <c r="E117" s="445"/>
      <c r="F117" s="445"/>
      <c r="G117" s="445"/>
      <c r="H117" s="445"/>
      <c r="I117" s="445"/>
      <c r="J117" s="445"/>
      <c r="K117" s="1136"/>
      <c r="L117" s="1136"/>
      <c r="M117" s="445"/>
      <c r="N117" s="445"/>
      <c r="O117" s="445"/>
      <c r="P117" s="445"/>
    </row>
    <row r="118" spans="1:16">
      <c r="A118" s="445"/>
      <c r="B118" s="445"/>
      <c r="C118" s="277"/>
      <c r="D118" s="445"/>
      <c r="E118" s="445"/>
      <c r="F118" s="445"/>
      <c r="G118" s="445"/>
      <c r="H118" s="445"/>
      <c r="I118" s="445"/>
      <c r="J118" s="445"/>
      <c r="K118" s="1136"/>
      <c r="L118" s="1136"/>
      <c r="M118" s="445"/>
      <c r="N118" s="445"/>
      <c r="O118" s="445"/>
      <c r="P118" s="445"/>
    </row>
    <row r="119" spans="1:16">
      <c r="A119" s="445"/>
      <c r="B119" s="445"/>
      <c r="C119" s="277"/>
      <c r="D119" s="445"/>
      <c r="E119" s="445"/>
      <c r="F119" s="445"/>
      <c r="G119" s="445"/>
      <c r="H119" s="445"/>
      <c r="I119" s="445"/>
      <c r="J119" s="445"/>
      <c r="K119" s="1136"/>
      <c r="L119" s="1136"/>
      <c r="M119" s="445"/>
      <c r="N119" s="445"/>
      <c r="O119" s="445"/>
      <c r="P119" s="445"/>
    </row>
    <row r="120" spans="1:16">
      <c r="A120" s="445"/>
      <c r="B120" s="445"/>
      <c r="C120" s="277"/>
      <c r="D120" s="445"/>
      <c r="E120" s="445"/>
      <c r="F120" s="445"/>
      <c r="G120" s="445"/>
      <c r="H120" s="445"/>
      <c r="I120" s="445"/>
      <c r="J120" s="445"/>
      <c r="K120" s="1136"/>
      <c r="L120" s="1136"/>
      <c r="M120" s="445"/>
      <c r="N120" s="445"/>
      <c r="O120" s="445"/>
      <c r="P120" s="445"/>
    </row>
    <row r="121" spans="1:16">
      <c r="A121" s="445"/>
      <c r="B121" s="445"/>
      <c r="C121" s="277"/>
      <c r="D121" s="445"/>
      <c r="E121" s="445"/>
      <c r="F121" s="445"/>
      <c r="G121" s="445"/>
      <c r="H121" s="445"/>
      <c r="I121" s="445"/>
      <c r="J121" s="445"/>
      <c r="K121" s="1136"/>
      <c r="L121" s="1136"/>
      <c r="M121" s="445"/>
      <c r="N121" s="445"/>
      <c r="O121" s="445"/>
      <c r="P121" s="445"/>
    </row>
    <row r="122" spans="1:16">
      <c r="A122" s="445"/>
      <c r="B122" s="445"/>
      <c r="C122" s="277"/>
      <c r="D122" s="445"/>
      <c r="E122" s="445"/>
      <c r="F122" s="445"/>
      <c r="G122" s="445"/>
      <c r="H122" s="445"/>
      <c r="I122" s="445"/>
      <c r="J122" s="445"/>
      <c r="K122" s="1136"/>
      <c r="L122" s="1136"/>
      <c r="M122" s="445"/>
      <c r="N122" s="445"/>
      <c r="O122" s="445"/>
      <c r="P122" s="445"/>
    </row>
    <row r="123" spans="1:16">
      <c r="A123" s="445"/>
      <c r="B123" s="445"/>
      <c r="C123" s="277"/>
      <c r="D123" s="445"/>
      <c r="E123" s="445"/>
      <c r="F123" s="445"/>
      <c r="G123" s="445"/>
      <c r="H123" s="445"/>
      <c r="I123" s="445"/>
      <c r="J123" s="445"/>
      <c r="K123" s="1136"/>
      <c r="L123" s="1136"/>
      <c r="M123" s="445"/>
      <c r="N123" s="445"/>
      <c r="O123" s="445"/>
      <c r="P123" s="445"/>
    </row>
    <row r="124" spans="1:16">
      <c r="A124" s="445"/>
      <c r="B124" s="445"/>
      <c r="C124" s="277"/>
      <c r="D124" s="445"/>
      <c r="E124" s="445"/>
      <c r="F124" s="445"/>
      <c r="G124" s="445"/>
      <c r="H124" s="445"/>
      <c r="I124" s="445"/>
      <c r="J124" s="445"/>
      <c r="K124" s="1136"/>
      <c r="L124" s="1136"/>
      <c r="M124" s="445"/>
      <c r="N124" s="445"/>
      <c r="O124" s="445"/>
      <c r="P124" s="445"/>
    </row>
    <row r="125" spans="1:16">
      <c r="A125" s="445"/>
      <c r="B125" s="445"/>
      <c r="C125" s="277"/>
      <c r="D125" s="445"/>
      <c r="E125" s="445"/>
      <c r="F125" s="445"/>
      <c r="G125" s="445"/>
      <c r="H125" s="445"/>
      <c r="I125" s="445"/>
      <c r="J125" s="445"/>
      <c r="K125" s="1136"/>
      <c r="L125" s="1136"/>
      <c r="M125" s="445"/>
      <c r="N125" s="445"/>
      <c r="O125" s="445"/>
      <c r="P125" s="445"/>
    </row>
    <row r="126" spans="1:16">
      <c r="A126" s="445"/>
      <c r="B126" s="445"/>
      <c r="C126" s="277"/>
      <c r="D126" s="445"/>
      <c r="E126" s="445"/>
      <c r="F126" s="445"/>
      <c r="G126" s="445"/>
      <c r="H126" s="445"/>
      <c r="I126" s="445"/>
      <c r="J126" s="445"/>
      <c r="K126" s="1136"/>
      <c r="L126" s="1136"/>
      <c r="M126" s="445"/>
      <c r="N126" s="445"/>
      <c r="O126" s="445"/>
      <c r="P126" s="445"/>
    </row>
    <row r="127" spans="1:16">
      <c r="A127" s="445"/>
      <c r="B127" s="445"/>
      <c r="C127" s="277"/>
      <c r="D127" s="445"/>
      <c r="E127" s="445"/>
      <c r="F127" s="445"/>
      <c r="G127" s="445"/>
      <c r="H127" s="445"/>
      <c r="I127" s="445"/>
      <c r="J127" s="445"/>
      <c r="K127" s="1136"/>
      <c r="L127" s="1136"/>
      <c r="M127" s="445"/>
      <c r="N127" s="445"/>
      <c r="O127" s="445"/>
      <c r="P127" s="445"/>
    </row>
    <row r="128" spans="1:16">
      <c r="A128" s="445"/>
      <c r="B128" s="445"/>
      <c r="C128" s="277"/>
      <c r="D128" s="445"/>
      <c r="E128" s="445"/>
      <c r="F128" s="445"/>
      <c r="G128" s="445"/>
      <c r="H128" s="445"/>
      <c r="I128" s="445"/>
      <c r="J128" s="445"/>
      <c r="K128" s="1136"/>
      <c r="L128" s="1136"/>
      <c r="M128" s="445"/>
      <c r="N128" s="445"/>
      <c r="O128" s="445"/>
      <c r="P128" s="445"/>
    </row>
    <row r="129" spans="1:16">
      <c r="A129" s="445"/>
      <c r="B129" s="445"/>
      <c r="C129" s="277"/>
      <c r="D129" s="445"/>
      <c r="E129" s="445"/>
      <c r="F129" s="445"/>
      <c r="G129" s="445"/>
      <c r="H129" s="445"/>
      <c r="I129" s="445"/>
      <c r="J129" s="445"/>
      <c r="K129" s="1136"/>
      <c r="L129" s="1136"/>
      <c r="M129" s="445"/>
      <c r="N129" s="445"/>
      <c r="O129" s="445"/>
      <c r="P129" s="445"/>
    </row>
    <row r="130" spans="1:16">
      <c r="A130" s="445"/>
      <c r="B130" s="445"/>
      <c r="C130" s="277"/>
      <c r="D130" s="445"/>
      <c r="E130" s="445"/>
      <c r="F130" s="445"/>
      <c r="G130" s="445"/>
      <c r="H130" s="445"/>
      <c r="I130" s="445"/>
      <c r="J130" s="445"/>
      <c r="K130" s="1136"/>
      <c r="L130" s="1136"/>
      <c r="M130" s="445"/>
      <c r="N130" s="445"/>
      <c r="O130" s="445"/>
      <c r="P130" s="445"/>
    </row>
    <row r="131" spans="1:16">
      <c r="A131" s="445"/>
      <c r="B131" s="445"/>
      <c r="C131" s="277"/>
      <c r="D131" s="445"/>
      <c r="E131" s="445"/>
      <c r="F131" s="445"/>
      <c r="G131" s="445"/>
      <c r="H131" s="445"/>
      <c r="I131" s="445"/>
      <c r="J131" s="445"/>
      <c r="K131" s="1136"/>
      <c r="L131" s="1136"/>
      <c r="M131" s="445"/>
      <c r="N131" s="445"/>
      <c r="O131" s="445"/>
      <c r="P131" s="445"/>
    </row>
    <row r="132" spans="1:16">
      <c r="A132" s="445"/>
      <c r="B132" s="445"/>
      <c r="C132" s="277"/>
      <c r="D132" s="445"/>
      <c r="E132" s="445"/>
      <c r="F132" s="445"/>
      <c r="G132" s="445"/>
      <c r="H132" s="445"/>
      <c r="I132" s="445"/>
      <c r="J132" s="445"/>
      <c r="K132" s="1136"/>
      <c r="L132" s="1136"/>
      <c r="M132" s="445"/>
      <c r="N132" s="445"/>
      <c r="O132" s="445"/>
      <c r="P132" s="445"/>
    </row>
    <row r="133" spans="1:16">
      <c r="A133" s="445"/>
      <c r="B133" s="445"/>
      <c r="C133" s="277"/>
      <c r="D133" s="445"/>
      <c r="E133" s="445"/>
      <c r="F133" s="445"/>
      <c r="G133" s="445"/>
      <c r="H133" s="445"/>
      <c r="I133" s="445"/>
      <c r="J133" s="445"/>
      <c r="K133" s="1136"/>
      <c r="L133" s="1136"/>
      <c r="M133" s="445"/>
      <c r="N133" s="445"/>
      <c r="O133" s="445"/>
      <c r="P133" s="445"/>
    </row>
    <row r="134" spans="1:16">
      <c r="A134" s="445"/>
      <c r="B134" s="445"/>
      <c r="C134" s="277"/>
      <c r="D134" s="445"/>
      <c r="E134" s="445"/>
      <c r="F134" s="445"/>
      <c r="G134" s="445"/>
      <c r="H134" s="445"/>
      <c r="I134" s="445"/>
      <c r="J134" s="445"/>
      <c r="K134" s="1136"/>
      <c r="L134" s="1136"/>
      <c r="M134" s="445"/>
      <c r="N134" s="445"/>
      <c r="O134" s="445"/>
      <c r="P134" s="445"/>
    </row>
    <row r="135" spans="1:16">
      <c r="A135" s="445"/>
      <c r="B135" s="445"/>
      <c r="C135" s="277"/>
      <c r="D135" s="445"/>
      <c r="E135" s="445"/>
      <c r="F135" s="445"/>
      <c r="G135" s="445"/>
      <c r="H135" s="445"/>
      <c r="I135" s="445"/>
      <c r="J135" s="445"/>
      <c r="K135" s="1136"/>
      <c r="L135" s="1136"/>
      <c r="M135" s="445"/>
      <c r="N135" s="445"/>
      <c r="O135" s="445"/>
      <c r="P135" s="445"/>
    </row>
    <row r="136" spans="1:16">
      <c r="A136" s="445"/>
      <c r="B136" s="445"/>
      <c r="C136" s="277"/>
      <c r="D136" s="445"/>
      <c r="E136" s="445"/>
      <c r="F136" s="445"/>
      <c r="G136" s="445"/>
      <c r="H136" s="445"/>
      <c r="I136" s="445"/>
      <c r="J136" s="445"/>
      <c r="K136" s="1136"/>
      <c r="L136" s="1136"/>
      <c r="M136" s="445"/>
      <c r="N136" s="445"/>
      <c r="O136" s="445"/>
      <c r="P136" s="445"/>
    </row>
    <row r="137" spans="1:16">
      <c r="A137" s="445"/>
      <c r="B137" s="445"/>
      <c r="C137" s="277"/>
      <c r="D137" s="445"/>
      <c r="E137" s="445"/>
      <c r="F137" s="445"/>
      <c r="G137" s="445"/>
      <c r="H137" s="445"/>
      <c r="I137" s="445"/>
      <c r="J137" s="445"/>
      <c r="K137" s="1136"/>
      <c r="L137" s="1136"/>
      <c r="M137" s="445"/>
      <c r="N137" s="445"/>
      <c r="O137" s="445"/>
      <c r="P137" s="445"/>
    </row>
    <row r="138" spans="1:16">
      <c r="A138" s="445"/>
      <c r="B138" s="445"/>
      <c r="C138" s="277"/>
      <c r="D138" s="445"/>
      <c r="E138" s="445"/>
      <c r="F138" s="445"/>
      <c r="G138" s="445"/>
      <c r="H138" s="445"/>
      <c r="I138" s="445"/>
      <c r="J138" s="445"/>
      <c r="K138" s="1136"/>
      <c r="L138" s="1136"/>
      <c r="M138" s="445"/>
      <c r="N138" s="445"/>
      <c r="O138" s="445"/>
      <c r="P138" s="445"/>
    </row>
    <row r="139" spans="1:16">
      <c r="A139" s="445"/>
      <c r="B139" s="445"/>
      <c r="C139" s="277"/>
      <c r="D139" s="445"/>
      <c r="E139" s="445"/>
      <c r="F139" s="445"/>
      <c r="G139" s="445"/>
      <c r="H139" s="445"/>
      <c r="I139" s="445"/>
      <c r="J139" s="445"/>
      <c r="K139" s="1136"/>
      <c r="L139" s="1136"/>
      <c r="M139" s="445"/>
      <c r="N139" s="445"/>
      <c r="O139" s="445"/>
      <c r="P139" s="445"/>
    </row>
    <row r="140" spans="1:16">
      <c r="A140" s="445"/>
      <c r="B140" s="445"/>
      <c r="C140" s="277"/>
      <c r="D140" s="445"/>
      <c r="E140" s="445"/>
      <c r="F140" s="445"/>
      <c r="G140" s="445"/>
      <c r="H140" s="445"/>
      <c r="I140" s="445"/>
      <c r="J140" s="445"/>
      <c r="K140" s="1136"/>
      <c r="L140" s="1136"/>
      <c r="M140" s="445"/>
      <c r="N140" s="445"/>
      <c r="O140" s="445"/>
      <c r="P140" s="445"/>
    </row>
    <row r="141" spans="1:16">
      <c r="A141" s="445"/>
      <c r="B141" s="445"/>
      <c r="C141" s="277"/>
      <c r="D141" s="445"/>
      <c r="E141" s="445"/>
      <c r="F141" s="445"/>
      <c r="G141" s="445"/>
      <c r="H141" s="445"/>
      <c r="I141" s="445"/>
      <c r="J141" s="445"/>
      <c r="K141" s="1136"/>
      <c r="L141" s="1136"/>
      <c r="M141" s="445"/>
      <c r="N141" s="445"/>
      <c r="O141" s="445"/>
      <c r="P141" s="445"/>
    </row>
    <row r="142" spans="1:16">
      <c r="A142" s="445"/>
      <c r="B142" s="445"/>
      <c r="C142" s="277"/>
      <c r="D142" s="445"/>
      <c r="E142" s="445"/>
      <c r="F142" s="445"/>
      <c r="G142" s="445"/>
      <c r="H142" s="445"/>
      <c r="I142" s="445"/>
      <c r="J142" s="445"/>
      <c r="K142" s="1136"/>
      <c r="L142" s="1136"/>
      <c r="M142" s="445"/>
      <c r="N142" s="445"/>
      <c r="O142" s="445"/>
      <c r="P142" s="445"/>
    </row>
    <row r="143" spans="1:16">
      <c r="A143" s="445"/>
      <c r="B143" s="445"/>
      <c r="C143" s="277"/>
      <c r="D143" s="445"/>
      <c r="E143" s="445"/>
      <c r="F143" s="445"/>
      <c r="G143" s="445"/>
      <c r="H143" s="445"/>
      <c r="I143" s="445"/>
      <c r="J143" s="445"/>
      <c r="K143" s="1136"/>
      <c r="L143" s="1136"/>
      <c r="M143" s="445"/>
      <c r="N143" s="445"/>
      <c r="O143" s="445"/>
      <c r="P143" s="445"/>
    </row>
    <row r="144" spans="1:16">
      <c r="A144" s="445"/>
      <c r="B144" s="445"/>
      <c r="C144" s="277"/>
      <c r="D144" s="445"/>
      <c r="E144" s="445"/>
      <c r="F144" s="445"/>
      <c r="G144" s="445"/>
      <c r="H144" s="445"/>
      <c r="I144" s="445"/>
      <c r="J144" s="445"/>
      <c r="K144" s="1136"/>
      <c r="L144" s="1136"/>
      <c r="M144" s="445"/>
      <c r="N144" s="445"/>
      <c r="O144" s="445"/>
      <c r="P144" s="445"/>
    </row>
    <row r="145" spans="1:16">
      <c r="A145" s="445"/>
      <c r="B145" s="445"/>
      <c r="C145" s="277"/>
      <c r="D145" s="445"/>
      <c r="E145" s="445"/>
      <c r="F145" s="445"/>
      <c r="G145" s="445"/>
      <c r="H145" s="445"/>
      <c r="I145" s="445"/>
      <c r="J145" s="445"/>
      <c r="K145" s="1136"/>
      <c r="L145" s="1136"/>
      <c r="M145" s="445"/>
      <c r="N145" s="445"/>
      <c r="O145" s="445"/>
      <c r="P145" s="445"/>
    </row>
    <row r="146" spans="1:16">
      <c r="A146" s="445"/>
      <c r="B146" s="445"/>
      <c r="C146" s="277"/>
      <c r="D146" s="445"/>
      <c r="E146" s="445"/>
      <c r="F146" s="445"/>
      <c r="G146" s="445"/>
      <c r="H146" s="445"/>
      <c r="I146" s="445"/>
      <c r="J146" s="445"/>
      <c r="K146" s="1136"/>
      <c r="L146" s="1136"/>
      <c r="M146" s="445"/>
      <c r="N146" s="445"/>
      <c r="O146" s="445"/>
      <c r="P146" s="445"/>
    </row>
    <row r="147" spans="1:16">
      <c r="A147" s="445"/>
      <c r="B147" s="445"/>
      <c r="C147" s="277"/>
      <c r="D147" s="445"/>
      <c r="E147" s="445"/>
      <c r="F147" s="445"/>
      <c r="G147" s="445"/>
      <c r="H147" s="445"/>
      <c r="I147" s="445"/>
      <c r="J147" s="445"/>
      <c r="K147" s="1136"/>
      <c r="L147" s="1136"/>
      <c r="M147" s="445"/>
      <c r="N147" s="445"/>
      <c r="O147" s="445"/>
      <c r="P147" s="445"/>
    </row>
    <row r="148" spans="1:16">
      <c r="A148" s="445"/>
      <c r="B148" s="445"/>
      <c r="C148" s="277"/>
      <c r="D148" s="445"/>
      <c r="E148" s="445"/>
      <c r="F148" s="445"/>
      <c r="G148" s="445"/>
      <c r="H148" s="445"/>
      <c r="I148" s="445"/>
      <c r="J148" s="445"/>
      <c r="K148" s="1136"/>
      <c r="L148" s="1136"/>
      <c r="M148" s="445"/>
      <c r="N148" s="445"/>
      <c r="O148" s="445"/>
      <c r="P148" s="445"/>
    </row>
    <row r="149" spans="1:16">
      <c r="A149" s="445"/>
      <c r="B149" s="445"/>
      <c r="C149" s="277"/>
      <c r="D149" s="445"/>
      <c r="E149" s="445"/>
      <c r="F149" s="445"/>
      <c r="G149" s="445"/>
      <c r="H149" s="445"/>
      <c r="I149" s="445"/>
      <c r="J149" s="445"/>
      <c r="K149" s="1136"/>
      <c r="L149" s="1136"/>
      <c r="M149" s="445"/>
      <c r="N149" s="445"/>
      <c r="O149" s="445"/>
      <c r="P149" s="445"/>
    </row>
    <row r="150" spans="1:16">
      <c r="A150" s="445"/>
      <c r="B150" s="445"/>
      <c r="C150" s="277"/>
      <c r="D150" s="445"/>
      <c r="E150" s="445"/>
      <c r="F150" s="445"/>
      <c r="G150" s="445"/>
      <c r="H150" s="445"/>
      <c r="I150" s="445"/>
      <c r="J150" s="445"/>
      <c r="K150" s="1136"/>
      <c r="L150" s="1136"/>
      <c r="M150" s="445"/>
      <c r="N150" s="445"/>
      <c r="O150" s="445"/>
      <c r="P150" s="445"/>
    </row>
    <row r="151" spans="1:16">
      <c r="A151" s="445"/>
      <c r="B151" s="445"/>
      <c r="C151" s="277"/>
      <c r="D151" s="445"/>
      <c r="E151" s="445"/>
      <c r="F151" s="445"/>
      <c r="G151" s="445"/>
      <c r="H151" s="445"/>
      <c r="I151" s="445"/>
      <c r="J151" s="445"/>
      <c r="K151" s="1136"/>
      <c r="L151" s="1136"/>
      <c r="M151" s="445"/>
      <c r="N151" s="445"/>
      <c r="O151" s="445"/>
      <c r="P151" s="445"/>
    </row>
    <row r="152" spans="1:16">
      <c r="A152" s="445"/>
      <c r="B152" s="445"/>
      <c r="C152" s="277"/>
      <c r="D152" s="445"/>
      <c r="E152" s="445"/>
      <c r="F152" s="445"/>
      <c r="G152" s="445"/>
      <c r="H152" s="445"/>
      <c r="I152" s="445"/>
      <c r="J152" s="445"/>
      <c r="K152" s="1136"/>
      <c r="L152" s="1136"/>
      <c r="M152" s="445"/>
      <c r="N152" s="445"/>
      <c r="O152" s="445"/>
      <c r="P152" s="445"/>
    </row>
    <row r="153" spans="1:16">
      <c r="A153" s="445"/>
      <c r="B153" s="445"/>
      <c r="C153" s="277"/>
      <c r="D153" s="445"/>
      <c r="E153" s="445"/>
      <c r="F153" s="445"/>
      <c r="G153" s="445"/>
      <c r="H153" s="445"/>
      <c r="I153" s="445"/>
      <c r="J153" s="445"/>
      <c r="K153" s="1136"/>
      <c r="L153" s="1136"/>
      <c r="M153" s="445"/>
      <c r="N153" s="445"/>
      <c r="O153" s="445"/>
      <c r="P153" s="445"/>
    </row>
    <row r="154" spans="1:16">
      <c r="A154" s="445"/>
      <c r="B154" s="445"/>
      <c r="C154" s="277"/>
      <c r="D154" s="445"/>
      <c r="E154" s="445"/>
      <c r="F154" s="445"/>
      <c r="G154" s="445"/>
      <c r="H154" s="445"/>
      <c r="I154" s="445"/>
      <c r="J154" s="445"/>
      <c r="K154" s="1136"/>
      <c r="L154" s="1136"/>
      <c r="M154" s="445"/>
      <c r="N154" s="445"/>
      <c r="O154" s="445"/>
      <c r="P154" s="445"/>
    </row>
    <row r="155" spans="1:16">
      <c r="A155" s="445"/>
      <c r="B155" s="445"/>
      <c r="C155" s="277"/>
      <c r="D155" s="445"/>
      <c r="E155" s="445"/>
      <c r="F155" s="445"/>
      <c r="G155" s="445"/>
      <c r="H155" s="445"/>
      <c r="I155" s="445"/>
      <c r="J155" s="445"/>
      <c r="K155" s="1136"/>
      <c r="L155" s="1136"/>
      <c r="M155" s="445"/>
      <c r="N155" s="445"/>
      <c r="O155" s="445"/>
      <c r="P155" s="445"/>
    </row>
    <row r="156" spans="1:16">
      <c r="A156" s="445"/>
      <c r="B156" s="445"/>
      <c r="C156" s="277"/>
      <c r="D156" s="445"/>
      <c r="E156" s="445"/>
      <c r="F156" s="445"/>
      <c r="G156" s="445"/>
      <c r="H156" s="445"/>
      <c r="I156" s="445"/>
      <c r="J156" s="445"/>
      <c r="K156" s="1136"/>
      <c r="L156" s="1136"/>
      <c r="M156" s="445"/>
      <c r="N156" s="445"/>
      <c r="O156" s="445"/>
      <c r="P156" s="445"/>
    </row>
    <row r="157" spans="1:16">
      <c r="A157" s="445"/>
      <c r="B157" s="445"/>
      <c r="C157" s="277"/>
      <c r="D157" s="445"/>
      <c r="E157" s="445"/>
      <c r="F157" s="445"/>
      <c r="G157" s="445"/>
      <c r="H157" s="445"/>
      <c r="I157" s="445"/>
      <c r="J157" s="445"/>
      <c r="K157" s="1136"/>
      <c r="L157" s="1136"/>
      <c r="M157" s="445"/>
      <c r="N157" s="445"/>
      <c r="O157" s="445"/>
      <c r="P157" s="445"/>
    </row>
    <row r="158" spans="1:16">
      <c r="A158" s="445"/>
      <c r="B158" s="445"/>
      <c r="C158" s="277"/>
      <c r="D158" s="445"/>
      <c r="E158" s="445"/>
      <c r="F158" s="445"/>
      <c r="G158" s="445"/>
      <c r="H158" s="445"/>
      <c r="I158" s="445"/>
      <c r="J158" s="445"/>
      <c r="K158" s="1136"/>
      <c r="L158" s="1136"/>
      <c r="M158" s="445"/>
      <c r="N158" s="445"/>
      <c r="O158" s="445"/>
      <c r="P158" s="445"/>
    </row>
    <row r="159" spans="1:16">
      <c r="A159" s="445"/>
      <c r="B159" s="445"/>
      <c r="C159" s="277"/>
      <c r="D159" s="445"/>
      <c r="E159" s="445"/>
      <c r="F159" s="445"/>
      <c r="G159" s="445"/>
      <c r="H159" s="445"/>
      <c r="I159" s="445"/>
      <c r="J159" s="445"/>
      <c r="K159" s="1136"/>
      <c r="L159" s="1136"/>
      <c r="M159" s="445"/>
      <c r="N159" s="445"/>
      <c r="O159" s="445"/>
      <c r="P159" s="445"/>
    </row>
    <row r="160" spans="1:16">
      <c r="A160" s="445"/>
      <c r="B160" s="445"/>
      <c r="C160" s="277"/>
      <c r="D160" s="445"/>
      <c r="E160" s="445"/>
      <c r="F160" s="445"/>
      <c r="G160" s="445"/>
      <c r="H160" s="445"/>
      <c r="I160" s="445"/>
      <c r="J160" s="445"/>
      <c r="K160" s="1136"/>
      <c r="L160" s="1136"/>
      <c r="M160" s="445"/>
      <c r="N160" s="445"/>
      <c r="O160" s="445"/>
      <c r="P160" s="445"/>
    </row>
    <row r="161" spans="1:16">
      <c r="A161" s="445"/>
      <c r="B161" s="445"/>
      <c r="C161" s="277"/>
      <c r="D161" s="445"/>
      <c r="E161" s="445"/>
      <c r="F161" s="445"/>
      <c r="G161" s="445"/>
      <c r="H161" s="445"/>
      <c r="I161" s="445"/>
      <c r="J161" s="445"/>
      <c r="K161" s="1136"/>
      <c r="L161" s="1136"/>
      <c r="M161" s="445"/>
      <c r="N161" s="445"/>
      <c r="O161" s="445"/>
      <c r="P161" s="445"/>
    </row>
    <row r="162" spans="1:16">
      <c r="A162" s="445"/>
      <c r="B162" s="445"/>
      <c r="C162" s="277"/>
      <c r="D162" s="445"/>
      <c r="E162" s="445"/>
      <c r="F162" s="445"/>
      <c r="G162" s="445"/>
      <c r="H162" s="445"/>
      <c r="I162" s="445"/>
      <c r="J162" s="445"/>
      <c r="K162" s="1136"/>
      <c r="L162" s="1136"/>
      <c r="M162" s="445"/>
      <c r="N162" s="445"/>
      <c r="O162" s="445"/>
      <c r="P162" s="445"/>
    </row>
    <row r="163" spans="1:16">
      <c r="A163" s="445"/>
      <c r="B163" s="445"/>
      <c r="C163" s="277"/>
      <c r="D163" s="445"/>
      <c r="E163" s="445"/>
      <c r="F163" s="445"/>
      <c r="G163" s="445"/>
      <c r="H163" s="445"/>
      <c r="I163" s="445"/>
      <c r="J163" s="445"/>
      <c r="K163" s="1136"/>
      <c r="L163" s="1136"/>
      <c r="M163" s="445"/>
      <c r="N163" s="445"/>
      <c r="O163" s="445"/>
      <c r="P163" s="445"/>
    </row>
    <row r="164" spans="1:16">
      <c r="A164" s="445"/>
      <c r="B164" s="445"/>
      <c r="C164" s="277"/>
      <c r="D164" s="445"/>
      <c r="E164" s="445"/>
      <c r="F164" s="445"/>
      <c r="G164" s="445"/>
      <c r="H164" s="445"/>
      <c r="I164" s="445"/>
      <c r="J164" s="445"/>
      <c r="K164" s="1136"/>
      <c r="L164" s="1136"/>
      <c r="M164" s="445"/>
      <c r="N164" s="445"/>
      <c r="O164" s="445"/>
      <c r="P164" s="445"/>
    </row>
    <row r="165" spans="1:16">
      <c r="A165" s="445"/>
      <c r="B165" s="445"/>
      <c r="C165" s="277"/>
      <c r="D165" s="445"/>
      <c r="E165" s="445"/>
      <c r="F165" s="445"/>
      <c r="G165" s="445"/>
      <c r="H165" s="445"/>
      <c r="I165" s="445"/>
      <c r="J165" s="445"/>
      <c r="K165" s="1136"/>
      <c r="L165" s="1136"/>
      <c r="M165" s="445"/>
      <c r="N165" s="445"/>
      <c r="O165" s="445"/>
      <c r="P165" s="445"/>
    </row>
    <row r="166" spans="1:16">
      <c r="A166" s="445"/>
      <c r="B166" s="445"/>
      <c r="C166" s="277"/>
      <c r="D166" s="445"/>
      <c r="E166" s="445"/>
      <c r="F166" s="445"/>
      <c r="G166" s="445"/>
      <c r="H166" s="445"/>
      <c r="I166" s="445"/>
      <c r="J166" s="445"/>
      <c r="K166" s="1136"/>
      <c r="L166" s="1136"/>
      <c r="M166" s="445"/>
      <c r="N166" s="445"/>
      <c r="O166" s="445"/>
      <c r="P166" s="445"/>
    </row>
    <row r="167" spans="1:16">
      <c r="A167" s="445"/>
      <c r="B167" s="445"/>
      <c r="C167" s="277"/>
      <c r="D167" s="445"/>
      <c r="E167" s="445"/>
      <c r="F167" s="445"/>
      <c r="G167" s="445"/>
      <c r="H167" s="445"/>
      <c r="I167" s="445"/>
      <c r="J167" s="445"/>
      <c r="K167" s="1136"/>
      <c r="L167" s="1136"/>
      <c r="M167" s="445"/>
      <c r="N167" s="445"/>
      <c r="O167" s="445"/>
      <c r="P167" s="445"/>
    </row>
    <row r="168" spans="1:16">
      <c r="A168" s="445"/>
      <c r="B168" s="445"/>
      <c r="C168" s="277"/>
      <c r="D168" s="445"/>
      <c r="E168" s="445"/>
      <c r="F168" s="445"/>
      <c r="G168" s="445"/>
      <c r="H168" s="445"/>
      <c r="I168" s="445"/>
      <c r="J168" s="445"/>
      <c r="K168" s="1136"/>
      <c r="L168" s="1136"/>
      <c r="M168" s="445"/>
      <c r="N168" s="445"/>
      <c r="O168" s="445"/>
      <c r="P168" s="445"/>
    </row>
    <row r="169" spans="1:16">
      <c r="A169" s="445"/>
      <c r="B169" s="445"/>
      <c r="C169" s="277"/>
      <c r="D169" s="445"/>
      <c r="E169" s="445"/>
      <c r="F169" s="445"/>
      <c r="G169" s="445"/>
      <c r="H169" s="445"/>
      <c r="I169" s="445"/>
      <c r="J169" s="445"/>
      <c r="K169" s="1136"/>
      <c r="L169" s="1136"/>
      <c r="M169" s="445"/>
      <c r="N169" s="445"/>
      <c r="O169" s="445"/>
      <c r="P169" s="445"/>
    </row>
    <row r="170" spans="1:16">
      <c r="A170" s="445"/>
      <c r="B170" s="445"/>
      <c r="C170" s="277"/>
      <c r="D170" s="445"/>
      <c r="E170" s="445"/>
      <c r="F170" s="445"/>
      <c r="G170" s="445"/>
      <c r="H170" s="445"/>
      <c r="I170" s="445"/>
      <c r="J170" s="445"/>
      <c r="K170" s="1136"/>
      <c r="L170" s="1136"/>
      <c r="M170" s="445"/>
      <c r="N170" s="445"/>
      <c r="O170" s="445"/>
      <c r="P170" s="445"/>
    </row>
    <row r="171" spans="1:16">
      <c r="A171" s="445"/>
      <c r="B171" s="445"/>
      <c r="C171" s="277"/>
      <c r="D171" s="445"/>
      <c r="E171" s="445"/>
      <c r="F171" s="445"/>
      <c r="G171" s="445"/>
      <c r="H171" s="445"/>
      <c r="I171" s="445"/>
      <c r="J171" s="445"/>
      <c r="K171" s="1136"/>
      <c r="L171" s="1136"/>
      <c r="M171" s="445"/>
      <c r="N171" s="445"/>
      <c r="O171" s="445"/>
      <c r="P171" s="445"/>
    </row>
    <row r="172" spans="1:16">
      <c r="A172" s="445"/>
      <c r="B172" s="445"/>
      <c r="C172" s="277"/>
      <c r="D172" s="445"/>
      <c r="E172" s="445"/>
      <c r="F172" s="445"/>
      <c r="G172" s="445"/>
      <c r="H172" s="445"/>
      <c r="I172" s="445"/>
      <c r="J172" s="445"/>
      <c r="K172" s="1136"/>
      <c r="L172" s="1136"/>
      <c r="M172" s="445"/>
      <c r="N172" s="445"/>
      <c r="O172" s="445"/>
      <c r="P172" s="445"/>
    </row>
    <row r="173" spans="1:16">
      <c r="A173" s="445"/>
      <c r="B173" s="445"/>
      <c r="C173" s="277"/>
      <c r="D173" s="445"/>
      <c r="E173" s="445"/>
      <c r="F173" s="445"/>
      <c r="G173" s="445"/>
      <c r="H173" s="445"/>
      <c r="I173" s="445"/>
      <c r="J173" s="445"/>
      <c r="K173" s="1136"/>
      <c r="L173" s="1136"/>
      <c r="M173" s="445"/>
      <c r="N173" s="445"/>
      <c r="O173" s="445"/>
      <c r="P173" s="445"/>
    </row>
    <row r="174" spans="1:16">
      <c r="A174" s="445"/>
      <c r="B174" s="445"/>
      <c r="C174" s="277"/>
      <c r="D174" s="445"/>
      <c r="E174" s="445"/>
      <c r="F174" s="445"/>
      <c r="G174" s="445"/>
      <c r="H174" s="445"/>
      <c r="I174" s="445"/>
      <c r="J174" s="445"/>
      <c r="K174" s="1136"/>
      <c r="L174" s="1136"/>
      <c r="M174" s="445"/>
      <c r="N174" s="445"/>
      <c r="O174" s="445"/>
      <c r="P174" s="445"/>
    </row>
    <row r="175" spans="1:16">
      <c r="A175" s="445"/>
      <c r="B175" s="445"/>
      <c r="C175" s="277"/>
      <c r="D175" s="445"/>
      <c r="E175" s="445"/>
      <c r="F175" s="445"/>
      <c r="G175" s="445"/>
      <c r="H175" s="445"/>
      <c r="I175" s="445"/>
      <c r="J175" s="445"/>
      <c r="K175" s="1136"/>
      <c r="L175" s="1136"/>
      <c r="M175" s="445"/>
      <c r="N175" s="445"/>
      <c r="O175" s="445"/>
      <c r="P175" s="445"/>
    </row>
    <row r="176" spans="1:16">
      <c r="A176" s="445"/>
      <c r="B176" s="445"/>
      <c r="C176" s="277"/>
      <c r="D176" s="445"/>
      <c r="E176" s="445"/>
      <c r="F176" s="445"/>
      <c r="G176" s="445"/>
      <c r="H176" s="445"/>
      <c r="I176" s="445"/>
      <c r="J176" s="445"/>
      <c r="K176" s="1136"/>
      <c r="L176" s="1136"/>
      <c r="M176" s="445"/>
      <c r="N176" s="445"/>
      <c r="O176" s="445"/>
      <c r="P176" s="445"/>
    </row>
    <row r="177" spans="1:16">
      <c r="A177" s="445"/>
      <c r="B177" s="445"/>
      <c r="C177" s="277"/>
      <c r="D177" s="445"/>
      <c r="E177" s="445"/>
      <c r="F177" s="445"/>
      <c r="G177" s="445"/>
      <c r="H177" s="445"/>
      <c r="I177" s="445"/>
      <c r="J177" s="445"/>
      <c r="K177" s="1136"/>
      <c r="L177" s="1136"/>
      <c r="M177" s="445"/>
      <c r="N177" s="445"/>
      <c r="O177" s="445"/>
      <c r="P177" s="445"/>
    </row>
    <row r="178" spans="1:16">
      <c r="A178" s="445"/>
      <c r="B178" s="445"/>
      <c r="C178" s="277"/>
      <c r="D178" s="445"/>
      <c r="E178" s="445"/>
      <c r="F178" s="445"/>
      <c r="G178" s="445"/>
      <c r="H178" s="445"/>
      <c r="I178" s="445"/>
      <c r="J178" s="445"/>
      <c r="K178" s="1136"/>
      <c r="L178" s="1136"/>
      <c r="M178" s="445"/>
      <c r="N178" s="445"/>
      <c r="O178" s="445"/>
      <c r="P178" s="445"/>
    </row>
    <row r="179" spans="1:16">
      <c r="A179" s="445"/>
      <c r="B179" s="445"/>
      <c r="C179" s="277"/>
      <c r="D179" s="445"/>
      <c r="E179" s="445"/>
      <c r="F179" s="445"/>
      <c r="G179" s="445"/>
      <c r="H179" s="445"/>
      <c r="I179" s="445"/>
      <c r="J179" s="445"/>
      <c r="K179" s="1136"/>
      <c r="L179" s="1136"/>
      <c r="M179" s="445"/>
      <c r="N179" s="445"/>
      <c r="O179" s="445"/>
      <c r="P179" s="445"/>
    </row>
    <row r="180" spans="1:16">
      <c r="A180" s="445"/>
      <c r="B180" s="445"/>
      <c r="C180" s="277"/>
      <c r="D180" s="445"/>
      <c r="E180" s="445"/>
      <c r="F180" s="445"/>
      <c r="G180" s="445"/>
      <c r="H180" s="445"/>
      <c r="I180" s="445"/>
      <c r="J180" s="445"/>
      <c r="K180" s="1136"/>
      <c r="L180" s="1136"/>
      <c r="M180" s="445"/>
      <c r="N180" s="445"/>
      <c r="O180" s="445"/>
      <c r="P180" s="445"/>
    </row>
    <row r="181" spans="1:16">
      <c r="A181" s="445"/>
      <c r="B181" s="445"/>
      <c r="C181" s="277"/>
      <c r="D181" s="445"/>
      <c r="E181" s="445"/>
      <c r="F181" s="445"/>
      <c r="G181" s="445"/>
      <c r="H181" s="445"/>
      <c r="I181" s="445"/>
      <c r="J181" s="445"/>
      <c r="K181" s="1136"/>
      <c r="L181" s="1136"/>
      <c r="M181" s="445"/>
      <c r="N181" s="445"/>
      <c r="O181" s="445"/>
      <c r="P181" s="445"/>
    </row>
    <row r="182" spans="1:16">
      <c r="A182" s="445"/>
      <c r="B182" s="445"/>
      <c r="C182" s="277"/>
      <c r="D182" s="445"/>
      <c r="E182" s="445"/>
      <c r="F182" s="445"/>
      <c r="G182" s="445"/>
      <c r="H182" s="445"/>
      <c r="I182" s="445"/>
      <c r="J182" s="445"/>
      <c r="K182" s="1136"/>
      <c r="L182" s="1136"/>
      <c r="M182" s="445"/>
      <c r="N182" s="445"/>
      <c r="O182" s="445"/>
      <c r="P182" s="445"/>
    </row>
    <row r="183" spans="1:16">
      <c r="A183" s="445"/>
      <c r="B183" s="445"/>
      <c r="C183" s="277"/>
      <c r="D183" s="445"/>
      <c r="E183" s="445"/>
      <c r="F183" s="445"/>
      <c r="G183" s="445"/>
      <c r="H183" s="445"/>
      <c r="I183" s="445"/>
      <c r="J183" s="445"/>
      <c r="K183" s="1136"/>
      <c r="L183" s="1136"/>
      <c r="M183" s="445"/>
      <c r="N183" s="445"/>
      <c r="O183" s="445"/>
      <c r="P183" s="445"/>
    </row>
    <row r="184" spans="1:16">
      <c r="A184" s="445"/>
      <c r="B184" s="445"/>
      <c r="C184" s="277"/>
      <c r="D184" s="445"/>
      <c r="E184" s="445"/>
      <c r="F184" s="445"/>
      <c r="G184" s="445"/>
      <c r="H184" s="445"/>
      <c r="I184" s="445"/>
      <c r="J184" s="445"/>
      <c r="K184" s="1136"/>
      <c r="L184" s="1136"/>
      <c r="M184" s="445"/>
      <c r="N184" s="445"/>
      <c r="O184" s="445"/>
      <c r="P184" s="445"/>
    </row>
    <row r="185" spans="1:16">
      <c r="A185" s="445"/>
      <c r="B185" s="445"/>
      <c r="C185" s="277"/>
      <c r="D185" s="445"/>
      <c r="E185" s="445"/>
      <c r="F185" s="445"/>
      <c r="G185" s="445"/>
      <c r="H185" s="445"/>
      <c r="I185" s="445"/>
      <c r="J185" s="445"/>
      <c r="K185" s="1136"/>
      <c r="L185" s="1136"/>
      <c r="M185" s="445"/>
      <c r="N185" s="445"/>
      <c r="O185" s="445"/>
      <c r="P185" s="445"/>
    </row>
    <row r="186" spans="1:16">
      <c r="A186" s="445"/>
      <c r="B186" s="445"/>
      <c r="C186" s="277"/>
      <c r="D186" s="445"/>
      <c r="E186" s="445"/>
      <c r="F186" s="445"/>
      <c r="G186" s="445"/>
      <c r="H186" s="445"/>
      <c r="I186" s="445"/>
      <c r="J186" s="445"/>
      <c r="K186" s="1136"/>
      <c r="L186" s="1136"/>
      <c r="M186" s="445"/>
      <c r="N186" s="445"/>
      <c r="O186" s="445"/>
      <c r="P186" s="445"/>
    </row>
    <row r="187" spans="1:16">
      <c r="A187" s="445"/>
      <c r="B187" s="445"/>
      <c r="C187" s="277"/>
      <c r="D187" s="445"/>
      <c r="E187" s="445"/>
      <c r="F187" s="445"/>
      <c r="G187" s="445"/>
      <c r="H187" s="445"/>
      <c r="I187" s="445"/>
      <c r="J187" s="445"/>
      <c r="K187" s="1136"/>
      <c r="L187" s="1136"/>
      <c r="M187" s="445"/>
      <c r="N187" s="445"/>
      <c r="O187" s="445"/>
      <c r="P187" s="445"/>
    </row>
    <row r="188" spans="1:16">
      <c r="A188" s="445"/>
      <c r="B188" s="445"/>
      <c r="C188" s="277"/>
      <c r="D188" s="445"/>
      <c r="E188" s="445"/>
      <c r="F188" s="445"/>
      <c r="G188" s="445"/>
      <c r="H188" s="445"/>
      <c r="I188" s="445"/>
      <c r="J188" s="445"/>
      <c r="K188" s="1136"/>
      <c r="L188" s="1136"/>
      <c r="M188" s="445"/>
      <c r="N188" s="445"/>
      <c r="O188" s="445"/>
      <c r="P188" s="445"/>
    </row>
    <row r="189" spans="1:16">
      <c r="A189" s="445"/>
      <c r="B189" s="445"/>
      <c r="C189" s="277"/>
      <c r="D189" s="445"/>
      <c r="E189" s="445"/>
      <c r="F189" s="445"/>
      <c r="G189" s="445"/>
      <c r="H189" s="445"/>
      <c r="I189" s="445"/>
      <c r="J189" s="445"/>
      <c r="K189" s="1136"/>
      <c r="L189" s="1136"/>
      <c r="M189" s="445"/>
      <c r="N189" s="445"/>
      <c r="O189" s="445"/>
      <c r="P189" s="445"/>
    </row>
    <row r="190" spans="1:16">
      <c r="A190" s="445"/>
      <c r="B190" s="445"/>
      <c r="C190" s="277"/>
      <c r="D190" s="445"/>
      <c r="E190" s="445"/>
      <c r="F190" s="445"/>
      <c r="G190" s="445"/>
      <c r="H190" s="445"/>
      <c r="I190" s="445"/>
      <c r="J190" s="445"/>
      <c r="K190" s="1136"/>
      <c r="L190" s="1136"/>
      <c r="M190" s="445"/>
      <c r="N190" s="445"/>
      <c r="O190" s="445"/>
      <c r="P190" s="445"/>
    </row>
    <row r="191" spans="1:16">
      <c r="A191" s="445"/>
      <c r="B191" s="445"/>
      <c r="C191" s="277"/>
      <c r="D191" s="445"/>
      <c r="E191" s="445"/>
      <c r="F191" s="445"/>
      <c r="G191" s="445"/>
      <c r="H191" s="445"/>
      <c r="I191" s="445"/>
      <c r="J191" s="445"/>
      <c r="K191" s="1136"/>
      <c r="L191" s="1136"/>
      <c r="M191" s="445"/>
      <c r="N191" s="445"/>
      <c r="O191" s="445"/>
      <c r="P191" s="445"/>
    </row>
    <row r="192" spans="1:16">
      <c r="A192" s="445"/>
      <c r="B192" s="445"/>
      <c r="C192" s="277"/>
      <c r="D192" s="445"/>
      <c r="E192" s="445"/>
      <c r="F192" s="445"/>
      <c r="G192" s="445"/>
      <c r="H192" s="445"/>
      <c r="I192" s="445"/>
      <c r="J192" s="445"/>
      <c r="K192" s="1136"/>
      <c r="L192" s="1136"/>
      <c r="M192" s="445"/>
      <c r="N192" s="445"/>
      <c r="O192" s="445"/>
      <c r="P192" s="445"/>
    </row>
    <row r="193" spans="1:16">
      <c r="A193" s="445"/>
      <c r="B193" s="445"/>
      <c r="C193" s="277"/>
      <c r="D193" s="445"/>
      <c r="E193" s="445"/>
      <c r="F193" s="445"/>
      <c r="G193" s="445"/>
      <c r="H193" s="445"/>
      <c r="I193" s="445"/>
      <c r="J193" s="445"/>
      <c r="K193" s="1136"/>
      <c r="L193" s="1136"/>
      <c r="M193" s="445"/>
      <c r="N193" s="445"/>
      <c r="O193" s="445"/>
      <c r="P193" s="445"/>
    </row>
    <row r="194" spans="1:16">
      <c r="A194" s="445"/>
      <c r="B194" s="445"/>
      <c r="C194" s="277"/>
      <c r="D194" s="445"/>
      <c r="E194" s="445"/>
      <c r="F194" s="445"/>
      <c r="G194" s="445"/>
      <c r="H194" s="445"/>
      <c r="I194" s="445"/>
      <c r="J194" s="445"/>
      <c r="K194" s="1136"/>
      <c r="L194" s="1136"/>
      <c r="M194" s="445"/>
      <c r="N194" s="445"/>
      <c r="O194" s="445"/>
      <c r="P194" s="445"/>
    </row>
    <row r="195" spans="1:16">
      <c r="A195" s="445"/>
      <c r="B195" s="445"/>
      <c r="C195" s="277"/>
      <c r="D195" s="445"/>
      <c r="E195" s="445"/>
      <c r="F195" s="445"/>
      <c r="G195" s="445"/>
      <c r="H195" s="445"/>
      <c r="I195" s="445"/>
      <c r="J195" s="445"/>
      <c r="K195" s="1136"/>
      <c r="L195" s="1136"/>
      <c r="M195" s="445"/>
      <c r="N195" s="445"/>
      <c r="O195" s="445"/>
      <c r="P195" s="445"/>
    </row>
    <row r="196" spans="1:16">
      <c r="A196" s="445"/>
      <c r="B196" s="445"/>
      <c r="C196" s="277"/>
      <c r="D196" s="445"/>
      <c r="E196" s="445"/>
      <c r="F196" s="445"/>
      <c r="G196" s="445"/>
      <c r="H196" s="445"/>
      <c r="I196" s="445"/>
      <c r="J196" s="445"/>
      <c r="K196" s="1136"/>
      <c r="L196" s="1136"/>
      <c r="M196" s="445"/>
      <c r="N196" s="445"/>
      <c r="O196" s="445"/>
      <c r="P196" s="445"/>
    </row>
    <row r="197" spans="1:16">
      <c r="A197" s="445"/>
      <c r="B197" s="445"/>
      <c r="C197" s="277"/>
      <c r="D197" s="445"/>
      <c r="E197" s="445"/>
      <c r="F197" s="445"/>
      <c r="G197" s="445"/>
      <c r="H197" s="445"/>
      <c r="I197" s="445"/>
      <c r="J197" s="445"/>
      <c r="K197" s="1136"/>
      <c r="L197" s="1136"/>
      <c r="M197" s="445"/>
      <c r="N197" s="445"/>
      <c r="O197" s="445"/>
      <c r="P197" s="445"/>
    </row>
    <row r="198" spans="1:16">
      <c r="A198" s="445"/>
      <c r="B198" s="445"/>
      <c r="C198" s="277"/>
      <c r="D198" s="445"/>
      <c r="E198" s="445"/>
      <c r="F198" s="445"/>
      <c r="G198" s="445"/>
      <c r="H198" s="445"/>
      <c r="I198" s="445"/>
      <c r="J198" s="445"/>
      <c r="K198" s="1136"/>
      <c r="L198" s="1136"/>
      <c r="M198" s="445"/>
      <c r="N198" s="445"/>
      <c r="O198" s="445"/>
      <c r="P198" s="445"/>
    </row>
    <row r="199" spans="1:16">
      <c r="A199" s="445"/>
      <c r="B199" s="445"/>
      <c r="C199" s="277"/>
      <c r="D199" s="445"/>
      <c r="E199" s="445"/>
      <c r="F199" s="445"/>
      <c r="G199" s="445"/>
      <c r="H199" s="445"/>
      <c r="I199" s="445"/>
      <c r="J199" s="445"/>
      <c r="K199" s="1136"/>
      <c r="L199" s="1136"/>
      <c r="M199" s="445"/>
      <c r="N199" s="445"/>
      <c r="O199" s="445"/>
      <c r="P199" s="445"/>
    </row>
    <row r="200" spans="1:16">
      <c r="A200" s="445"/>
      <c r="B200" s="445"/>
      <c r="C200" s="277"/>
      <c r="D200" s="445"/>
      <c r="E200" s="445"/>
      <c r="F200" s="445"/>
      <c r="G200" s="445"/>
      <c r="H200" s="445"/>
      <c r="I200" s="445"/>
      <c r="J200" s="445"/>
      <c r="K200" s="1136"/>
      <c r="L200" s="1136"/>
      <c r="M200" s="445"/>
      <c r="N200" s="445"/>
      <c r="O200" s="445"/>
      <c r="P200" s="445"/>
    </row>
    <row r="201" spans="1:16">
      <c r="A201" s="445"/>
      <c r="B201" s="445"/>
      <c r="C201" s="277"/>
      <c r="D201" s="445"/>
      <c r="E201" s="445"/>
      <c r="F201" s="445"/>
      <c r="G201" s="445"/>
      <c r="H201" s="445"/>
      <c r="I201" s="445"/>
      <c r="J201" s="445"/>
      <c r="K201" s="1136"/>
      <c r="L201" s="1136"/>
      <c r="M201" s="445"/>
      <c r="N201" s="445"/>
      <c r="O201" s="445"/>
      <c r="P201" s="445"/>
    </row>
    <row r="202" spans="1:16">
      <c r="A202" s="445"/>
      <c r="B202" s="445"/>
      <c r="C202" s="277"/>
      <c r="D202" s="445"/>
      <c r="E202" s="445"/>
      <c r="F202" s="445"/>
      <c r="G202" s="445"/>
      <c r="H202" s="445"/>
      <c r="I202" s="445"/>
      <c r="J202" s="445"/>
      <c r="K202" s="1136"/>
      <c r="L202" s="1136"/>
      <c r="M202" s="445"/>
      <c r="N202" s="445"/>
      <c r="O202" s="445"/>
      <c r="P202" s="445"/>
    </row>
    <row r="203" spans="1:16">
      <c r="A203" s="445"/>
      <c r="B203" s="445"/>
      <c r="C203" s="277"/>
      <c r="D203" s="445"/>
      <c r="E203" s="445"/>
      <c r="F203" s="445"/>
      <c r="G203" s="445"/>
      <c r="H203" s="445"/>
      <c r="I203" s="445"/>
      <c r="J203" s="445"/>
      <c r="K203" s="1136"/>
      <c r="L203" s="1136"/>
      <c r="M203" s="445"/>
      <c r="N203" s="445"/>
      <c r="O203" s="445"/>
      <c r="P203" s="445"/>
    </row>
    <row r="204" spans="1:16">
      <c r="A204" s="445"/>
      <c r="B204" s="445"/>
      <c r="C204" s="277"/>
      <c r="D204" s="445"/>
      <c r="E204" s="445"/>
      <c r="F204" s="445"/>
      <c r="G204" s="445"/>
      <c r="H204" s="445"/>
      <c r="I204" s="445"/>
      <c r="J204" s="445"/>
      <c r="K204" s="1136"/>
      <c r="L204" s="1136"/>
      <c r="M204" s="445"/>
      <c r="N204" s="445"/>
      <c r="O204" s="445"/>
      <c r="P204" s="445"/>
    </row>
    <row r="205" spans="1:16">
      <c r="A205" s="445"/>
      <c r="B205" s="445"/>
      <c r="C205" s="277"/>
      <c r="D205" s="445"/>
      <c r="E205" s="445"/>
      <c r="F205" s="445"/>
      <c r="G205" s="445"/>
      <c r="H205" s="445"/>
      <c r="I205" s="445"/>
      <c r="J205" s="445"/>
      <c r="K205" s="1136"/>
      <c r="L205" s="1136"/>
      <c r="M205" s="445"/>
      <c r="N205" s="445"/>
      <c r="O205" s="445"/>
      <c r="P205" s="445"/>
    </row>
    <row r="206" spans="1:16">
      <c r="A206" s="445"/>
      <c r="B206" s="445"/>
      <c r="C206" s="277"/>
      <c r="D206" s="445"/>
      <c r="E206" s="445"/>
      <c r="F206" s="445"/>
      <c r="G206" s="445"/>
      <c r="H206" s="445"/>
      <c r="I206" s="445"/>
      <c r="J206" s="445"/>
      <c r="K206" s="1136"/>
      <c r="L206" s="1136"/>
      <c r="M206" s="445"/>
      <c r="N206" s="445"/>
      <c r="O206" s="445"/>
      <c r="P206" s="445"/>
    </row>
    <row r="207" spans="1:16">
      <c r="A207" s="445"/>
      <c r="B207" s="445"/>
      <c r="C207" s="277"/>
      <c r="D207" s="445"/>
      <c r="E207" s="445"/>
      <c r="F207" s="445"/>
      <c r="G207" s="445"/>
      <c r="H207" s="445"/>
      <c r="I207" s="445"/>
      <c r="J207" s="445"/>
      <c r="K207" s="1136"/>
      <c r="L207" s="1136"/>
      <c r="M207" s="445"/>
      <c r="N207" s="445"/>
      <c r="O207" s="445"/>
      <c r="P207" s="445"/>
    </row>
    <row r="208" spans="1:16">
      <c r="A208" s="445"/>
      <c r="B208" s="445"/>
      <c r="C208" s="277"/>
      <c r="D208" s="445"/>
      <c r="E208" s="445"/>
      <c r="F208" s="445"/>
      <c r="G208" s="445"/>
      <c r="H208" s="445"/>
      <c r="I208" s="445"/>
      <c r="J208" s="445"/>
      <c r="K208" s="1136"/>
      <c r="L208" s="1136"/>
      <c r="M208" s="445"/>
      <c r="N208" s="445"/>
      <c r="O208" s="445"/>
      <c r="P208" s="445"/>
    </row>
    <row r="209" spans="1:16">
      <c r="A209" s="445"/>
      <c r="B209" s="445"/>
      <c r="C209" s="277"/>
      <c r="D209" s="445"/>
      <c r="E209" s="445"/>
      <c r="F209" s="445"/>
      <c r="G209" s="445"/>
      <c r="H209" s="445"/>
      <c r="I209" s="445"/>
      <c r="J209" s="445"/>
      <c r="K209" s="1136"/>
      <c r="L209" s="1136"/>
      <c r="M209" s="445"/>
      <c r="N209" s="445"/>
      <c r="O209" s="445"/>
      <c r="P209" s="445"/>
    </row>
    <row r="210" spans="1:16">
      <c r="A210" s="445"/>
      <c r="B210" s="445"/>
      <c r="C210" s="277"/>
      <c r="D210" s="445"/>
      <c r="E210" s="445"/>
      <c r="F210" s="445"/>
      <c r="G210" s="445"/>
      <c r="H210" s="445"/>
      <c r="I210" s="445"/>
      <c r="J210" s="445"/>
      <c r="K210" s="1136"/>
      <c r="L210" s="1136"/>
      <c r="M210" s="445"/>
      <c r="N210" s="445"/>
      <c r="O210" s="445"/>
      <c r="P210" s="445"/>
    </row>
    <row r="211" spans="1:16">
      <c r="A211" s="445"/>
      <c r="B211" s="445"/>
      <c r="C211" s="277"/>
      <c r="D211" s="445"/>
      <c r="E211" s="445"/>
      <c r="F211" s="445"/>
      <c r="G211" s="445"/>
      <c r="H211" s="445"/>
      <c r="I211" s="445"/>
      <c r="J211" s="445"/>
      <c r="K211" s="1136"/>
      <c r="L211" s="1136"/>
      <c r="M211" s="445"/>
      <c r="N211" s="445"/>
      <c r="O211" s="445"/>
      <c r="P211" s="445"/>
    </row>
    <row r="212" spans="1:16">
      <c r="A212" s="445"/>
      <c r="B212" s="445"/>
      <c r="C212" s="277"/>
      <c r="D212" s="445"/>
      <c r="E212" s="445"/>
      <c r="F212" s="445"/>
      <c r="G212" s="445"/>
      <c r="H212" s="445"/>
      <c r="I212" s="445"/>
      <c r="J212" s="445"/>
      <c r="K212" s="1136"/>
      <c r="L212" s="1136"/>
      <c r="M212" s="445"/>
      <c r="N212" s="445"/>
      <c r="O212" s="445"/>
      <c r="P212" s="445"/>
    </row>
    <row r="213" spans="1:16">
      <c r="A213" s="445"/>
      <c r="B213" s="445"/>
      <c r="C213" s="277"/>
      <c r="D213" s="445"/>
      <c r="E213" s="445"/>
      <c r="F213" s="445"/>
      <c r="G213" s="445"/>
      <c r="H213" s="445"/>
      <c r="I213" s="445"/>
      <c r="J213" s="445"/>
      <c r="K213" s="1136"/>
      <c r="L213" s="1136"/>
      <c r="M213" s="445"/>
      <c r="N213" s="445"/>
      <c r="O213" s="445"/>
      <c r="P213" s="445"/>
    </row>
    <row r="214" spans="1:16">
      <c r="A214" s="445"/>
      <c r="B214" s="445"/>
      <c r="C214" s="277"/>
      <c r="D214" s="445"/>
      <c r="E214" s="445"/>
      <c r="F214" s="445"/>
      <c r="G214" s="445"/>
      <c r="H214" s="445"/>
      <c r="I214" s="445"/>
      <c r="J214" s="445"/>
      <c r="K214" s="1136"/>
      <c r="L214" s="1136"/>
      <c r="M214" s="445"/>
      <c r="N214" s="445"/>
      <c r="O214" s="445"/>
      <c r="P214" s="445"/>
    </row>
    <row r="215" spans="1:16">
      <c r="A215" s="445"/>
      <c r="B215" s="445"/>
      <c r="C215" s="277"/>
      <c r="D215" s="445"/>
      <c r="E215" s="445"/>
      <c r="F215" s="445"/>
      <c r="G215" s="445"/>
      <c r="H215" s="445"/>
      <c r="I215" s="445"/>
      <c r="J215" s="445"/>
      <c r="K215" s="1136"/>
      <c r="L215" s="1136"/>
      <c r="M215" s="445"/>
      <c r="N215" s="445"/>
      <c r="O215" s="445"/>
      <c r="P215" s="445"/>
    </row>
    <row r="216" spans="1:16">
      <c r="A216" s="445"/>
      <c r="B216" s="445"/>
      <c r="C216" s="277"/>
      <c r="D216" s="445"/>
      <c r="E216" s="445"/>
      <c r="F216" s="445"/>
      <c r="G216" s="445"/>
      <c r="H216" s="445"/>
      <c r="I216" s="445"/>
      <c r="J216" s="445"/>
      <c r="K216" s="1136"/>
      <c r="L216" s="1136"/>
      <c r="M216" s="445"/>
      <c r="N216" s="445"/>
      <c r="O216" s="445"/>
      <c r="P216" s="445"/>
    </row>
    <row r="217" spans="1:16">
      <c r="A217" s="445"/>
      <c r="B217" s="445"/>
      <c r="C217" s="277"/>
      <c r="D217" s="445"/>
      <c r="E217" s="445"/>
      <c r="F217" s="445"/>
      <c r="G217" s="445"/>
      <c r="H217" s="445"/>
      <c r="I217" s="445"/>
      <c r="J217" s="445"/>
      <c r="K217" s="1136"/>
      <c r="L217" s="1136"/>
      <c r="M217" s="445"/>
      <c r="N217" s="445"/>
      <c r="O217" s="445"/>
      <c r="P217" s="445"/>
    </row>
    <row r="218" spans="1:16">
      <c r="A218" s="445"/>
      <c r="B218" s="445"/>
      <c r="C218" s="277"/>
      <c r="D218" s="445"/>
      <c r="E218" s="445"/>
      <c r="F218" s="445"/>
      <c r="G218" s="445"/>
      <c r="H218" s="445"/>
      <c r="I218" s="445"/>
      <c r="J218" s="445"/>
      <c r="K218" s="1136"/>
      <c r="L218" s="1136"/>
      <c r="M218" s="445"/>
      <c r="N218" s="445"/>
      <c r="O218" s="445"/>
      <c r="P218" s="445"/>
    </row>
    <row r="219" spans="1:16">
      <c r="A219" s="445"/>
      <c r="B219" s="445"/>
      <c r="C219" s="277"/>
      <c r="D219" s="445"/>
      <c r="E219" s="445"/>
      <c r="F219" s="445"/>
      <c r="G219" s="445"/>
      <c r="H219" s="445"/>
      <c r="I219" s="445"/>
      <c r="J219" s="445"/>
      <c r="K219" s="1136"/>
      <c r="L219" s="1136"/>
      <c r="M219" s="445"/>
      <c r="N219" s="445"/>
      <c r="O219" s="445"/>
      <c r="P219" s="445"/>
    </row>
    <row r="220" spans="1:16">
      <c r="A220" s="445"/>
      <c r="B220" s="445"/>
      <c r="C220" s="277"/>
      <c r="D220" s="445"/>
      <c r="E220" s="445"/>
      <c r="F220" s="445"/>
      <c r="G220" s="445"/>
      <c r="H220" s="445"/>
      <c r="I220" s="445"/>
      <c r="J220" s="445"/>
      <c r="K220" s="1136"/>
      <c r="L220" s="1136"/>
      <c r="M220" s="445"/>
      <c r="N220" s="445"/>
      <c r="O220" s="445"/>
      <c r="P220" s="445"/>
    </row>
    <row r="221" spans="1:16">
      <c r="A221" s="445"/>
      <c r="B221" s="445"/>
      <c r="C221" s="277"/>
      <c r="D221" s="445"/>
      <c r="E221" s="445"/>
      <c r="F221" s="445"/>
      <c r="G221" s="445"/>
      <c r="H221" s="445"/>
      <c r="I221" s="445"/>
      <c r="J221" s="445"/>
      <c r="K221" s="1136"/>
      <c r="L221" s="1136"/>
      <c r="M221" s="445"/>
      <c r="N221" s="445"/>
      <c r="O221" s="445"/>
      <c r="P221" s="445"/>
    </row>
    <row r="222" spans="1:16">
      <c r="A222" s="445"/>
      <c r="B222" s="445"/>
      <c r="C222" s="277"/>
      <c r="D222" s="445"/>
      <c r="E222" s="445"/>
      <c r="F222" s="445"/>
      <c r="G222" s="445"/>
      <c r="H222" s="445"/>
      <c r="I222" s="445"/>
      <c r="J222" s="445"/>
      <c r="K222" s="1136"/>
      <c r="L222" s="1136"/>
      <c r="M222" s="445"/>
      <c r="N222" s="445"/>
      <c r="O222" s="445"/>
      <c r="P222" s="445"/>
    </row>
    <row r="223" spans="1:16">
      <c r="A223" s="445"/>
      <c r="B223" s="445"/>
      <c r="C223" s="277"/>
      <c r="D223" s="445"/>
      <c r="E223" s="445"/>
      <c r="F223" s="445"/>
      <c r="G223" s="445"/>
      <c r="H223" s="445"/>
      <c r="I223" s="445"/>
      <c r="J223" s="445"/>
      <c r="K223" s="1136"/>
      <c r="L223" s="1136"/>
      <c r="M223" s="445"/>
      <c r="N223" s="445"/>
      <c r="O223" s="445"/>
      <c r="P223" s="445"/>
    </row>
    <row r="224" spans="1:16">
      <c r="A224" s="445"/>
      <c r="B224" s="445"/>
      <c r="C224" s="277"/>
      <c r="D224" s="445"/>
      <c r="E224" s="445"/>
      <c r="F224" s="445"/>
      <c r="G224" s="445"/>
      <c r="H224" s="445"/>
      <c r="I224" s="445"/>
      <c r="J224" s="445"/>
      <c r="K224" s="1136"/>
      <c r="L224" s="1136"/>
      <c r="M224" s="445"/>
      <c r="N224" s="445"/>
      <c r="O224" s="445"/>
      <c r="P224" s="445"/>
    </row>
    <row r="225" spans="1:16">
      <c r="A225" s="445"/>
      <c r="B225" s="445"/>
      <c r="C225" s="277"/>
      <c r="D225" s="445"/>
      <c r="E225" s="445"/>
      <c r="F225" s="445"/>
      <c r="G225" s="445"/>
      <c r="H225" s="445"/>
      <c r="I225" s="445"/>
      <c r="J225" s="445"/>
      <c r="K225" s="1136"/>
      <c r="L225" s="1136"/>
      <c r="M225" s="445"/>
      <c r="N225" s="445"/>
      <c r="O225" s="445"/>
      <c r="P225" s="445"/>
    </row>
    <row r="226" spans="1:16">
      <c r="A226" s="445"/>
      <c r="B226" s="445"/>
      <c r="C226" s="277"/>
      <c r="D226" s="445"/>
      <c r="E226" s="445"/>
      <c r="F226" s="445"/>
      <c r="G226" s="445"/>
      <c r="H226" s="445"/>
      <c r="I226" s="445"/>
      <c r="J226" s="445"/>
      <c r="K226" s="1136"/>
      <c r="L226" s="1136"/>
      <c r="M226" s="445"/>
      <c r="N226" s="445"/>
      <c r="O226" s="445"/>
      <c r="P226" s="445"/>
    </row>
    <row r="227" spans="1:16">
      <c r="A227" s="445"/>
      <c r="B227" s="445"/>
      <c r="C227" s="277"/>
      <c r="D227" s="445"/>
      <c r="E227" s="445"/>
      <c r="F227" s="445"/>
      <c r="G227" s="445"/>
      <c r="H227" s="445"/>
      <c r="I227" s="445"/>
      <c r="J227" s="445"/>
      <c r="K227" s="1136"/>
      <c r="L227" s="1136"/>
      <c r="M227" s="445"/>
      <c r="N227" s="445"/>
      <c r="O227" s="445"/>
      <c r="P227" s="445"/>
    </row>
    <row r="228" spans="1:16">
      <c r="A228" s="445"/>
      <c r="B228" s="445"/>
      <c r="C228" s="277"/>
      <c r="D228" s="445"/>
      <c r="E228" s="445"/>
      <c r="F228" s="445"/>
      <c r="G228" s="445"/>
      <c r="H228" s="445"/>
      <c r="I228" s="445"/>
      <c r="J228" s="445"/>
      <c r="K228" s="1136"/>
      <c r="L228" s="1136"/>
      <c r="M228" s="445"/>
      <c r="N228" s="445"/>
      <c r="O228" s="445"/>
      <c r="P228" s="445"/>
    </row>
    <row r="229" spans="1:16">
      <c r="A229" s="445"/>
      <c r="B229" s="445"/>
      <c r="C229" s="277"/>
      <c r="D229" s="445"/>
      <c r="E229" s="445"/>
      <c r="F229" s="445"/>
      <c r="G229" s="445"/>
      <c r="H229" s="445"/>
      <c r="I229" s="445"/>
      <c r="J229" s="445"/>
      <c r="K229" s="1136"/>
      <c r="L229" s="1136"/>
      <c r="M229" s="445"/>
      <c r="N229" s="445"/>
      <c r="O229" s="445"/>
      <c r="P229" s="445"/>
    </row>
    <row r="230" spans="1:16">
      <c r="A230" s="445"/>
      <c r="B230" s="445"/>
      <c r="C230" s="277"/>
      <c r="D230" s="445"/>
      <c r="E230" s="445"/>
      <c r="F230" s="445"/>
      <c r="G230" s="445"/>
      <c r="H230" s="445"/>
      <c r="I230" s="445"/>
      <c r="J230" s="445"/>
      <c r="K230" s="1136"/>
      <c r="L230" s="1136"/>
      <c r="M230" s="445"/>
      <c r="N230" s="445"/>
      <c r="O230" s="445"/>
      <c r="P230" s="445"/>
    </row>
    <row r="231" spans="1:16">
      <c r="A231" s="445"/>
      <c r="B231" s="445"/>
      <c r="C231" s="277"/>
      <c r="D231" s="445"/>
      <c r="E231" s="445"/>
      <c r="F231" s="445"/>
      <c r="G231" s="445"/>
      <c r="H231" s="445"/>
      <c r="I231" s="445"/>
      <c r="J231" s="445"/>
      <c r="K231" s="1136"/>
      <c r="L231" s="1136"/>
      <c r="M231" s="445"/>
      <c r="N231" s="445"/>
      <c r="O231" s="445"/>
      <c r="P231" s="445"/>
    </row>
    <row r="232" spans="1:16">
      <c r="A232" s="445"/>
      <c r="B232" s="445"/>
      <c r="C232" s="277"/>
      <c r="D232" s="445"/>
      <c r="E232" s="445"/>
      <c r="F232" s="445"/>
      <c r="G232" s="445"/>
      <c r="H232" s="445"/>
      <c r="I232" s="445"/>
      <c r="J232" s="445"/>
      <c r="K232" s="1136"/>
      <c r="L232" s="1136"/>
      <c r="M232" s="445"/>
      <c r="N232" s="445"/>
      <c r="O232" s="445"/>
      <c r="P232" s="445"/>
    </row>
    <row r="233" spans="1:16">
      <c r="A233" s="445"/>
      <c r="B233" s="445"/>
      <c r="C233" s="277"/>
      <c r="D233" s="445"/>
      <c r="E233" s="445"/>
      <c r="F233" s="445"/>
      <c r="G233" s="445"/>
      <c r="H233" s="445"/>
      <c r="I233" s="445"/>
      <c r="J233" s="445"/>
      <c r="K233" s="1136"/>
      <c r="L233" s="1136"/>
      <c r="M233" s="445"/>
      <c r="N233" s="445"/>
      <c r="O233" s="445"/>
      <c r="P233" s="445"/>
    </row>
    <row r="234" spans="1:16">
      <c r="A234" s="445"/>
      <c r="B234" s="445"/>
      <c r="C234" s="277"/>
      <c r="D234" s="445"/>
      <c r="E234" s="445"/>
      <c r="F234" s="445"/>
      <c r="G234" s="445"/>
      <c r="H234" s="445"/>
      <c r="I234" s="445"/>
      <c r="J234" s="445"/>
      <c r="K234" s="1136"/>
      <c r="L234" s="1136"/>
      <c r="M234" s="445"/>
      <c r="N234" s="445"/>
      <c r="O234" s="445"/>
      <c r="P234" s="445"/>
    </row>
    <row r="235" spans="1:16">
      <c r="A235" s="445"/>
      <c r="B235" s="445"/>
      <c r="C235" s="277"/>
      <c r="D235" s="445"/>
      <c r="E235" s="445"/>
      <c r="F235" s="445"/>
      <c r="G235" s="445"/>
      <c r="H235" s="445"/>
      <c r="I235" s="445"/>
      <c r="J235" s="445"/>
      <c r="K235" s="1136"/>
      <c r="L235" s="1136"/>
      <c r="M235" s="445"/>
      <c r="N235" s="445"/>
      <c r="O235" s="445"/>
      <c r="P235" s="445"/>
    </row>
    <row r="236" spans="1:16">
      <c r="A236" s="445"/>
      <c r="B236" s="445"/>
      <c r="C236" s="277"/>
      <c r="D236" s="445"/>
      <c r="E236" s="445"/>
      <c r="F236" s="445"/>
      <c r="G236" s="445"/>
      <c r="H236" s="445"/>
      <c r="I236" s="445"/>
      <c r="J236" s="445"/>
      <c r="K236" s="1136"/>
      <c r="L236" s="1136"/>
      <c r="M236" s="445"/>
      <c r="N236" s="445"/>
      <c r="O236" s="445"/>
      <c r="P236" s="445"/>
    </row>
    <row r="237" spans="1:16">
      <c r="A237" s="445"/>
      <c r="B237" s="445"/>
      <c r="C237" s="277"/>
      <c r="D237" s="445"/>
      <c r="E237" s="445"/>
      <c r="F237" s="445"/>
      <c r="G237" s="445"/>
      <c r="H237" s="445"/>
      <c r="I237" s="445"/>
      <c r="J237" s="445"/>
      <c r="K237" s="1136"/>
      <c r="L237" s="1136"/>
      <c r="M237" s="445"/>
      <c r="N237" s="445"/>
      <c r="O237" s="445"/>
      <c r="P237" s="445"/>
    </row>
    <row r="238" spans="1:16">
      <c r="A238" s="445"/>
      <c r="B238" s="445"/>
      <c r="C238" s="277"/>
      <c r="D238" s="445"/>
      <c r="E238" s="445"/>
      <c r="F238" s="445"/>
      <c r="G238" s="445"/>
      <c r="H238" s="445"/>
      <c r="I238" s="445"/>
      <c r="J238" s="445"/>
      <c r="K238" s="1136"/>
      <c r="L238" s="1136"/>
      <c r="M238" s="445"/>
      <c r="N238" s="445"/>
      <c r="O238" s="445"/>
      <c r="P238" s="445"/>
    </row>
    <row r="239" spans="1:16">
      <c r="A239" s="445"/>
      <c r="B239" s="445"/>
      <c r="C239" s="277"/>
      <c r="D239" s="445"/>
      <c r="E239" s="445"/>
      <c r="F239" s="445"/>
      <c r="G239" s="445"/>
      <c r="H239" s="445"/>
      <c r="I239" s="445"/>
      <c r="J239" s="445"/>
      <c r="K239" s="1136"/>
      <c r="L239" s="1136"/>
      <c r="M239" s="445"/>
      <c r="N239" s="445"/>
      <c r="O239" s="445"/>
      <c r="P239" s="445"/>
    </row>
    <row r="240" spans="1:16">
      <c r="A240" s="445"/>
      <c r="B240" s="445"/>
      <c r="C240" s="277"/>
      <c r="D240" s="445"/>
      <c r="E240" s="445"/>
      <c r="F240" s="445"/>
      <c r="G240" s="445"/>
      <c r="H240" s="445"/>
      <c r="I240" s="445"/>
      <c r="J240" s="445"/>
      <c r="K240" s="1136"/>
      <c r="L240" s="1136"/>
      <c r="M240" s="445"/>
      <c r="N240" s="445"/>
      <c r="O240" s="445"/>
      <c r="P240" s="445"/>
    </row>
    <row r="241" spans="1:16">
      <c r="A241" s="445"/>
      <c r="B241" s="445"/>
      <c r="C241" s="277"/>
      <c r="D241" s="445"/>
      <c r="E241" s="445"/>
      <c r="F241" s="445"/>
      <c r="G241" s="445"/>
      <c r="H241" s="445"/>
      <c r="I241" s="445"/>
      <c r="J241" s="445"/>
      <c r="K241" s="1136"/>
      <c r="L241" s="1136"/>
      <c r="M241" s="445"/>
      <c r="N241" s="445"/>
      <c r="O241" s="445"/>
      <c r="P241" s="445"/>
    </row>
    <row r="242" spans="1:16">
      <c r="A242" s="445"/>
      <c r="B242" s="445"/>
      <c r="C242" s="277"/>
      <c r="D242" s="445"/>
      <c r="E242" s="445"/>
      <c r="F242" s="445"/>
      <c r="G242" s="445"/>
      <c r="H242" s="445"/>
      <c r="I242" s="445"/>
      <c r="J242" s="445"/>
      <c r="K242" s="1136"/>
      <c r="L242" s="1136"/>
      <c r="M242" s="445"/>
      <c r="N242" s="445"/>
      <c r="O242" s="445"/>
      <c r="P242" s="445"/>
    </row>
    <row r="243" spans="1:16">
      <c r="A243" s="445"/>
      <c r="B243" s="445"/>
      <c r="C243" s="277"/>
      <c r="D243" s="445"/>
      <c r="E243" s="445"/>
      <c r="F243" s="445"/>
      <c r="G243" s="445"/>
      <c r="H243" s="445"/>
      <c r="I243" s="445"/>
      <c r="J243" s="445"/>
      <c r="K243" s="1136"/>
      <c r="L243" s="1136"/>
      <c r="M243" s="445"/>
      <c r="N243" s="445"/>
      <c r="O243" s="445"/>
      <c r="P243" s="445"/>
    </row>
    <row r="244" spans="1:16">
      <c r="A244" s="445"/>
      <c r="B244" s="445"/>
      <c r="C244" s="277"/>
      <c r="D244" s="445"/>
      <c r="E244" s="445"/>
      <c r="F244" s="445"/>
      <c r="G244" s="445"/>
      <c r="H244" s="445"/>
      <c r="I244" s="445"/>
      <c r="J244" s="445"/>
      <c r="K244" s="1136"/>
      <c r="L244" s="1136"/>
      <c r="M244" s="445"/>
      <c r="N244" s="445"/>
      <c r="O244" s="445"/>
      <c r="P244" s="445"/>
    </row>
    <row r="245" spans="1:16">
      <c r="A245" s="445"/>
      <c r="B245" s="445"/>
      <c r="C245" s="277"/>
      <c r="D245" s="445"/>
      <c r="E245" s="445"/>
      <c r="F245" s="445"/>
      <c r="G245" s="445"/>
      <c r="H245" s="445"/>
      <c r="I245" s="445"/>
      <c r="J245" s="445"/>
      <c r="K245" s="1136"/>
      <c r="L245" s="1136"/>
      <c r="M245" s="445"/>
      <c r="N245" s="445"/>
      <c r="O245" s="445"/>
      <c r="P245" s="445"/>
    </row>
    <row r="246" spans="1:16">
      <c r="A246" s="445"/>
      <c r="B246" s="445"/>
      <c r="C246" s="277"/>
      <c r="D246" s="445"/>
      <c r="E246" s="445"/>
      <c r="F246" s="445"/>
      <c r="G246" s="445"/>
      <c r="H246" s="445"/>
      <c r="I246" s="445"/>
      <c r="J246" s="445"/>
      <c r="K246" s="1136"/>
      <c r="L246" s="1136"/>
      <c r="M246" s="445"/>
      <c r="N246" s="445"/>
      <c r="O246" s="445"/>
      <c r="P246" s="445"/>
    </row>
    <row r="247" spans="1:16">
      <c r="A247" s="445"/>
      <c r="B247" s="445"/>
      <c r="C247" s="277"/>
      <c r="D247" s="445"/>
      <c r="E247" s="445"/>
      <c r="F247" s="445"/>
      <c r="G247" s="445"/>
      <c r="H247" s="445"/>
      <c r="I247" s="445"/>
      <c r="J247" s="445"/>
      <c r="K247" s="1136"/>
      <c r="L247" s="1136"/>
      <c r="M247" s="445"/>
      <c r="N247" s="445"/>
      <c r="O247" s="445"/>
      <c r="P247" s="445"/>
    </row>
    <row r="248" spans="1:16">
      <c r="A248" s="445"/>
      <c r="B248" s="445"/>
      <c r="C248" s="277"/>
      <c r="D248" s="445"/>
      <c r="E248" s="445"/>
      <c r="F248" s="445"/>
      <c r="G248" s="445"/>
      <c r="H248" s="445"/>
      <c r="I248" s="445"/>
      <c r="J248" s="445"/>
      <c r="K248" s="1136"/>
      <c r="L248" s="1136"/>
      <c r="M248" s="445"/>
      <c r="N248" s="445"/>
      <c r="O248" s="445"/>
      <c r="P248" s="445"/>
    </row>
    <row r="249" spans="1:16">
      <c r="A249" s="445"/>
      <c r="B249" s="445"/>
      <c r="C249" s="277"/>
      <c r="D249" s="445"/>
      <c r="E249" s="445"/>
      <c r="F249" s="445"/>
      <c r="G249" s="445"/>
      <c r="H249" s="445"/>
      <c r="I249" s="445"/>
      <c r="J249" s="445"/>
      <c r="K249" s="1136"/>
      <c r="L249" s="1136"/>
      <c r="M249" s="445"/>
      <c r="N249" s="445"/>
      <c r="O249" s="445"/>
      <c r="P249" s="445"/>
    </row>
    <row r="250" spans="1:16">
      <c r="A250" s="445"/>
      <c r="B250" s="445"/>
      <c r="C250" s="277"/>
      <c r="D250" s="445"/>
      <c r="E250" s="445"/>
      <c r="F250" s="445"/>
      <c r="G250" s="445"/>
      <c r="H250" s="445"/>
      <c r="I250" s="445"/>
      <c r="J250" s="445"/>
      <c r="K250" s="1136"/>
      <c r="L250" s="1136"/>
      <c r="M250" s="445"/>
      <c r="N250" s="445"/>
      <c r="O250" s="445"/>
      <c r="P250" s="445"/>
    </row>
    <row r="251" spans="1:16">
      <c r="A251" s="445"/>
      <c r="B251" s="445"/>
      <c r="C251" s="277"/>
      <c r="D251" s="445"/>
      <c r="E251" s="445"/>
      <c r="F251" s="445"/>
      <c r="G251" s="445"/>
      <c r="H251" s="445"/>
      <c r="I251" s="445"/>
      <c r="J251" s="445"/>
      <c r="K251" s="1136"/>
      <c r="L251" s="1136"/>
      <c r="M251" s="445"/>
      <c r="N251" s="445"/>
      <c r="O251" s="445"/>
      <c r="P251" s="445"/>
    </row>
    <row r="252" spans="1:16">
      <c r="A252" s="445"/>
      <c r="B252" s="445"/>
      <c r="C252" s="277"/>
      <c r="D252" s="445"/>
      <c r="E252" s="445"/>
      <c r="F252" s="445"/>
      <c r="G252" s="445"/>
      <c r="H252" s="445"/>
      <c r="I252" s="445"/>
      <c r="J252" s="445"/>
      <c r="K252" s="1136"/>
      <c r="L252" s="1136"/>
      <c r="M252" s="445"/>
      <c r="N252" s="445"/>
      <c r="O252" s="445"/>
      <c r="P252" s="445"/>
    </row>
    <row r="253" spans="1:16">
      <c r="A253" s="445"/>
      <c r="B253" s="445"/>
      <c r="C253" s="277"/>
      <c r="D253" s="445"/>
      <c r="E253" s="445"/>
      <c r="F253" s="445"/>
      <c r="G253" s="445"/>
      <c r="H253" s="445"/>
      <c r="I253" s="445"/>
      <c r="J253" s="445"/>
      <c r="K253" s="1136"/>
      <c r="L253" s="1136"/>
      <c r="M253" s="445"/>
      <c r="N253" s="445"/>
      <c r="O253" s="445"/>
      <c r="P253" s="445"/>
    </row>
    <row r="254" spans="1:16">
      <c r="A254" s="445"/>
      <c r="B254" s="445"/>
      <c r="C254" s="277"/>
      <c r="D254" s="445"/>
      <c r="E254" s="445"/>
      <c r="F254" s="445"/>
      <c r="G254" s="445"/>
      <c r="H254" s="445"/>
      <c r="I254" s="445"/>
      <c r="J254" s="445"/>
      <c r="K254" s="1136"/>
      <c r="L254" s="1136"/>
      <c r="M254" s="445"/>
      <c r="N254" s="445"/>
      <c r="O254" s="445"/>
      <c r="P254" s="445"/>
    </row>
    <row r="255" spans="1:16">
      <c r="A255" s="445"/>
      <c r="B255" s="445"/>
      <c r="C255" s="277"/>
      <c r="D255" s="445"/>
      <c r="E255" s="445"/>
      <c r="F255" s="445"/>
      <c r="G255" s="445"/>
      <c r="H255" s="445"/>
      <c r="I255" s="445"/>
      <c r="J255" s="445"/>
      <c r="K255" s="1136"/>
      <c r="L255" s="1136"/>
      <c r="M255" s="445"/>
      <c r="N255" s="445"/>
      <c r="O255" s="445"/>
      <c r="P255" s="445"/>
    </row>
    <row r="256" spans="1:16">
      <c r="A256" s="445"/>
      <c r="B256" s="445"/>
      <c r="C256" s="277"/>
      <c r="D256" s="445"/>
      <c r="E256" s="445"/>
      <c r="F256" s="445"/>
      <c r="G256" s="445"/>
      <c r="H256" s="445"/>
      <c r="I256" s="445"/>
      <c r="J256" s="445"/>
      <c r="K256" s="1136"/>
      <c r="L256" s="1136"/>
      <c r="M256" s="445"/>
      <c r="N256" s="445"/>
      <c r="O256" s="445"/>
      <c r="P256" s="445"/>
    </row>
    <row r="257" spans="1:16">
      <c r="A257" s="445"/>
      <c r="B257" s="445"/>
      <c r="C257" s="277"/>
      <c r="D257" s="445"/>
      <c r="E257" s="445"/>
      <c r="F257" s="445"/>
      <c r="G257" s="445"/>
      <c r="H257" s="445"/>
      <c r="I257" s="445"/>
      <c r="J257" s="445"/>
      <c r="K257" s="1136"/>
      <c r="L257" s="1136"/>
      <c r="M257" s="445"/>
      <c r="N257" s="445"/>
      <c r="O257" s="445"/>
      <c r="P257" s="445"/>
    </row>
    <row r="258" spans="1:16">
      <c r="A258" s="445"/>
      <c r="B258" s="445"/>
      <c r="C258" s="277"/>
      <c r="D258" s="445"/>
      <c r="E258" s="445"/>
      <c r="F258" s="445"/>
      <c r="G258" s="445"/>
      <c r="H258" s="445"/>
      <c r="I258" s="445"/>
      <c r="J258" s="445"/>
      <c r="K258" s="1136"/>
      <c r="L258" s="1136"/>
      <c r="M258" s="445"/>
      <c r="N258" s="445"/>
      <c r="O258" s="445"/>
      <c r="P258" s="445"/>
    </row>
    <row r="259" spans="1:16">
      <c r="A259" s="445"/>
      <c r="B259" s="445"/>
      <c r="C259" s="277"/>
      <c r="D259" s="445"/>
      <c r="E259" s="445"/>
      <c r="F259" s="445"/>
      <c r="G259" s="445"/>
      <c r="H259" s="445"/>
      <c r="I259" s="445"/>
      <c r="J259" s="445"/>
      <c r="K259" s="1136"/>
      <c r="L259" s="1136"/>
      <c r="M259" s="445"/>
      <c r="N259" s="445"/>
      <c r="O259" s="445"/>
      <c r="P259" s="445"/>
    </row>
    <row r="260" spans="1:16">
      <c r="A260" s="445"/>
      <c r="B260" s="445"/>
      <c r="C260" s="277"/>
      <c r="D260" s="445"/>
      <c r="E260" s="445"/>
      <c r="F260" s="445"/>
      <c r="G260" s="445"/>
      <c r="H260" s="445"/>
      <c r="I260" s="445"/>
      <c r="J260" s="445"/>
      <c r="K260" s="1136"/>
      <c r="L260" s="1136"/>
      <c r="M260" s="445"/>
      <c r="N260" s="445"/>
      <c r="O260" s="445"/>
      <c r="P260" s="445"/>
    </row>
    <row r="261" spans="1:16">
      <c r="A261" s="445"/>
      <c r="B261" s="445"/>
      <c r="C261" s="277"/>
      <c r="D261" s="445"/>
      <c r="E261" s="445"/>
      <c r="F261" s="445"/>
      <c r="G261" s="445"/>
      <c r="H261" s="445"/>
      <c r="I261" s="445"/>
      <c r="J261" s="445"/>
      <c r="K261" s="1136"/>
      <c r="L261" s="1136"/>
      <c r="M261" s="445"/>
      <c r="N261" s="445"/>
      <c r="O261" s="445"/>
      <c r="P261" s="445"/>
    </row>
    <row r="262" spans="1:16">
      <c r="A262" s="445"/>
      <c r="B262" s="445"/>
      <c r="C262" s="277"/>
      <c r="D262" s="445"/>
      <c r="E262" s="445"/>
      <c r="F262" s="445"/>
      <c r="G262" s="445"/>
      <c r="H262" s="445"/>
      <c r="I262" s="445"/>
      <c r="J262" s="445"/>
      <c r="K262" s="1136"/>
      <c r="L262" s="1136"/>
      <c r="M262" s="445"/>
      <c r="N262" s="445"/>
      <c r="O262" s="445"/>
      <c r="P262" s="445"/>
    </row>
    <row r="263" spans="1:16">
      <c r="A263" s="445"/>
      <c r="B263" s="445"/>
      <c r="C263" s="277"/>
      <c r="D263" s="445"/>
      <c r="E263" s="445"/>
      <c r="F263" s="445"/>
      <c r="G263" s="445"/>
      <c r="H263" s="445"/>
      <c r="I263" s="445"/>
      <c r="J263" s="445"/>
      <c r="K263" s="1136"/>
      <c r="L263" s="1136"/>
      <c r="M263" s="445"/>
      <c r="N263" s="445"/>
      <c r="O263" s="445"/>
      <c r="P263" s="445"/>
    </row>
    <row r="264" spans="1:16">
      <c r="A264" s="445"/>
      <c r="B264" s="445"/>
      <c r="C264" s="277"/>
      <c r="D264" s="445"/>
      <c r="E264" s="445"/>
      <c r="F264" s="445"/>
      <c r="G264" s="445"/>
      <c r="H264" s="445"/>
      <c r="I264" s="445"/>
      <c r="J264" s="445"/>
      <c r="K264" s="1136"/>
      <c r="L264" s="1136"/>
      <c r="M264" s="445"/>
      <c r="N264" s="445"/>
      <c r="O264" s="445"/>
      <c r="P264" s="445"/>
    </row>
    <row r="265" spans="1:16">
      <c r="A265" s="445"/>
      <c r="B265" s="445"/>
      <c r="C265" s="277"/>
      <c r="D265" s="445"/>
      <c r="E265" s="445"/>
      <c r="F265" s="445"/>
      <c r="G265" s="445"/>
      <c r="H265" s="445"/>
      <c r="I265" s="445"/>
      <c r="J265" s="445"/>
      <c r="K265" s="1136"/>
      <c r="L265" s="1136"/>
      <c r="M265" s="445"/>
      <c r="N265" s="445"/>
      <c r="O265" s="445"/>
      <c r="P265" s="445"/>
    </row>
    <row r="266" spans="1:16">
      <c r="A266" s="445"/>
      <c r="B266" s="445"/>
      <c r="C266" s="277"/>
      <c r="D266" s="445"/>
      <c r="E266" s="445"/>
      <c r="F266" s="445"/>
      <c r="G266" s="445"/>
      <c r="H266" s="445"/>
      <c r="I266" s="445"/>
      <c r="J266" s="445"/>
      <c r="K266" s="1136"/>
      <c r="L266" s="1136"/>
      <c r="M266" s="445"/>
      <c r="N266" s="445"/>
      <c r="O266" s="445"/>
      <c r="P266" s="445"/>
    </row>
    <row r="267" spans="1:16">
      <c r="A267" s="445"/>
      <c r="B267" s="445"/>
      <c r="C267" s="277"/>
      <c r="D267" s="445"/>
      <c r="E267" s="445"/>
      <c r="F267" s="445"/>
      <c r="G267" s="445"/>
      <c r="H267" s="445"/>
      <c r="I267" s="445"/>
      <c r="J267" s="445"/>
      <c r="K267" s="1136"/>
      <c r="L267" s="1136"/>
      <c r="M267" s="445"/>
      <c r="N267" s="445"/>
      <c r="O267" s="445"/>
      <c r="P267" s="445"/>
    </row>
    <row r="268" spans="1:16">
      <c r="A268" s="445"/>
      <c r="B268" s="445"/>
      <c r="C268" s="277"/>
      <c r="D268" s="445"/>
      <c r="E268" s="445"/>
      <c r="F268" s="445"/>
      <c r="G268" s="445"/>
      <c r="H268" s="445"/>
      <c r="I268" s="445"/>
      <c r="J268" s="445"/>
      <c r="K268" s="1136"/>
      <c r="L268" s="1136"/>
      <c r="M268" s="445"/>
      <c r="N268" s="445"/>
      <c r="O268" s="445"/>
      <c r="P268" s="445"/>
    </row>
    <row r="269" spans="1:16">
      <c r="A269" s="445"/>
      <c r="B269" s="445"/>
      <c r="C269" s="277"/>
      <c r="D269" s="445"/>
      <c r="E269" s="445"/>
      <c r="F269" s="445"/>
      <c r="G269" s="445"/>
      <c r="H269" s="445"/>
      <c r="I269" s="445"/>
      <c r="J269" s="445"/>
      <c r="K269" s="1136"/>
      <c r="L269" s="1136"/>
      <c r="M269" s="445"/>
      <c r="N269" s="445"/>
      <c r="O269" s="445"/>
      <c r="P269" s="445"/>
    </row>
    <row r="270" spans="1:16">
      <c r="A270" s="445"/>
      <c r="B270" s="445"/>
      <c r="C270" s="277"/>
      <c r="D270" s="445"/>
      <c r="E270" s="445"/>
      <c r="F270" s="445"/>
      <c r="G270" s="445"/>
      <c r="H270" s="445"/>
      <c r="I270" s="445"/>
      <c r="J270" s="445"/>
      <c r="K270" s="1136"/>
      <c r="L270" s="1136"/>
      <c r="M270" s="445"/>
      <c r="N270" s="445"/>
      <c r="O270" s="445"/>
      <c r="P270" s="445"/>
    </row>
    <row r="271" spans="1:16">
      <c r="A271" s="445"/>
      <c r="B271" s="445"/>
      <c r="C271" s="277"/>
      <c r="D271" s="445"/>
      <c r="E271" s="445"/>
      <c r="F271" s="445"/>
      <c r="G271" s="445"/>
      <c r="H271" s="445"/>
      <c r="I271" s="445"/>
      <c r="J271" s="445"/>
      <c r="K271" s="1136"/>
      <c r="L271" s="1136"/>
      <c r="M271" s="445"/>
      <c r="N271" s="445"/>
      <c r="O271" s="445"/>
      <c r="P271" s="445"/>
    </row>
    <row r="272" spans="1:16">
      <c r="A272" s="445"/>
      <c r="B272" s="445"/>
      <c r="C272" s="277"/>
      <c r="D272" s="445"/>
      <c r="E272" s="445"/>
      <c r="F272" s="445"/>
      <c r="G272" s="445"/>
      <c r="H272" s="445"/>
      <c r="I272" s="445"/>
      <c r="J272" s="445"/>
      <c r="K272" s="1136"/>
      <c r="L272" s="1136"/>
      <c r="M272" s="445"/>
      <c r="N272" s="445"/>
      <c r="O272" s="445"/>
      <c r="P272" s="445"/>
    </row>
    <row r="273" spans="1:16">
      <c r="A273" s="445"/>
      <c r="B273" s="445"/>
      <c r="C273" s="277"/>
      <c r="D273" s="445"/>
      <c r="E273" s="445"/>
      <c r="F273" s="445"/>
      <c r="G273" s="445"/>
      <c r="H273" s="445"/>
      <c r="I273" s="445"/>
      <c r="J273" s="445"/>
      <c r="K273" s="1136"/>
      <c r="L273" s="1136"/>
      <c r="M273" s="445"/>
      <c r="N273" s="445"/>
      <c r="O273" s="445"/>
      <c r="P273" s="445"/>
    </row>
    <row r="274" spans="1:16">
      <c r="A274" s="445"/>
      <c r="B274" s="445"/>
      <c r="C274" s="277"/>
      <c r="D274" s="445"/>
      <c r="E274" s="445"/>
      <c r="F274" s="445"/>
      <c r="G274" s="445"/>
      <c r="H274" s="445"/>
      <c r="I274" s="445"/>
      <c r="J274" s="445"/>
      <c r="K274" s="1136"/>
      <c r="L274" s="1136"/>
      <c r="M274" s="445"/>
      <c r="N274" s="445"/>
      <c r="O274" s="445"/>
      <c r="P274" s="445"/>
    </row>
    <row r="275" spans="1:16">
      <c r="A275" s="445"/>
      <c r="B275" s="445"/>
      <c r="C275" s="277"/>
      <c r="D275" s="445"/>
      <c r="E275" s="445"/>
      <c r="F275" s="445"/>
      <c r="G275" s="445"/>
      <c r="H275" s="445"/>
      <c r="I275" s="445"/>
      <c r="J275" s="445"/>
      <c r="K275" s="1136"/>
      <c r="L275" s="1136"/>
      <c r="M275" s="445"/>
      <c r="N275" s="445"/>
      <c r="O275" s="445"/>
      <c r="P275" s="445"/>
    </row>
    <row r="276" spans="1:16">
      <c r="A276" s="445"/>
      <c r="B276" s="445"/>
      <c r="C276" s="277"/>
      <c r="D276" s="445"/>
      <c r="E276" s="445"/>
      <c r="F276" s="445"/>
      <c r="G276" s="445"/>
      <c r="H276" s="445"/>
      <c r="I276" s="445"/>
      <c r="J276" s="445"/>
      <c r="K276" s="1136"/>
      <c r="L276" s="1136"/>
      <c r="M276" s="445"/>
      <c r="N276" s="445"/>
      <c r="O276" s="445"/>
      <c r="P276" s="445"/>
    </row>
    <row r="277" spans="1:16">
      <c r="A277" s="445"/>
      <c r="B277" s="445"/>
      <c r="C277" s="277"/>
      <c r="D277" s="445"/>
      <c r="E277" s="445"/>
      <c r="F277" s="445"/>
      <c r="G277" s="445"/>
      <c r="H277" s="445"/>
      <c r="I277" s="445"/>
      <c r="J277" s="445"/>
      <c r="K277" s="1136"/>
      <c r="L277" s="1136"/>
      <c r="M277" s="445"/>
      <c r="N277" s="445"/>
      <c r="O277" s="445"/>
      <c r="P277" s="445"/>
    </row>
    <row r="278" spans="1:16">
      <c r="A278" s="445"/>
      <c r="B278" s="445"/>
      <c r="C278" s="277"/>
      <c r="D278" s="445"/>
      <c r="E278" s="445"/>
      <c r="F278" s="445"/>
      <c r="G278" s="445"/>
      <c r="H278" s="445"/>
      <c r="I278" s="445"/>
      <c r="J278" s="445"/>
      <c r="K278" s="1136"/>
      <c r="L278" s="1136"/>
      <c r="M278" s="445"/>
      <c r="N278" s="445"/>
      <c r="O278" s="445"/>
      <c r="P278" s="445"/>
    </row>
    <row r="279" spans="1:16">
      <c r="A279" s="445"/>
      <c r="B279" s="445"/>
      <c r="C279" s="277"/>
      <c r="D279" s="445"/>
      <c r="E279" s="445"/>
      <c r="F279" s="445"/>
      <c r="G279" s="445"/>
      <c r="H279" s="445"/>
      <c r="I279" s="445"/>
      <c r="J279" s="445"/>
      <c r="K279" s="1136"/>
      <c r="L279" s="1136"/>
      <c r="M279" s="445"/>
      <c r="N279" s="445"/>
      <c r="O279" s="445"/>
      <c r="P279" s="445"/>
    </row>
    <row r="280" spans="1:16">
      <c r="A280" s="445"/>
      <c r="B280" s="445"/>
      <c r="C280" s="277"/>
      <c r="D280" s="445"/>
      <c r="E280" s="445"/>
      <c r="F280" s="445"/>
      <c r="G280" s="445"/>
      <c r="H280" s="445"/>
      <c r="I280" s="445"/>
      <c r="J280" s="445"/>
      <c r="K280" s="1136"/>
      <c r="L280" s="1136"/>
      <c r="M280" s="445"/>
      <c r="N280" s="445"/>
      <c r="O280" s="445"/>
      <c r="P280" s="445"/>
    </row>
    <row r="281" spans="1:16">
      <c r="A281" s="445"/>
      <c r="B281" s="445"/>
      <c r="C281" s="277"/>
      <c r="D281" s="445"/>
      <c r="E281" s="445"/>
      <c r="F281" s="445"/>
      <c r="G281" s="445"/>
      <c r="H281" s="445"/>
      <c r="I281" s="445"/>
      <c r="J281" s="445"/>
      <c r="K281" s="1136"/>
      <c r="L281" s="1136"/>
      <c r="M281" s="445"/>
      <c r="N281" s="445"/>
      <c r="O281" s="445"/>
      <c r="P281" s="445"/>
    </row>
    <row r="282" spans="1:16">
      <c r="A282" s="445"/>
      <c r="B282" s="445"/>
      <c r="C282" s="277"/>
      <c r="D282" s="445"/>
      <c r="E282" s="445"/>
      <c r="F282" s="445"/>
      <c r="G282" s="445"/>
      <c r="H282" s="445"/>
      <c r="I282" s="445"/>
      <c r="J282" s="445"/>
      <c r="K282" s="1136"/>
      <c r="L282" s="1136"/>
      <c r="M282" s="445"/>
      <c r="N282" s="445"/>
      <c r="O282" s="445"/>
      <c r="P282" s="445"/>
    </row>
    <row r="283" spans="1:16">
      <c r="A283" s="445"/>
      <c r="B283" s="445"/>
      <c r="C283" s="277"/>
      <c r="D283" s="445"/>
      <c r="E283" s="445"/>
      <c r="F283" s="445"/>
      <c r="G283" s="445"/>
      <c r="H283" s="445"/>
      <c r="I283" s="445"/>
      <c r="J283" s="445"/>
      <c r="K283" s="1136"/>
      <c r="L283" s="1136"/>
      <c r="M283" s="445"/>
      <c r="N283" s="445"/>
      <c r="O283" s="445"/>
      <c r="P283" s="445"/>
    </row>
    <row r="284" spans="1:16">
      <c r="A284" s="445"/>
      <c r="B284" s="445"/>
      <c r="C284" s="277"/>
      <c r="D284" s="445"/>
      <c r="E284" s="445"/>
      <c r="F284" s="445"/>
      <c r="G284" s="445"/>
      <c r="H284" s="445"/>
      <c r="I284" s="445"/>
      <c r="J284" s="445"/>
      <c r="K284" s="1136"/>
      <c r="L284" s="1136"/>
      <c r="M284" s="445"/>
      <c r="N284" s="445"/>
      <c r="O284" s="445"/>
      <c r="P284" s="445"/>
    </row>
    <row r="285" spans="1:16">
      <c r="A285" s="445"/>
      <c r="B285" s="445"/>
      <c r="C285" s="277"/>
      <c r="D285" s="445"/>
      <c r="E285" s="445"/>
      <c r="F285" s="445"/>
      <c r="G285" s="445"/>
      <c r="H285" s="445"/>
      <c r="I285" s="445"/>
      <c r="J285" s="445"/>
      <c r="K285" s="1136"/>
      <c r="L285" s="1136"/>
      <c r="M285" s="445"/>
      <c r="N285" s="445"/>
      <c r="O285" s="445"/>
      <c r="P285" s="445"/>
    </row>
    <row r="286" spans="1:16">
      <c r="A286" s="445"/>
      <c r="B286" s="445"/>
      <c r="C286" s="277"/>
      <c r="D286" s="445"/>
      <c r="E286" s="445"/>
      <c r="F286" s="445"/>
      <c r="G286" s="445"/>
      <c r="H286" s="445"/>
      <c r="I286" s="445"/>
      <c r="J286" s="445"/>
      <c r="K286" s="1136"/>
      <c r="L286" s="1136"/>
      <c r="M286" s="445"/>
      <c r="N286" s="445"/>
      <c r="O286" s="445"/>
      <c r="P286" s="445"/>
    </row>
    <row r="287" spans="1:16">
      <c r="A287" s="445"/>
      <c r="B287" s="445"/>
      <c r="C287" s="277"/>
      <c r="D287" s="445"/>
      <c r="E287" s="445"/>
      <c r="F287" s="445"/>
      <c r="G287" s="445"/>
      <c r="H287" s="445"/>
      <c r="I287" s="445"/>
      <c r="J287" s="445"/>
      <c r="K287" s="1136"/>
      <c r="L287" s="1136"/>
      <c r="M287" s="445"/>
      <c r="N287" s="445"/>
      <c r="O287" s="445"/>
      <c r="P287" s="445"/>
    </row>
    <row r="288" spans="1:16">
      <c r="A288" s="445"/>
      <c r="B288" s="445"/>
      <c r="C288" s="277"/>
      <c r="D288" s="445"/>
      <c r="E288" s="445"/>
      <c r="F288" s="445"/>
      <c r="G288" s="445"/>
      <c r="H288" s="445"/>
      <c r="I288" s="445"/>
      <c r="J288" s="445"/>
      <c r="K288" s="1136"/>
      <c r="L288" s="1136"/>
      <c r="M288" s="445"/>
      <c r="N288" s="445"/>
      <c r="O288" s="445"/>
      <c r="P288" s="445"/>
    </row>
    <row r="289" spans="1:16">
      <c r="A289" s="445"/>
      <c r="B289" s="445"/>
      <c r="C289" s="277"/>
      <c r="D289" s="445"/>
      <c r="E289" s="445"/>
      <c r="F289" s="445"/>
      <c r="G289" s="445"/>
      <c r="H289" s="445"/>
      <c r="I289" s="445"/>
      <c r="J289" s="445"/>
      <c r="K289" s="1136"/>
      <c r="L289" s="1136"/>
      <c r="M289" s="445"/>
      <c r="N289" s="445"/>
      <c r="O289" s="445"/>
      <c r="P289" s="445"/>
    </row>
    <row r="290" spans="1:16">
      <c r="A290" s="445"/>
      <c r="B290" s="445"/>
      <c r="C290" s="277"/>
      <c r="D290" s="445"/>
      <c r="E290" s="445"/>
      <c r="F290" s="445"/>
      <c r="G290" s="445"/>
      <c r="H290" s="445"/>
      <c r="I290" s="445"/>
      <c r="J290" s="445"/>
      <c r="K290" s="1136"/>
      <c r="L290" s="1136"/>
      <c r="M290" s="445"/>
      <c r="N290" s="445"/>
      <c r="O290" s="445"/>
      <c r="P290" s="445"/>
    </row>
    <row r="291" spans="1:16">
      <c r="A291" s="445"/>
      <c r="B291" s="445"/>
      <c r="C291" s="277"/>
      <c r="D291" s="445"/>
      <c r="E291" s="445"/>
      <c r="F291" s="445"/>
      <c r="G291" s="445"/>
      <c r="H291" s="445"/>
      <c r="I291" s="445"/>
      <c r="J291" s="445"/>
      <c r="K291" s="1136"/>
      <c r="L291" s="1136"/>
      <c r="M291" s="445"/>
      <c r="N291" s="445"/>
      <c r="O291" s="445"/>
      <c r="P291" s="445"/>
    </row>
    <row r="292" spans="1:16">
      <c r="A292" s="445"/>
      <c r="B292" s="445"/>
      <c r="C292" s="277"/>
      <c r="D292" s="445"/>
      <c r="E292" s="445"/>
      <c r="F292" s="445"/>
      <c r="G292" s="445"/>
      <c r="H292" s="445"/>
      <c r="I292" s="445"/>
      <c r="J292" s="445"/>
      <c r="K292" s="1136"/>
      <c r="L292" s="1136"/>
      <c r="M292" s="445"/>
      <c r="N292" s="445"/>
      <c r="O292" s="445"/>
      <c r="P292" s="445"/>
    </row>
    <row r="293" spans="1:16">
      <c r="A293" s="445"/>
      <c r="B293" s="445"/>
      <c r="C293" s="277"/>
      <c r="D293" s="445"/>
      <c r="E293" s="445"/>
      <c r="F293" s="445"/>
      <c r="G293" s="445"/>
      <c r="H293" s="445"/>
      <c r="I293" s="445"/>
      <c r="J293" s="445"/>
      <c r="K293" s="1136"/>
      <c r="L293" s="1136"/>
      <c r="M293" s="445"/>
      <c r="N293" s="445"/>
      <c r="O293" s="445"/>
      <c r="P293" s="445"/>
    </row>
    <row r="294" spans="1:16">
      <c r="A294" s="445"/>
      <c r="B294" s="445"/>
      <c r="C294" s="277"/>
      <c r="D294" s="445"/>
      <c r="E294" s="445"/>
      <c r="F294" s="445"/>
      <c r="G294" s="445"/>
      <c r="H294" s="445"/>
      <c r="I294" s="445"/>
      <c r="J294" s="445"/>
      <c r="K294" s="1136"/>
      <c r="L294" s="1136"/>
      <c r="M294" s="445"/>
      <c r="N294" s="445"/>
      <c r="O294" s="445"/>
      <c r="P294" s="445"/>
    </row>
    <row r="295" spans="1:16">
      <c r="A295" s="445"/>
      <c r="B295" s="445"/>
      <c r="C295" s="277"/>
      <c r="D295" s="445"/>
      <c r="E295" s="445"/>
      <c r="F295" s="445"/>
      <c r="G295" s="445"/>
      <c r="H295" s="445"/>
      <c r="I295" s="445"/>
      <c r="J295" s="445"/>
      <c r="K295" s="1136"/>
      <c r="L295" s="1136"/>
      <c r="M295" s="445"/>
      <c r="N295" s="445"/>
      <c r="O295" s="445"/>
      <c r="P295" s="445"/>
    </row>
    <row r="296" spans="1:16">
      <c r="A296" s="445"/>
      <c r="B296" s="445"/>
      <c r="C296" s="277"/>
      <c r="D296" s="445"/>
      <c r="E296" s="445"/>
      <c r="F296" s="445"/>
      <c r="G296" s="445"/>
      <c r="H296" s="445"/>
      <c r="I296" s="445"/>
      <c r="J296" s="445"/>
      <c r="K296" s="1136"/>
      <c r="L296" s="1136"/>
      <c r="M296" s="445"/>
      <c r="N296" s="445"/>
      <c r="O296" s="445"/>
      <c r="P296" s="445"/>
    </row>
    <row r="297" spans="1:16">
      <c r="A297" s="445"/>
      <c r="B297" s="445"/>
      <c r="C297" s="277"/>
      <c r="D297" s="445"/>
      <c r="E297" s="445"/>
      <c r="F297" s="445"/>
      <c r="G297" s="445"/>
      <c r="H297" s="445"/>
      <c r="I297" s="445"/>
      <c r="J297" s="445"/>
      <c r="K297" s="1136"/>
      <c r="L297" s="1136"/>
      <c r="M297" s="445"/>
      <c r="N297" s="445"/>
      <c r="O297" s="445"/>
      <c r="P297" s="445"/>
    </row>
    <row r="298" spans="1:16">
      <c r="A298" s="445"/>
      <c r="B298" s="445"/>
      <c r="C298" s="277"/>
      <c r="D298" s="445"/>
      <c r="E298" s="445"/>
      <c r="F298" s="445"/>
      <c r="G298" s="445"/>
      <c r="H298" s="445"/>
      <c r="I298" s="445"/>
      <c r="J298" s="445"/>
      <c r="K298" s="1136"/>
      <c r="L298" s="1136"/>
      <c r="M298" s="445"/>
      <c r="N298" s="445"/>
      <c r="O298" s="445"/>
      <c r="P298" s="445"/>
    </row>
    <row r="299" spans="1:16">
      <c r="A299" s="445"/>
      <c r="B299" s="445"/>
      <c r="C299" s="277"/>
      <c r="D299" s="445"/>
      <c r="E299" s="445"/>
      <c r="F299" s="445"/>
      <c r="G299" s="445"/>
      <c r="H299" s="445"/>
      <c r="I299" s="445"/>
      <c r="J299" s="445"/>
      <c r="K299" s="1136"/>
      <c r="L299" s="1136"/>
      <c r="M299" s="445"/>
      <c r="N299" s="445"/>
      <c r="O299" s="445"/>
      <c r="P299" s="445"/>
    </row>
    <row r="300" spans="1:16">
      <c r="A300" s="445"/>
      <c r="B300" s="445"/>
      <c r="C300" s="277"/>
      <c r="D300" s="445"/>
      <c r="E300" s="445"/>
      <c r="F300" s="445"/>
      <c r="G300" s="445"/>
      <c r="H300" s="445"/>
      <c r="I300" s="445"/>
      <c r="J300" s="445"/>
      <c r="K300" s="1136"/>
      <c r="L300" s="1136"/>
      <c r="M300" s="445"/>
      <c r="N300" s="445"/>
      <c r="O300" s="445"/>
      <c r="P300" s="445"/>
    </row>
    <row r="301" spans="1:16">
      <c r="A301" s="445"/>
      <c r="B301" s="445"/>
      <c r="C301" s="277"/>
      <c r="D301" s="445"/>
      <c r="E301" s="445"/>
      <c r="F301" s="445"/>
      <c r="G301" s="445"/>
      <c r="H301" s="445"/>
      <c r="I301" s="445"/>
      <c r="J301" s="445"/>
      <c r="K301" s="1136"/>
      <c r="L301" s="1136"/>
      <c r="M301" s="445"/>
      <c r="N301" s="445"/>
      <c r="O301" s="445"/>
      <c r="P301" s="445"/>
    </row>
    <row r="302" spans="1:16">
      <c r="A302" s="445"/>
      <c r="B302" s="445"/>
      <c r="C302" s="277"/>
      <c r="D302" s="445"/>
      <c r="E302" s="445"/>
      <c r="F302" s="445"/>
      <c r="G302" s="445"/>
      <c r="H302" s="445"/>
      <c r="I302" s="445"/>
      <c r="J302" s="445"/>
      <c r="K302" s="1136"/>
      <c r="L302" s="1136"/>
      <c r="M302" s="445"/>
      <c r="N302" s="445"/>
      <c r="O302" s="445"/>
      <c r="P302" s="445"/>
    </row>
    <row r="303" spans="1:16">
      <c r="A303" s="445"/>
      <c r="B303" s="445"/>
      <c r="C303" s="277"/>
      <c r="D303" s="445"/>
      <c r="E303" s="445"/>
      <c r="F303" s="445"/>
      <c r="G303" s="445"/>
      <c r="H303" s="445"/>
      <c r="I303" s="445"/>
      <c r="J303" s="445"/>
      <c r="K303" s="1136"/>
      <c r="L303" s="1136"/>
      <c r="M303" s="445"/>
      <c r="N303" s="445"/>
      <c r="O303" s="445"/>
      <c r="P303" s="445"/>
    </row>
    <row r="304" spans="1:16">
      <c r="A304" s="445"/>
      <c r="B304" s="445"/>
      <c r="C304" s="277"/>
      <c r="D304" s="445"/>
      <c r="E304" s="445"/>
      <c r="F304" s="445"/>
      <c r="G304" s="445"/>
      <c r="H304" s="445"/>
      <c r="I304" s="445"/>
      <c r="J304" s="445"/>
      <c r="K304" s="1136"/>
      <c r="L304" s="1136"/>
      <c r="M304" s="445"/>
      <c r="N304" s="445"/>
      <c r="O304" s="445"/>
      <c r="P304" s="445"/>
    </row>
    <row r="305" spans="1:16">
      <c r="A305" s="445"/>
      <c r="B305" s="445"/>
      <c r="C305" s="277"/>
      <c r="D305" s="445"/>
      <c r="E305" s="445"/>
      <c r="F305" s="445"/>
      <c r="G305" s="445"/>
      <c r="H305" s="445"/>
      <c r="I305" s="445"/>
      <c r="J305" s="445"/>
      <c r="K305" s="1136"/>
      <c r="L305" s="1136"/>
      <c r="M305" s="445"/>
      <c r="N305" s="445"/>
      <c r="O305" s="445"/>
      <c r="P305" s="445"/>
    </row>
    <row r="306" spans="1:16">
      <c r="A306" s="445"/>
      <c r="B306" s="445"/>
      <c r="C306" s="277"/>
      <c r="D306" s="445"/>
      <c r="E306" s="445"/>
      <c r="F306" s="445"/>
      <c r="G306" s="445"/>
      <c r="H306" s="445"/>
      <c r="I306" s="445"/>
      <c r="J306" s="445"/>
      <c r="K306" s="1136"/>
      <c r="L306" s="1136"/>
      <c r="M306" s="445"/>
      <c r="N306" s="445"/>
      <c r="O306" s="445"/>
      <c r="P306" s="445"/>
    </row>
    <row r="307" spans="1:16">
      <c r="A307" s="445"/>
      <c r="B307" s="445"/>
      <c r="C307" s="277"/>
      <c r="D307" s="445"/>
      <c r="E307" s="445"/>
      <c r="F307" s="445"/>
      <c r="G307" s="445"/>
      <c r="H307" s="445"/>
      <c r="I307" s="445"/>
      <c r="J307" s="445"/>
      <c r="K307" s="1136"/>
      <c r="L307" s="1136"/>
      <c r="M307" s="445"/>
      <c r="N307" s="445"/>
      <c r="O307" s="445"/>
      <c r="P307" s="445"/>
    </row>
    <row r="308" spans="1:16">
      <c r="A308" s="445"/>
      <c r="B308" s="445"/>
      <c r="C308" s="277"/>
      <c r="D308" s="445"/>
      <c r="E308" s="445"/>
      <c r="F308" s="445"/>
      <c r="G308" s="445"/>
      <c r="H308" s="445"/>
      <c r="I308" s="445"/>
      <c r="J308" s="445"/>
      <c r="K308" s="1136"/>
      <c r="L308" s="1136"/>
      <c r="M308" s="445"/>
      <c r="N308" s="445"/>
      <c r="O308" s="445"/>
      <c r="P308" s="445"/>
    </row>
    <row r="309" spans="1:16">
      <c r="A309" s="445"/>
      <c r="B309" s="445"/>
      <c r="C309" s="277"/>
      <c r="D309" s="445"/>
      <c r="E309" s="445"/>
      <c r="F309" s="445"/>
      <c r="G309" s="445"/>
      <c r="H309" s="445"/>
      <c r="I309" s="445"/>
      <c r="J309" s="445"/>
      <c r="K309" s="1136"/>
      <c r="L309" s="1136"/>
      <c r="M309" s="445"/>
      <c r="N309" s="445"/>
      <c r="O309" s="445"/>
      <c r="P309" s="445"/>
    </row>
    <row r="310" spans="1:16">
      <c r="A310" s="445"/>
      <c r="B310" s="445"/>
      <c r="C310" s="277"/>
      <c r="D310" s="445"/>
      <c r="E310" s="445"/>
      <c r="F310" s="445"/>
      <c r="G310" s="445"/>
      <c r="H310" s="445"/>
      <c r="I310" s="445"/>
      <c r="J310" s="445"/>
      <c r="K310" s="1136"/>
      <c r="L310" s="1136"/>
      <c r="M310" s="445"/>
      <c r="N310" s="445"/>
      <c r="O310" s="445"/>
      <c r="P310" s="445"/>
    </row>
    <row r="311" spans="1:16">
      <c r="A311" s="445"/>
      <c r="B311" s="445"/>
      <c r="C311" s="277"/>
      <c r="D311" s="445"/>
      <c r="E311" s="445"/>
      <c r="F311" s="445"/>
      <c r="G311" s="445"/>
      <c r="H311" s="445"/>
      <c r="I311" s="445"/>
      <c r="J311" s="445"/>
      <c r="K311" s="1136"/>
      <c r="L311" s="1136"/>
      <c r="M311" s="445"/>
      <c r="N311" s="445"/>
      <c r="O311" s="445"/>
      <c r="P311" s="445"/>
    </row>
    <row r="312" spans="1:16">
      <c r="A312" s="445"/>
      <c r="B312" s="445"/>
      <c r="C312" s="277"/>
      <c r="D312" s="445"/>
      <c r="E312" s="445"/>
      <c r="F312" s="445"/>
      <c r="G312" s="445"/>
      <c r="H312" s="445"/>
      <c r="I312" s="445"/>
      <c r="J312" s="445"/>
      <c r="K312" s="1136"/>
      <c r="L312" s="1136"/>
      <c r="M312" s="445"/>
      <c r="N312" s="445"/>
      <c r="O312" s="445"/>
      <c r="P312" s="445"/>
    </row>
    <row r="313" spans="1:16">
      <c r="A313" s="445"/>
      <c r="B313" s="445"/>
      <c r="C313" s="277"/>
      <c r="D313" s="445"/>
      <c r="E313" s="445"/>
      <c r="F313" s="445"/>
      <c r="G313" s="445"/>
      <c r="H313" s="445"/>
      <c r="I313" s="445"/>
      <c r="J313" s="445"/>
      <c r="K313" s="1136"/>
      <c r="L313" s="1136"/>
      <c r="M313" s="445"/>
      <c r="N313" s="445"/>
      <c r="O313" s="445"/>
      <c r="P313" s="445"/>
    </row>
    <row r="314" spans="1:16">
      <c r="A314" s="445"/>
      <c r="B314" s="445"/>
      <c r="C314" s="277"/>
      <c r="D314" s="445"/>
      <c r="E314" s="445"/>
      <c r="F314" s="445"/>
      <c r="G314" s="445"/>
      <c r="H314" s="445"/>
      <c r="I314" s="445"/>
      <c r="J314" s="445"/>
      <c r="K314" s="1136"/>
      <c r="L314" s="1136"/>
      <c r="M314" s="445"/>
      <c r="N314" s="445"/>
      <c r="O314" s="445"/>
      <c r="P314" s="445"/>
    </row>
    <row r="315" spans="1:16">
      <c r="A315" s="445"/>
      <c r="B315" s="445"/>
      <c r="C315" s="277"/>
      <c r="D315" s="445"/>
      <c r="E315" s="445"/>
      <c r="F315" s="445"/>
      <c r="G315" s="445"/>
      <c r="H315" s="445"/>
      <c r="I315" s="445"/>
      <c r="J315" s="445"/>
      <c r="K315" s="1136"/>
      <c r="L315" s="1136"/>
      <c r="M315" s="445"/>
      <c r="N315" s="445"/>
      <c r="O315" s="445"/>
      <c r="P315" s="445"/>
    </row>
    <row r="316" spans="1:16">
      <c r="A316" s="445"/>
      <c r="B316" s="445"/>
      <c r="C316" s="277"/>
      <c r="D316" s="445"/>
      <c r="E316" s="445"/>
      <c r="F316" s="445"/>
      <c r="G316" s="445"/>
      <c r="H316" s="445"/>
      <c r="I316" s="445"/>
      <c r="J316" s="445"/>
      <c r="K316" s="1136"/>
      <c r="L316" s="1136"/>
      <c r="M316" s="445"/>
      <c r="N316" s="445"/>
      <c r="O316" s="445"/>
      <c r="P316" s="445"/>
    </row>
    <row r="317" spans="1:16">
      <c r="A317" s="445"/>
      <c r="B317" s="445"/>
      <c r="C317" s="277"/>
      <c r="D317" s="445"/>
      <c r="E317" s="445"/>
      <c r="F317" s="445"/>
      <c r="G317" s="445"/>
      <c r="H317" s="445"/>
      <c r="I317" s="445"/>
      <c r="J317" s="445"/>
      <c r="K317" s="1136"/>
      <c r="L317" s="1136"/>
      <c r="M317" s="445"/>
      <c r="N317" s="445"/>
      <c r="O317" s="445"/>
      <c r="P317" s="445"/>
    </row>
    <row r="318" spans="1:16">
      <c r="A318" s="445"/>
      <c r="B318" s="445"/>
      <c r="C318" s="277"/>
      <c r="D318" s="445"/>
      <c r="E318" s="445"/>
      <c r="F318" s="445"/>
      <c r="G318" s="445"/>
      <c r="H318" s="445"/>
      <c r="I318" s="445"/>
      <c r="J318" s="445"/>
      <c r="K318" s="1136"/>
      <c r="L318" s="1136"/>
      <c r="M318" s="445"/>
      <c r="N318" s="445"/>
      <c r="O318" s="445"/>
      <c r="P318" s="445"/>
    </row>
    <row r="319" spans="1:16">
      <c r="A319" s="445"/>
      <c r="B319" s="445"/>
      <c r="C319" s="277"/>
      <c r="D319" s="445"/>
      <c r="E319" s="445"/>
      <c r="F319" s="445"/>
      <c r="G319" s="445"/>
      <c r="H319" s="445"/>
      <c r="I319" s="445"/>
      <c r="J319" s="445"/>
      <c r="K319" s="1136"/>
      <c r="L319" s="1136"/>
      <c r="M319" s="445"/>
      <c r="N319" s="445"/>
      <c r="O319" s="445"/>
      <c r="P319" s="445"/>
    </row>
    <row r="320" spans="1:16">
      <c r="A320" s="445"/>
      <c r="B320" s="445"/>
      <c r="C320" s="277"/>
      <c r="D320" s="445"/>
      <c r="E320" s="445"/>
      <c r="F320" s="445"/>
      <c r="G320" s="445"/>
      <c r="H320" s="445"/>
      <c r="I320" s="445"/>
      <c r="J320" s="445"/>
      <c r="K320" s="1136"/>
      <c r="L320" s="1136"/>
      <c r="M320" s="445"/>
      <c r="N320" s="445"/>
      <c r="O320" s="445"/>
      <c r="P320" s="445"/>
    </row>
    <row r="321" spans="1:16">
      <c r="A321" s="445"/>
      <c r="B321" s="445"/>
      <c r="C321" s="277"/>
      <c r="D321" s="445"/>
      <c r="E321" s="445"/>
      <c r="F321" s="445"/>
      <c r="G321" s="445"/>
      <c r="H321" s="445"/>
      <c r="I321" s="445"/>
      <c r="J321" s="445"/>
      <c r="K321" s="1136"/>
      <c r="L321" s="1136"/>
      <c r="M321" s="445"/>
      <c r="N321" s="445"/>
      <c r="O321" s="445"/>
      <c r="P321" s="445"/>
    </row>
    <row r="322" spans="1:16">
      <c r="A322" s="445"/>
      <c r="B322" s="445"/>
      <c r="C322" s="277"/>
      <c r="D322" s="445"/>
      <c r="E322" s="445"/>
      <c r="F322" s="445"/>
      <c r="G322" s="445"/>
      <c r="H322" s="445"/>
      <c r="I322" s="445"/>
      <c r="J322" s="445"/>
      <c r="K322" s="1136"/>
      <c r="L322" s="1136"/>
      <c r="M322" s="445"/>
      <c r="N322" s="445"/>
      <c r="O322" s="445"/>
      <c r="P322" s="445"/>
    </row>
    <row r="323" spans="1:16">
      <c r="A323" s="445"/>
      <c r="B323" s="445"/>
      <c r="C323" s="277"/>
      <c r="D323" s="445"/>
      <c r="E323" s="445"/>
      <c r="F323" s="445"/>
      <c r="G323" s="445"/>
      <c r="H323" s="445"/>
      <c r="I323" s="445"/>
      <c r="J323" s="445"/>
      <c r="K323" s="1136"/>
      <c r="L323" s="1136"/>
      <c r="M323" s="445"/>
      <c r="N323" s="445"/>
      <c r="O323" s="445"/>
      <c r="P323" s="445"/>
    </row>
    <row r="324" spans="1:16">
      <c r="A324" s="445"/>
      <c r="B324" s="445"/>
      <c r="C324" s="277"/>
      <c r="D324" s="445"/>
      <c r="E324" s="445"/>
      <c r="F324" s="445"/>
      <c r="G324" s="445"/>
      <c r="H324" s="445"/>
      <c r="I324" s="445"/>
      <c r="J324" s="445"/>
      <c r="K324" s="1136"/>
      <c r="L324" s="1136"/>
      <c r="M324" s="445"/>
      <c r="N324" s="445"/>
      <c r="O324" s="445"/>
      <c r="P324" s="445"/>
    </row>
    <row r="325" spans="1:16">
      <c r="A325" s="445"/>
      <c r="B325" s="445"/>
      <c r="C325" s="277"/>
      <c r="D325" s="445"/>
      <c r="E325" s="445"/>
      <c r="F325" s="445"/>
      <c r="G325" s="445"/>
      <c r="H325" s="445"/>
      <c r="I325" s="445"/>
      <c r="J325" s="445"/>
      <c r="K325" s="1136"/>
      <c r="L325" s="1136"/>
      <c r="M325" s="445"/>
      <c r="N325" s="445"/>
      <c r="O325" s="445"/>
      <c r="P325" s="445"/>
    </row>
    <row r="326" spans="1:16">
      <c r="A326" s="445"/>
      <c r="B326" s="445"/>
      <c r="C326" s="277"/>
      <c r="D326" s="445"/>
      <c r="E326" s="445"/>
      <c r="F326" s="445"/>
      <c r="G326" s="445"/>
      <c r="H326" s="445"/>
      <c r="I326" s="445"/>
      <c r="J326" s="445"/>
      <c r="K326" s="1136"/>
      <c r="L326" s="1136"/>
      <c r="M326" s="445"/>
      <c r="N326" s="445"/>
      <c r="O326" s="445"/>
      <c r="P326" s="445"/>
    </row>
    <row r="327" spans="1:16">
      <c r="A327" s="445"/>
      <c r="B327" s="445"/>
      <c r="C327" s="277"/>
      <c r="D327" s="445"/>
      <c r="E327" s="445"/>
      <c r="F327" s="445"/>
      <c r="G327" s="445"/>
      <c r="H327" s="445"/>
      <c r="I327" s="445"/>
      <c r="J327" s="445"/>
      <c r="K327" s="1136"/>
      <c r="L327" s="1136"/>
      <c r="M327" s="445"/>
      <c r="N327" s="445"/>
      <c r="O327" s="445"/>
      <c r="P327" s="445"/>
    </row>
    <row r="328" spans="1:16">
      <c r="A328" s="445"/>
      <c r="B328" s="445"/>
      <c r="C328" s="277"/>
      <c r="D328" s="445"/>
      <c r="E328" s="445"/>
      <c r="F328" s="445"/>
      <c r="G328" s="445"/>
      <c r="H328" s="445"/>
      <c r="I328" s="445"/>
      <c r="J328" s="445"/>
      <c r="K328" s="1136"/>
      <c r="L328" s="1136"/>
      <c r="M328" s="445"/>
      <c r="N328" s="445"/>
      <c r="O328" s="445"/>
      <c r="P328" s="445"/>
    </row>
    <row r="329" spans="1:16">
      <c r="A329" s="445"/>
      <c r="B329" s="445"/>
      <c r="C329" s="277"/>
      <c r="D329" s="445"/>
      <c r="E329" s="445"/>
      <c r="F329" s="445"/>
      <c r="G329" s="445"/>
      <c r="H329" s="445"/>
      <c r="I329" s="445"/>
      <c r="J329" s="445"/>
      <c r="K329" s="1136"/>
      <c r="L329" s="1136"/>
      <c r="M329" s="445"/>
      <c r="N329" s="445"/>
      <c r="O329" s="445"/>
      <c r="P329" s="445"/>
    </row>
    <row r="330" spans="1:16">
      <c r="A330" s="445"/>
      <c r="B330" s="445"/>
      <c r="C330" s="277"/>
      <c r="D330" s="445"/>
      <c r="E330" s="445"/>
      <c r="F330" s="445"/>
      <c r="G330" s="445"/>
      <c r="H330" s="445"/>
      <c r="I330" s="445"/>
      <c r="J330" s="445"/>
      <c r="K330" s="1136"/>
      <c r="L330" s="1136"/>
      <c r="M330" s="445"/>
      <c r="N330" s="445"/>
      <c r="O330" s="445"/>
      <c r="P330" s="445"/>
    </row>
    <row r="331" spans="1:16">
      <c r="A331" s="445"/>
      <c r="B331" s="445"/>
      <c r="C331" s="277"/>
      <c r="D331" s="445"/>
      <c r="E331" s="445"/>
      <c r="F331" s="445"/>
      <c r="G331" s="445"/>
      <c r="H331" s="445"/>
      <c r="I331" s="445"/>
      <c r="J331" s="445"/>
      <c r="K331" s="1136"/>
      <c r="L331" s="1136"/>
      <c r="M331" s="445"/>
      <c r="N331" s="445"/>
      <c r="O331" s="445"/>
      <c r="P331" s="445"/>
    </row>
    <row r="332" spans="1:16">
      <c r="A332" s="445"/>
      <c r="B332" s="445"/>
      <c r="C332" s="277"/>
      <c r="D332" s="445"/>
      <c r="E332" s="445"/>
      <c r="F332" s="445"/>
      <c r="G332" s="445"/>
      <c r="H332" s="445"/>
      <c r="I332" s="445"/>
      <c r="J332" s="445"/>
      <c r="K332" s="1136"/>
      <c r="L332" s="1136"/>
      <c r="M332" s="445"/>
      <c r="N332" s="445"/>
      <c r="O332" s="445"/>
      <c r="P332" s="445"/>
    </row>
    <row r="333" spans="1:16">
      <c r="A333" s="445"/>
      <c r="B333" s="445"/>
      <c r="C333" s="277"/>
      <c r="D333" s="445"/>
      <c r="E333" s="445"/>
      <c r="F333" s="445"/>
      <c r="G333" s="445"/>
      <c r="H333" s="445"/>
      <c r="I333" s="445"/>
      <c r="J333" s="445"/>
      <c r="K333" s="1136"/>
      <c r="L333" s="1136"/>
      <c r="M333" s="445"/>
      <c r="N333" s="445"/>
      <c r="O333" s="445"/>
      <c r="P333" s="445"/>
    </row>
    <row r="334" spans="1:16">
      <c r="A334" s="445"/>
      <c r="B334" s="445"/>
      <c r="C334" s="277"/>
      <c r="D334" s="445"/>
      <c r="E334" s="445"/>
      <c r="F334" s="445"/>
      <c r="G334" s="445"/>
      <c r="H334" s="445"/>
      <c r="I334" s="445"/>
      <c r="J334" s="445"/>
      <c r="K334" s="1136"/>
      <c r="L334" s="1136"/>
      <c r="M334" s="445"/>
      <c r="N334" s="445"/>
      <c r="O334" s="445"/>
      <c r="P334" s="445"/>
    </row>
    <row r="335" spans="1:16">
      <c r="A335" s="445"/>
      <c r="B335" s="445"/>
      <c r="C335" s="277"/>
      <c r="D335" s="445"/>
      <c r="E335" s="445"/>
      <c r="F335" s="445"/>
      <c r="G335" s="445"/>
      <c r="H335" s="445"/>
      <c r="I335" s="445"/>
      <c r="J335" s="445"/>
      <c r="K335" s="1136"/>
      <c r="L335" s="1136"/>
      <c r="M335" s="445"/>
      <c r="N335" s="445"/>
      <c r="O335" s="445"/>
      <c r="P335" s="445"/>
    </row>
    <row r="336" spans="1:16">
      <c r="A336" s="445"/>
      <c r="B336" s="445"/>
      <c r="C336" s="277"/>
      <c r="D336" s="445"/>
      <c r="E336" s="445"/>
      <c r="F336" s="445"/>
      <c r="G336" s="445"/>
      <c r="H336" s="445"/>
      <c r="I336" s="445"/>
      <c r="J336" s="445"/>
      <c r="K336" s="1136"/>
      <c r="L336" s="1136"/>
      <c r="M336" s="445"/>
      <c r="N336" s="445"/>
      <c r="O336" s="445"/>
      <c r="P336" s="445"/>
    </row>
    <row r="337" spans="1:16">
      <c r="A337" s="445"/>
      <c r="B337" s="445"/>
      <c r="C337" s="277"/>
      <c r="D337" s="445"/>
      <c r="E337" s="445"/>
      <c r="F337" s="445"/>
      <c r="G337" s="445"/>
      <c r="H337" s="445"/>
      <c r="I337" s="445"/>
      <c r="J337" s="445"/>
      <c r="K337" s="1136"/>
      <c r="L337" s="1136"/>
      <c r="M337" s="445"/>
      <c r="N337" s="445"/>
      <c r="O337" s="445"/>
      <c r="P337" s="445"/>
    </row>
    <row r="338" spans="1:16">
      <c r="A338" s="445"/>
      <c r="B338" s="445"/>
      <c r="C338" s="277"/>
      <c r="D338" s="445"/>
      <c r="E338" s="445"/>
      <c r="F338" s="445"/>
      <c r="G338" s="445"/>
      <c r="H338" s="445"/>
      <c r="I338" s="445"/>
      <c r="J338" s="445"/>
      <c r="K338" s="1136"/>
      <c r="L338" s="1136"/>
      <c r="M338" s="445"/>
      <c r="N338" s="445"/>
      <c r="O338" s="445"/>
      <c r="P338" s="445"/>
    </row>
    <row r="339" spans="1:16">
      <c r="A339" s="445"/>
      <c r="B339" s="445"/>
      <c r="C339" s="277"/>
      <c r="D339" s="445"/>
      <c r="E339" s="445"/>
      <c r="F339" s="445"/>
      <c r="G339" s="445"/>
      <c r="H339" s="445"/>
      <c r="I339" s="445"/>
      <c r="J339" s="445"/>
      <c r="K339" s="1136"/>
      <c r="L339" s="1136"/>
      <c r="M339" s="445"/>
      <c r="N339" s="445"/>
      <c r="O339" s="445"/>
      <c r="P339" s="445"/>
    </row>
    <row r="340" spans="1:16">
      <c r="A340" s="445"/>
      <c r="B340" s="445"/>
      <c r="C340" s="277"/>
      <c r="D340" s="445"/>
      <c r="E340" s="445"/>
      <c r="F340" s="445"/>
      <c r="G340" s="445"/>
      <c r="H340" s="445"/>
      <c r="I340" s="445"/>
      <c r="J340" s="445"/>
      <c r="K340" s="1136"/>
      <c r="L340" s="1136"/>
      <c r="M340" s="445"/>
      <c r="N340" s="445"/>
      <c r="O340" s="445"/>
      <c r="P340" s="445"/>
    </row>
    <row r="341" spans="1:16">
      <c r="A341" s="445"/>
      <c r="B341" s="445"/>
      <c r="C341" s="277"/>
      <c r="D341" s="445"/>
      <c r="E341" s="445"/>
      <c r="F341" s="445"/>
      <c r="G341" s="445"/>
      <c r="H341" s="445"/>
      <c r="I341" s="445"/>
      <c r="J341" s="445"/>
      <c r="K341" s="1136"/>
      <c r="L341" s="1136"/>
      <c r="M341" s="445"/>
      <c r="N341" s="445"/>
      <c r="O341" s="445"/>
      <c r="P341" s="445"/>
    </row>
    <row r="342" spans="1:16">
      <c r="A342" s="445"/>
      <c r="B342" s="445"/>
      <c r="C342" s="277"/>
      <c r="D342" s="445"/>
      <c r="E342" s="445"/>
      <c r="F342" s="445"/>
      <c r="G342" s="445"/>
      <c r="H342" s="445"/>
      <c r="I342" s="445"/>
      <c r="J342" s="445"/>
      <c r="K342" s="1136"/>
      <c r="L342" s="1136"/>
      <c r="M342" s="445"/>
      <c r="N342" s="445"/>
      <c r="O342" s="445"/>
      <c r="P342" s="445"/>
    </row>
    <row r="343" spans="1:16">
      <c r="A343" s="445"/>
      <c r="B343" s="445"/>
      <c r="C343" s="277"/>
      <c r="D343" s="445"/>
      <c r="E343" s="445"/>
      <c r="F343" s="445"/>
      <c r="G343" s="445"/>
      <c r="H343" s="445"/>
      <c r="I343" s="445"/>
      <c r="J343" s="445"/>
      <c r="K343" s="1136"/>
      <c r="L343" s="1136"/>
      <c r="M343" s="445"/>
      <c r="N343" s="445"/>
      <c r="O343" s="445"/>
      <c r="P343" s="445"/>
    </row>
    <row r="344" spans="1:16">
      <c r="A344" s="445"/>
      <c r="B344" s="445"/>
      <c r="C344" s="277"/>
      <c r="D344" s="445"/>
      <c r="E344" s="445"/>
      <c r="F344" s="445"/>
      <c r="G344" s="445"/>
      <c r="H344" s="445"/>
      <c r="I344" s="445"/>
      <c r="J344" s="445"/>
      <c r="K344" s="1136"/>
      <c r="L344" s="1136"/>
      <c r="M344" s="445"/>
      <c r="N344" s="445"/>
      <c r="O344" s="445"/>
      <c r="P344" s="445"/>
    </row>
    <row r="345" spans="1:16">
      <c r="A345" s="445"/>
      <c r="B345" s="445"/>
      <c r="C345" s="277"/>
      <c r="D345" s="445"/>
      <c r="E345" s="445"/>
      <c r="F345" s="445"/>
      <c r="G345" s="445"/>
      <c r="H345" s="445"/>
      <c r="I345" s="445"/>
      <c r="J345" s="445"/>
      <c r="K345" s="1136"/>
      <c r="L345" s="1136"/>
      <c r="M345" s="445"/>
      <c r="N345" s="445"/>
      <c r="O345" s="445"/>
      <c r="P345" s="445"/>
    </row>
    <row r="346" spans="1:16">
      <c r="A346" s="445"/>
      <c r="B346" s="445"/>
      <c r="C346" s="277"/>
      <c r="D346" s="445"/>
      <c r="E346" s="445"/>
      <c r="F346" s="445"/>
      <c r="G346" s="445"/>
      <c r="H346" s="445"/>
      <c r="I346" s="445"/>
      <c r="J346" s="445"/>
      <c r="K346" s="1136"/>
      <c r="L346" s="1136"/>
      <c r="M346" s="445"/>
      <c r="N346" s="445"/>
      <c r="O346" s="445"/>
      <c r="P346" s="445"/>
    </row>
    <row r="347" spans="1:16">
      <c r="A347" s="445"/>
      <c r="B347" s="445"/>
      <c r="C347" s="277"/>
      <c r="D347" s="445"/>
      <c r="E347" s="445"/>
      <c r="F347" s="445"/>
      <c r="G347" s="445"/>
      <c r="H347" s="445"/>
      <c r="I347" s="445"/>
      <c r="J347" s="445"/>
      <c r="K347" s="1136"/>
      <c r="L347" s="1136"/>
      <c r="M347" s="445"/>
      <c r="N347" s="445"/>
      <c r="O347" s="445"/>
      <c r="P347" s="445"/>
    </row>
    <row r="348" spans="1:16">
      <c r="A348" s="445"/>
      <c r="B348" s="445"/>
      <c r="C348" s="277"/>
      <c r="D348" s="445"/>
      <c r="E348" s="445"/>
      <c r="F348" s="445"/>
      <c r="G348" s="445"/>
      <c r="H348" s="445"/>
      <c r="I348" s="445"/>
      <c r="J348" s="445"/>
      <c r="K348" s="1136"/>
      <c r="L348" s="1136"/>
      <c r="M348" s="445"/>
      <c r="N348" s="445"/>
      <c r="O348" s="445"/>
      <c r="P348" s="445"/>
    </row>
    <row r="349" spans="1:16">
      <c r="A349" s="445"/>
      <c r="B349" s="445"/>
      <c r="C349" s="277"/>
      <c r="D349" s="445"/>
      <c r="E349" s="445"/>
      <c r="F349" s="445"/>
      <c r="G349" s="445"/>
      <c r="H349" s="445"/>
      <c r="I349" s="445"/>
      <c r="J349" s="445"/>
      <c r="K349" s="1136"/>
      <c r="L349" s="1136"/>
      <c r="M349" s="445"/>
      <c r="N349" s="445"/>
      <c r="O349" s="445"/>
      <c r="P349" s="445"/>
    </row>
    <row r="350" spans="1:16">
      <c r="A350" s="445"/>
      <c r="B350" s="445"/>
      <c r="C350" s="277"/>
      <c r="D350" s="445"/>
      <c r="E350" s="445"/>
      <c r="F350" s="445"/>
      <c r="G350" s="445"/>
      <c r="H350" s="445"/>
      <c r="I350" s="445"/>
      <c r="J350" s="445"/>
      <c r="K350" s="1136"/>
      <c r="L350" s="1136"/>
      <c r="M350" s="445"/>
      <c r="N350" s="445"/>
      <c r="O350" s="445"/>
      <c r="P350" s="445"/>
    </row>
    <row r="351" spans="1:16">
      <c r="A351" s="445"/>
      <c r="B351" s="445"/>
      <c r="C351" s="277"/>
      <c r="D351" s="445"/>
      <c r="E351" s="445"/>
      <c r="F351" s="445"/>
      <c r="G351" s="445"/>
      <c r="H351" s="445"/>
      <c r="I351" s="445"/>
      <c r="J351" s="445"/>
      <c r="K351" s="1136"/>
      <c r="L351" s="1136"/>
      <c r="M351" s="445"/>
      <c r="N351" s="445"/>
      <c r="O351" s="445"/>
      <c r="P351" s="445"/>
    </row>
    <row r="352" spans="1:16">
      <c r="A352" s="445"/>
      <c r="B352" s="445"/>
      <c r="C352" s="277"/>
      <c r="D352" s="445"/>
      <c r="E352" s="445"/>
      <c r="F352" s="445"/>
      <c r="G352" s="445"/>
      <c r="H352" s="445"/>
      <c r="I352" s="445"/>
      <c r="J352" s="445"/>
      <c r="K352" s="1136"/>
      <c r="L352" s="1136"/>
      <c r="M352" s="445"/>
      <c r="N352" s="445"/>
      <c r="O352" s="445"/>
      <c r="P352" s="445"/>
    </row>
    <row r="353" spans="1:16">
      <c r="A353" s="445"/>
      <c r="B353" s="445"/>
      <c r="C353" s="277"/>
      <c r="D353" s="445"/>
      <c r="E353" s="445"/>
      <c r="F353" s="445"/>
      <c r="G353" s="445"/>
      <c r="H353" s="445"/>
      <c r="I353" s="445"/>
      <c r="J353" s="445"/>
      <c r="K353" s="1136"/>
      <c r="L353" s="1136"/>
      <c r="M353" s="445"/>
      <c r="N353" s="445"/>
      <c r="O353" s="445"/>
      <c r="P353" s="445"/>
    </row>
    <row r="354" spans="1:16">
      <c r="A354" s="445"/>
      <c r="B354" s="445"/>
      <c r="C354" s="277"/>
      <c r="D354" s="445"/>
      <c r="E354" s="445"/>
      <c r="F354" s="445"/>
      <c r="G354" s="445"/>
      <c r="H354" s="445"/>
      <c r="I354" s="445"/>
      <c r="J354" s="445"/>
      <c r="K354" s="1136"/>
      <c r="L354" s="1136"/>
      <c r="M354" s="445"/>
      <c r="N354" s="445"/>
      <c r="O354" s="445"/>
      <c r="P354" s="445"/>
    </row>
    <row r="355" spans="1:16">
      <c r="A355" s="445"/>
      <c r="B355" s="445"/>
      <c r="C355" s="277"/>
      <c r="D355" s="445"/>
      <c r="E355" s="445"/>
      <c r="F355" s="445"/>
      <c r="G355" s="445"/>
      <c r="H355" s="445"/>
      <c r="I355" s="445"/>
      <c r="J355" s="445"/>
      <c r="K355" s="1136"/>
      <c r="L355" s="1136"/>
      <c r="M355" s="445"/>
      <c r="N355" s="445"/>
      <c r="O355" s="445"/>
      <c r="P355" s="445"/>
    </row>
    <row r="356" spans="1:16">
      <c r="A356" s="445"/>
      <c r="B356" s="445"/>
      <c r="C356" s="277"/>
      <c r="D356" s="445"/>
      <c r="E356" s="445"/>
      <c r="F356" s="445"/>
      <c r="G356" s="445"/>
      <c r="H356" s="445"/>
      <c r="I356" s="445"/>
      <c r="J356" s="445"/>
      <c r="K356" s="1136"/>
      <c r="L356" s="1136"/>
      <c r="M356" s="445"/>
      <c r="N356" s="445"/>
      <c r="O356" s="445"/>
      <c r="P356" s="445"/>
    </row>
    <row r="357" spans="1:16">
      <c r="A357" s="445"/>
      <c r="B357" s="445"/>
      <c r="C357" s="277"/>
      <c r="D357" s="445"/>
      <c r="E357" s="445"/>
      <c r="F357" s="445"/>
      <c r="G357" s="445"/>
      <c r="H357" s="445"/>
      <c r="I357" s="445"/>
      <c r="J357" s="445"/>
      <c r="K357" s="1136"/>
      <c r="L357" s="1136"/>
      <c r="M357" s="445"/>
      <c r="N357" s="445"/>
      <c r="O357" s="445"/>
      <c r="P357" s="445"/>
    </row>
    <row r="358" spans="1:16">
      <c r="A358" s="445"/>
      <c r="B358" s="445"/>
      <c r="C358" s="277"/>
      <c r="D358" s="445"/>
      <c r="E358" s="445"/>
      <c r="F358" s="445"/>
      <c r="G358" s="445"/>
      <c r="H358" s="445"/>
      <c r="I358" s="445"/>
      <c r="J358" s="445"/>
      <c r="K358" s="1136"/>
      <c r="L358" s="1136"/>
      <c r="M358" s="445"/>
      <c r="N358" s="445"/>
      <c r="O358" s="445"/>
      <c r="P358" s="445"/>
    </row>
    <row r="359" spans="1:16">
      <c r="A359" s="445"/>
      <c r="B359" s="445"/>
      <c r="C359" s="277"/>
      <c r="D359" s="445"/>
      <c r="E359" s="445"/>
      <c r="F359" s="445"/>
      <c r="G359" s="445"/>
      <c r="H359" s="445"/>
      <c r="I359" s="445"/>
      <c r="J359" s="445"/>
      <c r="K359" s="1136"/>
      <c r="L359" s="1136"/>
      <c r="M359" s="445"/>
      <c r="N359" s="445"/>
      <c r="O359" s="445"/>
      <c r="P359" s="445"/>
    </row>
    <row r="360" spans="1:16">
      <c r="A360" s="445"/>
      <c r="B360" s="445"/>
      <c r="C360" s="277"/>
      <c r="D360" s="445"/>
      <c r="E360" s="445"/>
      <c r="F360" s="445"/>
      <c r="G360" s="445"/>
      <c r="H360" s="445"/>
      <c r="I360" s="445"/>
      <c r="J360" s="445"/>
      <c r="K360" s="1136"/>
      <c r="L360" s="1136"/>
      <c r="M360" s="445"/>
      <c r="N360" s="445"/>
      <c r="O360" s="445"/>
      <c r="P360" s="445"/>
    </row>
    <row r="361" spans="1:16">
      <c r="A361" s="445"/>
      <c r="B361" s="445"/>
      <c r="C361" s="277"/>
      <c r="D361" s="445"/>
      <c r="E361" s="445"/>
      <c r="F361" s="445"/>
      <c r="G361" s="445"/>
      <c r="H361" s="445"/>
      <c r="I361" s="445"/>
      <c r="J361" s="445"/>
      <c r="K361" s="1136"/>
      <c r="L361" s="1136"/>
      <c r="M361" s="445"/>
      <c r="N361" s="445"/>
      <c r="O361" s="445"/>
      <c r="P361" s="445"/>
    </row>
    <row r="362" spans="1:16">
      <c r="A362" s="445"/>
      <c r="B362" s="445"/>
      <c r="C362" s="277"/>
      <c r="D362" s="445"/>
      <c r="E362" s="445"/>
      <c r="F362" s="445"/>
      <c r="G362" s="445"/>
      <c r="H362" s="445"/>
      <c r="I362" s="445"/>
      <c r="J362" s="445"/>
      <c r="K362" s="1136"/>
      <c r="L362" s="1136"/>
      <c r="M362" s="445"/>
      <c r="N362" s="445"/>
      <c r="O362" s="445"/>
      <c r="P362" s="445"/>
    </row>
    <row r="363" spans="1:16">
      <c r="A363" s="445"/>
      <c r="B363" s="445"/>
      <c r="C363" s="277"/>
      <c r="D363" s="445"/>
      <c r="E363" s="445"/>
      <c r="F363" s="445"/>
      <c r="G363" s="445"/>
      <c r="H363" s="445"/>
      <c r="I363" s="445"/>
      <c r="J363" s="445"/>
      <c r="K363" s="1136"/>
      <c r="L363" s="1136"/>
      <c r="M363" s="445"/>
      <c r="N363" s="445"/>
      <c r="O363" s="445"/>
      <c r="P363" s="445"/>
    </row>
    <row r="364" spans="1:16">
      <c r="A364" s="445"/>
      <c r="B364" s="445"/>
      <c r="C364" s="277"/>
      <c r="D364" s="445"/>
      <c r="E364" s="445"/>
      <c r="F364" s="445"/>
      <c r="G364" s="445"/>
      <c r="H364" s="445"/>
      <c r="I364" s="445"/>
      <c r="J364" s="445"/>
      <c r="K364" s="1136"/>
      <c r="L364" s="1136"/>
      <c r="M364" s="445"/>
      <c r="N364" s="445"/>
      <c r="O364" s="445"/>
      <c r="P364" s="445"/>
    </row>
    <row r="365" spans="1:16">
      <c r="A365" s="445"/>
      <c r="B365" s="445"/>
      <c r="C365" s="277"/>
      <c r="D365" s="445"/>
      <c r="E365" s="445"/>
      <c r="F365" s="445"/>
      <c r="G365" s="445"/>
      <c r="H365" s="445"/>
      <c r="I365" s="445"/>
      <c r="J365" s="445"/>
      <c r="K365" s="1136"/>
      <c r="L365" s="1136"/>
      <c r="M365" s="445"/>
      <c r="N365" s="445"/>
      <c r="O365" s="445"/>
      <c r="P365" s="445"/>
    </row>
    <row r="366" spans="1:16">
      <c r="A366" s="445"/>
      <c r="B366" s="445"/>
      <c r="C366" s="277"/>
      <c r="D366" s="445"/>
      <c r="E366" s="445"/>
      <c r="F366" s="445"/>
      <c r="G366" s="445"/>
      <c r="H366" s="445"/>
      <c r="I366" s="445"/>
      <c r="J366" s="445"/>
      <c r="K366" s="1136"/>
      <c r="L366" s="1136"/>
      <c r="M366" s="445"/>
      <c r="N366" s="445"/>
      <c r="O366" s="445"/>
      <c r="P366" s="445"/>
    </row>
    <row r="367" spans="1:16">
      <c r="A367" s="445"/>
      <c r="B367" s="445"/>
      <c r="C367" s="277"/>
      <c r="D367" s="445"/>
      <c r="E367" s="445"/>
      <c r="F367" s="445"/>
      <c r="G367" s="445"/>
      <c r="H367" s="445"/>
      <c r="I367" s="445"/>
      <c r="J367" s="445"/>
      <c r="K367" s="1136"/>
      <c r="L367" s="1136"/>
      <c r="M367" s="445"/>
      <c r="N367" s="445"/>
      <c r="O367" s="445"/>
      <c r="P367" s="445"/>
    </row>
    <row r="368" spans="1:16">
      <c r="A368" s="445"/>
      <c r="B368" s="445"/>
      <c r="C368" s="277"/>
      <c r="D368" s="445"/>
      <c r="E368" s="445"/>
      <c r="F368" s="445"/>
      <c r="G368" s="445"/>
      <c r="H368" s="445"/>
      <c r="I368" s="445"/>
      <c r="J368" s="445"/>
      <c r="K368" s="1136"/>
      <c r="L368" s="1136"/>
      <c r="M368" s="445"/>
      <c r="N368" s="445"/>
      <c r="O368" s="445"/>
      <c r="P368" s="445"/>
    </row>
    <row r="369" spans="1:16">
      <c r="A369" s="445"/>
      <c r="B369" s="445"/>
      <c r="C369" s="277"/>
      <c r="D369" s="445"/>
      <c r="E369" s="445"/>
      <c r="F369" s="445"/>
      <c r="G369" s="445"/>
      <c r="H369" s="445"/>
      <c r="I369" s="445"/>
      <c r="J369" s="445"/>
      <c r="K369" s="1136"/>
      <c r="L369" s="1136"/>
      <c r="M369" s="445"/>
      <c r="N369" s="445"/>
      <c r="O369" s="445"/>
      <c r="P369" s="445"/>
    </row>
    <row r="370" spans="1:16">
      <c r="A370" s="445"/>
      <c r="B370" s="445"/>
      <c r="C370" s="277"/>
      <c r="D370" s="445"/>
      <c r="E370" s="445"/>
      <c r="F370" s="445"/>
      <c r="G370" s="445"/>
      <c r="H370" s="445"/>
      <c r="I370" s="445"/>
      <c r="J370" s="445"/>
      <c r="K370" s="1136"/>
      <c r="L370" s="1136"/>
      <c r="M370" s="445"/>
      <c r="N370" s="445"/>
      <c r="O370" s="445"/>
      <c r="P370" s="445"/>
    </row>
    <row r="371" spans="1:16">
      <c r="A371" s="445"/>
      <c r="B371" s="445"/>
      <c r="C371" s="277"/>
      <c r="D371" s="445"/>
      <c r="E371" s="445"/>
      <c r="F371" s="445"/>
      <c r="G371" s="445"/>
      <c r="H371" s="445"/>
      <c r="I371" s="445"/>
      <c r="J371" s="445"/>
      <c r="K371" s="1136"/>
      <c r="L371" s="1136"/>
      <c r="M371" s="445"/>
      <c r="N371" s="445"/>
      <c r="O371" s="445"/>
      <c r="P371" s="445"/>
    </row>
    <row r="372" spans="1:16">
      <c r="A372" s="445"/>
      <c r="B372" s="445"/>
      <c r="C372" s="277"/>
      <c r="D372" s="445"/>
      <c r="E372" s="445"/>
      <c r="F372" s="445"/>
      <c r="G372" s="445"/>
      <c r="H372" s="445"/>
      <c r="I372" s="445"/>
      <c r="J372" s="445"/>
      <c r="K372" s="1136"/>
      <c r="L372" s="1136"/>
      <c r="M372" s="445"/>
      <c r="N372" s="445"/>
      <c r="O372" s="445"/>
      <c r="P372" s="445"/>
    </row>
    <row r="373" spans="1:16">
      <c r="A373" s="445"/>
      <c r="B373" s="445"/>
      <c r="C373" s="277"/>
      <c r="D373" s="445"/>
      <c r="E373" s="445"/>
      <c r="F373" s="445"/>
      <c r="G373" s="445"/>
      <c r="H373" s="445"/>
      <c r="I373" s="445"/>
      <c r="J373" s="445"/>
      <c r="K373" s="1136"/>
      <c r="L373" s="1136"/>
      <c r="M373" s="445"/>
      <c r="N373" s="445"/>
      <c r="O373" s="445"/>
      <c r="P373" s="445"/>
    </row>
    <row r="374" spans="1:16">
      <c r="A374" s="445"/>
      <c r="B374" s="445"/>
      <c r="C374" s="277"/>
      <c r="D374" s="445"/>
      <c r="E374" s="445"/>
      <c r="F374" s="445"/>
      <c r="G374" s="445"/>
      <c r="H374" s="445"/>
      <c r="I374" s="445"/>
      <c r="J374" s="445"/>
      <c r="K374" s="1136"/>
      <c r="L374" s="1136"/>
      <c r="M374" s="445"/>
      <c r="N374" s="445"/>
      <c r="O374" s="445"/>
      <c r="P374" s="445"/>
    </row>
    <row r="375" spans="1:16">
      <c r="A375" s="445"/>
      <c r="B375" s="445"/>
      <c r="C375" s="277"/>
      <c r="D375" s="445"/>
      <c r="E375" s="445"/>
      <c r="F375" s="445"/>
      <c r="G375" s="445"/>
      <c r="H375" s="445"/>
      <c r="I375" s="445"/>
      <c r="J375" s="445"/>
      <c r="K375" s="1136"/>
      <c r="L375" s="1136"/>
      <c r="M375" s="445"/>
      <c r="N375" s="445"/>
      <c r="O375" s="445"/>
      <c r="P375" s="445"/>
    </row>
    <row r="376" spans="1:16">
      <c r="A376" s="445"/>
      <c r="B376" s="445"/>
      <c r="C376" s="277"/>
      <c r="D376" s="445"/>
      <c r="E376" s="445"/>
      <c r="F376" s="445"/>
      <c r="G376" s="445"/>
      <c r="H376" s="445"/>
      <c r="I376" s="445"/>
      <c r="J376" s="445"/>
      <c r="K376" s="1136"/>
      <c r="L376" s="1136"/>
      <c r="M376" s="445"/>
      <c r="N376" s="445"/>
      <c r="O376" s="445"/>
      <c r="P376" s="445"/>
    </row>
    <row r="377" spans="1:16">
      <c r="A377" s="445"/>
      <c r="B377" s="445"/>
      <c r="C377" s="277"/>
      <c r="D377" s="445"/>
      <c r="E377" s="445"/>
      <c r="F377" s="445"/>
      <c r="G377" s="445"/>
      <c r="H377" s="445"/>
      <c r="I377" s="445"/>
      <c r="J377" s="445"/>
      <c r="K377" s="1136"/>
      <c r="L377" s="1136"/>
      <c r="M377" s="445"/>
      <c r="N377" s="445"/>
      <c r="O377" s="445"/>
      <c r="P377" s="445"/>
    </row>
    <row r="378" spans="1:16">
      <c r="A378" s="445"/>
      <c r="B378" s="445"/>
      <c r="C378" s="277"/>
      <c r="D378" s="445"/>
      <c r="E378" s="445"/>
      <c r="F378" s="445"/>
      <c r="G378" s="445"/>
      <c r="H378" s="445"/>
      <c r="I378" s="445"/>
      <c r="J378" s="445"/>
      <c r="K378" s="1136"/>
      <c r="L378" s="1136"/>
      <c r="M378" s="445"/>
      <c r="N378" s="445"/>
      <c r="O378" s="445"/>
      <c r="P378" s="445"/>
    </row>
    <row r="379" spans="1:16">
      <c r="A379" s="445"/>
      <c r="B379" s="445"/>
      <c r="C379" s="277"/>
      <c r="D379" s="445"/>
      <c r="E379" s="445"/>
      <c r="F379" s="445"/>
      <c r="G379" s="445"/>
      <c r="H379" s="445"/>
      <c r="I379" s="445"/>
      <c r="J379" s="445"/>
      <c r="K379" s="1136"/>
      <c r="L379" s="1136"/>
      <c r="M379" s="445"/>
      <c r="N379" s="445"/>
      <c r="O379" s="445"/>
      <c r="P379" s="445"/>
    </row>
    <row r="380" spans="1:16">
      <c r="A380" s="445"/>
      <c r="B380" s="445"/>
      <c r="C380" s="277"/>
      <c r="D380" s="445"/>
      <c r="E380" s="445"/>
      <c r="F380" s="445"/>
      <c r="G380" s="445"/>
      <c r="H380" s="445"/>
      <c r="I380" s="445"/>
      <c r="J380" s="445"/>
      <c r="K380" s="1136"/>
      <c r="L380" s="1136"/>
      <c r="M380" s="445"/>
      <c r="N380" s="445"/>
      <c r="O380" s="445"/>
      <c r="P380" s="445"/>
    </row>
    <row r="381" spans="1:16">
      <c r="A381" s="445"/>
      <c r="B381" s="445"/>
      <c r="C381" s="277"/>
      <c r="D381" s="445"/>
      <c r="E381" s="445"/>
      <c r="F381" s="445"/>
      <c r="G381" s="445"/>
      <c r="H381" s="445"/>
      <c r="I381" s="445"/>
      <c r="J381" s="445"/>
      <c r="K381" s="1136"/>
      <c r="L381" s="1136"/>
      <c r="M381" s="445"/>
      <c r="N381" s="445"/>
      <c r="O381" s="445"/>
      <c r="P381" s="445"/>
    </row>
    <row r="382" spans="1:16">
      <c r="A382" s="445"/>
      <c r="B382" s="445"/>
      <c r="C382" s="277"/>
      <c r="D382" s="445"/>
      <c r="E382" s="445"/>
      <c r="F382" s="445"/>
      <c r="G382" s="445"/>
      <c r="H382" s="445"/>
      <c r="I382" s="445"/>
      <c r="J382" s="445"/>
      <c r="K382" s="1136"/>
      <c r="L382" s="1136"/>
      <c r="M382" s="445"/>
      <c r="N382" s="445"/>
      <c r="O382" s="445"/>
      <c r="P382" s="445"/>
    </row>
    <row r="383" spans="1:16">
      <c r="A383" s="445"/>
      <c r="B383" s="445"/>
      <c r="C383" s="277"/>
      <c r="D383" s="445"/>
      <c r="E383" s="445"/>
      <c r="F383" s="445"/>
      <c r="G383" s="445"/>
      <c r="H383" s="445"/>
      <c r="I383" s="445"/>
      <c r="J383" s="445"/>
      <c r="K383" s="1136"/>
      <c r="L383" s="1136"/>
      <c r="M383" s="445"/>
      <c r="N383" s="445"/>
      <c r="O383" s="445"/>
      <c r="P383" s="445"/>
    </row>
    <row r="384" spans="1:16">
      <c r="A384" s="445"/>
      <c r="B384" s="445"/>
      <c r="C384" s="277"/>
      <c r="D384" s="445"/>
      <c r="E384" s="445"/>
      <c r="F384" s="445"/>
      <c r="G384" s="445"/>
      <c r="H384" s="445"/>
      <c r="I384" s="445"/>
      <c r="J384" s="445"/>
      <c r="K384" s="1136"/>
      <c r="L384" s="1136"/>
      <c r="M384" s="445"/>
      <c r="N384" s="445"/>
      <c r="O384" s="445"/>
      <c r="P384" s="445"/>
    </row>
    <row r="385" spans="1:16">
      <c r="A385" s="445"/>
      <c r="B385" s="445"/>
      <c r="C385" s="277"/>
      <c r="D385" s="445"/>
      <c r="E385" s="445"/>
      <c r="F385" s="445"/>
      <c r="G385" s="445"/>
      <c r="H385" s="445"/>
      <c r="I385" s="445"/>
      <c r="J385" s="445"/>
      <c r="K385" s="1136"/>
      <c r="L385" s="1136"/>
      <c r="M385" s="445"/>
      <c r="N385" s="445"/>
      <c r="O385" s="445"/>
      <c r="P385" s="445"/>
    </row>
    <row r="386" spans="1:16">
      <c r="A386" s="445"/>
      <c r="B386" s="445"/>
      <c r="C386" s="277"/>
      <c r="D386" s="445"/>
      <c r="E386" s="445"/>
      <c r="F386" s="445"/>
      <c r="G386" s="445"/>
      <c r="H386" s="445"/>
      <c r="I386" s="445"/>
      <c r="J386" s="445"/>
      <c r="K386" s="1136"/>
      <c r="L386" s="1136"/>
      <c r="M386" s="445"/>
      <c r="N386" s="445"/>
      <c r="O386" s="445"/>
      <c r="P386" s="445"/>
    </row>
    <row r="387" spans="1:16">
      <c r="A387" s="445"/>
      <c r="B387" s="445"/>
      <c r="C387" s="277"/>
      <c r="D387" s="445"/>
      <c r="E387" s="445"/>
      <c r="F387" s="445"/>
      <c r="G387" s="445"/>
      <c r="H387" s="445"/>
      <c r="I387" s="445"/>
      <c r="J387" s="445"/>
      <c r="K387" s="1136"/>
      <c r="L387" s="1136"/>
      <c r="M387" s="445"/>
      <c r="N387" s="445"/>
      <c r="O387" s="445"/>
      <c r="P387" s="445"/>
    </row>
    <row r="388" spans="1:16">
      <c r="A388" s="445"/>
      <c r="B388" s="445"/>
      <c r="C388" s="277"/>
      <c r="D388" s="445"/>
      <c r="E388" s="445"/>
      <c r="F388" s="445"/>
      <c r="G388" s="445"/>
      <c r="H388" s="445"/>
      <c r="I388" s="445"/>
      <c r="J388" s="445"/>
      <c r="K388" s="1136"/>
      <c r="L388" s="1136"/>
      <c r="M388" s="445"/>
      <c r="N388" s="445"/>
      <c r="O388" s="445"/>
      <c r="P388" s="445"/>
    </row>
    <row r="389" spans="1:16">
      <c r="A389" s="445"/>
      <c r="B389" s="445"/>
      <c r="C389" s="277"/>
      <c r="D389" s="445"/>
      <c r="E389" s="445"/>
      <c r="F389" s="445"/>
      <c r="G389" s="445"/>
      <c r="H389" s="445"/>
      <c r="I389" s="445"/>
      <c r="J389" s="445"/>
      <c r="K389" s="1136"/>
      <c r="L389" s="1136"/>
      <c r="M389" s="445"/>
      <c r="N389" s="445"/>
      <c r="O389" s="445"/>
      <c r="P389" s="445"/>
    </row>
    <row r="390" spans="1:16">
      <c r="A390" s="445"/>
      <c r="B390" s="445"/>
      <c r="C390" s="277"/>
      <c r="D390" s="445"/>
      <c r="E390" s="445"/>
      <c r="F390" s="445"/>
      <c r="G390" s="445"/>
      <c r="H390" s="445"/>
      <c r="I390" s="445"/>
      <c r="J390" s="445"/>
      <c r="K390" s="1136"/>
      <c r="L390" s="1136"/>
      <c r="M390" s="445"/>
      <c r="N390" s="445"/>
      <c r="O390" s="445"/>
      <c r="P390" s="445"/>
    </row>
    <row r="391" spans="1:16">
      <c r="A391" s="445"/>
      <c r="B391" s="445"/>
      <c r="C391" s="277"/>
      <c r="D391" s="445"/>
      <c r="E391" s="445"/>
      <c r="F391" s="445"/>
      <c r="G391" s="445"/>
      <c r="H391" s="445"/>
      <c r="I391" s="445"/>
      <c r="J391" s="445"/>
      <c r="K391" s="1136"/>
      <c r="L391" s="1136"/>
      <c r="M391" s="445"/>
      <c r="N391" s="445"/>
      <c r="O391" s="445"/>
      <c r="P391" s="445"/>
    </row>
    <row r="392" spans="1:16">
      <c r="A392" s="445"/>
      <c r="B392" s="445"/>
      <c r="C392" s="277"/>
      <c r="D392" s="445"/>
      <c r="E392" s="445"/>
      <c r="F392" s="445"/>
      <c r="G392" s="445"/>
      <c r="H392" s="445"/>
      <c r="I392" s="445"/>
      <c r="J392" s="445"/>
      <c r="K392" s="1136"/>
      <c r="L392" s="1136"/>
      <c r="M392" s="445"/>
      <c r="N392" s="445"/>
      <c r="O392" s="445"/>
      <c r="P392" s="445"/>
    </row>
    <row r="393" spans="1:16">
      <c r="A393" s="445"/>
      <c r="B393" s="445"/>
      <c r="C393" s="277"/>
      <c r="D393" s="445"/>
      <c r="E393" s="445"/>
      <c r="F393" s="445"/>
      <c r="G393" s="445"/>
      <c r="H393" s="445"/>
      <c r="I393" s="445"/>
      <c r="J393" s="445"/>
      <c r="K393" s="1136"/>
      <c r="L393" s="1136"/>
      <c r="M393" s="445"/>
      <c r="N393" s="445"/>
      <c r="O393" s="445"/>
      <c r="P393" s="445"/>
    </row>
    <row r="394" spans="1:16">
      <c r="A394" s="445"/>
      <c r="B394" s="445"/>
      <c r="C394" s="277"/>
      <c r="D394" s="445"/>
      <c r="E394" s="445"/>
      <c r="F394" s="445"/>
      <c r="G394" s="445"/>
      <c r="H394" s="445"/>
      <c r="I394" s="445"/>
      <c r="J394" s="445"/>
      <c r="K394" s="1136"/>
      <c r="L394" s="1136"/>
      <c r="M394" s="445"/>
      <c r="N394" s="445"/>
      <c r="O394" s="445"/>
      <c r="P394" s="445"/>
    </row>
    <row r="395" spans="1:16">
      <c r="A395" s="445"/>
      <c r="B395" s="445"/>
      <c r="C395" s="277"/>
      <c r="D395" s="445"/>
      <c r="E395" s="445"/>
      <c r="F395" s="445"/>
      <c r="G395" s="445"/>
      <c r="H395" s="445"/>
      <c r="I395" s="445"/>
      <c r="J395" s="445"/>
      <c r="K395" s="1136"/>
      <c r="L395" s="1136"/>
      <c r="M395" s="445"/>
      <c r="N395" s="445"/>
      <c r="O395" s="445"/>
      <c r="P395" s="445"/>
    </row>
    <row r="396" spans="1:16">
      <c r="A396" s="445"/>
      <c r="B396" s="445"/>
      <c r="C396" s="277"/>
      <c r="D396" s="445"/>
      <c r="E396" s="445"/>
      <c r="F396" s="445"/>
      <c r="G396" s="445"/>
      <c r="H396" s="445"/>
      <c r="I396" s="445"/>
      <c r="J396" s="445"/>
      <c r="K396" s="1136"/>
      <c r="L396" s="1136"/>
      <c r="M396" s="445"/>
      <c r="N396" s="445"/>
      <c r="O396" s="445"/>
      <c r="P396" s="445"/>
    </row>
    <row r="397" spans="1:16">
      <c r="A397" s="445"/>
      <c r="B397" s="445"/>
      <c r="C397" s="277"/>
      <c r="D397" s="445"/>
      <c r="E397" s="445"/>
      <c r="F397" s="445"/>
      <c r="G397" s="445"/>
      <c r="H397" s="445"/>
      <c r="I397" s="445"/>
      <c r="J397" s="445"/>
      <c r="K397" s="1136"/>
      <c r="L397" s="1136"/>
      <c r="M397" s="445"/>
      <c r="N397" s="445"/>
      <c r="O397" s="445"/>
      <c r="P397" s="445"/>
    </row>
    <row r="398" spans="1:16">
      <c r="A398" s="445"/>
      <c r="B398" s="445"/>
      <c r="C398" s="277"/>
      <c r="D398" s="445"/>
      <c r="E398" s="445"/>
      <c r="F398" s="445"/>
      <c r="G398" s="445"/>
      <c r="H398" s="445"/>
      <c r="I398" s="445"/>
      <c r="J398" s="445"/>
      <c r="K398" s="1136"/>
      <c r="L398" s="1136"/>
      <c r="M398" s="445"/>
      <c r="N398" s="445"/>
      <c r="O398" s="445"/>
      <c r="P398" s="445"/>
    </row>
    <row r="399" spans="1:16">
      <c r="A399" s="445"/>
      <c r="B399" s="445"/>
      <c r="C399" s="277"/>
      <c r="D399" s="445"/>
      <c r="E399" s="445"/>
      <c r="F399" s="445"/>
      <c r="G399" s="445"/>
      <c r="H399" s="445"/>
      <c r="I399" s="445"/>
      <c r="J399" s="445"/>
      <c r="K399" s="1136"/>
      <c r="L399" s="1136"/>
      <c r="M399" s="445"/>
      <c r="N399" s="445"/>
      <c r="O399" s="445"/>
      <c r="P399" s="445"/>
    </row>
    <row r="400" spans="1:16">
      <c r="A400" s="445"/>
      <c r="B400" s="445"/>
      <c r="C400" s="277"/>
      <c r="D400" s="445"/>
      <c r="E400" s="445"/>
      <c r="F400" s="445"/>
      <c r="G400" s="445"/>
      <c r="H400" s="445"/>
      <c r="I400" s="445"/>
      <c r="J400" s="445"/>
      <c r="K400" s="1136"/>
      <c r="L400" s="1136"/>
      <c r="M400" s="445"/>
      <c r="N400" s="445"/>
      <c r="O400" s="445"/>
      <c r="P400" s="445"/>
    </row>
    <row r="401" spans="1:16">
      <c r="A401" s="445"/>
      <c r="B401" s="445"/>
      <c r="C401" s="277"/>
      <c r="D401" s="445"/>
      <c r="E401" s="445"/>
      <c r="F401" s="445"/>
      <c r="G401" s="445"/>
      <c r="H401" s="445"/>
      <c r="I401" s="445"/>
      <c r="J401" s="445"/>
      <c r="K401" s="1136"/>
      <c r="L401" s="1136"/>
      <c r="M401" s="445"/>
      <c r="N401" s="445"/>
      <c r="O401" s="445"/>
      <c r="P401" s="445"/>
    </row>
    <row r="402" spans="1:16">
      <c r="A402" s="445"/>
      <c r="B402" s="445"/>
      <c r="C402" s="277"/>
      <c r="D402" s="445"/>
      <c r="E402" s="445"/>
      <c r="F402" s="445"/>
      <c r="G402" s="445"/>
      <c r="H402" s="445"/>
      <c r="I402" s="445"/>
      <c r="J402" s="445"/>
      <c r="K402" s="1136"/>
      <c r="L402" s="1136"/>
      <c r="M402" s="445"/>
      <c r="N402" s="445"/>
      <c r="O402" s="445"/>
      <c r="P402" s="445"/>
    </row>
    <row r="403" spans="1:16">
      <c r="A403" s="445"/>
      <c r="B403" s="445"/>
      <c r="C403" s="277"/>
      <c r="D403" s="445"/>
      <c r="E403" s="445"/>
      <c r="F403" s="445"/>
      <c r="G403" s="445"/>
      <c r="H403" s="445"/>
      <c r="I403" s="445"/>
      <c r="J403" s="445"/>
      <c r="K403" s="1136"/>
      <c r="L403" s="1136"/>
      <c r="M403" s="445"/>
      <c r="N403" s="445"/>
      <c r="O403" s="445"/>
      <c r="P403" s="445"/>
    </row>
    <row r="404" spans="1:16">
      <c r="A404" s="445"/>
      <c r="B404" s="445"/>
      <c r="C404" s="277"/>
      <c r="D404" s="445"/>
      <c r="E404" s="445"/>
      <c r="F404" s="445"/>
      <c r="G404" s="445"/>
      <c r="H404" s="445"/>
      <c r="I404" s="445"/>
      <c r="J404" s="445"/>
      <c r="K404" s="1136"/>
      <c r="L404" s="1136"/>
      <c r="M404" s="445"/>
      <c r="N404" s="445"/>
      <c r="O404" s="445"/>
      <c r="P404" s="445"/>
    </row>
    <row r="405" spans="1:16">
      <c r="A405" s="445"/>
      <c r="B405" s="445"/>
      <c r="C405" s="277"/>
      <c r="D405" s="445"/>
      <c r="E405" s="445"/>
      <c r="F405" s="445"/>
      <c r="G405" s="445"/>
      <c r="H405" s="445"/>
      <c r="I405" s="445"/>
      <c r="J405" s="445"/>
      <c r="K405" s="1136"/>
      <c r="L405" s="1136"/>
      <c r="M405" s="445"/>
      <c r="N405" s="445"/>
      <c r="O405" s="445"/>
      <c r="P405" s="445"/>
    </row>
    <row r="406" spans="1:16">
      <c r="A406" s="445"/>
      <c r="B406" s="445"/>
      <c r="C406" s="277"/>
      <c r="D406" s="445"/>
      <c r="E406" s="445"/>
      <c r="F406" s="445"/>
      <c r="G406" s="445"/>
      <c r="H406" s="445"/>
      <c r="I406" s="445"/>
      <c r="J406" s="445"/>
      <c r="K406" s="1136"/>
      <c r="L406" s="1136"/>
      <c r="M406" s="445"/>
      <c r="N406" s="445"/>
      <c r="O406" s="445"/>
      <c r="P406" s="445"/>
    </row>
    <row r="407" spans="1:16">
      <c r="A407" s="445"/>
      <c r="B407" s="445"/>
      <c r="C407" s="277"/>
      <c r="D407" s="445"/>
      <c r="E407" s="445"/>
      <c r="F407" s="445"/>
      <c r="G407" s="445"/>
      <c r="H407" s="445"/>
      <c r="I407" s="445"/>
      <c r="J407" s="445"/>
      <c r="K407" s="1136"/>
      <c r="L407" s="1136"/>
      <c r="M407" s="445"/>
      <c r="N407" s="445"/>
      <c r="O407" s="445"/>
      <c r="P407" s="445"/>
    </row>
    <row r="408" spans="1:16">
      <c r="A408" s="445"/>
      <c r="B408" s="445"/>
      <c r="C408" s="277"/>
      <c r="D408" s="445"/>
      <c r="E408" s="445"/>
      <c r="F408" s="445"/>
      <c r="G408" s="445"/>
      <c r="H408" s="445"/>
      <c r="I408" s="445"/>
      <c r="J408" s="445"/>
      <c r="K408" s="1136"/>
      <c r="L408" s="1136"/>
      <c r="M408" s="445"/>
      <c r="N408" s="445"/>
      <c r="O408" s="445"/>
      <c r="P408" s="445"/>
    </row>
    <row r="409" spans="1:16">
      <c r="A409" s="445"/>
      <c r="B409" s="445"/>
      <c r="C409" s="277"/>
      <c r="D409" s="445"/>
      <c r="E409" s="445"/>
      <c r="F409" s="445"/>
      <c r="G409" s="445"/>
      <c r="H409" s="445"/>
      <c r="I409" s="445"/>
      <c r="J409" s="445"/>
      <c r="K409" s="1136"/>
      <c r="L409" s="1136"/>
      <c r="M409" s="445"/>
      <c r="N409" s="445"/>
      <c r="O409" s="445"/>
      <c r="P409" s="445"/>
    </row>
    <row r="410" spans="1:16">
      <c r="A410" s="445"/>
      <c r="B410" s="445"/>
      <c r="C410" s="277"/>
      <c r="D410" s="445"/>
      <c r="E410" s="445"/>
      <c r="F410" s="445"/>
      <c r="G410" s="445"/>
      <c r="H410" s="445"/>
      <c r="I410" s="445"/>
      <c r="J410" s="445"/>
      <c r="K410" s="1136"/>
      <c r="L410" s="1136"/>
      <c r="M410" s="445"/>
      <c r="N410" s="445"/>
      <c r="O410" s="445"/>
      <c r="P410" s="445"/>
    </row>
    <row r="411" spans="1:16">
      <c r="A411" s="445"/>
      <c r="B411" s="445"/>
      <c r="C411" s="277"/>
      <c r="D411" s="445"/>
      <c r="E411" s="445"/>
      <c r="F411" s="445"/>
      <c r="G411" s="445"/>
      <c r="H411" s="445"/>
      <c r="I411" s="445"/>
      <c r="J411" s="445"/>
      <c r="K411" s="1136"/>
      <c r="L411" s="1136"/>
      <c r="M411" s="445"/>
      <c r="N411" s="445"/>
      <c r="O411" s="445"/>
      <c r="P411" s="445"/>
    </row>
    <row r="412" spans="1:16">
      <c r="A412" s="445"/>
      <c r="B412" s="445"/>
      <c r="C412" s="277"/>
      <c r="D412" s="445"/>
      <c r="E412" s="445"/>
      <c r="F412" s="445"/>
      <c r="G412" s="445"/>
      <c r="H412" s="445"/>
      <c r="I412" s="445"/>
      <c r="J412" s="445"/>
      <c r="K412" s="1136"/>
      <c r="L412" s="1136"/>
      <c r="M412" s="445"/>
      <c r="N412" s="445"/>
      <c r="O412" s="445"/>
      <c r="P412" s="445"/>
    </row>
    <row r="413" spans="1:16">
      <c r="A413" s="445"/>
      <c r="B413" s="445"/>
      <c r="C413" s="277"/>
      <c r="D413" s="445"/>
      <c r="E413" s="445"/>
      <c r="F413" s="445"/>
      <c r="G413" s="445"/>
      <c r="H413" s="445"/>
      <c r="I413" s="445"/>
      <c r="J413" s="445"/>
      <c r="K413" s="1136"/>
      <c r="L413" s="1136"/>
      <c r="M413" s="445"/>
      <c r="N413" s="445"/>
      <c r="O413" s="445"/>
      <c r="P413" s="445"/>
    </row>
    <row r="414" spans="1:16">
      <c r="A414" s="445"/>
      <c r="B414" s="445"/>
      <c r="C414" s="277"/>
      <c r="D414" s="445"/>
      <c r="E414" s="445"/>
      <c r="F414" s="445"/>
      <c r="G414" s="445"/>
      <c r="H414" s="445"/>
      <c r="I414" s="445"/>
      <c r="J414" s="445"/>
      <c r="K414" s="1136"/>
      <c r="L414" s="1136"/>
      <c r="M414" s="445"/>
      <c r="N414" s="445"/>
      <c r="O414" s="445"/>
      <c r="P414" s="445"/>
    </row>
    <row r="415" spans="1:16">
      <c r="A415" s="445"/>
      <c r="B415" s="445"/>
      <c r="C415" s="277"/>
      <c r="D415" s="445"/>
      <c r="E415" s="445"/>
      <c r="F415" s="445"/>
      <c r="G415" s="445"/>
      <c r="H415" s="445"/>
      <c r="I415" s="445"/>
      <c r="J415" s="445"/>
      <c r="K415" s="1136"/>
      <c r="L415" s="1136"/>
      <c r="M415" s="445"/>
      <c r="N415" s="445"/>
      <c r="O415" s="445"/>
      <c r="P415" s="445"/>
    </row>
    <row r="416" spans="1:16">
      <c r="A416" s="445"/>
      <c r="B416" s="445"/>
      <c r="C416" s="277"/>
      <c r="D416" s="445"/>
      <c r="E416" s="445"/>
      <c r="F416" s="445"/>
      <c r="G416" s="445"/>
      <c r="H416" s="445"/>
      <c r="I416" s="445"/>
      <c r="J416" s="445"/>
      <c r="K416" s="1136"/>
      <c r="L416" s="1136"/>
      <c r="M416" s="445"/>
      <c r="N416" s="445"/>
      <c r="O416" s="445"/>
      <c r="P416" s="445"/>
    </row>
    <row r="417" spans="1:16">
      <c r="A417" s="445"/>
      <c r="B417" s="445"/>
      <c r="C417" s="277"/>
      <c r="D417" s="445"/>
      <c r="E417" s="445"/>
      <c r="F417" s="445"/>
      <c r="G417" s="445"/>
      <c r="H417" s="445"/>
      <c r="I417" s="445"/>
      <c r="J417" s="445"/>
      <c r="K417" s="1136"/>
      <c r="L417" s="1136"/>
      <c r="M417" s="445"/>
      <c r="N417" s="445"/>
      <c r="O417" s="445"/>
      <c r="P417" s="445"/>
    </row>
    <row r="418" spans="1:16">
      <c r="A418" s="445"/>
      <c r="B418" s="445"/>
      <c r="C418" s="277"/>
      <c r="D418" s="445"/>
      <c r="E418" s="445"/>
      <c r="F418" s="445"/>
      <c r="G418" s="445"/>
      <c r="H418" s="445"/>
      <c r="I418" s="445"/>
      <c r="J418" s="445"/>
      <c r="K418" s="1136"/>
      <c r="L418" s="1136"/>
      <c r="M418" s="445"/>
      <c r="N418" s="445"/>
      <c r="O418" s="445"/>
      <c r="P418" s="445"/>
    </row>
    <row r="419" spans="1:16">
      <c r="A419" s="445"/>
      <c r="B419" s="445"/>
      <c r="C419" s="277"/>
      <c r="D419" s="445"/>
      <c r="E419" s="445"/>
      <c r="F419" s="445"/>
      <c r="G419" s="445"/>
      <c r="H419" s="445"/>
      <c r="I419" s="445"/>
      <c r="J419" s="445"/>
      <c r="K419" s="1136"/>
      <c r="L419" s="1136"/>
      <c r="M419" s="445"/>
      <c r="N419" s="445"/>
      <c r="O419" s="445"/>
      <c r="P419" s="445"/>
    </row>
    <row r="420" spans="1:16">
      <c r="A420" s="445"/>
      <c r="B420" s="445"/>
      <c r="C420" s="277"/>
      <c r="D420" s="445"/>
      <c r="E420" s="445"/>
      <c r="F420" s="445"/>
      <c r="G420" s="445"/>
      <c r="H420" s="445"/>
      <c r="I420" s="445"/>
      <c r="J420" s="445"/>
      <c r="K420" s="1136"/>
      <c r="L420" s="1136"/>
      <c r="M420" s="445"/>
      <c r="N420" s="445"/>
      <c r="O420" s="445"/>
      <c r="P420" s="445"/>
    </row>
    <row r="421" spans="1:16">
      <c r="A421" s="445"/>
      <c r="B421" s="445"/>
      <c r="C421" s="277"/>
      <c r="D421" s="445"/>
      <c r="E421" s="445"/>
      <c r="F421" s="445"/>
      <c r="G421" s="445"/>
      <c r="H421" s="445"/>
      <c r="I421" s="445"/>
      <c r="J421" s="445"/>
      <c r="K421" s="1136"/>
      <c r="L421" s="1136"/>
      <c r="M421" s="445"/>
      <c r="N421" s="445"/>
      <c r="O421" s="445"/>
      <c r="P421" s="445"/>
    </row>
    <row r="422" spans="1:16">
      <c r="A422" s="445"/>
      <c r="B422" s="445"/>
      <c r="C422" s="277"/>
      <c r="D422" s="445"/>
      <c r="E422" s="445"/>
      <c r="F422" s="445"/>
      <c r="G422" s="445"/>
      <c r="H422" s="445"/>
      <c r="I422" s="445"/>
      <c r="J422" s="445"/>
      <c r="K422" s="1136"/>
      <c r="L422" s="1136"/>
      <c r="M422" s="445"/>
      <c r="N422" s="445"/>
      <c r="O422" s="445"/>
      <c r="P422" s="445"/>
    </row>
    <row r="423" spans="1:16">
      <c r="A423" s="445"/>
      <c r="B423" s="445"/>
      <c r="C423" s="277"/>
      <c r="D423" s="445"/>
      <c r="E423" s="445"/>
      <c r="F423" s="445"/>
      <c r="G423" s="445"/>
      <c r="H423" s="445"/>
      <c r="I423" s="445"/>
      <c r="J423" s="445"/>
      <c r="K423" s="1136"/>
      <c r="L423" s="1136"/>
      <c r="M423" s="445"/>
      <c r="N423" s="445"/>
      <c r="O423" s="445"/>
      <c r="P423" s="445"/>
    </row>
    <row r="424" spans="1:16">
      <c r="A424" s="445"/>
      <c r="B424" s="445"/>
      <c r="C424" s="277"/>
      <c r="D424" s="445"/>
      <c r="E424" s="445"/>
      <c r="F424" s="445"/>
      <c r="G424" s="445"/>
      <c r="H424" s="445"/>
      <c r="I424" s="445"/>
      <c r="J424" s="445"/>
      <c r="K424" s="1136"/>
      <c r="L424" s="1136"/>
      <c r="M424" s="445"/>
      <c r="N424" s="445"/>
      <c r="O424" s="445"/>
      <c r="P424" s="445"/>
    </row>
    <row r="425" spans="1:16">
      <c r="A425" s="445"/>
      <c r="B425" s="445"/>
      <c r="C425" s="277"/>
      <c r="D425" s="445"/>
      <c r="E425" s="445"/>
      <c r="F425" s="445"/>
      <c r="G425" s="445"/>
      <c r="H425" s="445"/>
      <c r="I425" s="445"/>
      <c r="J425" s="445"/>
      <c r="K425" s="1136"/>
      <c r="L425" s="1136"/>
      <c r="M425" s="445"/>
      <c r="N425" s="445"/>
      <c r="O425" s="445"/>
      <c r="P425" s="445"/>
    </row>
    <row r="426" spans="1:16">
      <c r="A426" s="445"/>
      <c r="B426" s="445"/>
      <c r="C426" s="277"/>
      <c r="D426" s="445"/>
      <c r="E426" s="445"/>
      <c r="F426" s="445"/>
      <c r="G426" s="445"/>
      <c r="H426" s="445"/>
      <c r="I426" s="445"/>
      <c r="J426" s="445"/>
      <c r="K426" s="1136"/>
      <c r="L426" s="1136"/>
      <c r="M426" s="445"/>
      <c r="N426" s="445"/>
      <c r="O426" s="445"/>
      <c r="P426" s="445"/>
    </row>
    <row r="427" spans="1:16">
      <c r="A427" s="445"/>
      <c r="B427" s="445"/>
      <c r="C427" s="277"/>
      <c r="D427" s="445"/>
      <c r="E427" s="445"/>
      <c r="F427" s="445"/>
      <c r="G427" s="445"/>
      <c r="H427" s="445"/>
      <c r="I427" s="445"/>
      <c r="J427" s="445"/>
      <c r="K427" s="1136"/>
      <c r="L427" s="1136"/>
      <c r="M427" s="445"/>
      <c r="N427" s="445"/>
      <c r="O427" s="445"/>
      <c r="P427" s="445"/>
    </row>
    <row r="428" spans="1:16">
      <c r="A428" s="445"/>
      <c r="B428" s="445"/>
      <c r="C428" s="277"/>
      <c r="D428" s="445"/>
      <c r="E428" s="445"/>
      <c r="F428" s="445"/>
      <c r="G428" s="445"/>
      <c r="H428" s="445"/>
      <c r="I428" s="445"/>
      <c r="J428" s="445"/>
      <c r="K428" s="1136"/>
      <c r="L428" s="1136"/>
      <c r="M428" s="445"/>
      <c r="N428" s="445"/>
      <c r="O428" s="445"/>
      <c r="P428" s="445"/>
    </row>
    <row r="429" spans="1:16">
      <c r="A429" s="445"/>
      <c r="B429" s="445"/>
      <c r="C429" s="277"/>
      <c r="D429" s="445"/>
      <c r="E429" s="445"/>
      <c r="F429" s="445"/>
      <c r="G429" s="445"/>
      <c r="H429" s="445"/>
      <c r="I429" s="445"/>
      <c r="J429" s="445"/>
      <c r="K429" s="1136"/>
      <c r="L429" s="1136"/>
      <c r="M429" s="445"/>
      <c r="N429" s="445"/>
      <c r="O429" s="445"/>
      <c r="P429" s="445"/>
    </row>
    <row r="430" spans="1:16">
      <c r="A430" s="445"/>
      <c r="B430" s="445"/>
      <c r="C430" s="277"/>
      <c r="D430" s="445"/>
      <c r="E430" s="445"/>
      <c r="F430" s="445"/>
      <c r="G430" s="445"/>
      <c r="H430" s="445"/>
      <c r="I430" s="445"/>
      <c r="J430" s="445"/>
      <c r="K430" s="1136"/>
      <c r="L430" s="1136"/>
      <c r="M430" s="445"/>
      <c r="N430" s="445"/>
      <c r="O430" s="445"/>
      <c r="P430" s="445"/>
    </row>
    <row r="431" spans="1:16">
      <c r="A431" s="445"/>
      <c r="B431" s="445"/>
      <c r="C431" s="277"/>
      <c r="D431" s="445"/>
      <c r="E431" s="445"/>
      <c r="F431" s="445"/>
      <c r="G431" s="445"/>
      <c r="H431" s="445"/>
      <c r="I431" s="445"/>
      <c r="J431" s="445"/>
      <c r="K431" s="1136"/>
      <c r="L431" s="1136"/>
      <c r="M431" s="445"/>
      <c r="N431" s="445"/>
      <c r="O431" s="445"/>
      <c r="P431" s="445"/>
    </row>
    <row r="432" spans="1:16">
      <c r="A432" s="445"/>
      <c r="B432" s="445"/>
      <c r="C432" s="277"/>
      <c r="D432" s="445"/>
      <c r="E432" s="445"/>
      <c r="F432" s="445"/>
      <c r="G432" s="445"/>
      <c r="H432" s="445"/>
      <c r="I432" s="445"/>
      <c r="J432" s="445"/>
      <c r="K432" s="1136"/>
      <c r="L432" s="1136"/>
      <c r="M432" s="445"/>
      <c r="N432" s="445"/>
      <c r="O432" s="445"/>
      <c r="P432" s="445"/>
    </row>
    <row r="433" spans="1:16">
      <c r="A433" s="445"/>
      <c r="B433" s="445"/>
      <c r="C433" s="277"/>
      <c r="D433" s="445"/>
      <c r="E433" s="445"/>
      <c r="F433" s="445"/>
      <c r="G433" s="445"/>
      <c r="H433" s="445"/>
      <c r="I433" s="445"/>
      <c r="J433" s="445"/>
      <c r="K433" s="1136"/>
      <c r="L433" s="1136"/>
      <c r="M433" s="445"/>
      <c r="N433" s="445"/>
      <c r="O433" s="445"/>
      <c r="P433" s="445"/>
    </row>
    <row r="434" spans="1:16">
      <c r="A434" s="445"/>
      <c r="B434" s="445"/>
      <c r="C434" s="277"/>
      <c r="D434" s="445"/>
      <c r="E434" s="445"/>
      <c r="F434" s="445"/>
      <c r="G434" s="445"/>
      <c r="H434" s="445"/>
      <c r="I434" s="445"/>
      <c r="J434" s="445"/>
      <c r="K434" s="1136"/>
      <c r="L434" s="1136"/>
      <c r="M434" s="445"/>
      <c r="N434" s="445"/>
      <c r="O434" s="445"/>
      <c r="P434" s="445"/>
    </row>
    <row r="435" spans="1:16">
      <c r="A435" s="445"/>
      <c r="B435" s="445"/>
      <c r="C435" s="277"/>
      <c r="D435" s="445"/>
      <c r="E435" s="445"/>
      <c r="F435" s="445"/>
      <c r="G435" s="445"/>
      <c r="H435" s="445"/>
      <c r="I435" s="445"/>
      <c r="J435" s="445"/>
      <c r="K435" s="1136"/>
      <c r="L435" s="1136"/>
      <c r="M435" s="445"/>
      <c r="N435" s="445"/>
      <c r="O435" s="445"/>
      <c r="P435" s="445"/>
    </row>
    <row r="436" spans="1:16">
      <c r="A436" s="445"/>
      <c r="B436" s="445"/>
      <c r="C436" s="277"/>
      <c r="D436" s="445"/>
      <c r="E436" s="445"/>
      <c r="F436" s="445"/>
      <c r="G436" s="445"/>
      <c r="H436" s="445"/>
      <c r="I436" s="445"/>
      <c r="J436" s="445"/>
      <c r="K436" s="1136"/>
      <c r="L436" s="1136"/>
      <c r="M436" s="445"/>
      <c r="N436" s="445"/>
      <c r="O436" s="445"/>
      <c r="P436" s="445"/>
    </row>
    <row r="437" spans="1:16">
      <c r="A437" s="445"/>
      <c r="B437" s="445"/>
      <c r="C437" s="277"/>
      <c r="D437" s="445"/>
      <c r="E437" s="445"/>
      <c r="F437" s="445"/>
      <c r="G437" s="445"/>
      <c r="H437" s="445"/>
      <c r="I437" s="445"/>
      <c r="J437" s="445"/>
      <c r="K437" s="1136"/>
      <c r="L437" s="1136"/>
      <c r="M437" s="445"/>
      <c r="N437" s="445"/>
      <c r="O437" s="445"/>
      <c r="P437" s="445"/>
    </row>
    <row r="438" spans="1:16">
      <c r="A438" s="445"/>
      <c r="B438" s="445"/>
      <c r="C438" s="277"/>
      <c r="D438" s="445"/>
      <c r="E438" s="445"/>
      <c r="F438" s="445"/>
      <c r="G438" s="445"/>
      <c r="H438" s="445"/>
      <c r="I438" s="445"/>
      <c r="J438" s="445"/>
      <c r="K438" s="1136"/>
      <c r="L438" s="1136"/>
      <c r="M438" s="445"/>
      <c r="N438" s="445"/>
      <c r="O438" s="445"/>
      <c r="P438" s="445"/>
    </row>
    <row r="439" spans="1:16">
      <c r="A439" s="445"/>
      <c r="B439" s="445"/>
      <c r="C439" s="277"/>
      <c r="D439" s="445"/>
      <c r="E439" s="445"/>
      <c r="F439" s="445"/>
      <c r="G439" s="445"/>
      <c r="H439" s="445"/>
      <c r="I439" s="445"/>
      <c r="J439" s="445"/>
      <c r="K439" s="1136"/>
      <c r="L439" s="1136"/>
      <c r="M439" s="445"/>
      <c r="N439" s="445"/>
      <c r="O439" s="445"/>
      <c r="P439" s="445"/>
    </row>
    <row r="440" spans="1:16">
      <c r="A440" s="445"/>
      <c r="B440" s="445"/>
      <c r="C440" s="277"/>
      <c r="D440" s="445"/>
      <c r="E440" s="445"/>
      <c r="F440" s="445"/>
      <c r="G440" s="445"/>
      <c r="H440" s="445"/>
      <c r="I440" s="445"/>
      <c r="J440" s="445"/>
      <c r="K440" s="1136"/>
      <c r="L440" s="1136"/>
      <c r="M440" s="445"/>
      <c r="N440" s="445"/>
      <c r="O440" s="445"/>
      <c r="P440" s="445"/>
    </row>
    <row r="441" spans="1:16">
      <c r="A441" s="445"/>
      <c r="B441" s="445"/>
      <c r="C441" s="277"/>
      <c r="D441" s="445"/>
      <c r="E441" s="445"/>
      <c r="F441" s="445"/>
      <c r="G441" s="445"/>
      <c r="H441" s="445"/>
      <c r="I441" s="445"/>
      <c r="J441" s="445"/>
      <c r="K441" s="1136"/>
      <c r="L441" s="1136"/>
      <c r="M441" s="445"/>
      <c r="N441" s="445"/>
      <c r="O441" s="445"/>
      <c r="P441" s="445"/>
    </row>
    <row r="442" spans="1:16">
      <c r="A442" s="445"/>
      <c r="B442" s="445"/>
      <c r="C442" s="277"/>
      <c r="D442" s="445"/>
      <c r="E442" s="445"/>
      <c r="F442" s="445"/>
      <c r="G442" s="445"/>
      <c r="H442" s="445"/>
      <c r="I442" s="445"/>
      <c r="J442" s="445"/>
      <c r="K442" s="1136"/>
      <c r="L442" s="1136"/>
      <c r="M442" s="445"/>
      <c r="N442" s="445"/>
      <c r="O442" s="445"/>
      <c r="P442" s="445"/>
    </row>
    <row r="443" spans="1:16">
      <c r="A443" s="445"/>
      <c r="B443" s="445"/>
      <c r="C443" s="277"/>
      <c r="D443" s="445"/>
      <c r="E443" s="445"/>
      <c r="F443" s="445"/>
      <c r="G443" s="445"/>
      <c r="H443" s="445"/>
      <c r="I443" s="445"/>
      <c r="J443" s="445"/>
      <c r="K443" s="1136"/>
      <c r="L443" s="1136"/>
      <c r="M443" s="445"/>
      <c r="N443" s="445"/>
      <c r="O443" s="445"/>
      <c r="P443" s="445"/>
    </row>
    <row r="444" spans="1:16">
      <c r="A444" s="445"/>
      <c r="B444" s="445"/>
      <c r="C444" s="277"/>
      <c r="D444" s="445"/>
      <c r="E444" s="445"/>
      <c r="F444" s="445"/>
      <c r="G444" s="445"/>
      <c r="H444" s="445"/>
      <c r="I444" s="445"/>
      <c r="J444" s="445"/>
      <c r="K444" s="1136"/>
      <c r="L444" s="1136"/>
      <c r="M444" s="445"/>
      <c r="N444" s="445"/>
      <c r="O444" s="445"/>
      <c r="P444" s="445"/>
    </row>
    <row r="445" spans="1:16">
      <c r="A445" s="445"/>
      <c r="B445" s="445"/>
      <c r="C445" s="277"/>
      <c r="D445" s="445"/>
      <c r="E445" s="445"/>
      <c r="F445" s="445"/>
      <c r="G445" s="445"/>
      <c r="H445" s="445"/>
      <c r="I445" s="445"/>
      <c r="J445" s="445"/>
      <c r="K445" s="1136"/>
      <c r="L445" s="1136"/>
      <c r="M445" s="445"/>
      <c r="N445" s="445"/>
      <c r="O445" s="445"/>
      <c r="P445" s="445"/>
    </row>
    <row r="446" spans="1:16">
      <c r="A446" s="445"/>
      <c r="B446" s="445"/>
      <c r="C446" s="277"/>
      <c r="D446" s="445"/>
      <c r="E446" s="445"/>
      <c r="F446" s="445"/>
      <c r="G446" s="445"/>
      <c r="H446" s="445"/>
      <c r="I446" s="445"/>
      <c r="J446" s="445"/>
      <c r="K446" s="1136"/>
      <c r="L446" s="1136"/>
      <c r="M446" s="445"/>
      <c r="N446" s="445"/>
      <c r="O446" s="445"/>
      <c r="P446" s="445"/>
    </row>
    <row r="447" spans="1:16">
      <c r="A447" s="445"/>
      <c r="B447" s="445"/>
      <c r="C447" s="277"/>
      <c r="D447" s="445"/>
      <c r="E447" s="445"/>
      <c r="F447" s="445"/>
      <c r="G447" s="445"/>
      <c r="H447" s="445"/>
      <c r="I447" s="445"/>
      <c r="J447" s="445"/>
      <c r="K447" s="1136"/>
      <c r="L447" s="1136"/>
      <c r="M447" s="445"/>
      <c r="N447" s="445"/>
      <c r="O447" s="445"/>
      <c r="P447" s="445"/>
    </row>
    <row r="448" spans="1:16">
      <c r="A448" s="445"/>
      <c r="B448" s="445"/>
      <c r="C448" s="277"/>
      <c r="D448" s="445"/>
      <c r="E448" s="445"/>
      <c r="F448" s="445"/>
      <c r="G448" s="445"/>
      <c r="H448" s="445"/>
      <c r="I448" s="445"/>
      <c r="J448" s="445"/>
      <c r="K448" s="1136"/>
      <c r="L448" s="1136"/>
      <c r="M448" s="445"/>
      <c r="N448" s="445"/>
      <c r="O448" s="445"/>
      <c r="P448" s="445"/>
    </row>
    <row r="449" spans="1:16">
      <c r="A449" s="445"/>
      <c r="B449" s="445"/>
      <c r="C449" s="277"/>
      <c r="D449" s="445"/>
      <c r="E449" s="445"/>
      <c r="F449" s="445"/>
      <c r="G449" s="445"/>
      <c r="H449" s="445"/>
      <c r="I449" s="445"/>
      <c r="J449" s="445"/>
      <c r="K449" s="1136"/>
      <c r="L449" s="1136"/>
      <c r="M449" s="445"/>
      <c r="N449" s="445"/>
      <c r="O449" s="445"/>
      <c r="P449" s="445"/>
    </row>
    <row r="450" spans="1:16">
      <c r="A450" s="445"/>
      <c r="B450" s="445"/>
      <c r="C450" s="277"/>
      <c r="D450" s="445"/>
      <c r="E450" s="445"/>
      <c r="F450" s="445"/>
      <c r="G450" s="445"/>
      <c r="H450" s="445"/>
      <c r="I450" s="445"/>
      <c r="J450" s="445"/>
      <c r="K450" s="1136"/>
      <c r="L450" s="1136"/>
      <c r="M450" s="445"/>
      <c r="N450" s="445"/>
      <c r="O450" s="445"/>
      <c r="P450" s="445"/>
    </row>
    <row r="451" spans="1:16">
      <c r="A451" s="445"/>
      <c r="B451" s="445"/>
      <c r="C451" s="277"/>
      <c r="D451" s="445"/>
      <c r="E451" s="445"/>
      <c r="F451" s="445"/>
      <c r="G451" s="445"/>
      <c r="H451" s="445"/>
      <c r="I451" s="445"/>
      <c r="J451" s="445"/>
      <c r="K451" s="1136"/>
      <c r="L451" s="1136"/>
      <c r="M451" s="445"/>
      <c r="N451" s="445"/>
      <c r="O451" s="445"/>
      <c r="P451" s="445"/>
    </row>
    <row r="452" spans="1:16">
      <c r="A452" s="445"/>
      <c r="B452" s="445"/>
      <c r="C452" s="277"/>
      <c r="D452" s="445"/>
      <c r="E452" s="445"/>
      <c r="F452" s="445"/>
      <c r="G452" s="445"/>
      <c r="H452" s="445"/>
      <c r="I452" s="445"/>
      <c r="J452" s="445"/>
      <c r="K452" s="1136"/>
      <c r="L452" s="1136"/>
      <c r="M452" s="445"/>
      <c r="N452" s="445"/>
      <c r="O452" s="445"/>
      <c r="P452" s="445"/>
    </row>
    <row r="453" spans="1:16">
      <c r="A453" s="445"/>
      <c r="B453" s="445"/>
      <c r="C453" s="277"/>
      <c r="D453" s="445"/>
      <c r="E453" s="445"/>
      <c r="F453" s="445"/>
      <c r="G453" s="445"/>
      <c r="H453" s="445"/>
      <c r="I453" s="445"/>
      <c r="J453" s="445"/>
      <c r="K453" s="1136"/>
      <c r="L453" s="1136"/>
      <c r="M453" s="445"/>
      <c r="N453" s="445"/>
      <c r="O453" s="445"/>
      <c r="P453" s="445"/>
    </row>
    <row r="454" spans="1:16">
      <c r="A454" s="445"/>
      <c r="B454" s="445"/>
      <c r="C454" s="277"/>
      <c r="D454" s="445"/>
      <c r="E454" s="445"/>
      <c r="F454" s="445"/>
      <c r="G454" s="445"/>
      <c r="H454" s="445"/>
      <c r="I454" s="445"/>
      <c r="J454" s="445"/>
      <c r="K454" s="1136"/>
      <c r="L454" s="1136"/>
      <c r="M454" s="445"/>
      <c r="N454" s="445"/>
      <c r="O454" s="445"/>
      <c r="P454" s="445"/>
    </row>
    <row r="455" spans="1:16">
      <c r="A455" s="445"/>
      <c r="B455" s="445"/>
      <c r="C455" s="277"/>
      <c r="D455" s="445"/>
      <c r="E455" s="445"/>
      <c r="F455" s="445"/>
      <c r="G455" s="445"/>
      <c r="H455" s="445"/>
      <c r="I455" s="445"/>
      <c r="J455" s="445"/>
      <c r="K455" s="1136"/>
      <c r="L455" s="1136"/>
      <c r="M455" s="445"/>
      <c r="N455" s="445"/>
      <c r="O455" s="445"/>
      <c r="P455" s="445"/>
    </row>
    <row r="456" spans="1:16">
      <c r="A456" s="445"/>
      <c r="B456" s="445"/>
      <c r="C456" s="277"/>
      <c r="D456" s="445"/>
      <c r="E456" s="445"/>
      <c r="F456" s="445"/>
      <c r="G456" s="445"/>
      <c r="H456" s="445"/>
      <c r="I456" s="445"/>
      <c r="J456" s="445"/>
      <c r="K456" s="1136"/>
      <c r="L456" s="1136"/>
      <c r="M456" s="445"/>
      <c r="N456" s="445"/>
      <c r="O456" s="445"/>
      <c r="P456" s="445"/>
    </row>
    <row r="457" spans="1:16">
      <c r="A457" s="445"/>
      <c r="B457" s="445"/>
      <c r="C457" s="277"/>
      <c r="D457" s="445"/>
      <c r="E457" s="445"/>
      <c r="F457" s="445"/>
      <c r="G457" s="445"/>
      <c r="H457" s="445"/>
      <c r="I457" s="445"/>
      <c r="J457" s="445"/>
      <c r="K457" s="1136"/>
      <c r="L457" s="1136"/>
      <c r="M457" s="445"/>
      <c r="N457" s="445"/>
      <c r="O457" s="445"/>
      <c r="P457" s="445"/>
    </row>
    <row r="458" spans="1:16">
      <c r="A458" s="445"/>
      <c r="B458" s="445"/>
      <c r="C458" s="277"/>
      <c r="D458" s="445"/>
      <c r="E458" s="445"/>
      <c r="F458" s="445"/>
      <c r="G458" s="445"/>
      <c r="H458" s="445"/>
      <c r="I458" s="445"/>
      <c r="J458" s="445"/>
      <c r="K458" s="1136"/>
      <c r="L458" s="1136"/>
      <c r="M458" s="445"/>
      <c r="N458" s="445"/>
      <c r="O458" s="445"/>
      <c r="P458" s="445"/>
    </row>
    <row r="459" spans="1:16">
      <c r="A459" s="445"/>
      <c r="B459" s="445"/>
      <c r="C459" s="277"/>
      <c r="D459" s="445"/>
      <c r="E459" s="445"/>
      <c r="F459" s="445"/>
      <c r="G459" s="445"/>
      <c r="H459" s="445"/>
      <c r="I459" s="445"/>
      <c r="J459" s="445"/>
      <c r="K459" s="1136"/>
      <c r="L459" s="1136"/>
      <c r="M459" s="445"/>
      <c r="N459" s="445"/>
      <c r="O459" s="445"/>
      <c r="P459" s="445"/>
    </row>
    <row r="460" spans="1:16">
      <c r="A460" s="445"/>
      <c r="B460" s="445"/>
      <c r="C460" s="277"/>
      <c r="D460" s="445"/>
      <c r="E460" s="445"/>
      <c r="F460" s="445"/>
      <c r="G460" s="445"/>
      <c r="H460" s="445"/>
      <c r="I460" s="445"/>
      <c r="J460" s="445"/>
      <c r="K460" s="1136"/>
      <c r="L460" s="1136"/>
      <c r="M460" s="445"/>
      <c r="N460" s="445"/>
      <c r="O460" s="445"/>
      <c r="P460" s="445"/>
    </row>
    <row r="461" spans="1:16">
      <c r="A461" s="445"/>
      <c r="B461" s="445"/>
      <c r="C461" s="277"/>
      <c r="D461" s="445"/>
      <c r="E461" s="445"/>
      <c r="F461" s="445"/>
      <c r="G461" s="445"/>
      <c r="H461" s="445"/>
      <c r="I461" s="445"/>
      <c r="J461" s="445"/>
      <c r="K461" s="1136"/>
      <c r="L461" s="1136"/>
      <c r="M461" s="445"/>
      <c r="N461" s="445"/>
      <c r="O461" s="445"/>
      <c r="P461" s="445"/>
    </row>
    <row r="462" spans="1:16">
      <c r="A462" s="445"/>
      <c r="B462" s="445"/>
      <c r="C462" s="277"/>
      <c r="D462" s="445"/>
      <c r="E462" s="445"/>
      <c r="F462" s="445"/>
      <c r="G462" s="445"/>
      <c r="H462" s="445"/>
      <c r="I462" s="445"/>
      <c r="J462" s="445"/>
      <c r="K462" s="1136"/>
      <c r="L462" s="1136"/>
      <c r="M462" s="445"/>
      <c r="N462" s="445"/>
      <c r="O462" s="445"/>
      <c r="P462" s="445"/>
    </row>
    <row r="463" spans="1:16">
      <c r="A463" s="445"/>
      <c r="B463" s="445"/>
      <c r="C463" s="277"/>
      <c r="D463" s="445"/>
      <c r="E463" s="445"/>
      <c r="F463" s="445"/>
      <c r="G463" s="445"/>
      <c r="H463" s="445"/>
      <c r="I463" s="445"/>
      <c r="J463" s="445"/>
      <c r="K463" s="1136"/>
      <c r="L463" s="1136"/>
      <c r="M463" s="445"/>
      <c r="N463" s="445"/>
      <c r="O463" s="445"/>
      <c r="P463" s="445"/>
    </row>
    <row r="464" spans="1:16">
      <c r="A464" s="445"/>
      <c r="B464" s="445"/>
      <c r="C464" s="277"/>
      <c r="D464" s="445"/>
      <c r="E464" s="445"/>
      <c r="F464" s="445"/>
      <c r="G464" s="445"/>
      <c r="H464" s="445"/>
      <c r="I464" s="445"/>
      <c r="J464" s="445"/>
      <c r="K464" s="1136"/>
      <c r="L464" s="1136"/>
      <c r="M464" s="445"/>
      <c r="N464" s="445"/>
      <c r="O464" s="445"/>
      <c r="P464" s="445"/>
    </row>
    <row r="465" spans="1:16">
      <c r="A465" s="445"/>
      <c r="B465" s="445"/>
      <c r="C465" s="277"/>
      <c r="D465" s="445"/>
      <c r="E465" s="445"/>
      <c r="F465" s="445"/>
      <c r="G465" s="445"/>
      <c r="H465" s="445"/>
      <c r="I465" s="445"/>
      <c r="J465" s="445"/>
      <c r="K465" s="1136"/>
      <c r="L465" s="1136"/>
      <c r="M465" s="445"/>
      <c r="N465" s="445"/>
      <c r="O465" s="445"/>
      <c r="P465" s="445"/>
    </row>
    <row r="466" spans="1:16">
      <c r="A466" s="445"/>
      <c r="B466" s="445"/>
      <c r="C466" s="277"/>
      <c r="D466" s="445"/>
      <c r="E466" s="445"/>
      <c r="F466" s="445"/>
      <c r="G466" s="445"/>
      <c r="H466" s="445"/>
      <c r="I466" s="445"/>
      <c r="J466" s="445"/>
      <c r="K466" s="1136"/>
      <c r="L466" s="1136"/>
      <c r="M466" s="445"/>
      <c r="N466" s="445"/>
      <c r="O466" s="445"/>
      <c r="P466" s="445"/>
    </row>
    <row r="467" spans="1:16">
      <c r="A467" s="445"/>
      <c r="B467" s="445"/>
      <c r="C467" s="277"/>
      <c r="D467" s="445"/>
      <c r="E467" s="445"/>
      <c r="F467" s="445"/>
      <c r="G467" s="445"/>
      <c r="H467" s="445"/>
      <c r="I467" s="445"/>
      <c r="J467" s="445"/>
      <c r="K467" s="1136"/>
      <c r="L467" s="1136"/>
      <c r="M467" s="445"/>
      <c r="N467" s="445"/>
      <c r="O467" s="445"/>
      <c r="P467" s="445"/>
    </row>
    <row r="468" spans="1:16">
      <c r="A468" s="445"/>
      <c r="B468" s="445"/>
      <c r="C468" s="277"/>
      <c r="D468" s="445"/>
      <c r="E468" s="445"/>
      <c r="F468" s="445"/>
      <c r="G468" s="445"/>
      <c r="H468" s="445"/>
      <c r="I468" s="445"/>
      <c r="J468" s="445"/>
      <c r="K468" s="1136"/>
      <c r="L468" s="1136"/>
      <c r="M468" s="445"/>
      <c r="N468" s="445"/>
      <c r="O468" s="445"/>
      <c r="P468" s="445"/>
    </row>
    <row r="469" spans="1:16">
      <c r="A469" s="445"/>
      <c r="B469" s="445"/>
      <c r="C469" s="277"/>
      <c r="D469" s="445"/>
      <c r="E469" s="445"/>
      <c r="F469" s="445"/>
      <c r="G469" s="445"/>
      <c r="H469" s="445"/>
      <c r="I469" s="445"/>
      <c r="J469" s="445"/>
      <c r="K469" s="1136"/>
      <c r="L469" s="1136"/>
      <c r="M469" s="445"/>
      <c r="N469" s="445"/>
      <c r="O469" s="445"/>
      <c r="P469" s="445"/>
    </row>
    <row r="470" spans="1:16">
      <c r="A470" s="445"/>
      <c r="B470" s="445"/>
      <c r="C470" s="277"/>
      <c r="D470" s="445"/>
      <c r="E470" s="445"/>
      <c r="F470" s="445"/>
      <c r="G470" s="445"/>
      <c r="H470" s="445"/>
      <c r="I470" s="445"/>
      <c r="J470" s="445"/>
      <c r="K470" s="1136"/>
      <c r="L470" s="1136"/>
      <c r="M470" s="445"/>
      <c r="N470" s="445"/>
      <c r="O470" s="445"/>
      <c r="P470" s="445"/>
    </row>
    <row r="471" spans="1:16">
      <c r="A471" s="445"/>
      <c r="B471" s="445"/>
      <c r="C471" s="277"/>
      <c r="D471" s="445"/>
      <c r="E471" s="445"/>
      <c r="F471" s="445"/>
      <c r="G471" s="445"/>
      <c r="H471" s="445"/>
      <c r="I471" s="445"/>
      <c r="J471" s="445"/>
      <c r="K471" s="1136"/>
      <c r="L471" s="1136"/>
      <c r="M471" s="445"/>
      <c r="N471" s="445"/>
      <c r="O471" s="445"/>
      <c r="P471" s="445"/>
    </row>
    <row r="472" spans="1:16">
      <c r="A472" s="445"/>
      <c r="B472" s="445"/>
      <c r="C472" s="277"/>
      <c r="D472" s="445"/>
      <c r="E472" s="445"/>
      <c r="F472" s="445"/>
      <c r="G472" s="445"/>
      <c r="H472" s="445"/>
      <c r="I472" s="445"/>
      <c r="J472" s="445"/>
      <c r="K472" s="1136"/>
      <c r="L472" s="1136"/>
      <c r="M472" s="445"/>
      <c r="N472" s="445"/>
      <c r="O472" s="445"/>
      <c r="P472" s="445"/>
    </row>
    <row r="473" spans="1:16">
      <c r="A473" s="445"/>
      <c r="B473" s="445"/>
      <c r="C473" s="277"/>
      <c r="D473" s="445"/>
      <c r="E473" s="445"/>
      <c r="F473" s="445"/>
      <c r="G473" s="445"/>
      <c r="H473" s="445"/>
      <c r="I473" s="445"/>
      <c r="J473" s="445"/>
      <c r="K473" s="1136"/>
      <c r="L473" s="1136"/>
      <c r="M473" s="445"/>
      <c r="N473" s="445"/>
      <c r="O473" s="445"/>
      <c r="P473" s="445"/>
    </row>
    <row r="474" spans="1:16">
      <c r="A474" s="445"/>
      <c r="B474" s="445"/>
      <c r="C474" s="277"/>
      <c r="D474" s="445"/>
      <c r="E474" s="445"/>
      <c r="F474" s="445"/>
      <c r="G474" s="445"/>
      <c r="H474" s="445"/>
      <c r="I474" s="445"/>
      <c r="J474" s="445"/>
      <c r="K474" s="1136"/>
      <c r="L474" s="1136"/>
      <c r="M474" s="445"/>
      <c r="N474" s="445"/>
      <c r="O474" s="445"/>
      <c r="P474" s="445"/>
    </row>
    <row r="475" spans="1:16">
      <c r="A475" s="445"/>
      <c r="B475" s="445"/>
      <c r="C475" s="277"/>
      <c r="D475" s="445"/>
      <c r="E475" s="445"/>
      <c r="F475" s="445"/>
      <c r="G475" s="445"/>
      <c r="H475" s="445"/>
      <c r="I475" s="445"/>
      <c r="J475" s="445"/>
      <c r="K475" s="1136"/>
      <c r="L475" s="1136"/>
      <c r="M475" s="445"/>
      <c r="N475" s="445"/>
      <c r="O475" s="445"/>
      <c r="P475" s="445"/>
    </row>
    <row r="476" spans="1:16">
      <c r="A476" s="445"/>
      <c r="B476" s="445"/>
      <c r="C476" s="277"/>
      <c r="D476" s="445"/>
      <c r="E476" s="445"/>
      <c r="F476" s="445"/>
      <c r="G476" s="445"/>
      <c r="H476" s="445"/>
      <c r="I476" s="445"/>
      <c r="J476" s="445"/>
      <c r="K476" s="1136"/>
      <c r="L476" s="1136"/>
      <c r="M476" s="445"/>
      <c r="N476" s="445"/>
      <c r="O476" s="445"/>
      <c r="P476" s="445"/>
    </row>
    <row r="477" spans="1:16">
      <c r="A477" s="445"/>
      <c r="B477" s="445"/>
      <c r="C477" s="277"/>
      <c r="D477" s="445"/>
      <c r="E477" s="445"/>
      <c r="F477" s="445"/>
      <c r="G477" s="445"/>
      <c r="H477" s="445"/>
      <c r="I477" s="445"/>
      <c r="J477" s="445"/>
      <c r="K477" s="1136"/>
      <c r="L477" s="1136"/>
      <c r="M477" s="445"/>
      <c r="N477" s="445"/>
      <c r="O477" s="445"/>
      <c r="P477" s="445"/>
    </row>
    <row r="478" spans="1:16">
      <c r="A478" s="445"/>
      <c r="B478" s="445"/>
      <c r="C478" s="277"/>
      <c r="D478" s="445"/>
      <c r="E478" s="445"/>
      <c r="F478" s="445"/>
      <c r="G478" s="445"/>
      <c r="H478" s="445"/>
      <c r="I478" s="445"/>
      <c r="J478" s="445"/>
      <c r="K478" s="1136"/>
      <c r="L478" s="1136"/>
      <c r="M478" s="445"/>
      <c r="N478" s="445"/>
      <c r="O478" s="445"/>
      <c r="P478" s="445"/>
    </row>
  </sheetData>
  <mergeCells count="4">
    <mergeCell ref="A5:E5"/>
    <mergeCell ref="F5:J5"/>
    <mergeCell ref="K5:M5"/>
    <mergeCell ref="N5:P5"/>
  </mergeCells>
  <printOptions horizontalCentered="1"/>
  <pageMargins left="0.19685039370078741" right="0.19685039370078741" top="0.78740157480314965" bottom="0.78740157480314965" header="0.19685039370078741" footer="0.19685039370078741"/>
  <pageSetup paperSize="9" scale="63" fitToHeight="100" orientation="landscape" r:id="rId1"/>
  <headerFooter>
    <oddHeader>&amp;C&amp;"Arial,Negrita"&amp;20PROYECTO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002060"/>
    <pageSetUpPr fitToPage="1"/>
  </sheetPr>
  <dimension ref="A1:V478"/>
  <sheetViews>
    <sheetView view="pageBreakPreview" zoomScaleNormal="100" zoomScaleSheetLayoutView="100" workbookViewId="0">
      <selection activeCell="B8" sqref="B8"/>
    </sheetView>
  </sheetViews>
  <sheetFormatPr baseColWidth="10" defaultColWidth="11.42578125" defaultRowHeight="12"/>
  <cols>
    <col min="1" max="1" width="13.140625" style="265" customWidth="1"/>
    <col min="2" max="2" width="9.140625" style="265" customWidth="1"/>
    <col min="3" max="3" width="10.140625" style="265" customWidth="1"/>
    <col min="4" max="4" width="20.7109375" style="265" customWidth="1"/>
    <col min="5" max="5" width="10.7109375" style="265" customWidth="1"/>
    <col min="6" max="6" width="9" style="265" bestFit="1" customWidth="1"/>
    <col min="7" max="7" width="35.7109375" style="265" customWidth="1"/>
    <col min="8" max="8" width="20.7109375" style="265" customWidth="1"/>
    <col min="9" max="9" width="35.7109375" style="265" customWidth="1"/>
    <col min="10" max="10" width="20.7109375" style="265" customWidth="1"/>
    <col min="11" max="11" width="7.7109375" style="276" bestFit="1" customWidth="1"/>
    <col min="12" max="12" width="5.42578125" style="276" bestFit="1" customWidth="1"/>
    <col min="13" max="13" width="8.85546875" style="265" bestFit="1" customWidth="1"/>
    <col min="14" max="14" width="7.7109375" style="265" bestFit="1" customWidth="1"/>
    <col min="15" max="15" width="5.42578125" style="265" bestFit="1" customWidth="1"/>
    <col min="16" max="16" width="7.42578125" style="265" bestFit="1" customWidth="1"/>
    <col min="17" max="16384" width="11.42578125" style="265"/>
  </cols>
  <sheetData>
    <row r="1" spans="1:22" s="275" customFormat="1">
      <c r="A1" s="275" t="s">
        <v>473</v>
      </c>
    </row>
    <row r="2" spans="1:22" s="264" customFormat="1">
      <c r="A2" s="69" t="s">
        <v>1655</v>
      </c>
      <c r="B2" s="69"/>
      <c r="C2" s="69"/>
      <c r="D2" s="69"/>
      <c r="E2" s="69"/>
      <c r="F2" s="69"/>
      <c r="G2" s="69"/>
      <c r="H2" s="69"/>
      <c r="I2" s="69"/>
      <c r="J2" s="69"/>
      <c r="K2" s="69"/>
      <c r="L2" s="69"/>
      <c r="M2" s="69"/>
      <c r="N2" s="69"/>
      <c r="O2" s="69"/>
      <c r="P2" s="69"/>
      <c r="Q2" s="69"/>
      <c r="R2" s="69"/>
      <c r="S2" s="69"/>
      <c r="T2" s="69"/>
      <c r="U2" s="69"/>
      <c r="V2" s="69"/>
    </row>
    <row r="3" spans="1:22" s="264" customFormat="1">
      <c r="A3" s="742" t="s">
        <v>1654</v>
      </c>
      <c r="B3" s="69"/>
      <c r="C3" s="69"/>
      <c r="D3" s="69"/>
      <c r="E3" s="69"/>
      <c r="F3" s="69"/>
      <c r="G3" s="69"/>
      <c r="H3" s="69"/>
      <c r="I3" s="69"/>
      <c r="J3" s="69"/>
      <c r="K3" s="69"/>
      <c r="L3" s="69"/>
      <c r="M3" s="69"/>
      <c r="N3" s="69"/>
      <c r="O3" s="69"/>
      <c r="P3" s="69"/>
      <c r="Q3" s="69"/>
      <c r="R3" s="69"/>
      <c r="S3" s="69"/>
      <c r="T3" s="69"/>
      <c r="U3" s="69"/>
      <c r="V3" s="69"/>
    </row>
    <row r="4" spans="1:22" ht="12.75" thickBot="1">
      <c r="A4" s="742" t="s">
        <v>4548</v>
      </c>
    </row>
    <row r="5" spans="1:22" s="277" customFormat="1" ht="12.75" thickBot="1">
      <c r="A5" s="2024" t="s">
        <v>131</v>
      </c>
      <c r="B5" s="2069"/>
      <c r="C5" s="2069"/>
      <c r="D5" s="2069"/>
      <c r="E5" s="2025"/>
      <c r="F5" s="2070" t="s">
        <v>132</v>
      </c>
      <c r="G5" s="2071"/>
      <c r="H5" s="2072"/>
      <c r="I5" s="2072"/>
      <c r="J5" s="2073"/>
      <c r="K5" s="2074" t="s">
        <v>1652</v>
      </c>
      <c r="L5" s="2075"/>
      <c r="M5" s="2076"/>
      <c r="N5" s="2074" t="s">
        <v>1651</v>
      </c>
      <c r="O5" s="2075"/>
      <c r="P5" s="2076"/>
    </row>
    <row r="6" spans="1:22" s="278" customFormat="1" ht="78" thickBot="1">
      <c r="A6" s="401" t="s">
        <v>94</v>
      </c>
      <c r="B6" s="139" t="s">
        <v>8</v>
      </c>
      <c r="C6" s="139" t="s">
        <v>91</v>
      </c>
      <c r="D6" s="402" t="s">
        <v>95</v>
      </c>
      <c r="E6" s="404" t="s">
        <v>115</v>
      </c>
      <c r="F6" s="401" t="s">
        <v>119</v>
      </c>
      <c r="G6" s="402" t="s">
        <v>120</v>
      </c>
      <c r="H6" s="402" t="s">
        <v>134</v>
      </c>
      <c r="I6" s="139" t="s">
        <v>135</v>
      </c>
      <c r="J6" s="399" t="s">
        <v>124</v>
      </c>
      <c r="K6" s="443" t="s">
        <v>121</v>
      </c>
      <c r="L6" s="140" t="s">
        <v>122</v>
      </c>
      <c r="M6" s="141" t="s">
        <v>123</v>
      </c>
      <c r="N6" s="443" t="s">
        <v>121</v>
      </c>
      <c r="O6" s="140" t="s">
        <v>122</v>
      </c>
      <c r="P6" s="141" t="s">
        <v>123</v>
      </c>
    </row>
    <row r="7" spans="1:22" s="264" customFormat="1">
      <c r="A7" s="1394" t="s">
        <v>4393</v>
      </c>
      <c r="B7" s="1395" t="s">
        <v>1869</v>
      </c>
      <c r="C7" s="1395" t="s">
        <v>504</v>
      </c>
      <c r="D7" s="1396" t="s">
        <v>4547</v>
      </c>
      <c r="E7" s="1397">
        <v>2100</v>
      </c>
      <c r="F7" s="1395" t="s">
        <v>4546</v>
      </c>
      <c r="G7" s="1396" t="s">
        <v>4545</v>
      </c>
      <c r="H7" s="1396" t="s">
        <v>1695</v>
      </c>
      <c r="I7" s="1398"/>
      <c r="J7" s="1199" t="s">
        <v>4544</v>
      </c>
      <c r="K7" s="1399" t="s">
        <v>4389</v>
      </c>
      <c r="L7" s="1400" t="s">
        <v>4395</v>
      </c>
      <c r="M7" s="1401">
        <f t="shared" ref="M7:M38" si="0">+E7*L7</f>
        <v>6300</v>
      </c>
      <c r="N7" s="1399" t="s">
        <v>505</v>
      </c>
      <c r="O7" s="1400" t="s">
        <v>505</v>
      </c>
      <c r="P7" s="1401">
        <v>0</v>
      </c>
    </row>
    <row r="8" spans="1:22" s="264" customFormat="1" ht="24">
      <c r="A8" s="1394" t="s">
        <v>4393</v>
      </c>
      <c r="B8" s="1395" t="s">
        <v>1869</v>
      </c>
      <c r="C8" s="1395" t="s">
        <v>504</v>
      </c>
      <c r="D8" s="1396" t="s">
        <v>2696</v>
      </c>
      <c r="E8" s="1397">
        <v>2900</v>
      </c>
      <c r="F8" s="1395" t="s">
        <v>4543</v>
      </c>
      <c r="G8" s="1402" t="s">
        <v>4542</v>
      </c>
      <c r="H8" s="1402" t="s">
        <v>4541</v>
      </c>
      <c r="I8" s="1403"/>
      <c r="J8" s="1199" t="s">
        <v>1513</v>
      </c>
      <c r="K8" s="1399" t="s">
        <v>4398</v>
      </c>
      <c r="L8" s="1400" t="s">
        <v>497</v>
      </c>
      <c r="M8" s="1401">
        <f t="shared" si="0"/>
        <v>34800</v>
      </c>
      <c r="N8" s="1404" t="s">
        <v>4389</v>
      </c>
      <c r="O8" s="1405" t="s">
        <v>4388</v>
      </c>
      <c r="P8" s="1401">
        <f t="shared" ref="P8:P18" si="1">+E8*6</f>
        <v>17400</v>
      </c>
    </row>
    <row r="9" spans="1:22" s="264" customFormat="1" ht="24">
      <c r="A9" s="1394" t="s">
        <v>4393</v>
      </c>
      <c r="B9" s="1395" t="s">
        <v>1869</v>
      </c>
      <c r="C9" s="1395" t="s">
        <v>504</v>
      </c>
      <c r="D9" s="1396" t="s">
        <v>604</v>
      </c>
      <c r="E9" s="1397">
        <v>2700</v>
      </c>
      <c r="F9" s="1406"/>
      <c r="G9" s="1402" t="s">
        <v>4540</v>
      </c>
      <c r="H9" s="1396" t="s">
        <v>1664</v>
      </c>
      <c r="I9" s="1403"/>
      <c r="J9" s="1199"/>
      <c r="K9" s="1399" t="s">
        <v>3625</v>
      </c>
      <c r="L9" s="1400" t="s">
        <v>4395</v>
      </c>
      <c r="M9" s="1401">
        <f t="shared" si="0"/>
        <v>8100</v>
      </c>
      <c r="N9" s="1404" t="s">
        <v>4389</v>
      </c>
      <c r="O9" s="1405" t="s">
        <v>4388</v>
      </c>
      <c r="P9" s="1401">
        <f t="shared" si="1"/>
        <v>16200</v>
      </c>
    </row>
    <row r="10" spans="1:22" s="264" customFormat="1">
      <c r="A10" s="1394" t="s">
        <v>4393</v>
      </c>
      <c r="B10" s="1395" t="s">
        <v>1869</v>
      </c>
      <c r="C10" s="1395" t="s">
        <v>504</v>
      </c>
      <c r="D10" s="1396" t="s">
        <v>4539</v>
      </c>
      <c r="E10" s="1397">
        <v>4500</v>
      </c>
      <c r="F10" s="1395" t="s">
        <v>4538</v>
      </c>
      <c r="G10" s="1396" t="s">
        <v>4537</v>
      </c>
      <c r="H10" s="1396" t="s">
        <v>1695</v>
      </c>
      <c r="I10" s="1398" t="s">
        <v>4309</v>
      </c>
      <c r="J10" s="1199" t="s">
        <v>4536</v>
      </c>
      <c r="K10" s="1399" t="s">
        <v>4398</v>
      </c>
      <c r="L10" s="1400" t="s">
        <v>497</v>
      </c>
      <c r="M10" s="1401">
        <f t="shared" si="0"/>
        <v>54000</v>
      </c>
      <c r="N10" s="1404" t="s">
        <v>4389</v>
      </c>
      <c r="O10" s="1405" t="s">
        <v>4388</v>
      </c>
      <c r="P10" s="1401">
        <f t="shared" si="1"/>
        <v>27000</v>
      </c>
    </row>
    <row r="11" spans="1:22" s="264" customFormat="1">
      <c r="A11" s="1394" t="s">
        <v>4393</v>
      </c>
      <c r="B11" s="1395" t="s">
        <v>1869</v>
      </c>
      <c r="C11" s="1395" t="s">
        <v>504</v>
      </c>
      <c r="D11" s="1199" t="s">
        <v>4535</v>
      </c>
      <c r="E11" s="1397">
        <v>3800</v>
      </c>
      <c r="F11" s="1395"/>
      <c r="G11" s="1396" t="s">
        <v>4534</v>
      </c>
      <c r="H11" s="1396"/>
      <c r="I11" s="1398"/>
      <c r="J11" s="1199"/>
      <c r="K11" s="1399" t="s">
        <v>3625</v>
      </c>
      <c r="L11" s="1400" t="s">
        <v>4395</v>
      </c>
      <c r="M11" s="1401">
        <f t="shared" si="0"/>
        <v>11400</v>
      </c>
      <c r="N11" s="1404" t="s">
        <v>4389</v>
      </c>
      <c r="O11" s="1405" t="s">
        <v>4388</v>
      </c>
      <c r="P11" s="1401">
        <f t="shared" si="1"/>
        <v>22800</v>
      </c>
    </row>
    <row r="12" spans="1:22" s="264" customFormat="1" ht="24">
      <c r="A12" s="1394" t="s">
        <v>4393</v>
      </c>
      <c r="B12" s="1395" t="s">
        <v>1869</v>
      </c>
      <c r="C12" s="1395" t="s">
        <v>504</v>
      </c>
      <c r="D12" s="1396" t="s">
        <v>604</v>
      </c>
      <c r="E12" s="1397">
        <v>1400</v>
      </c>
      <c r="F12" s="1395" t="s">
        <v>4533</v>
      </c>
      <c r="G12" s="1396" t="s">
        <v>4532</v>
      </c>
      <c r="H12" s="1396" t="s">
        <v>1664</v>
      </c>
      <c r="I12" s="1398"/>
      <c r="J12" s="1199" t="s">
        <v>503</v>
      </c>
      <c r="K12" s="1399" t="s">
        <v>4398</v>
      </c>
      <c r="L12" s="1400" t="s">
        <v>497</v>
      </c>
      <c r="M12" s="1401">
        <f t="shared" si="0"/>
        <v>16800</v>
      </c>
      <c r="N12" s="1404" t="s">
        <v>4389</v>
      </c>
      <c r="O12" s="1405" t="s">
        <v>4388</v>
      </c>
      <c r="P12" s="1401">
        <f t="shared" si="1"/>
        <v>8400</v>
      </c>
    </row>
    <row r="13" spans="1:22" s="264" customFormat="1" ht="24">
      <c r="A13" s="1394" t="s">
        <v>4393</v>
      </c>
      <c r="B13" s="1395" t="s">
        <v>1869</v>
      </c>
      <c r="C13" s="1395" t="s">
        <v>504</v>
      </c>
      <c r="D13" s="1396" t="s">
        <v>604</v>
      </c>
      <c r="E13" s="1397">
        <v>1200</v>
      </c>
      <c r="F13" s="1395" t="s">
        <v>4531</v>
      </c>
      <c r="G13" s="1396" t="s">
        <v>4530</v>
      </c>
      <c r="H13" s="1396" t="s">
        <v>1664</v>
      </c>
      <c r="I13" s="1398"/>
      <c r="J13" s="1199" t="s">
        <v>503</v>
      </c>
      <c r="K13" s="1399" t="s">
        <v>4398</v>
      </c>
      <c r="L13" s="1400" t="s">
        <v>497</v>
      </c>
      <c r="M13" s="1401">
        <f t="shared" si="0"/>
        <v>14400</v>
      </c>
      <c r="N13" s="1404" t="s">
        <v>4389</v>
      </c>
      <c r="O13" s="1405" t="s">
        <v>4388</v>
      </c>
      <c r="P13" s="1401">
        <f t="shared" si="1"/>
        <v>7200</v>
      </c>
    </row>
    <row r="14" spans="1:22" s="264" customFormat="1" ht="24">
      <c r="A14" s="1394" t="s">
        <v>4393</v>
      </c>
      <c r="B14" s="1395" t="s">
        <v>1869</v>
      </c>
      <c r="C14" s="1395" t="s">
        <v>504</v>
      </c>
      <c r="D14" s="1396" t="s">
        <v>604</v>
      </c>
      <c r="E14" s="1397">
        <v>2000</v>
      </c>
      <c r="F14" s="1395"/>
      <c r="G14" s="1396" t="s">
        <v>4529</v>
      </c>
      <c r="H14" s="1396" t="s">
        <v>1664</v>
      </c>
      <c r="I14" s="1398"/>
      <c r="J14" s="1199"/>
      <c r="K14" s="1399" t="s">
        <v>3625</v>
      </c>
      <c r="L14" s="1400" t="s">
        <v>4395</v>
      </c>
      <c r="M14" s="1401">
        <f t="shared" si="0"/>
        <v>6000</v>
      </c>
      <c r="N14" s="1404" t="s">
        <v>4389</v>
      </c>
      <c r="O14" s="1405" t="s">
        <v>4388</v>
      </c>
      <c r="P14" s="1401">
        <f t="shared" si="1"/>
        <v>12000</v>
      </c>
    </row>
    <row r="15" spans="1:22" s="264" customFormat="1" ht="24">
      <c r="A15" s="1394" t="s">
        <v>4393</v>
      </c>
      <c r="B15" s="1395" t="s">
        <v>1869</v>
      </c>
      <c r="C15" s="1395" t="s">
        <v>504</v>
      </c>
      <c r="D15" s="1396" t="s">
        <v>4528</v>
      </c>
      <c r="E15" s="1397">
        <v>1200</v>
      </c>
      <c r="F15" s="1395" t="s">
        <v>4527</v>
      </c>
      <c r="G15" s="1396" t="s">
        <v>4526</v>
      </c>
      <c r="H15" s="1396" t="s">
        <v>4415</v>
      </c>
      <c r="I15" s="1398"/>
      <c r="J15" s="1199" t="s">
        <v>4249</v>
      </c>
      <c r="K15" s="1399" t="s">
        <v>4398</v>
      </c>
      <c r="L15" s="1400" t="s">
        <v>497</v>
      </c>
      <c r="M15" s="1401">
        <f t="shared" si="0"/>
        <v>14400</v>
      </c>
      <c r="N15" s="1404" t="s">
        <v>4389</v>
      </c>
      <c r="O15" s="1405" t="s">
        <v>4388</v>
      </c>
      <c r="P15" s="1401">
        <f t="shared" si="1"/>
        <v>7200</v>
      </c>
    </row>
    <row r="16" spans="1:22" s="264" customFormat="1" ht="24">
      <c r="A16" s="1394" t="s">
        <v>4393</v>
      </c>
      <c r="B16" s="1395" t="s">
        <v>1869</v>
      </c>
      <c r="C16" s="1395" t="s">
        <v>504</v>
      </c>
      <c r="D16" s="1396" t="s">
        <v>604</v>
      </c>
      <c r="E16" s="1397">
        <v>2700</v>
      </c>
      <c r="F16" s="1395"/>
      <c r="G16" s="1396" t="s">
        <v>4525</v>
      </c>
      <c r="H16" s="1396"/>
      <c r="I16" s="1398"/>
      <c r="J16" s="1199" t="s">
        <v>1775</v>
      </c>
      <c r="K16" s="1399" t="s">
        <v>3625</v>
      </c>
      <c r="L16" s="1400" t="s">
        <v>4395</v>
      </c>
      <c r="M16" s="1401">
        <f t="shared" si="0"/>
        <v>8100</v>
      </c>
      <c r="N16" s="1404" t="s">
        <v>4389</v>
      </c>
      <c r="O16" s="1405" t="s">
        <v>4388</v>
      </c>
      <c r="P16" s="1401">
        <f t="shared" si="1"/>
        <v>16200</v>
      </c>
    </row>
    <row r="17" spans="1:16" s="264" customFormat="1">
      <c r="A17" s="1394" t="s">
        <v>4393</v>
      </c>
      <c r="B17" s="1395" t="s">
        <v>1869</v>
      </c>
      <c r="C17" s="1395" t="s">
        <v>504</v>
      </c>
      <c r="D17" s="1396" t="s">
        <v>4524</v>
      </c>
      <c r="E17" s="1397">
        <v>3500</v>
      </c>
      <c r="F17" s="1395" t="s">
        <v>4523</v>
      </c>
      <c r="G17" s="1396" t="s">
        <v>4522</v>
      </c>
      <c r="H17" s="1396" t="s">
        <v>1571</v>
      </c>
      <c r="I17" s="1398" t="s">
        <v>4309</v>
      </c>
      <c r="J17" s="1199" t="s">
        <v>1788</v>
      </c>
      <c r="K17" s="1399" t="s">
        <v>4398</v>
      </c>
      <c r="L17" s="1400" t="s">
        <v>497</v>
      </c>
      <c r="M17" s="1401">
        <f t="shared" si="0"/>
        <v>42000</v>
      </c>
      <c r="N17" s="1404" t="s">
        <v>4389</v>
      </c>
      <c r="O17" s="1405" t="s">
        <v>4388</v>
      </c>
      <c r="P17" s="1401">
        <f t="shared" si="1"/>
        <v>21000</v>
      </c>
    </row>
    <row r="18" spans="1:16" s="264" customFormat="1" ht="24">
      <c r="A18" s="1394" t="s">
        <v>4393</v>
      </c>
      <c r="B18" s="1395" t="s">
        <v>1869</v>
      </c>
      <c r="C18" s="1395" t="s">
        <v>504</v>
      </c>
      <c r="D18" s="1396" t="s">
        <v>604</v>
      </c>
      <c r="E18" s="1397">
        <v>1200</v>
      </c>
      <c r="F18" s="1395" t="s">
        <v>4521</v>
      </c>
      <c r="G18" s="1396" t="s">
        <v>4520</v>
      </c>
      <c r="H18" s="1396" t="s">
        <v>1664</v>
      </c>
      <c r="I18" s="1398"/>
      <c r="J18" s="1199" t="s">
        <v>503</v>
      </c>
      <c r="K18" s="1399" t="s">
        <v>4398</v>
      </c>
      <c r="L18" s="1400" t="s">
        <v>497</v>
      </c>
      <c r="M18" s="1401">
        <f t="shared" si="0"/>
        <v>14400</v>
      </c>
      <c r="N18" s="1404" t="s">
        <v>4389</v>
      </c>
      <c r="O18" s="1405" t="s">
        <v>4388</v>
      </c>
      <c r="P18" s="1401">
        <f t="shared" si="1"/>
        <v>7200</v>
      </c>
    </row>
    <row r="19" spans="1:16" s="264" customFormat="1" ht="24">
      <c r="A19" s="1394" t="s">
        <v>4393</v>
      </c>
      <c r="B19" s="1395" t="s">
        <v>1869</v>
      </c>
      <c r="C19" s="1395" t="s">
        <v>504</v>
      </c>
      <c r="D19" s="1396" t="s">
        <v>604</v>
      </c>
      <c r="E19" s="1397">
        <v>1200</v>
      </c>
      <c r="F19" s="1395">
        <v>46677540</v>
      </c>
      <c r="G19" s="1396" t="s">
        <v>4519</v>
      </c>
      <c r="H19" s="1396" t="s">
        <v>1664</v>
      </c>
      <c r="I19" s="1398"/>
      <c r="J19" s="1199" t="s">
        <v>503</v>
      </c>
      <c r="K19" s="1404" t="s">
        <v>4389</v>
      </c>
      <c r="L19" s="1405" t="s">
        <v>4388</v>
      </c>
      <c r="M19" s="1401">
        <f t="shared" si="0"/>
        <v>7200</v>
      </c>
      <c r="N19" s="1399" t="s">
        <v>505</v>
      </c>
      <c r="O19" s="1400" t="s">
        <v>505</v>
      </c>
      <c r="P19" s="1401">
        <v>0</v>
      </c>
    </row>
    <row r="20" spans="1:16" s="264" customFormat="1">
      <c r="A20" s="1394" t="s">
        <v>4393</v>
      </c>
      <c r="B20" s="1395" t="s">
        <v>1869</v>
      </c>
      <c r="C20" s="1395" t="s">
        <v>504</v>
      </c>
      <c r="D20" s="1396" t="s">
        <v>4518</v>
      </c>
      <c r="E20" s="1397">
        <v>1000</v>
      </c>
      <c r="F20" s="1395" t="s">
        <v>4517</v>
      </c>
      <c r="G20" s="1396" t="s">
        <v>4516</v>
      </c>
      <c r="H20" s="1396" t="s">
        <v>4415</v>
      </c>
      <c r="I20" s="1398"/>
      <c r="J20" s="1199" t="s">
        <v>4419</v>
      </c>
      <c r="K20" s="1399" t="s">
        <v>4398</v>
      </c>
      <c r="L20" s="1400" t="s">
        <v>497</v>
      </c>
      <c r="M20" s="1401">
        <f t="shared" si="0"/>
        <v>12000</v>
      </c>
      <c r="N20" s="1404" t="s">
        <v>4389</v>
      </c>
      <c r="O20" s="1405" t="s">
        <v>4388</v>
      </c>
      <c r="P20" s="1401">
        <f>+E20*6</f>
        <v>6000</v>
      </c>
    </row>
    <row r="21" spans="1:16" s="264" customFormat="1">
      <c r="A21" s="1394" t="s">
        <v>4393</v>
      </c>
      <c r="B21" s="1395" t="s">
        <v>1869</v>
      </c>
      <c r="C21" s="1395" t="s">
        <v>504</v>
      </c>
      <c r="D21" s="1396" t="s">
        <v>2032</v>
      </c>
      <c r="E21" s="1397">
        <v>1000</v>
      </c>
      <c r="F21" s="1395" t="s">
        <v>4515</v>
      </c>
      <c r="G21" s="1396" t="s">
        <v>4514</v>
      </c>
      <c r="H21" s="1396" t="s">
        <v>4415</v>
      </c>
      <c r="I21" s="1398"/>
      <c r="J21" s="1199" t="s">
        <v>4249</v>
      </c>
      <c r="K21" s="1399" t="s">
        <v>4398</v>
      </c>
      <c r="L21" s="1400" t="s">
        <v>497</v>
      </c>
      <c r="M21" s="1401">
        <f t="shared" si="0"/>
        <v>12000</v>
      </c>
      <c r="N21" s="1404" t="s">
        <v>4389</v>
      </c>
      <c r="O21" s="1405" t="s">
        <v>4388</v>
      </c>
      <c r="P21" s="1401">
        <f>+E21*6</f>
        <v>6000</v>
      </c>
    </row>
    <row r="22" spans="1:16" s="264" customFormat="1">
      <c r="A22" s="1394" t="s">
        <v>4393</v>
      </c>
      <c r="B22" s="1395" t="s">
        <v>1869</v>
      </c>
      <c r="C22" s="1395" t="s">
        <v>504</v>
      </c>
      <c r="D22" s="1396" t="s">
        <v>4419</v>
      </c>
      <c r="E22" s="1397">
        <v>1800</v>
      </c>
      <c r="F22" s="1395" t="s">
        <v>4513</v>
      </c>
      <c r="G22" s="1396" t="s">
        <v>4512</v>
      </c>
      <c r="H22" s="1396" t="s">
        <v>4415</v>
      </c>
      <c r="I22" s="1398"/>
      <c r="J22" s="1199" t="s">
        <v>4419</v>
      </c>
      <c r="K22" s="1404" t="s">
        <v>505</v>
      </c>
      <c r="L22" s="1405" t="s">
        <v>505</v>
      </c>
      <c r="M22" s="1401">
        <f t="shared" si="0"/>
        <v>0</v>
      </c>
      <c r="N22" s="1404" t="s">
        <v>4389</v>
      </c>
      <c r="O22" s="1405" t="s">
        <v>4388</v>
      </c>
      <c r="P22" s="1401">
        <f>+E22*6</f>
        <v>10800</v>
      </c>
    </row>
    <row r="23" spans="1:16" s="264" customFormat="1">
      <c r="A23" s="1394" t="s">
        <v>4393</v>
      </c>
      <c r="B23" s="1395" t="s">
        <v>1869</v>
      </c>
      <c r="C23" s="1395" t="s">
        <v>504</v>
      </c>
      <c r="D23" s="1396" t="s">
        <v>4473</v>
      </c>
      <c r="E23" s="1397">
        <v>1400</v>
      </c>
      <c r="F23" s="1395" t="s">
        <v>4511</v>
      </c>
      <c r="G23" s="1396" t="s">
        <v>4510</v>
      </c>
      <c r="H23" s="1396" t="s">
        <v>4415</v>
      </c>
      <c r="I23" s="1398"/>
      <c r="J23" s="1199" t="s">
        <v>4257</v>
      </c>
      <c r="K23" s="1404" t="s">
        <v>4389</v>
      </c>
      <c r="L23" s="1405" t="s">
        <v>4388</v>
      </c>
      <c r="M23" s="1401">
        <f t="shared" si="0"/>
        <v>8400</v>
      </c>
      <c r="N23" s="1399" t="s">
        <v>505</v>
      </c>
      <c r="O23" s="1400" t="s">
        <v>505</v>
      </c>
      <c r="P23" s="1401">
        <v>0</v>
      </c>
    </row>
    <row r="24" spans="1:16" s="264" customFormat="1">
      <c r="A24" s="1394" t="s">
        <v>4393</v>
      </c>
      <c r="B24" s="1395" t="s">
        <v>1869</v>
      </c>
      <c r="C24" s="1395" t="s">
        <v>504</v>
      </c>
      <c r="D24" s="1396" t="s">
        <v>659</v>
      </c>
      <c r="E24" s="1397">
        <v>3000</v>
      </c>
      <c r="F24" s="1395" t="s">
        <v>4509</v>
      </c>
      <c r="G24" s="1396" t="s">
        <v>4508</v>
      </c>
      <c r="H24" s="1396" t="s">
        <v>533</v>
      </c>
      <c r="I24" s="1398" t="s">
        <v>4309</v>
      </c>
      <c r="J24" s="1199" t="s">
        <v>659</v>
      </c>
      <c r="K24" s="1399" t="s">
        <v>4398</v>
      </c>
      <c r="L24" s="1400" t="s">
        <v>497</v>
      </c>
      <c r="M24" s="1401">
        <f t="shared" si="0"/>
        <v>36000</v>
      </c>
      <c r="N24" s="1404" t="s">
        <v>4389</v>
      </c>
      <c r="O24" s="1405" t="s">
        <v>4388</v>
      </c>
      <c r="P24" s="1401">
        <f t="shared" ref="P24:P30" si="2">+E24*6</f>
        <v>18000</v>
      </c>
    </row>
    <row r="25" spans="1:16" s="264" customFormat="1">
      <c r="A25" s="1394" t="s">
        <v>4393</v>
      </c>
      <c r="B25" s="1395" t="s">
        <v>1869</v>
      </c>
      <c r="C25" s="1395" t="s">
        <v>504</v>
      </c>
      <c r="D25" s="1396" t="s">
        <v>659</v>
      </c>
      <c r="E25" s="1397">
        <v>4500</v>
      </c>
      <c r="F25" s="1395" t="s">
        <v>4507</v>
      </c>
      <c r="G25" s="1396" t="s">
        <v>4506</v>
      </c>
      <c r="H25" s="1396" t="s">
        <v>4469</v>
      </c>
      <c r="I25" s="1398"/>
      <c r="J25" s="1199" t="s">
        <v>659</v>
      </c>
      <c r="K25" s="1399" t="s">
        <v>4398</v>
      </c>
      <c r="L25" s="1400" t="s">
        <v>497</v>
      </c>
      <c r="M25" s="1401">
        <f t="shared" si="0"/>
        <v>54000</v>
      </c>
      <c r="N25" s="1404" t="s">
        <v>4389</v>
      </c>
      <c r="O25" s="1405" t="s">
        <v>4388</v>
      </c>
      <c r="P25" s="1401">
        <f t="shared" si="2"/>
        <v>27000</v>
      </c>
    </row>
    <row r="26" spans="1:16" s="264" customFormat="1" ht="24">
      <c r="A26" s="1394" t="s">
        <v>4393</v>
      </c>
      <c r="B26" s="1395" t="s">
        <v>1869</v>
      </c>
      <c r="C26" s="1395" t="s">
        <v>504</v>
      </c>
      <c r="D26" s="1396" t="s">
        <v>4505</v>
      </c>
      <c r="E26" s="1397">
        <v>3800</v>
      </c>
      <c r="F26" s="1395"/>
      <c r="G26" s="1396" t="s">
        <v>4504</v>
      </c>
      <c r="H26" s="1396"/>
      <c r="I26" s="1398"/>
      <c r="J26" s="1199"/>
      <c r="K26" s="1399" t="s">
        <v>3625</v>
      </c>
      <c r="L26" s="1400" t="s">
        <v>4395</v>
      </c>
      <c r="M26" s="1401">
        <f t="shared" si="0"/>
        <v>11400</v>
      </c>
      <c r="N26" s="1404" t="s">
        <v>4389</v>
      </c>
      <c r="O26" s="1405" t="s">
        <v>4388</v>
      </c>
      <c r="P26" s="1401">
        <f t="shared" si="2"/>
        <v>22800</v>
      </c>
    </row>
    <row r="27" spans="1:16" s="264" customFormat="1">
      <c r="A27" s="1394" t="s">
        <v>4393</v>
      </c>
      <c r="B27" s="1395" t="s">
        <v>1869</v>
      </c>
      <c r="C27" s="1395" t="s">
        <v>504</v>
      </c>
      <c r="D27" s="1396" t="s">
        <v>4431</v>
      </c>
      <c r="E27" s="1397">
        <v>1000</v>
      </c>
      <c r="F27" s="1395" t="s">
        <v>4503</v>
      </c>
      <c r="G27" s="1396" t="s">
        <v>4502</v>
      </c>
      <c r="H27" s="1396" t="s">
        <v>4415</v>
      </c>
      <c r="I27" s="1398"/>
      <c r="J27" s="1199" t="s">
        <v>4431</v>
      </c>
      <c r="K27" s="1399" t="s">
        <v>4398</v>
      </c>
      <c r="L27" s="1400" t="s">
        <v>497</v>
      </c>
      <c r="M27" s="1401">
        <f t="shared" si="0"/>
        <v>12000</v>
      </c>
      <c r="N27" s="1404" t="s">
        <v>4389</v>
      </c>
      <c r="O27" s="1405" t="s">
        <v>4388</v>
      </c>
      <c r="P27" s="1401">
        <f t="shared" si="2"/>
        <v>6000</v>
      </c>
    </row>
    <row r="28" spans="1:16" s="264" customFormat="1">
      <c r="A28" s="1394" t="s">
        <v>4393</v>
      </c>
      <c r="B28" s="1395" t="s">
        <v>1869</v>
      </c>
      <c r="C28" s="1395" t="s">
        <v>504</v>
      </c>
      <c r="D28" s="1396" t="s">
        <v>2097</v>
      </c>
      <c r="E28" s="1397">
        <v>3000</v>
      </c>
      <c r="F28" s="1395"/>
      <c r="G28" s="1396" t="s">
        <v>4501</v>
      </c>
      <c r="H28" s="1396"/>
      <c r="I28" s="1398"/>
      <c r="J28" s="1396" t="s">
        <v>2097</v>
      </c>
      <c r="K28" s="1399" t="s">
        <v>3625</v>
      </c>
      <c r="L28" s="1400" t="s">
        <v>4395</v>
      </c>
      <c r="M28" s="1401">
        <f t="shared" si="0"/>
        <v>9000</v>
      </c>
      <c r="N28" s="1404" t="s">
        <v>4389</v>
      </c>
      <c r="O28" s="1405" t="s">
        <v>4388</v>
      </c>
      <c r="P28" s="1401">
        <f t="shared" si="2"/>
        <v>18000</v>
      </c>
    </row>
    <row r="29" spans="1:16" s="264" customFormat="1">
      <c r="A29" s="1394" t="s">
        <v>4393</v>
      </c>
      <c r="B29" s="1395" t="s">
        <v>1869</v>
      </c>
      <c r="C29" s="1395" t="s">
        <v>504</v>
      </c>
      <c r="D29" s="1396" t="s">
        <v>2032</v>
      </c>
      <c r="E29" s="1397">
        <v>1000</v>
      </c>
      <c r="F29" s="1395" t="s">
        <v>4500</v>
      </c>
      <c r="G29" s="1396" t="s">
        <v>4499</v>
      </c>
      <c r="H29" s="1396" t="s">
        <v>4415</v>
      </c>
      <c r="I29" s="1398"/>
      <c r="J29" s="1199" t="s">
        <v>4249</v>
      </c>
      <c r="K29" s="1399" t="s">
        <v>4398</v>
      </c>
      <c r="L29" s="1400" t="s">
        <v>497</v>
      </c>
      <c r="M29" s="1401">
        <f t="shared" si="0"/>
        <v>12000</v>
      </c>
      <c r="N29" s="1404" t="s">
        <v>4389</v>
      </c>
      <c r="O29" s="1405" t="s">
        <v>4388</v>
      </c>
      <c r="P29" s="1401">
        <f t="shared" si="2"/>
        <v>6000</v>
      </c>
    </row>
    <row r="30" spans="1:16" s="264" customFormat="1" ht="24">
      <c r="A30" s="1394" t="s">
        <v>4393</v>
      </c>
      <c r="B30" s="1395" t="s">
        <v>1869</v>
      </c>
      <c r="C30" s="1395" t="s">
        <v>504</v>
      </c>
      <c r="D30" s="1396" t="s">
        <v>604</v>
      </c>
      <c r="E30" s="1397">
        <v>1200</v>
      </c>
      <c r="F30" s="1395" t="s">
        <v>4498</v>
      </c>
      <c r="G30" s="1396" t="s">
        <v>4497</v>
      </c>
      <c r="H30" s="1396" t="s">
        <v>1664</v>
      </c>
      <c r="I30" s="1398"/>
      <c r="J30" s="1199" t="s">
        <v>503</v>
      </c>
      <c r="K30" s="1399" t="s">
        <v>4398</v>
      </c>
      <c r="L30" s="1400" t="s">
        <v>497</v>
      </c>
      <c r="M30" s="1401">
        <f t="shared" si="0"/>
        <v>14400</v>
      </c>
      <c r="N30" s="1404" t="s">
        <v>4389</v>
      </c>
      <c r="O30" s="1405" t="s">
        <v>4388</v>
      </c>
      <c r="P30" s="1401">
        <f t="shared" si="2"/>
        <v>7200</v>
      </c>
    </row>
    <row r="31" spans="1:16" s="264" customFormat="1">
      <c r="A31" s="1394" t="s">
        <v>4393</v>
      </c>
      <c r="B31" s="1395" t="s">
        <v>1869</v>
      </c>
      <c r="C31" s="1395" t="s">
        <v>504</v>
      </c>
      <c r="D31" s="1396" t="s">
        <v>4424</v>
      </c>
      <c r="E31" s="1397">
        <v>3200</v>
      </c>
      <c r="F31" s="1395" t="s">
        <v>4496</v>
      </c>
      <c r="G31" s="1396" t="s">
        <v>4495</v>
      </c>
      <c r="H31" s="1396" t="s">
        <v>4487</v>
      </c>
      <c r="I31" s="1398"/>
      <c r="J31" s="1199" t="s">
        <v>4494</v>
      </c>
      <c r="K31" s="1404" t="s">
        <v>4389</v>
      </c>
      <c r="L31" s="1405" t="s">
        <v>4388</v>
      </c>
      <c r="M31" s="1401">
        <f t="shared" si="0"/>
        <v>19200</v>
      </c>
      <c r="N31" s="1399" t="s">
        <v>505</v>
      </c>
      <c r="O31" s="1400" t="s">
        <v>505</v>
      </c>
      <c r="P31" s="1401">
        <v>0</v>
      </c>
    </row>
    <row r="32" spans="1:16" s="264" customFormat="1">
      <c r="A32" s="1394" t="s">
        <v>4393</v>
      </c>
      <c r="B32" s="1395" t="s">
        <v>1869</v>
      </c>
      <c r="C32" s="1395" t="s">
        <v>504</v>
      </c>
      <c r="D32" s="1396" t="s">
        <v>519</v>
      </c>
      <c r="E32" s="1397">
        <v>3800</v>
      </c>
      <c r="F32" s="1395" t="s">
        <v>4493</v>
      </c>
      <c r="G32" s="1396" t="s">
        <v>4492</v>
      </c>
      <c r="H32" s="1396" t="s">
        <v>1571</v>
      </c>
      <c r="I32" s="1398"/>
      <c r="J32" s="1199" t="s">
        <v>1719</v>
      </c>
      <c r="K32" s="1399" t="s">
        <v>4398</v>
      </c>
      <c r="L32" s="1400" t="s">
        <v>497</v>
      </c>
      <c r="M32" s="1401">
        <f t="shared" si="0"/>
        <v>45600</v>
      </c>
      <c r="N32" s="1404" t="s">
        <v>4389</v>
      </c>
      <c r="O32" s="1405" t="s">
        <v>4388</v>
      </c>
      <c r="P32" s="1401">
        <f>+E32*6</f>
        <v>22800</v>
      </c>
    </row>
    <row r="33" spans="1:16" s="264" customFormat="1">
      <c r="A33" s="1394" t="s">
        <v>4393</v>
      </c>
      <c r="B33" s="1395" t="s">
        <v>1869</v>
      </c>
      <c r="C33" s="1395" t="s">
        <v>504</v>
      </c>
      <c r="D33" s="1396" t="s">
        <v>4431</v>
      </c>
      <c r="E33" s="1397">
        <v>1000</v>
      </c>
      <c r="F33" s="1395" t="s">
        <v>4491</v>
      </c>
      <c r="G33" s="1396" t="s">
        <v>4490</v>
      </c>
      <c r="H33" s="1396" t="s">
        <v>1664</v>
      </c>
      <c r="I33" s="1398"/>
      <c r="J33" s="1199" t="s">
        <v>4431</v>
      </c>
      <c r="K33" s="1399" t="s">
        <v>4398</v>
      </c>
      <c r="L33" s="1400" t="s">
        <v>497</v>
      </c>
      <c r="M33" s="1401">
        <f t="shared" si="0"/>
        <v>12000</v>
      </c>
      <c r="N33" s="1404" t="s">
        <v>4389</v>
      </c>
      <c r="O33" s="1405" t="s">
        <v>4388</v>
      </c>
      <c r="P33" s="1401">
        <f>+E33*6</f>
        <v>6000</v>
      </c>
    </row>
    <row r="34" spans="1:16" s="264" customFormat="1">
      <c r="A34" s="1394" t="s">
        <v>4393</v>
      </c>
      <c r="B34" s="1395" t="s">
        <v>1869</v>
      </c>
      <c r="C34" s="1395" t="s">
        <v>504</v>
      </c>
      <c r="D34" s="1396" t="s">
        <v>4424</v>
      </c>
      <c r="E34" s="1397">
        <v>3500</v>
      </c>
      <c r="F34" s="1395" t="s">
        <v>4489</v>
      </c>
      <c r="G34" s="1396" t="s">
        <v>4488</v>
      </c>
      <c r="H34" s="1396" t="s">
        <v>4487</v>
      </c>
      <c r="I34" s="1398"/>
      <c r="J34" s="1199" t="s">
        <v>4486</v>
      </c>
      <c r="K34" s="1399" t="s">
        <v>4398</v>
      </c>
      <c r="L34" s="1400" t="s">
        <v>497</v>
      </c>
      <c r="M34" s="1401">
        <f t="shared" si="0"/>
        <v>42000</v>
      </c>
      <c r="N34" s="1404" t="s">
        <v>4389</v>
      </c>
      <c r="O34" s="1405" t="s">
        <v>4388</v>
      </c>
      <c r="P34" s="1401">
        <f>+E34*6</f>
        <v>21000</v>
      </c>
    </row>
    <row r="35" spans="1:16" s="264" customFormat="1">
      <c r="A35" s="1394" t="s">
        <v>4393</v>
      </c>
      <c r="B35" s="1395" t="s">
        <v>1869</v>
      </c>
      <c r="C35" s="1395" t="s">
        <v>504</v>
      </c>
      <c r="D35" s="1396" t="s">
        <v>4473</v>
      </c>
      <c r="E35" s="1397">
        <v>1000</v>
      </c>
      <c r="F35" s="1395" t="s">
        <v>4485</v>
      </c>
      <c r="G35" s="1396" t="s">
        <v>4484</v>
      </c>
      <c r="H35" s="1396" t="s">
        <v>4415</v>
      </c>
      <c r="I35" s="1398"/>
      <c r="J35" s="1199" t="s">
        <v>4257</v>
      </c>
      <c r="K35" s="1399" t="s">
        <v>4398</v>
      </c>
      <c r="L35" s="1400" t="s">
        <v>497</v>
      </c>
      <c r="M35" s="1401">
        <f t="shared" si="0"/>
        <v>12000</v>
      </c>
      <c r="N35" s="1404" t="s">
        <v>4389</v>
      </c>
      <c r="O35" s="1405" t="s">
        <v>4388</v>
      </c>
      <c r="P35" s="1401">
        <f>+E35*6</f>
        <v>6000</v>
      </c>
    </row>
    <row r="36" spans="1:16" s="264" customFormat="1" ht="24">
      <c r="A36" s="1394" t="s">
        <v>4393</v>
      </c>
      <c r="B36" s="1395" t="s">
        <v>1869</v>
      </c>
      <c r="C36" s="1395" t="s">
        <v>504</v>
      </c>
      <c r="D36" s="1396" t="s">
        <v>604</v>
      </c>
      <c r="E36" s="1397">
        <v>3000</v>
      </c>
      <c r="F36" s="1395" t="s">
        <v>4483</v>
      </c>
      <c r="G36" s="1396" t="s">
        <v>4482</v>
      </c>
      <c r="H36" s="1396" t="s">
        <v>1664</v>
      </c>
      <c r="I36" s="1398"/>
      <c r="J36" s="1199" t="s">
        <v>4467</v>
      </c>
      <c r="K36" s="1399" t="s">
        <v>4398</v>
      </c>
      <c r="L36" s="1400" t="s">
        <v>497</v>
      </c>
      <c r="M36" s="1401">
        <f t="shared" si="0"/>
        <v>36000</v>
      </c>
      <c r="N36" s="1404" t="s">
        <v>4389</v>
      </c>
      <c r="O36" s="1405" t="s">
        <v>4388</v>
      </c>
      <c r="P36" s="1401">
        <f>+E36*6</f>
        <v>18000</v>
      </c>
    </row>
    <row r="37" spans="1:16" s="264" customFormat="1">
      <c r="A37" s="1394" t="s">
        <v>4393</v>
      </c>
      <c r="B37" s="1395" t="s">
        <v>1869</v>
      </c>
      <c r="C37" s="1395" t="s">
        <v>504</v>
      </c>
      <c r="D37" s="1396" t="s">
        <v>4481</v>
      </c>
      <c r="E37" s="1397">
        <v>4500</v>
      </c>
      <c r="F37" s="1406" t="s">
        <v>4478</v>
      </c>
      <c r="G37" s="1396" t="s">
        <v>4480</v>
      </c>
      <c r="H37" s="1396" t="s">
        <v>533</v>
      </c>
      <c r="I37" s="1398" t="s">
        <v>4309</v>
      </c>
      <c r="J37" s="1199" t="s">
        <v>4467</v>
      </c>
      <c r="K37" s="1404" t="s">
        <v>4389</v>
      </c>
      <c r="L37" s="1405" t="s">
        <v>4388</v>
      </c>
      <c r="M37" s="1401">
        <f t="shared" si="0"/>
        <v>27000</v>
      </c>
      <c r="N37" s="1399" t="s">
        <v>505</v>
      </c>
      <c r="O37" s="1400" t="s">
        <v>505</v>
      </c>
      <c r="P37" s="1401">
        <v>0</v>
      </c>
    </row>
    <row r="38" spans="1:16" s="264" customFormat="1" ht="24">
      <c r="A38" s="1394" t="s">
        <v>4393</v>
      </c>
      <c r="B38" s="1395" t="s">
        <v>1869</v>
      </c>
      <c r="C38" s="1395" t="s">
        <v>504</v>
      </c>
      <c r="D38" s="1396" t="s">
        <v>4479</v>
      </c>
      <c r="E38" s="1397">
        <v>1200</v>
      </c>
      <c r="F38" s="1395" t="s">
        <v>4478</v>
      </c>
      <c r="G38" s="1396" t="s">
        <v>4477</v>
      </c>
      <c r="H38" s="1396" t="s">
        <v>4476</v>
      </c>
      <c r="I38" s="1398" t="s">
        <v>4309</v>
      </c>
      <c r="J38" s="1199" t="s">
        <v>845</v>
      </c>
      <c r="K38" s="1399" t="s">
        <v>4398</v>
      </c>
      <c r="L38" s="1400" t="s">
        <v>497</v>
      </c>
      <c r="M38" s="1401">
        <f t="shared" si="0"/>
        <v>14400</v>
      </c>
      <c r="N38" s="1404" t="s">
        <v>4389</v>
      </c>
      <c r="O38" s="1405" t="s">
        <v>4388</v>
      </c>
      <c r="P38" s="1401">
        <f t="shared" ref="P38:P49" si="3">+E38*6</f>
        <v>7200</v>
      </c>
    </row>
    <row r="39" spans="1:16" s="264" customFormat="1">
      <c r="A39" s="1394" t="s">
        <v>4393</v>
      </c>
      <c r="B39" s="1395" t="s">
        <v>1869</v>
      </c>
      <c r="C39" s="1395" t="s">
        <v>504</v>
      </c>
      <c r="D39" s="1396" t="s">
        <v>4431</v>
      </c>
      <c r="E39" s="1397">
        <v>1000</v>
      </c>
      <c r="F39" s="1395" t="s">
        <v>4475</v>
      </c>
      <c r="G39" s="1396" t="s">
        <v>4474</v>
      </c>
      <c r="H39" s="1396" t="s">
        <v>4415</v>
      </c>
      <c r="I39" s="1398"/>
      <c r="J39" s="1199" t="s">
        <v>4431</v>
      </c>
      <c r="K39" s="1399" t="s">
        <v>4398</v>
      </c>
      <c r="L39" s="1400" t="s">
        <v>497</v>
      </c>
      <c r="M39" s="1401">
        <f t="shared" ref="M39:M69" si="4">+E39*L39</f>
        <v>12000</v>
      </c>
      <c r="N39" s="1404" t="s">
        <v>4389</v>
      </c>
      <c r="O39" s="1405" t="s">
        <v>4388</v>
      </c>
      <c r="P39" s="1401">
        <f t="shared" si="3"/>
        <v>6000</v>
      </c>
    </row>
    <row r="40" spans="1:16" s="264" customFormat="1">
      <c r="A40" s="1394" t="s">
        <v>4393</v>
      </c>
      <c r="B40" s="1395" t="s">
        <v>1869</v>
      </c>
      <c r="C40" s="1395" t="s">
        <v>504</v>
      </c>
      <c r="D40" s="1396" t="s">
        <v>4473</v>
      </c>
      <c r="E40" s="1397">
        <v>1000</v>
      </c>
      <c r="F40" s="1395" t="s">
        <v>4472</v>
      </c>
      <c r="G40" s="1396" t="s">
        <v>4471</v>
      </c>
      <c r="H40" s="1396" t="s">
        <v>4415</v>
      </c>
      <c r="I40" s="1398"/>
      <c r="J40" s="1199" t="s">
        <v>4257</v>
      </c>
      <c r="K40" s="1399" t="s">
        <v>4398</v>
      </c>
      <c r="L40" s="1400" t="s">
        <v>497</v>
      </c>
      <c r="M40" s="1401">
        <f t="shared" si="4"/>
        <v>12000</v>
      </c>
      <c r="N40" s="1404" t="s">
        <v>4389</v>
      </c>
      <c r="O40" s="1405" t="s">
        <v>4388</v>
      </c>
      <c r="P40" s="1401">
        <f t="shared" si="3"/>
        <v>6000</v>
      </c>
    </row>
    <row r="41" spans="1:16" s="264" customFormat="1">
      <c r="A41" s="1394" t="s">
        <v>4393</v>
      </c>
      <c r="B41" s="1395" t="s">
        <v>1869</v>
      </c>
      <c r="C41" s="1395" t="s">
        <v>504</v>
      </c>
      <c r="D41" s="1396" t="s">
        <v>4431</v>
      </c>
      <c r="E41" s="1397">
        <v>1000</v>
      </c>
      <c r="F41" s="1395">
        <v>47900086</v>
      </c>
      <c r="G41" s="1396" t="s">
        <v>4470</v>
      </c>
      <c r="H41" s="1396" t="s">
        <v>4415</v>
      </c>
      <c r="I41" s="1398"/>
      <c r="J41" s="1199" t="s">
        <v>4431</v>
      </c>
      <c r="K41" s="1399" t="s">
        <v>4398</v>
      </c>
      <c r="L41" s="1400" t="s">
        <v>497</v>
      </c>
      <c r="M41" s="1401">
        <f t="shared" si="4"/>
        <v>12000</v>
      </c>
      <c r="N41" s="1404" t="s">
        <v>4389</v>
      </c>
      <c r="O41" s="1405" t="s">
        <v>4388</v>
      </c>
      <c r="P41" s="1401">
        <f t="shared" si="3"/>
        <v>6000</v>
      </c>
    </row>
    <row r="42" spans="1:16" s="264" customFormat="1">
      <c r="A42" s="1394" t="s">
        <v>4393</v>
      </c>
      <c r="B42" s="1395" t="s">
        <v>1869</v>
      </c>
      <c r="C42" s="1395" t="s">
        <v>504</v>
      </c>
      <c r="D42" s="1396" t="s">
        <v>4469</v>
      </c>
      <c r="E42" s="1397">
        <v>1200</v>
      </c>
      <c r="F42" s="1395">
        <v>43369274</v>
      </c>
      <c r="G42" s="1396" t="s">
        <v>4468</v>
      </c>
      <c r="H42" s="1396" t="s">
        <v>1664</v>
      </c>
      <c r="I42" s="1398"/>
      <c r="J42" s="1199" t="s">
        <v>4467</v>
      </c>
      <c r="K42" s="1399" t="s">
        <v>4398</v>
      </c>
      <c r="L42" s="1400" t="s">
        <v>497</v>
      </c>
      <c r="M42" s="1401">
        <f t="shared" si="4"/>
        <v>14400</v>
      </c>
      <c r="N42" s="1404" t="s">
        <v>4389</v>
      </c>
      <c r="O42" s="1405" t="s">
        <v>4388</v>
      </c>
      <c r="P42" s="1401">
        <f t="shared" si="3"/>
        <v>7200</v>
      </c>
    </row>
    <row r="43" spans="1:16" s="264" customFormat="1" ht="24">
      <c r="A43" s="1394" t="s">
        <v>4393</v>
      </c>
      <c r="B43" s="1395" t="s">
        <v>1869</v>
      </c>
      <c r="C43" s="1395" t="s">
        <v>504</v>
      </c>
      <c r="D43" s="1396" t="s">
        <v>4418</v>
      </c>
      <c r="E43" s="1397">
        <v>1200</v>
      </c>
      <c r="F43" s="1395">
        <v>40688759</v>
      </c>
      <c r="G43" s="1396" t="s">
        <v>4466</v>
      </c>
      <c r="H43" s="1396" t="s">
        <v>4415</v>
      </c>
      <c r="I43" s="1398"/>
      <c r="J43" s="1199" t="s">
        <v>4465</v>
      </c>
      <c r="K43" s="1399" t="s">
        <v>4398</v>
      </c>
      <c r="L43" s="1400" t="s">
        <v>497</v>
      </c>
      <c r="M43" s="1401">
        <f t="shared" si="4"/>
        <v>14400</v>
      </c>
      <c r="N43" s="1404" t="s">
        <v>4389</v>
      </c>
      <c r="O43" s="1405" t="s">
        <v>4388</v>
      </c>
      <c r="P43" s="1401">
        <f t="shared" si="3"/>
        <v>7200</v>
      </c>
    </row>
    <row r="44" spans="1:16" s="264" customFormat="1">
      <c r="A44" s="1394" t="s">
        <v>4393</v>
      </c>
      <c r="B44" s="1395" t="s">
        <v>1869</v>
      </c>
      <c r="C44" s="1395" t="s">
        <v>504</v>
      </c>
      <c r="D44" s="1396" t="s">
        <v>4464</v>
      </c>
      <c r="E44" s="1397">
        <v>3000</v>
      </c>
      <c r="F44" s="1395"/>
      <c r="G44" s="1396" t="s">
        <v>4463</v>
      </c>
      <c r="H44" s="1396"/>
      <c r="I44" s="1398"/>
      <c r="J44" s="1199" t="s">
        <v>1775</v>
      </c>
      <c r="K44" s="1399" t="s">
        <v>3625</v>
      </c>
      <c r="L44" s="1400" t="s">
        <v>4395</v>
      </c>
      <c r="M44" s="1401">
        <f t="shared" si="4"/>
        <v>9000</v>
      </c>
      <c r="N44" s="1404" t="s">
        <v>4389</v>
      </c>
      <c r="O44" s="1405" t="s">
        <v>4388</v>
      </c>
      <c r="P44" s="1401">
        <f t="shared" si="3"/>
        <v>18000</v>
      </c>
    </row>
    <row r="45" spans="1:16" s="264" customFormat="1">
      <c r="A45" s="1394" t="s">
        <v>4393</v>
      </c>
      <c r="B45" s="1395" t="s">
        <v>1869</v>
      </c>
      <c r="C45" s="1395" t="s">
        <v>504</v>
      </c>
      <c r="D45" s="1396" t="s">
        <v>4460</v>
      </c>
      <c r="E45" s="1397">
        <v>2500</v>
      </c>
      <c r="F45" s="1395" t="s">
        <v>4462</v>
      </c>
      <c r="G45" s="1396" t="s">
        <v>4461</v>
      </c>
      <c r="H45" s="1396" t="s">
        <v>533</v>
      </c>
      <c r="I45" s="1398"/>
      <c r="J45" s="1199" t="s">
        <v>4460</v>
      </c>
      <c r="K45" s="1399" t="s">
        <v>4398</v>
      </c>
      <c r="L45" s="1400" t="s">
        <v>497</v>
      </c>
      <c r="M45" s="1401">
        <f t="shared" si="4"/>
        <v>30000</v>
      </c>
      <c r="N45" s="1404" t="s">
        <v>4389</v>
      </c>
      <c r="O45" s="1405" t="s">
        <v>4388</v>
      </c>
      <c r="P45" s="1401">
        <f t="shared" si="3"/>
        <v>15000</v>
      </c>
    </row>
    <row r="46" spans="1:16" s="264" customFormat="1" ht="24">
      <c r="A46" s="1394" t="s">
        <v>4393</v>
      </c>
      <c r="B46" s="1395" t="s">
        <v>1869</v>
      </c>
      <c r="C46" s="1395" t="s">
        <v>504</v>
      </c>
      <c r="D46" s="1396" t="s">
        <v>4418</v>
      </c>
      <c r="E46" s="1397">
        <v>1000</v>
      </c>
      <c r="F46" s="1395" t="s">
        <v>4459</v>
      </c>
      <c r="G46" s="1396" t="s">
        <v>4458</v>
      </c>
      <c r="H46" s="1396" t="s">
        <v>4415</v>
      </c>
      <c r="I46" s="1398"/>
      <c r="J46" s="1199" t="s">
        <v>4249</v>
      </c>
      <c r="K46" s="1399" t="s">
        <v>4398</v>
      </c>
      <c r="L46" s="1400" t="s">
        <v>497</v>
      </c>
      <c r="M46" s="1401">
        <f t="shared" si="4"/>
        <v>12000</v>
      </c>
      <c r="N46" s="1404" t="s">
        <v>4389</v>
      </c>
      <c r="O46" s="1405" t="s">
        <v>4388</v>
      </c>
      <c r="P46" s="1401">
        <f t="shared" si="3"/>
        <v>6000</v>
      </c>
    </row>
    <row r="47" spans="1:16" s="264" customFormat="1">
      <c r="A47" s="1394" t="s">
        <v>4393</v>
      </c>
      <c r="B47" s="1395" t="s">
        <v>1869</v>
      </c>
      <c r="C47" s="1395" t="s">
        <v>504</v>
      </c>
      <c r="D47" s="1396" t="s">
        <v>4431</v>
      </c>
      <c r="E47" s="1397">
        <v>1150</v>
      </c>
      <c r="F47" s="1395" t="s">
        <v>4457</v>
      </c>
      <c r="G47" s="1396" t="s">
        <v>4456</v>
      </c>
      <c r="H47" s="1396" t="s">
        <v>4415</v>
      </c>
      <c r="I47" s="1398"/>
      <c r="J47" s="1199" t="s">
        <v>4431</v>
      </c>
      <c r="K47" s="1399" t="s">
        <v>4398</v>
      </c>
      <c r="L47" s="1400" t="s">
        <v>497</v>
      </c>
      <c r="M47" s="1401">
        <f t="shared" si="4"/>
        <v>13800</v>
      </c>
      <c r="N47" s="1404" t="s">
        <v>4389</v>
      </c>
      <c r="O47" s="1405" t="s">
        <v>4388</v>
      </c>
      <c r="P47" s="1401">
        <f t="shared" si="3"/>
        <v>6900</v>
      </c>
    </row>
    <row r="48" spans="1:16" s="264" customFormat="1">
      <c r="A48" s="1394" t="s">
        <v>4393</v>
      </c>
      <c r="B48" s="1395" t="s">
        <v>1869</v>
      </c>
      <c r="C48" s="1395" t="s">
        <v>504</v>
      </c>
      <c r="D48" s="1396" t="s">
        <v>4455</v>
      </c>
      <c r="E48" s="1397">
        <v>2000</v>
      </c>
      <c r="F48" s="1395" t="s">
        <v>4454</v>
      </c>
      <c r="G48" s="1396" t="s">
        <v>4453</v>
      </c>
      <c r="H48" s="1396" t="s">
        <v>1664</v>
      </c>
      <c r="I48" s="1398"/>
      <c r="J48" s="1199" t="s">
        <v>3864</v>
      </c>
      <c r="K48" s="1399" t="s">
        <v>4398</v>
      </c>
      <c r="L48" s="1400" t="s">
        <v>497</v>
      </c>
      <c r="M48" s="1401">
        <f t="shared" si="4"/>
        <v>24000</v>
      </c>
      <c r="N48" s="1404" t="s">
        <v>4389</v>
      </c>
      <c r="O48" s="1405" t="s">
        <v>4388</v>
      </c>
      <c r="P48" s="1401">
        <f t="shared" si="3"/>
        <v>12000</v>
      </c>
    </row>
    <row r="49" spans="1:16" s="264" customFormat="1">
      <c r="A49" s="1394" t="s">
        <v>4393</v>
      </c>
      <c r="B49" s="1395" t="s">
        <v>1869</v>
      </c>
      <c r="C49" s="1395" t="s">
        <v>504</v>
      </c>
      <c r="D49" s="1396" t="s">
        <v>4452</v>
      </c>
      <c r="E49" s="1397">
        <v>4200</v>
      </c>
      <c r="F49" s="1395" t="s">
        <v>4451</v>
      </c>
      <c r="G49" s="1396" t="s">
        <v>4450</v>
      </c>
      <c r="H49" s="1396" t="s">
        <v>1664</v>
      </c>
      <c r="I49" s="1398"/>
      <c r="J49" s="1199" t="s">
        <v>4449</v>
      </c>
      <c r="K49" s="1399" t="s">
        <v>3625</v>
      </c>
      <c r="L49" s="1400" t="s">
        <v>4395</v>
      </c>
      <c r="M49" s="1401">
        <f t="shared" si="4"/>
        <v>12600</v>
      </c>
      <c r="N49" s="1404" t="s">
        <v>4389</v>
      </c>
      <c r="O49" s="1405" t="s">
        <v>4388</v>
      </c>
      <c r="P49" s="1401">
        <f t="shared" si="3"/>
        <v>25200</v>
      </c>
    </row>
    <row r="50" spans="1:16" s="264" customFormat="1" ht="24">
      <c r="A50" s="1394" t="s">
        <v>4393</v>
      </c>
      <c r="B50" s="1395" t="s">
        <v>1869</v>
      </c>
      <c r="C50" s="1395" t="s">
        <v>504</v>
      </c>
      <c r="D50" s="1396" t="s">
        <v>4448</v>
      </c>
      <c r="E50" s="1397">
        <v>3200</v>
      </c>
      <c r="F50" s="1395" t="s">
        <v>4447</v>
      </c>
      <c r="G50" s="1396" t="s">
        <v>4446</v>
      </c>
      <c r="H50" s="1396" t="s">
        <v>533</v>
      </c>
      <c r="I50" s="1398" t="s">
        <v>4309</v>
      </c>
      <c r="J50" s="1199" t="s">
        <v>4445</v>
      </c>
      <c r="K50" s="1404" t="s">
        <v>4389</v>
      </c>
      <c r="L50" s="1405" t="s">
        <v>4388</v>
      </c>
      <c r="M50" s="1401">
        <f t="shared" si="4"/>
        <v>19200</v>
      </c>
      <c r="N50" s="1399" t="s">
        <v>505</v>
      </c>
      <c r="O50" s="1400" t="s">
        <v>505</v>
      </c>
      <c r="P50" s="1401">
        <v>0</v>
      </c>
    </row>
    <row r="51" spans="1:16" s="264" customFormat="1" ht="24">
      <c r="A51" s="1394" t="s">
        <v>4393</v>
      </c>
      <c r="B51" s="1395" t="s">
        <v>1869</v>
      </c>
      <c r="C51" s="1395" t="s">
        <v>504</v>
      </c>
      <c r="D51" s="1396" t="s">
        <v>604</v>
      </c>
      <c r="E51" s="1397">
        <v>2700</v>
      </c>
      <c r="F51" s="1395"/>
      <c r="G51" s="1396" t="s">
        <v>4444</v>
      </c>
      <c r="H51" s="1396"/>
      <c r="I51" s="1398"/>
      <c r="J51" s="1199" t="s">
        <v>1775</v>
      </c>
      <c r="K51" s="1399" t="s">
        <v>3625</v>
      </c>
      <c r="L51" s="1400" t="s">
        <v>4395</v>
      </c>
      <c r="M51" s="1401">
        <f t="shared" si="4"/>
        <v>8100</v>
      </c>
      <c r="N51" s="1404" t="s">
        <v>4389</v>
      </c>
      <c r="O51" s="1405" t="s">
        <v>4388</v>
      </c>
      <c r="P51" s="1401">
        <f>+E51*6</f>
        <v>16200</v>
      </c>
    </row>
    <row r="52" spans="1:16" s="264" customFormat="1">
      <c r="A52" s="1394" t="s">
        <v>4393</v>
      </c>
      <c r="B52" s="1395" t="s">
        <v>1869</v>
      </c>
      <c r="C52" s="1395" t="s">
        <v>504</v>
      </c>
      <c r="D52" s="1396" t="s">
        <v>4431</v>
      </c>
      <c r="E52" s="1397">
        <v>1000</v>
      </c>
      <c r="F52" s="1395" t="s">
        <v>4443</v>
      </c>
      <c r="G52" s="1396" t="s">
        <v>4442</v>
      </c>
      <c r="H52" s="1396" t="s">
        <v>4415</v>
      </c>
      <c r="I52" s="1398"/>
      <c r="J52" s="1199" t="s">
        <v>4431</v>
      </c>
      <c r="K52" s="1399" t="s">
        <v>4398</v>
      </c>
      <c r="L52" s="1400" t="s">
        <v>497</v>
      </c>
      <c r="M52" s="1401">
        <f t="shared" si="4"/>
        <v>12000</v>
      </c>
      <c r="N52" s="1404" t="s">
        <v>4389</v>
      </c>
      <c r="O52" s="1405" t="s">
        <v>4388</v>
      </c>
      <c r="P52" s="1401">
        <f>+E52*6</f>
        <v>6000</v>
      </c>
    </row>
    <row r="53" spans="1:16" s="264" customFormat="1">
      <c r="A53" s="1394" t="s">
        <v>4393</v>
      </c>
      <c r="B53" s="1395" t="s">
        <v>1869</v>
      </c>
      <c r="C53" s="1395" t="s">
        <v>504</v>
      </c>
      <c r="D53" s="1396" t="s">
        <v>4431</v>
      </c>
      <c r="E53" s="1397">
        <v>1000</v>
      </c>
      <c r="F53" s="1395" t="s">
        <v>4441</v>
      </c>
      <c r="G53" s="1396" t="s">
        <v>4440</v>
      </c>
      <c r="H53" s="1396" t="s">
        <v>1664</v>
      </c>
      <c r="I53" s="1398"/>
      <c r="J53" s="1199" t="s">
        <v>4431</v>
      </c>
      <c r="K53" s="1404" t="s">
        <v>3625</v>
      </c>
      <c r="L53" s="1405" t="s">
        <v>4395</v>
      </c>
      <c r="M53" s="1401">
        <f t="shared" si="4"/>
        <v>3000</v>
      </c>
      <c r="N53" s="1399" t="s">
        <v>505</v>
      </c>
      <c r="O53" s="1400" t="s">
        <v>505</v>
      </c>
      <c r="P53" s="1401">
        <v>0</v>
      </c>
    </row>
    <row r="54" spans="1:16" s="264" customFormat="1" ht="24">
      <c r="A54" s="1394" t="s">
        <v>4393</v>
      </c>
      <c r="B54" s="1395" t="s">
        <v>1869</v>
      </c>
      <c r="C54" s="1395" t="s">
        <v>504</v>
      </c>
      <c r="D54" s="1396" t="s">
        <v>604</v>
      </c>
      <c r="E54" s="1397">
        <v>2700</v>
      </c>
      <c r="F54" s="1395" t="s">
        <v>4439</v>
      </c>
      <c r="G54" s="1396" t="s">
        <v>4438</v>
      </c>
      <c r="H54" s="1396" t="s">
        <v>1664</v>
      </c>
      <c r="I54" s="1398"/>
      <c r="J54" s="1199" t="s">
        <v>503</v>
      </c>
      <c r="K54" s="1399" t="s">
        <v>4398</v>
      </c>
      <c r="L54" s="1400" t="s">
        <v>497</v>
      </c>
      <c r="M54" s="1401">
        <f t="shared" si="4"/>
        <v>32400</v>
      </c>
      <c r="N54" s="1404" t="s">
        <v>4389</v>
      </c>
      <c r="O54" s="1405" t="s">
        <v>4388</v>
      </c>
      <c r="P54" s="1401">
        <f t="shared" ref="P54:P60" si="5">+E54*6</f>
        <v>16200</v>
      </c>
    </row>
    <row r="55" spans="1:16" s="264" customFormat="1">
      <c r="A55" s="1394" t="s">
        <v>4393</v>
      </c>
      <c r="B55" s="1395" t="s">
        <v>1869</v>
      </c>
      <c r="C55" s="1395" t="s">
        <v>504</v>
      </c>
      <c r="D55" s="1396" t="s">
        <v>4419</v>
      </c>
      <c r="E55" s="1397">
        <v>1000</v>
      </c>
      <c r="F55" s="1395" t="s">
        <v>4437</v>
      </c>
      <c r="G55" s="1396" t="s">
        <v>4436</v>
      </c>
      <c r="H55" s="1396" t="s">
        <v>4415</v>
      </c>
      <c r="I55" s="1398"/>
      <c r="J55" s="1199" t="s">
        <v>4431</v>
      </c>
      <c r="K55" s="1399" t="s">
        <v>4398</v>
      </c>
      <c r="L55" s="1400" t="s">
        <v>497</v>
      </c>
      <c r="M55" s="1401">
        <f t="shared" si="4"/>
        <v>12000</v>
      </c>
      <c r="N55" s="1404" t="s">
        <v>4389</v>
      </c>
      <c r="O55" s="1405" t="s">
        <v>4388</v>
      </c>
      <c r="P55" s="1401">
        <f t="shared" si="5"/>
        <v>6000</v>
      </c>
    </row>
    <row r="56" spans="1:16" s="264" customFormat="1">
      <c r="A56" s="1394" t="s">
        <v>4393</v>
      </c>
      <c r="B56" s="1395" t="s">
        <v>1869</v>
      </c>
      <c r="C56" s="1395" t="s">
        <v>504</v>
      </c>
      <c r="D56" s="1396" t="s">
        <v>4431</v>
      </c>
      <c r="E56" s="1397">
        <v>1000</v>
      </c>
      <c r="F56" s="1395" t="s">
        <v>4435</v>
      </c>
      <c r="G56" s="1396" t="s">
        <v>4434</v>
      </c>
      <c r="H56" s="1396" t="s">
        <v>4415</v>
      </c>
      <c r="I56" s="1398"/>
      <c r="J56" s="1199" t="s">
        <v>4419</v>
      </c>
      <c r="K56" s="1399" t="s">
        <v>4398</v>
      </c>
      <c r="L56" s="1400" t="s">
        <v>497</v>
      </c>
      <c r="M56" s="1401">
        <f t="shared" si="4"/>
        <v>12000</v>
      </c>
      <c r="N56" s="1404" t="s">
        <v>4389</v>
      </c>
      <c r="O56" s="1405" t="s">
        <v>4388</v>
      </c>
      <c r="P56" s="1401">
        <f t="shared" si="5"/>
        <v>6000</v>
      </c>
    </row>
    <row r="57" spans="1:16" s="264" customFormat="1">
      <c r="A57" s="1394" t="s">
        <v>4393</v>
      </c>
      <c r="B57" s="1395" t="s">
        <v>1869</v>
      </c>
      <c r="C57" s="1395" t="s">
        <v>504</v>
      </c>
      <c r="D57" s="1396" t="s">
        <v>4431</v>
      </c>
      <c r="E57" s="1397">
        <v>1000</v>
      </c>
      <c r="F57" s="1395" t="s">
        <v>4433</v>
      </c>
      <c r="G57" s="1396" t="s">
        <v>4432</v>
      </c>
      <c r="H57" s="1396" t="s">
        <v>4415</v>
      </c>
      <c r="I57" s="1398"/>
      <c r="J57" s="1199" t="s">
        <v>4431</v>
      </c>
      <c r="K57" s="1399" t="s">
        <v>4398</v>
      </c>
      <c r="L57" s="1400" t="s">
        <v>497</v>
      </c>
      <c r="M57" s="1401">
        <f t="shared" si="4"/>
        <v>12000</v>
      </c>
      <c r="N57" s="1404" t="s">
        <v>4389</v>
      </c>
      <c r="O57" s="1405" t="s">
        <v>4388</v>
      </c>
      <c r="P57" s="1401">
        <f t="shared" si="5"/>
        <v>6000</v>
      </c>
    </row>
    <row r="58" spans="1:16" s="264" customFormat="1" ht="24">
      <c r="A58" s="1394" t="s">
        <v>4393</v>
      </c>
      <c r="B58" s="1395" t="s">
        <v>1869</v>
      </c>
      <c r="C58" s="1395" t="s">
        <v>504</v>
      </c>
      <c r="D58" s="1396" t="s">
        <v>604</v>
      </c>
      <c r="E58" s="1397">
        <v>1200</v>
      </c>
      <c r="F58" s="1395" t="s">
        <v>4430</v>
      </c>
      <c r="G58" s="1396" t="s">
        <v>4429</v>
      </c>
      <c r="H58" s="1396" t="s">
        <v>1664</v>
      </c>
      <c r="I58" s="1398"/>
      <c r="J58" s="1199" t="s">
        <v>1775</v>
      </c>
      <c r="K58" s="1399" t="s">
        <v>4398</v>
      </c>
      <c r="L58" s="1400" t="s">
        <v>497</v>
      </c>
      <c r="M58" s="1401">
        <f t="shared" si="4"/>
        <v>14400</v>
      </c>
      <c r="N58" s="1404" t="s">
        <v>4389</v>
      </c>
      <c r="O58" s="1405" t="s">
        <v>4388</v>
      </c>
      <c r="P58" s="1401">
        <f t="shared" si="5"/>
        <v>7200</v>
      </c>
    </row>
    <row r="59" spans="1:16" s="264" customFormat="1">
      <c r="A59" s="1394" t="s">
        <v>4393</v>
      </c>
      <c r="B59" s="1395" t="s">
        <v>1869</v>
      </c>
      <c r="C59" s="1395" t="s">
        <v>504</v>
      </c>
      <c r="D59" s="1396" t="s">
        <v>1775</v>
      </c>
      <c r="E59" s="1397">
        <v>2700</v>
      </c>
      <c r="F59" s="1395" t="s">
        <v>4428</v>
      </c>
      <c r="G59" s="1396" t="s">
        <v>4427</v>
      </c>
      <c r="H59" s="1396" t="s">
        <v>4415</v>
      </c>
      <c r="I59" s="1398"/>
      <c r="J59" s="1199" t="s">
        <v>1775</v>
      </c>
      <c r="K59" s="1399" t="s">
        <v>4395</v>
      </c>
      <c r="L59" s="1400" t="s">
        <v>4394</v>
      </c>
      <c r="M59" s="1401">
        <f t="shared" si="4"/>
        <v>21600</v>
      </c>
      <c r="N59" s="1404" t="s">
        <v>4389</v>
      </c>
      <c r="O59" s="1405" t="s">
        <v>4388</v>
      </c>
      <c r="P59" s="1401">
        <f t="shared" si="5"/>
        <v>16200</v>
      </c>
    </row>
    <row r="60" spans="1:16" s="264" customFormat="1" ht="24">
      <c r="A60" s="1394" t="s">
        <v>4393</v>
      </c>
      <c r="B60" s="1395" t="s">
        <v>1869</v>
      </c>
      <c r="C60" s="1395" t="s">
        <v>504</v>
      </c>
      <c r="D60" s="1396" t="s">
        <v>604</v>
      </c>
      <c r="E60" s="1397">
        <v>3000</v>
      </c>
      <c r="F60" s="1395" t="s">
        <v>4426</v>
      </c>
      <c r="G60" s="1396" t="s">
        <v>4425</v>
      </c>
      <c r="H60" s="1396" t="s">
        <v>1664</v>
      </c>
      <c r="I60" s="1398" t="s">
        <v>4424</v>
      </c>
      <c r="J60" s="1199" t="s">
        <v>1775</v>
      </c>
      <c r="K60" s="1399" t="s">
        <v>4395</v>
      </c>
      <c r="L60" s="1400" t="s">
        <v>4394</v>
      </c>
      <c r="M60" s="1401">
        <f t="shared" si="4"/>
        <v>24000</v>
      </c>
      <c r="N60" s="1404" t="s">
        <v>4389</v>
      </c>
      <c r="O60" s="1405" t="s">
        <v>4388</v>
      </c>
      <c r="P60" s="1401">
        <f t="shared" si="5"/>
        <v>18000</v>
      </c>
    </row>
    <row r="61" spans="1:16" s="264" customFormat="1">
      <c r="A61" s="1394" t="s">
        <v>4393</v>
      </c>
      <c r="B61" s="1395" t="s">
        <v>1869</v>
      </c>
      <c r="C61" s="1395" t="s">
        <v>504</v>
      </c>
      <c r="D61" s="1396" t="s">
        <v>622</v>
      </c>
      <c r="E61" s="1397">
        <v>1400</v>
      </c>
      <c r="F61" s="1395" t="s">
        <v>4423</v>
      </c>
      <c r="G61" s="1396" t="s">
        <v>4422</v>
      </c>
      <c r="H61" s="1396" t="s">
        <v>1664</v>
      </c>
      <c r="I61" s="1398"/>
      <c r="J61" s="1199" t="s">
        <v>1775</v>
      </c>
      <c r="K61" s="1399" t="s">
        <v>4395</v>
      </c>
      <c r="L61" s="1400" t="s">
        <v>4394</v>
      </c>
      <c r="M61" s="1401">
        <f t="shared" si="4"/>
        <v>11200</v>
      </c>
      <c r="N61" s="1399" t="s">
        <v>505</v>
      </c>
      <c r="O61" s="1400" t="s">
        <v>505</v>
      </c>
      <c r="P61" s="1401">
        <v>0</v>
      </c>
    </row>
    <row r="62" spans="1:16" s="264" customFormat="1">
      <c r="A62" s="1394" t="s">
        <v>4393</v>
      </c>
      <c r="B62" s="1395" t="s">
        <v>1869</v>
      </c>
      <c r="C62" s="1395" t="s">
        <v>504</v>
      </c>
      <c r="D62" s="1396" t="s">
        <v>4419</v>
      </c>
      <c r="E62" s="1397">
        <v>1000</v>
      </c>
      <c r="F62" s="1395" t="s">
        <v>4421</v>
      </c>
      <c r="G62" s="1396" t="s">
        <v>4420</v>
      </c>
      <c r="H62" s="1396" t="s">
        <v>4415</v>
      </c>
      <c r="I62" s="1398"/>
      <c r="J62" s="1199" t="s">
        <v>4419</v>
      </c>
      <c r="K62" s="1399" t="s">
        <v>4398</v>
      </c>
      <c r="L62" s="1400" t="s">
        <v>497</v>
      </c>
      <c r="M62" s="1401">
        <f t="shared" si="4"/>
        <v>12000</v>
      </c>
      <c r="N62" s="1404" t="s">
        <v>4389</v>
      </c>
      <c r="O62" s="1405" t="s">
        <v>4388</v>
      </c>
      <c r="P62" s="1401">
        <f>+E62*6</f>
        <v>6000</v>
      </c>
    </row>
    <row r="63" spans="1:16" s="264" customFormat="1" ht="24">
      <c r="A63" s="1394" t="s">
        <v>4393</v>
      </c>
      <c r="B63" s="1395" t="s">
        <v>1869</v>
      </c>
      <c r="C63" s="1395" t="s">
        <v>504</v>
      </c>
      <c r="D63" s="1396" t="s">
        <v>4418</v>
      </c>
      <c r="E63" s="1397">
        <v>1000</v>
      </c>
      <c r="F63" s="1395" t="s">
        <v>4417</v>
      </c>
      <c r="G63" s="1396" t="s">
        <v>4416</v>
      </c>
      <c r="H63" s="1396" t="s">
        <v>4415</v>
      </c>
      <c r="I63" s="1398"/>
      <c r="J63" s="1199" t="s">
        <v>4249</v>
      </c>
      <c r="K63" s="1399" t="s">
        <v>4398</v>
      </c>
      <c r="L63" s="1400" t="s">
        <v>497</v>
      </c>
      <c r="M63" s="1401">
        <f t="shared" si="4"/>
        <v>12000</v>
      </c>
      <c r="N63" s="1404" t="s">
        <v>4389</v>
      </c>
      <c r="O63" s="1405" t="s">
        <v>4388</v>
      </c>
      <c r="P63" s="1401">
        <f>+E63*6</f>
        <v>6000</v>
      </c>
    </row>
    <row r="64" spans="1:16" s="264" customFormat="1" ht="24">
      <c r="A64" s="1394" t="s">
        <v>4393</v>
      </c>
      <c r="B64" s="1395" t="s">
        <v>1869</v>
      </c>
      <c r="C64" s="1395" t="s">
        <v>504</v>
      </c>
      <c r="D64" s="1396" t="s">
        <v>604</v>
      </c>
      <c r="E64" s="1397">
        <v>3000</v>
      </c>
      <c r="F64" s="1395" t="s">
        <v>4414</v>
      </c>
      <c r="G64" s="1396" t="s">
        <v>4413</v>
      </c>
      <c r="H64" s="1396" t="s">
        <v>1664</v>
      </c>
      <c r="I64" s="1398"/>
      <c r="J64" s="1199" t="s">
        <v>1775</v>
      </c>
      <c r="K64" s="1399" t="s">
        <v>4398</v>
      </c>
      <c r="L64" s="1400" t="s">
        <v>497</v>
      </c>
      <c r="M64" s="1401">
        <f t="shared" si="4"/>
        <v>36000</v>
      </c>
      <c r="N64" s="1404" t="s">
        <v>4389</v>
      </c>
      <c r="O64" s="1405" t="s">
        <v>4388</v>
      </c>
      <c r="P64" s="1401">
        <f>+E64*6</f>
        <v>18000</v>
      </c>
    </row>
    <row r="65" spans="1:16" s="264" customFormat="1">
      <c r="A65" s="1394" t="s">
        <v>4393</v>
      </c>
      <c r="B65" s="1395" t="s">
        <v>1869</v>
      </c>
      <c r="C65" s="1395" t="s">
        <v>504</v>
      </c>
      <c r="D65" s="1396" t="s">
        <v>4412</v>
      </c>
      <c r="E65" s="1397">
        <v>1500</v>
      </c>
      <c r="F65" s="1395" t="s">
        <v>4411</v>
      </c>
      <c r="G65" s="1396" t="s">
        <v>4410</v>
      </c>
      <c r="H65" s="1396" t="s">
        <v>1664</v>
      </c>
      <c r="I65" s="1398"/>
      <c r="J65" s="1199" t="s">
        <v>4409</v>
      </c>
      <c r="K65" s="1399" t="s">
        <v>4398</v>
      </c>
      <c r="L65" s="1400" t="s">
        <v>497</v>
      </c>
      <c r="M65" s="1401">
        <f t="shared" si="4"/>
        <v>18000</v>
      </c>
      <c r="N65" s="1404" t="s">
        <v>4389</v>
      </c>
      <c r="O65" s="1405" t="s">
        <v>4388</v>
      </c>
      <c r="P65" s="1401">
        <f>+E65*6</f>
        <v>9000</v>
      </c>
    </row>
    <row r="66" spans="1:16" s="264" customFormat="1">
      <c r="A66" s="1394" t="s">
        <v>4393</v>
      </c>
      <c r="B66" s="1395" t="s">
        <v>1869</v>
      </c>
      <c r="C66" s="1395" t="s">
        <v>504</v>
      </c>
      <c r="D66" s="1396" t="s">
        <v>3417</v>
      </c>
      <c r="E66" s="1397">
        <v>2700</v>
      </c>
      <c r="F66" s="1395" t="s">
        <v>4408</v>
      </c>
      <c r="G66" s="1396" t="s">
        <v>4407</v>
      </c>
      <c r="H66" s="1396" t="s">
        <v>1664</v>
      </c>
      <c r="I66" s="1398"/>
      <c r="J66" s="1199" t="s">
        <v>3417</v>
      </c>
      <c r="K66" s="1399" t="s">
        <v>4395</v>
      </c>
      <c r="L66" s="1400" t="s">
        <v>4406</v>
      </c>
      <c r="M66" s="1401">
        <f t="shared" si="4"/>
        <v>18900</v>
      </c>
      <c r="N66" s="1404" t="s">
        <v>4389</v>
      </c>
      <c r="O66" s="1405" t="s">
        <v>4388</v>
      </c>
      <c r="P66" s="1401">
        <f>+E66*6</f>
        <v>16200</v>
      </c>
    </row>
    <row r="67" spans="1:16" s="264" customFormat="1" ht="24">
      <c r="A67" s="1394" t="s">
        <v>4393</v>
      </c>
      <c r="B67" s="1395" t="s">
        <v>1869</v>
      </c>
      <c r="C67" s="1395" t="s">
        <v>504</v>
      </c>
      <c r="D67" s="1396" t="s">
        <v>604</v>
      </c>
      <c r="E67" s="1397">
        <v>1200</v>
      </c>
      <c r="F67" s="1395" t="s">
        <v>4405</v>
      </c>
      <c r="G67" s="1396" t="s">
        <v>4404</v>
      </c>
      <c r="H67" s="1396" t="s">
        <v>1664</v>
      </c>
      <c r="I67" s="1398"/>
      <c r="J67" s="1199" t="s">
        <v>1775</v>
      </c>
      <c r="K67" s="1399" t="s">
        <v>4395</v>
      </c>
      <c r="L67" s="1400" t="s">
        <v>4403</v>
      </c>
      <c r="M67" s="1401">
        <f t="shared" si="4"/>
        <v>10800</v>
      </c>
      <c r="N67" s="1399" t="s">
        <v>505</v>
      </c>
      <c r="O67" s="1400" t="s">
        <v>505</v>
      </c>
      <c r="P67" s="1401">
        <v>0</v>
      </c>
    </row>
    <row r="68" spans="1:16" s="264" customFormat="1">
      <c r="A68" s="1394" t="s">
        <v>4393</v>
      </c>
      <c r="B68" s="1395" t="s">
        <v>1869</v>
      </c>
      <c r="C68" s="1395" t="s">
        <v>504</v>
      </c>
      <c r="D68" s="1396" t="s">
        <v>3343</v>
      </c>
      <c r="E68" s="1397">
        <v>1800</v>
      </c>
      <c r="F68" s="1395" t="s">
        <v>4402</v>
      </c>
      <c r="G68" s="1396" t="s">
        <v>4401</v>
      </c>
      <c r="H68" s="1396" t="s">
        <v>1664</v>
      </c>
      <c r="I68" s="1398"/>
      <c r="J68" s="1199" t="s">
        <v>3343</v>
      </c>
      <c r="K68" s="1399" t="s">
        <v>4398</v>
      </c>
      <c r="L68" s="1400" t="s">
        <v>497</v>
      </c>
      <c r="M68" s="1401">
        <f t="shared" si="4"/>
        <v>21600</v>
      </c>
      <c r="N68" s="1404" t="s">
        <v>4389</v>
      </c>
      <c r="O68" s="1405" t="s">
        <v>4388</v>
      </c>
      <c r="P68" s="1401">
        <f>+E68*6</f>
        <v>10800</v>
      </c>
    </row>
    <row r="69" spans="1:16" s="264" customFormat="1" ht="24">
      <c r="A69" s="1394" t="s">
        <v>4393</v>
      </c>
      <c r="B69" s="1395" t="s">
        <v>1869</v>
      </c>
      <c r="C69" s="1395" t="s">
        <v>504</v>
      </c>
      <c r="D69" s="1396" t="s">
        <v>604</v>
      </c>
      <c r="E69" s="1397">
        <v>1000</v>
      </c>
      <c r="F69" s="1406" t="s">
        <v>4400</v>
      </c>
      <c r="G69" s="1396" t="s">
        <v>4399</v>
      </c>
      <c r="H69" s="1396" t="s">
        <v>1664</v>
      </c>
      <c r="I69" s="1398"/>
      <c r="J69" s="1199" t="s">
        <v>1775</v>
      </c>
      <c r="K69" s="1399" t="s">
        <v>4398</v>
      </c>
      <c r="L69" s="1400" t="s">
        <v>497</v>
      </c>
      <c r="M69" s="1401">
        <f t="shared" si="4"/>
        <v>12000</v>
      </c>
      <c r="N69" s="1404" t="s">
        <v>4389</v>
      </c>
      <c r="O69" s="1405" t="s">
        <v>4388</v>
      </c>
      <c r="P69" s="1401">
        <f>+E69*6</f>
        <v>6000</v>
      </c>
    </row>
    <row r="70" spans="1:16" s="264" customFormat="1" ht="24">
      <c r="A70" s="1394" t="s">
        <v>4393</v>
      </c>
      <c r="B70" s="1395" t="s">
        <v>1869</v>
      </c>
      <c r="C70" s="1395" t="s">
        <v>504</v>
      </c>
      <c r="D70" s="1396" t="s">
        <v>604</v>
      </c>
      <c r="E70" s="1397">
        <v>1200</v>
      </c>
      <c r="F70" s="1395" t="s">
        <v>4397</v>
      </c>
      <c r="G70" s="1396" t="s">
        <v>4396</v>
      </c>
      <c r="H70" s="1396" t="s">
        <v>1664</v>
      </c>
      <c r="I70" s="1398"/>
      <c r="J70" s="1199" t="s">
        <v>1775</v>
      </c>
      <c r="K70" s="1399" t="s">
        <v>4395</v>
      </c>
      <c r="L70" s="1400" t="s">
        <v>4394</v>
      </c>
      <c r="M70" s="1401">
        <f>+E70*L70-935</f>
        <v>8665</v>
      </c>
      <c r="N70" s="1399" t="s">
        <v>505</v>
      </c>
      <c r="O70" s="1400" t="s">
        <v>505</v>
      </c>
      <c r="P70" s="1401">
        <v>0</v>
      </c>
    </row>
    <row r="71" spans="1:16" s="264" customFormat="1" ht="24.75" thickBot="1">
      <c r="A71" s="1394" t="s">
        <v>4393</v>
      </c>
      <c r="B71" s="1395" t="s">
        <v>1869</v>
      </c>
      <c r="C71" s="1395" t="s">
        <v>504</v>
      </c>
      <c r="D71" s="1396" t="s">
        <v>604</v>
      </c>
      <c r="E71" s="1397">
        <v>2700</v>
      </c>
      <c r="F71" s="1395" t="s">
        <v>4392</v>
      </c>
      <c r="G71" s="1396" t="s">
        <v>4391</v>
      </c>
      <c r="H71" s="1396" t="s">
        <v>1664</v>
      </c>
      <c r="I71" s="1398"/>
      <c r="J71" s="1199" t="s">
        <v>1775</v>
      </c>
      <c r="K71" s="1399" t="s">
        <v>4389</v>
      </c>
      <c r="L71" s="1400" t="s">
        <v>4390</v>
      </c>
      <c r="M71" s="1401">
        <f>+E71*L71</f>
        <v>13500</v>
      </c>
      <c r="N71" s="1404" t="s">
        <v>4389</v>
      </c>
      <c r="O71" s="1405" t="s">
        <v>4388</v>
      </c>
      <c r="P71" s="1401">
        <f>+E71*6</f>
        <v>16200</v>
      </c>
    </row>
    <row r="72" spans="1:16" ht="12.75" thickBot="1">
      <c r="A72" s="1209"/>
      <c r="B72" s="1230"/>
      <c r="C72" s="1230"/>
      <c r="D72" s="1207"/>
      <c r="E72" s="1211"/>
      <c r="F72" s="1230"/>
      <c r="G72" s="1207"/>
      <c r="H72" s="1207"/>
      <c r="I72" s="1210"/>
      <c r="J72" s="1231"/>
      <c r="K72" s="1212"/>
      <c r="L72" s="1213"/>
      <c r="M72" s="1232">
        <f>SUM(M7:M71)</f>
        <v>1138865</v>
      </c>
      <c r="N72" s="1407"/>
      <c r="O72" s="1408"/>
      <c r="P72" s="1232">
        <f>SUM(P7:P71)</f>
        <v>672900</v>
      </c>
    </row>
    <row r="73" spans="1:16" ht="24">
      <c r="A73" s="445" t="s">
        <v>449</v>
      </c>
      <c r="B73" s="445"/>
      <c r="C73" s="445"/>
      <c r="D73" s="445"/>
      <c r="E73" s="445"/>
      <c r="F73" s="445"/>
      <c r="G73" s="445"/>
      <c r="H73" s="445"/>
      <c r="I73" s="445"/>
      <c r="J73" s="445"/>
      <c r="K73" s="1136"/>
      <c r="L73" s="1136"/>
      <c r="M73" s="445"/>
      <c r="N73" s="445"/>
      <c r="O73" s="445"/>
      <c r="P73" s="445"/>
    </row>
    <row r="74" spans="1:16">
      <c r="A74" s="445"/>
      <c r="B74" s="445"/>
      <c r="C74" s="445"/>
      <c r="D74" s="445"/>
      <c r="E74" s="445"/>
      <c r="F74" s="445"/>
      <c r="G74" s="445"/>
      <c r="H74" s="445"/>
      <c r="I74" s="445"/>
      <c r="J74" s="445"/>
      <c r="K74" s="1136"/>
      <c r="L74" s="1136"/>
      <c r="M74" s="445"/>
      <c r="N74" s="445"/>
      <c r="O74" s="445"/>
      <c r="P74" s="445"/>
    </row>
    <row r="75" spans="1:16">
      <c r="A75" s="445"/>
      <c r="B75" s="445"/>
      <c r="C75" s="445"/>
      <c r="D75" s="445"/>
      <c r="E75" s="445"/>
      <c r="F75" s="445"/>
      <c r="G75" s="445"/>
      <c r="H75" s="445"/>
      <c r="I75" s="445"/>
      <c r="J75" s="445"/>
      <c r="K75" s="1136"/>
      <c r="L75" s="1136"/>
      <c r="M75" s="445"/>
      <c r="N75" s="445"/>
      <c r="O75" s="445"/>
      <c r="P75" s="445"/>
    </row>
    <row r="76" spans="1:16">
      <c r="A76" s="445"/>
      <c r="B76" s="445"/>
      <c r="C76" s="445"/>
      <c r="D76" s="445"/>
      <c r="E76" s="445"/>
      <c r="F76" s="445"/>
      <c r="G76" s="445"/>
      <c r="H76" s="445"/>
      <c r="I76" s="445"/>
      <c r="J76" s="445"/>
      <c r="K76" s="1136"/>
      <c r="L76" s="1136"/>
      <c r="M76" s="445"/>
      <c r="N76" s="445"/>
      <c r="O76" s="445"/>
      <c r="P76" s="445"/>
    </row>
    <row r="77" spans="1:16">
      <c r="A77" s="445"/>
      <c r="B77" s="445"/>
      <c r="C77" s="445"/>
      <c r="D77" s="445"/>
      <c r="E77" s="445"/>
      <c r="F77" s="445"/>
      <c r="G77" s="445"/>
      <c r="H77" s="445"/>
      <c r="I77" s="445"/>
      <c r="J77" s="445"/>
      <c r="K77" s="1136"/>
      <c r="L77" s="1136"/>
      <c r="M77" s="445"/>
      <c r="N77" s="445"/>
      <c r="O77" s="445"/>
      <c r="P77" s="445"/>
    </row>
    <row r="78" spans="1:16">
      <c r="A78" s="445"/>
      <c r="B78" s="445"/>
      <c r="C78" s="445"/>
      <c r="D78" s="445"/>
      <c r="E78" s="445"/>
      <c r="F78" s="445"/>
      <c r="G78" s="445"/>
      <c r="H78" s="445"/>
      <c r="I78" s="445"/>
      <c r="J78" s="445"/>
      <c r="K78" s="1136"/>
      <c r="L78" s="1136"/>
      <c r="M78" s="445"/>
      <c r="N78" s="445"/>
      <c r="O78" s="445"/>
      <c r="P78" s="445"/>
    </row>
    <row r="79" spans="1:16">
      <c r="A79" s="445"/>
      <c r="B79" s="445"/>
      <c r="C79" s="445"/>
      <c r="D79" s="445"/>
      <c r="E79" s="445"/>
      <c r="F79" s="445"/>
      <c r="G79" s="445"/>
      <c r="H79" s="445"/>
      <c r="I79" s="445"/>
      <c r="J79" s="445"/>
      <c r="K79" s="1136"/>
      <c r="L79" s="1136"/>
      <c r="M79" s="445"/>
      <c r="N79" s="445"/>
      <c r="O79" s="445"/>
      <c r="P79" s="445"/>
    </row>
    <row r="80" spans="1:16">
      <c r="A80" s="445"/>
      <c r="B80" s="445"/>
      <c r="C80" s="445"/>
      <c r="D80" s="445"/>
      <c r="E80" s="445"/>
      <c r="F80" s="445"/>
      <c r="G80" s="445"/>
      <c r="H80" s="445"/>
      <c r="I80" s="445"/>
      <c r="J80" s="445"/>
      <c r="K80" s="1136"/>
      <c r="L80" s="1136"/>
      <c r="M80" s="445"/>
      <c r="N80" s="445"/>
      <c r="O80" s="445"/>
      <c r="P80" s="445"/>
    </row>
    <row r="81" spans="1:16">
      <c r="A81" s="445"/>
      <c r="B81" s="445"/>
      <c r="C81" s="445"/>
      <c r="D81" s="445"/>
      <c r="E81" s="445"/>
      <c r="F81" s="445"/>
      <c r="G81" s="445"/>
      <c r="H81" s="445"/>
      <c r="I81" s="445"/>
      <c r="J81" s="445"/>
      <c r="K81" s="1136"/>
      <c r="L81" s="1136"/>
      <c r="M81" s="445"/>
      <c r="N81" s="445"/>
      <c r="O81" s="445"/>
      <c r="P81" s="445"/>
    </row>
    <row r="82" spans="1:16">
      <c r="A82" s="445"/>
      <c r="B82" s="445"/>
      <c r="C82" s="445"/>
      <c r="D82" s="445"/>
      <c r="E82" s="445"/>
      <c r="F82" s="445"/>
      <c r="G82" s="445"/>
      <c r="H82" s="445"/>
      <c r="I82" s="445"/>
      <c r="J82" s="445"/>
      <c r="K82" s="1136"/>
      <c r="L82" s="1136"/>
      <c r="M82" s="445"/>
      <c r="N82" s="445"/>
      <c r="O82" s="445"/>
      <c r="P82" s="445"/>
    </row>
    <row r="83" spans="1:16">
      <c r="A83" s="445"/>
      <c r="B83" s="445"/>
      <c r="C83" s="445"/>
      <c r="D83" s="445"/>
      <c r="E83" s="445"/>
      <c r="F83" s="445"/>
      <c r="G83" s="445"/>
      <c r="H83" s="445"/>
      <c r="I83" s="445"/>
      <c r="J83" s="445"/>
      <c r="K83" s="1136"/>
      <c r="L83" s="1136"/>
      <c r="M83" s="445"/>
      <c r="N83" s="445"/>
      <c r="O83" s="445"/>
      <c r="P83" s="445"/>
    </row>
    <row r="84" spans="1:16">
      <c r="A84" s="445"/>
      <c r="B84" s="445"/>
      <c r="C84" s="445"/>
      <c r="D84" s="445"/>
      <c r="E84" s="445"/>
      <c r="F84" s="445"/>
      <c r="G84" s="445"/>
      <c r="H84" s="445"/>
      <c r="I84" s="445"/>
      <c r="J84" s="445"/>
      <c r="K84" s="1136"/>
      <c r="L84" s="1136"/>
      <c r="M84" s="445"/>
      <c r="N84" s="445"/>
      <c r="O84" s="445"/>
      <c r="P84" s="445"/>
    </row>
    <row r="85" spans="1:16">
      <c r="A85" s="445"/>
      <c r="B85" s="445"/>
      <c r="C85" s="445"/>
      <c r="D85" s="445"/>
      <c r="E85" s="445"/>
      <c r="F85" s="445"/>
      <c r="G85" s="445"/>
      <c r="H85" s="445"/>
      <c r="I85" s="445"/>
      <c r="J85" s="445"/>
      <c r="K85" s="1136"/>
      <c r="L85" s="1136"/>
      <c r="M85" s="445"/>
      <c r="N85" s="445"/>
      <c r="O85" s="445"/>
      <c r="P85" s="445"/>
    </row>
    <row r="86" spans="1:16">
      <c r="A86" s="445"/>
      <c r="B86" s="445"/>
      <c r="C86" s="445"/>
      <c r="D86" s="445"/>
      <c r="E86" s="445"/>
      <c r="F86" s="445"/>
      <c r="G86" s="445"/>
      <c r="H86" s="445"/>
      <c r="I86" s="445"/>
      <c r="J86" s="445"/>
      <c r="K86" s="1136"/>
      <c r="L86" s="1136"/>
      <c r="M86" s="445"/>
      <c r="N86" s="445"/>
      <c r="O86" s="445"/>
      <c r="P86" s="445"/>
    </row>
    <row r="87" spans="1:16">
      <c r="A87" s="445"/>
      <c r="B87" s="445"/>
      <c r="C87" s="445"/>
      <c r="D87" s="445"/>
      <c r="E87" s="445"/>
      <c r="F87" s="445"/>
      <c r="G87" s="445"/>
      <c r="H87" s="445"/>
      <c r="I87" s="445"/>
      <c r="J87" s="445"/>
      <c r="K87" s="1136"/>
      <c r="L87" s="1136"/>
      <c r="M87" s="445"/>
      <c r="N87" s="445"/>
      <c r="O87" s="445"/>
      <c r="P87" s="445"/>
    </row>
    <row r="88" spans="1:16">
      <c r="A88" s="445"/>
      <c r="B88" s="445"/>
      <c r="C88" s="445"/>
      <c r="D88" s="445"/>
      <c r="E88" s="445"/>
      <c r="F88" s="445"/>
      <c r="G88" s="445"/>
      <c r="H88" s="445"/>
      <c r="I88" s="445"/>
      <c r="J88" s="445"/>
      <c r="K88" s="1136"/>
      <c r="L88" s="1136"/>
      <c r="M88" s="445"/>
      <c r="N88" s="445"/>
      <c r="O88" s="445"/>
      <c r="P88" s="445"/>
    </row>
    <row r="89" spans="1:16">
      <c r="A89" s="445"/>
      <c r="B89" s="445"/>
      <c r="C89" s="445"/>
      <c r="D89" s="445"/>
      <c r="E89" s="445"/>
      <c r="F89" s="445"/>
      <c r="G89" s="445"/>
      <c r="H89" s="445"/>
      <c r="I89" s="445"/>
      <c r="J89" s="445"/>
      <c r="K89" s="1136"/>
      <c r="L89" s="1136"/>
      <c r="M89" s="445"/>
      <c r="N89" s="445"/>
      <c r="O89" s="445"/>
      <c r="P89" s="445"/>
    </row>
    <row r="90" spans="1:16">
      <c r="A90" s="445"/>
      <c r="B90" s="445"/>
      <c r="C90" s="445"/>
      <c r="D90" s="445"/>
      <c r="E90" s="445"/>
      <c r="F90" s="445"/>
      <c r="G90" s="445"/>
      <c r="H90" s="445"/>
      <c r="I90" s="445"/>
      <c r="J90" s="445"/>
      <c r="K90" s="1136"/>
      <c r="L90" s="1136"/>
      <c r="M90" s="445"/>
      <c r="N90" s="445"/>
      <c r="O90" s="445"/>
      <c r="P90" s="445"/>
    </row>
    <row r="91" spans="1:16">
      <c r="A91" s="445"/>
      <c r="B91" s="445"/>
      <c r="C91" s="445"/>
      <c r="D91" s="445"/>
      <c r="E91" s="445"/>
      <c r="F91" s="445"/>
      <c r="G91" s="445"/>
      <c r="H91" s="445"/>
      <c r="I91" s="445"/>
      <c r="J91" s="445"/>
      <c r="K91" s="1136"/>
      <c r="L91" s="1136"/>
      <c r="M91" s="445"/>
      <c r="N91" s="445"/>
      <c r="O91" s="445"/>
      <c r="P91" s="445"/>
    </row>
    <row r="92" spans="1:16">
      <c r="A92" s="445"/>
      <c r="B92" s="445"/>
      <c r="C92" s="445"/>
      <c r="D92" s="445"/>
      <c r="E92" s="445"/>
      <c r="F92" s="445"/>
      <c r="G92" s="445"/>
      <c r="H92" s="445"/>
      <c r="I92" s="445"/>
      <c r="J92" s="445"/>
      <c r="K92" s="1136"/>
      <c r="L92" s="1136"/>
      <c r="M92" s="445"/>
      <c r="N92" s="445"/>
      <c r="O92" s="445"/>
      <c r="P92" s="445"/>
    </row>
    <row r="93" spans="1:16">
      <c r="A93" s="445"/>
      <c r="B93" s="445"/>
      <c r="C93" s="445"/>
      <c r="D93" s="445"/>
      <c r="E93" s="445"/>
      <c r="F93" s="445"/>
      <c r="G93" s="445"/>
      <c r="H93" s="445"/>
      <c r="I93" s="445"/>
      <c r="J93" s="445"/>
      <c r="K93" s="1136"/>
      <c r="L93" s="1136"/>
      <c r="M93" s="445"/>
      <c r="N93" s="445"/>
      <c r="O93" s="445"/>
      <c r="P93" s="445"/>
    </row>
    <row r="94" spans="1:16">
      <c r="A94" s="445"/>
      <c r="B94" s="445"/>
      <c r="C94" s="445"/>
      <c r="D94" s="445"/>
      <c r="E94" s="445"/>
      <c r="F94" s="445"/>
      <c r="G94" s="445"/>
      <c r="H94" s="445"/>
      <c r="I94" s="445"/>
      <c r="J94" s="445"/>
      <c r="K94" s="1136"/>
      <c r="L94" s="1136"/>
      <c r="M94" s="445"/>
      <c r="N94" s="445"/>
      <c r="O94" s="445"/>
      <c r="P94" s="445"/>
    </row>
    <row r="95" spans="1:16">
      <c r="A95" s="445"/>
      <c r="B95" s="445"/>
      <c r="C95" s="445"/>
      <c r="D95" s="445"/>
      <c r="E95" s="445"/>
      <c r="F95" s="445"/>
      <c r="G95" s="445"/>
      <c r="H95" s="445"/>
      <c r="I95" s="445"/>
      <c r="J95" s="445"/>
      <c r="K95" s="1136"/>
      <c r="L95" s="1136"/>
      <c r="M95" s="445"/>
      <c r="N95" s="445"/>
      <c r="O95" s="445"/>
      <c r="P95" s="445"/>
    </row>
    <row r="96" spans="1:16">
      <c r="A96" s="445"/>
      <c r="B96" s="445"/>
      <c r="C96" s="445"/>
      <c r="D96" s="445"/>
      <c r="E96" s="445"/>
      <c r="F96" s="445"/>
      <c r="G96" s="445"/>
      <c r="H96" s="445"/>
      <c r="I96" s="445"/>
      <c r="J96" s="445"/>
      <c r="K96" s="1136"/>
      <c r="L96" s="1136"/>
      <c r="M96" s="445"/>
      <c r="N96" s="445"/>
      <c r="O96" s="445"/>
      <c r="P96" s="445"/>
    </row>
    <row r="97" spans="1:16">
      <c r="A97" s="445"/>
      <c r="B97" s="445"/>
      <c r="C97" s="445"/>
      <c r="D97" s="445"/>
      <c r="E97" s="445"/>
      <c r="F97" s="445"/>
      <c r="G97" s="445"/>
      <c r="H97" s="445"/>
      <c r="I97" s="445"/>
      <c r="J97" s="445"/>
      <c r="K97" s="1136"/>
      <c r="L97" s="1136"/>
      <c r="M97" s="445"/>
      <c r="N97" s="445"/>
      <c r="O97" s="445"/>
      <c r="P97" s="445"/>
    </row>
    <row r="98" spans="1:16">
      <c r="A98" s="445"/>
      <c r="B98" s="445"/>
      <c r="C98" s="445"/>
      <c r="D98" s="445"/>
      <c r="E98" s="445"/>
      <c r="F98" s="445"/>
      <c r="G98" s="445"/>
      <c r="H98" s="445"/>
      <c r="I98" s="445"/>
      <c r="J98" s="445"/>
      <c r="K98" s="1136"/>
      <c r="L98" s="1136"/>
      <c r="M98" s="445"/>
      <c r="N98" s="445"/>
      <c r="O98" s="445"/>
      <c r="P98" s="445"/>
    </row>
    <row r="99" spans="1:16">
      <c r="A99" s="445"/>
      <c r="B99" s="445"/>
      <c r="C99" s="445"/>
      <c r="D99" s="445"/>
      <c r="E99" s="445"/>
      <c r="F99" s="445"/>
      <c r="G99" s="445"/>
      <c r="H99" s="445"/>
      <c r="I99" s="445"/>
      <c r="J99" s="445"/>
      <c r="K99" s="1136"/>
      <c r="L99" s="1136"/>
      <c r="M99" s="445"/>
      <c r="N99" s="445"/>
      <c r="O99" s="445"/>
      <c r="P99" s="445"/>
    </row>
    <row r="100" spans="1:16">
      <c r="A100" s="445"/>
      <c r="B100" s="445"/>
      <c r="C100" s="445"/>
      <c r="D100" s="445"/>
      <c r="E100" s="445"/>
      <c r="F100" s="445"/>
      <c r="G100" s="445"/>
      <c r="H100" s="445"/>
      <c r="I100" s="445"/>
      <c r="J100" s="445"/>
      <c r="K100" s="1136"/>
      <c r="L100" s="1136"/>
      <c r="M100" s="445"/>
      <c r="N100" s="445"/>
      <c r="O100" s="445"/>
      <c r="P100" s="445"/>
    </row>
    <row r="101" spans="1:16">
      <c r="A101" s="445"/>
      <c r="B101" s="445"/>
      <c r="C101" s="445"/>
      <c r="D101" s="445"/>
      <c r="E101" s="445"/>
      <c r="F101" s="445"/>
      <c r="G101" s="445"/>
      <c r="H101" s="445"/>
      <c r="I101" s="445"/>
      <c r="J101" s="445"/>
      <c r="K101" s="1136"/>
      <c r="L101" s="1136"/>
      <c r="M101" s="445"/>
      <c r="N101" s="445"/>
      <c r="O101" s="445"/>
      <c r="P101" s="445"/>
    </row>
    <row r="102" spans="1:16">
      <c r="A102" s="445"/>
      <c r="B102" s="445"/>
      <c r="C102" s="445"/>
      <c r="D102" s="445"/>
      <c r="E102" s="445"/>
      <c r="F102" s="445"/>
      <c r="G102" s="445"/>
      <c r="H102" s="445"/>
      <c r="I102" s="445"/>
      <c r="J102" s="445"/>
      <c r="K102" s="1136"/>
      <c r="L102" s="1136"/>
      <c r="M102" s="445"/>
      <c r="N102" s="445"/>
      <c r="O102" s="445"/>
      <c r="P102" s="445"/>
    </row>
    <row r="103" spans="1:16">
      <c r="A103" s="445"/>
      <c r="B103" s="445"/>
      <c r="C103" s="445"/>
      <c r="D103" s="445"/>
      <c r="E103" s="445"/>
      <c r="F103" s="445"/>
      <c r="G103" s="445"/>
      <c r="H103" s="445"/>
      <c r="I103" s="445"/>
      <c r="J103" s="445"/>
      <c r="K103" s="1136"/>
      <c r="L103" s="1136"/>
      <c r="M103" s="445"/>
      <c r="N103" s="445"/>
      <c r="O103" s="445"/>
      <c r="P103" s="445"/>
    </row>
    <row r="104" spans="1:16">
      <c r="A104" s="445"/>
      <c r="B104" s="445"/>
      <c r="C104" s="445"/>
      <c r="D104" s="445"/>
      <c r="E104" s="445"/>
      <c r="F104" s="445"/>
      <c r="G104" s="445"/>
      <c r="H104" s="445"/>
      <c r="I104" s="445"/>
      <c r="J104" s="445"/>
      <c r="K104" s="1136"/>
      <c r="L104" s="1136"/>
      <c r="M104" s="445"/>
      <c r="N104" s="445"/>
      <c r="O104" s="445"/>
      <c r="P104" s="445"/>
    </row>
    <row r="105" spans="1:16">
      <c r="A105" s="445"/>
      <c r="B105" s="445"/>
      <c r="C105" s="445"/>
      <c r="D105" s="445"/>
      <c r="E105" s="445"/>
      <c r="F105" s="445"/>
      <c r="G105" s="445"/>
      <c r="H105" s="445"/>
      <c r="I105" s="445"/>
      <c r="J105" s="445"/>
      <c r="K105" s="1136"/>
      <c r="L105" s="1136"/>
      <c r="M105" s="445"/>
      <c r="N105" s="445"/>
      <c r="O105" s="445"/>
      <c r="P105" s="445"/>
    </row>
    <row r="106" spans="1:16">
      <c r="A106" s="445"/>
      <c r="B106" s="445"/>
      <c r="C106" s="445"/>
      <c r="D106" s="445"/>
      <c r="E106" s="445"/>
      <c r="F106" s="445"/>
      <c r="G106" s="445"/>
      <c r="H106" s="445"/>
      <c r="I106" s="445"/>
      <c r="J106" s="445"/>
      <c r="K106" s="1136"/>
      <c r="L106" s="1136"/>
      <c r="M106" s="445"/>
      <c r="N106" s="445"/>
      <c r="O106" s="445"/>
      <c r="P106" s="445"/>
    </row>
    <row r="107" spans="1:16">
      <c r="A107" s="445"/>
      <c r="B107" s="445"/>
      <c r="C107" s="445"/>
      <c r="D107" s="445"/>
      <c r="E107" s="445"/>
      <c r="F107" s="445"/>
      <c r="G107" s="445"/>
      <c r="H107" s="445"/>
      <c r="I107" s="445"/>
      <c r="J107" s="445"/>
      <c r="K107" s="1136"/>
      <c r="L107" s="1136"/>
      <c r="M107" s="445"/>
      <c r="N107" s="445"/>
      <c r="O107" s="445"/>
      <c r="P107" s="445"/>
    </row>
    <row r="108" spans="1:16">
      <c r="A108" s="445"/>
      <c r="B108" s="445"/>
      <c r="C108" s="445"/>
      <c r="D108" s="445"/>
      <c r="E108" s="445"/>
      <c r="F108" s="445"/>
      <c r="G108" s="445"/>
      <c r="H108" s="445"/>
      <c r="I108" s="445"/>
      <c r="J108" s="445"/>
      <c r="K108" s="1136"/>
      <c r="L108" s="1136"/>
      <c r="M108" s="445"/>
      <c r="N108" s="445"/>
      <c r="O108" s="445"/>
      <c r="P108" s="445"/>
    </row>
    <row r="109" spans="1:16">
      <c r="A109" s="445"/>
      <c r="B109" s="445"/>
      <c r="C109" s="445"/>
      <c r="D109" s="445"/>
      <c r="E109" s="445"/>
      <c r="F109" s="445"/>
      <c r="G109" s="445"/>
      <c r="H109" s="445"/>
      <c r="I109" s="445"/>
      <c r="J109" s="445"/>
      <c r="K109" s="1136"/>
      <c r="L109" s="1136"/>
      <c r="M109" s="445"/>
      <c r="N109" s="445"/>
      <c r="O109" s="445"/>
      <c r="P109" s="445"/>
    </row>
    <row r="110" spans="1:16">
      <c r="A110" s="445"/>
      <c r="B110" s="445"/>
      <c r="C110" s="445"/>
      <c r="D110" s="445"/>
      <c r="E110" s="445"/>
      <c r="F110" s="445"/>
      <c r="G110" s="445"/>
      <c r="H110" s="445"/>
      <c r="I110" s="445"/>
      <c r="J110" s="445"/>
      <c r="K110" s="1136"/>
      <c r="L110" s="1136"/>
      <c r="M110" s="445"/>
      <c r="N110" s="445"/>
      <c r="O110" s="445"/>
      <c r="P110" s="445"/>
    </row>
    <row r="111" spans="1:16">
      <c r="A111" s="445"/>
      <c r="B111" s="445"/>
      <c r="C111" s="445"/>
      <c r="D111" s="445"/>
      <c r="E111" s="445"/>
      <c r="F111" s="445"/>
      <c r="G111" s="445"/>
      <c r="H111" s="445"/>
      <c r="I111" s="445"/>
      <c r="J111" s="445"/>
      <c r="K111" s="1136"/>
      <c r="L111" s="1136"/>
      <c r="M111" s="445"/>
      <c r="N111" s="445"/>
      <c r="O111" s="445"/>
      <c r="P111" s="445"/>
    </row>
    <row r="112" spans="1:16">
      <c r="A112" s="445"/>
      <c r="B112" s="445"/>
      <c r="C112" s="445"/>
      <c r="D112" s="445"/>
      <c r="E112" s="445"/>
      <c r="F112" s="445"/>
      <c r="G112" s="445"/>
      <c r="H112" s="445"/>
      <c r="I112" s="445"/>
      <c r="J112" s="445"/>
      <c r="K112" s="1136"/>
      <c r="L112" s="1136"/>
      <c r="M112" s="445"/>
      <c r="N112" s="445"/>
      <c r="O112" s="445"/>
      <c r="P112" s="445"/>
    </row>
    <row r="113" spans="1:16">
      <c r="A113" s="445"/>
      <c r="B113" s="445"/>
      <c r="C113" s="445"/>
      <c r="D113" s="445"/>
      <c r="E113" s="445"/>
      <c r="F113" s="445"/>
      <c r="G113" s="445"/>
      <c r="H113" s="445"/>
      <c r="I113" s="445"/>
      <c r="J113" s="445"/>
      <c r="K113" s="1136"/>
      <c r="L113" s="1136"/>
      <c r="M113" s="445"/>
      <c r="N113" s="445"/>
      <c r="O113" s="445"/>
      <c r="P113" s="445"/>
    </row>
    <row r="114" spans="1:16">
      <c r="A114" s="445"/>
      <c r="B114" s="445"/>
      <c r="C114" s="445"/>
      <c r="D114" s="445"/>
      <c r="E114" s="445"/>
      <c r="F114" s="445"/>
      <c r="G114" s="445"/>
      <c r="H114" s="445"/>
      <c r="I114" s="445"/>
      <c r="J114" s="445"/>
      <c r="K114" s="1136"/>
      <c r="L114" s="1136"/>
      <c r="M114" s="445"/>
      <c r="N114" s="445"/>
      <c r="O114" s="445"/>
      <c r="P114" s="445"/>
    </row>
    <row r="115" spans="1:16">
      <c r="A115" s="445"/>
      <c r="B115" s="445"/>
      <c r="C115" s="445"/>
      <c r="D115" s="445"/>
      <c r="E115" s="445"/>
      <c r="F115" s="445"/>
      <c r="G115" s="445"/>
      <c r="H115" s="445"/>
      <c r="I115" s="445"/>
      <c r="J115" s="445"/>
      <c r="K115" s="1136"/>
      <c r="L115" s="1136"/>
      <c r="M115" s="445"/>
      <c r="N115" s="445"/>
      <c r="O115" s="445"/>
      <c r="P115" s="445"/>
    </row>
    <row r="116" spans="1:16">
      <c r="A116" s="445"/>
      <c r="B116" s="445"/>
      <c r="C116" s="445"/>
      <c r="D116" s="445"/>
      <c r="E116" s="445"/>
      <c r="F116" s="445"/>
      <c r="G116" s="445"/>
      <c r="H116" s="445"/>
      <c r="I116" s="445"/>
      <c r="J116" s="445"/>
      <c r="K116" s="1136"/>
      <c r="L116" s="1136"/>
      <c r="M116" s="445"/>
      <c r="N116" s="445"/>
      <c r="O116" s="445"/>
      <c r="P116" s="445"/>
    </row>
    <row r="117" spans="1:16">
      <c r="A117" s="445"/>
      <c r="B117" s="445"/>
      <c r="C117" s="445"/>
      <c r="D117" s="445"/>
      <c r="E117" s="445"/>
      <c r="F117" s="445"/>
      <c r="G117" s="445"/>
      <c r="H117" s="445"/>
      <c r="I117" s="445"/>
      <c r="J117" s="445"/>
      <c r="K117" s="1136"/>
      <c r="L117" s="1136"/>
      <c r="M117" s="445"/>
      <c r="N117" s="445"/>
      <c r="O117" s="445"/>
      <c r="P117" s="445"/>
    </row>
    <row r="118" spans="1:16">
      <c r="A118" s="445"/>
      <c r="B118" s="445"/>
      <c r="C118" s="445"/>
      <c r="D118" s="445"/>
      <c r="E118" s="445"/>
      <c r="F118" s="445"/>
      <c r="G118" s="445"/>
      <c r="H118" s="445"/>
      <c r="I118" s="445"/>
      <c r="J118" s="445"/>
      <c r="K118" s="1136"/>
      <c r="L118" s="1136"/>
      <c r="M118" s="445"/>
      <c r="N118" s="445"/>
      <c r="O118" s="445"/>
      <c r="P118" s="445"/>
    </row>
    <row r="119" spans="1:16">
      <c r="A119" s="445"/>
      <c r="B119" s="445"/>
      <c r="C119" s="445"/>
      <c r="D119" s="445"/>
      <c r="E119" s="445"/>
      <c r="F119" s="445"/>
      <c r="G119" s="445"/>
      <c r="H119" s="445"/>
      <c r="I119" s="445"/>
      <c r="J119" s="445"/>
      <c r="K119" s="1136"/>
      <c r="L119" s="1136"/>
      <c r="M119" s="445"/>
      <c r="N119" s="445"/>
      <c r="O119" s="445"/>
      <c r="P119" s="445"/>
    </row>
    <row r="120" spans="1:16">
      <c r="A120" s="445"/>
      <c r="B120" s="445"/>
      <c r="C120" s="445"/>
      <c r="D120" s="445"/>
      <c r="E120" s="445"/>
      <c r="F120" s="445"/>
      <c r="G120" s="445"/>
      <c r="H120" s="445"/>
      <c r="I120" s="445"/>
      <c r="J120" s="445"/>
      <c r="K120" s="1136"/>
      <c r="L120" s="1136"/>
      <c r="M120" s="445"/>
      <c r="N120" s="445"/>
      <c r="O120" s="445"/>
      <c r="P120" s="445"/>
    </row>
    <row r="121" spans="1:16">
      <c r="A121" s="445"/>
      <c r="B121" s="445"/>
      <c r="C121" s="445"/>
      <c r="D121" s="445"/>
      <c r="E121" s="445"/>
      <c r="F121" s="445"/>
      <c r="G121" s="445"/>
      <c r="H121" s="445"/>
      <c r="I121" s="445"/>
      <c r="J121" s="445"/>
      <c r="K121" s="1136"/>
      <c r="L121" s="1136"/>
      <c r="M121" s="445"/>
      <c r="N121" s="445"/>
      <c r="O121" s="445"/>
      <c r="P121" s="445"/>
    </row>
    <row r="122" spans="1:16">
      <c r="A122" s="445"/>
      <c r="B122" s="445"/>
      <c r="C122" s="445"/>
      <c r="D122" s="445"/>
      <c r="E122" s="445"/>
      <c r="F122" s="445"/>
      <c r="G122" s="445"/>
      <c r="H122" s="445"/>
      <c r="I122" s="445"/>
      <c r="J122" s="445"/>
      <c r="K122" s="1136"/>
      <c r="L122" s="1136"/>
      <c r="M122" s="445"/>
      <c r="N122" s="445"/>
      <c r="O122" s="445"/>
      <c r="P122" s="445"/>
    </row>
    <row r="123" spans="1:16">
      <c r="A123" s="445"/>
      <c r="B123" s="445"/>
      <c r="C123" s="445"/>
      <c r="D123" s="445"/>
      <c r="E123" s="445"/>
      <c r="F123" s="445"/>
      <c r="G123" s="445"/>
      <c r="H123" s="445"/>
      <c r="I123" s="445"/>
      <c r="J123" s="445"/>
      <c r="K123" s="1136"/>
      <c r="L123" s="1136"/>
      <c r="M123" s="445"/>
      <c r="N123" s="445"/>
      <c r="O123" s="445"/>
      <c r="P123" s="445"/>
    </row>
    <row r="124" spans="1:16">
      <c r="A124" s="445"/>
      <c r="B124" s="445"/>
      <c r="C124" s="445"/>
      <c r="D124" s="445"/>
      <c r="E124" s="445"/>
      <c r="F124" s="445"/>
      <c r="G124" s="445"/>
      <c r="H124" s="445"/>
      <c r="I124" s="445"/>
      <c r="J124" s="445"/>
      <c r="K124" s="1136"/>
      <c r="L124" s="1136"/>
      <c r="M124" s="445"/>
      <c r="N124" s="445"/>
      <c r="O124" s="445"/>
      <c r="P124" s="445"/>
    </row>
    <row r="125" spans="1:16">
      <c r="A125" s="445"/>
      <c r="B125" s="445"/>
      <c r="C125" s="445"/>
      <c r="D125" s="445"/>
      <c r="E125" s="445"/>
      <c r="F125" s="445"/>
      <c r="G125" s="445"/>
      <c r="H125" s="445"/>
      <c r="I125" s="445"/>
      <c r="J125" s="445"/>
      <c r="K125" s="1136"/>
      <c r="L125" s="1136"/>
      <c r="M125" s="445"/>
      <c r="N125" s="445"/>
      <c r="O125" s="445"/>
      <c r="P125" s="445"/>
    </row>
    <row r="126" spans="1:16">
      <c r="A126" s="445"/>
      <c r="B126" s="445"/>
      <c r="C126" s="445"/>
      <c r="D126" s="445"/>
      <c r="E126" s="445"/>
      <c r="F126" s="445"/>
      <c r="G126" s="445"/>
      <c r="H126" s="445"/>
      <c r="I126" s="445"/>
      <c r="J126" s="445"/>
      <c r="K126" s="1136"/>
      <c r="L126" s="1136"/>
      <c r="M126" s="445"/>
      <c r="N126" s="445"/>
      <c r="O126" s="445"/>
      <c r="P126" s="445"/>
    </row>
    <row r="127" spans="1:16">
      <c r="A127" s="445"/>
      <c r="B127" s="445"/>
      <c r="C127" s="445"/>
      <c r="D127" s="445"/>
      <c r="E127" s="445"/>
      <c r="F127" s="445"/>
      <c r="G127" s="445"/>
      <c r="H127" s="445"/>
      <c r="I127" s="445"/>
      <c r="J127" s="445"/>
      <c r="K127" s="1136"/>
      <c r="L127" s="1136"/>
      <c r="M127" s="445"/>
      <c r="N127" s="445"/>
      <c r="O127" s="445"/>
      <c r="P127" s="445"/>
    </row>
    <row r="128" spans="1:16">
      <c r="A128" s="445"/>
      <c r="B128" s="445"/>
      <c r="C128" s="445"/>
      <c r="D128" s="445"/>
      <c r="E128" s="445"/>
      <c r="F128" s="445"/>
      <c r="G128" s="445"/>
      <c r="H128" s="445"/>
      <c r="I128" s="445"/>
      <c r="J128" s="445"/>
      <c r="K128" s="1136"/>
      <c r="L128" s="1136"/>
      <c r="M128" s="445"/>
      <c r="N128" s="445"/>
      <c r="O128" s="445"/>
      <c r="P128" s="445"/>
    </row>
    <row r="129" spans="1:16">
      <c r="A129" s="445"/>
      <c r="B129" s="445"/>
      <c r="C129" s="445"/>
      <c r="D129" s="445"/>
      <c r="E129" s="445"/>
      <c r="F129" s="445"/>
      <c r="G129" s="445"/>
      <c r="H129" s="445"/>
      <c r="I129" s="445"/>
      <c r="J129" s="445"/>
      <c r="K129" s="1136"/>
      <c r="L129" s="1136"/>
      <c r="M129" s="445"/>
      <c r="N129" s="445"/>
      <c r="O129" s="445"/>
      <c r="P129" s="445"/>
    </row>
    <row r="130" spans="1:16">
      <c r="A130" s="445"/>
      <c r="B130" s="445"/>
      <c r="C130" s="445"/>
      <c r="D130" s="445"/>
      <c r="E130" s="445"/>
      <c r="F130" s="445"/>
      <c r="G130" s="445"/>
      <c r="H130" s="445"/>
      <c r="I130" s="445"/>
      <c r="J130" s="445"/>
      <c r="K130" s="1136"/>
      <c r="L130" s="1136"/>
      <c r="M130" s="445"/>
      <c r="N130" s="445"/>
      <c r="O130" s="445"/>
      <c r="P130" s="445"/>
    </row>
    <row r="131" spans="1:16">
      <c r="A131" s="445"/>
      <c r="B131" s="445"/>
      <c r="C131" s="445"/>
      <c r="D131" s="445"/>
      <c r="E131" s="445"/>
      <c r="F131" s="445"/>
      <c r="G131" s="445"/>
      <c r="H131" s="445"/>
      <c r="I131" s="445"/>
      <c r="J131" s="445"/>
      <c r="K131" s="1136"/>
      <c r="L131" s="1136"/>
      <c r="M131" s="445"/>
      <c r="N131" s="445"/>
      <c r="O131" s="445"/>
      <c r="P131" s="445"/>
    </row>
    <row r="132" spans="1:16">
      <c r="A132" s="445"/>
      <c r="B132" s="445"/>
      <c r="C132" s="445"/>
      <c r="D132" s="445"/>
      <c r="E132" s="445"/>
      <c r="F132" s="445"/>
      <c r="G132" s="445"/>
      <c r="H132" s="445"/>
      <c r="I132" s="445"/>
      <c r="J132" s="445"/>
      <c r="K132" s="1136"/>
      <c r="L132" s="1136"/>
      <c r="M132" s="445"/>
      <c r="N132" s="445"/>
      <c r="O132" s="445"/>
      <c r="P132" s="445"/>
    </row>
    <row r="133" spans="1:16">
      <c r="A133" s="445"/>
      <c r="B133" s="445"/>
      <c r="C133" s="445"/>
      <c r="D133" s="445"/>
      <c r="E133" s="445"/>
      <c r="F133" s="445"/>
      <c r="G133" s="445"/>
      <c r="H133" s="445"/>
      <c r="I133" s="445"/>
      <c r="J133" s="445"/>
      <c r="K133" s="1136"/>
      <c r="L133" s="1136"/>
      <c r="M133" s="445"/>
      <c r="N133" s="445"/>
      <c r="O133" s="445"/>
      <c r="P133" s="445"/>
    </row>
    <row r="134" spans="1:16">
      <c r="A134" s="445"/>
      <c r="B134" s="445"/>
      <c r="C134" s="445"/>
      <c r="D134" s="445"/>
      <c r="E134" s="445"/>
      <c r="F134" s="445"/>
      <c r="G134" s="445"/>
      <c r="H134" s="445"/>
      <c r="I134" s="445"/>
      <c r="J134" s="445"/>
      <c r="K134" s="1136"/>
      <c r="L134" s="1136"/>
      <c r="M134" s="445"/>
      <c r="N134" s="445"/>
      <c r="O134" s="445"/>
      <c r="P134" s="445"/>
    </row>
    <row r="135" spans="1:16">
      <c r="A135" s="445"/>
      <c r="B135" s="445"/>
      <c r="C135" s="445"/>
      <c r="D135" s="445"/>
      <c r="E135" s="445"/>
      <c r="F135" s="445"/>
      <c r="G135" s="445"/>
      <c r="H135" s="445"/>
      <c r="I135" s="445"/>
      <c r="J135" s="445"/>
      <c r="K135" s="1136"/>
      <c r="L135" s="1136"/>
      <c r="M135" s="445"/>
      <c r="N135" s="445"/>
      <c r="O135" s="445"/>
      <c r="P135" s="445"/>
    </row>
    <row r="136" spans="1:16">
      <c r="A136" s="445"/>
      <c r="B136" s="445"/>
      <c r="C136" s="445"/>
      <c r="D136" s="445"/>
      <c r="E136" s="445"/>
      <c r="F136" s="445"/>
      <c r="G136" s="445"/>
      <c r="H136" s="445"/>
      <c r="I136" s="445"/>
      <c r="J136" s="445"/>
      <c r="K136" s="1136"/>
      <c r="L136" s="1136"/>
      <c r="M136" s="445"/>
      <c r="N136" s="445"/>
      <c r="O136" s="445"/>
      <c r="P136" s="445"/>
    </row>
    <row r="137" spans="1:16">
      <c r="A137" s="445"/>
      <c r="B137" s="445"/>
      <c r="C137" s="445"/>
      <c r="D137" s="445"/>
      <c r="E137" s="445"/>
      <c r="F137" s="445"/>
      <c r="G137" s="445"/>
      <c r="H137" s="445"/>
      <c r="I137" s="445"/>
      <c r="J137" s="445"/>
      <c r="K137" s="1136"/>
      <c r="L137" s="1136"/>
      <c r="M137" s="445"/>
      <c r="N137" s="445"/>
      <c r="O137" s="445"/>
      <c r="P137" s="445"/>
    </row>
    <row r="138" spans="1:16">
      <c r="A138" s="445"/>
      <c r="B138" s="445"/>
      <c r="C138" s="445"/>
      <c r="D138" s="445"/>
      <c r="E138" s="445"/>
      <c r="F138" s="445"/>
      <c r="G138" s="445"/>
      <c r="H138" s="445"/>
      <c r="I138" s="445"/>
      <c r="J138" s="445"/>
      <c r="K138" s="1136"/>
      <c r="L138" s="1136"/>
      <c r="M138" s="445"/>
      <c r="N138" s="445"/>
      <c r="O138" s="445"/>
      <c r="P138" s="445"/>
    </row>
    <row r="139" spans="1:16">
      <c r="A139" s="445"/>
      <c r="B139" s="445"/>
      <c r="C139" s="445"/>
      <c r="D139" s="445"/>
      <c r="E139" s="445"/>
      <c r="F139" s="445"/>
      <c r="G139" s="445"/>
      <c r="H139" s="445"/>
      <c r="I139" s="445"/>
      <c r="J139" s="445"/>
      <c r="K139" s="1136"/>
      <c r="L139" s="1136"/>
      <c r="M139" s="445"/>
      <c r="N139" s="445"/>
      <c r="O139" s="445"/>
      <c r="P139" s="445"/>
    </row>
    <row r="140" spans="1:16">
      <c r="A140" s="445"/>
      <c r="B140" s="445"/>
      <c r="C140" s="445"/>
      <c r="D140" s="445"/>
      <c r="E140" s="445"/>
      <c r="F140" s="445"/>
      <c r="G140" s="445"/>
      <c r="H140" s="445"/>
      <c r="I140" s="445"/>
      <c r="J140" s="445"/>
      <c r="K140" s="1136"/>
      <c r="L140" s="1136"/>
      <c r="M140" s="445"/>
      <c r="N140" s="445"/>
      <c r="O140" s="445"/>
      <c r="P140" s="445"/>
    </row>
    <row r="141" spans="1:16">
      <c r="A141" s="445"/>
      <c r="B141" s="445"/>
      <c r="C141" s="445"/>
      <c r="D141" s="445"/>
      <c r="E141" s="445"/>
      <c r="F141" s="445"/>
      <c r="G141" s="445"/>
      <c r="H141" s="445"/>
      <c r="I141" s="445"/>
      <c r="J141" s="445"/>
      <c r="K141" s="1136"/>
      <c r="L141" s="1136"/>
      <c r="M141" s="445"/>
      <c r="N141" s="445"/>
      <c r="O141" s="445"/>
      <c r="P141" s="445"/>
    </row>
    <row r="142" spans="1:16">
      <c r="A142" s="445"/>
      <c r="B142" s="445"/>
      <c r="C142" s="445"/>
      <c r="D142" s="445"/>
      <c r="E142" s="445"/>
      <c r="F142" s="445"/>
      <c r="G142" s="445"/>
      <c r="H142" s="445"/>
      <c r="I142" s="445"/>
      <c r="J142" s="445"/>
      <c r="K142" s="1136"/>
      <c r="L142" s="1136"/>
      <c r="M142" s="445"/>
      <c r="N142" s="445"/>
      <c r="O142" s="445"/>
      <c r="P142" s="445"/>
    </row>
    <row r="143" spans="1:16">
      <c r="A143" s="445"/>
      <c r="B143" s="445"/>
      <c r="C143" s="445"/>
      <c r="D143" s="445"/>
      <c r="E143" s="445"/>
      <c r="F143" s="445"/>
      <c r="G143" s="445"/>
      <c r="H143" s="445"/>
      <c r="I143" s="445"/>
      <c r="J143" s="445"/>
      <c r="K143" s="1136"/>
      <c r="L143" s="1136"/>
      <c r="M143" s="445"/>
      <c r="N143" s="445"/>
      <c r="O143" s="445"/>
      <c r="P143" s="445"/>
    </row>
    <row r="144" spans="1:16">
      <c r="A144" s="445"/>
      <c r="B144" s="445"/>
      <c r="C144" s="445"/>
      <c r="D144" s="445"/>
      <c r="E144" s="445"/>
      <c r="F144" s="445"/>
      <c r="G144" s="445"/>
      <c r="H144" s="445"/>
      <c r="I144" s="445"/>
      <c r="J144" s="445"/>
      <c r="K144" s="1136"/>
      <c r="L144" s="1136"/>
      <c r="M144" s="445"/>
      <c r="N144" s="445"/>
      <c r="O144" s="445"/>
      <c r="P144" s="445"/>
    </row>
    <row r="145" spans="1:16">
      <c r="A145" s="445"/>
      <c r="B145" s="445"/>
      <c r="C145" s="445"/>
      <c r="D145" s="445"/>
      <c r="E145" s="445"/>
      <c r="F145" s="445"/>
      <c r="G145" s="445"/>
      <c r="H145" s="445"/>
      <c r="I145" s="445"/>
      <c r="J145" s="445"/>
      <c r="K145" s="1136"/>
      <c r="L145" s="1136"/>
      <c r="M145" s="445"/>
      <c r="N145" s="445"/>
      <c r="O145" s="445"/>
      <c r="P145" s="445"/>
    </row>
    <row r="146" spans="1:16">
      <c r="A146" s="445"/>
      <c r="B146" s="445"/>
      <c r="C146" s="445"/>
      <c r="D146" s="445"/>
      <c r="E146" s="445"/>
      <c r="F146" s="445"/>
      <c r="G146" s="445"/>
      <c r="H146" s="445"/>
      <c r="I146" s="445"/>
      <c r="J146" s="445"/>
      <c r="K146" s="1136"/>
      <c r="L146" s="1136"/>
      <c r="M146" s="445"/>
      <c r="N146" s="445"/>
      <c r="O146" s="445"/>
      <c r="P146" s="445"/>
    </row>
    <row r="147" spans="1:16">
      <c r="A147" s="445"/>
      <c r="B147" s="445"/>
      <c r="C147" s="445"/>
      <c r="D147" s="445"/>
      <c r="E147" s="445"/>
      <c r="F147" s="445"/>
      <c r="G147" s="445"/>
      <c r="H147" s="445"/>
      <c r="I147" s="445"/>
      <c r="J147" s="445"/>
      <c r="K147" s="1136"/>
      <c r="L147" s="1136"/>
      <c r="M147" s="445"/>
      <c r="N147" s="445"/>
      <c r="O147" s="445"/>
      <c r="P147" s="445"/>
    </row>
    <row r="148" spans="1:16">
      <c r="A148" s="445"/>
      <c r="B148" s="445"/>
      <c r="C148" s="445"/>
      <c r="D148" s="445"/>
      <c r="E148" s="445"/>
      <c r="F148" s="445"/>
      <c r="G148" s="445"/>
      <c r="H148" s="445"/>
      <c r="I148" s="445"/>
      <c r="J148" s="445"/>
      <c r="K148" s="1136"/>
      <c r="L148" s="1136"/>
      <c r="M148" s="445"/>
      <c r="N148" s="445"/>
      <c r="O148" s="445"/>
      <c r="P148" s="445"/>
    </row>
    <row r="149" spans="1:16">
      <c r="A149" s="445"/>
      <c r="B149" s="445"/>
      <c r="C149" s="445"/>
      <c r="D149" s="445"/>
      <c r="E149" s="445"/>
      <c r="F149" s="445"/>
      <c r="G149" s="445"/>
      <c r="H149" s="445"/>
      <c r="I149" s="445"/>
      <c r="J149" s="445"/>
      <c r="K149" s="1136"/>
      <c r="L149" s="1136"/>
      <c r="M149" s="445"/>
      <c r="N149" s="445"/>
      <c r="O149" s="445"/>
      <c r="P149" s="445"/>
    </row>
    <row r="150" spans="1:16">
      <c r="A150" s="445"/>
      <c r="B150" s="445"/>
      <c r="C150" s="445"/>
      <c r="D150" s="445"/>
      <c r="E150" s="445"/>
      <c r="F150" s="445"/>
      <c r="G150" s="445"/>
      <c r="H150" s="445"/>
      <c r="I150" s="445"/>
      <c r="J150" s="445"/>
      <c r="K150" s="1136"/>
      <c r="L150" s="1136"/>
      <c r="M150" s="445"/>
      <c r="N150" s="445"/>
      <c r="O150" s="445"/>
      <c r="P150" s="445"/>
    </row>
    <row r="151" spans="1:16">
      <c r="A151" s="445"/>
      <c r="B151" s="445"/>
      <c r="C151" s="445"/>
      <c r="D151" s="445"/>
      <c r="E151" s="445"/>
      <c r="F151" s="445"/>
      <c r="G151" s="445"/>
      <c r="H151" s="445"/>
      <c r="I151" s="445"/>
      <c r="J151" s="445"/>
      <c r="K151" s="1136"/>
      <c r="L151" s="1136"/>
      <c r="M151" s="445"/>
      <c r="N151" s="445"/>
      <c r="O151" s="445"/>
      <c r="P151" s="445"/>
    </row>
    <row r="152" spans="1:16">
      <c r="A152" s="445"/>
      <c r="B152" s="445"/>
      <c r="C152" s="445"/>
      <c r="D152" s="445"/>
      <c r="E152" s="445"/>
      <c r="F152" s="445"/>
      <c r="G152" s="445"/>
      <c r="H152" s="445"/>
      <c r="I152" s="445"/>
      <c r="J152" s="445"/>
      <c r="K152" s="1136"/>
      <c r="L152" s="1136"/>
      <c r="M152" s="445"/>
      <c r="N152" s="445"/>
      <c r="O152" s="445"/>
      <c r="P152" s="445"/>
    </row>
    <row r="153" spans="1:16">
      <c r="A153" s="445"/>
      <c r="B153" s="445"/>
      <c r="C153" s="445"/>
      <c r="D153" s="445"/>
      <c r="E153" s="445"/>
      <c r="F153" s="445"/>
      <c r="G153" s="445"/>
      <c r="H153" s="445"/>
      <c r="I153" s="445"/>
      <c r="J153" s="445"/>
      <c r="K153" s="1136"/>
      <c r="L153" s="1136"/>
      <c r="M153" s="445"/>
      <c r="N153" s="445"/>
      <c r="O153" s="445"/>
      <c r="P153" s="445"/>
    </row>
    <row r="154" spans="1:16">
      <c r="A154" s="445"/>
      <c r="B154" s="445"/>
      <c r="C154" s="445"/>
      <c r="D154" s="445"/>
      <c r="E154" s="445"/>
      <c r="F154" s="445"/>
      <c r="G154" s="445"/>
      <c r="H154" s="445"/>
      <c r="I154" s="445"/>
      <c r="J154" s="445"/>
      <c r="K154" s="1136"/>
      <c r="L154" s="1136"/>
      <c r="M154" s="445"/>
      <c r="N154" s="445"/>
      <c r="O154" s="445"/>
      <c r="P154" s="445"/>
    </row>
    <row r="155" spans="1:16">
      <c r="A155" s="445"/>
      <c r="B155" s="445"/>
      <c r="C155" s="445"/>
      <c r="D155" s="445"/>
      <c r="E155" s="445"/>
      <c r="F155" s="445"/>
      <c r="G155" s="445"/>
      <c r="H155" s="445"/>
      <c r="I155" s="445"/>
      <c r="J155" s="445"/>
      <c r="K155" s="1136"/>
      <c r="L155" s="1136"/>
      <c r="M155" s="445"/>
      <c r="N155" s="445"/>
      <c r="O155" s="445"/>
      <c r="P155" s="445"/>
    </row>
    <row r="156" spans="1:16">
      <c r="A156" s="445"/>
      <c r="B156" s="445"/>
      <c r="C156" s="445"/>
      <c r="D156" s="445"/>
      <c r="E156" s="445"/>
      <c r="F156" s="445"/>
      <c r="G156" s="445"/>
      <c r="H156" s="445"/>
      <c r="I156" s="445"/>
      <c r="J156" s="445"/>
      <c r="K156" s="1136"/>
      <c r="L156" s="1136"/>
      <c r="M156" s="445"/>
      <c r="N156" s="445"/>
      <c r="O156" s="445"/>
      <c r="P156" s="445"/>
    </row>
    <row r="157" spans="1:16">
      <c r="A157" s="445"/>
      <c r="B157" s="445"/>
      <c r="C157" s="445"/>
      <c r="D157" s="445"/>
      <c r="E157" s="445"/>
      <c r="F157" s="445"/>
      <c r="G157" s="445"/>
      <c r="H157" s="445"/>
      <c r="I157" s="445"/>
      <c r="J157" s="445"/>
      <c r="K157" s="1136"/>
      <c r="L157" s="1136"/>
      <c r="M157" s="445"/>
      <c r="N157" s="445"/>
      <c r="O157" s="445"/>
      <c r="P157" s="445"/>
    </row>
    <row r="158" spans="1:16">
      <c r="A158" s="445"/>
      <c r="B158" s="445"/>
      <c r="C158" s="445"/>
      <c r="D158" s="445"/>
      <c r="E158" s="445"/>
      <c r="F158" s="445"/>
      <c r="G158" s="445"/>
      <c r="H158" s="445"/>
      <c r="I158" s="445"/>
      <c r="J158" s="445"/>
      <c r="K158" s="1136"/>
      <c r="L158" s="1136"/>
      <c r="M158" s="445"/>
      <c r="N158" s="445"/>
      <c r="O158" s="445"/>
      <c r="P158" s="445"/>
    </row>
    <row r="159" spans="1:16">
      <c r="A159" s="445"/>
      <c r="B159" s="445"/>
      <c r="C159" s="445"/>
      <c r="D159" s="445"/>
      <c r="E159" s="445"/>
      <c r="F159" s="445"/>
      <c r="G159" s="445"/>
      <c r="H159" s="445"/>
      <c r="I159" s="445"/>
      <c r="J159" s="445"/>
      <c r="K159" s="1136"/>
      <c r="L159" s="1136"/>
      <c r="M159" s="445"/>
      <c r="N159" s="445"/>
      <c r="O159" s="445"/>
      <c r="P159" s="445"/>
    </row>
    <row r="160" spans="1:16">
      <c r="A160" s="445"/>
      <c r="B160" s="445"/>
      <c r="C160" s="445"/>
      <c r="D160" s="445"/>
      <c r="E160" s="445"/>
      <c r="F160" s="445"/>
      <c r="G160" s="445"/>
      <c r="H160" s="445"/>
      <c r="I160" s="445"/>
      <c r="J160" s="445"/>
      <c r="K160" s="1136"/>
      <c r="L160" s="1136"/>
      <c r="M160" s="445"/>
      <c r="N160" s="445"/>
      <c r="O160" s="445"/>
      <c r="P160" s="445"/>
    </row>
    <row r="161" spans="1:16">
      <c r="A161" s="445"/>
      <c r="B161" s="445"/>
      <c r="C161" s="445"/>
      <c r="D161" s="445"/>
      <c r="E161" s="445"/>
      <c r="F161" s="445"/>
      <c r="G161" s="445"/>
      <c r="H161" s="445"/>
      <c r="I161" s="445"/>
      <c r="J161" s="445"/>
      <c r="K161" s="1136"/>
      <c r="L161" s="1136"/>
      <c r="M161" s="445"/>
      <c r="N161" s="445"/>
      <c r="O161" s="445"/>
      <c r="P161" s="445"/>
    </row>
    <row r="162" spans="1:16">
      <c r="A162" s="445"/>
      <c r="B162" s="445"/>
      <c r="C162" s="445"/>
      <c r="D162" s="445"/>
      <c r="E162" s="445"/>
      <c r="F162" s="445"/>
      <c r="G162" s="445"/>
      <c r="H162" s="445"/>
      <c r="I162" s="445"/>
      <c r="J162" s="445"/>
      <c r="K162" s="1136"/>
      <c r="L162" s="1136"/>
      <c r="M162" s="445"/>
      <c r="N162" s="445"/>
      <c r="O162" s="445"/>
      <c r="P162" s="445"/>
    </row>
    <row r="163" spans="1:16">
      <c r="A163" s="445"/>
      <c r="B163" s="445"/>
      <c r="C163" s="445"/>
      <c r="D163" s="445"/>
      <c r="E163" s="445"/>
      <c r="F163" s="445"/>
      <c r="G163" s="445"/>
      <c r="H163" s="445"/>
      <c r="I163" s="445"/>
      <c r="J163" s="445"/>
      <c r="K163" s="1136"/>
      <c r="L163" s="1136"/>
      <c r="M163" s="445"/>
      <c r="N163" s="445"/>
      <c r="O163" s="445"/>
      <c r="P163" s="445"/>
    </row>
    <row r="164" spans="1:16">
      <c r="A164" s="445"/>
      <c r="B164" s="445"/>
      <c r="C164" s="445"/>
      <c r="D164" s="445"/>
      <c r="E164" s="445"/>
      <c r="F164" s="445"/>
      <c r="G164" s="445"/>
      <c r="H164" s="445"/>
      <c r="I164" s="445"/>
      <c r="J164" s="445"/>
      <c r="K164" s="1136"/>
      <c r="L164" s="1136"/>
      <c r="M164" s="445"/>
      <c r="N164" s="445"/>
      <c r="O164" s="445"/>
      <c r="P164" s="445"/>
    </row>
    <row r="165" spans="1:16">
      <c r="A165" s="445"/>
      <c r="B165" s="445"/>
      <c r="C165" s="445"/>
      <c r="D165" s="445"/>
      <c r="E165" s="445"/>
      <c r="F165" s="445"/>
      <c r="G165" s="445"/>
      <c r="H165" s="445"/>
      <c r="I165" s="445"/>
      <c r="J165" s="445"/>
      <c r="K165" s="1136"/>
      <c r="L165" s="1136"/>
      <c r="M165" s="445"/>
      <c r="N165" s="445"/>
      <c r="O165" s="445"/>
      <c r="P165" s="445"/>
    </row>
    <row r="166" spans="1:16">
      <c r="A166" s="445"/>
      <c r="B166" s="445"/>
      <c r="C166" s="445"/>
      <c r="D166" s="445"/>
      <c r="E166" s="445"/>
      <c r="F166" s="445"/>
      <c r="G166" s="445"/>
      <c r="H166" s="445"/>
      <c r="I166" s="445"/>
      <c r="J166" s="445"/>
      <c r="K166" s="1136"/>
      <c r="L166" s="1136"/>
      <c r="M166" s="445"/>
      <c r="N166" s="445"/>
      <c r="O166" s="445"/>
      <c r="P166" s="445"/>
    </row>
    <row r="167" spans="1:16">
      <c r="A167" s="445"/>
      <c r="B167" s="445"/>
      <c r="C167" s="445"/>
      <c r="D167" s="445"/>
      <c r="E167" s="445"/>
      <c r="F167" s="445"/>
      <c r="G167" s="445"/>
      <c r="H167" s="445"/>
      <c r="I167" s="445"/>
      <c r="J167" s="445"/>
      <c r="K167" s="1136"/>
      <c r="L167" s="1136"/>
      <c r="M167" s="445"/>
      <c r="N167" s="445"/>
      <c r="O167" s="445"/>
      <c r="P167" s="445"/>
    </row>
    <row r="168" spans="1:16">
      <c r="A168" s="445"/>
      <c r="B168" s="445"/>
      <c r="C168" s="445"/>
      <c r="D168" s="445"/>
      <c r="E168" s="445"/>
      <c r="F168" s="445"/>
      <c r="G168" s="445"/>
      <c r="H168" s="445"/>
      <c r="I168" s="445"/>
      <c r="J168" s="445"/>
      <c r="K168" s="1136"/>
      <c r="L168" s="1136"/>
      <c r="M168" s="445"/>
      <c r="N168" s="445"/>
      <c r="O168" s="445"/>
      <c r="P168" s="445"/>
    </row>
    <row r="169" spans="1:16">
      <c r="A169" s="445"/>
      <c r="B169" s="445"/>
      <c r="C169" s="445"/>
      <c r="D169" s="445"/>
      <c r="E169" s="445"/>
      <c r="F169" s="445"/>
      <c r="G169" s="445"/>
      <c r="H169" s="445"/>
      <c r="I169" s="445"/>
      <c r="J169" s="445"/>
      <c r="K169" s="1136"/>
      <c r="L169" s="1136"/>
      <c r="M169" s="445"/>
      <c r="N169" s="445"/>
      <c r="O169" s="445"/>
      <c r="P169" s="445"/>
    </row>
    <row r="170" spans="1:16">
      <c r="A170" s="445"/>
      <c r="B170" s="445"/>
      <c r="C170" s="445"/>
      <c r="D170" s="445"/>
      <c r="E170" s="445"/>
      <c r="F170" s="445"/>
      <c r="G170" s="445"/>
      <c r="H170" s="445"/>
      <c r="I170" s="445"/>
      <c r="J170" s="445"/>
      <c r="K170" s="1136"/>
      <c r="L170" s="1136"/>
      <c r="M170" s="445"/>
      <c r="N170" s="445"/>
      <c r="O170" s="445"/>
      <c r="P170" s="445"/>
    </row>
    <row r="171" spans="1:16">
      <c r="A171" s="445"/>
      <c r="B171" s="445"/>
      <c r="C171" s="445"/>
      <c r="D171" s="445"/>
      <c r="E171" s="445"/>
      <c r="F171" s="445"/>
      <c r="G171" s="445"/>
      <c r="H171" s="445"/>
      <c r="I171" s="445"/>
      <c r="J171" s="445"/>
      <c r="K171" s="1136"/>
      <c r="L171" s="1136"/>
      <c r="M171" s="445"/>
      <c r="N171" s="445"/>
      <c r="O171" s="445"/>
      <c r="P171" s="445"/>
    </row>
    <row r="172" spans="1:16">
      <c r="A172" s="445"/>
      <c r="B172" s="445"/>
      <c r="C172" s="445"/>
      <c r="D172" s="445"/>
      <c r="E172" s="445"/>
      <c r="F172" s="445"/>
      <c r="G172" s="445"/>
      <c r="H172" s="445"/>
      <c r="I172" s="445"/>
      <c r="J172" s="445"/>
      <c r="K172" s="1136"/>
      <c r="L172" s="1136"/>
      <c r="M172" s="445"/>
      <c r="N172" s="445"/>
      <c r="O172" s="445"/>
      <c r="P172" s="445"/>
    </row>
    <row r="173" spans="1:16">
      <c r="A173" s="445"/>
      <c r="B173" s="445"/>
      <c r="C173" s="445"/>
      <c r="D173" s="445"/>
      <c r="E173" s="445"/>
      <c r="F173" s="445"/>
      <c r="G173" s="445"/>
      <c r="H173" s="445"/>
      <c r="I173" s="445"/>
      <c r="J173" s="445"/>
      <c r="K173" s="1136"/>
      <c r="L173" s="1136"/>
      <c r="M173" s="445"/>
      <c r="N173" s="445"/>
      <c r="O173" s="445"/>
      <c r="P173" s="445"/>
    </row>
    <row r="174" spans="1:16">
      <c r="A174" s="445"/>
      <c r="B174" s="445"/>
      <c r="C174" s="445"/>
      <c r="D174" s="445"/>
      <c r="E174" s="445"/>
      <c r="F174" s="445"/>
      <c r="G174" s="445"/>
      <c r="H174" s="445"/>
      <c r="I174" s="445"/>
      <c r="J174" s="445"/>
      <c r="K174" s="1136"/>
      <c r="L174" s="1136"/>
      <c r="M174" s="445"/>
      <c r="N174" s="445"/>
      <c r="O174" s="445"/>
      <c r="P174" s="445"/>
    </row>
    <row r="175" spans="1:16">
      <c r="A175" s="445"/>
      <c r="B175" s="445"/>
      <c r="C175" s="445"/>
      <c r="D175" s="445"/>
      <c r="E175" s="445"/>
      <c r="F175" s="445"/>
      <c r="G175" s="445"/>
      <c r="H175" s="445"/>
      <c r="I175" s="445"/>
      <c r="J175" s="445"/>
      <c r="K175" s="1136"/>
      <c r="L175" s="1136"/>
      <c r="M175" s="445"/>
      <c r="N175" s="445"/>
      <c r="O175" s="445"/>
      <c r="P175" s="445"/>
    </row>
    <row r="176" spans="1:16">
      <c r="A176" s="445"/>
      <c r="B176" s="445"/>
      <c r="C176" s="445"/>
      <c r="D176" s="445"/>
      <c r="E176" s="445"/>
      <c r="F176" s="445"/>
      <c r="G176" s="445"/>
      <c r="H176" s="445"/>
      <c r="I176" s="445"/>
      <c r="J176" s="445"/>
      <c r="K176" s="1136"/>
      <c r="L176" s="1136"/>
      <c r="M176" s="445"/>
      <c r="N176" s="445"/>
      <c r="O176" s="445"/>
      <c r="P176" s="445"/>
    </row>
    <row r="177" spans="1:16">
      <c r="A177" s="445"/>
      <c r="B177" s="445"/>
      <c r="C177" s="445"/>
      <c r="D177" s="445"/>
      <c r="E177" s="445"/>
      <c r="F177" s="445"/>
      <c r="G177" s="445"/>
      <c r="H177" s="445"/>
      <c r="I177" s="445"/>
      <c r="J177" s="445"/>
      <c r="K177" s="1136"/>
      <c r="L177" s="1136"/>
      <c r="M177" s="445"/>
      <c r="N177" s="445"/>
      <c r="O177" s="445"/>
      <c r="P177" s="445"/>
    </row>
    <row r="178" spans="1:16">
      <c r="A178" s="445"/>
      <c r="B178" s="445"/>
      <c r="C178" s="445"/>
      <c r="D178" s="445"/>
      <c r="E178" s="445"/>
      <c r="F178" s="445"/>
      <c r="G178" s="445"/>
      <c r="H178" s="445"/>
      <c r="I178" s="445"/>
      <c r="J178" s="445"/>
      <c r="K178" s="1136"/>
      <c r="L178" s="1136"/>
      <c r="M178" s="445"/>
      <c r="N178" s="445"/>
      <c r="O178" s="445"/>
      <c r="P178" s="445"/>
    </row>
    <row r="179" spans="1:16">
      <c r="A179" s="445"/>
      <c r="B179" s="445"/>
      <c r="C179" s="445"/>
      <c r="D179" s="445"/>
      <c r="E179" s="445"/>
      <c r="F179" s="445"/>
      <c r="G179" s="445"/>
      <c r="H179" s="445"/>
      <c r="I179" s="445"/>
      <c r="J179" s="445"/>
      <c r="K179" s="1136"/>
      <c r="L179" s="1136"/>
      <c r="M179" s="445"/>
      <c r="N179" s="445"/>
      <c r="O179" s="445"/>
      <c r="P179" s="445"/>
    </row>
    <row r="180" spans="1:16">
      <c r="A180" s="445"/>
      <c r="B180" s="445"/>
      <c r="C180" s="445"/>
      <c r="D180" s="445"/>
      <c r="E180" s="445"/>
      <c r="F180" s="445"/>
      <c r="G180" s="445"/>
      <c r="H180" s="445"/>
      <c r="I180" s="445"/>
      <c r="J180" s="445"/>
      <c r="K180" s="1136"/>
      <c r="L180" s="1136"/>
      <c r="M180" s="445"/>
      <c r="N180" s="445"/>
      <c r="O180" s="445"/>
      <c r="P180" s="445"/>
    </row>
    <row r="181" spans="1:16">
      <c r="A181" s="445"/>
      <c r="B181" s="445"/>
      <c r="C181" s="445"/>
      <c r="D181" s="445"/>
      <c r="E181" s="445"/>
      <c r="F181" s="445"/>
      <c r="G181" s="445"/>
      <c r="H181" s="445"/>
      <c r="I181" s="445"/>
      <c r="J181" s="445"/>
      <c r="K181" s="1136"/>
      <c r="L181" s="1136"/>
      <c r="M181" s="445"/>
      <c r="N181" s="445"/>
      <c r="O181" s="445"/>
      <c r="P181" s="445"/>
    </row>
    <row r="182" spans="1:16">
      <c r="A182" s="445"/>
      <c r="B182" s="445"/>
      <c r="C182" s="445"/>
      <c r="D182" s="445"/>
      <c r="E182" s="445"/>
      <c r="F182" s="445"/>
      <c r="G182" s="445"/>
      <c r="H182" s="445"/>
      <c r="I182" s="445"/>
      <c r="J182" s="445"/>
      <c r="K182" s="1136"/>
      <c r="L182" s="1136"/>
      <c r="M182" s="445"/>
      <c r="N182" s="445"/>
      <c r="O182" s="445"/>
      <c r="P182" s="445"/>
    </row>
    <row r="183" spans="1:16">
      <c r="A183" s="445"/>
      <c r="B183" s="445"/>
      <c r="C183" s="445"/>
      <c r="D183" s="445"/>
      <c r="E183" s="445"/>
      <c r="F183" s="445"/>
      <c r="G183" s="445"/>
      <c r="H183" s="445"/>
      <c r="I183" s="445"/>
      <c r="J183" s="445"/>
      <c r="K183" s="1136"/>
      <c r="L183" s="1136"/>
      <c r="M183" s="445"/>
      <c r="N183" s="445"/>
      <c r="O183" s="445"/>
      <c r="P183" s="445"/>
    </row>
    <row r="184" spans="1:16">
      <c r="A184" s="445"/>
      <c r="B184" s="445"/>
      <c r="C184" s="445"/>
      <c r="D184" s="445"/>
      <c r="E184" s="445"/>
      <c r="F184" s="445"/>
      <c r="G184" s="445"/>
      <c r="H184" s="445"/>
      <c r="I184" s="445"/>
      <c r="J184" s="445"/>
      <c r="K184" s="1136"/>
      <c r="L184" s="1136"/>
      <c r="M184" s="445"/>
      <c r="N184" s="445"/>
      <c r="O184" s="445"/>
      <c r="P184" s="445"/>
    </row>
    <row r="185" spans="1:16">
      <c r="A185" s="445"/>
      <c r="B185" s="445"/>
      <c r="C185" s="445"/>
      <c r="D185" s="445"/>
      <c r="E185" s="445"/>
      <c r="F185" s="445"/>
      <c r="G185" s="445"/>
      <c r="H185" s="445"/>
      <c r="I185" s="445"/>
      <c r="J185" s="445"/>
      <c r="K185" s="1136"/>
      <c r="L185" s="1136"/>
      <c r="M185" s="445"/>
      <c r="N185" s="445"/>
      <c r="O185" s="445"/>
      <c r="P185" s="445"/>
    </row>
    <row r="186" spans="1:16">
      <c r="A186" s="445"/>
      <c r="B186" s="445"/>
      <c r="C186" s="445"/>
      <c r="D186" s="445"/>
      <c r="E186" s="445"/>
      <c r="F186" s="445"/>
      <c r="G186" s="445"/>
      <c r="H186" s="445"/>
      <c r="I186" s="445"/>
      <c r="J186" s="445"/>
      <c r="K186" s="1136"/>
      <c r="L186" s="1136"/>
      <c r="M186" s="445"/>
      <c r="N186" s="445"/>
      <c r="O186" s="445"/>
      <c r="P186" s="445"/>
    </row>
    <row r="187" spans="1:16">
      <c r="A187" s="445"/>
      <c r="B187" s="445"/>
      <c r="C187" s="445"/>
      <c r="D187" s="445"/>
      <c r="E187" s="445"/>
      <c r="F187" s="445"/>
      <c r="G187" s="445"/>
      <c r="H187" s="445"/>
      <c r="I187" s="445"/>
      <c r="J187" s="445"/>
      <c r="K187" s="1136"/>
      <c r="L187" s="1136"/>
      <c r="M187" s="445"/>
      <c r="N187" s="445"/>
      <c r="O187" s="445"/>
      <c r="P187" s="445"/>
    </row>
    <row r="188" spans="1:16">
      <c r="A188" s="445"/>
      <c r="B188" s="445"/>
      <c r="C188" s="445"/>
      <c r="D188" s="445"/>
      <c r="E188" s="445"/>
      <c r="F188" s="445"/>
      <c r="G188" s="445"/>
      <c r="H188" s="445"/>
      <c r="I188" s="445"/>
      <c r="J188" s="445"/>
      <c r="K188" s="1136"/>
      <c r="L188" s="1136"/>
      <c r="M188" s="445"/>
      <c r="N188" s="445"/>
      <c r="O188" s="445"/>
      <c r="P188" s="445"/>
    </row>
    <row r="189" spans="1:16">
      <c r="A189" s="445"/>
      <c r="B189" s="445"/>
      <c r="C189" s="445"/>
      <c r="D189" s="445"/>
      <c r="E189" s="445"/>
      <c r="F189" s="445"/>
      <c r="G189" s="445"/>
      <c r="H189" s="445"/>
      <c r="I189" s="445"/>
      <c r="J189" s="445"/>
      <c r="K189" s="1136"/>
      <c r="L189" s="1136"/>
      <c r="M189" s="445"/>
      <c r="N189" s="445"/>
      <c r="O189" s="445"/>
      <c r="P189" s="445"/>
    </row>
    <row r="190" spans="1:16">
      <c r="A190" s="445"/>
      <c r="B190" s="445"/>
      <c r="C190" s="445"/>
      <c r="D190" s="445"/>
      <c r="E190" s="445"/>
      <c r="F190" s="445"/>
      <c r="G190" s="445"/>
      <c r="H190" s="445"/>
      <c r="I190" s="445"/>
      <c r="J190" s="445"/>
      <c r="K190" s="1136"/>
      <c r="L190" s="1136"/>
      <c r="M190" s="445"/>
      <c r="N190" s="445"/>
      <c r="O190" s="445"/>
      <c r="P190" s="445"/>
    </row>
    <row r="191" spans="1:16">
      <c r="A191" s="445"/>
      <c r="B191" s="445"/>
      <c r="C191" s="445"/>
      <c r="D191" s="445"/>
      <c r="E191" s="445"/>
      <c r="F191" s="445"/>
      <c r="G191" s="445"/>
      <c r="H191" s="445"/>
      <c r="I191" s="445"/>
      <c r="J191" s="445"/>
      <c r="K191" s="1136"/>
      <c r="L191" s="1136"/>
      <c r="M191" s="445"/>
      <c r="N191" s="445"/>
      <c r="O191" s="445"/>
      <c r="P191" s="445"/>
    </row>
    <row r="192" spans="1:16">
      <c r="A192" s="445"/>
      <c r="B192" s="445"/>
      <c r="C192" s="445"/>
      <c r="D192" s="445"/>
      <c r="E192" s="445"/>
      <c r="F192" s="445"/>
      <c r="G192" s="445"/>
      <c r="H192" s="445"/>
      <c r="I192" s="445"/>
      <c r="J192" s="445"/>
      <c r="K192" s="1136"/>
      <c r="L192" s="1136"/>
      <c r="M192" s="445"/>
      <c r="N192" s="445"/>
      <c r="O192" s="445"/>
      <c r="P192" s="445"/>
    </row>
    <row r="193" spans="1:16">
      <c r="A193" s="445"/>
      <c r="B193" s="445"/>
      <c r="C193" s="445"/>
      <c r="D193" s="445"/>
      <c r="E193" s="445"/>
      <c r="F193" s="445"/>
      <c r="G193" s="445"/>
      <c r="H193" s="445"/>
      <c r="I193" s="445"/>
      <c r="J193" s="445"/>
      <c r="K193" s="1136"/>
      <c r="L193" s="1136"/>
      <c r="M193" s="445"/>
      <c r="N193" s="445"/>
      <c r="O193" s="445"/>
      <c r="P193" s="445"/>
    </row>
    <row r="194" spans="1:16">
      <c r="A194" s="445"/>
      <c r="B194" s="445"/>
      <c r="C194" s="445"/>
      <c r="D194" s="445"/>
      <c r="E194" s="445"/>
      <c r="F194" s="445"/>
      <c r="G194" s="445"/>
      <c r="H194" s="445"/>
      <c r="I194" s="445"/>
      <c r="J194" s="445"/>
      <c r="K194" s="1136"/>
      <c r="L194" s="1136"/>
      <c r="M194" s="445"/>
      <c r="N194" s="445"/>
      <c r="O194" s="445"/>
      <c r="P194" s="445"/>
    </row>
    <row r="195" spans="1:16">
      <c r="A195" s="445"/>
      <c r="B195" s="445"/>
      <c r="C195" s="445"/>
      <c r="D195" s="445"/>
      <c r="E195" s="445"/>
      <c r="F195" s="445"/>
      <c r="G195" s="445"/>
      <c r="H195" s="445"/>
      <c r="I195" s="445"/>
      <c r="J195" s="445"/>
      <c r="K195" s="1136"/>
      <c r="L195" s="1136"/>
      <c r="M195" s="445"/>
      <c r="N195" s="445"/>
      <c r="O195" s="445"/>
      <c r="P195" s="445"/>
    </row>
    <row r="196" spans="1:16">
      <c r="A196" s="445"/>
      <c r="B196" s="445"/>
      <c r="C196" s="445"/>
      <c r="D196" s="445"/>
      <c r="E196" s="445"/>
      <c r="F196" s="445"/>
      <c r="G196" s="445"/>
      <c r="H196" s="445"/>
      <c r="I196" s="445"/>
      <c r="J196" s="445"/>
      <c r="K196" s="1136"/>
      <c r="L196" s="1136"/>
      <c r="M196" s="445"/>
      <c r="N196" s="445"/>
      <c r="O196" s="445"/>
      <c r="P196" s="445"/>
    </row>
    <row r="197" spans="1:16">
      <c r="A197" s="445"/>
      <c r="B197" s="445"/>
      <c r="C197" s="445"/>
      <c r="D197" s="445"/>
      <c r="E197" s="445"/>
      <c r="F197" s="445"/>
      <c r="G197" s="445"/>
      <c r="H197" s="445"/>
      <c r="I197" s="445"/>
      <c r="J197" s="445"/>
      <c r="K197" s="1136"/>
      <c r="L197" s="1136"/>
      <c r="M197" s="445"/>
      <c r="N197" s="445"/>
      <c r="O197" s="445"/>
      <c r="P197" s="445"/>
    </row>
    <row r="198" spans="1:16">
      <c r="A198" s="445"/>
      <c r="B198" s="445"/>
      <c r="C198" s="445"/>
      <c r="D198" s="445"/>
      <c r="E198" s="445"/>
      <c r="F198" s="445"/>
      <c r="G198" s="445"/>
      <c r="H198" s="445"/>
      <c r="I198" s="445"/>
      <c r="J198" s="445"/>
      <c r="K198" s="1136"/>
      <c r="L198" s="1136"/>
      <c r="M198" s="445"/>
      <c r="N198" s="445"/>
      <c r="O198" s="445"/>
      <c r="P198" s="445"/>
    </row>
    <row r="199" spans="1:16">
      <c r="A199" s="445"/>
      <c r="B199" s="445"/>
      <c r="C199" s="445"/>
      <c r="D199" s="445"/>
      <c r="E199" s="445"/>
      <c r="F199" s="445"/>
      <c r="G199" s="445"/>
      <c r="H199" s="445"/>
      <c r="I199" s="445"/>
      <c r="J199" s="445"/>
      <c r="K199" s="1136"/>
      <c r="L199" s="1136"/>
      <c r="M199" s="445"/>
      <c r="N199" s="445"/>
      <c r="O199" s="445"/>
      <c r="P199" s="445"/>
    </row>
    <row r="200" spans="1:16">
      <c r="A200" s="445"/>
      <c r="B200" s="445"/>
      <c r="C200" s="445"/>
      <c r="D200" s="445"/>
      <c r="E200" s="445"/>
      <c r="F200" s="445"/>
      <c r="G200" s="445"/>
      <c r="H200" s="445"/>
      <c r="I200" s="445"/>
      <c r="J200" s="445"/>
      <c r="K200" s="1136"/>
      <c r="L200" s="1136"/>
      <c r="M200" s="445"/>
      <c r="N200" s="445"/>
      <c r="O200" s="445"/>
      <c r="P200" s="445"/>
    </row>
    <row r="201" spans="1:16">
      <c r="A201" s="445"/>
      <c r="B201" s="445"/>
      <c r="C201" s="445"/>
      <c r="D201" s="445"/>
      <c r="E201" s="445"/>
      <c r="F201" s="445"/>
      <c r="G201" s="445"/>
      <c r="H201" s="445"/>
      <c r="I201" s="445"/>
      <c r="J201" s="445"/>
      <c r="K201" s="1136"/>
      <c r="L201" s="1136"/>
      <c r="M201" s="445"/>
      <c r="N201" s="445"/>
      <c r="O201" s="445"/>
      <c r="P201" s="445"/>
    </row>
    <row r="202" spans="1:16">
      <c r="A202" s="445"/>
      <c r="B202" s="445"/>
      <c r="C202" s="445"/>
      <c r="D202" s="445"/>
      <c r="E202" s="445"/>
      <c r="F202" s="445"/>
      <c r="G202" s="445"/>
      <c r="H202" s="445"/>
      <c r="I202" s="445"/>
      <c r="J202" s="445"/>
      <c r="K202" s="1136"/>
      <c r="L202" s="1136"/>
      <c r="M202" s="445"/>
      <c r="N202" s="445"/>
      <c r="O202" s="445"/>
      <c r="P202" s="445"/>
    </row>
    <row r="203" spans="1:16">
      <c r="A203" s="445"/>
      <c r="B203" s="445"/>
      <c r="C203" s="445"/>
      <c r="D203" s="445"/>
      <c r="E203" s="445"/>
      <c r="F203" s="445"/>
      <c r="G203" s="445"/>
      <c r="H203" s="445"/>
      <c r="I203" s="445"/>
      <c r="J203" s="445"/>
      <c r="K203" s="1136"/>
      <c r="L203" s="1136"/>
      <c r="M203" s="445"/>
      <c r="N203" s="445"/>
      <c r="O203" s="445"/>
      <c r="P203" s="445"/>
    </row>
    <row r="204" spans="1:16">
      <c r="A204" s="445"/>
      <c r="B204" s="445"/>
      <c r="C204" s="445"/>
      <c r="D204" s="445"/>
      <c r="E204" s="445"/>
      <c r="F204" s="445"/>
      <c r="G204" s="445"/>
      <c r="H204" s="445"/>
      <c r="I204" s="445"/>
      <c r="J204" s="445"/>
      <c r="K204" s="1136"/>
      <c r="L204" s="1136"/>
      <c r="M204" s="445"/>
      <c r="N204" s="445"/>
      <c r="O204" s="445"/>
      <c r="P204" s="445"/>
    </row>
    <row r="205" spans="1:16">
      <c r="A205" s="445"/>
      <c r="B205" s="445"/>
      <c r="C205" s="445"/>
      <c r="D205" s="445"/>
      <c r="E205" s="445"/>
      <c r="F205" s="445"/>
      <c r="G205" s="445"/>
      <c r="H205" s="445"/>
      <c r="I205" s="445"/>
      <c r="J205" s="445"/>
      <c r="K205" s="1136"/>
      <c r="L205" s="1136"/>
      <c r="M205" s="445"/>
      <c r="N205" s="445"/>
      <c r="O205" s="445"/>
      <c r="P205" s="445"/>
    </row>
    <row r="206" spans="1:16">
      <c r="A206" s="445"/>
      <c r="B206" s="445"/>
      <c r="C206" s="445"/>
      <c r="D206" s="445"/>
      <c r="E206" s="445"/>
      <c r="F206" s="445"/>
      <c r="G206" s="445"/>
      <c r="H206" s="445"/>
      <c r="I206" s="445"/>
      <c r="J206" s="445"/>
      <c r="K206" s="1136"/>
      <c r="L206" s="1136"/>
      <c r="M206" s="445"/>
      <c r="N206" s="445"/>
      <c r="O206" s="445"/>
      <c r="P206" s="445"/>
    </row>
    <row r="207" spans="1:16">
      <c r="A207" s="445"/>
      <c r="B207" s="445"/>
      <c r="C207" s="445"/>
      <c r="D207" s="445"/>
      <c r="E207" s="445"/>
      <c r="F207" s="445"/>
      <c r="G207" s="445"/>
      <c r="H207" s="445"/>
      <c r="I207" s="445"/>
      <c r="J207" s="445"/>
      <c r="K207" s="1136"/>
      <c r="L207" s="1136"/>
      <c r="M207" s="445"/>
      <c r="N207" s="445"/>
      <c r="O207" s="445"/>
      <c r="P207" s="445"/>
    </row>
    <row r="208" spans="1:16">
      <c r="A208" s="445"/>
      <c r="B208" s="445"/>
      <c r="C208" s="445"/>
      <c r="D208" s="445"/>
      <c r="E208" s="445"/>
      <c r="F208" s="445"/>
      <c r="G208" s="445"/>
      <c r="H208" s="445"/>
      <c r="I208" s="445"/>
      <c r="J208" s="445"/>
      <c r="K208" s="1136"/>
      <c r="L208" s="1136"/>
      <c r="M208" s="445"/>
      <c r="N208" s="445"/>
      <c r="O208" s="445"/>
      <c r="P208" s="445"/>
    </row>
    <row r="209" spans="1:16">
      <c r="A209" s="445"/>
      <c r="B209" s="445"/>
      <c r="C209" s="445"/>
      <c r="D209" s="445"/>
      <c r="E209" s="445"/>
      <c r="F209" s="445"/>
      <c r="G209" s="445"/>
      <c r="H209" s="445"/>
      <c r="I209" s="445"/>
      <c r="J209" s="445"/>
      <c r="K209" s="1136"/>
      <c r="L209" s="1136"/>
      <c r="M209" s="445"/>
      <c r="N209" s="445"/>
      <c r="O209" s="445"/>
      <c r="P209" s="445"/>
    </row>
    <row r="210" spans="1:16">
      <c r="A210" s="445"/>
      <c r="B210" s="445"/>
      <c r="C210" s="445"/>
      <c r="D210" s="445"/>
      <c r="E210" s="445"/>
      <c r="F210" s="445"/>
      <c r="G210" s="445"/>
      <c r="H210" s="445"/>
      <c r="I210" s="445"/>
      <c r="J210" s="445"/>
      <c r="K210" s="1136"/>
      <c r="L210" s="1136"/>
      <c r="M210" s="445"/>
      <c r="N210" s="445"/>
      <c r="O210" s="445"/>
      <c r="P210" s="445"/>
    </row>
    <row r="211" spans="1:16">
      <c r="A211" s="445"/>
      <c r="B211" s="445"/>
      <c r="C211" s="445"/>
      <c r="D211" s="445"/>
      <c r="E211" s="445"/>
      <c r="F211" s="445"/>
      <c r="G211" s="445"/>
      <c r="H211" s="445"/>
      <c r="I211" s="445"/>
      <c r="J211" s="445"/>
      <c r="K211" s="1136"/>
      <c r="L211" s="1136"/>
      <c r="M211" s="445"/>
      <c r="N211" s="445"/>
      <c r="O211" s="445"/>
      <c r="P211" s="445"/>
    </row>
    <row r="212" spans="1:16">
      <c r="A212" s="445"/>
      <c r="B212" s="445"/>
      <c r="C212" s="445"/>
      <c r="D212" s="445"/>
      <c r="E212" s="445"/>
      <c r="F212" s="445"/>
      <c r="G212" s="445"/>
      <c r="H212" s="445"/>
      <c r="I212" s="445"/>
      <c r="J212" s="445"/>
      <c r="K212" s="1136"/>
      <c r="L212" s="1136"/>
      <c r="M212" s="445"/>
      <c r="N212" s="445"/>
      <c r="O212" s="445"/>
      <c r="P212" s="445"/>
    </row>
    <row r="213" spans="1:16">
      <c r="A213" s="445"/>
      <c r="B213" s="445"/>
      <c r="C213" s="445"/>
      <c r="D213" s="445"/>
      <c r="E213" s="445"/>
      <c r="F213" s="445"/>
      <c r="G213" s="445"/>
      <c r="H213" s="445"/>
      <c r="I213" s="445"/>
      <c r="J213" s="445"/>
      <c r="K213" s="1136"/>
      <c r="L213" s="1136"/>
      <c r="M213" s="445"/>
      <c r="N213" s="445"/>
      <c r="O213" s="445"/>
      <c r="P213" s="445"/>
    </row>
    <row r="214" spans="1:16">
      <c r="A214" s="445"/>
      <c r="B214" s="445"/>
      <c r="C214" s="445"/>
      <c r="D214" s="445"/>
      <c r="E214" s="445"/>
      <c r="F214" s="445"/>
      <c r="G214" s="445"/>
      <c r="H214" s="445"/>
      <c r="I214" s="445"/>
      <c r="J214" s="445"/>
      <c r="K214" s="1136"/>
      <c r="L214" s="1136"/>
      <c r="M214" s="445"/>
      <c r="N214" s="445"/>
      <c r="O214" s="445"/>
      <c r="P214" s="445"/>
    </row>
    <row r="215" spans="1:16">
      <c r="A215" s="445"/>
      <c r="B215" s="445"/>
      <c r="C215" s="445"/>
      <c r="D215" s="445"/>
      <c r="E215" s="445"/>
      <c r="F215" s="445"/>
      <c r="G215" s="445"/>
      <c r="H215" s="445"/>
      <c r="I215" s="445"/>
      <c r="J215" s="445"/>
      <c r="K215" s="1136"/>
      <c r="L215" s="1136"/>
      <c r="M215" s="445"/>
      <c r="N215" s="445"/>
      <c r="O215" s="445"/>
      <c r="P215" s="445"/>
    </row>
    <row r="216" spans="1:16">
      <c r="A216" s="445"/>
      <c r="B216" s="445"/>
      <c r="C216" s="445"/>
      <c r="D216" s="445"/>
      <c r="E216" s="445"/>
      <c r="F216" s="445"/>
      <c r="G216" s="445"/>
      <c r="H216" s="445"/>
      <c r="I216" s="445"/>
      <c r="J216" s="445"/>
      <c r="K216" s="1136"/>
      <c r="L216" s="1136"/>
      <c r="M216" s="445"/>
      <c r="N216" s="445"/>
      <c r="O216" s="445"/>
      <c r="P216" s="445"/>
    </row>
    <row r="217" spans="1:16">
      <c r="A217" s="445"/>
      <c r="B217" s="445"/>
      <c r="C217" s="445"/>
      <c r="D217" s="445"/>
      <c r="E217" s="445"/>
      <c r="F217" s="445"/>
      <c r="G217" s="445"/>
      <c r="H217" s="445"/>
      <c r="I217" s="445"/>
      <c r="J217" s="445"/>
      <c r="K217" s="1136"/>
      <c r="L217" s="1136"/>
      <c r="M217" s="445"/>
      <c r="N217" s="445"/>
      <c r="O217" s="445"/>
      <c r="P217" s="445"/>
    </row>
    <row r="218" spans="1:16">
      <c r="A218" s="445"/>
      <c r="B218" s="445"/>
      <c r="C218" s="445"/>
      <c r="D218" s="445"/>
      <c r="E218" s="445"/>
      <c r="F218" s="445"/>
      <c r="G218" s="445"/>
      <c r="H218" s="445"/>
      <c r="I218" s="445"/>
      <c r="J218" s="445"/>
      <c r="K218" s="1136"/>
      <c r="L218" s="1136"/>
      <c r="M218" s="445"/>
      <c r="N218" s="445"/>
      <c r="O218" s="445"/>
      <c r="P218" s="445"/>
    </row>
    <row r="219" spans="1:16">
      <c r="A219" s="445"/>
      <c r="B219" s="445"/>
      <c r="C219" s="445"/>
      <c r="D219" s="445"/>
      <c r="E219" s="445"/>
      <c r="F219" s="445"/>
      <c r="G219" s="445"/>
      <c r="H219" s="445"/>
      <c r="I219" s="445"/>
      <c r="J219" s="445"/>
      <c r="K219" s="1136"/>
      <c r="L219" s="1136"/>
      <c r="M219" s="445"/>
      <c r="N219" s="445"/>
      <c r="O219" s="445"/>
      <c r="P219" s="445"/>
    </row>
    <row r="220" spans="1:16">
      <c r="A220" s="445"/>
      <c r="B220" s="445"/>
      <c r="C220" s="445"/>
      <c r="D220" s="445"/>
      <c r="E220" s="445"/>
      <c r="F220" s="445"/>
      <c r="G220" s="445"/>
      <c r="H220" s="445"/>
      <c r="I220" s="445"/>
      <c r="J220" s="445"/>
      <c r="K220" s="1136"/>
      <c r="L220" s="1136"/>
      <c r="M220" s="445"/>
      <c r="N220" s="445"/>
      <c r="O220" s="445"/>
      <c r="P220" s="445"/>
    </row>
    <row r="221" spans="1:16">
      <c r="A221" s="445"/>
      <c r="B221" s="445"/>
      <c r="C221" s="445"/>
      <c r="D221" s="445"/>
      <c r="E221" s="445"/>
      <c r="F221" s="445"/>
      <c r="G221" s="445"/>
      <c r="H221" s="445"/>
      <c r="I221" s="445"/>
      <c r="J221" s="445"/>
      <c r="K221" s="1136"/>
      <c r="L221" s="1136"/>
      <c r="M221" s="445"/>
      <c r="N221" s="445"/>
      <c r="O221" s="445"/>
      <c r="P221" s="445"/>
    </row>
    <row r="222" spans="1:16">
      <c r="A222" s="445"/>
      <c r="B222" s="445"/>
      <c r="C222" s="445"/>
      <c r="D222" s="445"/>
      <c r="E222" s="445"/>
      <c r="F222" s="445"/>
      <c r="G222" s="445"/>
      <c r="H222" s="445"/>
      <c r="I222" s="445"/>
      <c r="J222" s="445"/>
      <c r="K222" s="1136"/>
      <c r="L222" s="1136"/>
      <c r="M222" s="445"/>
      <c r="N222" s="445"/>
      <c r="O222" s="445"/>
      <c r="P222" s="445"/>
    </row>
    <row r="223" spans="1:16">
      <c r="A223" s="445"/>
      <c r="B223" s="445"/>
      <c r="C223" s="445"/>
      <c r="D223" s="445"/>
      <c r="E223" s="445"/>
      <c r="F223" s="445"/>
      <c r="G223" s="445"/>
      <c r="H223" s="445"/>
      <c r="I223" s="445"/>
      <c r="J223" s="445"/>
      <c r="K223" s="1136"/>
      <c r="L223" s="1136"/>
      <c r="M223" s="445"/>
      <c r="N223" s="445"/>
      <c r="O223" s="445"/>
      <c r="P223" s="445"/>
    </row>
    <row r="224" spans="1:16">
      <c r="A224" s="445"/>
      <c r="B224" s="445"/>
      <c r="C224" s="445"/>
      <c r="D224" s="445"/>
      <c r="E224" s="445"/>
      <c r="F224" s="445"/>
      <c r="G224" s="445"/>
      <c r="H224" s="445"/>
      <c r="I224" s="445"/>
      <c r="J224" s="445"/>
      <c r="K224" s="1136"/>
      <c r="L224" s="1136"/>
      <c r="M224" s="445"/>
      <c r="N224" s="445"/>
      <c r="O224" s="445"/>
      <c r="P224" s="445"/>
    </row>
    <row r="225" spans="1:16">
      <c r="A225" s="445"/>
      <c r="B225" s="445"/>
      <c r="C225" s="445"/>
      <c r="D225" s="445"/>
      <c r="E225" s="445"/>
      <c r="F225" s="445"/>
      <c r="G225" s="445"/>
      <c r="H225" s="445"/>
      <c r="I225" s="445"/>
      <c r="J225" s="445"/>
      <c r="K225" s="1136"/>
      <c r="L225" s="1136"/>
      <c r="M225" s="445"/>
      <c r="N225" s="445"/>
      <c r="O225" s="445"/>
      <c r="P225" s="445"/>
    </row>
    <row r="226" spans="1:16">
      <c r="A226" s="445"/>
      <c r="B226" s="445"/>
      <c r="C226" s="445"/>
      <c r="D226" s="445"/>
      <c r="E226" s="445"/>
      <c r="F226" s="445"/>
      <c r="G226" s="445"/>
      <c r="H226" s="445"/>
      <c r="I226" s="445"/>
      <c r="J226" s="445"/>
      <c r="K226" s="1136"/>
      <c r="L226" s="1136"/>
      <c r="M226" s="445"/>
      <c r="N226" s="445"/>
      <c r="O226" s="445"/>
      <c r="P226" s="445"/>
    </row>
    <row r="227" spans="1:16">
      <c r="A227" s="445"/>
      <c r="B227" s="445"/>
      <c r="C227" s="445"/>
      <c r="D227" s="445"/>
      <c r="E227" s="445"/>
      <c r="F227" s="445"/>
      <c r="G227" s="445"/>
      <c r="H227" s="445"/>
      <c r="I227" s="445"/>
      <c r="J227" s="445"/>
      <c r="K227" s="1136"/>
      <c r="L227" s="1136"/>
      <c r="M227" s="445"/>
      <c r="N227" s="445"/>
      <c r="O227" s="445"/>
      <c r="P227" s="445"/>
    </row>
    <row r="228" spans="1:16">
      <c r="A228" s="445"/>
      <c r="B228" s="445"/>
      <c r="C228" s="445"/>
      <c r="D228" s="445"/>
      <c r="E228" s="445"/>
      <c r="F228" s="445"/>
      <c r="G228" s="445"/>
      <c r="H228" s="445"/>
      <c r="I228" s="445"/>
      <c r="J228" s="445"/>
      <c r="K228" s="1136"/>
      <c r="L228" s="1136"/>
      <c r="M228" s="445"/>
      <c r="N228" s="445"/>
      <c r="O228" s="445"/>
      <c r="P228" s="445"/>
    </row>
    <row r="229" spans="1:16">
      <c r="A229" s="445"/>
      <c r="B229" s="445"/>
      <c r="C229" s="445"/>
      <c r="D229" s="445"/>
      <c r="E229" s="445"/>
      <c r="F229" s="445"/>
      <c r="G229" s="445"/>
      <c r="H229" s="445"/>
      <c r="I229" s="445"/>
      <c r="J229" s="445"/>
      <c r="K229" s="1136"/>
      <c r="L229" s="1136"/>
      <c r="M229" s="445"/>
      <c r="N229" s="445"/>
      <c r="O229" s="445"/>
      <c r="P229" s="445"/>
    </row>
    <row r="230" spans="1:16">
      <c r="A230" s="445"/>
      <c r="B230" s="445"/>
      <c r="C230" s="445"/>
      <c r="D230" s="445"/>
      <c r="E230" s="445"/>
      <c r="F230" s="445"/>
      <c r="G230" s="445"/>
      <c r="H230" s="445"/>
      <c r="I230" s="445"/>
      <c r="J230" s="445"/>
      <c r="K230" s="1136"/>
      <c r="L230" s="1136"/>
      <c r="M230" s="445"/>
      <c r="N230" s="445"/>
      <c r="O230" s="445"/>
      <c r="P230" s="445"/>
    </row>
    <row r="231" spans="1:16">
      <c r="A231" s="445"/>
      <c r="B231" s="445"/>
      <c r="C231" s="445"/>
      <c r="D231" s="445"/>
      <c r="E231" s="445"/>
      <c r="F231" s="445"/>
      <c r="G231" s="445"/>
      <c r="H231" s="445"/>
      <c r="I231" s="445"/>
      <c r="J231" s="445"/>
      <c r="K231" s="1136"/>
      <c r="L231" s="1136"/>
      <c r="M231" s="445"/>
      <c r="N231" s="445"/>
      <c r="O231" s="445"/>
      <c r="P231" s="445"/>
    </row>
    <row r="232" spans="1:16">
      <c r="A232" s="445"/>
      <c r="B232" s="445"/>
      <c r="C232" s="445"/>
      <c r="D232" s="445"/>
      <c r="E232" s="445"/>
      <c r="F232" s="445"/>
      <c r="G232" s="445"/>
      <c r="H232" s="445"/>
      <c r="I232" s="445"/>
      <c r="J232" s="445"/>
      <c r="K232" s="1136"/>
      <c r="L232" s="1136"/>
      <c r="M232" s="445"/>
      <c r="N232" s="445"/>
      <c r="O232" s="445"/>
      <c r="P232" s="445"/>
    </row>
    <row r="233" spans="1:16">
      <c r="A233" s="445"/>
      <c r="B233" s="445"/>
      <c r="C233" s="445"/>
      <c r="D233" s="445"/>
      <c r="E233" s="445"/>
      <c r="F233" s="445"/>
      <c r="G233" s="445"/>
      <c r="H233" s="445"/>
      <c r="I233" s="445"/>
      <c r="J233" s="445"/>
      <c r="K233" s="1136"/>
      <c r="L233" s="1136"/>
      <c r="M233" s="445"/>
      <c r="N233" s="445"/>
      <c r="O233" s="445"/>
      <c r="P233" s="445"/>
    </row>
    <row r="234" spans="1:16">
      <c r="A234" s="445"/>
      <c r="B234" s="445"/>
      <c r="C234" s="445"/>
      <c r="D234" s="445"/>
      <c r="E234" s="445"/>
      <c r="F234" s="445"/>
      <c r="G234" s="445"/>
      <c r="H234" s="445"/>
      <c r="I234" s="445"/>
      <c r="J234" s="445"/>
      <c r="K234" s="1136"/>
      <c r="L234" s="1136"/>
      <c r="M234" s="445"/>
      <c r="N234" s="445"/>
      <c r="O234" s="445"/>
      <c r="P234" s="445"/>
    </row>
    <row r="235" spans="1:16">
      <c r="A235" s="445"/>
      <c r="B235" s="445"/>
      <c r="C235" s="445"/>
      <c r="D235" s="445"/>
      <c r="E235" s="445"/>
      <c r="F235" s="445"/>
      <c r="G235" s="445"/>
      <c r="H235" s="445"/>
      <c r="I235" s="445"/>
      <c r="J235" s="445"/>
      <c r="K235" s="1136"/>
      <c r="L235" s="1136"/>
      <c r="M235" s="445"/>
      <c r="N235" s="445"/>
      <c r="O235" s="445"/>
      <c r="P235" s="445"/>
    </row>
    <row r="236" spans="1:16">
      <c r="A236" s="445"/>
      <c r="B236" s="445"/>
      <c r="C236" s="445"/>
      <c r="D236" s="445"/>
      <c r="E236" s="445"/>
      <c r="F236" s="445"/>
      <c r="G236" s="445"/>
      <c r="H236" s="445"/>
      <c r="I236" s="445"/>
      <c r="J236" s="445"/>
      <c r="K236" s="1136"/>
      <c r="L236" s="1136"/>
      <c r="M236" s="445"/>
      <c r="N236" s="445"/>
      <c r="O236" s="445"/>
      <c r="P236" s="445"/>
    </row>
    <row r="237" spans="1:16">
      <c r="A237" s="445"/>
      <c r="B237" s="445"/>
      <c r="C237" s="445"/>
      <c r="D237" s="445"/>
      <c r="E237" s="445"/>
      <c r="F237" s="445"/>
      <c r="G237" s="445"/>
      <c r="H237" s="445"/>
      <c r="I237" s="445"/>
      <c r="J237" s="445"/>
      <c r="K237" s="1136"/>
      <c r="L237" s="1136"/>
      <c r="M237" s="445"/>
      <c r="N237" s="445"/>
      <c r="O237" s="445"/>
      <c r="P237" s="445"/>
    </row>
    <row r="238" spans="1:16">
      <c r="A238" s="445"/>
      <c r="B238" s="445"/>
      <c r="C238" s="445"/>
      <c r="D238" s="445"/>
      <c r="E238" s="445"/>
      <c r="F238" s="445"/>
      <c r="G238" s="445"/>
      <c r="H238" s="445"/>
      <c r="I238" s="445"/>
      <c r="J238" s="445"/>
      <c r="K238" s="1136"/>
      <c r="L238" s="1136"/>
      <c r="M238" s="445"/>
      <c r="N238" s="445"/>
      <c r="O238" s="445"/>
      <c r="P238" s="445"/>
    </row>
    <row r="239" spans="1:16">
      <c r="A239" s="445"/>
      <c r="B239" s="445"/>
      <c r="C239" s="445"/>
      <c r="D239" s="445"/>
      <c r="E239" s="445"/>
      <c r="F239" s="445"/>
      <c r="G239" s="445"/>
      <c r="H239" s="445"/>
      <c r="I239" s="445"/>
      <c r="J239" s="445"/>
      <c r="K239" s="1136"/>
      <c r="L239" s="1136"/>
      <c r="M239" s="445"/>
      <c r="N239" s="445"/>
      <c r="O239" s="445"/>
      <c r="P239" s="445"/>
    </row>
    <row r="240" spans="1:16">
      <c r="A240" s="445"/>
      <c r="B240" s="445"/>
      <c r="C240" s="445"/>
      <c r="D240" s="445"/>
      <c r="E240" s="445"/>
      <c r="F240" s="445"/>
      <c r="G240" s="445"/>
      <c r="H240" s="445"/>
      <c r="I240" s="445"/>
      <c r="J240" s="445"/>
      <c r="K240" s="1136"/>
      <c r="L240" s="1136"/>
      <c r="M240" s="445"/>
      <c r="N240" s="445"/>
      <c r="O240" s="445"/>
      <c r="P240" s="445"/>
    </row>
    <row r="241" spans="1:16">
      <c r="A241" s="445"/>
      <c r="B241" s="445"/>
      <c r="C241" s="445"/>
      <c r="D241" s="445"/>
      <c r="E241" s="445"/>
      <c r="F241" s="445"/>
      <c r="G241" s="445"/>
      <c r="H241" s="445"/>
      <c r="I241" s="445"/>
      <c r="J241" s="445"/>
      <c r="K241" s="1136"/>
      <c r="L241" s="1136"/>
      <c r="M241" s="445"/>
      <c r="N241" s="445"/>
      <c r="O241" s="445"/>
      <c r="P241" s="445"/>
    </row>
    <row r="242" spans="1:16">
      <c r="A242" s="445"/>
      <c r="B242" s="445"/>
      <c r="C242" s="445"/>
      <c r="D242" s="445"/>
      <c r="E242" s="445"/>
      <c r="F242" s="445"/>
      <c r="G242" s="445"/>
      <c r="H242" s="445"/>
      <c r="I242" s="445"/>
      <c r="J242" s="445"/>
      <c r="K242" s="1136"/>
      <c r="L242" s="1136"/>
      <c r="M242" s="445"/>
      <c r="N242" s="445"/>
      <c r="O242" s="445"/>
      <c r="P242" s="445"/>
    </row>
    <row r="243" spans="1:16">
      <c r="A243" s="445"/>
      <c r="B243" s="445"/>
      <c r="C243" s="445"/>
      <c r="D243" s="445"/>
      <c r="E243" s="445"/>
      <c r="F243" s="445"/>
      <c r="G243" s="445"/>
      <c r="H243" s="445"/>
      <c r="I243" s="445"/>
      <c r="J243" s="445"/>
      <c r="K243" s="1136"/>
      <c r="L243" s="1136"/>
      <c r="M243" s="445"/>
      <c r="N243" s="445"/>
      <c r="O243" s="445"/>
      <c r="P243" s="445"/>
    </row>
    <row r="244" spans="1:16">
      <c r="A244" s="445"/>
      <c r="B244" s="445"/>
      <c r="C244" s="445"/>
      <c r="D244" s="445"/>
      <c r="E244" s="445"/>
      <c r="F244" s="445"/>
      <c r="G244" s="445"/>
      <c r="H244" s="445"/>
      <c r="I244" s="445"/>
      <c r="J244" s="445"/>
      <c r="K244" s="1136"/>
      <c r="L244" s="1136"/>
      <c r="M244" s="445"/>
      <c r="N244" s="445"/>
      <c r="O244" s="445"/>
      <c r="P244" s="445"/>
    </row>
    <row r="245" spans="1:16">
      <c r="A245" s="445"/>
      <c r="B245" s="445"/>
      <c r="C245" s="445"/>
      <c r="D245" s="445"/>
      <c r="E245" s="445"/>
      <c r="F245" s="445"/>
      <c r="G245" s="445"/>
      <c r="H245" s="445"/>
      <c r="I245" s="445"/>
      <c r="J245" s="445"/>
      <c r="K245" s="1136"/>
      <c r="L245" s="1136"/>
      <c r="M245" s="445"/>
      <c r="N245" s="445"/>
      <c r="O245" s="445"/>
      <c r="P245" s="445"/>
    </row>
    <row r="246" spans="1:16">
      <c r="A246" s="445"/>
      <c r="B246" s="445"/>
      <c r="C246" s="445"/>
      <c r="D246" s="445"/>
      <c r="E246" s="445"/>
      <c r="F246" s="445"/>
      <c r="G246" s="445"/>
      <c r="H246" s="445"/>
      <c r="I246" s="445"/>
      <c r="J246" s="445"/>
      <c r="K246" s="1136"/>
      <c r="L246" s="1136"/>
      <c r="M246" s="445"/>
      <c r="N246" s="445"/>
      <c r="O246" s="445"/>
      <c r="P246" s="445"/>
    </row>
    <row r="247" spans="1:16">
      <c r="A247" s="445"/>
      <c r="B247" s="445"/>
      <c r="C247" s="445"/>
      <c r="D247" s="445"/>
      <c r="E247" s="445"/>
      <c r="F247" s="445"/>
      <c r="G247" s="445"/>
      <c r="H247" s="445"/>
      <c r="I247" s="445"/>
      <c r="J247" s="445"/>
      <c r="K247" s="1136"/>
      <c r="L247" s="1136"/>
      <c r="M247" s="445"/>
      <c r="N247" s="445"/>
      <c r="O247" s="445"/>
      <c r="P247" s="445"/>
    </row>
    <row r="248" spans="1:16">
      <c r="A248" s="445"/>
      <c r="B248" s="445"/>
      <c r="C248" s="445"/>
      <c r="D248" s="445"/>
      <c r="E248" s="445"/>
      <c r="F248" s="445"/>
      <c r="G248" s="445"/>
      <c r="H248" s="445"/>
      <c r="I248" s="445"/>
      <c r="J248" s="445"/>
      <c r="K248" s="1136"/>
      <c r="L248" s="1136"/>
      <c r="M248" s="445"/>
      <c r="N248" s="445"/>
      <c r="O248" s="445"/>
      <c r="P248" s="445"/>
    </row>
    <row r="249" spans="1:16">
      <c r="A249" s="445"/>
      <c r="B249" s="445"/>
      <c r="C249" s="445"/>
      <c r="D249" s="445"/>
      <c r="E249" s="445"/>
      <c r="F249" s="445"/>
      <c r="G249" s="445"/>
      <c r="H249" s="445"/>
      <c r="I249" s="445"/>
      <c r="J249" s="445"/>
      <c r="K249" s="1136"/>
      <c r="L249" s="1136"/>
      <c r="M249" s="445"/>
      <c r="N249" s="445"/>
      <c r="O249" s="445"/>
      <c r="P249" s="445"/>
    </row>
    <row r="250" spans="1:16">
      <c r="A250" s="445"/>
      <c r="B250" s="445"/>
      <c r="C250" s="445"/>
      <c r="D250" s="445"/>
      <c r="E250" s="445"/>
      <c r="F250" s="445"/>
      <c r="G250" s="445"/>
      <c r="H250" s="445"/>
      <c r="I250" s="445"/>
      <c r="J250" s="445"/>
      <c r="K250" s="1136"/>
      <c r="L250" s="1136"/>
      <c r="M250" s="445"/>
      <c r="N250" s="445"/>
      <c r="O250" s="445"/>
      <c r="P250" s="445"/>
    </row>
    <row r="251" spans="1:16">
      <c r="A251" s="445"/>
      <c r="B251" s="445"/>
      <c r="C251" s="445"/>
      <c r="D251" s="445"/>
      <c r="E251" s="445"/>
      <c r="F251" s="445"/>
      <c r="G251" s="445"/>
      <c r="H251" s="445"/>
      <c r="I251" s="445"/>
      <c r="J251" s="445"/>
      <c r="K251" s="1136"/>
      <c r="L251" s="1136"/>
      <c r="M251" s="445"/>
      <c r="N251" s="445"/>
      <c r="O251" s="445"/>
      <c r="P251" s="445"/>
    </row>
    <row r="252" spans="1:16">
      <c r="A252" s="445"/>
      <c r="B252" s="445"/>
      <c r="C252" s="445"/>
      <c r="D252" s="445"/>
      <c r="E252" s="445"/>
      <c r="F252" s="445"/>
      <c r="G252" s="445"/>
      <c r="H252" s="445"/>
      <c r="I252" s="445"/>
      <c r="J252" s="445"/>
      <c r="K252" s="1136"/>
      <c r="L252" s="1136"/>
      <c r="M252" s="445"/>
      <c r="N252" s="445"/>
      <c r="O252" s="445"/>
      <c r="P252" s="445"/>
    </row>
    <row r="253" spans="1:16">
      <c r="A253" s="445"/>
      <c r="B253" s="445"/>
      <c r="C253" s="445"/>
      <c r="D253" s="445"/>
      <c r="E253" s="445"/>
      <c r="F253" s="445"/>
      <c r="G253" s="445"/>
      <c r="H253" s="445"/>
      <c r="I253" s="445"/>
      <c r="J253" s="445"/>
      <c r="K253" s="1136"/>
      <c r="L253" s="1136"/>
      <c r="M253" s="445"/>
      <c r="N253" s="445"/>
      <c r="O253" s="445"/>
      <c r="P253" s="445"/>
    </row>
    <row r="254" spans="1:16">
      <c r="A254" s="445"/>
      <c r="B254" s="445"/>
      <c r="C254" s="445"/>
      <c r="D254" s="445"/>
      <c r="E254" s="445"/>
      <c r="F254" s="445"/>
      <c r="G254" s="445"/>
      <c r="H254" s="445"/>
      <c r="I254" s="445"/>
      <c r="J254" s="445"/>
      <c r="K254" s="1136"/>
      <c r="L254" s="1136"/>
      <c r="M254" s="445"/>
      <c r="N254" s="445"/>
      <c r="O254" s="445"/>
      <c r="P254" s="445"/>
    </row>
    <row r="255" spans="1:16">
      <c r="A255" s="445"/>
      <c r="B255" s="445"/>
      <c r="C255" s="445"/>
      <c r="D255" s="445"/>
      <c r="E255" s="445"/>
      <c r="F255" s="445"/>
      <c r="G255" s="445"/>
      <c r="H255" s="445"/>
      <c r="I255" s="445"/>
      <c r="J255" s="445"/>
      <c r="K255" s="1136"/>
      <c r="L255" s="1136"/>
      <c r="M255" s="445"/>
      <c r="N255" s="445"/>
      <c r="O255" s="445"/>
      <c r="P255" s="445"/>
    </row>
    <row r="256" spans="1:16">
      <c r="A256" s="445"/>
      <c r="B256" s="445"/>
      <c r="C256" s="445"/>
      <c r="D256" s="445"/>
      <c r="E256" s="445"/>
      <c r="F256" s="445"/>
      <c r="G256" s="445"/>
      <c r="H256" s="445"/>
      <c r="I256" s="445"/>
      <c r="J256" s="445"/>
      <c r="K256" s="1136"/>
      <c r="L256" s="1136"/>
      <c r="M256" s="445"/>
      <c r="N256" s="445"/>
      <c r="O256" s="445"/>
      <c r="P256" s="445"/>
    </row>
    <row r="257" spans="1:16">
      <c r="A257" s="445"/>
      <c r="B257" s="445"/>
      <c r="C257" s="445"/>
      <c r="D257" s="445"/>
      <c r="E257" s="445"/>
      <c r="F257" s="445"/>
      <c r="G257" s="445"/>
      <c r="H257" s="445"/>
      <c r="I257" s="445"/>
      <c r="J257" s="445"/>
      <c r="K257" s="1136"/>
      <c r="L257" s="1136"/>
      <c r="M257" s="445"/>
      <c r="N257" s="445"/>
      <c r="O257" s="445"/>
      <c r="P257" s="445"/>
    </row>
    <row r="258" spans="1:16">
      <c r="A258" s="445"/>
      <c r="B258" s="445"/>
      <c r="C258" s="445"/>
      <c r="D258" s="445"/>
      <c r="E258" s="445"/>
      <c r="F258" s="445"/>
      <c r="G258" s="445"/>
      <c r="H258" s="445"/>
      <c r="I258" s="445"/>
      <c r="J258" s="445"/>
      <c r="K258" s="1136"/>
      <c r="L258" s="1136"/>
      <c r="M258" s="445"/>
      <c r="N258" s="445"/>
      <c r="O258" s="445"/>
      <c r="P258" s="445"/>
    </row>
    <row r="259" spans="1:16">
      <c r="A259" s="445"/>
      <c r="B259" s="445"/>
      <c r="C259" s="445"/>
      <c r="D259" s="445"/>
      <c r="E259" s="445"/>
      <c r="F259" s="445"/>
      <c r="G259" s="445"/>
      <c r="H259" s="445"/>
      <c r="I259" s="445"/>
      <c r="J259" s="445"/>
      <c r="K259" s="1136"/>
      <c r="L259" s="1136"/>
      <c r="M259" s="445"/>
      <c r="N259" s="445"/>
      <c r="O259" s="445"/>
      <c r="P259" s="445"/>
    </row>
    <row r="260" spans="1:16">
      <c r="A260" s="445"/>
      <c r="B260" s="445"/>
      <c r="C260" s="445"/>
      <c r="D260" s="445"/>
      <c r="E260" s="445"/>
      <c r="F260" s="445"/>
      <c r="G260" s="445"/>
      <c r="H260" s="445"/>
      <c r="I260" s="445"/>
      <c r="J260" s="445"/>
      <c r="K260" s="1136"/>
      <c r="L260" s="1136"/>
      <c r="M260" s="445"/>
      <c r="N260" s="445"/>
      <c r="O260" s="445"/>
      <c r="P260" s="445"/>
    </row>
    <row r="261" spans="1:16">
      <c r="A261" s="445"/>
      <c r="B261" s="445"/>
      <c r="C261" s="445"/>
      <c r="D261" s="445"/>
      <c r="E261" s="445"/>
      <c r="F261" s="445"/>
      <c r="G261" s="445"/>
      <c r="H261" s="445"/>
      <c r="I261" s="445"/>
      <c r="J261" s="445"/>
      <c r="K261" s="1136"/>
      <c r="L261" s="1136"/>
      <c r="M261" s="445"/>
      <c r="N261" s="445"/>
      <c r="O261" s="445"/>
      <c r="P261" s="445"/>
    </row>
    <row r="262" spans="1:16">
      <c r="A262" s="445"/>
      <c r="B262" s="445"/>
      <c r="C262" s="445"/>
      <c r="D262" s="445"/>
      <c r="E262" s="445"/>
      <c r="F262" s="445"/>
      <c r="G262" s="445"/>
      <c r="H262" s="445"/>
      <c r="I262" s="445"/>
      <c r="J262" s="445"/>
      <c r="K262" s="1136"/>
      <c r="L262" s="1136"/>
      <c r="M262" s="445"/>
      <c r="N262" s="445"/>
      <c r="O262" s="445"/>
      <c r="P262" s="445"/>
    </row>
    <row r="263" spans="1:16">
      <c r="A263" s="445"/>
      <c r="B263" s="445"/>
      <c r="C263" s="445"/>
      <c r="D263" s="445"/>
      <c r="E263" s="445"/>
      <c r="F263" s="445"/>
      <c r="G263" s="445"/>
      <c r="H263" s="445"/>
      <c r="I263" s="445"/>
      <c r="J263" s="445"/>
      <c r="K263" s="1136"/>
      <c r="L263" s="1136"/>
      <c r="M263" s="445"/>
      <c r="N263" s="445"/>
      <c r="O263" s="445"/>
      <c r="P263" s="445"/>
    </row>
    <row r="264" spans="1:16">
      <c r="A264" s="445"/>
      <c r="B264" s="445"/>
      <c r="C264" s="445"/>
      <c r="D264" s="445"/>
      <c r="E264" s="445"/>
      <c r="F264" s="445"/>
      <c r="G264" s="445"/>
      <c r="H264" s="445"/>
      <c r="I264" s="445"/>
      <c r="J264" s="445"/>
      <c r="K264" s="1136"/>
      <c r="L264" s="1136"/>
      <c r="M264" s="445"/>
      <c r="N264" s="445"/>
      <c r="O264" s="445"/>
      <c r="P264" s="445"/>
    </row>
    <row r="265" spans="1:16">
      <c r="A265" s="445"/>
      <c r="B265" s="445"/>
      <c r="C265" s="445"/>
      <c r="D265" s="445"/>
      <c r="E265" s="445"/>
      <c r="F265" s="445"/>
      <c r="G265" s="445"/>
      <c r="H265" s="445"/>
      <c r="I265" s="445"/>
      <c r="J265" s="445"/>
      <c r="K265" s="1136"/>
      <c r="L265" s="1136"/>
      <c r="M265" s="445"/>
      <c r="N265" s="445"/>
      <c r="O265" s="445"/>
      <c r="P265" s="445"/>
    </row>
    <row r="266" spans="1:16">
      <c r="A266" s="445"/>
      <c r="B266" s="445"/>
      <c r="C266" s="445"/>
      <c r="D266" s="445"/>
      <c r="E266" s="445"/>
      <c r="F266" s="445"/>
      <c r="G266" s="445"/>
      <c r="H266" s="445"/>
      <c r="I266" s="445"/>
      <c r="J266" s="445"/>
      <c r="K266" s="1136"/>
      <c r="L266" s="1136"/>
      <c r="M266" s="445"/>
      <c r="N266" s="445"/>
      <c r="O266" s="445"/>
      <c r="P266" s="445"/>
    </row>
    <row r="267" spans="1:16">
      <c r="A267" s="445"/>
      <c r="B267" s="445"/>
      <c r="C267" s="445"/>
      <c r="D267" s="445"/>
      <c r="E267" s="445"/>
      <c r="F267" s="445"/>
      <c r="G267" s="445"/>
      <c r="H267" s="445"/>
      <c r="I267" s="445"/>
      <c r="J267" s="445"/>
      <c r="K267" s="1136"/>
      <c r="L267" s="1136"/>
      <c r="M267" s="445"/>
      <c r="N267" s="445"/>
      <c r="O267" s="445"/>
      <c r="P267" s="445"/>
    </row>
    <row r="268" spans="1:16">
      <c r="A268" s="445"/>
      <c r="B268" s="445"/>
      <c r="C268" s="445"/>
      <c r="D268" s="445"/>
      <c r="E268" s="445"/>
      <c r="F268" s="445"/>
      <c r="G268" s="445"/>
      <c r="H268" s="445"/>
      <c r="I268" s="445"/>
      <c r="J268" s="445"/>
      <c r="K268" s="1136"/>
      <c r="L268" s="1136"/>
      <c r="M268" s="445"/>
      <c r="N268" s="445"/>
      <c r="O268" s="445"/>
      <c r="P268" s="445"/>
    </row>
    <row r="269" spans="1:16">
      <c r="A269" s="445"/>
      <c r="B269" s="445"/>
      <c r="C269" s="445"/>
      <c r="D269" s="445"/>
      <c r="E269" s="445"/>
      <c r="F269" s="445"/>
      <c r="G269" s="445"/>
      <c r="H269" s="445"/>
      <c r="I269" s="445"/>
      <c r="J269" s="445"/>
      <c r="K269" s="1136"/>
      <c r="L269" s="1136"/>
      <c r="M269" s="445"/>
      <c r="N269" s="445"/>
      <c r="O269" s="445"/>
      <c r="P269" s="445"/>
    </row>
    <row r="270" spans="1:16">
      <c r="A270" s="445"/>
      <c r="B270" s="445"/>
      <c r="C270" s="445"/>
      <c r="D270" s="445"/>
      <c r="E270" s="445"/>
      <c r="F270" s="445"/>
      <c r="G270" s="445"/>
      <c r="H270" s="445"/>
      <c r="I270" s="445"/>
      <c r="J270" s="445"/>
      <c r="K270" s="1136"/>
      <c r="L270" s="1136"/>
      <c r="M270" s="445"/>
      <c r="N270" s="445"/>
      <c r="O270" s="445"/>
      <c r="P270" s="445"/>
    </row>
    <row r="271" spans="1:16">
      <c r="A271" s="445"/>
      <c r="B271" s="445"/>
      <c r="C271" s="445"/>
      <c r="D271" s="445"/>
      <c r="E271" s="445"/>
      <c r="F271" s="445"/>
      <c r="G271" s="445"/>
      <c r="H271" s="445"/>
      <c r="I271" s="445"/>
      <c r="J271" s="445"/>
      <c r="K271" s="1136"/>
      <c r="L271" s="1136"/>
      <c r="M271" s="445"/>
      <c r="N271" s="445"/>
      <c r="O271" s="445"/>
      <c r="P271" s="445"/>
    </row>
    <row r="272" spans="1:16">
      <c r="A272" s="445"/>
      <c r="B272" s="445"/>
      <c r="C272" s="445"/>
      <c r="D272" s="445"/>
      <c r="E272" s="445"/>
      <c r="F272" s="445"/>
      <c r="G272" s="445"/>
      <c r="H272" s="445"/>
      <c r="I272" s="445"/>
      <c r="J272" s="445"/>
      <c r="K272" s="1136"/>
      <c r="L272" s="1136"/>
      <c r="M272" s="445"/>
      <c r="N272" s="445"/>
      <c r="O272" s="445"/>
      <c r="P272" s="445"/>
    </row>
    <row r="273" spans="1:16">
      <c r="A273" s="445"/>
      <c r="B273" s="445"/>
      <c r="C273" s="445"/>
      <c r="D273" s="445"/>
      <c r="E273" s="445"/>
      <c r="F273" s="445"/>
      <c r="G273" s="445"/>
      <c r="H273" s="445"/>
      <c r="I273" s="445"/>
      <c r="J273" s="445"/>
      <c r="K273" s="1136"/>
      <c r="L273" s="1136"/>
      <c r="M273" s="445"/>
      <c r="N273" s="445"/>
      <c r="O273" s="445"/>
      <c r="P273" s="445"/>
    </row>
    <row r="274" spans="1:16">
      <c r="A274" s="445"/>
      <c r="B274" s="445"/>
      <c r="C274" s="445"/>
      <c r="D274" s="445"/>
      <c r="E274" s="445"/>
      <c r="F274" s="445"/>
      <c r="G274" s="445"/>
      <c r="H274" s="445"/>
      <c r="I274" s="445"/>
      <c r="J274" s="445"/>
      <c r="K274" s="1136"/>
      <c r="L274" s="1136"/>
      <c r="M274" s="445"/>
      <c r="N274" s="445"/>
      <c r="O274" s="445"/>
      <c r="P274" s="445"/>
    </row>
    <row r="275" spans="1:16">
      <c r="A275" s="445"/>
      <c r="B275" s="445"/>
      <c r="C275" s="445"/>
      <c r="D275" s="445"/>
      <c r="E275" s="445"/>
      <c r="F275" s="445"/>
      <c r="G275" s="445"/>
      <c r="H275" s="445"/>
      <c r="I275" s="445"/>
      <c r="J275" s="445"/>
      <c r="K275" s="1136"/>
      <c r="L275" s="1136"/>
      <c r="M275" s="445"/>
      <c r="N275" s="445"/>
      <c r="O275" s="445"/>
      <c r="P275" s="445"/>
    </row>
    <row r="276" spans="1:16">
      <c r="A276" s="445"/>
      <c r="B276" s="445"/>
      <c r="C276" s="445"/>
      <c r="D276" s="445"/>
      <c r="E276" s="445"/>
      <c r="F276" s="445"/>
      <c r="G276" s="445"/>
      <c r="H276" s="445"/>
      <c r="I276" s="445"/>
      <c r="J276" s="445"/>
      <c r="K276" s="1136"/>
      <c r="L276" s="1136"/>
      <c r="M276" s="445"/>
      <c r="N276" s="445"/>
      <c r="O276" s="445"/>
      <c r="P276" s="445"/>
    </row>
    <row r="277" spans="1:16">
      <c r="A277" s="445"/>
      <c r="B277" s="445"/>
      <c r="C277" s="445"/>
      <c r="D277" s="445"/>
      <c r="E277" s="445"/>
      <c r="F277" s="445"/>
      <c r="G277" s="445"/>
      <c r="H277" s="445"/>
      <c r="I277" s="445"/>
      <c r="J277" s="445"/>
      <c r="K277" s="1136"/>
      <c r="L277" s="1136"/>
      <c r="M277" s="445"/>
      <c r="N277" s="445"/>
      <c r="O277" s="445"/>
      <c r="P277" s="445"/>
    </row>
    <row r="278" spans="1:16">
      <c r="A278" s="445"/>
      <c r="B278" s="445"/>
      <c r="C278" s="445"/>
      <c r="D278" s="445"/>
      <c r="E278" s="445"/>
      <c r="F278" s="445"/>
      <c r="G278" s="445"/>
      <c r="H278" s="445"/>
      <c r="I278" s="445"/>
      <c r="J278" s="445"/>
      <c r="K278" s="1136"/>
      <c r="L278" s="1136"/>
      <c r="M278" s="445"/>
      <c r="N278" s="445"/>
      <c r="O278" s="445"/>
      <c r="P278" s="445"/>
    </row>
    <row r="279" spans="1:16">
      <c r="A279" s="445"/>
      <c r="B279" s="445"/>
      <c r="C279" s="445"/>
      <c r="D279" s="445"/>
      <c r="E279" s="445"/>
      <c r="F279" s="445"/>
      <c r="G279" s="445"/>
      <c r="H279" s="445"/>
      <c r="I279" s="445"/>
      <c r="J279" s="445"/>
      <c r="K279" s="1136"/>
      <c r="L279" s="1136"/>
      <c r="M279" s="445"/>
      <c r="N279" s="445"/>
      <c r="O279" s="445"/>
      <c r="P279" s="445"/>
    </row>
    <row r="280" spans="1:16">
      <c r="A280" s="445"/>
      <c r="B280" s="445"/>
      <c r="C280" s="445"/>
      <c r="D280" s="445"/>
      <c r="E280" s="445"/>
      <c r="F280" s="445"/>
      <c r="G280" s="445"/>
      <c r="H280" s="445"/>
      <c r="I280" s="445"/>
      <c r="J280" s="445"/>
      <c r="K280" s="1136"/>
      <c r="L280" s="1136"/>
      <c r="M280" s="445"/>
      <c r="N280" s="445"/>
      <c r="O280" s="445"/>
      <c r="P280" s="445"/>
    </row>
    <row r="281" spans="1:16">
      <c r="A281" s="445"/>
      <c r="B281" s="445"/>
      <c r="C281" s="445"/>
      <c r="D281" s="445"/>
      <c r="E281" s="445"/>
      <c r="F281" s="445"/>
      <c r="G281" s="445"/>
      <c r="H281" s="445"/>
      <c r="I281" s="445"/>
      <c r="J281" s="445"/>
      <c r="K281" s="1136"/>
      <c r="L281" s="1136"/>
      <c r="M281" s="445"/>
      <c r="N281" s="445"/>
      <c r="O281" s="445"/>
      <c r="P281" s="445"/>
    </row>
    <row r="282" spans="1:16">
      <c r="A282" s="445"/>
      <c r="B282" s="445"/>
      <c r="C282" s="445"/>
      <c r="D282" s="445"/>
      <c r="E282" s="445"/>
      <c r="F282" s="445"/>
      <c r="G282" s="445"/>
      <c r="H282" s="445"/>
      <c r="I282" s="445"/>
      <c r="J282" s="445"/>
      <c r="K282" s="1136"/>
      <c r="L282" s="1136"/>
      <c r="M282" s="445"/>
      <c r="N282" s="445"/>
      <c r="O282" s="445"/>
      <c r="P282" s="445"/>
    </row>
    <row r="283" spans="1:16">
      <c r="A283" s="445"/>
      <c r="B283" s="445"/>
      <c r="C283" s="445"/>
      <c r="D283" s="445"/>
      <c r="E283" s="445"/>
      <c r="F283" s="445"/>
      <c r="G283" s="445"/>
      <c r="H283" s="445"/>
      <c r="I283" s="445"/>
      <c r="J283" s="445"/>
      <c r="K283" s="1136"/>
      <c r="L283" s="1136"/>
      <c r="M283" s="445"/>
      <c r="N283" s="445"/>
      <c r="O283" s="445"/>
      <c r="P283" s="445"/>
    </row>
    <row r="284" spans="1:16">
      <c r="A284" s="445"/>
      <c r="B284" s="445"/>
      <c r="C284" s="445"/>
      <c r="D284" s="445"/>
      <c r="E284" s="445"/>
      <c r="F284" s="445"/>
      <c r="G284" s="445"/>
      <c r="H284" s="445"/>
      <c r="I284" s="445"/>
      <c r="J284" s="445"/>
      <c r="K284" s="1136"/>
      <c r="L284" s="1136"/>
      <c r="M284" s="445"/>
      <c r="N284" s="445"/>
      <c r="O284" s="445"/>
      <c r="P284" s="445"/>
    </row>
    <row r="285" spans="1:16">
      <c r="A285" s="445"/>
      <c r="B285" s="445"/>
      <c r="C285" s="445"/>
      <c r="D285" s="445"/>
      <c r="E285" s="445"/>
      <c r="F285" s="445"/>
      <c r="G285" s="445"/>
      <c r="H285" s="445"/>
      <c r="I285" s="445"/>
      <c r="J285" s="445"/>
      <c r="K285" s="1136"/>
      <c r="L285" s="1136"/>
      <c r="M285" s="445"/>
      <c r="N285" s="445"/>
      <c r="O285" s="445"/>
      <c r="P285" s="445"/>
    </row>
    <row r="286" spans="1:16">
      <c r="A286" s="445"/>
      <c r="B286" s="445"/>
      <c r="C286" s="445"/>
      <c r="D286" s="445"/>
      <c r="E286" s="445"/>
      <c r="F286" s="445"/>
      <c r="G286" s="445"/>
      <c r="H286" s="445"/>
      <c r="I286" s="445"/>
      <c r="J286" s="445"/>
      <c r="K286" s="1136"/>
      <c r="L286" s="1136"/>
      <c r="M286" s="445"/>
      <c r="N286" s="445"/>
      <c r="O286" s="445"/>
      <c r="P286" s="445"/>
    </row>
    <row r="287" spans="1:16">
      <c r="A287" s="445"/>
      <c r="B287" s="445"/>
      <c r="C287" s="445"/>
      <c r="D287" s="445"/>
      <c r="E287" s="445"/>
      <c r="F287" s="445"/>
      <c r="G287" s="445"/>
      <c r="H287" s="445"/>
      <c r="I287" s="445"/>
      <c r="J287" s="445"/>
      <c r="K287" s="1136"/>
      <c r="L287" s="1136"/>
      <c r="M287" s="445"/>
      <c r="N287" s="445"/>
      <c r="O287" s="445"/>
      <c r="P287" s="445"/>
    </row>
    <row r="288" spans="1:16">
      <c r="A288" s="445"/>
      <c r="B288" s="445"/>
      <c r="C288" s="445"/>
      <c r="D288" s="445"/>
      <c r="E288" s="445"/>
      <c r="F288" s="445"/>
      <c r="G288" s="445"/>
      <c r="H288" s="445"/>
      <c r="I288" s="445"/>
      <c r="J288" s="445"/>
      <c r="K288" s="1136"/>
      <c r="L288" s="1136"/>
      <c r="M288" s="445"/>
      <c r="N288" s="445"/>
      <c r="O288" s="445"/>
      <c r="P288" s="445"/>
    </row>
    <row r="289" spans="1:16">
      <c r="A289" s="445"/>
      <c r="B289" s="445"/>
      <c r="C289" s="445"/>
      <c r="D289" s="445"/>
      <c r="E289" s="445"/>
      <c r="F289" s="445"/>
      <c r="G289" s="445"/>
      <c r="H289" s="445"/>
      <c r="I289" s="445"/>
      <c r="J289" s="445"/>
      <c r="K289" s="1136"/>
      <c r="L289" s="1136"/>
      <c r="M289" s="445"/>
      <c r="N289" s="445"/>
      <c r="O289" s="445"/>
      <c r="P289" s="445"/>
    </row>
    <row r="290" spans="1:16">
      <c r="A290" s="445"/>
      <c r="B290" s="445"/>
      <c r="C290" s="445"/>
      <c r="D290" s="445"/>
      <c r="E290" s="445"/>
      <c r="F290" s="445"/>
      <c r="G290" s="445"/>
      <c r="H290" s="445"/>
      <c r="I290" s="445"/>
      <c r="J290" s="445"/>
      <c r="K290" s="1136"/>
      <c r="L290" s="1136"/>
      <c r="M290" s="445"/>
      <c r="N290" s="445"/>
      <c r="O290" s="445"/>
      <c r="P290" s="445"/>
    </row>
    <row r="291" spans="1:16">
      <c r="A291" s="445"/>
      <c r="B291" s="445"/>
      <c r="C291" s="445"/>
      <c r="D291" s="445"/>
      <c r="E291" s="445"/>
      <c r="F291" s="445"/>
      <c r="G291" s="445"/>
      <c r="H291" s="445"/>
      <c r="I291" s="445"/>
      <c r="J291" s="445"/>
      <c r="K291" s="1136"/>
      <c r="L291" s="1136"/>
      <c r="M291" s="445"/>
      <c r="N291" s="445"/>
      <c r="O291" s="445"/>
      <c r="P291" s="445"/>
    </row>
    <row r="292" spans="1:16">
      <c r="A292" s="445"/>
      <c r="B292" s="445"/>
      <c r="C292" s="445"/>
      <c r="D292" s="445"/>
      <c r="E292" s="445"/>
      <c r="F292" s="445"/>
      <c r="G292" s="445"/>
      <c r="H292" s="445"/>
      <c r="I292" s="445"/>
      <c r="J292" s="445"/>
      <c r="K292" s="1136"/>
      <c r="L292" s="1136"/>
      <c r="M292" s="445"/>
      <c r="N292" s="445"/>
      <c r="O292" s="445"/>
      <c r="P292" s="445"/>
    </row>
    <row r="293" spans="1:16">
      <c r="A293" s="445"/>
      <c r="B293" s="445"/>
      <c r="C293" s="445"/>
      <c r="D293" s="445"/>
      <c r="E293" s="445"/>
      <c r="F293" s="445"/>
      <c r="G293" s="445"/>
      <c r="H293" s="445"/>
      <c r="I293" s="445"/>
      <c r="J293" s="445"/>
      <c r="K293" s="1136"/>
      <c r="L293" s="1136"/>
      <c r="M293" s="445"/>
      <c r="N293" s="445"/>
      <c r="O293" s="445"/>
      <c r="P293" s="445"/>
    </row>
    <row r="294" spans="1:16">
      <c r="A294" s="445"/>
      <c r="B294" s="445"/>
      <c r="C294" s="445"/>
      <c r="D294" s="445"/>
      <c r="E294" s="445"/>
      <c r="F294" s="445"/>
      <c r="G294" s="445"/>
      <c r="H294" s="445"/>
      <c r="I294" s="445"/>
      <c r="J294" s="445"/>
      <c r="K294" s="1136"/>
      <c r="L294" s="1136"/>
      <c r="M294" s="445"/>
      <c r="N294" s="445"/>
      <c r="O294" s="445"/>
      <c r="P294" s="445"/>
    </row>
    <row r="295" spans="1:16">
      <c r="A295" s="445"/>
      <c r="B295" s="445"/>
      <c r="C295" s="445"/>
      <c r="D295" s="445"/>
      <c r="E295" s="445"/>
      <c r="F295" s="445"/>
      <c r="G295" s="445"/>
      <c r="H295" s="445"/>
      <c r="I295" s="445"/>
      <c r="J295" s="445"/>
      <c r="K295" s="1136"/>
      <c r="L295" s="1136"/>
      <c r="M295" s="445"/>
      <c r="N295" s="445"/>
      <c r="O295" s="445"/>
      <c r="P295" s="445"/>
    </row>
    <row r="296" spans="1:16">
      <c r="A296" s="445"/>
      <c r="B296" s="445"/>
      <c r="C296" s="445"/>
      <c r="D296" s="445"/>
      <c r="E296" s="445"/>
      <c r="F296" s="445"/>
      <c r="G296" s="445"/>
      <c r="H296" s="445"/>
      <c r="I296" s="445"/>
      <c r="J296" s="445"/>
      <c r="K296" s="1136"/>
      <c r="L296" s="1136"/>
      <c r="M296" s="445"/>
      <c r="N296" s="445"/>
      <c r="O296" s="445"/>
      <c r="P296" s="445"/>
    </row>
    <row r="297" spans="1:16">
      <c r="A297" s="445"/>
      <c r="B297" s="445"/>
      <c r="C297" s="445"/>
      <c r="D297" s="445"/>
      <c r="E297" s="445"/>
      <c r="F297" s="445"/>
      <c r="G297" s="445"/>
      <c r="H297" s="445"/>
      <c r="I297" s="445"/>
      <c r="J297" s="445"/>
      <c r="K297" s="1136"/>
      <c r="L297" s="1136"/>
      <c r="M297" s="445"/>
      <c r="N297" s="445"/>
      <c r="O297" s="445"/>
      <c r="P297" s="445"/>
    </row>
    <row r="298" spans="1:16">
      <c r="A298" s="445"/>
      <c r="B298" s="445"/>
      <c r="C298" s="445"/>
      <c r="D298" s="445"/>
      <c r="E298" s="445"/>
      <c r="F298" s="445"/>
      <c r="G298" s="445"/>
      <c r="H298" s="445"/>
      <c r="I298" s="445"/>
      <c r="J298" s="445"/>
      <c r="K298" s="1136"/>
      <c r="L298" s="1136"/>
      <c r="M298" s="445"/>
      <c r="N298" s="445"/>
      <c r="O298" s="445"/>
      <c r="P298" s="445"/>
    </row>
    <row r="299" spans="1:16">
      <c r="A299" s="445"/>
      <c r="B299" s="445"/>
      <c r="C299" s="445"/>
      <c r="D299" s="445"/>
      <c r="E299" s="445"/>
      <c r="F299" s="445"/>
      <c r="G299" s="445"/>
      <c r="H299" s="445"/>
      <c r="I299" s="445"/>
      <c r="J299" s="445"/>
      <c r="K299" s="1136"/>
      <c r="L299" s="1136"/>
      <c r="M299" s="445"/>
      <c r="N299" s="445"/>
      <c r="O299" s="445"/>
      <c r="P299" s="445"/>
    </row>
    <row r="300" spans="1:16">
      <c r="A300" s="445"/>
      <c r="B300" s="445"/>
      <c r="C300" s="445"/>
      <c r="D300" s="445"/>
      <c r="E300" s="445"/>
      <c r="F300" s="445"/>
      <c r="G300" s="445"/>
      <c r="H300" s="445"/>
      <c r="I300" s="445"/>
      <c r="J300" s="445"/>
      <c r="K300" s="1136"/>
      <c r="L300" s="1136"/>
      <c r="M300" s="445"/>
      <c r="N300" s="445"/>
      <c r="O300" s="445"/>
      <c r="P300" s="445"/>
    </row>
    <row r="301" spans="1:16">
      <c r="A301" s="445"/>
      <c r="B301" s="445"/>
      <c r="C301" s="445"/>
      <c r="D301" s="445"/>
      <c r="E301" s="445"/>
      <c r="F301" s="445"/>
      <c r="G301" s="445"/>
      <c r="H301" s="445"/>
      <c r="I301" s="445"/>
      <c r="J301" s="445"/>
      <c r="K301" s="1136"/>
      <c r="L301" s="1136"/>
      <c r="M301" s="445"/>
      <c r="N301" s="445"/>
      <c r="O301" s="445"/>
      <c r="P301" s="445"/>
    </row>
    <row r="302" spans="1:16">
      <c r="A302" s="445"/>
      <c r="B302" s="445"/>
      <c r="C302" s="445"/>
      <c r="D302" s="445"/>
      <c r="E302" s="445"/>
      <c r="F302" s="445"/>
      <c r="G302" s="445"/>
      <c r="H302" s="445"/>
      <c r="I302" s="445"/>
      <c r="J302" s="445"/>
      <c r="K302" s="1136"/>
      <c r="L302" s="1136"/>
      <c r="M302" s="445"/>
      <c r="N302" s="445"/>
      <c r="O302" s="445"/>
      <c r="P302" s="445"/>
    </row>
    <row r="303" spans="1:16">
      <c r="A303" s="445"/>
      <c r="B303" s="445"/>
      <c r="C303" s="445"/>
      <c r="D303" s="445"/>
      <c r="E303" s="445"/>
      <c r="F303" s="445"/>
      <c r="G303" s="445"/>
      <c r="H303" s="445"/>
      <c r="I303" s="445"/>
      <c r="J303" s="445"/>
      <c r="K303" s="1136"/>
      <c r="L303" s="1136"/>
      <c r="M303" s="445"/>
      <c r="N303" s="445"/>
      <c r="O303" s="445"/>
      <c r="P303" s="445"/>
    </row>
    <row r="304" spans="1:16">
      <c r="A304" s="445"/>
      <c r="B304" s="445"/>
      <c r="C304" s="445"/>
      <c r="D304" s="445"/>
      <c r="E304" s="445"/>
      <c r="F304" s="445"/>
      <c r="G304" s="445"/>
      <c r="H304" s="445"/>
      <c r="I304" s="445"/>
      <c r="J304" s="445"/>
      <c r="K304" s="1136"/>
      <c r="L304" s="1136"/>
      <c r="M304" s="445"/>
      <c r="N304" s="445"/>
      <c r="O304" s="445"/>
      <c r="P304" s="445"/>
    </row>
    <row r="305" spans="1:16">
      <c r="A305" s="445"/>
      <c r="B305" s="445"/>
      <c r="C305" s="445"/>
      <c r="D305" s="445"/>
      <c r="E305" s="445"/>
      <c r="F305" s="445"/>
      <c r="G305" s="445"/>
      <c r="H305" s="445"/>
      <c r="I305" s="445"/>
      <c r="J305" s="445"/>
      <c r="K305" s="1136"/>
      <c r="L305" s="1136"/>
      <c r="M305" s="445"/>
      <c r="N305" s="445"/>
      <c r="O305" s="445"/>
      <c r="P305" s="445"/>
    </row>
    <row r="306" spans="1:16">
      <c r="A306" s="445"/>
      <c r="B306" s="445"/>
      <c r="C306" s="445"/>
      <c r="D306" s="445"/>
      <c r="E306" s="445"/>
      <c r="F306" s="445"/>
      <c r="G306" s="445"/>
      <c r="H306" s="445"/>
      <c r="I306" s="445"/>
      <c r="J306" s="445"/>
      <c r="K306" s="1136"/>
      <c r="L306" s="1136"/>
      <c r="M306" s="445"/>
      <c r="N306" s="445"/>
      <c r="O306" s="445"/>
      <c r="P306" s="445"/>
    </row>
    <row r="307" spans="1:16">
      <c r="A307" s="445"/>
      <c r="B307" s="445"/>
      <c r="C307" s="445"/>
      <c r="D307" s="445"/>
      <c r="E307" s="445"/>
      <c r="F307" s="445"/>
      <c r="G307" s="445"/>
      <c r="H307" s="445"/>
      <c r="I307" s="445"/>
      <c r="J307" s="445"/>
      <c r="K307" s="1136"/>
      <c r="L307" s="1136"/>
      <c r="M307" s="445"/>
      <c r="N307" s="445"/>
      <c r="O307" s="445"/>
      <c r="P307" s="445"/>
    </row>
    <row r="308" spans="1:16">
      <c r="A308" s="445"/>
      <c r="B308" s="445"/>
      <c r="C308" s="445"/>
      <c r="D308" s="445"/>
      <c r="E308" s="445"/>
      <c r="F308" s="445"/>
      <c r="G308" s="445"/>
      <c r="H308" s="445"/>
      <c r="I308" s="445"/>
      <c r="J308" s="445"/>
      <c r="K308" s="1136"/>
      <c r="L308" s="1136"/>
      <c r="M308" s="445"/>
      <c r="N308" s="445"/>
      <c r="O308" s="445"/>
      <c r="P308" s="445"/>
    </row>
    <row r="309" spans="1:16">
      <c r="A309" s="445"/>
      <c r="B309" s="445"/>
      <c r="C309" s="445"/>
      <c r="D309" s="445"/>
      <c r="E309" s="445"/>
      <c r="F309" s="445"/>
      <c r="G309" s="445"/>
      <c r="H309" s="445"/>
      <c r="I309" s="445"/>
      <c r="J309" s="445"/>
      <c r="K309" s="1136"/>
      <c r="L309" s="1136"/>
      <c r="M309" s="445"/>
      <c r="N309" s="445"/>
      <c r="O309" s="445"/>
      <c r="P309" s="445"/>
    </row>
    <row r="310" spans="1:16">
      <c r="A310" s="445"/>
      <c r="B310" s="445"/>
      <c r="C310" s="445"/>
      <c r="D310" s="445"/>
      <c r="E310" s="445"/>
      <c r="F310" s="445"/>
      <c r="G310" s="445"/>
      <c r="H310" s="445"/>
      <c r="I310" s="445"/>
      <c r="J310" s="445"/>
      <c r="K310" s="1136"/>
      <c r="L310" s="1136"/>
      <c r="M310" s="445"/>
      <c r="N310" s="445"/>
      <c r="O310" s="445"/>
      <c r="P310" s="445"/>
    </row>
    <row r="311" spans="1:16">
      <c r="A311" s="445"/>
      <c r="B311" s="445"/>
      <c r="C311" s="445"/>
      <c r="D311" s="445"/>
      <c r="E311" s="445"/>
      <c r="F311" s="445"/>
      <c r="G311" s="445"/>
      <c r="H311" s="445"/>
      <c r="I311" s="445"/>
      <c r="J311" s="445"/>
      <c r="K311" s="1136"/>
      <c r="L311" s="1136"/>
      <c r="M311" s="445"/>
      <c r="N311" s="445"/>
      <c r="O311" s="445"/>
      <c r="P311" s="445"/>
    </row>
    <row r="312" spans="1:16">
      <c r="A312" s="445"/>
      <c r="B312" s="445"/>
      <c r="C312" s="445"/>
      <c r="D312" s="445"/>
      <c r="E312" s="445"/>
      <c r="F312" s="445"/>
      <c r="G312" s="445"/>
      <c r="H312" s="445"/>
      <c r="I312" s="445"/>
      <c r="J312" s="445"/>
      <c r="K312" s="1136"/>
      <c r="L312" s="1136"/>
      <c r="M312" s="445"/>
      <c r="N312" s="445"/>
      <c r="O312" s="445"/>
      <c r="P312" s="445"/>
    </row>
    <row r="313" spans="1:16">
      <c r="A313" s="445"/>
      <c r="B313" s="445"/>
      <c r="C313" s="445"/>
      <c r="D313" s="445"/>
      <c r="E313" s="445"/>
      <c r="F313" s="445"/>
      <c r="G313" s="445"/>
      <c r="H313" s="445"/>
      <c r="I313" s="445"/>
      <c r="J313" s="445"/>
      <c r="K313" s="1136"/>
      <c r="L313" s="1136"/>
      <c r="M313" s="445"/>
      <c r="N313" s="445"/>
      <c r="O313" s="445"/>
      <c r="P313" s="445"/>
    </row>
    <row r="314" spans="1:16">
      <c r="A314" s="445"/>
      <c r="B314" s="445"/>
      <c r="C314" s="445"/>
      <c r="D314" s="445"/>
      <c r="E314" s="445"/>
      <c r="F314" s="445"/>
      <c r="G314" s="445"/>
      <c r="H314" s="445"/>
      <c r="I314" s="445"/>
      <c r="J314" s="445"/>
      <c r="K314" s="1136"/>
      <c r="L314" s="1136"/>
      <c r="M314" s="445"/>
      <c r="N314" s="445"/>
      <c r="O314" s="445"/>
      <c r="P314" s="445"/>
    </row>
    <row r="315" spans="1:16">
      <c r="A315" s="445"/>
      <c r="B315" s="445"/>
      <c r="C315" s="445"/>
      <c r="D315" s="445"/>
      <c r="E315" s="445"/>
      <c r="F315" s="445"/>
      <c r="G315" s="445"/>
      <c r="H315" s="445"/>
      <c r="I315" s="445"/>
      <c r="J315" s="445"/>
      <c r="K315" s="1136"/>
      <c r="L315" s="1136"/>
      <c r="M315" s="445"/>
      <c r="N315" s="445"/>
      <c r="O315" s="445"/>
      <c r="P315" s="445"/>
    </row>
    <row r="316" spans="1:16">
      <c r="A316" s="445"/>
      <c r="B316" s="445"/>
      <c r="C316" s="445"/>
      <c r="D316" s="445"/>
      <c r="E316" s="445"/>
      <c r="F316" s="445"/>
      <c r="G316" s="445"/>
      <c r="H316" s="445"/>
      <c r="I316" s="445"/>
      <c r="J316" s="445"/>
      <c r="K316" s="1136"/>
      <c r="L316" s="1136"/>
      <c r="M316" s="445"/>
      <c r="N316" s="445"/>
      <c r="O316" s="445"/>
      <c r="P316" s="445"/>
    </row>
    <row r="317" spans="1:16">
      <c r="A317" s="445"/>
      <c r="B317" s="445"/>
      <c r="C317" s="445"/>
      <c r="D317" s="445"/>
      <c r="E317" s="445"/>
      <c r="F317" s="445"/>
      <c r="G317" s="445"/>
      <c r="H317" s="445"/>
      <c r="I317" s="445"/>
      <c r="J317" s="445"/>
      <c r="K317" s="1136"/>
      <c r="L317" s="1136"/>
      <c r="M317" s="445"/>
      <c r="N317" s="445"/>
      <c r="O317" s="445"/>
      <c r="P317" s="445"/>
    </row>
    <row r="318" spans="1:16">
      <c r="A318" s="445"/>
      <c r="B318" s="445"/>
      <c r="C318" s="445"/>
      <c r="D318" s="445"/>
      <c r="E318" s="445"/>
      <c r="F318" s="445"/>
      <c r="G318" s="445"/>
      <c r="H318" s="445"/>
      <c r="I318" s="445"/>
      <c r="J318" s="445"/>
      <c r="K318" s="1136"/>
      <c r="L318" s="1136"/>
      <c r="M318" s="445"/>
      <c r="N318" s="445"/>
      <c r="O318" s="445"/>
      <c r="P318" s="445"/>
    </row>
    <row r="319" spans="1:16">
      <c r="A319" s="445"/>
      <c r="B319" s="445"/>
      <c r="C319" s="445"/>
      <c r="D319" s="445"/>
      <c r="E319" s="445"/>
      <c r="F319" s="445"/>
      <c r="G319" s="445"/>
      <c r="H319" s="445"/>
      <c r="I319" s="445"/>
      <c r="J319" s="445"/>
      <c r="K319" s="1136"/>
      <c r="L319" s="1136"/>
      <c r="M319" s="445"/>
      <c r="N319" s="445"/>
      <c r="O319" s="445"/>
      <c r="P319" s="445"/>
    </row>
    <row r="320" spans="1:16">
      <c r="A320" s="445"/>
      <c r="B320" s="445"/>
      <c r="C320" s="445"/>
      <c r="D320" s="445"/>
      <c r="E320" s="445"/>
      <c r="F320" s="445"/>
      <c r="G320" s="445"/>
      <c r="H320" s="445"/>
      <c r="I320" s="445"/>
      <c r="J320" s="445"/>
      <c r="K320" s="1136"/>
      <c r="L320" s="1136"/>
      <c r="M320" s="445"/>
      <c r="N320" s="445"/>
      <c r="O320" s="445"/>
      <c r="P320" s="445"/>
    </row>
    <row r="321" spans="1:16">
      <c r="A321" s="445"/>
      <c r="B321" s="445"/>
      <c r="C321" s="445"/>
      <c r="D321" s="445"/>
      <c r="E321" s="445"/>
      <c r="F321" s="445"/>
      <c r="G321" s="445"/>
      <c r="H321" s="445"/>
      <c r="I321" s="445"/>
      <c r="J321" s="445"/>
      <c r="K321" s="1136"/>
      <c r="L321" s="1136"/>
      <c r="M321" s="445"/>
      <c r="N321" s="445"/>
      <c r="O321" s="445"/>
      <c r="P321" s="445"/>
    </row>
    <row r="322" spans="1:16">
      <c r="A322" s="445"/>
      <c r="B322" s="445"/>
      <c r="C322" s="445"/>
      <c r="D322" s="445"/>
      <c r="E322" s="445"/>
      <c r="F322" s="445"/>
      <c r="G322" s="445"/>
      <c r="H322" s="445"/>
      <c r="I322" s="445"/>
      <c r="J322" s="445"/>
      <c r="K322" s="1136"/>
      <c r="L322" s="1136"/>
      <c r="M322" s="445"/>
      <c r="N322" s="445"/>
      <c r="O322" s="445"/>
      <c r="P322" s="445"/>
    </row>
    <row r="323" spans="1:16">
      <c r="A323" s="445"/>
      <c r="B323" s="445"/>
      <c r="C323" s="445"/>
      <c r="D323" s="445"/>
      <c r="E323" s="445"/>
      <c r="F323" s="445"/>
      <c r="G323" s="445"/>
      <c r="H323" s="445"/>
      <c r="I323" s="445"/>
      <c r="J323" s="445"/>
      <c r="K323" s="1136"/>
      <c r="L323" s="1136"/>
      <c r="M323" s="445"/>
      <c r="N323" s="445"/>
      <c r="O323" s="445"/>
      <c r="P323" s="445"/>
    </row>
    <row r="324" spans="1:16">
      <c r="A324" s="445"/>
      <c r="B324" s="445"/>
      <c r="C324" s="445"/>
      <c r="D324" s="445"/>
      <c r="E324" s="445"/>
      <c r="F324" s="445"/>
      <c r="G324" s="445"/>
      <c r="H324" s="445"/>
      <c r="I324" s="445"/>
      <c r="J324" s="445"/>
      <c r="K324" s="1136"/>
      <c r="L324" s="1136"/>
      <c r="M324" s="445"/>
      <c r="N324" s="445"/>
      <c r="O324" s="445"/>
      <c r="P324" s="445"/>
    </row>
    <row r="325" spans="1:16">
      <c r="A325" s="445"/>
      <c r="B325" s="445"/>
      <c r="C325" s="445"/>
      <c r="D325" s="445"/>
      <c r="E325" s="445"/>
      <c r="F325" s="445"/>
      <c r="G325" s="445"/>
      <c r="H325" s="445"/>
      <c r="I325" s="445"/>
      <c r="J325" s="445"/>
      <c r="K325" s="1136"/>
      <c r="L325" s="1136"/>
      <c r="M325" s="445"/>
      <c r="N325" s="445"/>
      <c r="O325" s="445"/>
      <c r="P325" s="445"/>
    </row>
    <row r="326" spans="1:16">
      <c r="A326" s="445"/>
      <c r="B326" s="445"/>
      <c r="C326" s="445"/>
      <c r="D326" s="445"/>
      <c r="E326" s="445"/>
      <c r="F326" s="445"/>
      <c r="G326" s="445"/>
      <c r="H326" s="445"/>
      <c r="I326" s="445"/>
      <c r="J326" s="445"/>
      <c r="K326" s="1136"/>
      <c r="L326" s="1136"/>
      <c r="M326" s="445"/>
      <c r="N326" s="445"/>
      <c r="O326" s="445"/>
      <c r="P326" s="445"/>
    </row>
    <row r="327" spans="1:16">
      <c r="A327" s="445"/>
      <c r="B327" s="445"/>
      <c r="C327" s="445"/>
      <c r="D327" s="445"/>
      <c r="E327" s="445"/>
      <c r="F327" s="445"/>
      <c r="G327" s="445"/>
      <c r="H327" s="445"/>
      <c r="I327" s="445"/>
      <c r="J327" s="445"/>
      <c r="K327" s="1136"/>
      <c r="L327" s="1136"/>
      <c r="M327" s="445"/>
      <c r="N327" s="445"/>
      <c r="O327" s="445"/>
      <c r="P327" s="445"/>
    </row>
    <row r="328" spans="1:16">
      <c r="A328" s="445"/>
      <c r="B328" s="445"/>
      <c r="C328" s="445"/>
      <c r="D328" s="445"/>
      <c r="E328" s="445"/>
      <c r="F328" s="445"/>
      <c r="G328" s="445"/>
      <c r="H328" s="445"/>
      <c r="I328" s="445"/>
      <c r="J328" s="445"/>
      <c r="K328" s="1136"/>
      <c r="L328" s="1136"/>
      <c r="M328" s="445"/>
      <c r="N328" s="445"/>
      <c r="O328" s="445"/>
      <c r="P328" s="445"/>
    </row>
    <row r="329" spans="1:16">
      <c r="A329" s="445"/>
      <c r="B329" s="445"/>
      <c r="C329" s="445"/>
      <c r="D329" s="445"/>
      <c r="E329" s="445"/>
      <c r="F329" s="445"/>
      <c r="G329" s="445"/>
      <c r="H329" s="445"/>
      <c r="I329" s="445"/>
      <c r="J329" s="445"/>
      <c r="K329" s="1136"/>
      <c r="L329" s="1136"/>
      <c r="M329" s="445"/>
      <c r="N329" s="445"/>
      <c r="O329" s="445"/>
      <c r="P329" s="445"/>
    </row>
    <row r="330" spans="1:16">
      <c r="A330" s="445"/>
      <c r="B330" s="445"/>
      <c r="C330" s="445"/>
      <c r="D330" s="445"/>
      <c r="E330" s="445"/>
      <c r="F330" s="445"/>
      <c r="G330" s="445"/>
      <c r="H330" s="445"/>
      <c r="I330" s="445"/>
      <c r="J330" s="445"/>
      <c r="K330" s="1136"/>
      <c r="L330" s="1136"/>
      <c r="M330" s="445"/>
      <c r="N330" s="445"/>
      <c r="O330" s="445"/>
      <c r="P330" s="445"/>
    </row>
    <row r="331" spans="1:16">
      <c r="A331" s="445"/>
      <c r="B331" s="445"/>
      <c r="C331" s="445"/>
      <c r="D331" s="445"/>
      <c r="E331" s="445"/>
      <c r="F331" s="445"/>
      <c r="G331" s="445"/>
      <c r="H331" s="445"/>
      <c r="I331" s="445"/>
      <c r="J331" s="445"/>
      <c r="K331" s="1136"/>
      <c r="L331" s="1136"/>
      <c r="M331" s="445"/>
      <c r="N331" s="445"/>
      <c r="O331" s="445"/>
      <c r="P331" s="445"/>
    </row>
    <row r="332" spans="1:16">
      <c r="A332" s="445"/>
      <c r="B332" s="445"/>
      <c r="C332" s="445"/>
      <c r="D332" s="445"/>
      <c r="E332" s="445"/>
      <c r="F332" s="445"/>
      <c r="G332" s="445"/>
      <c r="H332" s="445"/>
      <c r="I332" s="445"/>
      <c r="J332" s="445"/>
      <c r="K332" s="1136"/>
      <c r="L332" s="1136"/>
      <c r="M332" s="445"/>
      <c r="N332" s="445"/>
      <c r="O332" s="445"/>
      <c r="P332" s="445"/>
    </row>
    <row r="333" spans="1:16">
      <c r="A333" s="445"/>
      <c r="B333" s="445"/>
      <c r="C333" s="445"/>
      <c r="D333" s="445"/>
      <c r="E333" s="445"/>
      <c r="F333" s="445"/>
      <c r="G333" s="445"/>
      <c r="H333" s="445"/>
      <c r="I333" s="445"/>
      <c r="J333" s="445"/>
      <c r="K333" s="1136"/>
      <c r="L333" s="1136"/>
      <c r="M333" s="445"/>
      <c r="N333" s="445"/>
      <c r="O333" s="445"/>
      <c r="P333" s="445"/>
    </row>
    <row r="334" spans="1:16">
      <c r="A334" s="445"/>
      <c r="B334" s="445"/>
      <c r="C334" s="445"/>
      <c r="D334" s="445"/>
      <c r="E334" s="445"/>
      <c r="F334" s="445"/>
      <c r="G334" s="445"/>
      <c r="H334" s="445"/>
      <c r="I334" s="445"/>
      <c r="J334" s="445"/>
      <c r="K334" s="1136"/>
      <c r="L334" s="1136"/>
      <c r="M334" s="445"/>
      <c r="N334" s="445"/>
      <c r="O334" s="445"/>
      <c r="P334" s="445"/>
    </row>
    <row r="335" spans="1:16">
      <c r="A335" s="445"/>
      <c r="B335" s="445"/>
      <c r="C335" s="445"/>
      <c r="D335" s="445"/>
      <c r="E335" s="445"/>
      <c r="F335" s="445"/>
      <c r="G335" s="445"/>
      <c r="H335" s="445"/>
      <c r="I335" s="445"/>
      <c r="J335" s="445"/>
      <c r="K335" s="1136"/>
      <c r="L335" s="1136"/>
      <c r="M335" s="445"/>
      <c r="N335" s="445"/>
      <c r="O335" s="445"/>
      <c r="P335" s="445"/>
    </row>
    <row r="336" spans="1:16">
      <c r="A336" s="445"/>
      <c r="B336" s="445"/>
      <c r="C336" s="445"/>
      <c r="D336" s="445"/>
      <c r="E336" s="445"/>
      <c r="F336" s="445"/>
      <c r="G336" s="445"/>
      <c r="H336" s="445"/>
      <c r="I336" s="445"/>
      <c r="J336" s="445"/>
      <c r="K336" s="1136"/>
      <c r="L336" s="1136"/>
      <c r="M336" s="445"/>
      <c r="N336" s="445"/>
      <c r="O336" s="445"/>
      <c r="P336" s="445"/>
    </row>
    <row r="337" spans="1:16">
      <c r="A337" s="445"/>
      <c r="B337" s="445"/>
      <c r="C337" s="445"/>
      <c r="D337" s="445"/>
      <c r="E337" s="445"/>
      <c r="F337" s="445"/>
      <c r="G337" s="445"/>
      <c r="H337" s="445"/>
      <c r="I337" s="445"/>
      <c r="J337" s="445"/>
      <c r="K337" s="1136"/>
      <c r="L337" s="1136"/>
      <c r="M337" s="445"/>
      <c r="N337" s="445"/>
      <c r="O337" s="445"/>
      <c r="P337" s="445"/>
    </row>
    <row r="338" spans="1:16">
      <c r="A338" s="445"/>
      <c r="B338" s="445"/>
      <c r="C338" s="445"/>
      <c r="D338" s="445"/>
      <c r="E338" s="445"/>
      <c r="F338" s="445"/>
      <c r="G338" s="445"/>
      <c r="H338" s="445"/>
      <c r="I338" s="445"/>
      <c r="J338" s="445"/>
      <c r="K338" s="1136"/>
      <c r="L338" s="1136"/>
      <c r="M338" s="445"/>
      <c r="N338" s="445"/>
      <c r="O338" s="445"/>
      <c r="P338" s="445"/>
    </row>
    <row r="339" spans="1:16">
      <c r="A339" s="445"/>
      <c r="B339" s="445"/>
      <c r="C339" s="445"/>
      <c r="D339" s="445"/>
      <c r="E339" s="445"/>
      <c r="F339" s="445"/>
      <c r="G339" s="445"/>
      <c r="H339" s="445"/>
      <c r="I339" s="445"/>
      <c r="J339" s="445"/>
      <c r="K339" s="1136"/>
      <c r="L339" s="1136"/>
      <c r="M339" s="445"/>
      <c r="N339" s="445"/>
      <c r="O339" s="445"/>
      <c r="P339" s="445"/>
    </row>
    <row r="340" spans="1:16">
      <c r="A340" s="445"/>
      <c r="B340" s="445"/>
      <c r="C340" s="445"/>
      <c r="D340" s="445"/>
      <c r="E340" s="445"/>
      <c r="F340" s="445"/>
      <c r="G340" s="445"/>
      <c r="H340" s="445"/>
      <c r="I340" s="445"/>
      <c r="J340" s="445"/>
      <c r="K340" s="1136"/>
      <c r="L340" s="1136"/>
      <c r="M340" s="445"/>
      <c r="N340" s="445"/>
      <c r="O340" s="445"/>
      <c r="P340" s="445"/>
    </row>
    <row r="341" spans="1:16">
      <c r="A341" s="445"/>
      <c r="B341" s="445"/>
      <c r="C341" s="445"/>
      <c r="D341" s="445"/>
      <c r="E341" s="445"/>
      <c r="F341" s="445"/>
      <c r="G341" s="445"/>
      <c r="H341" s="445"/>
      <c r="I341" s="445"/>
      <c r="J341" s="445"/>
      <c r="K341" s="1136"/>
      <c r="L341" s="1136"/>
      <c r="M341" s="445"/>
      <c r="N341" s="445"/>
      <c r="O341" s="445"/>
      <c r="P341" s="445"/>
    </row>
    <row r="342" spans="1:16">
      <c r="A342" s="445"/>
      <c r="B342" s="445"/>
      <c r="C342" s="445"/>
      <c r="D342" s="445"/>
      <c r="E342" s="445"/>
      <c r="F342" s="445"/>
      <c r="G342" s="445"/>
      <c r="H342" s="445"/>
      <c r="I342" s="445"/>
      <c r="J342" s="445"/>
      <c r="K342" s="1136"/>
      <c r="L342" s="1136"/>
      <c r="M342" s="445"/>
      <c r="N342" s="445"/>
      <c r="O342" s="445"/>
      <c r="P342" s="445"/>
    </row>
    <row r="343" spans="1:16">
      <c r="A343" s="445"/>
      <c r="B343" s="445"/>
      <c r="C343" s="445"/>
      <c r="D343" s="445"/>
      <c r="E343" s="445"/>
      <c r="F343" s="445"/>
      <c r="G343" s="445"/>
      <c r="H343" s="445"/>
      <c r="I343" s="445"/>
      <c r="J343" s="445"/>
      <c r="K343" s="1136"/>
      <c r="L343" s="1136"/>
      <c r="M343" s="445"/>
      <c r="N343" s="445"/>
      <c r="O343" s="445"/>
      <c r="P343" s="445"/>
    </row>
    <row r="344" spans="1:16">
      <c r="A344" s="445"/>
      <c r="B344" s="445"/>
      <c r="C344" s="445"/>
      <c r="D344" s="445"/>
      <c r="E344" s="445"/>
      <c r="F344" s="445"/>
      <c r="G344" s="445"/>
      <c r="H344" s="445"/>
      <c r="I344" s="445"/>
      <c r="J344" s="445"/>
      <c r="K344" s="1136"/>
      <c r="L344" s="1136"/>
      <c r="M344" s="445"/>
      <c r="N344" s="445"/>
      <c r="O344" s="445"/>
      <c r="P344" s="445"/>
    </row>
    <row r="345" spans="1:16">
      <c r="A345" s="445"/>
      <c r="B345" s="445"/>
      <c r="C345" s="445"/>
      <c r="D345" s="445"/>
      <c r="E345" s="445"/>
      <c r="F345" s="445"/>
      <c r="G345" s="445"/>
      <c r="H345" s="445"/>
      <c r="I345" s="445"/>
      <c r="J345" s="445"/>
      <c r="K345" s="1136"/>
      <c r="L345" s="1136"/>
      <c r="M345" s="445"/>
      <c r="N345" s="445"/>
      <c r="O345" s="445"/>
      <c r="P345" s="445"/>
    </row>
    <row r="346" spans="1:16">
      <c r="A346" s="445"/>
      <c r="B346" s="445"/>
      <c r="C346" s="445"/>
      <c r="D346" s="445"/>
      <c r="E346" s="445"/>
      <c r="F346" s="445"/>
      <c r="G346" s="445"/>
      <c r="H346" s="445"/>
      <c r="I346" s="445"/>
      <c r="J346" s="445"/>
      <c r="K346" s="1136"/>
      <c r="L346" s="1136"/>
      <c r="M346" s="445"/>
      <c r="N346" s="445"/>
      <c r="O346" s="445"/>
      <c r="P346" s="445"/>
    </row>
    <row r="347" spans="1:16">
      <c r="A347" s="445"/>
      <c r="B347" s="445"/>
      <c r="C347" s="445"/>
      <c r="D347" s="445"/>
      <c r="E347" s="445"/>
      <c r="F347" s="445"/>
      <c r="G347" s="445"/>
      <c r="H347" s="445"/>
      <c r="I347" s="445"/>
      <c r="J347" s="445"/>
      <c r="K347" s="1136"/>
      <c r="L347" s="1136"/>
      <c r="M347" s="445"/>
      <c r="N347" s="445"/>
      <c r="O347" s="445"/>
      <c r="P347" s="445"/>
    </row>
    <row r="348" spans="1:16">
      <c r="A348" s="445"/>
      <c r="B348" s="445"/>
      <c r="C348" s="445"/>
      <c r="D348" s="445"/>
      <c r="E348" s="445"/>
      <c r="F348" s="445"/>
      <c r="G348" s="445"/>
      <c r="H348" s="445"/>
      <c r="I348" s="445"/>
      <c r="J348" s="445"/>
      <c r="K348" s="1136"/>
      <c r="L348" s="1136"/>
      <c r="M348" s="445"/>
      <c r="N348" s="445"/>
      <c r="O348" s="445"/>
      <c r="P348" s="445"/>
    </row>
    <row r="349" spans="1:16">
      <c r="A349" s="445"/>
      <c r="B349" s="445"/>
      <c r="C349" s="445"/>
      <c r="D349" s="445"/>
      <c r="E349" s="445"/>
      <c r="F349" s="445"/>
      <c r="G349" s="445"/>
      <c r="H349" s="445"/>
      <c r="I349" s="445"/>
      <c r="J349" s="445"/>
      <c r="K349" s="1136"/>
      <c r="L349" s="1136"/>
      <c r="M349" s="445"/>
      <c r="N349" s="445"/>
      <c r="O349" s="445"/>
      <c r="P349" s="445"/>
    </row>
    <row r="350" spans="1:16">
      <c r="A350" s="445"/>
      <c r="B350" s="445"/>
      <c r="C350" s="445"/>
      <c r="D350" s="445"/>
      <c r="E350" s="445"/>
      <c r="F350" s="445"/>
      <c r="G350" s="445"/>
      <c r="H350" s="445"/>
      <c r="I350" s="445"/>
      <c r="J350" s="445"/>
      <c r="K350" s="1136"/>
      <c r="L350" s="1136"/>
      <c r="M350" s="445"/>
      <c r="N350" s="445"/>
      <c r="O350" s="445"/>
      <c r="P350" s="445"/>
    </row>
    <row r="351" spans="1:16">
      <c r="A351" s="445"/>
      <c r="B351" s="445"/>
      <c r="C351" s="445"/>
      <c r="D351" s="445"/>
      <c r="E351" s="445"/>
      <c r="F351" s="445"/>
      <c r="G351" s="445"/>
      <c r="H351" s="445"/>
      <c r="I351" s="445"/>
      <c r="J351" s="445"/>
      <c r="K351" s="1136"/>
      <c r="L351" s="1136"/>
      <c r="M351" s="445"/>
      <c r="N351" s="445"/>
      <c r="O351" s="445"/>
      <c r="P351" s="445"/>
    </row>
    <row r="352" spans="1:16">
      <c r="A352" s="445"/>
      <c r="B352" s="445"/>
      <c r="C352" s="445"/>
      <c r="D352" s="445"/>
      <c r="E352" s="445"/>
      <c r="F352" s="445"/>
      <c r="G352" s="445"/>
      <c r="H352" s="445"/>
      <c r="I352" s="445"/>
      <c r="J352" s="445"/>
      <c r="K352" s="1136"/>
      <c r="L352" s="1136"/>
      <c r="M352" s="445"/>
      <c r="N352" s="445"/>
      <c r="O352" s="445"/>
      <c r="P352" s="445"/>
    </row>
    <row r="353" spans="1:16">
      <c r="A353" s="445"/>
      <c r="B353" s="445"/>
      <c r="C353" s="445"/>
      <c r="D353" s="445"/>
      <c r="E353" s="445"/>
      <c r="F353" s="445"/>
      <c r="G353" s="445"/>
      <c r="H353" s="445"/>
      <c r="I353" s="445"/>
      <c r="J353" s="445"/>
      <c r="K353" s="1136"/>
      <c r="L353" s="1136"/>
      <c r="M353" s="445"/>
      <c r="N353" s="445"/>
      <c r="O353" s="445"/>
      <c r="P353" s="445"/>
    </row>
    <row r="354" spans="1:16">
      <c r="A354" s="445"/>
      <c r="B354" s="445"/>
      <c r="C354" s="445"/>
      <c r="D354" s="445"/>
      <c r="E354" s="445"/>
      <c r="F354" s="445"/>
      <c r="G354" s="445"/>
      <c r="H354" s="445"/>
      <c r="I354" s="445"/>
      <c r="J354" s="445"/>
      <c r="K354" s="1136"/>
      <c r="L354" s="1136"/>
      <c r="M354" s="445"/>
      <c r="N354" s="445"/>
      <c r="O354" s="445"/>
      <c r="P354" s="445"/>
    </row>
    <row r="355" spans="1:16">
      <c r="A355" s="445"/>
      <c r="B355" s="445"/>
      <c r="C355" s="445"/>
      <c r="D355" s="445"/>
      <c r="E355" s="445"/>
      <c r="F355" s="445"/>
      <c r="G355" s="445"/>
      <c r="H355" s="445"/>
      <c r="I355" s="445"/>
      <c r="J355" s="445"/>
      <c r="K355" s="1136"/>
      <c r="L355" s="1136"/>
      <c r="M355" s="445"/>
      <c r="N355" s="445"/>
      <c r="O355" s="445"/>
      <c r="P355" s="445"/>
    </row>
    <row r="356" spans="1:16">
      <c r="A356" s="445"/>
      <c r="B356" s="445"/>
      <c r="C356" s="445"/>
      <c r="D356" s="445"/>
      <c r="E356" s="445"/>
      <c r="F356" s="445"/>
      <c r="G356" s="445"/>
      <c r="H356" s="445"/>
      <c r="I356" s="445"/>
      <c r="J356" s="445"/>
      <c r="K356" s="1136"/>
      <c r="L356" s="1136"/>
      <c r="M356" s="445"/>
      <c r="N356" s="445"/>
      <c r="O356" s="445"/>
      <c r="P356" s="445"/>
    </row>
    <row r="357" spans="1:16">
      <c r="A357" s="445"/>
      <c r="B357" s="445"/>
      <c r="C357" s="445"/>
      <c r="D357" s="445"/>
      <c r="E357" s="445"/>
      <c r="F357" s="445"/>
      <c r="G357" s="445"/>
      <c r="H357" s="445"/>
      <c r="I357" s="445"/>
      <c r="J357" s="445"/>
      <c r="K357" s="1136"/>
      <c r="L357" s="1136"/>
      <c r="M357" s="445"/>
      <c r="N357" s="445"/>
      <c r="O357" s="445"/>
      <c r="P357" s="445"/>
    </row>
    <row r="358" spans="1:16">
      <c r="A358" s="445"/>
      <c r="B358" s="445"/>
      <c r="C358" s="445"/>
      <c r="D358" s="445"/>
      <c r="E358" s="445"/>
      <c r="F358" s="445"/>
      <c r="G358" s="445"/>
      <c r="H358" s="445"/>
      <c r="I358" s="445"/>
      <c r="J358" s="445"/>
      <c r="K358" s="1136"/>
      <c r="L358" s="1136"/>
      <c r="M358" s="445"/>
      <c r="N358" s="445"/>
      <c r="O358" s="445"/>
      <c r="P358" s="445"/>
    </row>
    <row r="359" spans="1:16">
      <c r="A359" s="445"/>
      <c r="B359" s="445"/>
      <c r="C359" s="445"/>
      <c r="D359" s="445"/>
      <c r="E359" s="445"/>
      <c r="F359" s="445"/>
      <c r="G359" s="445"/>
      <c r="H359" s="445"/>
      <c r="I359" s="445"/>
      <c r="J359" s="445"/>
      <c r="K359" s="1136"/>
      <c r="L359" s="1136"/>
      <c r="M359" s="445"/>
      <c r="N359" s="445"/>
      <c r="O359" s="445"/>
      <c r="P359" s="445"/>
    </row>
    <row r="360" spans="1:16">
      <c r="A360" s="445"/>
      <c r="B360" s="445"/>
      <c r="C360" s="445"/>
      <c r="D360" s="445"/>
      <c r="E360" s="445"/>
      <c r="F360" s="445"/>
      <c r="G360" s="445"/>
      <c r="H360" s="445"/>
      <c r="I360" s="445"/>
      <c r="J360" s="445"/>
      <c r="K360" s="1136"/>
      <c r="L360" s="1136"/>
      <c r="M360" s="445"/>
      <c r="N360" s="445"/>
      <c r="O360" s="445"/>
      <c r="P360" s="445"/>
    </row>
    <row r="361" spans="1:16">
      <c r="A361" s="445"/>
      <c r="B361" s="445"/>
      <c r="C361" s="445"/>
      <c r="D361" s="445"/>
      <c r="E361" s="445"/>
      <c r="F361" s="445"/>
      <c r="G361" s="445"/>
      <c r="H361" s="445"/>
      <c r="I361" s="445"/>
      <c r="J361" s="445"/>
      <c r="K361" s="1136"/>
      <c r="L361" s="1136"/>
      <c r="M361" s="445"/>
      <c r="N361" s="445"/>
      <c r="O361" s="445"/>
      <c r="P361" s="445"/>
    </row>
    <row r="362" spans="1:16">
      <c r="A362" s="445"/>
      <c r="B362" s="445"/>
      <c r="C362" s="445"/>
      <c r="D362" s="445"/>
      <c r="E362" s="445"/>
      <c r="F362" s="445"/>
      <c r="G362" s="445"/>
      <c r="H362" s="445"/>
      <c r="I362" s="445"/>
      <c r="J362" s="445"/>
      <c r="K362" s="1136"/>
      <c r="L362" s="1136"/>
      <c r="M362" s="445"/>
      <c r="N362" s="445"/>
      <c r="O362" s="445"/>
      <c r="P362" s="445"/>
    </row>
    <row r="363" spans="1:16">
      <c r="A363" s="445"/>
      <c r="B363" s="445"/>
      <c r="C363" s="445"/>
      <c r="D363" s="445"/>
      <c r="E363" s="445"/>
      <c r="F363" s="445"/>
      <c r="G363" s="445"/>
      <c r="H363" s="445"/>
      <c r="I363" s="445"/>
      <c r="J363" s="445"/>
      <c r="K363" s="1136"/>
      <c r="L363" s="1136"/>
      <c r="M363" s="445"/>
      <c r="N363" s="445"/>
      <c r="O363" s="445"/>
      <c r="P363" s="445"/>
    </row>
    <row r="364" spans="1:16">
      <c r="A364" s="445"/>
      <c r="B364" s="445"/>
      <c r="C364" s="445"/>
      <c r="D364" s="445"/>
      <c r="E364" s="445"/>
      <c r="F364" s="445"/>
      <c r="G364" s="445"/>
      <c r="H364" s="445"/>
      <c r="I364" s="445"/>
      <c r="J364" s="445"/>
      <c r="K364" s="1136"/>
      <c r="L364" s="1136"/>
      <c r="M364" s="445"/>
      <c r="N364" s="445"/>
      <c r="O364" s="445"/>
      <c r="P364" s="445"/>
    </row>
    <row r="365" spans="1:16">
      <c r="A365" s="445"/>
      <c r="B365" s="445"/>
      <c r="C365" s="445"/>
      <c r="D365" s="445"/>
      <c r="E365" s="445"/>
      <c r="F365" s="445"/>
      <c r="G365" s="445"/>
      <c r="H365" s="445"/>
      <c r="I365" s="445"/>
      <c r="J365" s="445"/>
      <c r="K365" s="1136"/>
      <c r="L365" s="1136"/>
      <c r="M365" s="445"/>
      <c r="N365" s="445"/>
      <c r="O365" s="445"/>
      <c r="P365" s="445"/>
    </row>
    <row r="366" spans="1:16">
      <c r="A366" s="445"/>
      <c r="B366" s="445"/>
      <c r="C366" s="445"/>
      <c r="D366" s="445"/>
      <c r="E366" s="445"/>
      <c r="F366" s="445"/>
      <c r="G366" s="445"/>
      <c r="H366" s="445"/>
      <c r="I366" s="445"/>
      <c r="J366" s="445"/>
      <c r="K366" s="1136"/>
      <c r="L366" s="1136"/>
      <c r="M366" s="445"/>
      <c r="N366" s="445"/>
      <c r="O366" s="445"/>
      <c r="P366" s="445"/>
    </row>
    <row r="367" spans="1:16">
      <c r="A367" s="445"/>
      <c r="B367" s="445"/>
      <c r="C367" s="445"/>
      <c r="D367" s="445"/>
      <c r="E367" s="445"/>
      <c r="F367" s="445"/>
      <c r="G367" s="445"/>
      <c r="H367" s="445"/>
      <c r="I367" s="445"/>
      <c r="J367" s="445"/>
      <c r="K367" s="1136"/>
      <c r="L367" s="1136"/>
      <c r="M367" s="445"/>
      <c r="N367" s="445"/>
      <c r="O367" s="445"/>
      <c r="P367" s="445"/>
    </row>
    <row r="368" spans="1:16">
      <c r="A368" s="445"/>
      <c r="B368" s="445"/>
      <c r="C368" s="445"/>
      <c r="D368" s="445"/>
      <c r="E368" s="445"/>
      <c r="F368" s="445"/>
      <c r="G368" s="445"/>
      <c r="H368" s="445"/>
      <c r="I368" s="445"/>
      <c r="J368" s="445"/>
      <c r="K368" s="1136"/>
      <c r="L368" s="1136"/>
      <c r="M368" s="445"/>
      <c r="N368" s="445"/>
      <c r="O368" s="445"/>
      <c r="P368" s="445"/>
    </row>
    <row r="369" spans="1:16">
      <c r="A369" s="445"/>
      <c r="B369" s="445"/>
      <c r="C369" s="445"/>
      <c r="D369" s="445"/>
      <c r="E369" s="445"/>
      <c r="F369" s="445"/>
      <c r="G369" s="445"/>
      <c r="H369" s="445"/>
      <c r="I369" s="445"/>
      <c r="J369" s="445"/>
      <c r="K369" s="1136"/>
      <c r="L369" s="1136"/>
      <c r="M369" s="445"/>
      <c r="N369" s="445"/>
      <c r="O369" s="445"/>
      <c r="P369" s="445"/>
    </row>
    <row r="370" spans="1:16">
      <c r="A370" s="445"/>
      <c r="B370" s="445"/>
      <c r="C370" s="445"/>
      <c r="D370" s="445"/>
      <c r="E370" s="445"/>
      <c r="F370" s="445"/>
      <c r="G370" s="445"/>
      <c r="H370" s="445"/>
      <c r="I370" s="445"/>
      <c r="J370" s="445"/>
      <c r="K370" s="1136"/>
      <c r="L370" s="1136"/>
      <c r="M370" s="445"/>
      <c r="N370" s="445"/>
      <c r="O370" s="445"/>
      <c r="P370" s="445"/>
    </row>
    <row r="371" spans="1:16">
      <c r="A371" s="445"/>
      <c r="B371" s="445"/>
      <c r="C371" s="445"/>
      <c r="D371" s="445"/>
      <c r="E371" s="445"/>
      <c r="F371" s="445"/>
      <c r="G371" s="445"/>
      <c r="H371" s="445"/>
      <c r="I371" s="445"/>
      <c r="J371" s="445"/>
      <c r="K371" s="1136"/>
      <c r="L371" s="1136"/>
      <c r="M371" s="445"/>
      <c r="N371" s="445"/>
      <c r="O371" s="445"/>
      <c r="P371" s="445"/>
    </row>
    <row r="372" spans="1:16">
      <c r="A372" s="445"/>
      <c r="B372" s="445"/>
      <c r="C372" s="445"/>
      <c r="D372" s="445"/>
      <c r="E372" s="445"/>
      <c r="F372" s="445"/>
      <c r="G372" s="445"/>
      <c r="H372" s="445"/>
      <c r="I372" s="445"/>
      <c r="J372" s="445"/>
      <c r="K372" s="1136"/>
      <c r="L372" s="1136"/>
      <c r="M372" s="445"/>
      <c r="N372" s="445"/>
      <c r="O372" s="445"/>
      <c r="P372" s="445"/>
    </row>
    <row r="373" spans="1:16">
      <c r="A373" s="445"/>
      <c r="B373" s="445"/>
      <c r="C373" s="445"/>
      <c r="D373" s="445"/>
      <c r="E373" s="445"/>
      <c r="F373" s="445"/>
      <c r="G373" s="445"/>
      <c r="H373" s="445"/>
      <c r="I373" s="445"/>
      <c r="J373" s="445"/>
      <c r="K373" s="1136"/>
      <c r="L373" s="1136"/>
      <c r="M373" s="445"/>
      <c r="N373" s="445"/>
      <c r="O373" s="445"/>
      <c r="P373" s="445"/>
    </row>
    <row r="374" spans="1:16">
      <c r="A374" s="445"/>
      <c r="B374" s="445"/>
      <c r="C374" s="445"/>
      <c r="D374" s="445"/>
      <c r="E374" s="445"/>
      <c r="F374" s="445"/>
      <c r="G374" s="445"/>
      <c r="H374" s="445"/>
      <c r="I374" s="445"/>
      <c r="J374" s="445"/>
      <c r="K374" s="1136"/>
      <c r="L374" s="1136"/>
      <c r="M374" s="445"/>
      <c r="N374" s="445"/>
      <c r="O374" s="445"/>
      <c r="P374" s="445"/>
    </row>
    <row r="375" spans="1:16">
      <c r="A375" s="445"/>
      <c r="B375" s="445"/>
      <c r="C375" s="445"/>
      <c r="D375" s="445"/>
      <c r="E375" s="445"/>
      <c r="F375" s="445"/>
      <c r="G375" s="445"/>
      <c r="H375" s="445"/>
      <c r="I375" s="445"/>
      <c r="J375" s="445"/>
      <c r="K375" s="1136"/>
      <c r="L375" s="1136"/>
      <c r="M375" s="445"/>
      <c r="N375" s="445"/>
      <c r="O375" s="445"/>
      <c r="P375" s="445"/>
    </row>
    <row r="376" spans="1:16">
      <c r="A376" s="445"/>
      <c r="B376" s="445"/>
      <c r="C376" s="445"/>
      <c r="D376" s="445"/>
      <c r="E376" s="445"/>
      <c r="F376" s="445"/>
      <c r="G376" s="445"/>
      <c r="H376" s="445"/>
      <c r="I376" s="445"/>
      <c r="J376" s="445"/>
      <c r="K376" s="1136"/>
      <c r="L376" s="1136"/>
      <c r="M376" s="445"/>
      <c r="N376" s="445"/>
      <c r="O376" s="445"/>
      <c r="P376" s="445"/>
    </row>
    <row r="377" spans="1:16">
      <c r="A377" s="445"/>
      <c r="B377" s="445"/>
      <c r="C377" s="445"/>
      <c r="D377" s="445"/>
      <c r="E377" s="445"/>
      <c r="F377" s="445"/>
      <c r="G377" s="445"/>
      <c r="H377" s="445"/>
      <c r="I377" s="445"/>
      <c r="J377" s="445"/>
      <c r="K377" s="1136"/>
      <c r="L377" s="1136"/>
      <c r="M377" s="445"/>
      <c r="N377" s="445"/>
      <c r="O377" s="445"/>
      <c r="P377" s="445"/>
    </row>
    <row r="378" spans="1:16">
      <c r="A378" s="445"/>
      <c r="B378" s="445"/>
      <c r="C378" s="445"/>
      <c r="D378" s="445"/>
      <c r="E378" s="445"/>
      <c r="F378" s="445"/>
      <c r="G378" s="445"/>
      <c r="H378" s="445"/>
      <c r="I378" s="445"/>
      <c r="J378" s="445"/>
      <c r="K378" s="1136"/>
      <c r="L378" s="1136"/>
      <c r="M378" s="445"/>
      <c r="N378" s="445"/>
      <c r="O378" s="445"/>
      <c r="P378" s="445"/>
    </row>
    <row r="379" spans="1:16">
      <c r="A379" s="445"/>
      <c r="B379" s="445"/>
      <c r="C379" s="445"/>
      <c r="D379" s="445"/>
      <c r="E379" s="445"/>
      <c r="F379" s="445"/>
      <c r="G379" s="445"/>
      <c r="H379" s="445"/>
      <c r="I379" s="445"/>
      <c r="J379" s="445"/>
      <c r="K379" s="1136"/>
      <c r="L379" s="1136"/>
      <c r="M379" s="445"/>
      <c r="N379" s="445"/>
      <c r="O379" s="445"/>
      <c r="P379" s="445"/>
    </row>
    <row r="380" spans="1:16">
      <c r="A380" s="445"/>
      <c r="B380" s="445"/>
      <c r="C380" s="445"/>
      <c r="D380" s="445"/>
      <c r="E380" s="445"/>
      <c r="F380" s="445"/>
      <c r="G380" s="445"/>
      <c r="H380" s="445"/>
      <c r="I380" s="445"/>
      <c r="J380" s="445"/>
      <c r="K380" s="1136"/>
      <c r="L380" s="1136"/>
      <c r="M380" s="445"/>
      <c r="N380" s="445"/>
      <c r="O380" s="445"/>
      <c r="P380" s="445"/>
    </row>
    <row r="381" spans="1:16">
      <c r="A381" s="445"/>
      <c r="B381" s="445"/>
      <c r="C381" s="445"/>
      <c r="D381" s="445"/>
      <c r="E381" s="445"/>
      <c r="F381" s="445"/>
      <c r="G381" s="445"/>
      <c r="H381" s="445"/>
      <c r="I381" s="445"/>
      <c r="J381" s="445"/>
      <c r="K381" s="1136"/>
      <c r="L381" s="1136"/>
      <c r="M381" s="445"/>
      <c r="N381" s="445"/>
      <c r="O381" s="445"/>
      <c r="P381" s="445"/>
    </row>
    <row r="382" spans="1:16">
      <c r="A382" s="445"/>
      <c r="B382" s="445"/>
      <c r="C382" s="445"/>
      <c r="D382" s="445"/>
      <c r="E382" s="445"/>
      <c r="F382" s="445"/>
      <c r="G382" s="445"/>
      <c r="H382" s="445"/>
      <c r="I382" s="445"/>
      <c r="J382" s="445"/>
      <c r="K382" s="1136"/>
      <c r="L382" s="1136"/>
      <c r="M382" s="445"/>
      <c r="N382" s="445"/>
      <c r="O382" s="445"/>
      <c r="P382" s="445"/>
    </row>
    <row r="383" spans="1:16">
      <c r="A383" s="445"/>
      <c r="B383" s="445"/>
      <c r="C383" s="445"/>
      <c r="D383" s="445"/>
      <c r="E383" s="445"/>
      <c r="F383" s="445"/>
      <c r="G383" s="445"/>
      <c r="H383" s="445"/>
      <c r="I383" s="445"/>
      <c r="J383" s="445"/>
      <c r="K383" s="1136"/>
      <c r="L383" s="1136"/>
      <c r="M383" s="445"/>
      <c r="N383" s="445"/>
      <c r="O383" s="445"/>
      <c r="P383" s="445"/>
    </row>
    <row r="384" spans="1:16">
      <c r="A384" s="445"/>
      <c r="B384" s="445"/>
      <c r="C384" s="445"/>
      <c r="D384" s="445"/>
      <c r="E384" s="445"/>
      <c r="F384" s="445"/>
      <c r="G384" s="445"/>
      <c r="H384" s="445"/>
      <c r="I384" s="445"/>
      <c r="J384" s="445"/>
      <c r="K384" s="1136"/>
      <c r="L384" s="1136"/>
      <c r="M384" s="445"/>
      <c r="N384" s="445"/>
      <c r="O384" s="445"/>
      <c r="P384" s="445"/>
    </row>
    <row r="385" spans="1:16">
      <c r="A385" s="445"/>
      <c r="B385" s="445"/>
      <c r="C385" s="445"/>
      <c r="D385" s="445"/>
      <c r="E385" s="445"/>
      <c r="F385" s="445"/>
      <c r="G385" s="445"/>
      <c r="H385" s="445"/>
      <c r="I385" s="445"/>
      <c r="J385" s="445"/>
      <c r="K385" s="1136"/>
      <c r="L385" s="1136"/>
      <c r="M385" s="445"/>
      <c r="N385" s="445"/>
      <c r="O385" s="445"/>
      <c r="P385" s="445"/>
    </row>
    <row r="386" spans="1:16">
      <c r="A386" s="445"/>
      <c r="B386" s="445"/>
      <c r="C386" s="445"/>
      <c r="D386" s="445"/>
      <c r="E386" s="445"/>
      <c r="F386" s="445"/>
      <c r="G386" s="445"/>
      <c r="H386" s="445"/>
      <c r="I386" s="445"/>
      <c r="J386" s="445"/>
      <c r="K386" s="1136"/>
      <c r="L386" s="1136"/>
      <c r="M386" s="445"/>
      <c r="N386" s="445"/>
      <c r="O386" s="445"/>
      <c r="P386" s="445"/>
    </row>
    <row r="387" spans="1:16">
      <c r="A387" s="445"/>
      <c r="B387" s="445"/>
      <c r="C387" s="445"/>
      <c r="D387" s="445"/>
      <c r="E387" s="445"/>
      <c r="F387" s="445"/>
      <c r="G387" s="445"/>
      <c r="H387" s="445"/>
      <c r="I387" s="445"/>
      <c r="J387" s="445"/>
      <c r="K387" s="1136"/>
      <c r="L387" s="1136"/>
      <c r="M387" s="445"/>
      <c r="N387" s="445"/>
      <c r="O387" s="445"/>
      <c r="P387" s="445"/>
    </row>
    <row r="388" spans="1:16">
      <c r="A388" s="445"/>
      <c r="B388" s="445"/>
      <c r="C388" s="445"/>
      <c r="D388" s="445"/>
      <c r="E388" s="445"/>
      <c r="F388" s="445"/>
      <c r="G388" s="445"/>
      <c r="H388" s="445"/>
      <c r="I388" s="445"/>
      <c r="J388" s="445"/>
      <c r="K388" s="1136"/>
      <c r="L388" s="1136"/>
      <c r="M388" s="445"/>
      <c r="N388" s="445"/>
      <c r="O388" s="445"/>
      <c r="P388" s="445"/>
    </row>
    <row r="389" spans="1:16">
      <c r="A389" s="445"/>
      <c r="B389" s="445"/>
      <c r="C389" s="445"/>
      <c r="D389" s="445"/>
      <c r="E389" s="445"/>
      <c r="F389" s="445"/>
      <c r="G389" s="445"/>
      <c r="H389" s="445"/>
      <c r="I389" s="445"/>
      <c r="J389" s="445"/>
      <c r="K389" s="1136"/>
      <c r="L389" s="1136"/>
      <c r="M389" s="445"/>
      <c r="N389" s="445"/>
      <c r="O389" s="445"/>
      <c r="P389" s="445"/>
    </row>
    <row r="390" spans="1:16">
      <c r="A390" s="445"/>
      <c r="B390" s="445"/>
      <c r="C390" s="445"/>
      <c r="D390" s="445"/>
      <c r="E390" s="445"/>
      <c r="F390" s="445"/>
      <c r="G390" s="445"/>
      <c r="H390" s="445"/>
      <c r="I390" s="445"/>
      <c r="J390" s="445"/>
      <c r="K390" s="1136"/>
      <c r="L390" s="1136"/>
      <c r="M390" s="445"/>
      <c r="N390" s="445"/>
      <c r="O390" s="445"/>
      <c r="P390" s="445"/>
    </row>
    <row r="391" spans="1:16">
      <c r="A391" s="445"/>
      <c r="B391" s="445"/>
      <c r="C391" s="445"/>
      <c r="D391" s="445"/>
      <c r="E391" s="445"/>
      <c r="F391" s="445"/>
      <c r="G391" s="445"/>
      <c r="H391" s="445"/>
      <c r="I391" s="445"/>
      <c r="J391" s="445"/>
      <c r="K391" s="1136"/>
      <c r="L391" s="1136"/>
      <c r="M391" s="445"/>
      <c r="N391" s="445"/>
      <c r="O391" s="445"/>
      <c r="P391" s="445"/>
    </row>
    <row r="392" spans="1:16">
      <c r="A392" s="445"/>
      <c r="B392" s="445"/>
      <c r="C392" s="445"/>
      <c r="D392" s="445"/>
      <c r="E392" s="445"/>
      <c r="F392" s="445"/>
      <c r="G392" s="445"/>
      <c r="H392" s="445"/>
      <c r="I392" s="445"/>
      <c r="J392" s="445"/>
      <c r="K392" s="1136"/>
      <c r="L392" s="1136"/>
      <c r="M392" s="445"/>
      <c r="N392" s="445"/>
      <c r="O392" s="445"/>
      <c r="P392" s="445"/>
    </row>
    <row r="393" spans="1:16">
      <c r="A393" s="445"/>
      <c r="B393" s="445"/>
      <c r="C393" s="445"/>
      <c r="D393" s="445"/>
      <c r="E393" s="445"/>
      <c r="F393" s="445"/>
      <c r="G393" s="445"/>
      <c r="H393" s="445"/>
      <c r="I393" s="445"/>
      <c r="J393" s="445"/>
      <c r="K393" s="1136"/>
      <c r="L393" s="1136"/>
      <c r="M393" s="445"/>
      <c r="N393" s="445"/>
      <c r="O393" s="445"/>
      <c r="P393" s="445"/>
    </row>
    <row r="394" spans="1:16">
      <c r="A394" s="445"/>
      <c r="B394" s="445"/>
      <c r="C394" s="445"/>
      <c r="D394" s="445"/>
      <c r="E394" s="445"/>
      <c r="F394" s="445"/>
      <c r="G394" s="445"/>
      <c r="H394" s="445"/>
      <c r="I394" s="445"/>
      <c r="J394" s="445"/>
      <c r="K394" s="1136"/>
      <c r="L394" s="1136"/>
      <c r="M394" s="445"/>
      <c r="N394" s="445"/>
      <c r="O394" s="445"/>
      <c r="P394" s="445"/>
    </row>
    <row r="395" spans="1:16">
      <c r="A395" s="445"/>
      <c r="B395" s="445"/>
      <c r="C395" s="445"/>
      <c r="D395" s="445"/>
      <c r="E395" s="445"/>
      <c r="F395" s="445"/>
      <c r="G395" s="445"/>
      <c r="H395" s="445"/>
      <c r="I395" s="445"/>
      <c r="J395" s="445"/>
      <c r="K395" s="1136"/>
      <c r="L395" s="1136"/>
      <c r="M395" s="445"/>
      <c r="N395" s="445"/>
      <c r="O395" s="445"/>
      <c r="P395" s="445"/>
    </row>
    <row r="396" spans="1:16">
      <c r="A396" s="445"/>
      <c r="B396" s="445"/>
      <c r="C396" s="445"/>
      <c r="D396" s="445"/>
      <c r="E396" s="445"/>
      <c r="F396" s="445"/>
      <c r="G396" s="445"/>
      <c r="H396" s="445"/>
      <c r="I396" s="445"/>
      <c r="J396" s="445"/>
      <c r="K396" s="1136"/>
      <c r="L396" s="1136"/>
      <c r="M396" s="445"/>
      <c r="N396" s="445"/>
      <c r="O396" s="445"/>
      <c r="P396" s="445"/>
    </row>
    <row r="397" spans="1:16">
      <c r="A397" s="445"/>
      <c r="B397" s="445"/>
      <c r="C397" s="445"/>
      <c r="D397" s="445"/>
      <c r="E397" s="445"/>
      <c r="F397" s="445"/>
      <c r="G397" s="445"/>
      <c r="H397" s="445"/>
      <c r="I397" s="445"/>
      <c r="J397" s="445"/>
      <c r="K397" s="1136"/>
      <c r="L397" s="1136"/>
      <c r="M397" s="445"/>
      <c r="N397" s="445"/>
      <c r="O397" s="445"/>
      <c r="P397" s="445"/>
    </row>
    <row r="398" spans="1:16">
      <c r="A398" s="445"/>
      <c r="B398" s="445"/>
      <c r="C398" s="445"/>
      <c r="D398" s="445"/>
      <c r="E398" s="445"/>
      <c r="F398" s="445"/>
      <c r="G398" s="445"/>
      <c r="H398" s="445"/>
      <c r="I398" s="445"/>
      <c r="J398" s="445"/>
      <c r="K398" s="1136"/>
      <c r="L398" s="1136"/>
      <c r="M398" s="445"/>
      <c r="N398" s="445"/>
      <c r="O398" s="445"/>
      <c r="P398" s="445"/>
    </row>
    <row r="399" spans="1:16">
      <c r="A399" s="445"/>
      <c r="B399" s="445"/>
      <c r="C399" s="445"/>
      <c r="D399" s="445"/>
      <c r="E399" s="445"/>
      <c r="F399" s="445"/>
      <c r="G399" s="445"/>
      <c r="H399" s="445"/>
      <c r="I399" s="445"/>
      <c r="J399" s="445"/>
      <c r="K399" s="1136"/>
      <c r="L399" s="1136"/>
      <c r="M399" s="445"/>
      <c r="N399" s="445"/>
      <c r="O399" s="445"/>
      <c r="P399" s="445"/>
    </row>
    <row r="400" spans="1:16">
      <c r="A400" s="445"/>
      <c r="B400" s="445"/>
      <c r="C400" s="445"/>
      <c r="D400" s="445"/>
      <c r="E400" s="445"/>
      <c r="F400" s="445"/>
      <c r="G400" s="445"/>
      <c r="H400" s="445"/>
      <c r="I400" s="445"/>
      <c r="J400" s="445"/>
      <c r="K400" s="1136"/>
      <c r="L400" s="1136"/>
      <c r="M400" s="445"/>
      <c r="N400" s="445"/>
      <c r="O400" s="445"/>
      <c r="P400" s="445"/>
    </row>
    <row r="401" spans="1:16">
      <c r="A401" s="445"/>
      <c r="B401" s="445"/>
      <c r="C401" s="445"/>
      <c r="D401" s="445"/>
      <c r="E401" s="445"/>
      <c r="F401" s="445"/>
      <c r="G401" s="445"/>
      <c r="H401" s="445"/>
      <c r="I401" s="445"/>
      <c r="J401" s="445"/>
      <c r="K401" s="1136"/>
      <c r="L401" s="1136"/>
      <c r="M401" s="445"/>
      <c r="N401" s="445"/>
      <c r="O401" s="445"/>
      <c r="P401" s="445"/>
    </row>
    <row r="402" spans="1:16">
      <c r="A402" s="445"/>
      <c r="B402" s="445"/>
      <c r="C402" s="445"/>
      <c r="D402" s="445"/>
      <c r="E402" s="445"/>
      <c r="F402" s="445"/>
      <c r="G402" s="445"/>
      <c r="H402" s="445"/>
      <c r="I402" s="445"/>
      <c r="J402" s="445"/>
      <c r="K402" s="1136"/>
      <c r="L402" s="1136"/>
      <c r="M402" s="445"/>
      <c r="N402" s="445"/>
      <c r="O402" s="445"/>
      <c r="P402" s="445"/>
    </row>
    <row r="403" spans="1:16">
      <c r="A403" s="445"/>
      <c r="B403" s="445"/>
      <c r="C403" s="445"/>
      <c r="D403" s="445"/>
      <c r="E403" s="445"/>
      <c r="F403" s="445"/>
      <c r="G403" s="445"/>
      <c r="H403" s="445"/>
      <c r="I403" s="445"/>
      <c r="J403" s="445"/>
      <c r="K403" s="1136"/>
      <c r="L403" s="1136"/>
      <c r="M403" s="445"/>
      <c r="N403" s="445"/>
      <c r="O403" s="445"/>
      <c r="P403" s="445"/>
    </row>
    <row r="404" spans="1:16">
      <c r="A404" s="445"/>
      <c r="B404" s="445"/>
      <c r="C404" s="445"/>
      <c r="D404" s="445"/>
      <c r="E404" s="445"/>
      <c r="F404" s="445"/>
      <c r="G404" s="445"/>
      <c r="H404" s="445"/>
      <c r="I404" s="445"/>
      <c r="J404" s="445"/>
      <c r="K404" s="1136"/>
      <c r="L404" s="1136"/>
      <c r="M404" s="445"/>
      <c r="N404" s="445"/>
      <c r="O404" s="445"/>
      <c r="P404" s="445"/>
    </row>
    <row r="405" spans="1:16">
      <c r="A405" s="445"/>
      <c r="B405" s="445"/>
      <c r="C405" s="445"/>
      <c r="D405" s="445"/>
      <c r="E405" s="445"/>
      <c r="F405" s="445"/>
      <c r="G405" s="445"/>
      <c r="H405" s="445"/>
      <c r="I405" s="445"/>
      <c r="J405" s="445"/>
      <c r="K405" s="1136"/>
      <c r="L405" s="1136"/>
      <c r="M405" s="445"/>
      <c r="N405" s="445"/>
      <c r="O405" s="445"/>
      <c r="P405" s="445"/>
    </row>
    <row r="406" spans="1:16">
      <c r="A406" s="445"/>
      <c r="B406" s="445"/>
      <c r="C406" s="445"/>
      <c r="D406" s="445"/>
      <c r="E406" s="445"/>
      <c r="F406" s="445"/>
      <c r="G406" s="445"/>
      <c r="H406" s="445"/>
      <c r="I406" s="445"/>
      <c r="J406" s="445"/>
      <c r="K406" s="1136"/>
      <c r="L406" s="1136"/>
      <c r="M406" s="445"/>
      <c r="N406" s="445"/>
      <c r="O406" s="445"/>
      <c r="P406" s="445"/>
    </row>
    <row r="407" spans="1:16">
      <c r="A407" s="445"/>
      <c r="B407" s="445"/>
      <c r="C407" s="445"/>
      <c r="D407" s="445"/>
      <c r="E407" s="445"/>
      <c r="F407" s="445"/>
      <c r="G407" s="445"/>
      <c r="H407" s="445"/>
      <c r="I407" s="445"/>
      <c r="J407" s="445"/>
      <c r="K407" s="1136"/>
      <c r="L407" s="1136"/>
      <c r="M407" s="445"/>
      <c r="N407" s="445"/>
      <c r="O407" s="445"/>
      <c r="P407" s="445"/>
    </row>
    <row r="408" spans="1:16">
      <c r="A408" s="445"/>
      <c r="B408" s="445"/>
      <c r="C408" s="445"/>
      <c r="D408" s="445"/>
      <c r="E408" s="445"/>
      <c r="F408" s="445"/>
      <c r="G408" s="445"/>
      <c r="H408" s="445"/>
      <c r="I408" s="445"/>
      <c r="J408" s="445"/>
      <c r="K408" s="1136"/>
      <c r="L408" s="1136"/>
      <c r="M408" s="445"/>
      <c r="N408" s="445"/>
      <c r="O408" s="445"/>
      <c r="P408" s="445"/>
    </row>
    <row r="409" spans="1:16">
      <c r="A409" s="445"/>
      <c r="B409" s="445"/>
      <c r="C409" s="445"/>
      <c r="D409" s="445"/>
      <c r="E409" s="445"/>
      <c r="F409" s="445"/>
      <c r="G409" s="445"/>
      <c r="H409" s="445"/>
      <c r="I409" s="445"/>
      <c r="J409" s="445"/>
      <c r="K409" s="1136"/>
      <c r="L409" s="1136"/>
      <c r="M409" s="445"/>
      <c r="N409" s="445"/>
      <c r="O409" s="445"/>
      <c r="P409" s="445"/>
    </row>
    <row r="410" spans="1:16">
      <c r="A410" s="445"/>
      <c r="B410" s="445"/>
      <c r="C410" s="445"/>
      <c r="D410" s="445"/>
      <c r="E410" s="445"/>
      <c r="F410" s="445"/>
      <c r="G410" s="445"/>
      <c r="H410" s="445"/>
      <c r="I410" s="445"/>
      <c r="J410" s="445"/>
      <c r="K410" s="1136"/>
      <c r="L410" s="1136"/>
      <c r="M410" s="445"/>
      <c r="N410" s="445"/>
      <c r="O410" s="445"/>
      <c r="P410" s="445"/>
    </row>
    <row r="411" spans="1:16">
      <c r="A411" s="445"/>
      <c r="B411" s="445"/>
      <c r="C411" s="445"/>
      <c r="D411" s="445"/>
      <c r="E411" s="445"/>
      <c r="F411" s="445"/>
      <c r="G411" s="445"/>
      <c r="H411" s="445"/>
      <c r="I411" s="445"/>
      <c r="J411" s="445"/>
      <c r="K411" s="1136"/>
      <c r="L411" s="1136"/>
      <c r="M411" s="445"/>
      <c r="N411" s="445"/>
      <c r="O411" s="445"/>
      <c r="P411" s="445"/>
    </row>
    <row r="412" spans="1:16">
      <c r="A412" s="445"/>
      <c r="B412" s="445"/>
      <c r="C412" s="445"/>
      <c r="D412" s="445"/>
      <c r="E412" s="445"/>
      <c r="F412" s="445"/>
      <c r="G412" s="445"/>
      <c r="H412" s="445"/>
      <c r="I412" s="445"/>
      <c r="J412" s="445"/>
      <c r="K412" s="1136"/>
      <c r="L412" s="1136"/>
      <c r="M412" s="445"/>
      <c r="N412" s="445"/>
      <c r="O412" s="445"/>
      <c r="P412" s="445"/>
    </row>
    <row r="413" spans="1:16">
      <c r="A413" s="445"/>
      <c r="B413" s="445"/>
      <c r="C413" s="445"/>
      <c r="D413" s="445"/>
      <c r="E413" s="445"/>
      <c r="F413" s="445"/>
      <c r="G413" s="445"/>
      <c r="H413" s="445"/>
      <c r="I413" s="445"/>
      <c r="J413" s="445"/>
      <c r="K413" s="1136"/>
      <c r="L413" s="1136"/>
      <c r="M413" s="445"/>
      <c r="N413" s="445"/>
      <c r="O413" s="445"/>
      <c r="P413" s="445"/>
    </row>
    <row r="414" spans="1:16">
      <c r="A414" s="445"/>
      <c r="B414" s="445"/>
      <c r="C414" s="445"/>
      <c r="D414" s="445"/>
      <c r="E414" s="445"/>
      <c r="F414" s="445"/>
      <c r="G414" s="445"/>
      <c r="H414" s="445"/>
      <c r="I414" s="445"/>
      <c r="J414" s="445"/>
      <c r="K414" s="1136"/>
      <c r="L414" s="1136"/>
      <c r="M414" s="445"/>
      <c r="N414" s="445"/>
      <c r="O414" s="445"/>
      <c r="P414" s="445"/>
    </row>
    <row r="415" spans="1:16">
      <c r="A415" s="445"/>
      <c r="B415" s="445"/>
      <c r="C415" s="445"/>
      <c r="D415" s="445"/>
      <c r="E415" s="445"/>
      <c r="F415" s="445"/>
      <c r="G415" s="445"/>
      <c r="H415" s="445"/>
      <c r="I415" s="445"/>
      <c r="J415" s="445"/>
      <c r="K415" s="1136"/>
      <c r="L415" s="1136"/>
      <c r="M415" s="445"/>
      <c r="N415" s="445"/>
      <c r="O415" s="445"/>
      <c r="P415" s="445"/>
    </row>
    <row r="416" spans="1:16">
      <c r="A416" s="445"/>
      <c r="B416" s="445"/>
      <c r="C416" s="445"/>
      <c r="D416" s="445"/>
      <c r="E416" s="445"/>
      <c r="F416" s="445"/>
      <c r="G416" s="445"/>
      <c r="H416" s="445"/>
      <c r="I416" s="445"/>
      <c r="J416" s="445"/>
      <c r="K416" s="1136"/>
      <c r="L416" s="1136"/>
      <c r="M416" s="445"/>
      <c r="N416" s="445"/>
      <c r="O416" s="445"/>
      <c r="P416" s="445"/>
    </row>
    <row r="417" spans="1:16">
      <c r="A417" s="445"/>
      <c r="B417" s="445"/>
      <c r="C417" s="445"/>
      <c r="D417" s="445"/>
      <c r="E417" s="445"/>
      <c r="F417" s="445"/>
      <c r="G417" s="445"/>
      <c r="H417" s="445"/>
      <c r="I417" s="445"/>
      <c r="J417" s="445"/>
      <c r="K417" s="1136"/>
      <c r="L417" s="1136"/>
      <c r="M417" s="445"/>
      <c r="N417" s="445"/>
      <c r="O417" s="445"/>
      <c r="P417" s="445"/>
    </row>
    <row r="418" spans="1:16">
      <c r="A418" s="445"/>
      <c r="B418" s="445"/>
      <c r="C418" s="445"/>
      <c r="D418" s="445"/>
      <c r="E418" s="445"/>
      <c r="F418" s="445"/>
      <c r="G418" s="445"/>
      <c r="H418" s="445"/>
      <c r="I418" s="445"/>
      <c r="J418" s="445"/>
      <c r="K418" s="1136"/>
      <c r="L418" s="1136"/>
      <c r="M418" s="445"/>
      <c r="N418" s="445"/>
      <c r="O418" s="445"/>
      <c r="P418" s="445"/>
    </row>
    <row r="419" spans="1:16">
      <c r="A419" s="445"/>
      <c r="B419" s="445"/>
      <c r="C419" s="445"/>
      <c r="D419" s="445"/>
      <c r="E419" s="445"/>
      <c r="F419" s="445"/>
      <c r="G419" s="445"/>
      <c r="H419" s="445"/>
      <c r="I419" s="445"/>
      <c r="J419" s="445"/>
      <c r="K419" s="1136"/>
      <c r="L419" s="1136"/>
      <c r="M419" s="445"/>
      <c r="N419" s="445"/>
      <c r="O419" s="445"/>
      <c r="P419" s="445"/>
    </row>
    <row r="420" spans="1:16">
      <c r="A420" s="445"/>
      <c r="B420" s="445"/>
      <c r="C420" s="445"/>
      <c r="D420" s="445"/>
      <c r="E420" s="445"/>
      <c r="F420" s="445"/>
      <c r="G420" s="445"/>
      <c r="H420" s="445"/>
      <c r="I420" s="445"/>
      <c r="J420" s="445"/>
      <c r="K420" s="1136"/>
      <c r="L420" s="1136"/>
      <c r="M420" s="445"/>
      <c r="N420" s="445"/>
      <c r="O420" s="445"/>
      <c r="P420" s="445"/>
    </row>
    <row r="421" spans="1:16">
      <c r="A421" s="445"/>
      <c r="B421" s="445"/>
      <c r="C421" s="445"/>
      <c r="D421" s="445"/>
      <c r="E421" s="445"/>
      <c r="F421" s="445"/>
      <c r="G421" s="445"/>
      <c r="H421" s="445"/>
      <c r="I421" s="445"/>
      <c r="J421" s="445"/>
      <c r="K421" s="1136"/>
      <c r="L421" s="1136"/>
      <c r="M421" s="445"/>
      <c r="N421" s="445"/>
      <c r="O421" s="445"/>
      <c r="P421" s="445"/>
    </row>
    <row r="422" spans="1:16">
      <c r="A422" s="445"/>
      <c r="B422" s="445"/>
      <c r="C422" s="445"/>
      <c r="D422" s="445"/>
      <c r="E422" s="445"/>
      <c r="F422" s="445"/>
      <c r="G422" s="445"/>
      <c r="H422" s="445"/>
      <c r="I422" s="445"/>
      <c r="J422" s="445"/>
      <c r="K422" s="1136"/>
      <c r="L422" s="1136"/>
      <c r="M422" s="445"/>
      <c r="N422" s="445"/>
      <c r="O422" s="445"/>
      <c r="P422" s="445"/>
    </row>
    <row r="423" spans="1:16">
      <c r="A423" s="445"/>
      <c r="B423" s="445"/>
      <c r="C423" s="445"/>
      <c r="D423" s="445"/>
      <c r="E423" s="445"/>
      <c r="F423" s="445"/>
      <c r="G423" s="445"/>
      <c r="H423" s="445"/>
      <c r="I423" s="445"/>
      <c r="J423" s="445"/>
      <c r="K423" s="1136"/>
      <c r="L423" s="1136"/>
      <c r="M423" s="445"/>
      <c r="N423" s="445"/>
      <c r="O423" s="445"/>
      <c r="P423" s="445"/>
    </row>
    <row r="424" spans="1:16">
      <c r="A424" s="445"/>
      <c r="B424" s="445"/>
      <c r="C424" s="445"/>
      <c r="D424" s="445"/>
      <c r="E424" s="445"/>
      <c r="F424" s="445"/>
      <c r="G424" s="445"/>
      <c r="H424" s="445"/>
      <c r="I424" s="445"/>
      <c r="J424" s="445"/>
      <c r="K424" s="1136"/>
      <c r="L424" s="1136"/>
      <c r="M424" s="445"/>
      <c r="N424" s="445"/>
      <c r="O424" s="445"/>
      <c r="P424" s="445"/>
    </row>
    <row r="425" spans="1:16">
      <c r="A425" s="445"/>
      <c r="B425" s="445"/>
      <c r="C425" s="445"/>
      <c r="D425" s="445"/>
      <c r="E425" s="445"/>
      <c r="F425" s="445"/>
      <c r="G425" s="445"/>
      <c r="H425" s="445"/>
      <c r="I425" s="445"/>
      <c r="J425" s="445"/>
      <c r="K425" s="1136"/>
      <c r="L425" s="1136"/>
      <c r="M425" s="445"/>
      <c r="N425" s="445"/>
      <c r="O425" s="445"/>
      <c r="P425" s="445"/>
    </row>
    <row r="426" spans="1:16">
      <c r="A426" s="445"/>
      <c r="B426" s="445"/>
      <c r="C426" s="445"/>
      <c r="D426" s="445"/>
      <c r="E426" s="445"/>
      <c r="F426" s="445"/>
      <c r="G426" s="445"/>
      <c r="H426" s="445"/>
      <c r="I426" s="445"/>
      <c r="J426" s="445"/>
      <c r="K426" s="1136"/>
      <c r="L426" s="1136"/>
      <c r="M426" s="445"/>
      <c r="N426" s="445"/>
      <c r="O426" s="445"/>
      <c r="P426" s="445"/>
    </row>
    <row r="427" spans="1:16">
      <c r="A427" s="445"/>
      <c r="B427" s="445"/>
      <c r="C427" s="445"/>
      <c r="D427" s="445"/>
      <c r="E427" s="445"/>
      <c r="F427" s="445"/>
      <c r="G427" s="445"/>
      <c r="H427" s="445"/>
      <c r="I427" s="445"/>
      <c r="J427" s="445"/>
      <c r="K427" s="1136"/>
      <c r="L427" s="1136"/>
      <c r="M427" s="445"/>
      <c r="N427" s="445"/>
      <c r="O427" s="445"/>
      <c r="P427" s="445"/>
    </row>
    <row r="428" spans="1:16">
      <c r="A428" s="445"/>
      <c r="B428" s="445"/>
      <c r="C428" s="445"/>
      <c r="D428" s="445"/>
      <c r="E428" s="445"/>
      <c r="F428" s="445"/>
      <c r="G428" s="445"/>
      <c r="H428" s="445"/>
      <c r="I428" s="445"/>
      <c r="J428" s="445"/>
      <c r="K428" s="1136"/>
      <c r="L428" s="1136"/>
      <c r="M428" s="445"/>
      <c r="N428" s="445"/>
      <c r="O428" s="445"/>
      <c r="P428" s="445"/>
    </row>
    <row r="429" spans="1:16">
      <c r="A429" s="445"/>
      <c r="B429" s="445"/>
      <c r="C429" s="445"/>
      <c r="D429" s="445"/>
      <c r="E429" s="445"/>
      <c r="F429" s="445"/>
      <c r="G429" s="445"/>
      <c r="H429" s="445"/>
      <c r="I429" s="445"/>
      <c r="J429" s="445"/>
      <c r="K429" s="1136"/>
      <c r="L429" s="1136"/>
      <c r="M429" s="445"/>
      <c r="N429" s="445"/>
      <c r="O429" s="445"/>
      <c r="P429" s="445"/>
    </row>
    <row r="430" spans="1:16">
      <c r="A430" s="445"/>
      <c r="B430" s="445"/>
      <c r="C430" s="445"/>
      <c r="D430" s="445"/>
      <c r="E430" s="445"/>
      <c r="F430" s="445"/>
      <c r="G430" s="445"/>
      <c r="H430" s="445"/>
      <c r="I430" s="445"/>
      <c r="J430" s="445"/>
      <c r="K430" s="1136"/>
      <c r="L430" s="1136"/>
      <c r="M430" s="445"/>
      <c r="N430" s="445"/>
      <c r="O430" s="445"/>
      <c r="P430" s="445"/>
    </row>
    <row r="431" spans="1:16">
      <c r="A431" s="445"/>
      <c r="B431" s="445"/>
      <c r="C431" s="445"/>
      <c r="D431" s="445"/>
      <c r="E431" s="445"/>
      <c r="F431" s="445"/>
      <c r="G431" s="445"/>
      <c r="H431" s="445"/>
      <c r="I431" s="445"/>
      <c r="J431" s="445"/>
      <c r="K431" s="1136"/>
      <c r="L431" s="1136"/>
      <c r="M431" s="445"/>
      <c r="N431" s="445"/>
      <c r="O431" s="445"/>
      <c r="P431" s="445"/>
    </row>
    <row r="432" spans="1:16">
      <c r="A432" s="445"/>
      <c r="B432" s="445"/>
      <c r="C432" s="445"/>
      <c r="D432" s="445"/>
      <c r="E432" s="445"/>
      <c r="F432" s="445"/>
      <c r="G432" s="445"/>
      <c r="H432" s="445"/>
      <c r="I432" s="445"/>
      <c r="J432" s="445"/>
      <c r="K432" s="1136"/>
      <c r="L432" s="1136"/>
      <c r="M432" s="445"/>
      <c r="N432" s="445"/>
      <c r="O432" s="445"/>
      <c r="P432" s="445"/>
    </row>
    <row r="433" spans="1:16">
      <c r="A433" s="445"/>
      <c r="B433" s="445"/>
      <c r="C433" s="445"/>
      <c r="D433" s="445"/>
      <c r="E433" s="445"/>
      <c r="F433" s="445"/>
      <c r="G433" s="445"/>
      <c r="H433" s="445"/>
      <c r="I433" s="445"/>
      <c r="J433" s="445"/>
      <c r="K433" s="1136"/>
      <c r="L433" s="1136"/>
      <c r="M433" s="445"/>
      <c r="N433" s="445"/>
      <c r="O433" s="445"/>
      <c r="P433" s="445"/>
    </row>
    <row r="434" spans="1:16">
      <c r="A434" s="445"/>
      <c r="B434" s="445"/>
      <c r="C434" s="445"/>
      <c r="D434" s="445"/>
      <c r="E434" s="445"/>
      <c r="F434" s="445"/>
      <c r="G434" s="445"/>
      <c r="H434" s="445"/>
      <c r="I434" s="445"/>
      <c r="J434" s="445"/>
      <c r="K434" s="1136"/>
      <c r="L434" s="1136"/>
      <c r="M434" s="445"/>
      <c r="N434" s="445"/>
      <c r="O434" s="445"/>
      <c r="P434" s="445"/>
    </row>
    <row r="435" spans="1:16">
      <c r="A435" s="445"/>
      <c r="B435" s="445"/>
      <c r="C435" s="445"/>
      <c r="D435" s="445"/>
      <c r="E435" s="445"/>
      <c r="F435" s="445"/>
      <c r="G435" s="445"/>
      <c r="H435" s="445"/>
      <c r="I435" s="445"/>
      <c r="J435" s="445"/>
      <c r="K435" s="1136"/>
      <c r="L435" s="1136"/>
      <c r="M435" s="445"/>
      <c r="N435" s="445"/>
      <c r="O435" s="445"/>
      <c r="P435" s="445"/>
    </row>
    <row r="436" spans="1:16">
      <c r="A436" s="445"/>
      <c r="B436" s="445"/>
      <c r="C436" s="445"/>
      <c r="D436" s="445"/>
      <c r="E436" s="445"/>
      <c r="F436" s="445"/>
      <c r="G436" s="445"/>
      <c r="H436" s="445"/>
      <c r="I436" s="445"/>
      <c r="J436" s="445"/>
      <c r="K436" s="1136"/>
      <c r="L436" s="1136"/>
      <c r="M436" s="445"/>
      <c r="N436" s="445"/>
      <c r="O436" s="445"/>
      <c r="P436" s="445"/>
    </row>
    <row r="437" spans="1:16">
      <c r="A437" s="445"/>
      <c r="B437" s="445"/>
      <c r="C437" s="445"/>
      <c r="D437" s="445"/>
      <c r="E437" s="445"/>
      <c r="F437" s="445"/>
      <c r="G437" s="445"/>
      <c r="H437" s="445"/>
      <c r="I437" s="445"/>
      <c r="J437" s="445"/>
      <c r="K437" s="1136"/>
      <c r="L437" s="1136"/>
      <c r="M437" s="445"/>
      <c r="N437" s="445"/>
      <c r="O437" s="445"/>
      <c r="P437" s="445"/>
    </row>
    <row r="438" spans="1:16">
      <c r="A438" s="445"/>
      <c r="B438" s="445"/>
      <c r="C438" s="445"/>
      <c r="D438" s="445"/>
      <c r="E438" s="445"/>
      <c r="F438" s="445"/>
      <c r="G438" s="445"/>
      <c r="H438" s="445"/>
      <c r="I438" s="445"/>
      <c r="J438" s="445"/>
      <c r="K438" s="1136"/>
      <c r="L438" s="1136"/>
      <c r="M438" s="445"/>
      <c r="N438" s="445"/>
      <c r="O438" s="445"/>
      <c r="P438" s="445"/>
    </row>
    <row r="439" spans="1:16">
      <c r="A439" s="445"/>
      <c r="B439" s="445"/>
      <c r="C439" s="445"/>
      <c r="D439" s="445"/>
      <c r="E439" s="445"/>
      <c r="F439" s="445"/>
      <c r="G439" s="445"/>
      <c r="H439" s="445"/>
      <c r="I439" s="445"/>
      <c r="J439" s="445"/>
      <c r="K439" s="1136"/>
      <c r="L439" s="1136"/>
      <c r="M439" s="445"/>
      <c r="N439" s="445"/>
      <c r="O439" s="445"/>
      <c r="P439" s="445"/>
    </row>
    <row r="440" spans="1:16">
      <c r="A440" s="445"/>
      <c r="B440" s="445"/>
      <c r="C440" s="445"/>
      <c r="D440" s="445"/>
      <c r="E440" s="445"/>
      <c r="F440" s="445"/>
      <c r="G440" s="445"/>
      <c r="H440" s="445"/>
      <c r="I440" s="445"/>
      <c r="J440" s="445"/>
      <c r="K440" s="1136"/>
      <c r="L440" s="1136"/>
      <c r="M440" s="445"/>
      <c r="N440" s="445"/>
      <c r="O440" s="445"/>
      <c r="P440" s="445"/>
    </row>
    <row r="441" spans="1:16">
      <c r="A441" s="445"/>
      <c r="B441" s="445"/>
      <c r="C441" s="445"/>
      <c r="D441" s="445"/>
      <c r="E441" s="445"/>
      <c r="F441" s="445"/>
      <c r="G441" s="445"/>
      <c r="H441" s="445"/>
      <c r="I441" s="445"/>
      <c r="J441" s="445"/>
      <c r="K441" s="1136"/>
      <c r="L441" s="1136"/>
      <c r="M441" s="445"/>
      <c r="N441" s="445"/>
      <c r="O441" s="445"/>
      <c r="P441" s="445"/>
    </row>
    <row r="442" spans="1:16">
      <c r="A442" s="445"/>
      <c r="B442" s="445"/>
      <c r="C442" s="445"/>
      <c r="D442" s="445"/>
      <c r="E442" s="445"/>
      <c r="F442" s="445"/>
      <c r="G442" s="445"/>
      <c r="H442" s="445"/>
      <c r="I442" s="445"/>
      <c r="J442" s="445"/>
      <c r="K442" s="1136"/>
      <c r="L442" s="1136"/>
      <c r="M442" s="445"/>
      <c r="N442" s="445"/>
      <c r="O442" s="445"/>
      <c r="P442" s="445"/>
    </row>
    <row r="443" spans="1:16">
      <c r="A443" s="445"/>
      <c r="B443" s="445"/>
      <c r="C443" s="445"/>
      <c r="D443" s="445"/>
      <c r="E443" s="445"/>
      <c r="F443" s="445"/>
      <c r="G443" s="445"/>
      <c r="H443" s="445"/>
      <c r="I443" s="445"/>
      <c r="J443" s="445"/>
      <c r="K443" s="1136"/>
      <c r="L443" s="1136"/>
      <c r="M443" s="445"/>
      <c r="N443" s="445"/>
      <c r="O443" s="445"/>
      <c r="P443" s="445"/>
    </row>
    <row r="444" spans="1:16">
      <c r="A444" s="445"/>
      <c r="B444" s="445"/>
      <c r="C444" s="445"/>
      <c r="D444" s="445"/>
      <c r="E444" s="445"/>
      <c r="F444" s="445"/>
      <c r="G444" s="445"/>
      <c r="H444" s="445"/>
      <c r="I444" s="445"/>
      <c r="J444" s="445"/>
      <c r="K444" s="1136"/>
      <c r="L444" s="1136"/>
      <c r="M444" s="445"/>
      <c r="N444" s="445"/>
      <c r="O444" s="445"/>
      <c r="P444" s="445"/>
    </row>
    <row r="445" spans="1:16">
      <c r="A445" s="445"/>
      <c r="B445" s="445"/>
      <c r="C445" s="445"/>
      <c r="D445" s="445"/>
      <c r="E445" s="445"/>
      <c r="F445" s="445"/>
      <c r="G445" s="445"/>
      <c r="H445" s="445"/>
      <c r="I445" s="445"/>
      <c r="J445" s="445"/>
      <c r="K445" s="1136"/>
      <c r="L445" s="1136"/>
      <c r="M445" s="445"/>
      <c r="N445" s="445"/>
      <c r="O445" s="445"/>
      <c r="P445" s="445"/>
    </row>
    <row r="446" spans="1:16">
      <c r="A446" s="445"/>
      <c r="B446" s="445"/>
      <c r="C446" s="445"/>
      <c r="D446" s="445"/>
      <c r="E446" s="445"/>
      <c r="F446" s="445"/>
      <c r="G446" s="445"/>
      <c r="H446" s="445"/>
      <c r="I446" s="445"/>
      <c r="J446" s="445"/>
      <c r="K446" s="1136"/>
      <c r="L446" s="1136"/>
      <c r="M446" s="445"/>
      <c r="N446" s="445"/>
      <c r="O446" s="445"/>
      <c r="P446" s="445"/>
    </row>
    <row r="447" spans="1:16">
      <c r="A447" s="445"/>
      <c r="B447" s="445"/>
      <c r="C447" s="445"/>
      <c r="D447" s="445"/>
      <c r="E447" s="445"/>
      <c r="F447" s="445"/>
      <c r="G447" s="445"/>
      <c r="H447" s="445"/>
      <c r="I447" s="445"/>
      <c r="J447" s="445"/>
      <c r="K447" s="1136"/>
      <c r="L447" s="1136"/>
      <c r="M447" s="445"/>
      <c r="N447" s="445"/>
      <c r="O447" s="445"/>
      <c r="P447" s="445"/>
    </row>
    <row r="448" spans="1:16">
      <c r="A448" s="445"/>
      <c r="B448" s="445"/>
      <c r="C448" s="445"/>
      <c r="D448" s="445"/>
      <c r="E448" s="445"/>
      <c r="F448" s="445"/>
      <c r="G448" s="445"/>
      <c r="H448" s="445"/>
      <c r="I448" s="445"/>
      <c r="J448" s="445"/>
      <c r="K448" s="1136"/>
      <c r="L448" s="1136"/>
      <c r="M448" s="445"/>
      <c r="N448" s="445"/>
      <c r="O448" s="445"/>
      <c r="P448" s="445"/>
    </row>
    <row r="449" spans="1:16">
      <c r="A449" s="445"/>
      <c r="B449" s="445"/>
      <c r="C449" s="445"/>
      <c r="D449" s="445"/>
      <c r="E449" s="445"/>
      <c r="F449" s="445"/>
      <c r="G449" s="445"/>
      <c r="H449" s="445"/>
      <c r="I449" s="445"/>
      <c r="J449" s="445"/>
      <c r="K449" s="1136"/>
      <c r="L449" s="1136"/>
      <c r="M449" s="445"/>
      <c r="N449" s="445"/>
      <c r="O449" s="445"/>
      <c r="P449" s="445"/>
    </row>
    <row r="450" spans="1:16">
      <c r="A450" s="445"/>
      <c r="B450" s="445"/>
      <c r="C450" s="445"/>
      <c r="D450" s="445"/>
      <c r="E450" s="445"/>
      <c r="F450" s="445"/>
      <c r="G450" s="445"/>
      <c r="H450" s="445"/>
      <c r="I450" s="445"/>
      <c r="J450" s="445"/>
      <c r="K450" s="1136"/>
      <c r="L450" s="1136"/>
      <c r="M450" s="445"/>
      <c r="N450" s="445"/>
      <c r="O450" s="445"/>
      <c r="P450" s="445"/>
    </row>
    <row r="451" spans="1:16">
      <c r="A451" s="445"/>
      <c r="B451" s="445"/>
      <c r="C451" s="445"/>
      <c r="D451" s="445"/>
      <c r="E451" s="445"/>
      <c r="F451" s="445"/>
      <c r="G451" s="445"/>
      <c r="H451" s="445"/>
      <c r="I451" s="445"/>
      <c r="J451" s="445"/>
      <c r="K451" s="1136"/>
      <c r="L451" s="1136"/>
      <c r="M451" s="445"/>
      <c r="N451" s="445"/>
      <c r="O451" s="445"/>
      <c r="P451" s="445"/>
    </row>
    <row r="452" spans="1:16">
      <c r="A452" s="445"/>
      <c r="B452" s="445"/>
      <c r="C452" s="445"/>
      <c r="D452" s="445"/>
      <c r="E452" s="445"/>
      <c r="F452" s="445"/>
      <c r="G452" s="445"/>
      <c r="H452" s="445"/>
      <c r="I452" s="445"/>
      <c r="J452" s="445"/>
      <c r="K452" s="1136"/>
      <c r="L452" s="1136"/>
      <c r="M452" s="445"/>
      <c r="N452" s="445"/>
      <c r="O452" s="445"/>
      <c r="P452" s="445"/>
    </row>
    <row r="453" spans="1:16">
      <c r="A453" s="445"/>
      <c r="B453" s="445"/>
      <c r="C453" s="445"/>
      <c r="D453" s="445"/>
      <c r="E453" s="445"/>
      <c r="F453" s="445"/>
      <c r="G453" s="445"/>
      <c r="H453" s="445"/>
      <c r="I453" s="445"/>
      <c r="J453" s="445"/>
      <c r="K453" s="1136"/>
      <c r="L453" s="1136"/>
      <c r="M453" s="445"/>
      <c r="N453" s="445"/>
      <c r="O453" s="445"/>
      <c r="P453" s="445"/>
    </row>
    <row r="454" spans="1:16">
      <c r="A454" s="445"/>
      <c r="B454" s="445"/>
      <c r="C454" s="445"/>
      <c r="D454" s="445"/>
      <c r="E454" s="445"/>
      <c r="F454" s="445"/>
      <c r="G454" s="445"/>
      <c r="H454" s="445"/>
      <c r="I454" s="445"/>
      <c r="J454" s="445"/>
      <c r="K454" s="1136"/>
      <c r="L454" s="1136"/>
      <c r="M454" s="445"/>
      <c r="N454" s="445"/>
      <c r="O454" s="445"/>
      <c r="P454" s="445"/>
    </row>
    <row r="455" spans="1:16">
      <c r="A455" s="445"/>
      <c r="B455" s="445"/>
      <c r="C455" s="445"/>
      <c r="D455" s="445"/>
      <c r="E455" s="445"/>
      <c r="F455" s="445"/>
      <c r="G455" s="445"/>
      <c r="H455" s="445"/>
      <c r="I455" s="445"/>
      <c r="J455" s="445"/>
      <c r="K455" s="1136"/>
      <c r="L455" s="1136"/>
      <c r="M455" s="445"/>
      <c r="N455" s="445"/>
      <c r="O455" s="445"/>
      <c r="P455" s="445"/>
    </row>
    <row r="456" spans="1:16">
      <c r="A456" s="445"/>
      <c r="B456" s="445"/>
      <c r="C456" s="445"/>
      <c r="D456" s="445"/>
      <c r="E456" s="445"/>
      <c r="F456" s="445"/>
      <c r="G456" s="445"/>
      <c r="H456" s="445"/>
      <c r="I456" s="445"/>
      <c r="J456" s="445"/>
      <c r="K456" s="1136"/>
      <c r="L456" s="1136"/>
      <c r="M456" s="445"/>
      <c r="N456" s="445"/>
      <c r="O456" s="445"/>
      <c r="P456" s="445"/>
    </row>
    <row r="457" spans="1:16">
      <c r="A457" s="445"/>
      <c r="B457" s="445"/>
      <c r="C457" s="445"/>
      <c r="D457" s="445"/>
      <c r="E457" s="445"/>
      <c r="F457" s="445"/>
      <c r="G457" s="445"/>
      <c r="H457" s="445"/>
      <c r="I457" s="445"/>
      <c r="J457" s="445"/>
      <c r="K457" s="1136"/>
      <c r="L457" s="1136"/>
      <c r="M457" s="445"/>
      <c r="N457" s="445"/>
      <c r="O457" s="445"/>
      <c r="P457" s="445"/>
    </row>
    <row r="458" spans="1:16">
      <c r="A458" s="445"/>
      <c r="B458" s="445"/>
      <c r="C458" s="445"/>
      <c r="D458" s="445"/>
      <c r="E458" s="445"/>
      <c r="F458" s="445"/>
      <c r="G458" s="445"/>
      <c r="H458" s="445"/>
      <c r="I458" s="445"/>
      <c r="J458" s="445"/>
      <c r="K458" s="1136"/>
      <c r="L458" s="1136"/>
      <c r="M458" s="445"/>
      <c r="N458" s="445"/>
      <c r="O458" s="445"/>
      <c r="P458" s="445"/>
    </row>
    <row r="459" spans="1:16">
      <c r="A459" s="445"/>
      <c r="B459" s="445"/>
      <c r="C459" s="445"/>
      <c r="D459" s="445"/>
      <c r="E459" s="445"/>
      <c r="F459" s="445"/>
      <c r="G459" s="445"/>
      <c r="H459" s="445"/>
      <c r="I459" s="445"/>
      <c r="J459" s="445"/>
      <c r="K459" s="1136"/>
      <c r="L459" s="1136"/>
      <c r="M459" s="445"/>
      <c r="N459" s="445"/>
      <c r="O459" s="445"/>
      <c r="P459" s="445"/>
    </row>
    <row r="460" spans="1:16">
      <c r="A460" s="445"/>
      <c r="B460" s="445"/>
      <c r="C460" s="445"/>
      <c r="D460" s="445"/>
      <c r="E460" s="445"/>
      <c r="F460" s="445"/>
      <c r="G460" s="445"/>
      <c r="H460" s="445"/>
      <c r="I460" s="445"/>
      <c r="J460" s="445"/>
      <c r="K460" s="1136"/>
      <c r="L460" s="1136"/>
      <c r="M460" s="445"/>
      <c r="N460" s="445"/>
      <c r="O460" s="445"/>
      <c r="P460" s="445"/>
    </row>
    <row r="461" spans="1:16">
      <c r="A461" s="445"/>
      <c r="B461" s="445"/>
      <c r="C461" s="445"/>
      <c r="D461" s="445"/>
      <c r="E461" s="445"/>
      <c r="F461" s="445"/>
      <c r="G461" s="445"/>
      <c r="H461" s="445"/>
      <c r="I461" s="445"/>
      <c r="J461" s="445"/>
      <c r="K461" s="1136"/>
      <c r="L461" s="1136"/>
      <c r="M461" s="445"/>
      <c r="N461" s="445"/>
      <c r="O461" s="445"/>
      <c r="P461" s="445"/>
    </row>
    <row r="462" spans="1:16">
      <c r="A462" s="445"/>
      <c r="B462" s="445"/>
      <c r="C462" s="445"/>
      <c r="D462" s="445"/>
      <c r="E462" s="445"/>
      <c r="F462" s="445"/>
      <c r="G462" s="445"/>
      <c r="H462" s="445"/>
      <c r="I462" s="445"/>
      <c r="J462" s="445"/>
      <c r="K462" s="1136"/>
      <c r="L462" s="1136"/>
      <c r="M462" s="445"/>
      <c r="N462" s="445"/>
      <c r="O462" s="445"/>
      <c r="P462" s="445"/>
    </row>
    <row r="463" spans="1:16">
      <c r="A463" s="445"/>
      <c r="B463" s="445"/>
      <c r="C463" s="445"/>
      <c r="D463" s="445"/>
      <c r="E463" s="445"/>
      <c r="F463" s="445"/>
      <c r="G463" s="445"/>
      <c r="H463" s="445"/>
      <c r="I463" s="445"/>
      <c r="J463" s="445"/>
      <c r="K463" s="1136"/>
      <c r="L463" s="1136"/>
      <c r="M463" s="445"/>
      <c r="N463" s="445"/>
      <c r="O463" s="445"/>
      <c r="P463" s="445"/>
    </row>
    <row r="464" spans="1:16">
      <c r="A464" s="445"/>
      <c r="B464" s="445"/>
      <c r="C464" s="445"/>
      <c r="D464" s="445"/>
      <c r="E464" s="445"/>
      <c r="F464" s="445"/>
      <c r="G464" s="445"/>
      <c r="H464" s="445"/>
      <c r="I464" s="445"/>
      <c r="J464" s="445"/>
      <c r="K464" s="1136"/>
      <c r="L464" s="1136"/>
      <c r="M464" s="445"/>
      <c r="N464" s="445"/>
      <c r="O464" s="445"/>
      <c r="P464" s="445"/>
    </row>
    <row r="465" spans="1:16">
      <c r="A465" s="445"/>
      <c r="B465" s="445"/>
      <c r="C465" s="445"/>
      <c r="D465" s="445"/>
      <c r="E465" s="445"/>
      <c r="F465" s="445"/>
      <c r="G465" s="445"/>
      <c r="H465" s="445"/>
      <c r="I465" s="445"/>
      <c r="J465" s="445"/>
      <c r="K465" s="1136"/>
      <c r="L465" s="1136"/>
      <c r="M465" s="445"/>
      <c r="N465" s="445"/>
      <c r="O465" s="445"/>
      <c r="P465" s="445"/>
    </row>
    <row r="466" spans="1:16">
      <c r="A466" s="445"/>
      <c r="B466" s="445"/>
      <c r="C466" s="445"/>
      <c r="D466" s="445"/>
      <c r="E466" s="445"/>
      <c r="F466" s="445"/>
      <c r="G466" s="445"/>
      <c r="H466" s="445"/>
      <c r="I466" s="445"/>
      <c r="J466" s="445"/>
      <c r="K466" s="1136"/>
      <c r="L466" s="1136"/>
      <c r="M466" s="445"/>
      <c r="N466" s="445"/>
      <c r="O466" s="445"/>
      <c r="P466" s="445"/>
    </row>
    <row r="467" spans="1:16">
      <c r="A467" s="445"/>
      <c r="B467" s="445"/>
      <c r="C467" s="445"/>
      <c r="D467" s="445"/>
      <c r="E467" s="445"/>
      <c r="F467" s="445"/>
      <c r="G467" s="445"/>
      <c r="H467" s="445"/>
      <c r="I467" s="445"/>
      <c r="J467" s="445"/>
      <c r="K467" s="1136"/>
      <c r="L467" s="1136"/>
      <c r="M467" s="445"/>
      <c r="N467" s="445"/>
      <c r="O467" s="445"/>
      <c r="P467" s="445"/>
    </row>
    <row r="468" spans="1:16">
      <c r="A468" s="445"/>
      <c r="B468" s="445"/>
      <c r="C468" s="445"/>
      <c r="D468" s="445"/>
      <c r="E468" s="445"/>
      <c r="F468" s="445"/>
      <c r="G468" s="445"/>
      <c r="H468" s="445"/>
      <c r="I468" s="445"/>
      <c r="J468" s="445"/>
      <c r="K468" s="1136"/>
      <c r="L468" s="1136"/>
      <c r="M468" s="445"/>
      <c r="N468" s="445"/>
      <c r="O468" s="445"/>
      <c r="P468" s="445"/>
    </row>
    <row r="469" spans="1:16">
      <c r="A469" s="445"/>
      <c r="B469" s="445"/>
      <c r="C469" s="445"/>
      <c r="D469" s="445"/>
      <c r="E469" s="445"/>
      <c r="F469" s="445"/>
      <c r="G469" s="445"/>
      <c r="H469" s="445"/>
      <c r="I469" s="445"/>
      <c r="J469" s="445"/>
      <c r="K469" s="1136"/>
      <c r="L469" s="1136"/>
      <c r="M469" s="445"/>
      <c r="N469" s="445"/>
      <c r="O469" s="445"/>
      <c r="P469" s="445"/>
    </row>
    <row r="470" spans="1:16">
      <c r="A470" s="445"/>
      <c r="B470" s="445"/>
      <c r="C470" s="445"/>
      <c r="D470" s="445"/>
      <c r="E470" s="445"/>
      <c r="F470" s="445"/>
      <c r="G470" s="445"/>
      <c r="H470" s="445"/>
      <c r="I470" s="445"/>
      <c r="J470" s="445"/>
      <c r="K470" s="1136"/>
      <c r="L470" s="1136"/>
      <c r="M470" s="445"/>
      <c r="N470" s="445"/>
      <c r="O470" s="445"/>
      <c r="P470" s="445"/>
    </row>
    <row r="471" spans="1:16">
      <c r="A471" s="445"/>
      <c r="B471" s="445"/>
      <c r="C471" s="445"/>
      <c r="D471" s="445"/>
      <c r="E471" s="445"/>
      <c r="F471" s="445"/>
      <c r="G471" s="445"/>
      <c r="H471" s="445"/>
      <c r="I471" s="445"/>
      <c r="J471" s="445"/>
      <c r="K471" s="1136"/>
      <c r="L471" s="1136"/>
      <c r="M471" s="445"/>
      <c r="N471" s="445"/>
      <c r="O471" s="445"/>
      <c r="P471" s="445"/>
    </row>
    <row r="472" spans="1:16">
      <c r="A472" s="445"/>
      <c r="B472" s="445"/>
      <c r="C472" s="445"/>
      <c r="D472" s="445"/>
      <c r="E472" s="445"/>
      <c r="F472" s="445"/>
      <c r="G472" s="445"/>
      <c r="H472" s="445"/>
      <c r="I472" s="445"/>
      <c r="J472" s="445"/>
      <c r="K472" s="1136"/>
      <c r="L472" s="1136"/>
      <c r="M472" s="445"/>
      <c r="N472" s="445"/>
      <c r="O472" s="445"/>
      <c r="P472" s="445"/>
    </row>
    <row r="473" spans="1:16">
      <c r="A473" s="445"/>
      <c r="B473" s="445"/>
      <c r="C473" s="445"/>
      <c r="D473" s="445"/>
      <c r="E473" s="445"/>
      <c r="F473" s="445"/>
      <c r="G473" s="445"/>
      <c r="H473" s="445"/>
      <c r="I473" s="445"/>
      <c r="J473" s="445"/>
      <c r="K473" s="1136"/>
      <c r="L473" s="1136"/>
      <c r="M473" s="445"/>
      <c r="N473" s="445"/>
      <c r="O473" s="445"/>
      <c r="P473" s="445"/>
    </row>
    <row r="474" spans="1:16">
      <c r="A474" s="445"/>
      <c r="B474" s="445"/>
      <c r="C474" s="445"/>
      <c r="D474" s="445"/>
      <c r="E474" s="445"/>
      <c r="F474" s="445"/>
      <c r="G474" s="445"/>
      <c r="H474" s="445"/>
      <c r="I474" s="445"/>
      <c r="J474" s="445"/>
      <c r="K474" s="1136"/>
      <c r="L474" s="1136"/>
      <c r="M474" s="445"/>
      <c r="N474" s="445"/>
      <c r="O474" s="445"/>
      <c r="P474" s="445"/>
    </row>
    <row r="475" spans="1:16">
      <c r="A475" s="445"/>
      <c r="B475" s="445"/>
      <c r="C475" s="445"/>
      <c r="D475" s="445"/>
      <c r="E475" s="445"/>
      <c r="F475" s="445"/>
      <c r="G475" s="445"/>
      <c r="H475" s="445"/>
      <c r="I475" s="445"/>
      <c r="J475" s="445"/>
      <c r="K475" s="1136"/>
      <c r="L475" s="1136"/>
      <c r="M475" s="445"/>
      <c r="N475" s="445"/>
      <c r="O475" s="445"/>
      <c r="P475" s="445"/>
    </row>
    <row r="476" spans="1:16">
      <c r="A476" s="445"/>
      <c r="B476" s="445"/>
      <c r="C476" s="445"/>
      <c r="D476" s="445"/>
      <c r="E476" s="445"/>
      <c r="F476" s="445"/>
      <c r="G476" s="445"/>
      <c r="H476" s="445"/>
      <c r="I476" s="445"/>
      <c r="J476" s="445"/>
      <c r="K476" s="1136"/>
      <c r="L476" s="1136"/>
      <c r="M476" s="445"/>
      <c r="N476" s="445"/>
      <c r="O476" s="445"/>
      <c r="P476" s="445"/>
    </row>
    <row r="477" spans="1:16">
      <c r="A477" s="445"/>
      <c r="B477" s="445"/>
      <c r="C477" s="445"/>
      <c r="D477" s="445"/>
      <c r="E477" s="445"/>
      <c r="F477" s="445"/>
      <c r="G477" s="445"/>
      <c r="H477" s="445"/>
      <c r="I477" s="445"/>
      <c r="J477" s="445"/>
      <c r="K477" s="1136"/>
      <c r="L477" s="1136"/>
      <c r="M477" s="445"/>
      <c r="N477" s="445"/>
      <c r="O477" s="445"/>
      <c r="P477" s="445"/>
    </row>
    <row r="478" spans="1:16">
      <c r="A478" s="445"/>
      <c r="B478" s="445"/>
      <c r="C478" s="445"/>
      <c r="D478" s="445"/>
      <c r="E478" s="445"/>
      <c r="F478" s="445"/>
      <c r="G478" s="445"/>
      <c r="H478" s="445"/>
      <c r="I478" s="445"/>
      <c r="J478" s="445"/>
      <c r="K478" s="1136"/>
      <c r="L478" s="1136"/>
      <c r="M478" s="445"/>
      <c r="N478" s="445"/>
      <c r="O478" s="445"/>
      <c r="P478" s="445"/>
    </row>
  </sheetData>
  <mergeCells count="4">
    <mergeCell ref="A5:E5"/>
    <mergeCell ref="F5:J5"/>
    <mergeCell ref="K5:M5"/>
    <mergeCell ref="N5:P5"/>
  </mergeCells>
  <printOptions horizontalCentered="1"/>
  <pageMargins left="0.19685039370078741" right="0.19685039370078741" top="0.78740157480314965" bottom="0.78740157480314965" header="0.19685039370078741" footer="0.19685039370078741"/>
  <pageSetup paperSize="9" scale="64" fitToHeight="100" orientation="landscape" r:id="rId1"/>
  <headerFooter>
    <oddHeader>&amp;C&amp;"Arial,Negrita"&amp;20PROYECTO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002060"/>
    <pageSetUpPr fitToPage="1"/>
  </sheetPr>
  <dimension ref="A1:V478"/>
  <sheetViews>
    <sheetView view="pageBreakPreview" zoomScaleNormal="100" zoomScaleSheetLayoutView="100" workbookViewId="0">
      <selection activeCell="B8" sqref="B8"/>
    </sheetView>
  </sheetViews>
  <sheetFormatPr baseColWidth="10" defaultColWidth="11.42578125" defaultRowHeight="12"/>
  <cols>
    <col min="1" max="1" width="13.140625" style="265" customWidth="1"/>
    <col min="2" max="2" width="9.140625" style="265" customWidth="1"/>
    <col min="3" max="3" width="10.140625" style="265" customWidth="1"/>
    <col min="4" max="4" width="20.7109375" style="265" customWidth="1"/>
    <col min="5" max="5" width="10.7109375" style="265" customWidth="1"/>
    <col min="6" max="6" width="10" style="265" bestFit="1" customWidth="1"/>
    <col min="7" max="7" width="35.7109375" style="265" customWidth="1"/>
    <col min="8" max="8" width="20.7109375" style="265" customWidth="1"/>
    <col min="9" max="9" width="35.7109375" style="265" customWidth="1"/>
    <col min="10" max="10" width="20.7109375" style="265" customWidth="1"/>
    <col min="11" max="11" width="7.7109375" style="276" bestFit="1" customWidth="1"/>
    <col min="12" max="12" width="5.42578125" style="276" bestFit="1" customWidth="1"/>
    <col min="13" max="13" width="7.42578125" style="265" bestFit="1" customWidth="1"/>
    <col min="14" max="14" width="7.7109375" style="265" bestFit="1" customWidth="1"/>
    <col min="15" max="15" width="5.42578125" style="265" bestFit="1" customWidth="1"/>
    <col min="16" max="16" width="8.85546875" style="265" bestFit="1" customWidth="1"/>
    <col min="17" max="16384" width="11.42578125" style="265"/>
  </cols>
  <sheetData>
    <row r="1" spans="1:22" s="275" customFormat="1">
      <c r="A1" s="275" t="s">
        <v>473</v>
      </c>
    </row>
    <row r="2" spans="1:22" s="264" customFormat="1">
      <c r="A2" s="69" t="s">
        <v>1655</v>
      </c>
      <c r="B2" s="69"/>
      <c r="C2" s="69"/>
      <c r="D2" s="69"/>
      <c r="E2" s="69"/>
      <c r="F2" s="69"/>
      <c r="G2" s="69"/>
      <c r="H2" s="69"/>
      <c r="I2" s="69"/>
      <c r="J2" s="69"/>
      <c r="K2" s="69"/>
      <c r="L2" s="69"/>
      <c r="M2" s="69"/>
      <c r="N2" s="69"/>
      <c r="O2" s="69"/>
      <c r="P2" s="69"/>
      <c r="Q2" s="69"/>
      <c r="R2" s="69"/>
      <c r="S2" s="69"/>
      <c r="T2" s="69"/>
      <c r="U2" s="69"/>
      <c r="V2" s="69"/>
    </row>
    <row r="3" spans="1:22" s="264" customFormat="1">
      <c r="A3" s="742" t="s">
        <v>1654</v>
      </c>
      <c r="B3" s="69"/>
      <c r="C3" s="69"/>
      <c r="D3" s="69"/>
      <c r="E3" s="69"/>
      <c r="F3" s="69"/>
      <c r="G3" s="69"/>
      <c r="H3" s="69"/>
      <c r="I3" s="69"/>
      <c r="J3" s="69"/>
      <c r="K3" s="69"/>
      <c r="L3" s="69"/>
      <c r="M3" s="69"/>
      <c r="N3" s="69"/>
      <c r="O3" s="69"/>
      <c r="P3" s="69"/>
      <c r="Q3" s="69"/>
      <c r="R3" s="69"/>
      <c r="S3" s="69"/>
      <c r="T3" s="69"/>
      <c r="U3" s="69"/>
      <c r="V3" s="69"/>
    </row>
    <row r="4" spans="1:22" ht="12.75" thickBot="1">
      <c r="A4" s="742" t="s">
        <v>4664</v>
      </c>
    </row>
    <row r="5" spans="1:22" s="277" customFormat="1" ht="12.75" thickBot="1">
      <c r="A5" s="2024" t="s">
        <v>131</v>
      </c>
      <c r="B5" s="2069"/>
      <c r="C5" s="2069"/>
      <c r="D5" s="2069"/>
      <c r="E5" s="2025"/>
      <c r="F5" s="2070" t="s">
        <v>132</v>
      </c>
      <c r="G5" s="2071"/>
      <c r="H5" s="2072"/>
      <c r="I5" s="2072"/>
      <c r="J5" s="2073"/>
      <c r="K5" s="2074" t="s">
        <v>1652</v>
      </c>
      <c r="L5" s="2075"/>
      <c r="M5" s="2076"/>
      <c r="N5" s="2074" t="s">
        <v>1651</v>
      </c>
      <c r="O5" s="2075"/>
      <c r="P5" s="2076"/>
    </row>
    <row r="6" spans="1:22" s="278" customFormat="1" ht="78" thickBot="1">
      <c r="A6" s="401" t="s">
        <v>94</v>
      </c>
      <c r="B6" s="139" t="s">
        <v>8</v>
      </c>
      <c r="C6" s="139" t="s">
        <v>91</v>
      </c>
      <c r="D6" s="402" t="s">
        <v>95</v>
      </c>
      <c r="E6" s="404" t="s">
        <v>115</v>
      </c>
      <c r="F6" s="401" t="s">
        <v>119</v>
      </c>
      <c r="G6" s="402" t="s">
        <v>120</v>
      </c>
      <c r="H6" s="402" t="s">
        <v>134</v>
      </c>
      <c r="I6" s="139" t="s">
        <v>135</v>
      </c>
      <c r="J6" s="400" t="s">
        <v>124</v>
      </c>
      <c r="K6" s="443" t="s">
        <v>121</v>
      </c>
      <c r="L6" s="140" t="s">
        <v>122</v>
      </c>
      <c r="M6" s="141" t="s">
        <v>123</v>
      </c>
      <c r="N6" s="443" t="s">
        <v>121</v>
      </c>
      <c r="O6" s="140" t="s">
        <v>122</v>
      </c>
      <c r="P6" s="141" t="s">
        <v>123</v>
      </c>
    </row>
    <row r="7" spans="1:22">
      <c r="A7" s="1409" t="s">
        <v>4551</v>
      </c>
      <c r="B7" s="1276" t="s">
        <v>1880</v>
      </c>
      <c r="C7" s="1276" t="s">
        <v>504</v>
      </c>
      <c r="D7" s="1410" t="s">
        <v>4632</v>
      </c>
      <c r="E7" s="1411">
        <v>3200</v>
      </c>
      <c r="F7" s="1412" t="s">
        <v>4663</v>
      </c>
      <c r="G7" s="1413" t="s">
        <v>4662</v>
      </c>
      <c r="H7" s="1410"/>
      <c r="I7" s="1410"/>
      <c r="J7" s="1414" t="s">
        <v>4632</v>
      </c>
      <c r="K7" s="1415">
        <v>1</v>
      </c>
      <c r="L7" s="1416">
        <v>8</v>
      </c>
      <c r="M7" s="1417">
        <f>3200*8</f>
        <v>25600</v>
      </c>
      <c r="N7" s="1415"/>
      <c r="O7" s="1416"/>
      <c r="P7" s="1417"/>
    </row>
    <row r="8" spans="1:22">
      <c r="A8" s="1245" t="s">
        <v>4551</v>
      </c>
      <c r="B8" s="1191" t="s">
        <v>1880</v>
      </c>
      <c r="C8" s="1191" t="s">
        <v>504</v>
      </c>
      <c r="D8" s="1200" t="s">
        <v>4619</v>
      </c>
      <c r="E8" s="1419">
        <v>3200</v>
      </c>
      <c r="F8" s="1420" t="s">
        <v>4661</v>
      </c>
      <c r="G8" s="1421" t="s">
        <v>4660</v>
      </c>
      <c r="H8" s="1418"/>
      <c r="I8" s="1418"/>
      <c r="J8" s="1422" t="s">
        <v>4587</v>
      </c>
      <c r="K8" s="1423">
        <v>1</v>
      </c>
      <c r="L8" s="1424">
        <v>12</v>
      </c>
      <c r="M8" s="1425">
        <f>3200*12</f>
        <v>38400</v>
      </c>
      <c r="N8" s="1423">
        <v>1</v>
      </c>
      <c r="O8" s="1424">
        <v>12</v>
      </c>
      <c r="P8" s="1425">
        <f>3200*12</f>
        <v>38400</v>
      </c>
    </row>
    <row r="9" spans="1:22">
      <c r="A9" s="1245" t="s">
        <v>4551</v>
      </c>
      <c r="B9" s="1191" t="s">
        <v>1880</v>
      </c>
      <c r="C9" s="1191" t="s">
        <v>504</v>
      </c>
      <c r="D9" s="1200" t="s">
        <v>4576</v>
      </c>
      <c r="E9" s="1426">
        <v>5000</v>
      </c>
      <c r="F9" s="1427" t="s">
        <v>4659</v>
      </c>
      <c r="G9" s="1428" t="s">
        <v>4658</v>
      </c>
      <c r="H9" s="1200" t="s">
        <v>4574</v>
      </c>
      <c r="I9" s="1200" t="s">
        <v>4573</v>
      </c>
      <c r="J9" s="1429"/>
      <c r="K9" s="1430"/>
      <c r="L9" s="1431"/>
      <c r="M9" s="1432"/>
      <c r="N9" s="1430"/>
      <c r="O9" s="1431"/>
      <c r="P9" s="1432"/>
    </row>
    <row r="10" spans="1:22" ht="24">
      <c r="A10" s="1245" t="s">
        <v>4551</v>
      </c>
      <c r="B10" s="1191" t="s">
        <v>1880</v>
      </c>
      <c r="C10" s="1191" t="s">
        <v>504</v>
      </c>
      <c r="D10" s="1200" t="s">
        <v>4657</v>
      </c>
      <c r="E10" s="1426">
        <v>3200</v>
      </c>
      <c r="F10" s="1433" t="s">
        <v>4656</v>
      </c>
      <c r="G10" s="1428" t="s">
        <v>4655</v>
      </c>
      <c r="H10" s="1200" t="s">
        <v>4595</v>
      </c>
      <c r="I10" s="1200" t="s">
        <v>4573</v>
      </c>
      <c r="J10" s="1429"/>
      <c r="K10" s="1430">
        <v>1</v>
      </c>
      <c r="L10" s="1431">
        <v>12</v>
      </c>
      <c r="M10" s="1432">
        <f>3200*12</f>
        <v>38400</v>
      </c>
      <c r="N10" s="1430">
        <v>1</v>
      </c>
      <c r="O10" s="1431">
        <v>12</v>
      </c>
      <c r="P10" s="1432">
        <f>3200*12</f>
        <v>38400</v>
      </c>
    </row>
    <row r="11" spans="1:22" ht="24">
      <c r="A11" s="1245" t="s">
        <v>4551</v>
      </c>
      <c r="B11" s="1191" t="s">
        <v>1880</v>
      </c>
      <c r="C11" s="1191" t="s">
        <v>504</v>
      </c>
      <c r="D11" s="1200" t="s">
        <v>4654</v>
      </c>
      <c r="E11" s="1426">
        <v>3200</v>
      </c>
      <c r="F11" s="1427" t="s">
        <v>4653</v>
      </c>
      <c r="G11" s="1428" t="s">
        <v>4652</v>
      </c>
      <c r="H11" s="1200" t="s">
        <v>4561</v>
      </c>
      <c r="I11" s="1200" t="s">
        <v>4560</v>
      </c>
      <c r="J11" s="1429"/>
      <c r="K11" s="1430">
        <v>1</v>
      </c>
      <c r="L11" s="1431">
        <v>12</v>
      </c>
      <c r="M11" s="1432">
        <f>3200*12</f>
        <v>38400</v>
      </c>
      <c r="N11" s="1430">
        <v>1</v>
      </c>
      <c r="O11" s="1431">
        <v>12</v>
      </c>
      <c r="P11" s="1432">
        <f>3200*12</f>
        <v>38400</v>
      </c>
    </row>
    <row r="12" spans="1:22">
      <c r="A12" s="1245" t="s">
        <v>4551</v>
      </c>
      <c r="B12" s="1191" t="s">
        <v>1880</v>
      </c>
      <c r="C12" s="1191" t="s">
        <v>504</v>
      </c>
      <c r="D12" s="1200" t="s">
        <v>4549</v>
      </c>
      <c r="E12" s="1426">
        <v>1800</v>
      </c>
      <c r="F12" s="1427" t="s">
        <v>4651</v>
      </c>
      <c r="G12" s="1428" t="s">
        <v>4650</v>
      </c>
      <c r="H12" s="1200"/>
      <c r="I12" s="1200"/>
      <c r="J12" s="1429" t="s">
        <v>4649</v>
      </c>
      <c r="K12" s="1430">
        <v>1</v>
      </c>
      <c r="L12" s="1431">
        <v>12</v>
      </c>
      <c r="M12" s="1432">
        <f>1800*12</f>
        <v>21600</v>
      </c>
      <c r="N12" s="1430">
        <v>1</v>
      </c>
      <c r="O12" s="1431">
        <v>12</v>
      </c>
      <c r="P12" s="1432">
        <f>1800*12</f>
        <v>21600</v>
      </c>
    </row>
    <row r="13" spans="1:22" ht="24">
      <c r="A13" s="1245" t="s">
        <v>4551</v>
      </c>
      <c r="B13" s="1191" t="s">
        <v>1880</v>
      </c>
      <c r="C13" s="1191" t="s">
        <v>504</v>
      </c>
      <c r="D13" s="1200" t="s">
        <v>4648</v>
      </c>
      <c r="E13" s="1426">
        <v>3200</v>
      </c>
      <c r="F13" s="1427" t="s">
        <v>4647</v>
      </c>
      <c r="G13" s="1428" t="s">
        <v>4646</v>
      </c>
      <c r="H13" s="1200"/>
      <c r="I13" s="1200"/>
      <c r="J13" s="1429" t="s">
        <v>4645</v>
      </c>
      <c r="K13" s="1430">
        <v>1</v>
      </c>
      <c r="L13" s="1431">
        <v>12</v>
      </c>
      <c r="M13" s="1432">
        <f>3200*12</f>
        <v>38400</v>
      </c>
      <c r="N13" s="1430">
        <v>1</v>
      </c>
      <c r="O13" s="1431">
        <v>12</v>
      </c>
      <c r="P13" s="1432">
        <f>3200*12</f>
        <v>38400</v>
      </c>
    </row>
    <row r="14" spans="1:22" ht="24">
      <c r="A14" s="1245" t="s">
        <v>4551</v>
      </c>
      <c r="B14" s="1191" t="s">
        <v>1880</v>
      </c>
      <c r="C14" s="1191" t="s">
        <v>504</v>
      </c>
      <c r="D14" s="1200" t="s">
        <v>4644</v>
      </c>
      <c r="E14" s="1426">
        <v>3200</v>
      </c>
      <c r="F14" s="1427" t="s">
        <v>4643</v>
      </c>
      <c r="G14" s="1428" t="s">
        <v>4642</v>
      </c>
      <c r="H14" s="1200"/>
      <c r="I14" s="1200"/>
      <c r="J14" s="1429" t="s">
        <v>4641</v>
      </c>
      <c r="K14" s="1430">
        <v>1</v>
      </c>
      <c r="L14" s="1431">
        <v>12</v>
      </c>
      <c r="M14" s="1432">
        <f>3200*12</f>
        <v>38400</v>
      </c>
      <c r="N14" s="1430">
        <v>1</v>
      </c>
      <c r="O14" s="1431">
        <v>12</v>
      </c>
      <c r="P14" s="1432">
        <f>3200*12</f>
        <v>38400</v>
      </c>
    </row>
    <row r="15" spans="1:22">
      <c r="A15" s="1245" t="s">
        <v>4551</v>
      </c>
      <c r="B15" s="1191" t="s">
        <v>1880</v>
      </c>
      <c r="C15" s="1191" t="s">
        <v>504</v>
      </c>
      <c r="D15" s="1200" t="s">
        <v>4619</v>
      </c>
      <c r="E15" s="1426">
        <v>2500</v>
      </c>
      <c r="F15" s="1427" t="s">
        <v>4640</v>
      </c>
      <c r="G15" s="1428" t="s">
        <v>4639</v>
      </c>
      <c r="H15" s="1200" t="s">
        <v>4561</v>
      </c>
      <c r="I15" s="1200" t="s">
        <v>4560</v>
      </c>
      <c r="J15" s="1429"/>
      <c r="K15" s="1430">
        <v>1</v>
      </c>
      <c r="L15" s="1431">
        <v>4</v>
      </c>
      <c r="M15" s="1432">
        <f>2500*4</f>
        <v>10000</v>
      </c>
      <c r="N15" s="1430"/>
      <c r="O15" s="1431"/>
      <c r="P15" s="1432"/>
    </row>
    <row r="16" spans="1:22">
      <c r="A16" s="1245" t="s">
        <v>4551</v>
      </c>
      <c r="B16" s="1191" t="s">
        <v>1880</v>
      </c>
      <c r="C16" s="1191" t="s">
        <v>504</v>
      </c>
      <c r="D16" s="1200" t="s">
        <v>4572</v>
      </c>
      <c r="E16" s="1426">
        <v>3000</v>
      </c>
      <c r="F16" s="1427" t="s">
        <v>4638</v>
      </c>
      <c r="G16" s="1428" t="s">
        <v>4637</v>
      </c>
      <c r="H16" s="1200" t="s">
        <v>4590</v>
      </c>
      <c r="I16" s="1200" t="s">
        <v>4636</v>
      </c>
      <c r="J16" s="1429"/>
      <c r="K16" s="1430">
        <v>1</v>
      </c>
      <c r="L16" s="1431">
        <v>2</v>
      </c>
      <c r="M16" s="1432">
        <f>2500*2</f>
        <v>5000</v>
      </c>
      <c r="N16" s="1430"/>
      <c r="O16" s="1431"/>
      <c r="P16" s="1432"/>
    </row>
    <row r="17" spans="1:16" ht="24">
      <c r="A17" s="1245" t="s">
        <v>4551</v>
      </c>
      <c r="B17" s="1191" t="s">
        <v>1880</v>
      </c>
      <c r="C17" s="1191" t="s">
        <v>504</v>
      </c>
      <c r="D17" s="1200" t="s">
        <v>4635</v>
      </c>
      <c r="E17" s="1426">
        <v>3200</v>
      </c>
      <c r="F17" s="1427" t="s">
        <v>4634</v>
      </c>
      <c r="G17" s="1428" t="s">
        <v>4633</v>
      </c>
      <c r="H17" s="1200"/>
      <c r="I17" s="1200"/>
      <c r="J17" s="1429" t="s">
        <v>4632</v>
      </c>
      <c r="K17" s="1430">
        <v>1</v>
      </c>
      <c r="L17" s="1431">
        <v>12</v>
      </c>
      <c r="M17" s="1432">
        <f>3200*12</f>
        <v>38400</v>
      </c>
      <c r="N17" s="1430">
        <v>1</v>
      </c>
      <c r="O17" s="1431">
        <v>12</v>
      </c>
      <c r="P17" s="1432">
        <f>3200*12</f>
        <v>38400</v>
      </c>
    </row>
    <row r="18" spans="1:16">
      <c r="A18" s="1245" t="s">
        <v>4551</v>
      </c>
      <c r="B18" s="1191" t="s">
        <v>1880</v>
      </c>
      <c r="C18" s="1191" t="s">
        <v>504</v>
      </c>
      <c r="D18" s="1200" t="s">
        <v>4631</v>
      </c>
      <c r="E18" s="1426">
        <v>5500</v>
      </c>
      <c r="F18" s="1433" t="s">
        <v>4630</v>
      </c>
      <c r="G18" s="1428" t="s">
        <v>4629</v>
      </c>
      <c r="H18" s="1200" t="s">
        <v>4616</v>
      </c>
      <c r="I18" s="1200" t="s">
        <v>4628</v>
      </c>
      <c r="J18" s="1429"/>
      <c r="K18" s="1430">
        <v>1</v>
      </c>
      <c r="L18" s="1431">
        <v>12</v>
      </c>
      <c r="M18" s="1432">
        <f>5500*12</f>
        <v>66000</v>
      </c>
      <c r="N18" s="1430">
        <v>1</v>
      </c>
      <c r="O18" s="1431">
        <v>0</v>
      </c>
      <c r="P18" s="1432">
        <v>5500</v>
      </c>
    </row>
    <row r="19" spans="1:16" ht="24">
      <c r="A19" s="1245" t="s">
        <v>4551</v>
      </c>
      <c r="B19" s="1191" t="s">
        <v>1880</v>
      </c>
      <c r="C19" s="1191" t="s">
        <v>504</v>
      </c>
      <c r="D19" s="1200" t="s">
        <v>4627</v>
      </c>
      <c r="E19" s="1426">
        <v>7700</v>
      </c>
      <c r="F19" s="1434" t="s">
        <v>4626</v>
      </c>
      <c r="G19" s="1428" t="s">
        <v>4625</v>
      </c>
      <c r="H19" s="1200" t="s">
        <v>4624</v>
      </c>
      <c r="I19" s="1200" t="s">
        <v>4623</v>
      </c>
      <c r="J19" s="1429"/>
      <c r="K19" s="1430">
        <v>1</v>
      </c>
      <c r="L19" s="1431">
        <v>12</v>
      </c>
      <c r="M19" s="1432">
        <f>7700*12</f>
        <v>92400</v>
      </c>
      <c r="N19" s="1430">
        <v>1</v>
      </c>
      <c r="O19" s="1431">
        <v>12</v>
      </c>
      <c r="P19" s="1432">
        <f>7700*12</f>
        <v>92400</v>
      </c>
    </row>
    <row r="20" spans="1:16">
      <c r="A20" s="1245" t="s">
        <v>4551</v>
      </c>
      <c r="B20" s="1191" t="s">
        <v>1880</v>
      </c>
      <c r="C20" s="1191" t="s">
        <v>504</v>
      </c>
      <c r="D20" s="1200" t="s">
        <v>4622</v>
      </c>
      <c r="E20" s="1426">
        <v>3200</v>
      </c>
      <c r="F20" s="1433" t="s">
        <v>4621</v>
      </c>
      <c r="G20" s="1428" t="s">
        <v>4620</v>
      </c>
      <c r="H20" s="1200" t="s">
        <v>4616</v>
      </c>
      <c r="I20" s="1200" t="s">
        <v>4573</v>
      </c>
      <c r="J20" s="1429"/>
      <c r="K20" s="1430">
        <v>1</v>
      </c>
      <c r="L20" s="1431">
        <v>12</v>
      </c>
      <c r="M20" s="1432">
        <f>3200*12</f>
        <v>38400</v>
      </c>
      <c r="N20" s="1430">
        <v>1</v>
      </c>
      <c r="O20" s="1431">
        <v>12</v>
      </c>
      <c r="P20" s="1432">
        <f>3200*12</f>
        <v>38400</v>
      </c>
    </row>
    <row r="21" spans="1:16">
      <c r="A21" s="1245" t="s">
        <v>4551</v>
      </c>
      <c r="B21" s="1191" t="s">
        <v>1880</v>
      </c>
      <c r="C21" s="1191" t="s">
        <v>504</v>
      </c>
      <c r="D21" s="1200" t="s">
        <v>4552</v>
      </c>
      <c r="E21" s="1426">
        <v>1800</v>
      </c>
      <c r="F21" s="1245">
        <v>40413591</v>
      </c>
      <c r="G21" s="1428" t="s">
        <v>4588</v>
      </c>
      <c r="H21" s="1200"/>
      <c r="I21" s="1200"/>
      <c r="J21" s="1429" t="s">
        <v>4587</v>
      </c>
      <c r="K21" s="1430">
        <v>1</v>
      </c>
      <c r="L21" s="1431">
        <v>3</v>
      </c>
      <c r="M21" s="1432">
        <f>1800*3</f>
        <v>5400</v>
      </c>
      <c r="N21" s="1430"/>
      <c r="O21" s="1431"/>
      <c r="P21" s="1432"/>
    </row>
    <row r="22" spans="1:16">
      <c r="A22" s="1245" t="s">
        <v>4551</v>
      </c>
      <c r="B22" s="1191" t="s">
        <v>1880</v>
      </c>
      <c r="C22" s="1191" t="s">
        <v>504</v>
      </c>
      <c r="D22" s="1200" t="s">
        <v>4619</v>
      </c>
      <c r="E22" s="1426">
        <v>3200</v>
      </c>
      <c r="F22" s="1433" t="s">
        <v>4618</v>
      </c>
      <c r="G22" s="1428" t="s">
        <v>4617</v>
      </c>
      <c r="H22" s="1200" t="s">
        <v>4616</v>
      </c>
      <c r="I22" s="1200" t="s">
        <v>4573</v>
      </c>
      <c r="J22" s="1429"/>
      <c r="K22" s="1430">
        <v>1</v>
      </c>
      <c r="L22" s="1431">
        <v>12</v>
      </c>
      <c r="M22" s="1432">
        <f>3200*3</f>
        <v>9600</v>
      </c>
      <c r="N22" s="1430">
        <v>1</v>
      </c>
      <c r="O22" s="1431">
        <v>12</v>
      </c>
      <c r="P22" s="1432">
        <f>3200*12</f>
        <v>38400</v>
      </c>
    </row>
    <row r="23" spans="1:16">
      <c r="A23" s="1245" t="s">
        <v>4551</v>
      </c>
      <c r="B23" s="1191" t="s">
        <v>1880</v>
      </c>
      <c r="C23" s="1191" t="s">
        <v>504</v>
      </c>
      <c r="D23" s="1200" t="s">
        <v>4615</v>
      </c>
      <c r="E23" s="1426">
        <v>7200</v>
      </c>
      <c r="F23" s="1433" t="s">
        <v>4614</v>
      </c>
      <c r="G23" s="1428" t="s">
        <v>4613</v>
      </c>
      <c r="H23" s="1200" t="s">
        <v>4595</v>
      </c>
      <c r="I23" s="1200" t="s">
        <v>4594</v>
      </c>
      <c r="J23" s="1429"/>
      <c r="K23" s="1430">
        <v>1</v>
      </c>
      <c r="L23" s="1431">
        <v>12</v>
      </c>
      <c r="M23" s="1432">
        <f>7200*12</f>
        <v>86400</v>
      </c>
      <c r="N23" s="1430">
        <v>1</v>
      </c>
      <c r="O23" s="1431">
        <v>12</v>
      </c>
      <c r="P23" s="1432">
        <f>7200*12</f>
        <v>86400</v>
      </c>
    </row>
    <row r="24" spans="1:16" ht="24">
      <c r="A24" s="1245" t="s">
        <v>4551</v>
      </c>
      <c r="B24" s="1191" t="s">
        <v>1880</v>
      </c>
      <c r="C24" s="1191" t="s">
        <v>504</v>
      </c>
      <c r="D24" s="1200" t="s">
        <v>4612</v>
      </c>
      <c r="E24" s="1426">
        <v>8000</v>
      </c>
      <c r="F24" s="1433" t="s">
        <v>4611</v>
      </c>
      <c r="G24" s="1428" t="s">
        <v>4610</v>
      </c>
      <c r="H24" s="1200" t="s">
        <v>4607</v>
      </c>
      <c r="I24" s="1200" t="s">
        <v>4574</v>
      </c>
      <c r="J24" s="1429"/>
      <c r="K24" s="1430">
        <v>1</v>
      </c>
      <c r="L24" s="1431">
        <v>12</v>
      </c>
      <c r="M24" s="1432">
        <f>8000*12</f>
        <v>96000</v>
      </c>
      <c r="N24" s="1430">
        <v>1</v>
      </c>
      <c r="O24" s="1431">
        <v>8</v>
      </c>
      <c r="P24" s="1432">
        <f>8000*8</f>
        <v>64000</v>
      </c>
    </row>
    <row r="25" spans="1:16">
      <c r="A25" s="1245" t="s">
        <v>4551</v>
      </c>
      <c r="B25" s="1191" t="s">
        <v>1880</v>
      </c>
      <c r="C25" s="1191" t="s">
        <v>504</v>
      </c>
      <c r="D25" s="1200" t="s">
        <v>4579</v>
      </c>
      <c r="E25" s="1426">
        <v>6000</v>
      </c>
      <c r="F25" s="1433" t="s">
        <v>4609</v>
      </c>
      <c r="G25" s="1428" t="s">
        <v>4608</v>
      </c>
      <c r="H25" s="1200" t="s">
        <v>4607</v>
      </c>
      <c r="I25" s="1200" t="s">
        <v>4574</v>
      </c>
      <c r="J25" s="1429"/>
      <c r="K25" s="1430"/>
      <c r="L25" s="1431"/>
      <c r="M25" s="1432"/>
      <c r="N25" s="1430"/>
      <c r="O25" s="1431"/>
      <c r="P25" s="1432"/>
    </row>
    <row r="26" spans="1:16">
      <c r="A26" s="1245" t="s">
        <v>4551</v>
      </c>
      <c r="B26" s="1191" t="s">
        <v>1880</v>
      </c>
      <c r="C26" s="1191" t="s">
        <v>504</v>
      </c>
      <c r="D26" s="1200" t="s">
        <v>4606</v>
      </c>
      <c r="E26" s="1426">
        <v>3200</v>
      </c>
      <c r="F26" s="1433" t="s">
        <v>4605</v>
      </c>
      <c r="G26" s="1428" t="s">
        <v>4604</v>
      </c>
      <c r="H26" s="1200"/>
      <c r="I26" s="1200"/>
      <c r="J26" s="1429"/>
      <c r="K26" s="1430"/>
      <c r="L26" s="1431"/>
      <c r="M26" s="1432"/>
      <c r="N26" s="1430"/>
      <c r="O26" s="1431"/>
      <c r="P26" s="1432"/>
    </row>
    <row r="27" spans="1:16">
      <c r="A27" s="1245" t="s">
        <v>4551</v>
      </c>
      <c r="B27" s="1191" t="s">
        <v>1880</v>
      </c>
      <c r="C27" s="1191" t="s">
        <v>504</v>
      </c>
      <c r="D27" s="1200" t="s">
        <v>4552</v>
      </c>
      <c r="E27" s="1426">
        <v>3200</v>
      </c>
      <c r="F27" s="1433" t="s">
        <v>4603</v>
      </c>
      <c r="G27" s="1428" t="s">
        <v>4602</v>
      </c>
      <c r="H27" s="1200"/>
      <c r="I27" s="1200"/>
      <c r="J27" s="1429" t="s">
        <v>4587</v>
      </c>
      <c r="K27" s="1430">
        <v>1</v>
      </c>
      <c r="L27" s="1431">
        <v>12</v>
      </c>
      <c r="M27" s="1432">
        <f>3200*12</f>
        <v>38400</v>
      </c>
      <c r="N27" s="1430">
        <v>1</v>
      </c>
      <c r="O27" s="1431">
        <v>12</v>
      </c>
      <c r="P27" s="1432">
        <f>3200*12</f>
        <v>38400</v>
      </c>
    </row>
    <row r="28" spans="1:16" ht="24">
      <c r="A28" s="1245" t="s">
        <v>4551</v>
      </c>
      <c r="B28" s="1191" t="s">
        <v>1880</v>
      </c>
      <c r="C28" s="1191" t="s">
        <v>504</v>
      </c>
      <c r="D28" s="1200" t="s">
        <v>4567</v>
      </c>
      <c r="E28" s="1426">
        <v>7980</v>
      </c>
      <c r="F28" s="1433" t="s">
        <v>4601</v>
      </c>
      <c r="G28" s="1428" t="s">
        <v>4600</v>
      </c>
      <c r="H28" s="1200" t="s">
        <v>4599</v>
      </c>
      <c r="I28" s="1200" t="s">
        <v>4598</v>
      </c>
      <c r="J28" s="1429"/>
      <c r="K28" s="1430"/>
      <c r="L28" s="1431"/>
      <c r="M28" s="1432"/>
      <c r="N28" s="1430"/>
      <c r="O28" s="1431"/>
      <c r="P28" s="1432"/>
    </row>
    <row r="29" spans="1:16">
      <c r="A29" s="1245" t="s">
        <v>4551</v>
      </c>
      <c r="B29" s="1191" t="s">
        <v>1880</v>
      </c>
      <c r="C29" s="1191" t="s">
        <v>504</v>
      </c>
      <c r="D29" s="1200"/>
      <c r="E29" s="1426">
        <v>3200</v>
      </c>
      <c r="F29" s="1427" t="s">
        <v>4597</v>
      </c>
      <c r="G29" s="1428" t="s">
        <v>4596</v>
      </c>
      <c r="H29" s="1200" t="s">
        <v>4595</v>
      </c>
      <c r="I29" s="1200" t="s">
        <v>4594</v>
      </c>
      <c r="J29" s="1429"/>
      <c r="K29" s="1430"/>
      <c r="L29" s="1431"/>
      <c r="M29" s="1432"/>
      <c r="N29" s="1430"/>
      <c r="O29" s="1431"/>
      <c r="P29" s="1432"/>
    </row>
    <row r="30" spans="1:16">
      <c r="A30" s="1245" t="s">
        <v>4551</v>
      </c>
      <c r="B30" s="1191" t="s">
        <v>1880</v>
      </c>
      <c r="C30" s="1191" t="s">
        <v>504</v>
      </c>
      <c r="D30" s="1200" t="s">
        <v>4593</v>
      </c>
      <c r="E30" s="1426">
        <v>3200</v>
      </c>
      <c r="F30" s="1433" t="s">
        <v>4592</v>
      </c>
      <c r="G30" s="1428" t="s">
        <v>4591</v>
      </c>
      <c r="H30" s="1200" t="s">
        <v>4590</v>
      </c>
      <c r="I30" s="1200" t="s">
        <v>4589</v>
      </c>
      <c r="J30" s="1429"/>
      <c r="K30" s="1430">
        <v>1</v>
      </c>
      <c r="L30" s="1431">
        <v>12</v>
      </c>
      <c r="M30" s="1432">
        <f>3200*12</f>
        <v>38400</v>
      </c>
      <c r="N30" s="1430">
        <v>1</v>
      </c>
      <c r="O30" s="1431">
        <v>4</v>
      </c>
      <c r="P30" s="1432">
        <f>3200*4</f>
        <v>12800</v>
      </c>
    </row>
    <row r="31" spans="1:16">
      <c r="A31" s="1245" t="s">
        <v>4551</v>
      </c>
      <c r="B31" s="1191" t="s">
        <v>1880</v>
      </c>
      <c r="C31" s="1191" t="s">
        <v>504</v>
      </c>
      <c r="D31" s="1200" t="s">
        <v>4549</v>
      </c>
      <c r="E31" s="1426">
        <v>1800</v>
      </c>
      <c r="F31" s="1245">
        <v>40413591</v>
      </c>
      <c r="G31" s="1428" t="s">
        <v>4588</v>
      </c>
      <c r="H31" s="1200"/>
      <c r="I31" s="1200"/>
      <c r="J31" s="1429" t="s">
        <v>4587</v>
      </c>
      <c r="K31" s="1430">
        <v>1</v>
      </c>
      <c r="L31" s="1431">
        <v>9</v>
      </c>
      <c r="M31" s="1432">
        <f>3200*9</f>
        <v>28800</v>
      </c>
      <c r="N31" s="1430">
        <v>1</v>
      </c>
      <c r="O31" s="1431">
        <v>12</v>
      </c>
      <c r="P31" s="1432">
        <f>3200*12</f>
        <v>38400</v>
      </c>
    </row>
    <row r="32" spans="1:16">
      <c r="A32" s="1245" t="s">
        <v>4551</v>
      </c>
      <c r="B32" s="1191" t="s">
        <v>1880</v>
      </c>
      <c r="C32" s="1191" t="s">
        <v>504</v>
      </c>
      <c r="D32" s="1200" t="s">
        <v>4549</v>
      </c>
      <c r="E32" s="1426">
        <v>2500</v>
      </c>
      <c r="F32" s="1245" t="s">
        <v>4586</v>
      </c>
      <c r="G32" s="1428" t="s">
        <v>4585</v>
      </c>
      <c r="H32" s="1200"/>
      <c r="I32" s="1200"/>
      <c r="J32" s="1429"/>
      <c r="K32" s="1430"/>
      <c r="L32" s="1431"/>
      <c r="M32" s="1432"/>
      <c r="N32" s="1430"/>
      <c r="O32" s="1431"/>
      <c r="P32" s="1432"/>
    </row>
    <row r="33" spans="1:16">
      <c r="A33" s="1245" t="s">
        <v>4551</v>
      </c>
      <c r="B33" s="1191" t="s">
        <v>1880</v>
      </c>
      <c r="C33" s="1191" t="s">
        <v>504</v>
      </c>
      <c r="D33" s="1200" t="s">
        <v>4549</v>
      </c>
      <c r="E33" s="1426">
        <v>2500</v>
      </c>
      <c r="F33" s="1245">
        <v>44946942</v>
      </c>
      <c r="G33" s="1428" t="s">
        <v>4584</v>
      </c>
      <c r="H33" s="1200"/>
      <c r="I33" s="1200"/>
      <c r="J33" s="1429"/>
      <c r="K33" s="1430"/>
      <c r="L33" s="1431"/>
      <c r="M33" s="1432"/>
      <c r="N33" s="1430"/>
      <c r="O33" s="1431"/>
      <c r="P33" s="1432"/>
    </row>
    <row r="34" spans="1:16">
      <c r="A34" s="1245" t="s">
        <v>4551</v>
      </c>
      <c r="B34" s="1191" t="s">
        <v>1880</v>
      </c>
      <c r="C34" s="1191" t="s">
        <v>504</v>
      </c>
      <c r="D34" s="1200" t="s">
        <v>4549</v>
      </c>
      <c r="E34" s="1426">
        <v>2500</v>
      </c>
      <c r="F34" s="1435" t="s">
        <v>4583</v>
      </c>
      <c r="G34" s="1428" t="s">
        <v>4582</v>
      </c>
      <c r="H34" s="1200"/>
      <c r="I34" s="1200"/>
      <c r="J34" s="1429"/>
      <c r="K34" s="1430"/>
      <c r="L34" s="1431"/>
      <c r="M34" s="1432"/>
      <c r="N34" s="1430"/>
      <c r="O34" s="1431"/>
      <c r="P34" s="1432"/>
    </row>
    <row r="35" spans="1:16">
      <c r="A35" s="1245" t="s">
        <v>4551</v>
      </c>
      <c r="B35" s="1191" t="s">
        <v>1880</v>
      </c>
      <c r="C35" s="1191" t="s">
        <v>504</v>
      </c>
      <c r="D35" s="1200"/>
      <c r="E35" s="1426">
        <v>2500</v>
      </c>
      <c r="F35" s="1427" t="s">
        <v>4581</v>
      </c>
      <c r="G35" s="1428" t="s">
        <v>4580</v>
      </c>
      <c r="H35" s="1200"/>
      <c r="I35" s="1200"/>
      <c r="J35" s="1429"/>
      <c r="K35" s="1430"/>
      <c r="L35" s="1431"/>
      <c r="M35" s="1432"/>
      <c r="N35" s="1430"/>
      <c r="O35" s="1431"/>
      <c r="P35" s="1432"/>
    </row>
    <row r="36" spans="1:16">
      <c r="A36" s="1245" t="s">
        <v>4551</v>
      </c>
      <c r="B36" s="1191" t="s">
        <v>1880</v>
      </c>
      <c r="C36" s="1191" t="s">
        <v>504</v>
      </c>
      <c r="D36" s="1200" t="s">
        <v>4579</v>
      </c>
      <c r="E36" s="1426">
        <v>6000</v>
      </c>
      <c r="F36" s="1436">
        <v>45847132</v>
      </c>
      <c r="G36" s="1428" t="s">
        <v>4578</v>
      </c>
      <c r="H36" s="1200" t="s">
        <v>4574</v>
      </c>
      <c r="I36" s="1200" t="s">
        <v>4577</v>
      </c>
      <c r="J36" s="1429"/>
      <c r="K36" s="1430">
        <v>1</v>
      </c>
      <c r="L36" s="1431">
        <v>9</v>
      </c>
      <c r="M36" s="1432">
        <f>6000*9</f>
        <v>54000</v>
      </c>
      <c r="N36" s="1430">
        <v>1</v>
      </c>
      <c r="O36" s="1431">
        <v>12</v>
      </c>
      <c r="P36" s="1432">
        <f>6000*12</f>
        <v>72000</v>
      </c>
    </row>
    <row r="37" spans="1:16">
      <c r="A37" s="1245" t="s">
        <v>4551</v>
      </c>
      <c r="B37" s="1191" t="s">
        <v>1880</v>
      </c>
      <c r="C37" s="1191" t="s">
        <v>504</v>
      </c>
      <c r="D37" s="1200" t="s">
        <v>4576</v>
      </c>
      <c r="E37" s="1426">
        <v>5000</v>
      </c>
      <c r="F37" s="1436">
        <v>43621583</v>
      </c>
      <c r="G37" s="1428" t="s">
        <v>4575</v>
      </c>
      <c r="H37" s="1200" t="s">
        <v>4574</v>
      </c>
      <c r="I37" s="1200" t="s">
        <v>4573</v>
      </c>
      <c r="J37" s="1429"/>
      <c r="K37" s="1430">
        <v>1</v>
      </c>
      <c r="L37" s="1431">
        <v>9</v>
      </c>
      <c r="M37" s="1432">
        <f>5000*9</f>
        <v>45000</v>
      </c>
      <c r="N37" s="1430">
        <v>1</v>
      </c>
      <c r="O37" s="1431">
        <v>12</v>
      </c>
      <c r="P37" s="1432">
        <f>5000*12</f>
        <v>60000</v>
      </c>
    </row>
    <row r="38" spans="1:16">
      <c r="A38" s="1245" t="s">
        <v>4551</v>
      </c>
      <c r="B38" s="1191" t="s">
        <v>1880</v>
      </c>
      <c r="C38" s="1191" t="s">
        <v>504</v>
      </c>
      <c r="D38" s="1200" t="s">
        <v>4572</v>
      </c>
      <c r="E38" s="1426">
        <v>3000</v>
      </c>
      <c r="F38" s="1437" t="s">
        <v>4571</v>
      </c>
      <c r="G38" s="1428" t="s">
        <v>4570</v>
      </c>
      <c r="H38" s="1145" t="s">
        <v>4569</v>
      </c>
      <c r="I38" s="1145" t="s">
        <v>4568</v>
      </c>
      <c r="J38" s="1094"/>
      <c r="K38" s="1438">
        <v>1</v>
      </c>
      <c r="L38" s="1439">
        <v>7</v>
      </c>
      <c r="M38" s="1432">
        <f>3000*7</f>
        <v>21000</v>
      </c>
      <c r="N38" s="1438"/>
      <c r="O38" s="1439"/>
      <c r="P38" s="1432"/>
    </row>
    <row r="39" spans="1:16" ht="24">
      <c r="A39" s="1245" t="s">
        <v>4551</v>
      </c>
      <c r="B39" s="1191" t="s">
        <v>1880</v>
      </c>
      <c r="C39" s="1191" t="s">
        <v>504</v>
      </c>
      <c r="D39" s="1118" t="s">
        <v>4567</v>
      </c>
      <c r="E39" s="1426">
        <v>7980</v>
      </c>
      <c r="F39" s="1437" t="s">
        <v>4566</v>
      </c>
      <c r="G39" s="1428" t="s">
        <v>4565</v>
      </c>
      <c r="H39" s="1145" t="s">
        <v>4561</v>
      </c>
      <c r="I39" s="1145" t="s">
        <v>4560</v>
      </c>
      <c r="J39" s="1094"/>
      <c r="K39" s="1438">
        <v>1</v>
      </c>
      <c r="L39" s="1439">
        <v>7</v>
      </c>
      <c r="M39" s="1432">
        <f>7980*7</f>
        <v>55860</v>
      </c>
      <c r="N39" s="1438">
        <v>1</v>
      </c>
      <c r="O39" s="1439">
        <v>1</v>
      </c>
      <c r="P39" s="1432">
        <v>7980</v>
      </c>
    </row>
    <row r="40" spans="1:16" ht="24">
      <c r="A40" s="1245" t="s">
        <v>4551</v>
      </c>
      <c r="B40" s="1191" t="s">
        <v>1880</v>
      </c>
      <c r="C40" s="1191" t="s">
        <v>504</v>
      </c>
      <c r="D40" s="1118" t="s">
        <v>4564</v>
      </c>
      <c r="E40" s="1426">
        <v>2500</v>
      </c>
      <c r="F40" s="1437" t="s">
        <v>4563</v>
      </c>
      <c r="G40" s="1428" t="s">
        <v>4562</v>
      </c>
      <c r="H40" s="1145" t="s">
        <v>4561</v>
      </c>
      <c r="I40" s="1145" t="s">
        <v>4560</v>
      </c>
      <c r="J40" s="1094"/>
      <c r="K40" s="1438">
        <v>1</v>
      </c>
      <c r="L40" s="1439">
        <v>4</v>
      </c>
      <c r="M40" s="1432">
        <f>2500*4</f>
        <v>10000</v>
      </c>
      <c r="N40" s="1438">
        <v>1</v>
      </c>
      <c r="O40" s="1439">
        <v>12</v>
      </c>
      <c r="P40" s="1432">
        <f>2500*9+5500*3</f>
        <v>39000</v>
      </c>
    </row>
    <row r="41" spans="1:16" ht="24">
      <c r="A41" s="1245" t="s">
        <v>4551</v>
      </c>
      <c r="B41" s="1191" t="s">
        <v>1880</v>
      </c>
      <c r="C41" s="1191" t="s">
        <v>504</v>
      </c>
      <c r="D41" s="1118" t="s">
        <v>4559</v>
      </c>
      <c r="E41" s="1426">
        <v>3200</v>
      </c>
      <c r="F41" s="1436">
        <v>44837251</v>
      </c>
      <c r="G41" s="1428" t="s">
        <v>4558</v>
      </c>
      <c r="H41" s="1145"/>
      <c r="I41" s="1145"/>
      <c r="J41" s="1094" t="s">
        <v>4557</v>
      </c>
      <c r="K41" s="1438">
        <v>1</v>
      </c>
      <c r="L41" s="1439">
        <v>4</v>
      </c>
      <c r="M41" s="1432">
        <f>3200*4</f>
        <v>12800</v>
      </c>
      <c r="N41" s="1438">
        <v>1</v>
      </c>
      <c r="O41" s="1439">
        <v>12</v>
      </c>
      <c r="P41" s="1432">
        <f>3200*12</f>
        <v>38400</v>
      </c>
    </row>
    <row r="42" spans="1:16">
      <c r="A42" s="1245" t="s">
        <v>4551</v>
      </c>
      <c r="B42" s="1191" t="s">
        <v>1880</v>
      </c>
      <c r="C42" s="1191" t="s">
        <v>504</v>
      </c>
      <c r="D42" s="1428" t="s">
        <v>4556</v>
      </c>
      <c r="E42" s="1426">
        <v>7980</v>
      </c>
      <c r="F42" s="1436"/>
      <c r="G42" s="1428" t="s">
        <v>4556</v>
      </c>
      <c r="H42" s="1145"/>
      <c r="I42" s="1145"/>
      <c r="J42" s="1094"/>
      <c r="K42" s="1438"/>
      <c r="L42" s="1439"/>
      <c r="M42" s="1432"/>
      <c r="N42" s="1438">
        <v>1</v>
      </c>
      <c r="O42" s="1439">
        <v>4</v>
      </c>
      <c r="P42" s="1432">
        <f>7980*4</f>
        <v>31920</v>
      </c>
    </row>
    <row r="43" spans="1:16">
      <c r="A43" s="1245" t="s">
        <v>4551</v>
      </c>
      <c r="B43" s="1191" t="s">
        <v>1880</v>
      </c>
      <c r="C43" s="1191" t="s">
        <v>504</v>
      </c>
      <c r="D43" s="1428" t="s">
        <v>4555</v>
      </c>
      <c r="E43" s="1426">
        <v>5500</v>
      </c>
      <c r="F43" s="1436"/>
      <c r="G43" s="1428" t="s">
        <v>4555</v>
      </c>
      <c r="H43" s="1145"/>
      <c r="I43" s="1145"/>
      <c r="J43" s="1094"/>
      <c r="K43" s="1438"/>
      <c r="L43" s="1439"/>
      <c r="M43" s="1432"/>
      <c r="N43" s="1438">
        <v>1</v>
      </c>
      <c r="O43" s="1439">
        <v>4</v>
      </c>
      <c r="P43" s="1432">
        <f>5500*4</f>
        <v>22000</v>
      </c>
    </row>
    <row r="44" spans="1:16">
      <c r="A44" s="1245" t="s">
        <v>4551</v>
      </c>
      <c r="B44" s="1191" t="s">
        <v>1880</v>
      </c>
      <c r="C44" s="1191" t="s">
        <v>504</v>
      </c>
      <c r="D44" s="1428" t="s">
        <v>4554</v>
      </c>
      <c r="E44" s="1426">
        <v>3000</v>
      </c>
      <c r="F44" s="1436"/>
      <c r="G44" s="1428" t="s">
        <v>4554</v>
      </c>
      <c r="H44" s="1145"/>
      <c r="I44" s="1145"/>
      <c r="J44" s="1094"/>
      <c r="K44" s="1438"/>
      <c r="L44" s="1439"/>
      <c r="M44" s="1432"/>
      <c r="N44" s="1438">
        <v>1</v>
      </c>
      <c r="O44" s="1439">
        <v>4</v>
      </c>
      <c r="P44" s="1432">
        <f>3000*4</f>
        <v>12000</v>
      </c>
    </row>
    <row r="45" spans="1:16">
      <c r="A45" s="1245" t="s">
        <v>4551</v>
      </c>
      <c r="B45" s="1191" t="s">
        <v>1880</v>
      </c>
      <c r="C45" s="1191" t="s">
        <v>504</v>
      </c>
      <c r="D45" s="1428" t="s">
        <v>4553</v>
      </c>
      <c r="E45" s="1426">
        <v>8000</v>
      </c>
      <c r="F45" s="1436"/>
      <c r="G45" s="1428" t="s">
        <v>4553</v>
      </c>
      <c r="H45" s="1145"/>
      <c r="I45" s="1145"/>
      <c r="J45" s="1094"/>
      <c r="K45" s="1438"/>
      <c r="L45" s="1439"/>
      <c r="M45" s="1432"/>
      <c r="N45" s="1438">
        <v>1</v>
      </c>
      <c r="O45" s="1439">
        <v>3</v>
      </c>
      <c r="P45" s="1432">
        <f>8000*3</f>
        <v>24000</v>
      </c>
    </row>
    <row r="46" spans="1:16">
      <c r="A46" s="1245" t="s">
        <v>4551</v>
      </c>
      <c r="B46" s="1191" t="s">
        <v>1880</v>
      </c>
      <c r="C46" s="1191" t="s">
        <v>504</v>
      </c>
      <c r="D46" s="1428" t="s">
        <v>4552</v>
      </c>
      <c r="E46" s="1426">
        <v>3200</v>
      </c>
      <c r="F46" s="1436"/>
      <c r="G46" s="1428" t="s">
        <v>4552</v>
      </c>
      <c r="H46" s="1145"/>
      <c r="I46" s="1145"/>
      <c r="J46" s="1094"/>
      <c r="K46" s="1438"/>
      <c r="L46" s="1439"/>
      <c r="M46" s="1432"/>
      <c r="N46" s="1438">
        <v>1</v>
      </c>
      <c r="O46" s="1439">
        <v>3</v>
      </c>
      <c r="P46" s="1432">
        <f>3200*3</f>
        <v>9600</v>
      </c>
    </row>
    <row r="47" spans="1:16">
      <c r="A47" s="1245" t="s">
        <v>4551</v>
      </c>
      <c r="B47" s="1191" t="s">
        <v>1880</v>
      </c>
      <c r="C47" s="1191" t="s">
        <v>504</v>
      </c>
      <c r="D47" s="1428" t="s">
        <v>4550</v>
      </c>
      <c r="E47" s="1426">
        <v>3200</v>
      </c>
      <c r="F47" s="1436"/>
      <c r="G47" s="1428" t="s">
        <v>4550</v>
      </c>
      <c r="H47" s="1145"/>
      <c r="I47" s="1145"/>
      <c r="J47" s="1094"/>
      <c r="K47" s="1438"/>
      <c r="L47" s="1439"/>
      <c r="M47" s="1432"/>
      <c r="N47" s="1438">
        <v>1</v>
      </c>
      <c r="O47" s="1439">
        <v>2</v>
      </c>
      <c r="P47" s="1432">
        <f>3200*3</f>
        <v>9600</v>
      </c>
    </row>
    <row r="48" spans="1:16">
      <c r="A48" s="1409" t="s">
        <v>4551</v>
      </c>
      <c r="B48" s="1276" t="s">
        <v>1880</v>
      </c>
      <c r="C48" s="1276" t="s">
        <v>504</v>
      </c>
      <c r="D48" s="1413" t="s">
        <v>4550</v>
      </c>
      <c r="E48" s="1411">
        <v>2500</v>
      </c>
      <c r="F48" s="1440"/>
      <c r="G48" s="1413" t="s">
        <v>4550</v>
      </c>
      <c r="H48" s="1146"/>
      <c r="I48" s="1146"/>
      <c r="J48" s="1147"/>
      <c r="K48" s="1441"/>
      <c r="L48" s="1442"/>
      <c r="M48" s="1417"/>
      <c r="N48" s="1441">
        <v>1</v>
      </c>
      <c r="O48" s="1442">
        <v>2</v>
      </c>
      <c r="P48" s="1417">
        <f>2500*3</f>
        <v>7500</v>
      </c>
    </row>
    <row r="49" spans="1:16" ht="12.75" thickBot="1">
      <c r="A49" s="1409" t="s">
        <v>4551</v>
      </c>
      <c r="B49" s="1276" t="s">
        <v>1880</v>
      </c>
      <c r="C49" s="1276" t="s">
        <v>504</v>
      </c>
      <c r="D49" s="1413" t="s">
        <v>4550</v>
      </c>
      <c r="E49" s="1411">
        <v>2500</v>
      </c>
      <c r="F49" s="1440"/>
      <c r="G49" s="1413" t="s">
        <v>4549</v>
      </c>
      <c r="H49" s="1146"/>
      <c r="I49" s="1146"/>
      <c r="J49" s="1147"/>
      <c r="K49" s="1441"/>
      <c r="L49" s="1442"/>
      <c r="M49" s="1417"/>
      <c r="N49" s="1441">
        <v>1</v>
      </c>
      <c r="O49" s="1442">
        <v>2</v>
      </c>
      <c r="P49" s="1417">
        <f>8000*3</f>
        <v>24000</v>
      </c>
    </row>
    <row r="50" spans="1:16" ht="12.75" thickBot="1">
      <c r="A50" s="1209" t="s">
        <v>0</v>
      </c>
      <c r="B50" s="1230"/>
      <c r="C50" s="1230"/>
      <c r="D50" s="1207"/>
      <c r="E50" s="1211"/>
      <c r="F50" s="1209"/>
      <c r="G50" s="1207"/>
      <c r="H50" s="1207"/>
      <c r="I50" s="1210"/>
      <c r="J50" s="1211"/>
      <c r="K50" s="1212"/>
      <c r="L50" s="1213"/>
      <c r="M50" s="1443">
        <f>SUM(M7:M49)</f>
        <v>991060</v>
      </c>
      <c r="N50" s="1392"/>
      <c r="O50" s="1393"/>
      <c r="P50" s="1443">
        <f>SUM(P7:P49)</f>
        <v>1024700</v>
      </c>
    </row>
    <row r="51" spans="1:16" ht="24">
      <c r="A51" s="445" t="s">
        <v>449</v>
      </c>
      <c r="B51" s="445"/>
      <c r="C51" s="445"/>
      <c r="D51" s="445"/>
      <c r="E51" s="445"/>
      <c r="F51" s="445"/>
      <c r="G51" s="445"/>
      <c r="H51" s="445"/>
      <c r="I51" s="445"/>
      <c r="J51" s="445"/>
      <c r="K51" s="1136"/>
      <c r="L51" s="1136"/>
      <c r="M51" s="445"/>
      <c r="N51" s="445"/>
      <c r="O51" s="445"/>
      <c r="P51" s="445"/>
    </row>
    <row r="52" spans="1:16">
      <c r="A52" s="445"/>
      <c r="B52" s="445"/>
      <c r="C52" s="445"/>
      <c r="D52" s="445"/>
      <c r="E52" s="445"/>
      <c r="F52" s="445"/>
      <c r="G52" s="445"/>
      <c r="H52" s="445"/>
      <c r="I52" s="445"/>
      <c r="J52" s="445"/>
      <c r="K52" s="1136"/>
      <c r="L52" s="1136"/>
      <c r="M52" s="445"/>
      <c r="N52" s="445"/>
      <c r="O52" s="445"/>
      <c r="P52" s="445"/>
    </row>
    <row r="53" spans="1:16">
      <c r="A53" s="445"/>
      <c r="B53" s="445"/>
      <c r="C53" s="445"/>
      <c r="D53" s="445"/>
      <c r="E53" s="445"/>
      <c r="F53" s="445"/>
      <c r="G53" s="445"/>
      <c r="H53" s="445"/>
      <c r="I53" s="445"/>
      <c r="J53" s="445"/>
      <c r="K53" s="1136"/>
      <c r="L53" s="1136"/>
      <c r="M53" s="445"/>
      <c r="N53" s="445"/>
      <c r="O53" s="445"/>
      <c r="P53" s="445"/>
    </row>
    <row r="54" spans="1:16">
      <c r="A54" s="445"/>
      <c r="B54" s="445"/>
      <c r="C54" s="445"/>
      <c r="D54" s="445"/>
      <c r="E54" s="445"/>
      <c r="F54" s="445"/>
      <c r="G54" s="445"/>
      <c r="H54" s="445"/>
      <c r="I54" s="445"/>
      <c r="J54" s="445"/>
      <c r="K54" s="1136"/>
      <c r="L54" s="1136"/>
      <c r="M54" s="445"/>
      <c r="N54" s="445"/>
      <c r="O54" s="445"/>
      <c r="P54" s="445"/>
    </row>
    <row r="55" spans="1:16">
      <c r="A55" s="445"/>
      <c r="B55" s="445"/>
      <c r="C55" s="445"/>
      <c r="D55" s="445"/>
      <c r="E55" s="445"/>
      <c r="F55" s="445"/>
      <c r="G55" s="445"/>
      <c r="H55" s="445"/>
      <c r="I55" s="445"/>
      <c r="J55" s="445"/>
      <c r="K55" s="1136"/>
      <c r="L55" s="1136"/>
      <c r="M55" s="445"/>
      <c r="N55" s="445"/>
      <c r="O55" s="445"/>
      <c r="P55" s="445"/>
    </row>
    <row r="56" spans="1:16">
      <c r="A56" s="445"/>
      <c r="B56" s="445"/>
      <c r="C56" s="445"/>
      <c r="D56" s="445"/>
      <c r="E56" s="445"/>
      <c r="F56" s="445"/>
      <c r="G56" s="445"/>
      <c r="H56" s="445"/>
      <c r="I56" s="445"/>
      <c r="J56" s="445"/>
      <c r="K56" s="1136"/>
      <c r="L56" s="1136"/>
      <c r="M56" s="445"/>
      <c r="N56" s="445"/>
      <c r="O56" s="445"/>
      <c r="P56" s="445"/>
    </row>
    <row r="57" spans="1:16">
      <c r="A57" s="445"/>
      <c r="B57" s="445"/>
      <c r="C57" s="445"/>
      <c r="D57" s="445"/>
      <c r="E57" s="445"/>
      <c r="F57" s="445"/>
      <c r="G57" s="445"/>
      <c r="H57" s="445"/>
      <c r="I57" s="445"/>
      <c r="J57" s="445"/>
      <c r="K57" s="1136"/>
      <c r="L57" s="1136"/>
      <c r="M57" s="445"/>
      <c r="N57" s="445"/>
      <c r="O57" s="445"/>
      <c r="P57" s="445"/>
    </row>
    <row r="58" spans="1:16">
      <c r="A58" s="445"/>
      <c r="B58" s="445"/>
      <c r="C58" s="445"/>
      <c r="D58" s="445"/>
      <c r="E58" s="445"/>
      <c r="F58" s="445"/>
      <c r="G58" s="445"/>
      <c r="H58" s="445"/>
      <c r="I58" s="445"/>
      <c r="J58" s="445"/>
      <c r="K58" s="1136"/>
      <c r="L58" s="1136"/>
      <c r="M58" s="445"/>
      <c r="N58" s="445"/>
      <c r="O58" s="445"/>
      <c r="P58" s="445"/>
    </row>
    <row r="59" spans="1:16">
      <c r="A59" s="445"/>
      <c r="B59" s="445"/>
      <c r="C59" s="445"/>
      <c r="D59" s="445"/>
      <c r="E59" s="445"/>
      <c r="F59" s="445"/>
      <c r="G59" s="445"/>
      <c r="H59" s="445"/>
      <c r="I59" s="445"/>
      <c r="J59" s="445"/>
      <c r="K59" s="1136"/>
      <c r="L59" s="1136"/>
      <c r="M59" s="445"/>
      <c r="N59" s="445"/>
      <c r="O59" s="445"/>
      <c r="P59" s="445"/>
    </row>
    <row r="60" spans="1:16">
      <c r="A60" s="445"/>
      <c r="B60" s="445"/>
      <c r="C60" s="445"/>
      <c r="D60" s="445"/>
      <c r="E60" s="445"/>
      <c r="F60" s="445"/>
      <c r="G60" s="445"/>
      <c r="H60" s="445"/>
      <c r="I60" s="445"/>
      <c r="J60" s="445"/>
      <c r="K60" s="1136"/>
      <c r="L60" s="1136"/>
      <c r="M60" s="445"/>
      <c r="N60" s="445"/>
      <c r="O60" s="445"/>
      <c r="P60" s="445"/>
    </row>
    <row r="61" spans="1:16">
      <c r="A61" s="445"/>
      <c r="B61" s="445"/>
      <c r="C61" s="445"/>
      <c r="D61" s="445"/>
      <c r="E61" s="445"/>
      <c r="F61" s="445"/>
      <c r="G61" s="445"/>
      <c r="H61" s="445"/>
      <c r="I61" s="445"/>
      <c r="J61" s="445"/>
      <c r="K61" s="1136"/>
      <c r="L61" s="1136"/>
      <c r="M61" s="445"/>
      <c r="N61" s="445"/>
      <c r="O61" s="445"/>
      <c r="P61" s="445"/>
    </row>
    <row r="62" spans="1:16">
      <c r="A62" s="445"/>
      <c r="B62" s="445"/>
      <c r="C62" s="445"/>
      <c r="D62" s="445"/>
      <c r="E62" s="445"/>
      <c r="F62" s="445"/>
      <c r="G62" s="445"/>
      <c r="H62" s="445"/>
      <c r="I62" s="445"/>
      <c r="J62" s="445"/>
      <c r="K62" s="1136"/>
      <c r="L62" s="1136"/>
      <c r="M62" s="445"/>
      <c r="N62" s="445"/>
      <c r="O62" s="445"/>
      <c r="P62" s="445"/>
    </row>
    <row r="63" spans="1:16">
      <c r="A63" s="445"/>
      <c r="B63" s="445"/>
      <c r="C63" s="445"/>
      <c r="D63" s="445"/>
      <c r="E63" s="445"/>
      <c r="F63" s="445"/>
      <c r="G63" s="445"/>
      <c r="H63" s="445"/>
      <c r="I63" s="445"/>
      <c r="J63" s="445"/>
      <c r="K63" s="1136"/>
      <c r="L63" s="1136"/>
      <c r="M63" s="445"/>
      <c r="N63" s="445"/>
      <c r="O63" s="445"/>
      <c r="P63" s="445"/>
    </row>
    <row r="64" spans="1:16">
      <c r="A64" s="445"/>
      <c r="B64" s="445"/>
      <c r="C64" s="445"/>
      <c r="D64" s="445"/>
      <c r="E64" s="445"/>
      <c r="F64" s="445"/>
      <c r="G64" s="445"/>
      <c r="H64" s="445"/>
      <c r="I64" s="445"/>
      <c r="J64" s="445"/>
      <c r="K64" s="1136"/>
      <c r="L64" s="1136"/>
      <c r="M64" s="445"/>
      <c r="N64" s="445"/>
      <c r="O64" s="445"/>
      <c r="P64" s="445"/>
    </row>
    <row r="65" spans="1:16">
      <c r="A65" s="445"/>
      <c r="B65" s="445"/>
      <c r="C65" s="445"/>
      <c r="D65" s="445"/>
      <c r="E65" s="445"/>
      <c r="F65" s="445"/>
      <c r="G65" s="445"/>
      <c r="H65" s="445"/>
      <c r="I65" s="445"/>
      <c r="J65" s="445"/>
      <c r="K65" s="1136"/>
      <c r="L65" s="1136"/>
      <c r="M65" s="445"/>
      <c r="N65" s="445"/>
      <c r="O65" s="445"/>
      <c r="P65" s="445"/>
    </row>
    <row r="66" spans="1:16">
      <c r="A66" s="445"/>
      <c r="B66" s="445"/>
      <c r="C66" s="445"/>
      <c r="D66" s="445"/>
      <c r="E66" s="445"/>
      <c r="F66" s="445"/>
      <c r="G66" s="445"/>
      <c r="H66" s="445"/>
      <c r="I66" s="445"/>
      <c r="J66" s="445"/>
      <c r="K66" s="1136"/>
      <c r="L66" s="1136"/>
      <c r="M66" s="445"/>
      <c r="N66" s="445"/>
      <c r="O66" s="445"/>
      <c r="P66" s="445"/>
    </row>
    <row r="67" spans="1:16">
      <c r="A67" s="445"/>
      <c r="B67" s="445"/>
      <c r="C67" s="445"/>
      <c r="D67" s="445"/>
      <c r="E67" s="445"/>
      <c r="F67" s="445"/>
      <c r="G67" s="445"/>
      <c r="H67" s="445"/>
      <c r="I67" s="445"/>
      <c r="J67" s="445"/>
      <c r="K67" s="1136"/>
      <c r="L67" s="1136"/>
      <c r="M67" s="445"/>
      <c r="N67" s="445"/>
      <c r="O67" s="445"/>
      <c r="P67" s="445"/>
    </row>
    <row r="68" spans="1:16">
      <c r="A68" s="445"/>
      <c r="B68" s="445"/>
      <c r="C68" s="445"/>
      <c r="D68" s="445"/>
      <c r="E68" s="445"/>
      <c r="F68" s="445"/>
      <c r="G68" s="445"/>
      <c r="H68" s="445"/>
      <c r="I68" s="445"/>
      <c r="J68" s="445"/>
      <c r="K68" s="1136"/>
      <c r="L68" s="1136"/>
      <c r="M68" s="445"/>
      <c r="N68" s="445"/>
      <c r="O68" s="445"/>
      <c r="P68" s="445"/>
    </row>
    <row r="69" spans="1:16">
      <c r="A69" s="445"/>
      <c r="B69" s="445"/>
      <c r="C69" s="445"/>
      <c r="D69" s="445"/>
      <c r="E69" s="445"/>
      <c r="F69" s="445"/>
      <c r="G69" s="445"/>
      <c r="H69" s="445"/>
      <c r="I69" s="445"/>
      <c r="J69" s="445"/>
      <c r="K69" s="1136"/>
      <c r="L69" s="1136"/>
      <c r="M69" s="445"/>
      <c r="N69" s="445"/>
      <c r="O69" s="445"/>
      <c r="P69" s="445"/>
    </row>
    <row r="70" spans="1:16">
      <c r="A70" s="445"/>
      <c r="B70" s="445"/>
      <c r="C70" s="445"/>
      <c r="D70" s="445"/>
      <c r="E70" s="445"/>
      <c r="F70" s="445"/>
      <c r="G70" s="445"/>
      <c r="H70" s="445"/>
      <c r="I70" s="445"/>
      <c r="J70" s="445"/>
      <c r="K70" s="1136"/>
      <c r="L70" s="1136"/>
      <c r="M70" s="445"/>
      <c r="N70" s="445"/>
      <c r="O70" s="445"/>
      <c r="P70" s="445"/>
    </row>
    <row r="71" spans="1:16">
      <c r="A71" s="445"/>
      <c r="B71" s="445"/>
      <c r="C71" s="445"/>
      <c r="D71" s="445"/>
      <c r="E71" s="445"/>
      <c r="F71" s="445"/>
      <c r="G71" s="445"/>
      <c r="H71" s="445"/>
      <c r="I71" s="445"/>
      <c r="J71" s="445"/>
      <c r="K71" s="1136"/>
      <c r="L71" s="1136"/>
      <c r="M71" s="445"/>
      <c r="N71" s="445"/>
      <c r="O71" s="445"/>
      <c r="P71" s="445"/>
    </row>
    <row r="72" spans="1:16">
      <c r="A72" s="445"/>
      <c r="B72" s="445"/>
      <c r="C72" s="445"/>
      <c r="D72" s="445"/>
      <c r="E72" s="445"/>
      <c r="F72" s="445"/>
      <c r="G72" s="445"/>
      <c r="H72" s="445"/>
      <c r="I72" s="445"/>
      <c r="J72" s="445"/>
      <c r="K72" s="1136"/>
      <c r="L72" s="1136"/>
      <c r="M72" s="445"/>
      <c r="N72" s="445"/>
      <c r="O72" s="445"/>
      <c r="P72" s="445"/>
    </row>
    <row r="73" spans="1:16">
      <c r="A73" s="445"/>
      <c r="B73" s="445"/>
      <c r="C73" s="445"/>
      <c r="D73" s="445"/>
      <c r="E73" s="445"/>
      <c r="F73" s="445"/>
      <c r="G73" s="445"/>
      <c r="H73" s="445"/>
      <c r="I73" s="445"/>
      <c r="J73" s="445"/>
      <c r="K73" s="1136"/>
      <c r="L73" s="1136"/>
      <c r="M73" s="445"/>
      <c r="N73" s="445"/>
      <c r="O73" s="445"/>
      <c r="P73" s="445"/>
    </row>
    <row r="74" spans="1:16">
      <c r="A74" s="445"/>
      <c r="B74" s="445"/>
      <c r="C74" s="445"/>
      <c r="D74" s="445"/>
      <c r="E74" s="445"/>
      <c r="F74" s="445"/>
      <c r="G74" s="445"/>
      <c r="H74" s="445"/>
      <c r="I74" s="445"/>
      <c r="J74" s="445"/>
      <c r="K74" s="1136"/>
      <c r="L74" s="1136"/>
      <c r="M74" s="445"/>
      <c r="N74" s="445"/>
      <c r="O74" s="445"/>
      <c r="P74" s="445"/>
    </row>
    <row r="75" spans="1:16">
      <c r="A75" s="445"/>
      <c r="B75" s="445"/>
      <c r="C75" s="445"/>
      <c r="D75" s="445"/>
      <c r="E75" s="445"/>
      <c r="F75" s="445"/>
      <c r="G75" s="445"/>
      <c r="H75" s="445"/>
      <c r="I75" s="445"/>
      <c r="J75" s="445"/>
      <c r="K75" s="1136"/>
      <c r="L75" s="1136"/>
      <c r="M75" s="445"/>
      <c r="N75" s="445"/>
      <c r="O75" s="445"/>
      <c r="P75" s="445"/>
    </row>
    <row r="76" spans="1:16">
      <c r="A76" s="445"/>
      <c r="B76" s="445"/>
      <c r="C76" s="445"/>
      <c r="D76" s="445"/>
      <c r="E76" s="445"/>
      <c r="F76" s="445"/>
      <c r="G76" s="445"/>
      <c r="H76" s="445"/>
      <c r="I76" s="445"/>
      <c r="J76" s="445"/>
      <c r="K76" s="1136"/>
      <c r="L76" s="1136"/>
      <c r="M76" s="445"/>
      <c r="N76" s="445"/>
      <c r="O76" s="445"/>
      <c r="P76" s="445"/>
    </row>
    <row r="77" spans="1:16">
      <c r="A77" s="445"/>
      <c r="B77" s="445"/>
      <c r="C77" s="445"/>
      <c r="D77" s="445"/>
      <c r="E77" s="445"/>
      <c r="F77" s="445"/>
      <c r="G77" s="445"/>
      <c r="H77" s="445"/>
      <c r="I77" s="445"/>
      <c r="J77" s="445"/>
      <c r="K77" s="1136"/>
      <c r="L77" s="1136"/>
      <c r="M77" s="445"/>
      <c r="N77" s="445"/>
      <c r="O77" s="445"/>
      <c r="P77" s="445"/>
    </row>
    <row r="78" spans="1:16">
      <c r="A78" s="445"/>
      <c r="B78" s="445"/>
      <c r="C78" s="445"/>
      <c r="D78" s="445"/>
      <c r="E78" s="445"/>
      <c r="F78" s="445"/>
      <c r="G78" s="445"/>
      <c r="H78" s="445"/>
      <c r="I78" s="445"/>
      <c r="J78" s="445"/>
      <c r="K78" s="1136"/>
      <c r="L78" s="1136"/>
      <c r="M78" s="445"/>
      <c r="N78" s="445"/>
      <c r="O78" s="445"/>
      <c r="P78" s="445"/>
    </row>
    <row r="79" spans="1:16">
      <c r="A79" s="445"/>
      <c r="B79" s="445"/>
      <c r="C79" s="445"/>
      <c r="D79" s="445"/>
      <c r="E79" s="445"/>
      <c r="F79" s="445"/>
      <c r="G79" s="445"/>
      <c r="H79" s="445"/>
      <c r="I79" s="445"/>
      <c r="J79" s="445"/>
      <c r="K79" s="1136"/>
      <c r="L79" s="1136"/>
      <c r="M79" s="445"/>
      <c r="N79" s="445"/>
      <c r="O79" s="445"/>
      <c r="P79" s="445"/>
    </row>
    <row r="80" spans="1:16">
      <c r="A80" s="445"/>
      <c r="B80" s="445"/>
      <c r="C80" s="445"/>
      <c r="D80" s="445"/>
      <c r="E80" s="445"/>
      <c r="F80" s="445"/>
      <c r="G80" s="445"/>
      <c r="H80" s="445"/>
      <c r="I80" s="445"/>
      <c r="J80" s="445"/>
      <c r="K80" s="1136"/>
      <c r="L80" s="1136"/>
      <c r="M80" s="445"/>
      <c r="N80" s="445"/>
      <c r="O80" s="445"/>
      <c r="P80" s="445"/>
    </row>
    <row r="81" spans="1:16">
      <c r="A81" s="445"/>
      <c r="B81" s="445"/>
      <c r="C81" s="445"/>
      <c r="D81" s="445"/>
      <c r="E81" s="445"/>
      <c r="F81" s="445"/>
      <c r="G81" s="445"/>
      <c r="H81" s="445"/>
      <c r="I81" s="445"/>
      <c r="J81" s="445"/>
      <c r="K81" s="1136"/>
      <c r="L81" s="1136"/>
      <c r="M81" s="445"/>
      <c r="N81" s="445"/>
      <c r="O81" s="445"/>
      <c r="P81" s="445"/>
    </row>
    <row r="82" spans="1:16">
      <c r="A82" s="445"/>
      <c r="B82" s="445"/>
      <c r="C82" s="445"/>
      <c r="D82" s="445"/>
      <c r="E82" s="445"/>
      <c r="F82" s="445"/>
      <c r="G82" s="445"/>
      <c r="H82" s="445"/>
      <c r="I82" s="445"/>
      <c r="J82" s="445"/>
      <c r="K82" s="1136"/>
      <c r="L82" s="1136"/>
      <c r="M82" s="445"/>
      <c r="N82" s="445"/>
      <c r="O82" s="445"/>
      <c r="P82" s="445"/>
    </row>
    <row r="83" spans="1:16">
      <c r="A83" s="445"/>
      <c r="B83" s="445"/>
      <c r="C83" s="445"/>
      <c r="D83" s="445"/>
      <c r="E83" s="445"/>
      <c r="F83" s="445"/>
      <c r="G83" s="445"/>
      <c r="H83" s="445"/>
      <c r="I83" s="445"/>
      <c r="J83" s="445"/>
      <c r="K83" s="1136"/>
      <c r="L83" s="1136"/>
      <c r="M83" s="445"/>
      <c r="N83" s="445"/>
      <c r="O83" s="445"/>
      <c r="P83" s="445"/>
    </row>
    <row r="84" spans="1:16">
      <c r="A84" s="445"/>
      <c r="B84" s="445"/>
      <c r="C84" s="445"/>
      <c r="D84" s="445"/>
      <c r="E84" s="445"/>
      <c r="F84" s="445"/>
      <c r="G84" s="445"/>
      <c r="H84" s="445"/>
      <c r="I84" s="445"/>
      <c r="J84" s="445"/>
      <c r="K84" s="1136"/>
      <c r="L84" s="1136"/>
      <c r="M84" s="445"/>
      <c r="N84" s="445"/>
      <c r="O84" s="445"/>
      <c r="P84" s="445"/>
    </row>
    <row r="85" spans="1:16">
      <c r="A85" s="445"/>
      <c r="B85" s="445"/>
      <c r="C85" s="445"/>
      <c r="D85" s="445"/>
      <c r="E85" s="445"/>
      <c r="F85" s="445"/>
      <c r="G85" s="445"/>
      <c r="H85" s="445"/>
      <c r="I85" s="445"/>
      <c r="J85" s="445"/>
      <c r="K85" s="1136"/>
      <c r="L85" s="1136"/>
      <c r="M85" s="445"/>
      <c r="N85" s="445"/>
      <c r="O85" s="445"/>
      <c r="P85" s="445"/>
    </row>
    <row r="86" spans="1:16">
      <c r="A86" s="445"/>
      <c r="B86" s="445"/>
      <c r="C86" s="445"/>
      <c r="D86" s="445"/>
      <c r="E86" s="445"/>
      <c r="F86" s="445"/>
      <c r="G86" s="445"/>
      <c r="H86" s="445"/>
      <c r="I86" s="445"/>
      <c r="J86" s="445"/>
      <c r="K86" s="1136"/>
      <c r="L86" s="1136"/>
      <c r="M86" s="445"/>
      <c r="N86" s="445"/>
      <c r="O86" s="445"/>
      <c r="P86" s="445"/>
    </row>
    <row r="87" spans="1:16">
      <c r="A87" s="445"/>
      <c r="B87" s="445"/>
      <c r="C87" s="445"/>
      <c r="D87" s="445"/>
      <c r="E87" s="445"/>
      <c r="F87" s="445"/>
      <c r="G87" s="445"/>
      <c r="H87" s="445"/>
      <c r="I87" s="445"/>
      <c r="J87" s="445"/>
      <c r="K87" s="1136"/>
      <c r="L87" s="1136"/>
      <c r="M87" s="445"/>
      <c r="N87" s="445"/>
      <c r="O87" s="445"/>
      <c r="P87" s="445"/>
    </row>
    <row r="88" spans="1:16">
      <c r="A88" s="445"/>
      <c r="B88" s="445"/>
      <c r="C88" s="445"/>
      <c r="D88" s="445"/>
      <c r="E88" s="445"/>
      <c r="F88" s="445"/>
      <c r="G88" s="445"/>
      <c r="H88" s="445"/>
      <c r="I88" s="445"/>
      <c r="J88" s="445"/>
      <c r="K88" s="1136"/>
      <c r="L88" s="1136"/>
      <c r="M88" s="445"/>
      <c r="N88" s="445"/>
      <c r="O88" s="445"/>
      <c r="P88" s="445"/>
    </row>
    <row r="89" spans="1:16">
      <c r="A89" s="445"/>
      <c r="B89" s="445"/>
      <c r="C89" s="445"/>
      <c r="D89" s="445"/>
      <c r="E89" s="445"/>
      <c r="F89" s="445"/>
      <c r="G89" s="445"/>
      <c r="H89" s="445"/>
      <c r="I89" s="445"/>
      <c r="J89" s="445"/>
      <c r="K89" s="1136"/>
      <c r="L89" s="1136"/>
      <c r="M89" s="445"/>
      <c r="N89" s="445"/>
      <c r="O89" s="445"/>
      <c r="P89" s="445"/>
    </row>
    <row r="90" spans="1:16">
      <c r="A90" s="445"/>
      <c r="B90" s="445"/>
      <c r="C90" s="445"/>
      <c r="D90" s="445"/>
      <c r="E90" s="445"/>
      <c r="F90" s="445"/>
      <c r="G90" s="445"/>
      <c r="H90" s="445"/>
      <c r="I90" s="445"/>
      <c r="J90" s="445"/>
      <c r="K90" s="1136"/>
      <c r="L90" s="1136"/>
      <c r="M90" s="445"/>
      <c r="N90" s="445"/>
      <c r="O90" s="445"/>
      <c r="P90" s="445"/>
    </row>
    <row r="91" spans="1:16">
      <c r="A91" s="445"/>
      <c r="B91" s="445"/>
      <c r="C91" s="445"/>
      <c r="D91" s="445"/>
      <c r="E91" s="445"/>
      <c r="F91" s="445"/>
      <c r="G91" s="445"/>
      <c r="H91" s="445"/>
      <c r="I91" s="445"/>
      <c r="J91" s="445"/>
      <c r="K91" s="1136"/>
      <c r="L91" s="1136"/>
      <c r="M91" s="445"/>
      <c r="N91" s="445"/>
      <c r="O91" s="445"/>
      <c r="P91" s="445"/>
    </row>
    <row r="92" spans="1:16">
      <c r="A92" s="445"/>
      <c r="B92" s="445"/>
      <c r="C92" s="445"/>
      <c r="D92" s="445"/>
      <c r="E92" s="445"/>
      <c r="F92" s="445"/>
      <c r="G92" s="445"/>
      <c r="H92" s="445"/>
      <c r="I92" s="445"/>
      <c r="J92" s="445"/>
      <c r="K92" s="1136"/>
      <c r="L92" s="1136"/>
      <c r="M92" s="445"/>
      <c r="N92" s="445"/>
      <c r="O92" s="445"/>
      <c r="P92" s="445"/>
    </row>
    <row r="93" spans="1:16">
      <c r="A93" s="445"/>
      <c r="B93" s="445"/>
      <c r="C93" s="445"/>
      <c r="D93" s="445"/>
      <c r="E93" s="445"/>
      <c r="F93" s="445"/>
      <c r="G93" s="445"/>
      <c r="H93" s="445"/>
      <c r="I93" s="445"/>
      <c r="J93" s="445"/>
      <c r="K93" s="1136"/>
      <c r="L93" s="1136"/>
      <c r="M93" s="445"/>
      <c r="N93" s="445"/>
      <c r="O93" s="445"/>
      <c r="P93" s="445"/>
    </row>
    <row r="94" spans="1:16">
      <c r="A94" s="445"/>
      <c r="B94" s="445"/>
      <c r="C94" s="445"/>
      <c r="D94" s="445"/>
      <c r="E94" s="445"/>
      <c r="F94" s="445"/>
      <c r="G94" s="445"/>
      <c r="H94" s="445"/>
      <c r="I94" s="445"/>
      <c r="J94" s="445"/>
      <c r="K94" s="1136"/>
      <c r="L94" s="1136"/>
      <c r="M94" s="445"/>
      <c r="N94" s="445"/>
      <c r="O94" s="445"/>
      <c r="P94" s="445"/>
    </row>
    <row r="95" spans="1:16">
      <c r="A95" s="445"/>
      <c r="B95" s="445"/>
      <c r="C95" s="445"/>
      <c r="D95" s="445"/>
      <c r="E95" s="445"/>
      <c r="F95" s="445"/>
      <c r="G95" s="445"/>
      <c r="H95" s="445"/>
      <c r="I95" s="445"/>
      <c r="J95" s="445"/>
      <c r="K95" s="1136"/>
      <c r="L95" s="1136"/>
      <c r="M95" s="445"/>
      <c r="N95" s="445"/>
      <c r="O95" s="445"/>
      <c r="P95" s="445"/>
    </row>
    <row r="96" spans="1:16">
      <c r="A96" s="445"/>
      <c r="B96" s="445"/>
      <c r="C96" s="445"/>
      <c r="D96" s="445"/>
      <c r="E96" s="445"/>
      <c r="F96" s="445"/>
      <c r="G96" s="445"/>
      <c r="H96" s="445"/>
      <c r="I96" s="445"/>
      <c r="J96" s="445"/>
      <c r="K96" s="1136"/>
      <c r="L96" s="1136"/>
      <c r="M96" s="445"/>
      <c r="N96" s="445"/>
      <c r="O96" s="445"/>
      <c r="P96" s="445"/>
    </row>
    <row r="97" spans="1:16">
      <c r="A97" s="445"/>
      <c r="B97" s="445"/>
      <c r="C97" s="445"/>
      <c r="D97" s="445"/>
      <c r="E97" s="445"/>
      <c r="F97" s="445"/>
      <c r="G97" s="445"/>
      <c r="H97" s="445"/>
      <c r="I97" s="445"/>
      <c r="J97" s="445"/>
      <c r="K97" s="1136"/>
      <c r="L97" s="1136"/>
      <c r="M97" s="445"/>
      <c r="N97" s="445"/>
      <c r="O97" s="445"/>
      <c r="P97" s="445"/>
    </row>
    <row r="98" spans="1:16">
      <c r="A98" s="445"/>
      <c r="B98" s="445"/>
      <c r="C98" s="445"/>
      <c r="D98" s="445"/>
      <c r="E98" s="445"/>
      <c r="F98" s="445"/>
      <c r="G98" s="445"/>
      <c r="H98" s="445"/>
      <c r="I98" s="445"/>
      <c r="J98" s="445"/>
      <c r="K98" s="1136"/>
      <c r="L98" s="1136"/>
      <c r="M98" s="445"/>
      <c r="N98" s="445"/>
      <c r="O98" s="445"/>
      <c r="P98" s="445"/>
    </row>
    <row r="99" spans="1:16">
      <c r="A99" s="445"/>
      <c r="B99" s="445"/>
      <c r="C99" s="445"/>
      <c r="D99" s="445"/>
      <c r="E99" s="445"/>
      <c r="F99" s="445"/>
      <c r="G99" s="445"/>
      <c r="H99" s="445"/>
      <c r="I99" s="445"/>
      <c r="J99" s="445"/>
      <c r="K99" s="1136"/>
      <c r="L99" s="1136"/>
      <c r="M99" s="445"/>
      <c r="N99" s="445"/>
      <c r="O99" s="445"/>
      <c r="P99" s="445"/>
    </row>
    <row r="100" spans="1:16">
      <c r="A100" s="445"/>
      <c r="B100" s="445"/>
      <c r="C100" s="445"/>
      <c r="D100" s="445"/>
      <c r="E100" s="445"/>
      <c r="F100" s="445"/>
      <c r="G100" s="445"/>
      <c r="H100" s="445"/>
      <c r="I100" s="445"/>
      <c r="J100" s="445"/>
      <c r="K100" s="1136"/>
      <c r="L100" s="1136"/>
      <c r="M100" s="445"/>
      <c r="N100" s="445"/>
      <c r="O100" s="445"/>
      <c r="P100" s="445"/>
    </row>
    <row r="101" spans="1:16">
      <c r="A101" s="445"/>
      <c r="B101" s="445"/>
      <c r="C101" s="445"/>
      <c r="D101" s="445"/>
      <c r="E101" s="445"/>
      <c r="F101" s="445"/>
      <c r="G101" s="445"/>
      <c r="H101" s="445"/>
      <c r="I101" s="445"/>
      <c r="J101" s="445"/>
      <c r="K101" s="1136"/>
      <c r="L101" s="1136"/>
      <c r="M101" s="445"/>
      <c r="N101" s="445"/>
      <c r="O101" s="445"/>
      <c r="P101" s="445"/>
    </row>
    <row r="102" spans="1:16">
      <c r="A102" s="445"/>
      <c r="B102" s="445"/>
      <c r="C102" s="445"/>
      <c r="D102" s="445"/>
      <c r="E102" s="445"/>
      <c r="F102" s="445"/>
      <c r="G102" s="445"/>
      <c r="H102" s="445"/>
      <c r="I102" s="445"/>
      <c r="J102" s="445"/>
      <c r="K102" s="1136"/>
      <c r="L102" s="1136"/>
      <c r="M102" s="445"/>
      <c r="N102" s="445"/>
      <c r="O102" s="445"/>
      <c r="P102" s="445"/>
    </row>
    <row r="103" spans="1:16">
      <c r="A103" s="445"/>
      <c r="B103" s="445"/>
      <c r="C103" s="445"/>
      <c r="D103" s="445"/>
      <c r="E103" s="445"/>
      <c r="F103" s="445"/>
      <c r="G103" s="445"/>
      <c r="H103" s="445"/>
      <c r="I103" s="445"/>
      <c r="J103" s="445"/>
      <c r="K103" s="1136"/>
      <c r="L103" s="1136"/>
      <c r="M103" s="445"/>
      <c r="N103" s="445"/>
      <c r="O103" s="445"/>
      <c r="P103" s="445"/>
    </row>
    <row r="104" spans="1:16">
      <c r="A104" s="445"/>
      <c r="B104" s="445"/>
      <c r="C104" s="445"/>
      <c r="D104" s="445"/>
      <c r="E104" s="445"/>
      <c r="F104" s="445"/>
      <c r="G104" s="445"/>
      <c r="H104" s="445"/>
      <c r="I104" s="445"/>
      <c r="J104" s="445"/>
      <c r="K104" s="1136"/>
      <c r="L104" s="1136"/>
      <c r="M104" s="445"/>
      <c r="N104" s="445"/>
      <c r="O104" s="445"/>
      <c r="P104" s="445"/>
    </row>
    <row r="105" spans="1:16">
      <c r="A105" s="445"/>
      <c r="B105" s="445"/>
      <c r="C105" s="445"/>
      <c r="D105" s="445"/>
      <c r="E105" s="445"/>
      <c r="F105" s="445"/>
      <c r="G105" s="445"/>
      <c r="H105" s="445"/>
      <c r="I105" s="445"/>
      <c r="J105" s="445"/>
      <c r="K105" s="1136"/>
      <c r="L105" s="1136"/>
      <c r="M105" s="445"/>
      <c r="N105" s="445"/>
      <c r="O105" s="445"/>
      <c r="P105" s="445"/>
    </row>
    <row r="106" spans="1:16">
      <c r="A106" s="445"/>
      <c r="B106" s="445"/>
      <c r="C106" s="445"/>
      <c r="D106" s="445"/>
      <c r="E106" s="445"/>
      <c r="F106" s="445"/>
      <c r="G106" s="445"/>
      <c r="H106" s="445"/>
      <c r="I106" s="445"/>
      <c r="J106" s="445"/>
      <c r="K106" s="1136"/>
      <c r="L106" s="1136"/>
      <c r="M106" s="445"/>
      <c r="N106" s="445"/>
      <c r="O106" s="445"/>
      <c r="P106" s="445"/>
    </row>
    <row r="107" spans="1:16">
      <c r="A107" s="445"/>
      <c r="B107" s="445"/>
      <c r="C107" s="445"/>
      <c r="D107" s="445"/>
      <c r="E107" s="445"/>
      <c r="F107" s="445"/>
      <c r="G107" s="445"/>
      <c r="H107" s="445"/>
      <c r="I107" s="445"/>
      <c r="J107" s="445"/>
      <c r="K107" s="1136"/>
      <c r="L107" s="1136"/>
      <c r="M107" s="445"/>
      <c r="N107" s="445"/>
      <c r="O107" s="445"/>
      <c r="P107" s="445"/>
    </row>
    <row r="108" spans="1:16">
      <c r="A108" s="445"/>
      <c r="B108" s="445"/>
      <c r="C108" s="445"/>
      <c r="D108" s="445"/>
      <c r="E108" s="445"/>
      <c r="F108" s="445"/>
      <c r="G108" s="445"/>
      <c r="H108" s="445"/>
      <c r="I108" s="445"/>
      <c r="J108" s="445"/>
      <c r="K108" s="1136"/>
      <c r="L108" s="1136"/>
      <c r="M108" s="445"/>
      <c r="N108" s="445"/>
      <c r="O108" s="445"/>
      <c r="P108" s="445"/>
    </row>
    <row r="109" spans="1:16">
      <c r="A109" s="445"/>
      <c r="B109" s="445"/>
      <c r="C109" s="445"/>
      <c r="D109" s="445"/>
      <c r="E109" s="445"/>
      <c r="F109" s="445"/>
      <c r="G109" s="445"/>
      <c r="H109" s="445"/>
      <c r="I109" s="445"/>
      <c r="J109" s="445"/>
      <c r="K109" s="1136"/>
      <c r="L109" s="1136"/>
      <c r="M109" s="445"/>
      <c r="N109" s="445"/>
      <c r="O109" s="445"/>
      <c r="P109" s="445"/>
    </row>
    <row r="110" spans="1:16">
      <c r="A110" s="445"/>
      <c r="B110" s="445"/>
      <c r="C110" s="445"/>
      <c r="D110" s="445"/>
      <c r="E110" s="445"/>
      <c r="F110" s="445"/>
      <c r="G110" s="445"/>
      <c r="H110" s="445"/>
      <c r="I110" s="445"/>
      <c r="J110" s="445"/>
      <c r="K110" s="1136"/>
      <c r="L110" s="1136"/>
      <c r="M110" s="445"/>
      <c r="N110" s="445"/>
      <c r="O110" s="445"/>
      <c r="P110" s="445"/>
    </row>
    <row r="111" spans="1:16">
      <c r="A111" s="445"/>
      <c r="B111" s="445"/>
      <c r="C111" s="445"/>
      <c r="D111" s="445"/>
      <c r="E111" s="445"/>
      <c r="F111" s="445"/>
      <c r="G111" s="445"/>
      <c r="H111" s="445"/>
      <c r="I111" s="445"/>
      <c r="J111" s="445"/>
      <c r="K111" s="1136"/>
      <c r="L111" s="1136"/>
      <c r="M111" s="445"/>
      <c r="N111" s="445"/>
      <c r="O111" s="445"/>
      <c r="P111" s="445"/>
    </row>
    <row r="112" spans="1:16">
      <c r="A112" s="445"/>
      <c r="B112" s="445"/>
      <c r="C112" s="445"/>
      <c r="D112" s="445"/>
      <c r="E112" s="445"/>
      <c r="F112" s="445"/>
      <c r="G112" s="445"/>
      <c r="H112" s="445"/>
      <c r="I112" s="445"/>
      <c r="J112" s="445"/>
      <c r="K112" s="1136"/>
      <c r="L112" s="1136"/>
      <c r="M112" s="445"/>
      <c r="N112" s="445"/>
      <c r="O112" s="445"/>
      <c r="P112" s="445"/>
    </row>
    <row r="113" spans="1:16">
      <c r="A113" s="445"/>
      <c r="B113" s="445"/>
      <c r="C113" s="445"/>
      <c r="D113" s="445"/>
      <c r="E113" s="445"/>
      <c r="F113" s="445"/>
      <c r="G113" s="445"/>
      <c r="H113" s="445"/>
      <c r="I113" s="445"/>
      <c r="J113" s="445"/>
      <c r="K113" s="1136"/>
      <c r="L113" s="1136"/>
      <c r="M113" s="445"/>
      <c r="N113" s="445"/>
      <c r="O113" s="445"/>
      <c r="P113" s="445"/>
    </row>
    <row r="114" spans="1:16">
      <c r="A114" s="445"/>
      <c r="B114" s="445"/>
      <c r="C114" s="445"/>
      <c r="D114" s="445"/>
      <c r="E114" s="445"/>
      <c r="F114" s="445"/>
      <c r="G114" s="445"/>
      <c r="H114" s="445"/>
      <c r="I114" s="445"/>
      <c r="J114" s="445"/>
      <c r="K114" s="1136"/>
      <c r="L114" s="1136"/>
      <c r="M114" s="445"/>
      <c r="N114" s="445"/>
      <c r="O114" s="445"/>
      <c r="P114" s="445"/>
    </row>
    <row r="115" spans="1:16">
      <c r="A115" s="445"/>
      <c r="B115" s="445"/>
      <c r="C115" s="445"/>
      <c r="D115" s="445"/>
      <c r="E115" s="445"/>
      <c r="F115" s="445"/>
      <c r="G115" s="445"/>
      <c r="H115" s="445"/>
      <c r="I115" s="445"/>
      <c r="J115" s="445"/>
      <c r="K115" s="1136"/>
      <c r="L115" s="1136"/>
      <c r="M115" s="445"/>
      <c r="N115" s="445"/>
      <c r="O115" s="445"/>
      <c r="P115" s="445"/>
    </row>
    <row r="116" spans="1:16">
      <c r="A116" s="445"/>
      <c r="B116" s="445"/>
      <c r="C116" s="445"/>
      <c r="D116" s="445"/>
      <c r="E116" s="445"/>
      <c r="F116" s="445"/>
      <c r="G116" s="445"/>
      <c r="H116" s="445"/>
      <c r="I116" s="445"/>
      <c r="J116" s="445"/>
      <c r="K116" s="1136"/>
      <c r="L116" s="1136"/>
      <c r="M116" s="445"/>
      <c r="N116" s="445"/>
      <c r="O116" s="445"/>
      <c r="P116" s="445"/>
    </row>
    <row r="117" spans="1:16">
      <c r="A117" s="445"/>
      <c r="B117" s="445"/>
      <c r="C117" s="445"/>
      <c r="D117" s="445"/>
      <c r="E117" s="445"/>
      <c r="F117" s="445"/>
      <c r="G117" s="445"/>
      <c r="H117" s="445"/>
      <c r="I117" s="445"/>
      <c r="J117" s="445"/>
      <c r="K117" s="1136"/>
      <c r="L117" s="1136"/>
      <c r="M117" s="445"/>
      <c r="N117" s="445"/>
      <c r="O117" s="445"/>
      <c r="P117" s="445"/>
    </row>
    <row r="118" spans="1:16">
      <c r="A118" s="445"/>
      <c r="B118" s="445"/>
      <c r="C118" s="445"/>
      <c r="D118" s="445"/>
      <c r="E118" s="445"/>
      <c r="F118" s="445"/>
      <c r="G118" s="445"/>
      <c r="H118" s="445"/>
      <c r="I118" s="445"/>
      <c r="J118" s="445"/>
      <c r="K118" s="1136"/>
      <c r="L118" s="1136"/>
      <c r="M118" s="445"/>
      <c r="N118" s="445"/>
      <c r="O118" s="445"/>
      <c r="P118" s="445"/>
    </row>
    <row r="119" spans="1:16">
      <c r="A119" s="445"/>
      <c r="B119" s="445"/>
      <c r="C119" s="445"/>
      <c r="D119" s="445"/>
      <c r="E119" s="445"/>
      <c r="F119" s="445"/>
      <c r="G119" s="445"/>
      <c r="H119" s="445"/>
      <c r="I119" s="445"/>
      <c r="J119" s="445"/>
      <c r="K119" s="1136"/>
      <c r="L119" s="1136"/>
      <c r="M119" s="445"/>
      <c r="N119" s="445"/>
      <c r="O119" s="445"/>
      <c r="P119" s="445"/>
    </row>
    <row r="120" spans="1:16">
      <c r="A120" s="445"/>
      <c r="B120" s="445"/>
      <c r="C120" s="445"/>
      <c r="D120" s="445"/>
      <c r="E120" s="445"/>
      <c r="F120" s="445"/>
      <c r="G120" s="445"/>
      <c r="H120" s="445"/>
      <c r="I120" s="445"/>
      <c r="J120" s="445"/>
      <c r="K120" s="1136"/>
      <c r="L120" s="1136"/>
      <c r="M120" s="445"/>
      <c r="N120" s="445"/>
      <c r="O120" s="445"/>
      <c r="P120" s="445"/>
    </row>
    <row r="121" spans="1:16">
      <c r="A121" s="445"/>
      <c r="B121" s="445"/>
      <c r="C121" s="445"/>
      <c r="D121" s="445"/>
      <c r="E121" s="445"/>
      <c r="F121" s="445"/>
      <c r="G121" s="445"/>
      <c r="H121" s="445"/>
      <c r="I121" s="445"/>
      <c r="J121" s="445"/>
      <c r="K121" s="1136"/>
      <c r="L121" s="1136"/>
      <c r="M121" s="445"/>
      <c r="N121" s="445"/>
      <c r="O121" s="445"/>
      <c r="P121" s="445"/>
    </row>
    <row r="122" spans="1:16">
      <c r="A122" s="445"/>
      <c r="B122" s="445"/>
      <c r="C122" s="445"/>
      <c r="D122" s="445"/>
      <c r="E122" s="445"/>
      <c r="F122" s="445"/>
      <c r="G122" s="445"/>
      <c r="H122" s="445"/>
      <c r="I122" s="445"/>
      <c r="J122" s="445"/>
      <c r="K122" s="1136"/>
      <c r="L122" s="1136"/>
      <c r="M122" s="445"/>
      <c r="N122" s="445"/>
      <c r="O122" s="445"/>
      <c r="P122" s="445"/>
    </row>
    <row r="123" spans="1:16">
      <c r="A123" s="445"/>
      <c r="B123" s="445"/>
      <c r="C123" s="445"/>
      <c r="D123" s="445"/>
      <c r="E123" s="445"/>
      <c r="F123" s="445"/>
      <c r="G123" s="445"/>
      <c r="H123" s="445"/>
      <c r="I123" s="445"/>
      <c r="J123" s="445"/>
      <c r="K123" s="1136"/>
      <c r="L123" s="1136"/>
      <c r="M123" s="445"/>
      <c r="N123" s="445"/>
      <c r="O123" s="445"/>
      <c r="P123" s="445"/>
    </row>
    <row r="124" spans="1:16">
      <c r="A124" s="445"/>
      <c r="B124" s="445"/>
      <c r="C124" s="445"/>
      <c r="D124" s="445"/>
      <c r="E124" s="445"/>
      <c r="F124" s="445"/>
      <c r="G124" s="445"/>
      <c r="H124" s="445"/>
      <c r="I124" s="445"/>
      <c r="J124" s="445"/>
      <c r="K124" s="1136"/>
      <c r="L124" s="1136"/>
      <c r="M124" s="445"/>
      <c r="N124" s="445"/>
      <c r="O124" s="445"/>
      <c r="P124" s="445"/>
    </row>
    <row r="125" spans="1:16">
      <c r="A125" s="445"/>
      <c r="B125" s="445"/>
      <c r="C125" s="445"/>
      <c r="D125" s="445"/>
      <c r="E125" s="445"/>
      <c r="F125" s="445"/>
      <c r="G125" s="445"/>
      <c r="H125" s="445"/>
      <c r="I125" s="445"/>
      <c r="J125" s="445"/>
      <c r="K125" s="1136"/>
      <c r="L125" s="1136"/>
      <c r="M125" s="445"/>
      <c r="N125" s="445"/>
      <c r="O125" s="445"/>
      <c r="P125" s="445"/>
    </row>
    <row r="126" spans="1:16">
      <c r="A126" s="445"/>
      <c r="B126" s="445"/>
      <c r="C126" s="445"/>
      <c r="D126" s="445"/>
      <c r="E126" s="445"/>
      <c r="F126" s="445"/>
      <c r="G126" s="445"/>
      <c r="H126" s="445"/>
      <c r="I126" s="445"/>
      <c r="J126" s="445"/>
      <c r="K126" s="1136"/>
      <c r="L126" s="1136"/>
      <c r="M126" s="445"/>
      <c r="N126" s="445"/>
      <c r="O126" s="445"/>
      <c r="P126" s="445"/>
    </row>
    <row r="127" spans="1:16">
      <c r="A127" s="445"/>
      <c r="B127" s="445"/>
      <c r="C127" s="445"/>
      <c r="D127" s="445"/>
      <c r="E127" s="445"/>
      <c r="F127" s="445"/>
      <c r="G127" s="445"/>
      <c r="H127" s="445"/>
      <c r="I127" s="445"/>
      <c r="J127" s="445"/>
      <c r="K127" s="1136"/>
      <c r="L127" s="1136"/>
      <c r="M127" s="445"/>
      <c r="N127" s="445"/>
      <c r="O127" s="445"/>
      <c r="P127" s="445"/>
    </row>
    <row r="128" spans="1:16">
      <c r="A128" s="445"/>
      <c r="B128" s="445"/>
      <c r="C128" s="445"/>
      <c r="D128" s="445"/>
      <c r="E128" s="445"/>
      <c r="F128" s="445"/>
      <c r="G128" s="445"/>
      <c r="H128" s="445"/>
      <c r="I128" s="445"/>
      <c r="J128" s="445"/>
      <c r="K128" s="1136"/>
      <c r="L128" s="1136"/>
      <c r="M128" s="445"/>
      <c r="N128" s="445"/>
      <c r="O128" s="445"/>
      <c r="P128" s="445"/>
    </row>
    <row r="129" spans="1:16">
      <c r="A129" s="445"/>
      <c r="B129" s="445"/>
      <c r="C129" s="445"/>
      <c r="D129" s="445"/>
      <c r="E129" s="445"/>
      <c r="F129" s="445"/>
      <c r="G129" s="445"/>
      <c r="H129" s="445"/>
      <c r="I129" s="445"/>
      <c r="J129" s="445"/>
      <c r="K129" s="1136"/>
      <c r="L129" s="1136"/>
      <c r="M129" s="445"/>
      <c r="N129" s="445"/>
      <c r="O129" s="445"/>
      <c r="P129" s="445"/>
    </row>
    <row r="130" spans="1:16">
      <c r="A130" s="445"/>
      <c r="B130" s="445"/>
      <c r="C130" s="445"/>
      <c r="D130" s="445"/>
      <c r="E130" s="445"/>
      <c r="F130" s="445"/>
      <c r="G130" s="445"/>
      <c r="H130" s="445"/>
      <c r="I130" s="445"/>
      <c r="J130" s="445"/>
      <c r="K130" s="1136"/>
      <c r="L130" s="1136"/>
      <c r="M130" s="445"/>
      <c r="N130" s="445"/>
      <c r="O130" s="445"/>
      <c r="P130" s="445"/>
    </row>
    <row r="131" spans="1:16">
      <c r="A131" s="445"/>
      <c r="B131" s="445"/>
      <c r="C131" s="445"/>
      <c r="D131" s="445"/>
      <c r="E131" s="445"/>
      <c r="F131" s="445"/>
      <c r="G131" s="445"/>
      <c r="H131" s="445"/>
      <c r="I131" s="445"/>
      <c r="J131" s="445"/>
      <c r="K131" s="1136"/>
      <c r="L131" s="1136"/>
      <c r="M131" s="445"/>
      <c r="N131" s="445"/>
      <c r="O131" s="445"/>
      <c r="P131" s="445"/>
    </row>
    <row r="132" spans="1:16">
      <c r="A132" s="445"/>
      <c r="B132" s="445"/>
      <c r="C132" s="445"/>
      <c r="D132" s="445"/>
      <c r="E132" s="445"/>
      <c r="F132" s="445"/>
      <c r="G132" s="445"/>
      <c r="H132" s="445"/>
      <c r="I132" s="445"/>
      <c r="J132" s="445"/>
      <c r="K132" s="1136"/>
      <c r="L132" s="1136"/>
      <c r="M132" s="445"/>
      <c r="N132" s="445"/>
      <c r="O132" s="445"/>
      <c r="P132" s="445"/>
    </row>
    <row r="133" spans="1:16">
      <c r="A133" s="445"/>
      <c r="B133" s="445"/>
      <c r="C133" s="445"/>
      <c r="D133" s="445"/>
      <c r="E133" s="445"/>
      <c r="F133" s="445"/>
      <c r="G133" s="445"/>
      <c r="H133" s="445"/>
      <c r="I133" s="445"/>
      <c r="J133" s="445"/>
      <c r="K133" s="1136"/>
      <c r="L133" s="1136"/>
      <c r="M133" s="445"/>
      <c r="N133" s="445"/>
      <c r="O133" s="445"/>
      <c r="P133" s="445"/>
    </row>
    <row r="134" spans="1:16">
      <c r="A134" s="445"/>
      <c r="B134" s="445"/>
      <c r="C134" s="445"/>
      <c r="D134" s="445"/>
      <c r="E134" s="445"/>
      <c r="F134" s="445"/>
      <c r="G134" s="445"/>
      <c r="H134" s="445"/>
      <c r="I134" s="445"/>
      <c r="J134" s="445"/>
      <c r="K134" s="1136"/>
      <c r="L134" s="1136"/>
      <c r="M134" s="445"/>
      <c r="N134" s="445"/>
      <c r="O134" s="445"/>
      <c r="P134" s="445"/>
    </row>
    <row r="135" spans="1:16">
      <c r="A135" s="445"/>
      <c r="B135" s="445"/>
      <c r="C135" s="445"/>
      <c r="D135" s="445"/>
      <c r="E135" s="445"/>
      <c r="F135" s="445"/>
      <c r="G135" s="445"/>
      <c r="H135" s="445"/>
      <c r="I135" s="445"/>
      <c r="J135" s="445"/>
      <c r="K135" s="1136"/>
      <c r="L135" s="1136"/>
      <c r="M135" s="445"/>
      <c r="N135" s="445"/>
      <c r="O135" s="445"/>
      <c r="P135" s="445"/>
    </row>
    <row r="136" spans="1:16">
      <c r="A136" s="445"/>
      <c r="B136" s="445"/>
      <c r="C136" s="445"/>
      <c r="D136" s="445"/>
      <c r="E136" s="445"/>
      <c r="F136" s="445"/>
      <c r="G136" s="445"/>
      <c r="H136" s="445"/>
      <c r="I136" s="445"/>
      <c r="J136" s="445"/>
      <c r="K136" s="1136"/>
      <c r="L136" s="1136"/>
      <c r="M136" s="445"/>
      <c r="N136" s="445"/>
      <c r="O136" s="445"/>
      <c r="P136" s="445"/>
    </row>
    <row r="137" spans="1:16">
      <c r="A137" s="445"/>
      <c r="B137" s="445"/>
      <c r="C137" s="445"/>
      <c r="D137" s="445"/>
      <c r="E137" s="445"/>
      <c r="F137" s="445"/>
      <c r="G137" s="445"/>
      <c r="H137" s="445"/>
      <c r="I137" s="445"/>
      <c r="J137" s="445"/>
      <c r="K137" s="1136"/>
      <c r="L137" s="1136"/>
      <c r="M137" s="445"/>
      <c r="N137" s="445"/>
      <c r="O137" s="445"/>
      <c r="P137" s="445"/>
    </row>
    <row r="138" spans="1:16">
      <c r="A138" s="445"/>
      <c r="B138" s="445"/>
      <c r="C138" s="445"/>
      <c r="D138" s="445"/>
      <c r="E138" s="445"/>
      <c r="F138" s="445"/>
      <c r="G138" s="445"/>
      <c r="H138" s="445"/>
      <c r="I138" s="445"/>
      <c r="J138" s="445"/>
      <c r="K138" s="1136"/>
      <c r="L138" s="1136"/>
      <c r="M138" s="445"/>
      <c r="N138" s="445"/>
      <c r="O138" s="445"/>
      <c r="P138" s="445"/>
    </row>
    <row r="139" spans="1:16">
      <c r="A139" s="445"/>
      <c r="B139" s="445"/>
      <c r="C139" s="445"/>
      <c r="D139" s="445"/>
      <c r="E139" s="445"/>
      <c r="F139" s="445"/>
      <c r="G139" s="445"/>
      <c r="H139" s="445"/>
      <c r="I139" s="445"/>
      <c r="J139" s="445"/>
      <c r="K139" s="1136"/>
      <c r="L139" s="1136"/>
      <c r="M139" s="445"/>
      <c r="N139" s="445"/>
      <c r="O139" s="445"/>
      <c r="P139" s="445"/>
    </row>
    <row r="140" spans="1:16">
      <c r="A140" s="445"/>
      <c r="B140" s="445"/>
      <c r="C140" s="445"/>
      <c r="D140" s="445"/>
      <c r="E140" s="445"/>
      <c r="F140" s="445"/>
      <c r="G140" s="445"/>
      <c r="H140" s="445"/>
      <c r="I140" s="445"/>
      <c r="J140" s="445"/>
      <c r="K140" s="1136"/>
      <c r="L140" s="1136"/>
      <c r="M140" s="445"/>
      <c r="N140" s="445"/>
      <c r="O140" s="445"/>
      <c r="P140" s="445"/>
    </row>
    <row r="141" spans="1:16">
      <c r="A141" s="445"/>
      <c r="B141" s="445"/>
      <c r="C141" s="445"/>
      <c r="D141" s="445"/>
      <c r="E141" s="445"/>
      <c r="F141" s="445"/>
      <c r="G141" s="445"/>
      <c r="H141" s="445"/>
      <c r="I141" s="445"/>
      <c r="J141" s="445"/>
      <c r="K141" s="1136"/>
      <c r="L141" s="1136"/>
      <c r="M141" s="445"/>
      <c r="N141" s="445"/>
      <c r="O141" s="445"/>
      <c r="P141" s="445"/>
    </row>
    <row r="142" spans="1:16">
      <c r="A142" s="445"/>
      <c r="B142" s="445"/>
      <c r="C142" s="445"/>
      <c r="D142" s="445"/>
      <c r="E142" s="445"/>
      <c r="F142" s="445"/>
      <c r="G142" s="445"/>
      <c r="H142" s="445"/>
      <c r="I142" s="445"/>
      <c r="J142" s="445"/>
      <c r="K142" s="1136"/>
      <c r="L142" s="1136"/>
      <c r="M142" s="445"/>
      <c r="N142" s="445"/>
      <c r="O142" s="445"/>
      <c r="P142" s="445"/>
    </row>
    <row r="143" spans="1:16">
      <c r="A143" s="445"/>
      <c r="B143" s="445"/>
      <c r="C143" s="445"/>
      <c r="D143" s="445"/>
      <c r="E143" s="445"/>
      <c r="F143" s="445"/>
      <c r="G143" s="445"/>
      <c r="H143" s="445"/>
      <c r="I143" s="445"/>
      <c r="J143" s="445"/>
      <c r="K143" s="1136"/>
      <c r="L143" s="1136"/>
      <c r="M143" s="445"/>
      <c r="N143" s="445"/>
      <c r="O143" s="445"/>
      <c r="P143" s="445"/>
    </row>
    <row r="144" spans="1:16">
      <c r="A144" s="445"/>
      <c r="B144" s="445"/>
      <c r="C144" s="445"/>
      <c r="D144" s="445"/>
      <c r="E144" s="445"/>
      <c r="F144" s="445"/>
      <c r="G144" s="445"/>
      <c r="H144" s="445"/>
      <c r="I144" s="445"/>
      <c r="J144" s="445"/>
      <c r="K144" s="1136"/>
      <c r="L144" s="1136"/>
      <c r="M144" s="445"/>
      <c r="N144" s="445"/>
      <c r="O144" s="445"/>
      <c r="P144" s="445"/>
    </row>
    <row r="145" spans="1:16">
      <c r="A145" s="445"/>
      <c r="B145" s="445"/>
      <c r="C145" s="445"/>
      <c r="D145" s="445"/>
      <c r="E145" s="445"/>
      <c r="F145" s="445"/>
      <c r="G145" s="445"/>
      <c r="H145" s="445"/>
      <c r="I145" s="445"/>
      <c r="J145" s="445"/>
      <c r="K145" s="1136"/>
      <c r="L145" s="1136"/>
      <c r="M145" s="445"/>
      <c r="N145" s="445"/>
      <c r="O145" s="445"/>
      <c r="P145" s="445"/>
    </row>
    <row r="146" spans="1:16">
      <c r="A146" s="445"/>
      <c r="B146" s="445"/>
      <c r="C146" s="445"/>
      <c r="D146" s="445"/>
      <c r="E146" s="445"/>
      <c r="F146" s="445"/>
      <c r="G146" s="445"/>
      <c r="H146" s="445"/>
      <c r="I146" s="445"/>
      <c r="J146" s="445"/>
      <c r="K146" s="1136"/>
      <c r="L146" s="1136"/>
      <c r="M146" s="445"/>
      <c r="N146" s="445"/>
      <c r="O146" s="445"/>
      <c r="P146" s="445"/>
    </row>
    <row r="147" spans="1:16">
      <c r="A147" s="445"/>
      <c r="B147" s="445"/>
      <c r="C147" s="445"/>
      <c r="D147" s="445"/>
      <c r="E147" s="445"/>
      <c r="F147" s="445"/>
      <c r="G147" s="445"/>
      <c r="H147" s="445"/>
      <c r="I147" s="445"/>
      <c r="J147" s="445"/>
      <c r="K147" s="1136"/>
      <c r="L147" s="1136"/>
      <c r="M147" s="445"/>
      <c r="N147" s="445"/>
      <c r="O147" s="445"/>
      <c r="P147" s="445"/>
    </row>
    <row r="148" spans="1:16">
      <c r="A148" s="445"/>
      <c r="B148" s="445"/>
      <c r="C148" s="445"/>
      <c r="D148" s="445"/>
      <c r="E148" s="445"/>
      <c r="F148" s="445"/>
      <c r="G148" s="445"/>
      <c r="H148" s="445"/>
      <c r="I148" s="445"/>
      <c r="J148" s="445"/>
      <c r="K148" s="1136"/>
      <c r="L148" s="1136"/>
      <c r="M148" s="445"/>
      <c r="N148" s="445"/>
      <c r="O148" s="445"/>
      <c r="P148" s="445"/>
    </row>
    <row r="149" spans="1:16">
      <c r="A149" s="445"/>
      <c r="B149" s="445"/>
      <c r="C149" s="445"/>
      <c r="D149" s="445"/>
      <c r="E149" s="445"/>
      <c r="F149" s="445"/>
      <c r="G149" s="445"/>
      <c r="H149" s="445"/>
      <c r="I149" s="445"/>
      <c r="J149" s="445"/>
      <c r="K149" s="1136"/>
      <c r="L149" s="1136"/>
      <c r="M149" s="445"/>
      <c r="N149" s="445"/>
      <c r="O149" s="445"/>
      <c r="P149" s="445"/>
    </row>
    <row r="150" spans="1:16">
      <c r="A150" s="445"/>
      <c r="B150" s="445"/>
      <c r="C150" s="445"/>
      <c r="D150" s="445"/>
      <c r="E150" s="445"/>
      <c r="F150" s="445"/>
      <c r="G150" s="445"/>
      <c r="H150" s="445"/>
      <c r="I150" s="445"/>
      <c r="J150" s="445"/>
      <c r="K150" s="1136"/>
      <c r="L150" s="1136"/>
      <c r="M150" s="445"/>
      <c r="N150" s="445"/>
      <c r="O150" s="445"/>
      <c r="P150" s="445"/>
    </row>
    <row r="151" spans="1:16">
      <c r="A151" s="445"/>
      <c r="B151" s="445"/>
      <c r="C151" s="445"/>
      <c r="D151" s="445"/>
      <c r="E151" s="445"/>
      <c r="F151" s="445"/>
      <c r="G151" s="445"/>
      <c r="H151" s="445"/>
      <c r="I151" s="445"/>
      <c r="J151" s="445"/>
      <c r="K151" s="1136"/>
      <c r="L151" s="1136"/>
      <c r="M151" s="445"/>
      <c r="N151" s="445"/>
      <c r="O151" s="445"/>
      <c r="P151" s="445"/>
    </row>
    <row r="152" spans="1:16">
      <c r="A152" s="445"/>
      <c r="B152" s="445"/>
      <c r="C152" s="445"/>
      <c r="D152" s="445"/>
      <c r="E152" s="445"/>
      <c r="F152" s="445"/>
      <c r="G152" s="445"/>
      <c r="H152" s="445"/>
      <c r="I152" s="445"/>
      <c r="J152" s="445"/>
      <c r="K152" s="1136"/>
      <c r="L152" s="1136"/>
      <c r="M152" s="445"/>
      <c r="N152" s="445"/>
      <c r="O152" s="445"/>
      <c r="P152" s="445"/>
    </row>
    <row r="153" spans="1:16">
      <c r="A153" s="445"/>
      <c r="B153" s="445"/>
      <c r="C153" s="445"/>
      <c r="D153" s="445"/>
      <c r="E153" s="445"/>
      <c r="F153" s="445"/>
      <c r="G153" s="445"/>
      <c r="H153" s="445"/>
      <c r="I153" s="445"/>
      <c r="J153" s="445"/>
      <c r="K153" s="1136"/>
      <c r="L153" s="1136"/>
      <c r="M153" s="445"/>
      <c r="N153" s="445"/>
      <c r="O153" s="445"/>
      <c r="P153" s="445"/>
    </row>
    <row r="154" spans="1:16">
      <c r="A154" s="445"/>
      <c r="B154" s="445"/>
      <c r="C154" s="445"/>
      <c r="D154" s="445"/>
      <c r="E154" s="445"/>
      <c r="F154" s="445"/>
      <c r="G154" s="445"/>
      <c r="H154" s="445"/>
      <c r="I154" s="445"/>
      <c r="J154" s="445"/>
      <c r="K154" s="1136"/>
      <c r="L154" s="1136"/>
      <c r="M154" s="445"/>
      <c r="N154" s="445"/>
      <c r="O154" s="445"/>
      <c r="P154" s="445"/>
    </row>
    <row r="155" spans="1:16">
      <c r="A155" s="445"/>
      <c r="B155" s="445"/>
      <c r="C155" s="445"/>
      <c r="D155" s="445"/>
      <c r="E155" s="445"/>
      <c r="F155" s="445"/>
      <c r="G155" s="445"/>
      <c r="H155" s="445"/>
      <c r="I155" s="445"/>
      <c r="J155" s="445"/>
      <c r="K155" s="1136"/>
      <c r="L155" s="1136"/>
      <c r="M155" s="445"/>
      <c r="N155" s="445"/>
      <c r="O155" s="445"/>
      <c r="P155" s="445"/>
    </row>
    <row r="156" spans="1:16">
      <c r="A156" s="445"/>
      <c r="B156" s="445"/>
      <c r="C156" s="445"/>
      <c r="D156" s="445"/>
      <c r="E156" s="445"/>
      <c r="F156" s="445"/>
      <c r="G156" s="445"/>
      <c r="H156" s="445"/>
      <c r="I156" s="445"/>
      <c r="J156" s="445"/>
      <c r="K156" s="1136"/>
      <c r="L156" s="1136"/>
      <c r="M156" s="445"/>
      <c r="N156" s="445"/>
      <c r="O156" s="445"/>
      <c r="P156" s="445"/>
    </row>
    <row r="157" spans="1:16">
      <c r="A157" s="445"/>
      <c r="B157" s="445"/>
      <c r="C157" s="445"/>
      <c r="D157" s="445"/>
      <c r="E157" s="445"/>
      <c r="F157" s="445"/>
      <c r="G157" s="445"/>
      <c r="H157" s="445"/>
      <c r="I157" s="445"/>
      <c r="J157" s="445"/>
      <c r="K157" s="1136"/>
      <c r="L157" s="1136"/>
      <c r="M157" s="445"/>
      <c r="N157" s="445"/>
      <c r="O157" s="445"/>
      <c r="P157" s="445"/>
    </row>
    <row r="158" spans="1:16">
      <c r="A158" s="445"/>
      <c r="B158" s="445"/>
      <c r="C158" s="445"/>
      <c r="D158" s="445"/>
      <c r="E158" s="445"/>
      <c r="F158" s="445"/>
      <c r="G158" s="445"/>
      <c r="H158" s="445"/>
      <c r="I158" s="445"/>
      <c r="J158" s="445"/>
      <c r="K158" s="1136"/>
      <c r="L158" s="1136"/>
      <c r="M158" s="445"/>
      <c r="N158" s="445"/>
      <c r="O158" s="445"/>
      <c r="P158" s="445"/>
    </row>
    <row r="159" spans="1:16">
      <c r="A159" s="445"/>
      <c r="B159" s="445"/>
      <c r="C159" s="445"/>
      <c r="D159" s="445"/>
      <c r="E159" s="445"/>
      <c r="F159" s="445"/>
      <c r="G159" s="445"/>
      <c r="H159" s="445"/>
      <c r="I159" s="445"/>
      <c r="J159" s="445"/>
      <c r="K159" s="1136"/>
      <c r="L159" s="1136"/>
      <c r="M159" s="445"/>
      <c r="N159" s="445"/>
      <c r="O159" s="445"/>
      <c r="P159" s="445"/>
    </row>
    <row r="160" spans="1:16">
      <c r="A160" s="445"/>
      <c r="B160" s="445"/>
      <c r="C160" s="445"/>
      <c r="D160" s="445"/>
      <c r="E160" s="445"/>
      <c r="F160" s="445"/>
      <c r="G160" s="445"/>
      <c r="H160" s="445"/>
      <c r="I160" s="445"/>
      <c r="J160" s="445"/>
      <c r="K160" s="1136"/>
      <c r="L160" s="1136"/>
      <c r="M160" s="445"/>
      <c r="N160" s="445"/>
      <c r="O160" s="445"/>
      <c r="P160" s="445"/>
    </row>
    <row r="161" spans="1:16">
      <c r="A161" s="445"/>
      <c r="B161" s="445"/>
      <c r="C161" s="445"/>
      <c r="D161" s="445"/>
      <c r="E161" s="445"/>
      <c r="F161" s="445"/>
      <c r="G161" s="445"/>
      <c r="H161" s="445"/>
      <c r="I161" s="445"/>
      <c r="J161" s="445"/>
      <c r="K161" s="1136"/>
      <c r="L161" s="1136"/>
      <c r="M161" s="445"/>
      <c r="N161" s="445"/>
      <c r="O161" s="445"/>
      <c r="P161" s="445"/>
    </row>
    <row r="162" spans="1:16">
      <c r="A162" s="445"/>
      <c r="B162" s="445"/>
      <c r="C162" s="445"/>
      <c r="D162" s="445"/>
      <c r="E162" s="445"/>
      <c r="F162" s="445"/>
      <c r="G162" s="445"/>
      <c r="H162" s="445"/>
      <c r="I162" s="445"/>
      <c r="J162" s="445"/>
      <c r="K162" s="1136"/>
      <c r="L162" s="1136"/>
      <c r="M162" s="445"/>
      <c r="N162" s="445"/>
      <c r="O162" s="445"/>
      <c r="P162" s="445"/>
    </row>
    <row r="163" spans="1:16">
      <c r="A163" s="445"/>
      <c r="B163" s="445"/>
      <c r="C163" s="445"/>
      <c r="D163" s="445"/>
      <c r="E163" s="445"/>
      <c r="F163" s="445"/>
      <c r="G163" s="445"/>
      <c r="H163" s="445"/>
      <c r="I163" s="445"/>
      <c r="J163" s="445"/>
      <c r="K163" s="1136"/>
      <c r="L163" s="1136"/>
      <c r="M163" s="445"/>
      <c r="N163" s="445"/>
      <c r="O163" s="445"/>
      <c r="P163" s="445"/>
    </row>
    <row r="164" spans="1:16">
      <c r="A164" s="445"/>
      <c r="B164" s="445"/>
      <c r="C164" s="445"/>
      <c r="D164" s="445"/>
      <c r="E164" s="445"/>
      <c r="F164" s="445"/>
      <c r="G164" s="445"/>
      <c r="H164" s="445"/>
      <c r="I164" s="445"/>
      <c r="J164" s="445"/>
      <c r="K164" s="1136"/>
      <c r="L164" s="1136"/>
      <c r="M164" s="445"/>
      <c r="N164" s="445"/>
      <c r="O164" s="445"/>
      <c r="P164" s="445"/>
    </row>
    <row r="165" spans="1:16">
      <c r="A165" s="445"/>
      <c r="B165" s="445"/>
      <c r="C165" s="445"/>
      <c r="D165" s="445"/>
      <c r="E165" s="445"/>
      <c r="F165" s="445"/>
      <c r="G165" s="445"/>
      <c r="H165" s="445"/>
      <c r="I165" s="445"/>
      <c r="J165" s="445"/>
      <c r="K165" s="1136"/>
      <c r="L165" s="1136"/>
      <c r="M165" s="445"/>
      <c r="N165" s="445"/>
      <c r="O165" s="445"/>
      <c r="P165" s="445"/>
    </row>
    <row r="166" spans="1:16">
      <c r="A166" s="445"/>
      <c r="B166" s="445"/>
      <c r="C166" s="445"/>
      <c r="D166" s="445"/>
      <c r="E166" s="445"/>
      <c r="F166" s="445"/>
      <c r="G166" s="445"/>
      <c r="H166" s="445"/>
      <c r="I166" s="445"/>
      <c r="J166" s="445"/>
      <c r="K166" s="1136"/>
      <c r="L166" s="1136"/>
      <c r="M166" s="445"/>
      <c r="N166" s="445"/>
      <c r="O166" s="445"/>
      <c r="P166" s="445"/>
    </row>
    <row r="167" spans="1:16">
      <c r="A167" s="445"/>
      <c r="B167" s="445"/>
      <c r="C167" s="445"/>
      <c r="D167" s="445"/>
      <c r="E167" s="445"/>
      <c r="F167" s="445"/>
      <c r="G167" s="445"/>
      <c r="H167" s="445"/>
      <c r="I167" s="445"/>
      <c r="J167" s="445"/>
      <c r="K167" s="1136"/>
      <c r="L167" s="1136"/>
      <c r="M167" s="445"/>
      <c r="N167" s="445"/>
      <c r="O167" s="445"/>
      <c r="P167" s="445"/>
    </row>
    <row r="168" spans="1:16">
      <c r="A168" s="445"/>
      <c r="B168" s="445"/>
      <c r="C168" s="445"/>
      <c r="D168" s="445"/>
      <c r="E168" s="445"/>
      <c r="F168" s="445"/>
      <c r="G168" s="445"/>
      <c r="H168" s="445"/>
      <c r="I168" s="445"/>
      <c r="J168" s="445"/>
      <c r="K168" s="1136"/>
      <c r="L168" s="1136"/>
      <c r="M168" s="445"/>
      <c r="N168" s="445"/>
      <c r="O168" s="445"/>
      <c r="P168" s="445"/>
    </row>
    <row r="169" spans="1:16">
      <c r="A169" s="445"/>
      <c r="B169" s="445"/>
      <c r="C169" s="445"/>
      <c r="D169" s="445"/>
      <c r="E169" s="445"/>
      <c r="F169" s="445"/>
      <c r="G169" s="445"/>
      <c r="H169" s="445"/>
      <c r="I169" s="445"/>
      <c r="J169" s="445"/>
      <c r="K169" s="1136"/>
      <c r="L169" s="1136"/>
      <c r="M169" s="445"/>
      <c r="N169" s="445"/>
      <c r="O169" s="445"/>
      <c r="P169" s="445"/>
    </row>
    <row r="170" spans="1:16">
      <c r="A170" s="445"/>
      <c r="B170" s="445"/>
      <c r="C170" s="445"/>
      <c r="D170" s="445"/>
      <c r="E170" s="445"/>
      <c r="F170" s="445"/>
      <c r="G170" s="445"/>
      <c r="H170" s="445"/>
      <c r="I170" s="445"/>
      <c r="J170" s="445"/>
      <c r="K170" s="1136"/>
      <c r="L170" s="1136"/>
      <c r="M170" s="445"/>
      <c r="N170" s="445"/>
      <c r="O170" s="445"/>
      <c r="P170" s="445"/>
    </row>
    <row r="171" spans="1:16">
      <c r="A171" s="445"/>
      <c r="B171" s="445"/>
      <c r="C171" s="445"/>
      <c r="D171" s="445"/>
      <c r="E171" s="445"/>
      <c r="F171" s="445"/>
      <c r="G171" s="445"/>
      <c r="H171" s="445"/>
      <c r="I171" s="445"/>
      <c r="J171" s="445"/>
      <c r="K171" s="1136"/>
      <c r="L171" s="1136"/>
      <c r="M171" s="445"/>
      <c r="N171" s="445"/>
      <c r="O171" s="445"/>
      <c r="P171" s="445"/>
    </row>
    <row r="172" spans="1:16">
      <c r="A172" s="445"/>
      <c r="B172" s="445"/>
      <c r="C172" s="445"/>
      <c r="D172" s="445"/>
      <c r="E172" s="445"/>
      <c r="F172" s="445"/>
      <c r="G172" s="445"/>
      <c r="H172" s="445"/>
      <c r="I172" s="445"/>
      <c r="J172" s="445"/>
      <c r="K172" s="1136"/>
      <c r="L172" s="1136"/>
      <c r="M172" s="445"/>
      <c r="N172" s="445"/>
      <c r="O172" s="445"/>
      <c r="P172" s="445"/>
    </row>
    <row r="173" spans="1:16">
      <c r="A173" s="445"/>
      <c r="B173" s="445"/>
      <c r="C173" s="445"/>
      <c r="D173" s="445"/>
      <c r="E173" s="445"/>
      <c r="F173" s="445"/>
      <c r="G173" s="445"/>
      <c r="H173" s="445"/>
      <c r="I173" s="445"/>
      <c r="J173" s="445"/>
      <c r="K173" s="1136"/>
      <c r="L173" s="1136"/>
      <c r="M173" s="445"/>
      <c r="N173" s="445"/>
      <c r="O173" s="445"/>
      <c r="P173" s="445"/>
    </row>
    <row r="174" spans="1:16">
      <c r="A174" s="445"/>
      <c r="B174" s="445"/>
      <c r="C174" s="445"/>
      <c r="D174" s="445"/>
      <c r="E174" s="445"/>
      <c r="F174" s="445"/>
      <c r="G174" s="445"/>
      <c r="H174" s="445"/>
      <c r="I174" s="445"/>
      <c r="J174" s="445"/>
      <c r="K174" s="1136"/>
      <c r="L174" s="1136"/>
      <c r="M174" s="445"/>
      <c r="N174" s="445"/>
      <c r="O174" s="445"/>
      <c r="P174" s="445"/>
    </row>
    <row r="175" spans="1:16">
      <c r="A175" s="445"/>
      <c r="B175" s="445"/>
      <c r="C175" s="445"/>
      <c r="D175" s="445"/>
      <c r="E175" s="445"/>
      <c r="F175" s="445"/>
      <c r="G175" s="445"/>
      <c r="H175" s="445"/>
      <c r="I175" s="445"/>
      <c r="J175" s="445"/>
      <c r="K175" s="1136"/>
      <c r="L175" s="1136"/>
      <c r="M175" s="445"/>
      <c r="N175" s="445"/>
      <c r="O175" s="445"/>
      <c r="P175" s="445"/>
    </row>
    <row r="176" spans="1:16">
      <c r="A176" s="445"/>
      <c r="B176" s="445"/>
      <c r="C176" s="445"/>
      <c r="D176" s="445"/>
      <c r="E176" s="445"/>
      <c r="F176" s="445"/>
      <c r="G176" s="445"/>
      <c r="H176" s="445"/>
      <c r="I176" s="445"/>
      <c r="J176" s="445"/>
      <c r="K176" s="1136"/>
      <c r="L176" s="1136"/>
      <c r="M176" s="445"/>
      <c r="N176" s="445"/>
      <c r="O176" s="445"/>
      <c r="P176" s="445"/>
    </row>
    <row r="177" spans="1:16">
      <c r="A177" s="445"/>
      <c r="B177" s="445"/>
      <c r="C177" s="445"/>
      <c r="D177" s="445"/>
      <c r="E177" s="445"/>
      <c r="F177" s="445"/>
      <c r="G177" s="445"/>
      <c r="H177" s="445"/>
      <c r="I177" s="445"/>
      <c r="J177" s="445"/>
      <c r="K177" s="1136"/>
      <c r="L177" s="1136"/>
      <c r="M177" s="445"/>
      <c r="N177" s="445"/>
      <c r="O177" s="445"/>
      <c r="P177" s="445"/>
    </row>
    <row r="178" spans="1:16">
      <c r="A178" s="445"/>
      <c r="B178" s="445"/>
      <c r="C178" s="445"/>
      <c r="D178" s="445"/>
      <c r="E178" s="445"/>
      <c r="F178" s="445"/>
      <c r="G178" s="445"/>
      <c r="H178" s="445"/>
      <c r="I178" s="445"/>
      <c r="J178" s="445"/>
      <c r="K178" s="1136"/>
      <c r="L178" s="1136"/>
      <c r="M178" s="445"/>
      <c r="N178" s="445"/>
      <c r="O178" s="445"/>
      <c r="P178" s="445"/>
    </row>
    <row r="179" spans="1:16">
      <c r="A179" s="445"/>
      <c r="B179" s="445"/>
      <c r="C179" s="445"/>
      <c r="D179" s="445"/>
      <c r="E179" s="445"/>
      <c r="F179" s="445"/>
      <c r="G179" s="445"/>
      <c r="H179" s="445"/>
      <c r="I179" s="445"/>
      <c r="J179" s="445"/>
      <c r="K179" s="1136"/>
      <c r="L179" s="1136"/>
      <c r="M179" s="445"/>
      <c r="N179" s="445"/>
      <c r="O179" s="445"/>
      <c r="P179" s="445"/>
    </row>
    <row r="180" spans="1:16">
      <c r="A180" s="445"/>
      <c r="B180" s="445"/>
      <c r="C180" s="445"/>
      <c r="D180" s="445"/>
      <c r="E180" s="445"/>
      <c r="F180" s="445"/>
      <c r="G180" s="445"/>
      <c r="H180" s="445"/>
      <c r="I180" s="445"/>
      <c r="J180" s="445"/>
      <c r="K180" s="1136"/>
      <c r="L180" s="1136"/>
      <c r="M180" s="445"/>
      <c r="N180" s="445"/>
      <c r="O180" s="445"/>
      <c r="P180" s="445"/>
    </row>
    <row r="181" spans="1:16">
      <c r="A181" s="445"/>
      <c r="B181" s="445"/>
      <c r="C181" s="445"/>
      <c r="D181" s="445"/>
      <c r="E181" s="445"/>
      <c r="F181" s="445"/>
      <c r="G181" s="445"/>
      <c r="H181" s="445"/>
      <c r="I181" s="445"/>
      <c r="J181" s="445"/>
      <c r="K181" s="1136"/>
      <c r="L181" s="1136"/>
      <c r="M181" s="445"/>
      <c r="N181" s="445"/>
      <c r="O181" s="445"/>
      <c r="P181" s="445"/>
    </row>
    <row r="182" spans="1:16">
      <c r="A182" s="445"/>
      <c r="B182" s="445"/>
      <c r="C182" s="445"/>
      <c r="D182" s="445"/>
      <c r="E182" s="445"/>
      <c r="F182" s="445"/>
      <c r="G182" s="445"/>
      <c r="H182" s="445"/>
      <c r="I182" s="445"/>
      <c r="J182" s="445"/>
      <c r="K182" s="1136"/>
      <c r="L182" s="1136"/>
      <c r="M182" s="445"/>
      <c r="N182" s="445"/>
      <c r="O182" s="445"/>
      <c r="P182" s="445"/>
    </row>
    <row r="183" spans="1:16">
      <c r="A183" s="445"/>
      <c r="B183" s="445"/>
      <c r="C183" s="445"/>
      <c r="D183" s="445"/>
      <c r="E183" s="445"/>
      <c r="F183" s="445"/>
      <c r="G183" s="445"/>
      <c r="H183" s="445"/>
      <c r="I183" s="445"/>
      <c r="J183" s="445"/>
      <c r="K183" s="1136"/>
      <c r="L183" s="1136"/>
      <c r="M183" s="445"/>
      <c r="N183" s="445"/>
      <c r="O183" s="445"/>
      <c r="P183" s="445"/>
    </row>
    <row r="184" spans="1:16">
      <c r="A184" s="445"/>
      <c r="B184" s="445"/>
      <c r="C184" s="445"/>
      <c r="D184" s="445"/>
      <c r="E184" s="445"/>
      <c r="F184" s="445"/>
      <c r="G184" s="445"/>
      <c r="H184" s="445"/>
      <c r="I184" s="445"/>
      <c r="J184" s="445"/>
      <c r="K184" s="1136"/>
      <c r="L184" s="1136"/>
      <c r="M184" s="445"/>
      <c r="N184" s="445"/>
      <c r="O184" s="445"/>
      <c r="P184" s="445"/>
    </row>
    <row r="185" spans="1:16">
      <c r="A185" s="445"/>
      <c r="B185" s="445"/>
      <c r="C185" s="445"/>
      <c r="D185" s="445"/>
      <c r="E185" s="445"/>
      <c r="F185" s="445"/>
      <c r="G185" s="445"/>
      <c r="H185" s="445"/>
      <c r="I185" s="445"/>
      <c r="J185" s="445"/>
      <c r="K185" s="1136"/>
      <c r="L185" s="1136"/>
      <c r="M185" s="445"/>
      <c r="N185" s="445"/>
      <c r="O185" s="445"/>
      <c r="P185" s="445"/>
    </row>
    <row r="186" spans="1:16">
      <c r="A186" s="445"/>
      <c r="B186" s="445"/>
      <c r="C186" s="445"/>
      <c r="D186" s="445"/>
      <c r="E186" s="445"/>
      <c r="F186" s="445"/>
      <c r="G186" s="445"/>
      <c r="H186" s="445"/>
      <c r="I186" s="445"/>
      <c r="J186" s="445"/>
      <c r="K186" s="1136"/>
      <c r="L186" s="1136"/>
      <c r="M186" s="445"/>
      <c r="N186" s="445"/>
      <c r="O186" s="445"/>
      <c r="P186" s="445"/>
    </row>
    <row r="187" spans="1:16">
      <c r="A187" s="445"/>
      <c r="B187" s="445"/>
      <c r="C187" s="445"/>
      <c r="D187" s="445"/>
      <c r="E187" s="445"/>
      <c r="F187" s="445"/>
      <c r="G187" s="445"/>
      <c r="H187" s="445"/>
      <c r="I187" s="445"/>
      <c r="J187" s="445"/>
      <c r="K187" s="1136"/>
      <c r="L187" s="1136"/>
      <c r="M187" s="445"/>
      <c r="N187" s="445"/>
      <c r="O187" s="445"/>
      <c r="P187" s="445"/>
    </row>
    <row r="188" spans="1:16">
      <c r="A188" s="445"/>
      <c r="B188" s="445"/>
      <c r="C188" s="445"/>
      <c r="D188" s="445"/>
      <c r="E188" s="445"/>
      <c r="F188" s="445"/>
      <c r="G188" s="445"/>
      <c r="H188" s="445"/>
      <c r="I188" s="445"/>
      <c r="J188" s="445"/>
      <c r="K188" s="1136"/>
      <c r="L188" s="1136"/>
      <c r="M188" s="445"/>
      <c r="N188" s="445"/>
      <c r="O188" s="445"/>
      <c r="P188" s="445"/>
    </row>
    <row r="189" spans="1:16">
      <c r="A189" s="445"/>
      <c r="B189" s="445"/>
      <c r="C189" s="445"/>
      <c r="D189" s="445"/>
      <c r="E189" s="445"/>
      <c r="F189" s="445"/>
      <c r="G189" s="445"/>
      <c r="H189" s="445"/>
      <c r="I189" s="445"/>
      <c r="J189" s="445"/>
      <c r="K189" s="1136"/>
      <c r="L189" s="1136"/>
      <c r="M189" s="445"/>
      <c r="N189" s="445"/>
      <c r="O189" s="445"/>
      <c r="P189" s="445"/>
    </row>
    <row r="190" spans="1:16">
      <c r="A190" s="445"/>
      <c r="B190" s="445"/>
      <c r="C190" s="445"/>
      <c r="D190" s="445"/>
      <c r="E190" s="445"/>
      <c r="F190" s="445"/>
      <c r="G190" s="445"/>
      <c r="H190" s="445"/>
      <c r="I190" s="445"/>
      <c r="J190" s="445"/>
      <c r="K190" s="1136"/>
      <c r="L190" s="1136"/>
      <c r="M190" s="445"/>
      <c r="N190" s="445"/>
      <c r="O190" s="445"/>
      <c r="P190" s="445"/>
    </row>
    <row r="191" spans="1:16">
      <c r="A191" s="445"/>
      <c r="B191" s="445"/>
      <c r="C191" s="445"/>
      <c r="D191" s="445"/>
      <c r="E191" s="445"/>
      <c r="F191" s="445"/>
      <c r="G191" s="445"/>
      <c r="H191" s="445"/>
      <c r="I191" s="445"/>
      <c r="J191" s="445"/>
      <c r="K191" s="1136"/>
      <c r="L191" s="1136"/>
      <c r="M191" s="445"/>
      <c r="N191" s="445"/>
      <c r="O191" s="445"/>
      <c r="P191" s="445"/>
    </row>
    <row r="192" spans="1:16">
      <c r="A192" s="445"/>
      <c r="B192" s="445"/>
      <c r="C192" s="445"/>
      <c r="D192" s="445"/>
      <c r="E192" s="445"/>
      <c r="F192" s="445"/>
      <c r="G192" s="445"/>
      <c r="H192" s="445"/>
      <c r="I192" s="445"/>
      <c r="J192" s="445"/>
      <c r="K192" s="1136"/>
      <c r="L192" s="1136"/>
      <c r="M192" s="445"/>
      <c r="N192" s="445"/>
      <c r="O192" s="445"/>
      <c r="P192" s="445"/>
    </row>
    <row r="193" spans="1:16">
      <c r="A193" s="445"/>
      <c r="B193" s="445"/>
      <c r="C193" s="445"/>
      <c r="D193" s="445"/>
      <c r="E193" s="445"/>
      <c r="F193" s="445"/>
      <c r="G193" s="445"/>
      <c r="H193" s="445"/>
      <c r="I193" s="445"/>
      <c r="J193" s="445"/>
      <c r="K193" s="1136"/>
      <c r="L193" s="1136"/>
      <c r="M193" s="445"/>
      <c r="N193" s="445"/>
      <c r="O193" s="445"/>
      <c r="P193" s="445"/>
    </row>
    <row r="194" spans="1:16">
      <c r="A194" s="445"/>
      <c r="B194" s="445"/>
      <c r="C194" s="445"/>
      <c r="D194" s="445"/>
      <c r="E194" s="445"/>
      <c r="F194" s="445"/>
      <c r="G194" s="445"/>
      <c r="H194" s="445"/>
      <c r="I194" s="445"/>
      <c r="J194" s="445"/>
      <c r="K194" s="1136"/>
      <c r="L194" s="1136"/>
      <c r="M194" s="445"/>
      <c r="N194" s="445"/>
      <c r="O194" s="445"/>
      <c r="P194" s="445"/>
    </row>
    <row r="195" spans="1:16">
      <c r="A195" s="445"/>
      <c r="B195" s="445"/>
      <c r="C195" s="445"/>
      <c r="D195" s="445"/>
      <c r="E195" s="445"/>
      <c r="F195" s="445"/>
      <c r="G195" s="445"/>
      <c r="H195" s="445"/>
      <c r="I195" s="445"/>
      <c r="J195" s="445"/>
      <c r="K195" s="1136"/>
      <c r="L195" s="1136"/>
      <c r="M195" s="445"/>
      <c r="N195" s="445"/>
      <c r="O195" s="445"/>
      <c r="P195" s="445"/>
    </row>
    <row r="196" spans="1:16">
      <c r="A196" s="445"/>
      <c r="B196" s="445"/>
      <c r="C196" s="445"/>
      <c r="D196" s="445"/>
      <c r="E196" s="445"/>
      <c r="F196" s="445"/>
      <c r="G196" s="445"/>
      <c r="H196" s="445"/>
      <c r="I196" s="445"/>
      <c r="J196" s="445"/>
      <c r="K196" s="1136"/>
      <c r="L196" s="1136"/>
      <c r="M196" s="445"/>
      <c r="N196" s="445"/>
      <c r="O196" s="445"/>
      <c r="P196" s="445"/>
    </row>
    <row r="197" spans="1:16">
      <c r="A197" s="445"/>
      <c r="B197" s="445"/>
      <c r="C197" s="445"/>
      <c r="D197" s="445"/>
      <c r="E197" s="445"/>
      <c r="F197" s="445"/>
      <c r="G197" s="445"/>
      <c r="H197" s="445"/>
      <c r="I197" s="445"/>
      <c r="J197" s="445"/>
      <c r="K197" s="1136"/>
      <c r="L197" s="1136"/>
      <c r="M197" s="445"/>
      <c r="N197" s="445"/>
      <c r="O197" s="445"/>
      <c r="P197" s="445"/>
    </row>
    <row r="198" spans="1:16">
      <c r="A198" s="445"/>
      <c r="B198" s="445"/>
      <c r="C198" s="445"/>
      <c r="D198" s="445"/>
      <c r="E198" s="445"/>
      <c r="F198" s="445"/>
      <c r="G198" s="445"/>
      <c r="H198" s="445"/>
      <c r="I198" s="445"/>
      <c r="J198" s="445"/>
      <c r="K198" s="1136"/>
      <c r="L198" s="1136"/>
      <c r="M198" s="445"/>
      <c r="N198" s="445"/>
      <c r="O198" s="445"/>
      <c r="P198" s="445"/>
    </row>
    <row r="199" spans="1:16">
      <c r="A199" s="445"/>
      <c r="B199" s="445"/>
      <c r="C199" s="445"/>
      <c r="D199" s="445"/>
      <c r="E199" s="445"/>
      <c r="F199" s="445"/>
      <c r="G199" s="445"/>
      <c r="H199" s="445"/>
      <c r="I199" s="445"/>
      <c r="J199" s="445"/>
      <c r="K199" s="1136"/>
      <c r="L199" s="1136"/>
      <c r="M199" s="445"/>
      <c r="N199" s="445"/>
      <c r="O199" s="445"/>
      <c r="P199" s="445"/>
    </row>
    <row r="200" spans="1:16">
      <c r="A200" s="445"/>
      <c r="B200" s="445"/>
      <c r="C200" s="445"/>
      <c r="D200" s="445"/>
      <c r="E200" s="445"/>
      <c r="F200" s="445"/>
      <c r="G200" s="445"/>
      <c r="H200" s="445"/>
      <c r="I200" s="445"/>
      <c r="J200" s="445"/>
      <c r="K200" s="1136"/>
      <c r="L200" s="1136"/>
      <c r="M200" s="445"/>
      <c r="N200" s="445"/>
      <c r="O200" s="445"/>
      <c r="P200" s="445"/>
    </row>
    <row r="201" spans="1:16">
      <c r="A201" s="445"/>
      <c r="B201" s="445"/>
      <c r="C201" s="445"/>
      <c r="D201" s="445"/>
      <c r="E201" s="445"/>
      <c r="F201" s="445"/>
      <c r="G201" s="445"/>
      <c r="H201" s="445"/>
      <c r="I201" s="445"/>
      <c r="J201" s="445"/>
      <c r="K201" s="1136"/>
      <c r="L201" s="1136"/>
      <c r="M201" s="445"/>
      <c r="N201" s="445"/>
      <c r="O201" s="445"/>
      <c r="P201" s="445"/>
    </row>
    <row r="202" spans="1:16">
      <c r="A202" s="445"/>
      <c r="B202" s="445"/>
      <c r="C202" s="445"/>
      <c r="D202" s="445"/>
      <c r="E202" s="445"/>
      <c r="F202" s="445"/>
      <c r="G202" s="445"/>
      <c r="H202" s="445"/>
      <c r="I202" s="445"/>
      <c r="J202" s="445"/>
      <c r="K202" s="1136"/>
      <c r="L202" s="1136"/>
      <c r="M202" s="445"/>
      <c r="N202" s="445"/>
      <c r="O202" s="445"/>
      <c r="P202" s="445"/>
    </row>
    <row r="203" spans="1:16">
      <c r="A203" s="445"/>
      <c r="B203" s="445"/>
      <c r="C203" s="445"/>
      <c r="D203" s="445"/>
      <c r="E203" s="445"/>
      <c r="F203" s="445"/>
      <c r="G203" s="445"/>
      <c r="H203" s="445"/>
      <c r="I203" s="445"/>
      <c r="J203" s="445"/>
      <c r="K203" s="1136"/>
      <c r="L203" s="1136"/>
      <c r="M203" s="445"/>
      <c r="N203" s="445"/>
      <c r="O203" s="445"/>
      <c r="P203" s="445"/>
    </row>
    <row r="204" spans="1:16">
      <c r="A204" s="445"/>
      <c r="B204" s="445"/>
      <c r="C204" s="445"/>
      <c r="D204" s="445"/>
      <c r="E204" s="445"/>
      <c r="F204" s="445"/>
      <c r="G204" s="445"/>
      <c r="H204" s="445"/>
      <c r="I204" s="445"/>
      <c r="J204" s="445"/>
      <c r="K204" s="1136"/>
      <c r="L204" s="1136"/>
      <c r="M204" s="445"/>
      <c r="N204" s="445"/>
      <c r="O204" s="445"/>
      <c r="P204" s="445"/>
    </row>
    <row r="205" spans="1:16">
      <c r="A205" s="445"/>
      <c r="B205" s="445"/>
      <c r="C205" s="445"/>
      <c r="D205" s="445"/>
      <c r="E205" s="445"/>
      <c r="F205" s="445"/>
      <c r="G205" s="445"/>
      <c r="H205" s="445"/>
      <c r="I205" s="445"/>
      <c r="J205" s="445"/>
      <c r="K205" s="1136"/>
      <c r="L205" s="1136"/>
      <c r="M205" s="445"/>
      <c r="N205" s="445"/>
      <c r="O205" s="445"/>
      <c r="P205" s="445"/>
    </row>
    <row r="206" spans="1:16">
      <c r="A206" s="445"/>
      <c r="B206" s="445"/>
      <c r="C206" s="445"/>
      <c r="D206" s="445"/>
      <c r="E206" s="445"/>
      <c r="F206" s="445"/>
      <c r="G206" s="445"/>
      <c r="H206" s="445"/>
      <c r="I206" s="445"/>
      <c r="J206" s="445"/>
      <c r="K206" s="1136"/>
      <c r="L206" s="1136"/>
      <c r="M206" s="445"/>
      <c r="N206" s="445"/>
      <c r="O206" s="445"/>
      <c r="P206" s="445"/>
    </row>
    <row r="207" spans="1:16">
      <c r="A207" s="445"/>
      <c r="B207" s="445"/>
      <c r="C207" s="445"/>
      <c r="D207" s="445"/>
      <c r="E207" s="445"/>
      <c r="F207" s="445"/>
      <c r="G207" s="445"/>
      <c r="H207" s="445"/>
      <c r="I207" s="445"/>
      <c r="J207" s="445"/>
      <c r="K207" s="1136"/>
      <c r="L207" s="1136"/>
      <c r="M207" s="445"/>
      <c r="N207" s="445"/>
      <c r="O207" s="445"/>
      <c r="P207" s="445"/>
    </row>
    <row r="208" spans="1:16">
      <c r="A208" s="445"/>
      <c r="B208" s="445"/>
      <c r="C208" s="445"/>
      <c r="D208" s="445"/>
      <c r="E208" s="445"/>
      <c r="F208" s="445"/>
      <c r="G208" s="445"/>
      <c r="H208" s="445"/>
      <c r="I208" s="445"/>
      <c r="J208" s="445"/>
      <c r="K208" s="1136"/>
      <c r="L208" s="1136"/>
      <c r="M208" s="445"/>
      <c r="N208" s="445"/>
      <c r="O208" s="445"/>
      <c r="P208" s="445"/>
    </row>
    <row r="209" spans="1:16">
      <c r="A209" s="445"/>
      <c r="B209" s="445"/>
      <c r="C209" s="445"/>
      <c r="D209" s="445"/>
      <c r="E209" s="445"/>
      <c r="F209" s="445"/>
      <c r="G209" s="445"/>
      <c r="H209" s="445"/>
      <c r="I209" s="445"/>
      <c r="J209" s="445"/>
      <c r="K209" s="1136"/>
      <c r="L209" s="1136"/>
      <c r="M209" s="445"/>
      <c r="N209" s="445"/>
      <c r="O209" s="445"/>
      <c r="P209" s="445"/>
    </row>
    <row r="210" spans="1:16">
      <c r="A210" s="445"/>
      <c r="B210" s="445"/>
      <c r="C210" s="445"/>
      <c r="D210" s="445"/>
      <c r="E210" s="445"/>
      <c r="F210" s="445"/>
      <c r="G210" s="445"/>
      <c r="H210" s="445"/>
      <c r="I210" s="445"/>
      <c r="J210" s="445"/>
      <c r="K210" s="1136"/>
      <c r="L210" s="1136"/>
      <c r="M210" s="445"/>
      <c r="N210" s="445"/>
      <c r="O210" s="445"/>
      <c r="P210" s="445"/>
    </row>
    <row r="211" spans="1:16">
      <c r="A211" s="445"/>
      <c r="B211" s="445"/>
      <c r="C211" s="445"/>
      <c r="D211" s="445"/>
      <c r="E211" s="445"/>
      <c r="F211" s="445"/>
      <c r="G211" s="445"/>
      <c r="H211" s="445"/>
      <c r="I211" s="445"/>
      <c r="J211" s="445"/>
      <c r="K211" s="1136"/>
      <c r="L211" s="1136"/>
      <c r="M211" s="445"/>
      <c r="N211" s="445"/>
      <c r="O211" s="445"/>
      <c r="P211" s="445"/>
    </row>
    <row r="212" spans="1:16">
      <c r="A212" s="445"/>
      <c r="B212" s="445"/>
      <c r="C212" s="445"/>
      <c r="D212" s="445"/>
      <c r="E212" s="445"/>
      <c r="F212" s="445"/>
      <c r="G212" s="445"/>
      <c r="H212" s="445"/>
      <c r="I212" s="445"/>
      <c r="J212" s="445"/>
      <c r="K212" s="1136"/>
      <c r="L212" s="1136"/>
      <c r="M212" s="445"/>
      <c r="N212" s="445"/>
      <c r="O212" s="445"/>
      <c r="P212" s="445"/>
    </row>
    <row r="213" spans="1:16">
      <c r="A213" s="445"/>
      <c r="B213" s="445"/>
      <c r="C213" s="445"/>
      <c r="D213" s="445"/>
      <c r="E213" s="445"/>
      <c r="F213" s="445"/>
      <c r="G213" s="445"/>
      <c r="H213" s="445"/>
      <c r="I213" s="445"/>
      <c r="J213" s="445"/>
      <c r="K213" s="1136"/>
      <c r="L213" s="1136"/>
      <c r="M213" s="445"/>
      <c r="N213" s="445"/>
      <c r="O213" s="445"/>
      <c r="P213" s="445"/>
    </row>
    <row r="214" spans="1:16">
      <c r="A214" s="445"/>
      <c r="B214" s="445"/>
      <c r="C214" s="445"/>
      <c r="D214" s="445"/>
      <c r="E214" s="445"/>
      <c r="F214" s="445"/>
      <c r="G214" s="445"/>
      <c r="H214" s="445"/>
      <c r="I214" s="445"/>
      <c r="J214" s="445"/>
      <c r="K214" s="1136"/>
      <c r="L214" s="1136"/>
      <c r="M214" s="445"/>
      <c r="N214" s="445"/>
      <c r="O214" s="445"/>
      <c r="P214" s="445"/>
    </row>
    <row r="215" spans="1:16">
      <c r="A215" s="445"/>
      <c r="B215" s="445"/>
      <c r="C215" s="445"/>
      <c r="D215" s="445"/>
      <c r="E215" s="445"/>
      <c r="F215" s="445"/>
      <c r="G215" s="445"/>
      <c r="H215" s="445"/>
      <c r="I215" s="445"/>
      <c r="J215" s="445"/>
      <c r="K215" s="1136"/>
      <c r="L215" s="1136"/>
      <c r="M215" s="445"/>
      <c r="N215" s="445"/>
      <c r="O215" s="445"/>
      <c r="P215" s="445"/>
    </row>
    <row r="216" spans="1:16">
      <c r="A216" s="445"/>
      <c r="B216" s="445"/>
      <c r="C216" s="445"/>
      <c r="D216" s="445"/>
      <c r="E216" s="445"/>
      <c r="F216" s="445"/>
      <c r="G216" s="445"/>
      <c r="H216" s="445"/>
      <c r="I216" s="445"/>
      <c r="J216" s="445"/>
      <c r="K216" s="1136"/>
      <c r="L216" s="1136"/>
      <c r="M216" s="445"/>
      <c r="N216" s="445"/>
      <c r="O216" s="445"/>
      <c r="P216" s="445"/>
    </row>
    <row r="217" spans="1:16">
      <c r="A217" s="445"/>
      <c r="B217" s="445"/>
      <c r="C217" s="445"/>
      <c r="D217" s="445"/>
      <c r="E217" s="445"/>
      <c r="F217" s="445"/>
      <c r="G217" s="445"/>
      <c r="H217" s="445"/>
      <c r="I217" s="445"/>
      <c r="J217" s="445"/>
      <c r="K217" s="1136"/>
      <c r="L217" s="1136"/>
      <c r="M217" s="445"/>
      <c r="N217" s="445"/>
      <c r="O217" s="445"/>
      <c r="P217" s="445"/>
    </row>
    <row r="218" spans="1:16">
      <c r="A218" s="445"/>
      <c r="B218" s="445"/>
      <c r="C218" s="445"/>
      <c r="D218" s="445"/>
      <c r="E218" s="445"/>
      <c r="F218" s="445"/>
      <c r="G218" s="445"/>
      <c r="H218" s="445"/>
      <c r="I218" s="445"/>
      <c r="J218" s="445"/>
      <c r="K218" s="1136"/>
      <c r="L218" s="1136"/>
      <c r="M218" s="445"/>
      <c r="N218" s="445"/>
      <c r="O218" s="445"/>
      <c r="P218" s="445"/>
    </row>
    <row r="219" spans="1:16">
      <c r="A219" s="445"/>
      <c r="B219" s="445"/>
      <c r="C219" s="445"/>
      <c r="D219" s="445"/>
      <c r="E219" s="445"/>
      <c r="F219" s="445"/>
      <c r="G219" s="445"/>
      <c r="H219" s="445"/>
      <c r="I219" s="445"/>
      <c r="J219" s="445"/>
      <c r="K219" s="1136"/>
      <c r="L219" s="1136"/>
      <c r="M219" s="445"/>
      <c r="N219" s="445"/>
      <c r="O219" s="445"/>
      <c r="P219" s="445"/>
    </row>
    <row r="220" spans="1:16">
      <c r="A220" s="445"/>
      <c r="B220" s="445"/>
      <c r="C220" s="445"/>
      <c r="D220" s="445"/>
      <c r="E220" s="445"/>
      <c r="F220" s="445"/>
      <c r="G220" s="445"/>
      <c r="H220" s="445"/>
      <c r="I220" s="445"/>
      <c r="J220" s="445"/>
      <c r="K220" s="1136"/>
      <c r="L220" s="1136"/>
      <c r="M220" s="445"/>
      <c r="N220" s="445"/>
      <c r="O220" s="445"/>
      <c r="P220" s="445"/>
    </row>
    <row r="221" spans="1:16">
      <c r="A221" s="445"/>
      <c r="B221" s="445"/>
      <c r="C221" s="445"/>
      <c r="D221" s="445"/>
      <c r="E221" s="445"/>
      <c r="F221" s="445"/>
      <c r="G221" s="445"/>
      <c r="H221" s="445"/>
      <c r="I221" s="445"/>
      <c r="J221" s="445"/>
      <c r="K221" s="1136"/>
      <c r="L221" s="1136"/>
      <c r="M221" s="445"/>
      <c r="N221" s="445"/>
      <c r="O221" s="445"/>
      <c r="P221" s="445"/>
    </row>
    <row r="222" spans="1:16">
      <c r="A222" s="445"/>
      <c r="B222" s="445"/>
      <c r="C222" s="445"/>
      <c r="D222" s="445"/>
      <c r="E222" s="445"/>
      <c r="F222" s="445"/>
      <c r="G222" s="445"/>
      <c r="H222" s="445"/>
      <c r="I222" s="445"/>
      <c r="J222" s="445"/>
      <c r="K222" s="1136"/>
      <c r="L222" s="1136"/>
      <c r="M222" s="445"/>
      <c r="N222" s="445"/>
      <c r="O222" s="445"/>
      <c r="P222" s="445"/>
    </row>
    <row r="223" spans="1:16">
      <c r="A223" s="445"/>
      <c r="B223" s="445"/>
      <c r="C223" s="445"/>
      <c r="D223" s="445"/>
      <c r="E223" s="445"/>
      <c r="F223" s="445"/>
      <c r="G223" s="445"/>
      <c r="H223" s="445"/>
      <c r="I223" s="445"/>
      <c r="J223" s="445"/>
      <c r="K223" s="1136"/>
      <c r="L223" s="1136"/>
      <c r="M223" s="445"/>
      <c r="N223" s="445"/>
      <c r="O223" s="445"/>
      <c r="P223" s="445"/>
    </row>
    <row r="224" spans="1:16">
      <c r="A224" s="445"/>
      <c r="B224" s="445"/>
      <c r="C224" s="445"/>
      <c r="D224" s="445"/>
      <c r="E224" s="445"/>
      <c r="F224" s="445"/>
      <c r="G224" s="445"/>
      <c r="H224" s="445"/>
      <c r="I224" s="445"/>
      <c r="J224" s="445"/>
      <c r="K224" s="1136"/>
      <c r="L224" s="1136"/>
      <c r="M224" s="445"/>
      <c r="N224" s="445"/>
      <c r="O224" s="445"/>
      <c r="P224" s="445"/>
    </row>
    <row r="225" spans="1:16">
      <c r="A225" s="445"/>
      <c r="B225" s="445"/>
      <c r="C225" s="445"/>
      <c r="D225" s="445"/>
      <c r="E225" s="445"/>
      <c r="F225" s="445"/>
      <c r="G225" s="445"/>
      <c r="H225" s="445"/>
      <c r="I225" s="445"/>
      <c r="J225" s="445"/>
      <c r="K225" s="1136"/>
      <c r="L225" s="1136"/>
      <c r="M225" s="445"/>
      <c r="N225" s="445"/>
      <c r="O225" s="445"/>
      <c r="P225" s="445"/>
    </row>
    <row r="226" spans="1:16">
      <c r="A226" s="445"/>
      <c r="B226" s="445"/>
      <c r="C226" s="445"/>
      <c r="D226" s="445"/>
      <c r="E226" s="445"/>
      <c r="F226" s="445"/>
      <c r="G226" s="445"/>
      <c r="H226" s="445"/>
      <c r="I226" s="445"/>
      <c r="J226" s="445"/>
      <c r="K226" s="1136"/>
      <c r="L226" s="1136"/>
      <c r="M226" s="445"/>
      <c r="N226" s="445"/>
      <c r="O226" s="445"/>
      <c r="P226" s="445"/>
    </row>
    <row r="227" spans="1:16">
      <c r="A227" s="445"/>
      <c r="B227" s="445"/>
      <c r="C227" s="445"/>
      <c r="D227" s="445"/>
      <c r="E227" s="445"/>
      <c r="F227" s="445"/>
      <c r="G227" s="445"/>
      <c r="H227" s="445"/>
      <c r="I227" s="445"/>
      <c r="J227" s="445"/>
      <c r="K227" s="1136"/>
      <c r="L227" s="1136"/>
      <c r="M227" s="445"/>
      <c r="N227" s="445"/>
      <c r="O227" s="445"/>
      <c r="P227" s="445"/>
    </row>
    <row r="228" spans="1:16">
      <c r="A228" s="445"/>
      <c r="B228" s="445"/>
      <c r="C228" s="445"/>
      <c r="D228" s="445"/>
      <c r="E228" s="445"/>
      <c r="F228" s="445"/>
      <c r="G228" s="445"/>
      <c r="H228" s="445"/>
      <c r="I228" s="445"/>
      <c r="J228" s="445"/>
      <c r="K228" s="1136"/>
      <c r="L228" s="1136"/>
      <c r="M228" s="445"/>
      <c r="N228" s="445"/>
      <c r="O228" s="445"/>
      <c r="P228" s="445"/>
    </row>
    <row r="229" spans="1:16">
      <c r="A229" s="445"/>
      <c r="B229" s="445"/>
      <c r="C229" s="445"/>
      <c r="D229" s="445"/>
      <c r="E229" s="445"/>
      <c r="F229" s="445"/>
      <c r="G229" s="445"/>
      <c r="H229" s="445"/>
      <c r="I229" s="445"/>
      <c r="J229" s="445"/>
      <c r="K229" s="1136"/>
      <c r="L229" s="1136"/>
      <c r="M229" s="445"/>
      <c r="N229" s="445"/>
      <c r="O229" s="445"/>
      <c r="P229" s="445"/>
    </row>
    <row r="230" spans="1:16">
      <c r="A230" s="445"/>
      <c r="B230" s="445"/>
      <c r="C230" s="445"/>
      <c r="D230" s="445"/>
      <c r="E230" s="445"/>
      <c r="F230" s="445"/>
      <c r="G230" s="445"/>
      <c r="H230" s="445"/>
      <c r="I230" s="445"/>
      <c r="J230" s="445"/>
      <c r="K230" s="1136"/>
      <c r="L230" s="1136"/>
      <c r="M230" s="445"/>
      <c r="N230" s="445"/>
      <c r="O230" s="445"/>
      <c r="P230" s="445"/>
    </row>
    <row r="231" spans="1:16">
      <c r="A231" s="445"/>
      <c r="B231" s="445"/>
      <c r="C231" s="445"/>
      <c r="D231" s="445"/>
      <c r="E231" s="445"/>
      <c r="F231" s="445"/>
      <c r="G231" s="445"/>
      <c r="H231" s="445"/>
      <c r="I231" s="445"/>
      <c r="J231" s="445"/>
      <c r="K231" s="1136"/>
      <c r="L231" s="1136"/>
      <c r="M231" s="445"/>
      <c r="N231" s="445"/>
      <c r="O231" s="445"/>
      <c r="P231" s="445"/>
    </row>
    <row r="232" spans="1:16">
      <c r="A232" s="445"/>
      <c r="B232" s="445"/>
      <c r="C232" s="445"/>
      <c r="D232" s="445"/>
      <c r="E232" s="445"/>
      <c r="F232" s="445"/>
      <c r="G232" s="445"/>
      <c r="H232" s="445"/>
      <c r="I232" s="445"/>
      <c r="J232" s="445"/>
      <c r="K232" s="1136"/>
      <c r="L232" s="1136"/>
      <c r="M232" s="445"/>
      <c r="N232" s="445"/>
      <c r="O232" s="445"/>
      <c r="P232" s="445"/>
    </row>
    <row r="233" spans="1:16">
      <c r="A233" s="445"/>
      <c r="B233" s="445"/>
      <c r="C233" s="445"/>
      <c r="D233" s="445"/>
      <c r="E233" s="445"/>
      <c r="F233" s="445"/>
      <c r="G233" s="445"/>
      <c r="H233" s="445"/>
      <c r="I233" s="445"/>
      <c r="J233" s="445"/>
      <c r="K233" s="1136"/>
      <c r="L233" s="1136"/>
      <c r="M233" s="445"/>
      <c r="N233" s="445"/>
      <c r="O233" s="445"/>
      <c r="P233" s="445"/>
    </row>
    <row r="234" spans="1:16">
      <c r="A234" s="445"/>
      <c r="B234" s="445"/>
      <c r="C234" s="445"/>
      <c r="D234" s="445"/>
      <c r="E234" s="445"/>
      <c r="F234" s="445"/>
      <c r="G234" s="445"/>
      <c r="H234" s="445"/>
      <c r="I234" s="445"/>
      <c r="J234" s="445"/>
      <c r="K234" s="1136"/>
      <c r="L234" s="1136"/>
      <c r="M234" s="445"/>
      <c r="N234" s="445"/>
      <c r="O234" s="445"/>
      <c r="P234" s="445"/>
    </row>
    <row r="235" spans="1:16">
      <c r="A235" s="445"/>
      <c r="B235" s="445"/>
      <c r="C235" s="445"/>
      <c r="D235" s="445"/>
      <c r="E235" s="445"/>
      <c r="F235" s="445"/>
      <c r="G235" s="445"/>
      <c r="H235" s="445"/>
      <c r="I235" s="445"/>
      <c r="J235" s="445"/>
      <c r="K235" s="1136"/>
      <c r="L235" s="1136"/>
      <c r="M235" s="445"/>
      <c r="N235" s="445"/>
      <c r="O235" s="445"/>
      <c r="P235" s="445"/>
    </row>
    <row r="236" spans="1:16">
      <c r="A236" s="445"/>
      <c r="B236" s="445"/>
      <c r="C236" s="445"/>
      <c r="D236" s="445"/>
      <c r="E236" s="445"/>
      <c r="F236" s="445"/>
      <c r="G236" s="445"/>
      <c r="H236" s="445"/>
      <c r="I236" s="445"/>
      <c r="J236" s="445"/>
      <c r="K236" s="1136"/>
      <c r="L236" s="1136"/>
      <c r="M236" s="445"/>
      <c r="N236" s="445"/>
      <c r="O236" s="445"/>
      <c r="P236" s="445"/>
    </row>
    <row r="237" spans="1:16">
      <c r="A237" s="445"/>
      <c r="B237" s="445"/>
      <c r="C237" s="445"/>
      <c r="D237" s="445"/>
      <c r="E237" s="445"/>
      <c r="F237" s="445"/>
      <c r="G237" s="445"/>
      <c r="H237" s="445"/>
      <c r="I237" s="445"/>
      <c r="J237" s="445"/>
      <c r="K237" s="1136"/>
      <c r="L237" s="1136"/>
      <c r="M237" s="445"/>
      <c r="N237" s="445"/>
      <c r="O237" s="445"/>
      <c r="P237" s="445"/>
    </row>
    <row r="238" spans="1:16">
      <c r="A238" s="445"/>
      <c r="B238" s="445"/>
      <c r="C238" s="445"/>
      <c r="D238" s="445"/>
      <c r="E238" s="445"/>
      <c r="F238" s="445"/>
      <c r="G238" s="445"/>
      <c r="H238" s="445"/>
      <c r="I238" s="445"/>
      <c r="J238" s="445"/>
      <c r="K238" s="1136"/>
      <c r="L238" s="1136"/>
      <c r="M238" s="445"/>
      <c r="N238" s="445"/>
      <c r="O238" s="445"/>
      <c r="P238" s="445"/>
    </row>
    <row r="239" spans="1:16">
      <c r="A239" s="445"/>
      <c r="B239" s="445"/>
      <c r="C239" s="445"/>
      <c r="D239" s="445"/>
      <c r="E239" s="445"/>
      <c r="F239" s="445"/>
      <c r="G239" s="445"/>
      <c r="H239" s="445"/>
      <c r="I239" s="445"/>
      <c r="J239" s="445"/>
      <c r="K239" s="1136"/>
      <c r="L239" s="1136"/>
      <c r="M239" s="445"/>
      <c r="N239" s="445"/>
      <c r="O239" s="445"/>
      <c r="P239" s="445"/>
    </row>
    <row r="240" spans="1:16">
      <c r="A240" s="445"/>
      <c r="B240" s="445"/>
      <c r="C240" s="445"/>
      <c r="D240" s="445"/>
      <c r="E240" s="445"/>
      <c r="F240" s="445"/>
      <c r="G240" s="445"/>
      <c r="H240" s="445"/>
      <c r="I240" s="445"/>
      <c r="J240" s="445"/>
      <c r="K240" s="1136"/>
      <c r="L240" s="1136"/>
      <c r="M240" s="445"/>
      <c r="N240" s="445"/>
      <c r="O240" s="445"/>
      <c r="P240" s="445"/>
    </row>
    <row r="241" spans="1:16">
      <c r="A241" s="445"/>
      <c r="B241" s="445"/>
      <c r="C241" s="445"/>
      <c r="D241" s="445"/>
      <c r="E241" s="445"/>
      <c r="F241" s="445"/>
      <c r="G241" s="445"/>
      <c r="H241" s="445"/>
      <c r="I241" s="445"/>
      <c r="J241" s="445"/>
      <c r="K241" s="1136"/>
      <c r="L241" s="1136"/>
      <c r="M241" s="445"/>
      <c r="N241" s="445"/>
      <c r="O241" s="445"/>
      <c r="P241" s="445"/>
    </row>
    <row r="242" spans="1:16">
      <c r="A242" s="445"/>
      <c r="B242" s="445"/>
      <c r="C242" s="445"/>
      <c r="D242" s="445"/>
      <c r="E242" s="445"/>
      <c r="F242" s="445"/>
      <c r="G242" s="445"/>
      <c r="H242" s="445"/>
      <c r="I242" s="445"/>
      <c r="J242" s="445"/>
      <c r="K242" s="1136"/>
      <c r="L242" s="1136"/>
      <c r="M242" s="445"/>
      <c r="N242" s="445"/>
      <c r="O242" s="445"/>
      <c r="P242" s="445"/>
    </row>
    <row r="243" spans="1:16">
      <c r="A243" s="445"/>
      <c r="B243" s="445"/>
      <c r="C243" s="445"/>
      <c r="D243" s="445"/>
      <c r="E243" s="445"/>
      <c r="F243" s="445"/>
      <c r="G243" s="445"/>
      <c r="H243" s="445"/>
      <c r="I243" s="445"/>
      <c r="J243" s="445"/>
      <c r="K243" s="1136"/>
      <c r="L243" s="1136"/>
      <c r="M243" s="445"/>
      <c r="N243" s="445"/>
      <c r="O243" s="445"/>
      <c r="P243" s="445"/>
    </row>
    <row r="244" spans="1:16">
      <c r="A244" s="445"/>
      <c r="B244" s="445"/>
      <c r="C244" s="445"/>
      <c r="D244" s="445"/>
      <c r="E244" s="445"/>
      <c r="F244" s="445"/>
      <c r="G244" s="445"/>
      <c r="H244" s="445"/>
      <c r="I244" s="445"/>
      <c r="J244" s="445"/>
      <c r="K244" s="1136"/>
      <c r="L244" s="1136"/>
      <c r="M244" s="445"/>
      <c r="N244" s="445"/>
      <c r="O244" s="445"/>
      <c r="P244" s="445"/>
    </row>
    <row r="245" spans="1:16">
      <c r="A245" s="445"/>
      <c r="B245" s="445"/>
      <c r="C245" s="445"/>
      <c r="D245" s="445"/>
      <c r="E245" s="445"/>
      <c r="F245" s="445"/>
      <c r="G245" s="445"/>
      <c r="H245" s="445"/>
      <c r="I245" s="445"/>
      <c r="J245" s="445"/>
      <c r="K245" s="1136"/>
      <c r="L245" s="1136"/>
      <c r="M245" s="445"/>
      <c r="N245" s="445"/>
      <c r="O245" s="445"/>
      <c r="P245" s="445"/>
    </row>
    <row r="246" spans="1:16">
      <c r="A246" s="445"/>
      <c r="B246" s="445"/>
      <c r="C246" s="445"/>
      <c r="D246" s="445"/>
      <c r="E246" s="445"/>
      <c r="F246" s="445"/>
      <c r="G246" s="445"/>
      <c r="H246" s="445"/>
      <c r="I246" s="445"/>
      <c r="J246" s="445"/>
      <c r="K246" s="1136"/>
      <c r="L246" s="1136"/>
      <c r="M246" s="445"/>
      <c r="N246" s="445"/>
      <c r="O246" s="445"/>
      <c r="P246" s="445"/>
    </row>
    <row r="247" spans="1:16">
      <c r="A247" s="445"/>
      <c r="B247" s="445"/>
      <c r="C247" s="445"/>
      <c r="D247" s="445"/>
      <c r="E247" s="445"/>
      <c r="F247" s="445"/>
      <c r="G247" s="445"/>
      <c r="H247" s="445"/>
      <c r="I247" s="445"/>
      <c r="J247" s="445"/>
      <c r="K247" s="1136"/>
      <c r="L247" s="1136"/>
      <c r="M247" s="445"/>
      <c r="N247" s="445"/>
      <c r="O247" s="445"/>
      <c r="P247" s="445"/>
    </row>
    <row r="248" spans="1:16">
      <c r="A248" s="445"/>
      <c r="B248" s="445"/>
      <c r="C248" s="445"/>
      <c r="D248" s="445"/>
      <c r="E248" s="445"/>
      <c r="F248" s="445"/>
      <c r="G248" s="445"/>
      <c r="H248" s="445"/>
      <c r="I248" s="445"/>
      <c r="J248" s="445"/>
      <c r="K248" s="1136"/>
      <c r="L248" s="1136"/>
      <c r="M248" s="445"/>
      <c r="N248" s="445"/>
      <c r="O248" s="445"/>
      <c r="P248" s="445"/>
    </row>
    <row r="249" spans="1:16">
      <c r="A249" s="445"/>
      <c r="B249" s="445"/>
      <c r="C249" s="445"/>
      <c r="D249" s="445"/>
      <c r="E249" s="445"/>
      <c r="F249" s="445"/>
      <c r="G249" s="445"/>
      <c r="H249" s="445"/>
      <c r="I249" s="445"/>
      <c r="J249" s="445"/>
      <c r="K249" s="1136"/>
      <c r="L249" s="1136"/>
      <c r="M249" s="445"/>
      <c r="N249" s="445"/>
      <c r="O249" s="445"/>
      <c r="P249" s="445"/>
    </row>
    <row r="250" spans="1:16">
      <c r="A250" s="445"/>
      <c r="B250" s="445"/>
      <c r="C250" s="445"/>
      <c r="D250" s="445"/>
      <c r="E250" s="445"/>
      <c r="F250" s="445"/>
      <c r="G250" s="445"/>
      <c r="H250" s="445"/>
      <c r="I250" s="445"/>
      <c r="J250" s="445"/>
      <c r="K250" s="1136"/>
      <c r="L250" s="1136"/>
      <c r="M250" s="445"/>
      <c r="N250" s="445"/>
      <c r="O250" s="445"/>
      <c r="P250" s="445"/>
    </row>
    <row r="251" spans="1:16">
      <c r="A251" s="445"/>
      <c r="B251" s="445"/>
      <c r="C251" s="445"/>
      <c r="D251" s="445"/>
      <c r="E251" s="445"/>
      <c r="F251" s="445"/>
      <c r="G251" s="445"/>
      <c r="H251" s="445"/>
      <c r="I251" s="445"/>
      <c r="J251" s="445"/>
      <c r="K251" s="1136"/>
      <c r="L251" s="1136"/>
      <c r="M251" s="445"/>
      <c r="N251" s="445"/>
      <c r="O251" s="445"/>
      <c r="P251" s="445"/>
    </row>
    <row r="252" spans="1:16">
      <c r="A252" s="445"/>
      <c r="B252" s="445"/>
      <c r="C252" s="445"/>
      <c r="D252" s="445"/>
      <c r="E252" s="445"/>
      <c r="F252" s="445"/>
      <c r="G252" s="445"/>
      <c r="H252" s="445"/>
      <c r="I252" s="445"/>
      <c r="J252" s="445"/>
      <c r="K252" s="1136"/>
      <c r="L252" s="1136"/>
      <c r="M252" s="445"/>
      <c r="N252" s="445"/>
      <c r="O252" s="445"/>
      <c r="P252" s="445"/>
    </row>
    <row r="253" spans="1:16">
      <c r="A253" s="445"/>
      <c r="B253" s="445"/>
      <c r="C253" s="445"/>
      <c r="D253" s="445"/>
      <c r="E253" s="445"/>
      <c r="F253" s="445"/>
      <c r="G253" s="445"/>
      <c r="H253" s="445"/>
      <c r="I253" s="445"/>
      <c r="J253" s="445"/>
      <c r="K253" s="1136"/>
      <c r="L253" s="1136"/>
      <c r="M253" s="445"/>
      <c r="N253" s="445"/>
      <c r="O253" s="445"/>
      <c r="P253" s="445"/>
    </row>
    <row r="254" spans="1:16">
      <c r="A254" s="445"/>
      <c r="B254" s="445"/>
      <c r="C254" s="445"/>
      <c r="D254" s="445"/>
      <c r="E254" s="445"/>
      <c r="F254" s="445"/>
      <c r="G254" s="445"/>
      <c r="H254" s="445"/>
      <c r="I254" s="445"/>
      <c r="J254" s="445"/>
      <c r="K254" s="1136"/>
      <c r="L254" s="1136"/>
      <c r="M254" s="445"/>
      <c r="N254" s="445"/>
      <c r="O254" s="445"/>
      <c r="P254" s="445"/>
    </row>
    <row r="255" spans="1:16">
      <c r="A255" s="445"/>
      <c r="B255" s="445"/>
      <c r="C255" s="445"/>
      <c r="D255" s="445"/>
      <c r="E255" s="445"/>
      <c r="F255" s="445"/>
      <c r="G255" s="445"/>
      <c r="H255" s="445"/>
      <c r="I255" s="445"/>
      <c r="J255" s="445"/>
      <c r="K255" s="1136"/>
      <c r="L255" s="1136"/>
      <c r="M255" s="445"/>
      <c r="N255" s="445"/>
      <c r="O255" s="445"/>
      <c r="P255" s="445"/>
    </row>
    <row r="256" spans="1:16">
      <c r="A256" s="445"/>
      <c r="B256" s="445"/>
      <c r="C256" s="445"/>
      <c r="D256" s="445"/>
      <c r="E256" s="445"/>
      <c r="F256" s="445"/>
      <c r="G256" s="445"/>
      <c r="H256" s="445"/>
      <c r="I256" s="445"/>
      <c r="J256" s="445"/>
      <c r="K256" s="1136"/>
      <c r="L256" s="1136"/>
      <c r="M256" s="445"/>
      <c r="N256" s="445"/>
      <c r="O256" s="445"/>
      <c r="P256" s="445"/>
    </row>
    <row r="257" spans="1:16">
      <c r="A257" s="445"/>
      <c r="B257" s="445"/>
      <c r="C257" s="445"/>
      <c r="D257" s="445"/>
      <c r="E257" s="445"/>
      <c r="F257" s="445"/>
      <c r="G257" s="445"/>
      <c r="H257" s="445"/>
      <c r="I257" s="445"/>
      <c r="J257" s="445"/>
      <c r="K257" s="1136"/>
      <c r="L257" s="1136"/>
      <c r="M257" s="445"/>
      <c r="N257" s="445"/>
      <c r="O257" s="445"/>
      <c r="P257" s="445"/>
    </row>
    <row r="258" spans="1:16">
      <c r="A258" s="445"/>
      <c r="B258" s="445"/>
      <c r="C258" s="445"/>
      <c r="D258" s="445"/>
      <c r="E258" s="445"/>
      <c r="F258" s="445"/>
      <c r="G258" s="445"/>
      <c r="H258" s="445"/>
      <c r="I258" s="445"/>
      <c r="J258" s="445"/>
      <c r="K258" s="1136"/>
      <c r="L258" s="1136"/>
      <c r="M258" s="445"/>
      <c r="N258" s="445"/>
      <c r="O258" s="445"/>
      <c r="P258" s="445"/>
    </row>
    <row r="259" spans="1:16">
      <c r="A259" s="445"/>
      <c r="B259" s="445"/>
      <c r="C259" s="445"/>
      <c r="D259" s="445"/>
      <c r="E259" s="445"/>
      <c r="F259" s="445"/>
      <c r="G259" s="445"/>
      <c r="H259" s="445"/>
      <c r="I259" s="445"/>
      <c r="J259" s="445"/>
      <c r="K259" s="1136"/>
      <c r="L259" s="1136"/>
      <c r="M259" s="445"/>
      <c r="N259" s="445"/>
      <c r="O259" s="445"/>
      <c r="P259" s="445"/>
    </row>
    <row r="260" spans="1:16">
      <c r="A260" s="445"/>
      <c r="B260" s="445"/>
      <c r="C260" s="445"/>
      <c r="D260" s="445"/>
      <c r="E260" s="445"/>
      <c r="F260" s="445"/>
      <c r="G260" s="445"/>
      <c r="H260" s="445"/>
      <c r="I260" s="445"/>
      <c r="J260" s="445"/>
      <c r="K260" s="1136"/>
      <c r="L260" s="1136"/>
      <c r="M260" s="445"/>
      <c r="N260" s="445"/>
      <c r="O260" s="445"/>
      <c r="P260" s="445"/>
    </row>
    <row r="261" spans="1:16">
      <c r="A261" s="445"/>
      <c r="B261" s="445"/>
      <c r="C261" s="445"/>
      <c r="D261" s="445"/>
      <c r="E261" s="445"/>
      <c r="F261" s="445"/>
      <c r="G261" s="445"/>
      <c r="H261" s="445"/>
      <c r="I261" s="445"/>
      <c r="J261" s="445"/>
      <c r="K261" s="1136"/>
      <c r="L261" s="1136"/>
      <c r="M261" s="445"/>
      <c r="N261" s="445"/>
      <c r="O261" s="445"/>
      <c r="P261" s="445"/>
    </row>
    <row r="262" spans="1:16">
      <c r="A262" s="445"/>
      <c r="B262" s="445"/>
      <c r="C262" s="445"/>
      <c r="D262" s="445"/>
      <c r="E262" s="445"/>
      <c r="F262" s="445"/>
      <c r="G262" s="445"/>
      <c r="H262" s="445"/>
      <c r="I262" s="445"/>
      <c r="J262" s="445"/>
      <c r="K262" s="1136"/>
      <c r="L262" s="1136"/>
      <c r="M262" s="445"/>
      <c r="N262" s="445"/>
      <c r="O262" s="445"/>
      <c r="P262" s="445"/>
    </row>
    <row r="263" spans="1:16">
      <c r="A263" s="445"/>
      <c r="B263" s="445"/>
      <c r="C263" s="445"/>
      <c r="D263" s="445"/>
      <c r="E263" s="445"/>
      <c r="F263" s="445"/>
      <c r="G263" s="445"/>
      <c r="H263" s="445"/>
      <c r="I263" s="445"/>
      <c r="J263" s="445"/>
      <c r="K263" s="1136"/>
      <c r="L263" s="1136"/>
      <c r="M263" s="445"/>
      <c r="N263" s="445"/>
      <c r="O263" s="445"/>
      <c r="P263" s="445"/>
    </row>
    <row r="264" spans="1:16">
      <c r="A264" s="445"/>
      <c r="B264" s="445"/>
      <c r="C264" s="445"/>
      <c r="D264" s="445"/>
      <c r="E264" s="445"/>
      <c r="F264" s="445"/>
      <c r="G264" s="445"/>
      <c r="H264" s="445"/>
      <c r="I264" s="445"/>
      <c r="J264" s="445"/>
      <c r="K264" s="1136"/>
      <c r="L264" s="1136"/>
      <c r="M264" s="445"/>
      <c r="N264" s="445"/>
      <c r="O264" s="445"/>
      <c r="P264" s="445"/>
    </row>
    <row r="265" spans="1:16">
      <c r="A265" s="445"/>
      <c r="B265" s="445"/>
      <c r="C265" s="445"/>
      <c r="D265" s="445"/>
      <c r="E265" s="445"/>
      <c r="F265" s="445"/>
      <c r="G265" s="445"/>
      <c r="H265" s="445"/>
      <c r="I265" s="445"/>
      <c r="J265" s="445"/>
      <c r="K265" s="1136"/>
      <c r="L265" s="1136"/>
      <c r="M265" s="445"/>
      <c r="N265" s="445"/>
      <c r="O265" s="445"/>
      <c r="P265" s="445"/>
    </row>
    <row r="266" spans="1:16">
      <c r="A266" s="445"/>
      <c r="B266" s="445"/>
      <c r="C266" s="445"/>
      <c r="D266" s="445"/>
      <c r="E266" s="445"/>
      <c r="F266" s="445"/>
      <c r="G266" s="445"/>
      <c r="H266" s="445"/>
      <c r="I266" s="445"/>
      <c r="J266" s="445"/>
      <c r="K266" s="1136"/>
      <c r="L266" s="1136"/>
      <c r="M266" s="445"/>
      <c r="N266" s="445"/>
      <c r="O266" s="445"/>
      <c r="P266" s="445"/>
    </row>
    <row r="267" spans="1:16">
      <c r="A267" s="445"/>
      <c r="B267" s="445"/>
      <c r="C267" s="445"/>
      <c r="D267" s="445"/>
      <c r="E267" s="445"/>
      <c r="F267" s="445"/>
      <c r="G267" s="445"/>
      <c r="H267" s="445"/>
      <c r="I267" s="445"/>
      <c r="J267" s="445"/>
      <c r="K267" s="1136"/>
      <c r="L267" s="1136"/>
      <c r="M267" s="445"/>
      <c r="N267" s="445"/>
      <c r="O267" s="445"/>
      <c r="P267" s="445"/>
    </row>
    <row r="268" spans="1:16">
      <c r="A268" s="445"/>
      <c r="B268" s="445"/>
      <c r="C268" s="445"/>
      <c r="D268" s="445"/>
      <c r="E268" s="445"/>
      <c r="F268" s="445"/>
      <c r="G268" s="445"/>
      <c r="H268" s="445"/>
      <c r="I268" s="445"/>
      <c r="J268" s="445"/>
      <c r="K268" s="1136"/>
      <c r="L268" s="1136"/>
      <c r="M268" s="445"/>
      <c r="N268" s="445"/>
      <c r="O268" s="445"/>
      <c r="P268" s="445"/>
    </row>
    <row r="269" spans="1:16">
      <c r="A269" s="445"/>
      <c r="B269" s="445"/>
      <c r="C269" s="445"/>
      <c r="D269" s="445"/>
      <c r="E269" s="445"/>
      <c r="F269" s="445"/>
      <c r="G269" s="445"/>
      <c r="H269" s="445"/>
      <c r="I269" s="445"/>
      <c r="J269" s="445"/>
      <c r="K269" s="1136"/>
      <c r="L269" s="1136"/>
      <c r="M269" s="445"/>
      <c r="N269" s="445"/>
      <c r="O269" s="445"/>
      <c r="P269" s="445"/>
    </row>
    <row r="270" spans="1:16">
      <c r="A270" s="445"/>
      <c r="B270" s="445"/>
      <c r="C270" s="445"/>
      <c r="D270" s="445"/>
      <c r="E270" s="445"/>
      <c r="F270" s="445"/>
      <c r="G270" s="445"/>
      <c r="H270" s="445"/>
      <c r="I270" s="445"/>
      <c r="J270" s="445"/>
      <c r="K270" s="1136"/>
      <c r="L270" s="1136"/>
      <c r="M270" s="445"/>
      <c r="N270" s="445"/>
      <c r="O270" s="445"/>
      <c r="P270" s="445"/>
    </row>
    <row r="271" spans="1:16">
      <c r="A271" s="445"/>
      <c r="B271" s="445"/>
      <c r="C271" s="445"/>
      <c r="D271" s="445"/>
      <c r="E271" s="445"/>
      <c r="F271" s="445"/>
      <c r="G271" s="445"/>
      <c r="H271" s="445"/>
      <c r="I271" s="445"/>
      <c r="J271" s="445"/>
      <c r="K271" s="1136"/>
      <c r="L271" s="1136"/>
      <c r="M271" s="445"/>
      <c r="N271" s="445"/>
      <c r="O271" s="445"/>
      <c r="P271" s="445"/>
    </row>
    <row r="272" spans="1:16">
      <c r="A272" s="445"/>
      <c r="B272" s="445"/>
      <c r="C272" s="445"/>
      <c r="D272" s="445"/>
      <c r="E272" s="445"/>
      <c r="F272" s="445"/>
      <c r="G272" s="445"/>
      <c r="H272" s="445"/>
      <c r="I272" s="445"/>
      <c r="J272" s="445"/>
      <c r="K272" s="1136"/>
      <c r="L272" s="1136"/>
      <c r="M272" s="445"/>
      <c r="N272" s="445"/>
      <c r="O272" s="445"/>
      <c r="P272" s="445"/>
    </row>
    <row r="273" spans="1:16">
      <c r="A273" s="445"/>
      <c r="B273" s="445"/>
      <c r="C273" s="445"/>
      <c r="D273" s="445"/>
      <c r="E273" s="445"/>
      <c r="F273" s="445"/>
      <c r="G273" s="445"/>
      <c r="H273" s="445"/>
      <c r="I273" s="445"/>
      <c r="J273" s="445"/>
      <c r="K273" s="1136"/>
      <c r="L273" s="1136"/>
      <c r="M273" s="445"/>
      <c r="N273" s="445"/>
      <c r="O273" s="445"/>
      <c r="P273" s="445"/>
    </row>
    <row r="274" spans="1:16">
      <c r="A274" s="445"/>
      <c r="B274" s="445"/>
      <c r="C274" s="445"/>
      <c r="D274" s="445"/>
      <c r="E274" s="445"/>
      <c r="F274" s="445"/>
      <c r="G274" s="445"/>
      <c r="H274" s="445"/>
      <c r="I274" s="445"/>
      <c r="J274" s="445"/>
      <c r="K274" s="1136"/>
      <c r="L274" s="1136"/>
      <c r="M274" s="445"/>
      <c r="N274" s="445"/>
      <c r="O274" s="445"/>
      <c r="P274" s="445"/>
    </row>
    <row r="275" spans="1:16">
      <c r="A275" s="445"/>
      <c r="B275" s="445"/>
      <c r="C275" s="445"/>
      <c r="D275" s="445"/>
      <c r="E275" s="445"/>
      <c r="F275" s="445"/>
      <c r="G275" s="445"/>
      <c r="H275" s="445"/>
      <c r="I275" s="445"/>
      <c r="J275" s="445"/>
      <c r="K275" s="1136"/>
      <c r="L275" s="1136"/>
      <c r="M275" s="445"/>
      <c r="N275" s="445"/>
      <c r="O275" s="445"/>
      <c r="P275" s="445"/>
    </row>
    <row r="276" spans="1:16">
      <c r="A276" s="445"/>
      <c r="B276" s="445"/>
      <c r="C276" s="445"/>
      <c r="D276" s="445"/>
      <c r="E276" s="445"/>
      <c r="F276" s="445"/>
      <c r="G276" s="445"/>
      <c r="H276" s="445"/>
      <c r="I276" s="445"/>
      <c r="J276" s="445"/>
      <c r="K276" s="1136"/>
      <c r="L276" s="1136"/>
      <c r="M276" s="445"/>
      <c r="N276" s="445"/>
      <c r="O276" s="445"/>
      <c r="P276" s="445"/>
    </row>
    <row r="277" spans="1:16">
      <c r="A277" s="445"/>
      <c r="B277" s="445"/>
      <c r="C277" s="445"/>
      <c r="D277" s="445"/>
      <c r="E277" s="445"/>
      <c r="F277" s="445"/>
      <c r="G277" s="445"/>
      <c r="H277" s="445"/>
      <c r="I277" s="445"/>
      <c r="J277" s="445"/>
      <c r="K277" s="1136"/>
      <c r="L277" s="1136"/>
      <c r="M277" s="445"/>
      <c r="N277" s="445"/>
      <c r="O277" s="445"/>
      <c r="P277" s="445"/>
    </row>
    <row r="278" spans="1:16">
      <c r="A278" s="445"/>
      <c r="B278" s="445"/>
      <c r="C278" s="445"/>
      <c r="D278" s="445"/>
      <c r="E278" s="445"/>
      <c r="F278" s="445"/>
      <c r="G278" s="445"/>
      <c r="H278" s="445"/>
      <c r="I278" s="445"/>
      <c r="J278" s="445"/>
      <c r="K278" s="1136"/>
      <c r="L278" s="1136"/>
      <c r="M278" s="445"/>
      <c r="N278" s="445"/>
      <c r="O278" s="445"/>
      <c r="P278" s="445"/>
    </row>
    <row r="279" spans="1:16">
      <c r="A279" s="445"/>
      <c r="B279" s="445"/>
      <c r="C279" s="445"/>
      <c r="D279" s="445"/>
      <c r="E279" s="445"/>
      <c r="F279" s="445"/>
      <c r="G279" s="445"/>
      <c r="H279" s="445"/>
      <c r="I279" s="445"/>
      <c r="J279" s="445"/>
      <c r="K279" s="1136"/>
      <c r="L279" s="1136"/>
      <c r="M279" s="445"/>
      <c r="N279" s="445"/>
      <c r="O279" s="445"/>
      <c r="P279" s="445"/>
    </row>
    <row r="280" spans="1:16">
      <c r="A280" s="445"/>
      <c r="B280" s="445"/>
      <c r="C280" s="445"/>
      <c r="D280" s="445"/>
      <c r="E280" s="445"/>
      <c r="F280" s="445"/>
      <c r="G280" s="445"/>
      <c r="H280" s="445"/>
      <c r="I280" s="445"/>
      <c r="J280" s="445"/>
      <c r="K280" s="1136"/>
      <c r="L280" s="1136"/>
      <c r="M280" s="445"/>
      <c r="N280" s="445"/>
      <c r="O280" s="445"/>
      <c r="P280" s="445"/>
    </row>
    <row r="281" spans="1:16">
      <c r="A281" s="445"/>
      <c r="B281" s="445"/>
      <c r="C281" s="445"/>
      <c r="D281" s="445"/>
      <c r="E281" s="445"/>
      <c r="F281" s="445"/>
      <c r="G281" s="445"/>
      <c r="H281" s="445"/>
      <c r="I281" s="445"/>
      <c r="J281" s="445"/>
      <c r="K281" s="1136"/>
      <c r="L281" s="1136"/>
      <c r="M281" s="445"/>
      <c r="N281" s="445"/>
      <c r="O281" s="445"/>
      <c r="P281" s="445"/>
    </row>
    <row r="282" spans="1:16">
      <c r="A282" s="445"/>
      <c r="B282" s="445"/>
      <c r="C282" s="445"/>
      <c r="D282" s="445"/>
      <c r="E282" s="445"/>
      <c r="F282" s="445"/>
      <c r="G282" s="445"/>
      <c r="H282" s="445"/>
      <c r="I282" s="445"/>
      <c r="J282" s="445"/>
      <c r="K282" s="1136"/>
      <c r="L282" s="1136"/>
      <c r="M282" s="445"/>
      <c r="N282" s="445"/>
      <c r="O282" s="445"/>
      <c r="P282" s="445"/>
    </row>
    <row r="283" spans="1:16">
      <c r="A283" s="445"/>
      <c r="B283" s="445"/>
      <c r="C283" s="445"/>
      <c r="D283" s="445"/>
      <c r="E283" s="445"/>
      <c r="F283" s="445"/>
      <c r="G283" s="445"/>
      <c r="H283" s="445"/>
      <c r="I283" s="445"/>
      <c r="J283" s="445"/>
      <c r="K283" s="1136"/>
      <c r="L283" s="1136"/>
      <c r="M283" s="445"/>
      <c r="N283" s="445"/>
      <c r="O283" s="445"/>
      <c r="P283" s="445"/>
    </row>
    <row r="284" spans="1:16">
      <c r="A284" s="445"/>
      <c r="B284" s="445"/>
      <c r="C284" s="445"/>
      <c r="D284" s="445"/>
      <c r="E284" s="445"/>
      <c r="F284" s="445"/>
      <c r="G284" s="445"/>
      <c r="H284" s="445"/>
      <c r="I284" s="445"/>
      <c r="J284" s="445"/>
      <c r="K284" s="1136"/>
      <c r="L284" s="1136"/>
      <c r="M284" s="445"/>
      <c r="N284" s="445"/>
      <c r="O284" s="445"/>
      <c r="P284" s="445"/>
    </row>
    <row r="285" spans="1:16">
      <c r="A285" s="445"/>
      <c r="B285" s="445"/>
      <c r="C285" s="445"/>
      <c r="D285" s="445"/>
      <c r="E285" s="445"/>
      <c r="F285" s="445"/>
      <c r="G285" s="445"/>
      <c r="H285" s="445"/>
      <c r="I285" s="445"/>
      <c r="J285" s="445"/>
      <c r="K285" s="1136"/>
      <c r="L285" s="1136"/>
      <c r="M285" s="445"/>
      <c r="N285" s="445"/>
      <c r="O285" s="445"/>
      <c r="P285" s="445"/>
    </row>
    <row r="286" spans="1:16">
      <c r="A286" s="445"/>
      <c r="B286" s="445"/>
      <c r="C286" s="445"/>
      <c r="D286" s="445"/>
      <c r="E286" s="445"/>
      <c r="F286" s="445"/>
      <c r="G286" s="445"/>
      <c r="H286" s="445"/>
      <c r="I286" s="445"/>
      <c r="J286" s="445"/>
      <c r="K286" s="1136"/>
      <c r="L286" s="1136"/>
      <c r="M286" s="445"/>
      <c r="N286" s="445"/>
      <c r="O286" s="445"/>
      <c r="P286" s="445"/>
    </row>
    <row r="287" spans="1:16">
      <c r="A287" s="445"/>
      <c r="B287" s="445"/>
      <c r="C287" s="445"/>
      <c r="D287" s="445"/>
      <c r="E287" s="445"/>
      <c r="F287" s="445"/>
      <c r="G287" s="445"/>
      <c r="H287" s="445"/>
      <c r="I287" s="445"/>
      <c r="J287" s="445"/>
      <c r="K287" s="1136"/>
      <c r="L287" s="1136"/>
      <c r="M287" s="445"/>
      <c r="N287" s="445"/>
      <c r="O287" s="445"/>
      <c r="P287" s="445"/>
    </row>
    <row r="288" spans="1:16">
      <c r="A288" s="445"/>
      <c r="B288" s="445"/>
      <c r="C288" s="445"/>
      <c r="D288" s="445"/>
      <c r="E288" s="445"/>
      <c r="F288" s="445"/>
      <c r="G288" s="445"/>
      <c r="H288" s="445"/>
      <c r="I288" s="445"/>
      <c r="J288" s="445"/>
      <c r="K288" s="1136"/>
      <c r="L288" s="1136"/>
      <c r="M288" s="445"/>
      <c r="N288" s="445"/>
      <c r="O288" s="445"/>
      <c r="P288" s="445"/>
    </row>
    <row r="289" spans="1:16">
      <c r="A289" s="445"/>
      <c r="B289" s="445"/>
      <c r="C289" s="445"/>
      <c r="D289" s="445"/>
      <c r="E289" s="445"/>
      <c r="F289" s="445"/>
      <c r="G289" s="445"/>
      <c r="H289" s="445"/>
      <c r="I289" s="445"/>
      <c r="J289" s="445"/>
      <c r="K289" s="1136"/>
      <c r="L289" s="1136"/>
      <c r="M289" s="445"/>
      <c r="N289" s="445"/>
      <c r="O289" s="445"/>
      <c r="P289" s="445"/>
    </row>
    <row r="290" spans="1:16">
      <c r="A290" s="445"/>
      <c r="B290" s="445"/>
      <c r="C290" s="445"/>
      <c r="D290" s="445"/>
      <c r="E290" s="445"/>
      <c r="F290" s="445"/>
      <c r="G290" s="445"/>
      <c r="H290" s="445"/>
      <c r="I290" s="445"/>
      <c r="J290" s="445"/>
      <c r="K290" s="1136"/>
      <c r="L290" s="1136"/>
      <c r="M290" s="445"/>
      <c r="N290" s="445"/>
      <c r="O290" s="445"/>
      <c r="P290" s="445"/>
    </row>
    <row r="291" spans="1:16">
      <c r="A291" s="445"/>
      <c r="B291" s="445"/>
      <c r="C291" s="445"/>
      <c r="D291" s="445"/>
      <c r="E291" s="445"/>
      <c r="F291" s="445"/>
      <c r="G291" s="445"/>
      <c r="H291" s="445"/>
      <c r="I291" s="445"/>
      <c r="J291" s="445"/>
      <c r="K291" s="1136"/>
      <c r="L291" s="1136"/>
      <c r="M291" s="445"/>
      <c r="N291" s="445"/>
      <c r="O291" s="445"/>
      <c r="P291" s="445"/>
    </row>
    <row r="292" spans="1:16">
      <c r="A292" s="445"/>
      <c r="B292" s="445"/>
      <c r="C292" s="445"/>
      <c r="D292" s="445"/>
      <c r="E292" s="445"/>
      <c r="F292" s="445"/>
      <c r="G292" s="445"/>
      <c r="H292" s="445"/>
      <c r="I292" s="445"/>
      <c r="J292" s="445"/>
      <c r="K292" s="1136"/>
      <c r="L292" s="1136"/>
      <c r="M292" s="445"/>
      <c r="N292" s="445"/>
      <c r="O292" s="445"/>
      <c r="P292" s="445"/>
    </row>
    <row r="293" spans="1:16">
      <c r="A293" s="445"/>
      <c r="B293" s="445"/>
      <c r="C293" s="445"/>
      <c r="D293" s="445"/>
      <c r="E293" s="445"/>
      <c r="F293" s="445"/>
      <c r="G293" s="445"/>
      <c r="H293" s="445"/>
      <c r="I293" s="445"/>
      <c r="J293" s="445"/>
      <c r="K293" s="1136"/>
      <c r="L293" s="1136"/>
      <c r="M293" s="445"/>
      <c r="N293" s="445"/>
      <c r="O293" s="445"/>
      <c r="P293" s="445"/>
    </row>
    <row r="294" spans="1:16">
      <c r="A294" s="445"/>
      <c r="B294" s="445"/>
      <c r="C294" s="445"/>
      <c r="D294" s="445"/>
      <c r="E294" s="445"/>
      <c r="F294" s="445"/>
      <c r="G294" s="445"/>
      <c r="H294" s="445"/>
      <c r="I294" s="445"/>
      <c r="J294" s="445"/>
      <c r="K294" s="1136"/>
      <c r="L294" s="1136"/>
      <c r="M294" s="445"/>
      <c r="N294" s="445"/>
      <c r="O294" s="445"/>
      <c r="P294" s="445"/>
    </row>
    <row r="295" spans="1:16">
      <c r="A295" s="445"/>
      <c r="B295" s="445"/>
      <c r="C295" s="445"/>
      <c r="D295" s="445"/>
      <c r="E295" s="445"/>
      <c r="F295" s="445"/>
      <c r="G295" s="445"/>
      <c r="H295" s="445"/>
      <c r="I295" s="445"/>
      <c r="J295" s="445"/>
      <c r="K295" s="1136"/>
      <c r="L295" s="1136"/>
      <c r="M295" s="445"/>
      <c r="N295" s="445"/>
      <c r="O295" s="445"/>
      <c r="P295" s="445"/>
    </row>
    <row r="296" spans="1:16">
      <c r="A296" s="445"/>
      <c r="B296" s="445"/>
      <c r="C296" s="445"/>
      <c r="D296" s="445"/>
      <c r="E296" s="445"/>
      <c r="F296" s="445"/>
      <c r="G296" s="445"/>
      <c r="H296" s="445"/>
      <c r="I296" s="445"/>
      <c r="J296" s="445"/>
      <c r="K296" s="1136"/>
      <c r="L296" s="1136"/>
      <c r="M296" s="445"/>
      <c r="N296" s="445"/>
      <c r="O296" s="445"/>
      <c r="P296" s="445"/>
    </row>
    <row r="297" spans="1:16">
      <c r="A297" s="445"/>
      <c r="B297" s="445"/>
      <c r="C297" s="445"/>
      <c r="D297" s="445"/>
      <c r="E297" s="445"/>
      <c r="F297" s="445"/>
      <c r="G297" s="445"/>
      <c r="H297" s="445"/>
      <c r="I297" s="445"/>
      <c r="J297" s="445"/>
      <c r="K297" s="1136"/>
      <c r="L297" s="1136"/>
      <c r="M297" s="445"/>
      <c r="N297" s="445"/>
      <c r="O297" s="445"/>
      <c r="P297" s="445"/>
    </row>
    <row r="298" spans="1:16">
      <c r="A298" s="445"/>
      <c r="B298" s="445"/>
      <c r="C298" s="445"/>
      <c r="D298" s="445"/>
      <c r="E298" s="445"/>
      <c r="F298" s="445"/>
      <c r="G298" s="445"/>
      <c r="H298" s="445"/>
      <c r="I298" s="445"/>
      <c r="J298" s="445"/>
      <c r="K298" s="1136"/>
      <c r="L298" s="1136"/>
      <c r="M298" s="445"/>
      <c r="N298" s="445"/>
      <c r="O298" s="445"/>
      <c r="P298" s="445"/>
    </row>
    <row r="299" spans="1:16">
      <c r="A299" s="445"/>
      <c r="B299" s="445"/>
      <c r="C299" s="445"/>
      <c r="D299" s="445"/>
      <c r="E299" s="445"/>
      <c r="F299" s="445"/>
      <c r="G299" s="445"/>
      <c r="H299" s="445"/>
      <c r="I299" s="445"/>
      <c r="J299" s="445"/>
      <c r="K299" s="1136"/>
      <c r="L299" s="1136"/>
      <c r="M299" s="445"/>
      <c r="N299" s="445"/>
      <c r="O299" s="445"/>
      <c r="P299" s="445"/>
    </row>
    <row r="300" spans="1:16">
      <c r="A300" s="445"/>
      <c r="B300" s="445"/>
      <c r="C300" s="445"/>
      <c r="D300" s="445"/>
      <c r="E300" s="445"/>
      <c r="F300" s="445"/>
      <c r="G300" s="445"/>
      <c r="H300" s="445"/>
      <c r="I300" s="445"/>
      <c r="J300" s="445"/>
      <c r="K300" s="1136"/>
      <c r="L300" s="1136"/>
      <c r="M300" s="445"/>
      <c r="N300" s="445"/>
      <c r="O300" s="445"/>
      <c r="P300" s="445"/>
    </row>
    <row r="301" spans="1:16">
      <c r="A301" s="445"/>
      <c r="B301" s="445"/>
      <c r="C301" s="445"/>
      <c r="D301" s="445"/>
      <c r="E301" s="445"/>
      <c r="F301" s="445"/>
      <c r="G301" s="445"/>
      <c r="H301" s="445"/>
      <c r="I301" s="445"/>
      <c r="J301" s="445"/>
      <c r="K301" s="1136"/>
      <c r="L301" s="1136"/>
      <c r="M301" s="445"/>
      <c r="N301" s="445"/>
      <c r="O301" s="445"/>
      <c r="P301" s="445"/>
    </row>
    <row r="302" spans="1:16">
      <c r="A302" s="445"/>
      <c r="B302" s="445"/>
      <c r="C302" s="445"/>
      <c r="D302" s="445"/>
      <c r="E302" s="445"/>
      <c r="F302" s="445"/>
      <c r="G302" s="445"/>
      <c r="H302" s="445"/>
      <c r="I302" s="445"/>
      <c r="J302" s="445"/>
      <c r="K302" s="1136"/>
      <c r="L302" s="1136"/>
      <c r="M302" s="445"/>
      <c r="N302" s="445"/>
      <c r="O302" s="445"/>
      <c r="P302" s="445"/>
    </row>
    <row r="303" spans="1:16">
      <c r="A303" s="445"/>
      <c r="B303" s="445"/>
      <c r="C303" s="445"/>
      <c r="D303" s="445"/>
      <c r="E303" s="445"/>
      <c r="F303" s="445"/>
      <c r="G303" s="445"/>
      <c r="H303" s="445"/>
      <c r="I303" s="445"/>
      <c r="J303" s="445"/>
      <c r="K303" s="1136"/>
      <c r="L303" s="1136"/>
      <c r="M303" s="445"/>
      <c r="N303" s="445"/>
      <c r="O303" s="445"/>
      <c r="P303" s="445"/>
    </row>
    <row r="304" spans="1:16">
      <c r="A304" s="445"/>
      <c r="B304" s="445"/>
      <c r="C304" s="445"/>
      <c r="D304" s="445"/>
      <c r="E304" s="445"/>
      <c r="F304" s="445"/>
      <c r="G304" s="445"/>
      <c r="H304" s="445"/>
      <c r="I304" s="445"/>
      <c r="J304" s="445"/>
      <c r="K304" s="1136"/>
      <c r="L304" s="1136"/>
      <c r="M304" s="445"/>
      <c r="N304" s="445"/>
      <c r="O304" s="445"/>
      <c r="P304" s="445"/>
    </row>
    <row r="305" spans="1:16">
      <c r="A305" s="445"/>
      <c r="B305" s="445"/>
      <c r="C305" s="445"/>
      <c r="D305" s="445"/>
      <c r="E305" s="445"/>
      <c r="F305" s="445"/>
      <c r="G305" s="445"/>
      <c r="H305" s="445"/>
      <c r="I305" s="445"/>
      <c r="J305" s="445"/>
      <c r="K305" s="1136"/>
      <c r="L305" s="1136"/>
      <c r="M305" s="445"/>
      <c r="N305" s="445"/>
      <c r="O305" s="445"/>
      <c r="P305" s="445"/>
    </row>
    <row r="306" spans="1:16">
      <c r="A306" s="445"/>
      <c r="B306" s="445"/>
      <c r="C306" s="445"/>
      <c r="D306" s="445"/>
      <c r="E306" s="445"/>
      <c r="F306" s="445"/>
      <c r="G306" s="445"/>
      <c r="H306" s="445"/>
      <c r="I306" s="445"/>
      <c r="J306" s="445"/>
      <c r="K306" s="1136"/>
      <c r="L306" s="1136"/>
      <c r="M306" s="445"/>
      <c r="N306" s="445"/>
      <c r="O306" s="445"/>
      <c r="P306" s="445"/>
    </row>
    <row r="307" spans="1:16">
      <c r="A307" s="445"/>
      <c r="B307" s="445"/>
      <c r="C307" s="445"/>
      <c r="D307" s="445"/>
      <c r="E307" s="445"/>
      <c r="F307" s="445"/>
      <c r="G307" s="445"/>
      <c r="H307" s="445"/>
      <c r="I307" s="445"/>
      <c r="J307" s="445"/>
      <c r="K307" s="1136"/>
      <c r="L307" s="1136"/>
      <c r="M307" s="445"/>
      <c r="N307" s="445"/>
      <c r="O307" s="445"/>
      <c r="P307" s="445"/>
    </row>
    <row r="308" spans="1:16">
      <c r="A308" s="445"/>
      <c r="B308" s="445"/>
      <c r="C308" s="445"/>
      <c r="D308" s="445"/>
      <c r="E308" s="445"/>
      <c r="F308" s="445"/>
      <c r="G308" s="445"/>
      <c r="H308" s="445"/>
      <c r="I308" s="445"/>
      <c r="J308" s="445"/>
      <c r="K308" s="1136"/>
      <c r="L308" s="1136"/>
      <c r="M308" s="445"/>
      <c r="N308" s="445"/>
      <c r="O308" s="445"/>
      <c r="P308" s="445"/>
    </row>
    <row r="309" spans="1:16">
      <c r="A309" s="445"/>
      <c r="B309" s="445"/>
      <c r="C309" s="445"/>
      <c r="D309" s="445"/>
      <c r="E309" s="445"/>
      <c r="F309" s="445"/>
      <c r="G309" s="445"/>
      <c r="H309" s="445"/>
      <c r="I309" s="445"/>
      <c r="J309" s="445"/>
      <c r="K309" s="1136"/>
      <c r="L309" s="1136"/>
      <c r="M309" s="445"/>
      <c r="N309" s="445"/>
      <c r="O309" s="445"/>
      <c r="P309" s="445"/>
    </row>
    <row r="310" spans="1:16">
      <c r="A310" s="445"/>
      <c r="B310" s="445"/>
      <c r="C310" s="445"/>
      <c r="D310" s="445"/>
      <c r="E310" s="445"/>
      <c r="F310" s="445"/>
      <c r="G310" s="445"/>
      <c r="H310" s="445"/>
      <c r="I310" s="445"/>
      <c r="J310" s="445"/>
      <c r="K310" s="1136"/>
      <c r="L310" s="1136"/>
      <c r="M310" s="445"/>
      <c r="N310" s="445"/>
      <c r="O310" s="445"/>
      <c r="P310" s="445"/>
    </row>
    <row r="311" spans="1:16">
      <c r="A311" s="445"/>
      <c r="B311" s="445"/>
      <c r="C311" s="445"/>
      <c r="D311" s="445"/>
      <c r="E311" s="445"/>
      <c r="F311" s="445"/>
      <c r="G311" s="445"/>
      <c r="H311" s="445"/>
      <c r="I311" s="445"/>
      <c r="J311" s="445"/>
      <c r="K311" s="1136"/>
      <c r="L311" s="1136"/>
      <c r="M311" s="445"/>
      <c r="N311" s="445"/>
      <c r="O311" s="445"/>
      <c r="P311" s="445"/>
    </row>
    <row r="312" spans="1:16">
      <c r="A312" s="445"/>
      <c r="B312" s="445"/>
      <c r="C312" s="445"/>
      <c r="D312" s="445"/>
      <c r="E312" s="445"/>
      <c r="F312" s="445"/>
      <c r="G312" s="445"/>
      <c r="H312" s="445"/>
      <c r="I312" s="445"/>
      <c r="J312" s="445"/>
      <c r="K312" s="1136"/>
      <c r="L312" s="1136"/>
      <c r="M312" s="445"/>
      <c r="N312" s="445"/>
      <c r="O312" s="445"/>
      <c r="P312" s="445"/>
    </row>
    <row r="313" spans="1:16">
      <c r="A313" s="445"/>
      <c r="B313" s="445"/>
      <c r="C313" s="445"/>
      <c r="D313" s="445"/>
      <c r="E313" s="445"/>
      <c r="F313" s="445"/>
      <c r="G313" s="445"/>
      <c r="H313" s="445"/>
      <c r="I313" s="445"/>
      <c r="J313" s="445"/>
      <c r="K313" s="1136"/>
      <c r="L313" s="1136"/>
      <c r="M313" s="445"/>
      <c r="N313" s="445"/>
      <c r="O313" s="445"/>
      <c r="P313" s="445"/>
    </row>
    <row r="314" spans="1:16">
      <c r="A314" s="445"/>
      <c r="B314" s="445"/>
      <c r="C314" s="445"/>
      <c r="D314" s="445"/>
      <c r="E314" s="445"/>
      <c r="F314" s="445"/>
      <c r="G314" s="445"/>
      <c r="H314" s="445"/>
      <c r="I314" s="445"/>
      <c r="J314" s="445"/>
      <c r="K314" s="1136"/>
      <c r="L314" s="1136"/>
      <c r="M314" s="445"/>
      <c r="N314" s="445"/>
      <c r="O314" s="445"/>
      <c r="P314" s="445"/>
    </row>
    <row r="315" spans="1:16">
      <c r="A315" s="445"/>
      <c r="B315" s="445"/>
      <c r="C315" s="445"/>
      <c r="D315" s="445"/>
      <c r="E315" s="445"/>
      <c r="F315" s="445"/>
      <c r="G315" s="445"/>
      <c r="H315" s="445"/>
      <c r="I315" s="445"/>
      <c r="J315" s="445"/>
      <c r="K315" s="1136"/>
      <c r="L315" s="1136"/>
      <c r="M315" s="445"/>
      <c r="N315" s="445"/>
      <c r="O315" s="445"/>
      <c r="P315" s="445"/>
    </row>
    <row r="316" spans="1:16">
      <c r="A316" s="445"/>
      <c r="B316" s="445"/>
      <c r="C316" s="445"/>
      <c r="D316" s="445"/>
      <c r="E316" s="445"/>
      <c r="F316" s="445"/>
      <c r="G316" s="445"/>
      <c r="H316" s="445"/>
      <c r="I316" s="445"/>
      <c r="J316" s="445"/>
      <c r="K316" s="1136"/>
      <c r="L316" s="1136"/>
      <c r="M316" s="445"/>
      <c r="N316" s="445"/>
      <c r="O316" s="445"/>
      <c r="P316" s="445"/>
    </row>
    <row r="317" spans="1:16">
      <c r="A317" s="445"/>
      <c r="B317" s="445"/>
      <c r="C317" s="445"/>
      <c r="D317" s="445"/>
      <c r="E317" s="445"/>
      <c r="F317" s="445"/>
      <c r="G317" s="445"/>
      <c r="H317" s="445"/>
      <c r="I317" s="445"/>
      <c r="J317" s="445"/>
      <c r="K317" s="1136"/>
      <c r="L317" s="1136"/>
      <c r="M317" s="445"/>
      <c r="N317" s="445"/>
      <c r="O317" s="445"/>
      <c r="P317" s="445"/>
    </row>
    <row r="318" spans="1:16">
      <c r="A318" s="445"/>
      <c r="B318" s="445"/>
      <c r="C318" s="445"/>
      <c r="D318" s="445"/>
      <c r="E318" s="445"/>
      <c r="F318" s="445"/>
      <c r="G318" s="445"/>
      <c r="H318" s="445"/>
      <c r="I318" s="445"/>
      <c r="J318" s="445"/>
      <c r="K318" s="1136"/>
      <c r="L318" s="1136"/>
      <c r="M318" s="445"/>
      <c r="N318" s="445"/>
      <c r="O318" s="445"/>
      <c r="P318" s="445"/>
    </row>
    <row r="319" spans="1:16">
      <c r="A319" s="445"/>
      <c r="B319" s="445"/>
      <c r="C319" s="445"/>
      <c r="D319" s="445"/>
      <c r="E319" s="445"/>
      <c r="F319" s="445"/>
      <c r="G319" s="445"/>
      <c r="H319" s="445"/>
      <c r="I319" s="445"/>
      <c r="J319" s="445"/>
      <c r="K319" s="1136"/>
      <c r="L319" s="1136"/>
      <c r="M319" s="445"/>
      <c r="N319" s="445"/>
      <c r="O319" s="445"/>
      <c r="P319" s="445"/>
    </row>
    <row r="320" spans="1:16">
      <c r="A320" s="445"/>
      <c r="B320" s="445"/>
      <c r="C320" s="445"/>
      <c r="D320" s="445"/>
      <c r="E320" s="445"/>
      <c r="F320" s="445"/>
      <c r="G320" s="445"/>
      <c r="H320" s="445"/>
      <c r="I320" s="445"/>
      <c r="J320" s="445"/>
      <c r="K320" s="1136"/>
      <c r="L320" s="1136"/>
      <c r="M320" s="445"/>
      <c r="N320" s="445"/>
      <c r="O320" s="445"/>
      <c r="P320" s="445"/>
    </row>
    <row r="321" spans="1:16">
      <c r="A321" s="445"/>
      <c r="B321" s="445"/>
      <c r="C321" s="445"/>
      <c r="D321" s="445"/>
      <c r="E321" s="445"/>
      <c r="F321" s="445"/>
      <c r="G321" s="445"/>
      <c r="H321" s="445"/>
      <c r="I321" s="445"/>
      <c r="J321" s="445"/>
      <c r="K321" s="1136"/>
      <c r="L321" s="1136"/>
      <c r="M321" s="445"/>
      <c r="N321" s="445"/>
      <c r="O321" s="445"/>
      <c r="P321" s="445"/>
    </row>
    <row r="322" spans="1:16">
      <c r="A322" s="445"/>
      <c r="B322" s="445"/>
      <c r="C322" s="445"/>
      <c r="D322" s="445"/>
      <c r="E322" s="445"/>
      <c r="F322" s="445"/>
      <c r="G322" s="445"/>
      <c r="H322" s="445"/>
      <c r="I322" s="445"/>
      <c r="J322" s="445"/>
      <c r="K322" s="1136"/>
      <c r="L322" s="1136"/>
      <c r="M322" s="445"/>
      <c r="N322" s="445"/>
      <c r="O322" s="445"/>
      <c r="P322" s="445"/>
    </row>
    <row r="323" spans="1:16">
      <c r="A323" s="445"/>
      <c r="B323" s="445"/>
      <c r="C323" s="445"/>
      <c r="D323" s="445"/>
      <c r="E323" s="445"/>
      <c r="F323" s="445"/>
      <c r="G323" s="445"/>
      <c r="H323" s="445"/>
      <c r="I323" s="445"/>
      <c r="J323" s="445"/>
      <c r="K323" s="1136"/>
      <c r="L323" s="1136"/>
      <c r="M323" s="445"/>
      <c r="N323" s="445"/>
      <c r="O323" s="445"/>
      <c r="P323" s="445"/>
    </row>
    <row r="324" spans="1:16">
      <c r="A324" s="445"/>
      <c r="B324" s="445"/>
      <c r="C324" s="445"/>
      <c r="D324" s="445"/>
      <c r="E324" s="445"/>
      <c r="F324" s="445"/>
      <c r="G324" s="445"/>
      <c r="H324" s="445"/>
      <c r="I324" s="445"/>
      <c r="J324" s="445"/>
      <c r="K324" s="1136"/>
      <c r="L324" s="1136"/>
      <c r="M324" s="445"/>
      <c r="N324" s="445"/>
      <c r="O324" s="445"/>
      <c r="P324" s="445"/>
    </row>
    <row r="325" spans="1:16">
      <c r="A325" s="445"/>
      <c r="B325" s="445"/>
      <c r="C325" s="445"/>
      <c r="D325" s="445"/>
      <c r="E325" s="445"/>
      <c r="F325" s="445"/>
      <c r="G325" s="445"/>
      <c r="H325" s="445"/>
      <c r="I325" s="445"/>
      <c r="J325" s="445"/>
      <c r="K325" s="1136"/>
      <c r="L325" s="1136"/>
      <c r="M325" s="445"/>
      <c r="N325" s="445"/>
      <c r="O325" s="445"/>
      <c r="P325" s="445"/>
    </row>
    <row r="326" spans="1:16">
      <c r="A326" s="445"/>
      <c r="B326" s="445"/>
      <c r="C326" s="445"/>
      <c r="D326" s="445"/>
      <c r="E326" s="445"/>
      <c r="F326" s="445"/>
      <c r="G326" s="445"/>
      <c r="H326" s="445"/>
      <c r="I326" s="445"/>
      <c r="J326" s="445"/>
      <c r="K326" s="1136"/>
      <c r="L326" s="1136"/>
      <c r="M326" s="445"/>
      <c r="N326" s="445"/>
      <c r="O326" s="445"/>
      <c r="P326" s="445"/>
    </row>
    <row r="327" spans="1:16">
      <c r="A327" s="445"/>
      <c r="B327" s="445"/>
      <c r="C327" s="445"/>
      <c r="D327" s="445"/>
      <c r="E327" s="445"/>
      <c r="F327" s="445"/>
      <c r="G327" s="445"/>
      <c r="H327" s="445"/>
      <c r="I327" s="445"/>
      <c r="J327" s="445"/>
      <c r="K327" s="1136"/>
      <c r="L327" s="1136"/>
      <c r="M327" s="445"/>
      <c r="N327" s="445"/>
      <c r="O327" s="445"/>
      <c r="P327" s="445"/>
    </row>
    <row r="328" spans="1:16">
      <c r="A328" s="445"/>
      <c r="B328" s="445"/>
      <c r="C328" s="445"/>
      <c r="D328" s="445"/>
      <c r="E328" s="445"/>
      <c r="F328" s="445"/>
      <c r="G328" s="445"/>
      <c r="H328" s="445"/>
      <c r="I328" s="445"/>
      <c r="J328" s="445"/>
      <c r="K328" s="1136"/>
      <c r="L328" s="1136"/>
      <c r="M328" s="445"/>
      <c r="N328" s="445"/>
      <c r="O328" s="445"/>
      <c r="P328" s="445"/>
    </row>
    <row r="329" spans="1:16">
      <c r="A329" s="445"/>
      <c r="B329" s="445"/>
      <c r="C329" s="445"/>
      <c r="D329" s="445"/>
      <c r="E329" s="445"/>
      <c r="F329" s="445"/>
      <c r="G329" s="445"/>
      <c r="H329" s="445"/>
      <c r="I329" s="445"/>
      <c r="J329" s="445"/>
      <c r="K329" s="1136"/>
      <c r="L329" s="1136"/>
      <c r="M329" s="445"/>
      <c r="N329" s="445"/>
      <c r="O329" s="445"/>
      <c r="P329" s="445"/>
    </row>
    <row r="330" spans="1:16">
      <c r="A330" s="445"/>
      <c r="B330" s="445"/>
      <c r="C330" s="445"/>
      <c r="D330" s="445"/>
      <c r="E330" s="445"/>
      <c r="F330" s="445"/>
      <c r="G330" s="445"/>
      <c r="H330" s="445"/>
      <c r="I330" s="445"/>
      <c r="J330" s="445"/>
      <c r="K330" s="1136"/>
      <c r="L330" s="1136"/>
      <c r="M330" s="445"/>
      <c r="N330" s="445"/>
      <c r="O330" s="445"/>
      <c r="P330" s="445"/>
    </row>
    <row r="331" spans="1:16">
      <c r="A331" s="445"/>
      <c r="B331" s="445"/>
      <c r="C331" s="445"/>
      <c r="D331" s="445"/>
      <c r="E331" s="445"/>
      <c r="F331" s="445"/>
      <c r="G331" s="445"/>
      <c r="H331" s="445"/>
      <c r="I331" s="445"/>
      <c r="J331" s="445"/>
      <c r="K331" s="1136"/>
      <c r="L331" s="1136"/>
      <c r="M331" s="445"/>
      <c r="N331" s="445"/>
      <c r="O331" s="445"/>
      <c r="P331" s="445"/>
    </row>
    <row r="332" spans="1:16">
      <c r="A332" s="445"/>
      <c r="B332" s="445"/>
      <c r="C332" s="445"/>
      <c r="D332" s="445"/>
      <c r="E332" s="445"/>
      <c r="F332" s="445"/>
      <c r="G332" s="445"/>
      <c r="H332" s="445"/>
      <c r="I332" s="445"/>
      <c r="J332" s="445"/>
      <c r="K332" s="1136"/>
      <c r="L332" s="1136"/>
      <c r="M332" s="445"/>
      <c r="N332" s="445"/>
      <c r="O332" s="445"/>
      <c r="P332" s="445"/>
    </row>
    <row r="333" spans="1:16">
      <c r="A333" s="445"/>
      <c r="B333" s="445"/>
      <c r="C333" s="445"/>
      <c r="D333" s="445"/>
      <c r="E333" s="445"/>
      <c r="F333" s="445"/>
      <c r="G333" s="445"/>
      <c r="H333" s="445"/>
      <c r="I333" s="445"/>
      <c r="J333" s="445"/>
      <c r="K333" s="1136"/>
      <c r="L333" s="1136"/>
      <c r="M333" s="445"/>
      <c r="N333" s="445"/>
      <c r="O333" s="445"/>
      <c r="P333" s="445"/>
    </row>
    <row r="334" spans="1:16">
      <c r="A334" s="445"/>
      <c r="B334" s="445"/>
      <c r="C334" s="445"/>
      <c r="D334" s="445"/>
      <c r="E334" s="445"/>
      <c r="F334" s="445"/>
      <c r="G334" s="445"/>
      <c r="H334" s="445"/>
      <c r="I334" s="445"/>
      <c r="J334" s="445"/>
      <c r="K334" s="1136"/>
      <c r="L334" s="1136"/>
      <c r="M334" s="445"/>
      <c r="N334" s="445"/>
      <c r="O334" s="445"/>
      <c r="P334" s="445"/>
    </row>
    <row r="335" spans="1:16">
      <c r="A335" s="445"/>
      <c r="B335" s="445"/>
      <c r="C335" s="445"/>
      <c r="D335" s="445"/>
      <c r="E335" s="445"/>
      <c r="F335" s="445"/>
      <c r="G335" s="445"/>
      <c r="H335" s="445"/>
      <c r="I335" s="445"/>
      <c r="J335" s="445"/>
      <c r="K335" s="1136"/>
      <c r="L335" s="1136"/>
      <c r="M335" s="445"/>
      <c r="N335" s="445"/>
      <c r="O335" s="445"/>
      <c r="P335" s="445"/>
    </row>
    <row r="336" spans="1:16">
      <c r="A336" s="445"/>
      <c r="B336" s="445"/>
      <c r="C336" s="445"/>
      <c r="D336" s="445"/>
      <c r="E336" s="445"/>
      <c r="F336" s="445"/>
      <c r="G336" s="445"/>
      <c r="H336" s="445"/>
      <c r="I336" s="445"/>
      <c r="J336" s="445"/>
      <c r="K336" s="1136"/>
      <c r="L336" s="1136"/>
      <c r="M336" s="445"/>
      <c r="N336" s="445"/>
      <c r="O336" s="445"/>
      <c r="P336" s="445"/>
    </row>
    <row r="337" spans="1:16">
      <c r="A337" s="445"/>
      <c r="B337" s="445"/>
      <c r="C337" s="445"/>
      <c r="D337" s="445"/>
      <c r="E337" s="445"/>
      <c r="F337" s="445"/>
      <c r="G337" s="445"/>
      <c r="H337" s="445"/>
      <c r="I337" s="445"/>
      <c r="J337" s="445"/>
      <c r="K337" s="1136"/>
      <c r="L337" s="1136"/>
      <c r="M337" s="445"/>
      <c r="N337" s="445"/>
      <c r="O337" s="445"/>
      <c r="P337" s="445"/>
    </row>
    <row r="338" spans="1:16">
      <c r="A338" s="445"/>
      <c r="B338" s="445"/>
      <c r="C338" s="445"/>
      <c r="D338" s="445"/>
      <c r="E338" s="445"/>
      <c r="F338" s="445"/>
      <c r="G338" s="445"/>
      <c r="H338" s="445"/>
      <c r="I338" s="445"/>
      <c r="J338" s="445"/>
      <c r="K338" s="1136"/>
      <c r="L338" s="1136"/>
      <c r="M338" s="445"/>
      <c r="N338" s="445"/>
      <c r="O338" s="445"/>
      <c r="P338" s="445"/>
    </row>
    <row r="339" spans="1:16">
      <c r="A339" s="445"/>
      <c r="B339" s="445"/>
      <c r="C339" s="445"/>
      <c r="D339" s="445"/>
      <c r="E339" s="445"/>
      <c r="F339" s="445"/>
      <c r="G339" s="445"/>
      <c r="H339" s="445"/>
      <c r="I339" s="445"/>
      <c r="J339" s="445"/>
      <c r="K339" s="1136"/>
      <c r="L339" s="1136"/>
      <c r="M339" s="445"/>
      <c r="N339" s="445"/>
      <c r="O339" s="445"/>
      <c r="P339" s="445"/>
    </row>
    <row r="340" spans="1:16">
      <c r="A340" s="445"/>
      <c r="B340" s="445"/>
      <c r="C340" s="445"/>
      <c r="D340" s="445"/>
      <c r="E340" s="445"/>
      <c r="F340" s="445"/>
      <c r="G340" s="445"/>
      <c r="H340" s="445"/>
      <c r="I340" s="445"/>
      <c r="J340" s="445"/>
      <c r="K340" s="1136"/>
      <c r="L340" s="1136"/>
      <c r="M340" s="445"/>
      <c r="N340" s="445"/>
      <c r="O340" s="445"/>
      <c r="P340" s="445"/>
    </row>
    <row r="341" spans="1:16">
      <c r="A341" s="445"/>
      <c r="B341" s="445"/>
      <c r="C341" s="445"/>
      <c r="D341" s="445"/>
      <c r="E341" s="445"/>
      <c r="F341" s="445"/>
      <c r="G341" s="445"/>
      <c r="H341" s="445"/>
      <c r="I341" s="445"/>
      <c r="J341" s="445"/>
      <c r="K341" s="1136"/>
      <c r="L341" s="1136"/>
      <c r="M341" s="445"/>
      <c r="N341" s="445"/>
      <c r="O341" s="445"/>
      <c r="P341" s="445"/>
    </row>
    <row r="342" spans="1:16">
      <c r="A342" s="445"/>
      <c r="B342" s="445"/>
      <c r="C342" s="445"/>
      <c r="D342" s="445"/>
      <c r="E342" s="445"/>
      <c r="F342" s="445"/>
      <c r="G342" s="445"/>
      <c r="H342" s="445"/>
      <c r="I342" s="445"/>
      <c r="J342" s="445"/>
      <c r="K342" s="1136"/>
      <c r="L342" s="1136"/>
      <c r="M342" s="445"/>
      <c r="N342" s="445"/>
      <c r="O342" s="445"/>
      <c r="P342" s="445"/>
    </row>
    <row r="343" spans="1:16">
      <c r="A343" s="445"/>
      <c r="B343" s="445"/>
      <c r="C343" s="445"/>
      <c r="D343" s="445"/>
      <c r="E343" s="445"/>
      <c r="F343" s="445"/>
      <c r="G343" s="445"/>
      <c r="H343" s="445"/>
      <c r="I343" s="445"/>
      <c r="J343" s="445"/>
      <c r="K343" s="1136"/>
      <c r="L343" s="1136"/>
      <c r="M343" s="445"/>
      <c r="N343" s="445"/>
      <c r="O343" s="445"/>
      <c r="P343" s="445"/>
    </row>
    <row r="344" spans="1:16">
      <c r="A344" s="445"/>
      <c r="B344" s="445"/>
      <c r="C344" s="445"/>
      <c r="D344" s="445"/>
      <c r="E344" s="445"/>
      <c r="F344" s="445"/>
      <c r="G344" s="445"/>
      <c r="H344" s="445"/>
      <c r="I344" s="445"/>
      <c r="J344" s="445"/>
      <c r="K344" s="1136"/>
      <c r="L344" s="1136"/>
      <c r="M344" s="445"/>
      <c r="N344" s="445"/>
      <c r="O344" s="445"/>
      <c r="P344" s="445"/>
    </row>
    <row r="345" spans="1:16">
      <c r="A345" s="445"/>
      <c r="B345" s="445"/>
      <c r="C345" s="445"/>
      <c r="D345" s="445"/>
      <c r="E345" s="445"/>
      <c r="F345" s="445"/>
      <c r="G345" s="445"/>
      <c r="H345" s="445"/>
      <c r="I345" s="445"/>
      <c r="J345" s="445"/>
      <c r="K345" s="1136"/>
      <c r="L345" s="1136"/>
      <c r="M345" s="445"/>
      <c r="N345" s="445"/>
      <c r="O345" s="445"/>
      <c r="P345" s="445"/>
    </row>
    <row r="346" spans="1:16">
      <c r="A346" s="445"/>
      <c r="B346" s="445"/>
      <c r="C346" s="445"/>
      <c r="D346" s="445"/>
      <c r="E346" s="445"/>
      <c r="F346" s="445"/>
      <c r="G346" s="445"/>
      <c r="H346" s="445"/>
      <c r="I346" s="445"/>
      <c r="J346" s="445"/>
      <c r="K346" s="1136"/>
      <c r="L346" s="1136"/>
      <c r="M346" s="445"/>
      <c r="N346" s="445"/>
      <c r="O346" s="445"/>
      <c r="P346" s="445"/>
    </row>
    <row r="347" spans="1:16">
      <c r="A347" s="445"/>
      <c r="B347" s="445"/>
      <c r="C347" s="445"/>
      <c r="D347" s="445"/>
      <c r="E347" s="445"/>
      <c r="F347" s="445"/>
      <c r="G347" s="445"/>
      <c r="H347" s="445"/>
      <c r="I347" s="445"/>
      <c r="J347" s="445"/>
      <c r="K347" s="1136"/>
      <c r="L347" s="1136"/>
      <c r="M347" s="445"/>
      <c r="N347" s="445"/>
      <c r="O347" s="445"/>
      <c r="P347" s="445"/>
    </row>
    <row r="348" spans="1:16">
      <c r="A348" s="445"/>
      <c r="B348" s="445"/>
      <c r="C348" s="445"/>
      <c r="D348" s="445"/>
      <c r="E348" s="445"/>
      <c r="F348" s="445"/>
      <c r="G348" s="445"/>
      <c r="H348" s="445"/>
      <c r="I348" s="445"/>
      <c r="J348" s="445"/>
      <c r="K348" s="1136"/>
      <c r="L348" s="1136"/>
      <c r="M348" s="445"/>
      <c r="N348" s="445"/>
      <c r="O348" s="445"/>
      <c r="P348" s="445"/>
    </row>
    <row r="349" spans="1:16">
      <c r="A349" s="445"/>
      <c r="B349" s="445"/>
      <c r="C349" s="445"/>
      <c r="D349" s="445"/>
      <c r="E349" s="445"/>
      <c r="F349" s="445"/>
      <c r="G349" s="445"/>
      <c r="H349" s="445"/>
      <c r="I349" s="445"/>
      <c r="J349" s="445"/>
      <c r="K349" s="1136"/>
      <c r="L349" s="1136"/>
      <c r="M349" s="445"/>
      <c r="N349" s="445"/>
      <c r="O349" s="445"/>
      <c r="P349" s="445"/>
    </row>
    <row r="350" spans="1:16">
      <c r="A350" s="445"/>
      <c r="B350" s="445"/>
      <c r="C350" s="445"/>
      <c r="D350" s="445"/>
      <c r="E350" s="445"/>
      <c r="F350" s="445"/>
      <c r="G350" s="445"/>
      <c r="H350" s="445"/>
      <c r="I350" s="445"/>
      <c r="J350" s="445"/>
      <c r="K350" s="1136"/>
      <c r="L350" s="1136"/>
      <c r="M350" s="445"/>
      <c r="N350" s="445"/>
      <c r="O350" s="445"/>
      <c r="P350" s="445"/>
    </row>
    <row r="351" spans="1:16">
      <c r="A351" s="445"/>
      <c r="B351" s="445"/>
      <c r="C351" s="445"/>
      <c r="D351" s="445"/>
      <c r="E351" s="445"/>
      <c r="F351" s="445"/>
      <c r="G351" s="445"/>
      <c r="H351" s="445"/>
      <c r="I351" s="445"/>
      <c r="J351" s="445"/>
      <c r="K351" s="1136"/>
      <c r="L351" s="1136"/>
      <c r="M351" s="445"/>
      <c r="N351" s="445"/>
      <c r="O351" s="445"/>
      <c r="P351" s="445"/>
    </row>
    <row r="352" spans="1:16">
      <c r="A352" s="445"/>
      <c r="B352" s="445"/>
      <c r="C352" s="445"/>
      <c r="D352" s="445"/>
      <c r="E352" s="445"/>
      <c r="F352" s="445"/>
      <c r="G352" s="445"/>
      <c r="H352" s="445"/>
      <c r="I352" s="445"/>
      <c r="J352" s="445"/>
      <c r="K352" s="1136"/>
      <c r="L352" s="1136"/>
      <c r="M352" s="445"/>
      <c r="N352" s="445"/>
      <c r="O352" s="445"/>
      <c r="P352" s="445"/>
    </row>
    <row r="353" spans="1:16">
      <c r="A353" s="445"/>
      <c r="B353" s="445"/>
      <c r="C353" s="445"/>
      <c r="D353" s="445"/>
      <c r="E353" s="445"/>
      <c r="F353" s="445"/>
      <c r="G353" s="445"/>
      <c r="H353" s="445"/>
      <c r="I353" s="445"/>
      <c r="J353" s="445"/>
      <c r="K353" s="1136"/>
      <c r="L353" s="1136"/>
      <c r="M353" s="445"/>
      <c r="N353" s="445"/>
      <c r="O353" s="445"/>
      <c r="P353" s="445"/>
    </row>
    <row r="354" spans="1:16">
      <c r="A354" s="445"/>
      <c r="B354" s="445"/>
      <c r="C354" s="445"/>
      <c r="D354" s="445"/>
      <c r="E354" s="445"/>
      <c r="F354" s="445"/>
      <c r="G354" s="445"/>
      <c r="H354" s="445"/>
      <c r="I354" s="445"/>
      <c r="J354" s="445"/>
      <c r="K354" s="1136"/>
      <c r="L354" s="1136"/>
      <c r="M354" s="445"/>
      <c r="N354" s="445"/>
      <c r="O354" s="445"/>
      <c r="P354" s="445"/>
    </row>
    <row r="355" spans="1:16">
      <c r="A355" s="445"/>
      <c r="B355" s="445"/>
      <c r="C355" s="445"/>
      <c r="D355" s="445"/>
      <c r="E355" s="445"/>
      <c r="F355" s="445"/>
      <c r="G355" s="445"/>
      <c r="H355" s="445"/>
      <c r="I355" s="445"/>
      <c r="J355" s="445"/>
      <c r="K355" s="1136"/>
      <c r="L355" s="1136"/>
      <c r="M355" s="445"/>
      <c r="N355" s="445"/>
      <c r="O355" s="445"/>
      <c r="P355" s="445"/>
    </row>
    <row r="356" spans="1:16">
      <c r="A356" s="445"/>
      <c r="B356" s="445"/>
      <c r="C356" s="445"/>
      <c r="D356" s="445"/>
      <c r="E356" s="445"/>
      <c r="F356" s="445"/>
      <c r="G356" s="445"/>
      <c r="H356" s="445"/>
      <c r="I356" s="445"/>
      <c r="J356" s="445"/>
      <c r="K356" s="1136"/>
      <c r="L356" s="1136"/>
      <c r="M356" s="445"/>
      <c r="N356" s="445"/>
      <c r="O356" s="445"/>
      <c r="P356" s="445"/>
    </row>
    <row r="357" spans="1:16">
      <c r="A357" s="445"/>
      <c r="B357" s="445"/>
      <c r="C357" s="445"/>
      <c r="D357" s="445"/>
      <c r="E357" s="445"/>
      <c r="F357" s="445"/>
      <c r="G357" s="445"/>
      <c r="H357" s="445"/>
      <c r="I357" s="445"/>
      <c r="J357" s="445"/>
      <c r="K357" s="1136"/>
      <c r="L357" s="1136"/>
      <c r="M357" s="445"/>
      <c r="N357" s="445"/>
      <c r="O357" s="445"/>
      <c r="P357" s="445"/>
    </row>
    <row r="358" spans="1:16">
      <c r="A358" s="445"/>
      <c r="B358" s="445"/>
      <c r="C358" s="445"/>
      <c r="D358" s="445"/>
      <c r="E358" s="445"/>
      <c r="F358" s="445"/>
      <c r="G358" s="445"/>
      <c r="H358" s="445"/>
      <c r="I358" s="445"/>
      <c r="J358" s="445"/>
      <c r="K358" s="1136"/>
      <c r="L358" s="1136"/>
      <c r="M358" s="445"/>
      <c r="N358" s="445"/>
      <c r="O358" s="445"/>
      <c r="P358" s="445"/>
    </row>
    <row r="359" spans="1:16">
      <c r="A359" s="445"/>
      <c r="B359" s="445"/>
      <c r="C359" s="445"/>
      <c r="D359" s="445"/>
      <c r="E359" s="445"/>
      <c r="F359" s="445"/>
      <c r="G359" s="445"/>
      <c r="H359" s="445"/>
      <c r="I359" s="445"/>
      <c r="J359" s="445"/>
      <c r="K359" s="1136"/>
      <c r="L359" s="1136"/>
      <c r="M359" s="445"/>
      <c r="N359" s="445"/>
      <c r="O359" s="445"/>
      <c r="P359" s="445"/>
    </row>
    <row r="360" spans="1:16">
      <c r="A360" s="445"/>
      <c r="B360" s="445"/>
      <c r="C360" s="445"/>
      <c r="D360" s="445"/>
      <c r="E360" s="445"/>
      <c r="F360" s="445"/>
      <c r="G360" s="445"/>
      <c r="H360" s="445"/>
      <c r="I360" s="445"/>
      <c r="J360" s="445"/>
      <c r="K360" s="1136"/>
      <c r="L360" s="1136"/>
      <c r="M360" s="445"/>
      <c r="N360" s="445"/>
      <c r="O360" s="445"/>
      <c r="P360" s="445"/>
    </row>
    <row r="361" spans="1:16">
      <c r="A361" s="445"/>
      <c r="B361" s="445"/>
      <c r="C361" s="445"/>
      <c r="D361" s="445"/>
      <c r="E361" s="445"/>
      <c r="F361" s="445"/>
      <c r="G361" s="445"/>
      <c r="H361" s="445"/>
      <c r="I361" s="445"/>
      <c r="J361" s="445"/>
      <c r="K361" s="1136"/>
      <c r="L361" s="1136"/>
      <c r="M361" s="445"/>
      <c r="N361" s="445"/>
      <c r="O361" s="445"/>
      <c r="P361" s="445"/>
    </row>
    <row r="362" spans="1:16">
      <c r="A362" s="445"/>
      <c r="B362" s="445"/>
      <c r="C362" s="445"/>
      <c r="D362" s="445"/>
      <c r="E362" s="445"/>
      <c r="F362" s="445"/>
      <c r="G362" s="445"/>
      <c r="H362" s="445"/>
      <c r="I362" s="445"/>
      <c r="J362" s="445"/>
      <c r="K362" s="1136"/>
      <c r="L362" s="1136"/>
      <c r="M362" s="445"/>
      <c r="N362" s="445"/>
      <c r="O362" s="445"/>
      <c r="P362" s="445"/>
    </row>
    <row r="363" spans="1:16">
      <c r="A363" s="445"/>
      <c r="B363" s="445"/>
      <c r="C363" s="445"/>
      <c r="D363" s="445"/>
      <c r="E363" s="445"/>
      <c r="F363" s="445"/>
      <c r="G363" s="445"/>
      <c r="H363" s="445"/>
      <c r="I363" s="445"/>
      <c r="J363" s="445"/>
      <c r="K363" s="1136"/>
      <c r="L363" s="1136"/>
      <c r="M363" s="445"/>
      <c r="N363" s="445"/>
      <c r="O363" s="445"/>
      <c r="P363" s="445"/>
    </row>
    <row r="364" spans="1:16">
      <c r="A364" s="445"/>
      <c r="B364" s="445"/>
      <c r="C364" s="445"/>
      <c r="D364" s="445"/>
      <c r="E364" s="445"/>
      <c r="F364" s="445"/>
      <c r="G364" s="445"/>
      <c r="H364" s="445"/>
      <c r="I364" s="445"/>
      <c r="J364" s="445"/>
      <c r="K364" s="1136"/>
      <c r="L364" s="1136"/>
      <c r="M364" s="445"/>
      <c r="N364" s="445"/>
      <c r="O364" s="445"/>
      <c r="P364" s="445"/>
    </row>
    <row r="365" spans="1:16">
      <c r="A365" s="445"/>
      <c r="B365" s="445"/>
      <c r="C365" s="445"/>
      <c r="D365" s="445"/>
      <c r="E365" s="445"/>
      <c r="F365" s="445"/>
      <c r="G365" s="445"/>
      <c r="H365" s="445"/>
      <c r="I365" s="445"/>
      <c r="J365" s="445"/>
      <c r="K365" s="1136"/>
      <c r="L365" s="1136"/>
      <c r="M365" s="445"/>
      <c r="N365" s="445"/>
      <c r="O365" s="445"/>
      <c r="P365" s="445"/>
    </row>
    <row r="366" spans="1:16">
      <c r="A366" s="445"/>
      <c r="B366" s="445"/>
      <c r="C366" s="445"/>
      <c r="D366" s="445"/>
      <c r="E366" s="445"/>
      <c r="F366" s="445"/>
      <c r="G366" s="445"/>
      <c r="H366" s="445"/>
      <c r="I366" s="445"/>
      <c r="J366" s="445"/>
      <c r="K366" s="1136"/>
      <c r="L366" s="1136"/>
      <c r="M366" s="445"/>
      <c r="N366" s="445"/>
      <c r="O366" s="445"/>
      <c r="P366" s="445"/>
    </row>
    <row r="367" spans="1:16">
      <c r="A367" s="445"/>
      <c r="B367" s="445"/>
      <c r="C367" s="445"/>
      <c r="D367" s="445"/>
      <c r="E367" s="445"/>
      <c r="F367" s="445"/>
      <c r="G367" s="445"/>
      <c r="H367" s="445"/>
      <c r="I367" s="445"/>
      <c r="J367" s="445"/>
      <c r="K367" s="1136"/>
      <c r="L367" s="1136"/>
      <c r="M367" s="445"/>
      <c r="N367" s="445"/>
      <c r="O367" s="445"/>
      <c r="P367" s="445"/>
    </row>
    <row r="368" spans="1:16">
      <c r="A368" s="445"/>
      <c r="B368" s="445"/>
      <c r="C368" s="445"/>
      <c r="D368" s="445"/>
      <c r="E368" s="445"/>
      <c r="F368" s="445"/>
      <c r="G368" s="445"/>
      <c r="H368" s="445"/>
      <c r="I368" s="445"/>
      <c r="J368" s="445"/>
      <c r="K368" s="1136"/>
      <c r="L368" s="1136"/>
      <c r="M368" s="445"/>
      <c r="N368" s="445"/>
      <c r="O368" s="445"/>
      <c r="P368" s="445"/>
    </row>
    <row r="369" spans="1:16">
      <c r="A369" s="445"/>
      <c r="B369" s="445"/>
      <c r="C369" s="445"/>
      <c r="D369" s="445"/>
      <c r="E369" s="445"/>
      <c r="F369" s="445"/>
      <c r="G369" s="445"/>
      <c r="H369" s="445"/>
      <c r="I369" s="445"/>
      <c r="J369" s="445"/>
      <c r="K369" s="1136"/>
      <c r="L369" s="1136"/>
      <c r="M369" s="445"/>
      <c r="N369" s="445"/>
      <c r="O369" s="445"/>
      <c r="P369" s="445"/>
    </row>
    <row r="370" spans="1:16">
      <c r="A370" s="445"/>
      <c r="B370" s="445"/>
      <c r="C370" s="445"/>
      <c r="D370" s="445"/>
      <c r="E370" s="445"/>
      <c r="F370" s="445"/>
      <c r="G370" s="445"/>
      <c r="H370" s="445"/>
      <c r="I370" s="445"/>
      <c r="J370" s="445"/>
      <c r="K370" s="1136"/>
      <c r="L370" s="1136"/>
      <c r="M370" s="445"/>
      <c r="N370" s="445"/>
      <c r="O370" s="445"/>
      <c r="P370" s="445"/>
    </row>
    <row r="371" spans="1:16">
      <c r="A371" s="445"/>
      <c r="B371" s="445"/>
      <c r="C371" s="445"/>
      <c r="D371" s="445"/>
      <c r="E371" s="445"/>
      <c r="F371" s="445"/>
      <c r="G371" s="445"/>
      <c r="H371" s="445"/>
      <c r="I371" s="445"/>
      <c r="J371" s="445"/>
      <c r="K371" s="1136"/>
      <c r="L371" s="1136"/>
      <c r="M371" s="445"/>
      <c r="N371" s="445"/>
      <c r="O371" s="445"/>
      <c r="P371" s="445"/>
    </row>
    <row r="372" spans="1:16">
      <c r="A372" s="445"/>
      <c r="B372" s="445"/>
      <c r="C372" s="445"/>
      <c r="D372" s="445"/>
      <c r="E372" s="445"/>
      <c r="F372" s="445"/>
      <c r="G372" s="445"/>
      <c r="H372" s="445"/>
      <c r="I372" s="445"/>
      <c r="J372" s="445"/>
      <c r="K372" s="1136"/>
      <c r="L372" s="1136"/>
      <c r="M372" s="445"/>
      <c r="N372" s="445"/>
      <c r="O372" s="445"/>
      <c r="P372" s="445"/>
    </row>
    <row r="373" spans="1:16">
      <c r="A373" s="445"/>
      <c r="B373" s="445"/>
      <c r="C373" s="445"/>
      <c r="D373" s="445"/>
      <c r="E373" s="445"/>
      <c r="F373" s="445"/>
      <c r="G373" s="445"/>
      <c r="H373" s="445"/>
      <c r="I373" s="445"/>
      <c r="J373" s="445"/>
      <c r="K373" s="1136"/>
      <c r="L373" s="1136"/>
      <c r="M373" s="445"/>
      <c r="N373" s="445"/>
      <c r="O373" s="445"/>
      <c r="P373" s="445"/>
    </row>
    <row r="374" spans="1:16">
      <c r="A374" s="445"/>
      <c r="B374" s="445"/>
      <c r="C374" s="445"/>
      <c r="D374" s="445"/>
      <c r="E374" s="445"/>
      <c r="F374" s="445"/>
      <c r="G374" s="445"/>
      <c r="H374" s="445"/>
      <c r="I374" s="445"/>
      <c r="J374" s="445"/>
      <c r="K374" s="1136"/>
      <c r="L374" s="1136"/>
      <c r="M374" s="445"/>
      <c r="N374" s="445"/>
      <c r="O374" s="445"/>
      <c r="P374" s="445"/>
    </row>
    <row r="375" spans="1:16">
      <c r="A375" s="445"/>
      <c r="B375" s="445"/>
      <c r="C375" s="445"/>
      <c r="D375" s="445"/>
      <c r="E375" s="445"/>
      <c r="F375" s="445"/>
      <c r="G375" s="445"/>
      <c r="H375" s="445"/>
      <c r="I375" s="445"/>
      <c r="J375" s="445"/>
      <c r="K375" s="1136"/>
      <c r="L375" s="1136"/>
      <c r="M375" s="445"/>
      <c r="N375" s="445"/>
      <c r="O375" s="445"/>
      <c r="P375" s="445"/>
    </row>
    <row r="376" spans="1:16">
      <c r="A376" s="445"/>
      <c r="B376" s="445"/>
      <c r="C376" s="445"/>
      <c r="D376" s="445"/>
      <c r="E376" s="445"/>
      <c r="F376" s="445"/>
      <c r="G376" s="445"/>
      <c r="H376" s="445"/>
      <c r="I376" s="445"/>
      <c r="J376" s="445"/>
      <c r="K376" s="1136"/>
      <c r="L376" s="1136"/>
      <c r="M376" s="445"/>
      <c r="N376" s="445"/>
      <c r="O376" s="445"/>
      <c r="P376" s="445"/>
    </row>
    <row r="377" spans="1:16">
      <c r="A377" s="445"/>
      <c r="B377" s="445"/>
      <c r="C377" s="445"/>
      <c r="D377" s="445"/>
      <c r="E377" s="445"/>
      <c r="F377" s="445"/>
      <c r="G377" s="445"/>
      <c r="H377" s="445"/>
      <c r="I377" s="445"/>
      <c r="J377" s="445"/>
      <c r="K377" s="1136"/>
      <c r="L377" s="1136"/>
      <c r="M377" s="445"/>
      <c r="N377" s="445"/>
      <c r="O377" s="445"/>
      <c r="P377" s="445"/>
    </row>
    <row r="378" spans="1:16">
      <c r="A378" s="445"/>
      <c r="B378" s="445"/>
      <c r="C378" s="445"/>
      <c r="D378" s="445"/>
      <c r="E378" s="445"/>
      <c r="F378" s="445"/>
      <c r="G378" s="445"/>
      <c r="H378" s="445"/>
      <c r="I378" s="445"/>
      <c r="J378" s="445"/>
      <c r="K378" s="1136"/>
      <c r="L378" s="1136"/>
      <c r="M378" s="445"/>
      <c r="N378" s="445"/>
      <c r="O378" s="445"/>
      <c r="P378" s="445"/>
    </row>
    <row r="379" spans="1:16">
      <c r="A379" s="445"/>
      <c r="B379" s="445"/>
      <c r="C379" s="445"/>
      <c r="D379" s="445"/>
      <c r="E379" s="445"/>
      <c r="F379" s="445"/>
      <c r="G379" s="445"/>
      <c r="H379" s="445"/>
      <c r="I379" s="445"/>
      <c r="J379" s="445"/>
      <c r="K379" s="1136"/>
      <c r="L379" s="1136"/>
      <c r="M379" s="445"/>
      <c r="N379" s="445"/>
      <c r="O379" s="445"/>
      <c r="P379" s="445"/>
    </row>
    <row r="380" spans="1:16">
      <c r="A380" s="445"/>
      <c r="B380" s="445"/>
      <c r="C380" s="445"/>
      <c r="D380" s="445"/>
      <c r="E380" s="445"/>
      <c r="F380" s="445"/>
      <c r="G380" s="445"/>
      <c r="H380" s="445"/>
      <c r="I380" s="445"/>
      <c r="J380" s="445"/>
      <c r="K380" s="1136"/>
      <c r="L380" s="1136"/>
      <c r="M380" s="445"/>
      <c r="N380" s="445"/>
      <c r="O380" s="445"/>
      <c r="P380" s="445"/>
    </row>
    <row r="381" spans="1:16">
      <c r="A381" s="445"/>
      <c r="B381" s="445"/>
      <c r="C381" s="445"/>
      <c r="D381" s="445"/>
      <c r="E381" s="445"/>
      <c r="F381" s="445"/>
      <c r="G381" s="445"/>
      <c r="H381" s="445"/>
      <c r="I381" s="445"/>
      <c r="J381" s="445"/>
      <c r="K381" s="1136"/>
      <c r="L381" s="1136"/>
      <c r="M381" s="445"/>
      <c r="N381" s="445"/>
      <c r="O381" s="445"/>
      <c r="P381" s="445"/>
    </row>
    <row r="382" spans="1:16">
      <c r="A382" s="445"/>
      <c r="B382" s="445"/>
      <c r="C382" s="445"/>
      <c r="D382" s="445"/>
      <c r="E382" s="445"/>
      <c r="F382" s="445"/>
      <c r="G382" s="445"/>
      <c r="H382" s="445"/>
      <c r="I382" s="445"/>
      <c r="J382" s="445"/>
      <c r="K382" s="1136"/>
      <c r="L382" s="1136"/>
      <c r="M382" s="445"/>
      <c r="N382" s="445"/>
      <c r="O382" s="445"/>
      <c r="P382" s="445"/>
    </row>
    <row r="383" spans="1:16">
      <c r="A383" s="445"/>
      <c r="B383" s="445"/>
      <c r="C383" s="445"/>
      <c r="D383" s="445"/>
      <c r="E383" s="445"/>
      <c r="F383" s="445"/>
      <c r="G383" s="445"/>
      <c r="H383" s="445"/>
      <c r="I383" s="445"/>
      <c r="J383" s="445"/>
      <c r="K383" s="1136"/>
      <c r="L383" s="1136"/>
      <c r="M383" s="445"/>
      <c r="N383" s="445"/>
      <c r="O383" s="445"/>
      <c r="P383" s="445"/>
    </row>
    <row r="384" spans="1:16">
      <c r="A384" s="445"/>
      <c r="B384" s="445"/>
      <c r="C384" s="445"/>
      <c r="D384" s="445"/>
      <c r="E384" s="445"/>
      <c r="F384" s="445"/>
      <c r="G384" s="445"/>
      <c r="H384" s="445"/>
      <c r="I384" s="445"/>
      <c r="J384" s="445"/>
      <c r="K384" s="1136"/>
      <c r="L384" s="1136"/>
      <c r="M384" s="445"/>
      <c r="N384" s="445"/>
      <c r="O384" s="445"/>
      <c r="P384" s="445"/>
    </row>
    <row r="385" spans="1:16">
      <c r="A385" s="445"/>
      <c r="B385" s="445"/>
      <c r="C385" s="445"/>
      <c r="D385" s="445"/>
      <c r="E385" s="445"/>
      <c r="F385" s="445"/>
      <c r="G385" s="445"/>
      <c r="H385" s="445"/>
      <c r="I385" s="445"/>
      <c r="J385" s="445"/>
      <c r="K385" s="1136"/>
      <c r="L385" s="1136"/>
      <c r="M385" s="445"/>
      <c r="N385" s="445"/>
      <c r="O385" s="445"/>
      <c r="P385" s="445"/>
    </row>
    <row r="386" spans="1:16">
      <c r="A386" s="445"/>
      <c r="B386" s="445"/>
      <c r="C386" s="445"/>
      <c r="D386" s="445"/>
      <c r="E386" s="445"/>
      <c r="F386" s="445"/>
      <c r="G386" s="445"/>
      <c r="H386" s="445"/>
      <c r="I386" s="445"/>
      <c r="J386" s="445"/>
      <c r="K386" s="1136"/>
      <c r="L386" s="1136"/>
      <c r="M386" s="445"/>
      <c r="N386" s="445"/>
      <c r="O386" s="445"/>
      <c r="P386" s="445"/>
    </row>
    <row r="387" spans="1:16">
      <c r="A387" s="445"/>
      <c r="B387" s="445"/>
      <c r="C387" s="445"/>
      <c r="D387" s="445"/>
      <c r="E387" s="445"/>
      <c r="F387" s="445"/>
      <c r="G387" s="445"/>
      <c r="H387" s="445"/>
      <c r="I387" s="445"/>
      <c r="J387" s="445"/>
      <c r="K387" s="1136"/>
      <c r="L387" s="1136"/>
      <c r="M387" s="445"/>
      <c r="N387" s="445"/>
      <c r="O387" s="445"/>
      <c r="P387" s="445"/>
    </row>
    <row r="388" spans="1:16">
      <c r="A388" s="445"/>
      <c r="B388" s="445"/>
      <c r="C388" s="445"/>
      <c r="D388" s="445"/>
      <c r="E388" s="445"/>
      <c r="F388" s="445"/>
      <c r="G388" s="445"/>
      <c r="H388" s="445"/>
      <c r="I388" s="445"/>
      <c r="J388" s="445"/>
      <c r="K388" s="1136"/>
      <c r="L388" s="1136"/>
      <c r="M388" s="445"/>
      <c r="N388" s="445"/>
      <c r="O388" s="445"/>
      <c r="P388" s="445"/>
    </row>
    <row r="389" spans="1:16">
      <c r="A389" s="445"/>
      <c r="B389" s="445"/>
      <c r="C389" s="445"/>
      <c r="D389" s="445"/>
      <c r="E389" s="445"/>
      <c r="F389" s="445"/>
      <c r="G389" s="445"/>
      <c r="H389" s="445"/>
      <c r="I389" s="445"/>
      <c r="J389" s="445"/>
      <c r="K389" s="1136"/>
      <c r="L389" s="1136"/>
      <c r="M389" s="445"/>
      <c r="N389" s="445"/>
      <c r="O389" s="445"/>
      <c r="P389" s="445"/>
    </row>
    <row r="390" spans="1:16">
      <c r="A390" s="445"/>
      <c r="B390" s="445"/>
      <c r="C390" s="445"/>
      <c r="D390" s="445"/>
      <c r="E390" s="445"/>
      <c r="F390" s="445"/>
      <c r="G390" s="445"/>
      <c r="H390" s="445"/>
      <c r="I390" s="445"/>
      <c r="J390" s="445"/>
      <c r="K390" s="1136"/>
      <c r="L390" s="1136"/>
      <c r="M390" s="445"/>
      <c r="N390" s="445"/>
      <c r="O390" s="445"/>
      <c r="P390" s="445"/>
    </row>
    <row r="391" spans="1:16">
      <c r="A391" s="445"/>
      <c r="B391" s="445"/>
      <c r="C391" s="445"/>
      <c r="D391" s="445"/>
      <c r="E391" s="445"/>
      <c r="F391" s="445"/>
      <c r="G391" s="445"/>
      <c r="H391" s="445"/>
      <c r="I391" s="445"/>
      <c r="J391" s="445"/>
      <c r="K391" s="1136"/>
      <c r="L391" s="1136"/>
      <c r="M391" s="445"/>
      <c r="N391" s="445"/>
      <c r="O391" s="445"/>
      <c r="P391" s="445"/>
    </row>
    <row r="392" spans="1:16">
      <c r="A392" s="445"/>
      <c r="B392" s="445"/>
      <c r="C392" s="445"/>
      <c r="D392" s="445"/>
      <c r="E392" s="445"/>
      <c r="F392" s="445"/>
      <c r="G392" s="445"/>
      <c r="H392" s="445"/>
      <c r="I392" s="445"/>
      <c r="J392" s="445"/>
      <c r="K392" s="1136"/>
      <c r="L392" s="1136"/>
      <c r="M392" s="445"/>
      <c r="N392" s="445"/>
      <c r="O392" s="445"/>
      <c r="P392" s="445"/>
    </row>
    <row r="393" spans="1:16">
      <c r="A393" s="445"/>
      <c r="B393" s="445"/>
      <c r="C393" s="445"/>
      <c r="D393" s="445"/>
      <c r="E393" s="445"/>
      <c r="F393" s="445"/>
      <c r="G393" s="445"/>
      <c r="H393" s="445"/>
      <c r="I393" s="445"/>
      <c r="J393" s="445"/>
      <c r="K393" s="1136"/>
      <c r="L393" s="1136"/>
      <c r="M393" s="445"/>
      <c r="N393" s="445"/>
      <c r="O393" s="445"/>
      <c r="P393" s="445"/>
    </row>
    <row r="394" spans="1:16">
      <c r="A394" s="445"/>
      <c r="B394" s="445"/>
      <c r="C394" s="445"/>
      <c r="D394" s="445"/>
      <c r="E394" s="445"/>
      <c r="F394" s="445"/>
      <c r="G394" s="445"/>
      <c r="H394" s="445"/>
      <c r="I394" s="445"/>
      <c r="J394" s="445"/>
      <c r="K394" s="1136"/>
      <c r="L394" s="1136"/>
      <c r="M394" s="445"/>
      <c r="N394" s="445"/>
      <c r="O394" s="445"/>
      <c r="P394" s="445"/>
    </row>
    <row r="395" spans="1:16">
      <c r="A395" s="445"/>
      <c r="B395" s="445"/>
      <c r="C395" s="445"/>
      <c r="D395" s="445"/>
      <c r="E395" s="445"/>
      <c r="F395" s="445"/>
      <c r="G395" s="445"/>
      <c r="H395" s="445"/>
      <c r="I395" s="445"/>
      <c r="J395" s="445"/>
      <c r="K395" s="1136"/>
      <c r="L395" s="1136"/>
      <c r="M395" s="445"/>
      <c r="N395" s="445"/>
      <c r="O395" s="445"/>
      <c r="P395" s="445"/>
    </row>
    <row r="396" spans="1:16">
      <c r="A396" s="445"/>
      <c r="B396" s="445"/>
      <c r="C396" s="445"/>
      <c r="D396" s="445"/>
      <c r="E396" s="445"/>
      <c r="F396" s="445"/>
      <c r="G396" s="445"/>
      <c r="H396" s="445"/>
      <c r="I396" s="445"/>
      <c r="J396" s="445"/>
      <c r="K396" s="1136"/>
      <c r="L396" s="1136"/>
      <c r="M396" s="445"/>
      <c r="N396" s="445"/>
      <c r="O396" s="445"/>
      <c r="P396" s="445"/>
    </row>
    <row r="397" spans="1:16">
      <c r="A397" s="445"/>
      <c r="B397" s="445"/>
      <c r="C397" s="445"/>
      <c r="D397" s="445"/>
      <c r="E397" s="445"/>
      <c r="F397" s="445"/>
      <c r="G397" s="445"/>
      <c r="H397" s="445"/>
      <c r="I397" s="445"/>
      <c r="J397" s="445"/>
      <c r="K397" s="1136"/>
      <c r="L397" s="1136"/>
      <c r="M397" s="445"/>
      <c r="N397" s="445"/>
      <c r="O397" s="445"/>
      <c r="P397" s="445"/>
    </row>
    <row r="398" spans="1:16">
      <c r="A398" s="445"/>
      <c r="B398" s="445"/>
      <c r="C398" s="445"/>
      <c r="D398" s="445"/>
      <c r="E398" s="445"/>
      <c r="F398" s="445"/>
      <c r="G398" s="445"/>
      <c r="H398" s="445"/>
      <c r="I398" s="445"/>
      <c r="J398" s="445"/>
      <c r="K398" s="1136"/>
      <c r="L398" s="1136"/>
      <c r="M398" s="445"/>
      <c r="N398" s="445"/>
      <c r="O398" s="445"/>
      <c r="P398" s="445"/>
    </row>
    <row r="399" spans="1:16">
      <c r="A399" s="445"/>
      <c r="B399" s="445"/>
      <c r="C399" s="445"/>
      <c r="D399" s="445"/>
      <c r="E399" s="445"/>
      <c r="F399" s="445"/>
      <c r="G399" s="445"/>
      <c r="H399" s="445"/>
      <c r="I399" s="445"/>
      <c r="J399" s="445"/>
      <c r="K399" s="1136"/>
      <c r="L399" s="1136"/>
      <c r="M399" s="445"/>
      <c r="N399" s="445"/>
      <c r="O399" s="445"/>
      <c r="P399" s="445"/>
    </row>
    <row r="400" spans="1:16">
      <c r="A400" s="445"/>
      <c r="B400" s="445"/>
      <c r="C400" s="445"/>
      <c r="D400" s="445"/>
      <c r="E400" s="445"/>
      <c r="F400" s="445"/>
      <c r="G400" s="445"/>
      <c r="H400" s="445"/>
      <c r="I400" s="445"/>
      <c r="J400" s="445"/>
      <c r="K400" s="1136"/>
      <c r="L400" s="1136"/>
      <c r="M400" s="445"/>
      <c r="N400" s="445"/>
      <c r="O400" s="445"/>
      <c r="P400" s="445"/>
    </row>
    <row r="401" spans="1:16">
      <c r="A401" s="445"/>
      <c r="B401" s="445"/>
      <c r="C401" s="445"/>
      <c r="D401" s="445"/>
      <c r="E401" s="445"/>
      <c r="F401" s="445"/>
      <c r="G401" s="445"/>
      <c r="H401" s="445"/>
      <c r="I401" s="445"/>
      <c r="J401" s="445"/>
      <c r="K401" s="1136"/>
      <c r="L401" s="1136"/>
      <c r="M401" s="445"/>
      <c r="N401" s="445"/>
      <c r="O401" s="445"/>
      <c r="P401" s="445"/>
    </row>
    <row r="402" spans="1:16">
      <c r="A402" s="445"/>
      <c r="B402" s="445"/>
      <c r="C402" s="445"/>
      <c r="D402" s="445"/>
      <c r="E402" s="445"/>
      <c r="F402" s="445"/>
      <c r="G402" s="445"/>
      <c r="H402" s="445"/>
      <c r="I402" s="445"/>
      <c r="J402" s="445"/>
      <c r="K402" s="1136"/>
      <c r="L402" s="1136"/>
      <c r="M402" s="445"/>
      <c r="N402" s="445"/>
      <c r="O402" s="445"/>
      <c r="P402" s="445"/>
    </row>
    <row r="403" spans="1:16">
      <c r="A403" s="445"/>
      <c r="B403" s="445"/>
      <c r="C403" s="445"/>
      <c r="D403" s="445"/>
      <c r="E403" s="445"/>
      <c r="F403" s="445"/>
      <c r="G403" s="445"/>
      <c r="H403" s="445"/>
      <c r="I403" s="445"/>
      <c r="J403" s="445"/>
      <c r="K403" s="1136"/>
      <c r="L403" s="1136"/>
      <c r="M403" s="445"/>
      <c r="N403" s="445"/>
      <c r="O403" s="445"/>
      <c r="P403" s="445"/>
    </row>
    <row r="404" spans="1:16">
      <c r="A404" s="445"/>
      <c r="B404" s="445"/>
      <c r="C404" s="445"/>
      <c r="D404" s="445"/>
      <c r="E404" s="445"/>
      <c r="F404" s="445"/>
      <c r="G404" s="445"/>
      <c r="H404" s="445"/>
      <c r="I404" s="445"/>
      <c r="J404" s="445"/>
      <c r="K404" s="1136"/>
      <c r="L404" s="1136"/>
      <c r="M404" s="445"/>
      <c r="N404" s="445"/>
      <c r="O404" s="445"/>
      <c r="P404" s="445"/>
    </row>
    <row r="405" spans="1:16">
      <c r="A405" s="445"/>
      <c r="B405" s="445"/>
      <c r="C405" s="445"/>
      <c r="D405" s="445"/>
      <c r="E405" s="445"/>
      <c r="F405" s="445"/>
      <c r="G405" s="445"/>
      <c r="H405" s="445"/>
      <c r="I405" s="445"/>
      <c r="J405" s="445"/>
      <c r="K405" s="1136"/>
      <c r="L405" s="1136"/>
      <c r="M405" s="445"/>
      <c r="N405" s="445"/>
      <c r="O405" s="445"/>
      <c r="P405" s="445"/>
    </row>
    <row r="406" spans="1:16">
      <c r="A406" s="445"/>
      <c r="B406" s="445"/>
      <c r="C406" s="445"/>
      <c r="D406" s="445"/>
      <c r="E406" s="445"/>
      <c r="F406" s="445"/>
      <c r="G406" s="445"/>
      <c r="H406" s="445"/>
      <c r="I406" s="445"/>
      <c r="J406" s="445"/>
      <c r="K406" s="1136"/>
      <c r="L406" s="1136"/>
      <c r="M406" s="445"/>
      <c r="N406" s="445"/>
      <c r="O406" s="445"/>
      <c r="P406" s="445"/>
    </row>
    <row r="407" spans="1:16">
      <c r="A407" s="445"/>
      <c r="B407" s="445"/>
      <c r="C407" s="445"/>
      <c r="D407" s="445"/>
      <c r="E407" s="445"/>
      <c r="F407" s="445"/>
      <c r="G407" s="445"/>
      <c r="H407" s="445"/>
      <c r="I407" s="445"/>
      <c r="J407" s="445"/>
      <c r="K407" s="1136"/>
      <c r="L407" s="1136"/>
      <c r="M407" s="445"/>
      <c r="N407" s="445"/>
      <c r="O407" s="445"/>
      <c r="P407" s="445"/>
    </row>
    <row r="408" spans="1:16">
      <c r="A408" s="445"/>
      <c r="B408" s="445"/>
      <c r="C408" s="445"/>
      <c r="D408" s="445"/>
      <c r="E408" s="445"/>
      <c r="F408" s="445"/>
      <c r="G408" s="445"/>
      <c r="H408" s="445"/>
      <c r="I408" s="445"/>
      <c r="J408" s="445"/>
      <c r="K408" s="1136"/>
      <c r="L408" s="1136"/>
      <c r="M408" s="445"/>
      <c r="N408" s="445"/>
      <c r="O408" s="445"/>
      <c r="P408" s="445"/>
    </row>
    <row r="409" spans="1:16">
      <c r="A409" s="445"/>
      <c r="B409" s="445"/>
      <c r="C409" s="445"/>
      <c r="D409" s="445"/>
      <c r="E409" s="445"/>
      <c r="F409" s="445"/>
      <c r="G409" s="445"/>
      <c r="H409" s="445"/>
      <c r="I409" s="445"/>
      <c r="J409" s="445"/>
      <c r="K409" s="1136"/>
      <c r="L409" s="1136"/>
      <c r="M409" s="445"/>
      <c r="N409" s="445"/>
      <c r="O409" s="445"/>
      <c r="P409" s="445"/>
    </row>
    <row r="410" spans="1:16">
      <c r="A410" s="445"/>
      <c r="B410" s="445"/>
      <c r="C410" s="445"/>
      <c r="D410" s="445"/>
      <c r="E410" s="445"/>
      <c r="F410" s="445"/>
      <c r="G410" s="445"/>
      <c r="H410" s="445"/>
      <c r="I410" s="445"/>
      <c r="J410" s="445"/>
      <c r="K410" s="1136"/>
      <c r="L410" s="1136"/>
      <c r="M410" s="445"/>
      <c r="N410" s="445"/>
      <c r="O410" s="445"/>
      <c r="P410" s="445"/>
    </row>
    <row r="411" spans="1:16">
      <c r="A411" s="445"/>
      <c r="B411" s="445"/>
      <c r="C411" s="445"/>
      <c r="D411" s="445"/>
      <c r="E411" s="445"/>
      <c r="F411" s="445"/>
      <c r="G411" s="445"/>
      <c r="H411" s="445"/>
      <c r="I411" s="445"/>
      <c r="J411" s="445"/>
      <c r="K411" s="1136"/>
      <c r="L411" s="1136"/>
      <c r="M411" s="445"/>
      <c r="N411" s="445"/>
      <c r="O411" s="445"/>
      <c r="P411" s="445"/>
    </row>
    <row r="412" spans="1:16">
      <c r="A412" s="445"/>
      <c r="B412" s="445"/>
      <c r="C412" s="445"/>
      <c r="D412" s="445"/>
      <c r="E412" s="445"/>
      <c r="F412" s="445"/>
      <c r="G412" s="445"/>
      <c r="H412" s="445"/>
      <c r="I412" s="445"/>
      <c r="J412" s="445"/>
      <c r="K412" s="1136"/>
      <c r="L412" s="1136"/>
      <c r="M412" s="445"/>
      <c r="N412" s="445"/>
      <c r="O412" s="445"/>
      <c r="P412" s="445"/>
    </row>
    <row r="413" spans="1:16">
      <c r="A413" s="445"/>
      <c r="B413" s="445"/>
      <c r="C413" s="445"/>
      <c r="D413" s="445"/>
      <c r="E413" s="445"/>
      <c r="F413" s="445"/>
      <c r="G413" s="445"/>
      <c r="H413" s="445"/>
      <c r="I413" s="445"/>
      <c r="J413" s="445"/>
      <c r="K413" s="1136"/>
      <c r="L413" s="1136"/>
      <c r="M413" s="445"/>
      <c r="N413" s="445"/>
      <c r="O413" s="445"/>
      <c r="P413" s="445"/>
    </row>
    <row r="414" spans="1:16">
      <c r="A414" s="445"/>
      <c r="B414" s="445"/>
      <c r="C414" s="445"/>
      <c r="D414" s="445"/>
      <c r="E414" s="445"/>
      <c r="F414" s="445"/>
      <c r="G414" s="445"/>
      <c r="H414" s="445"/>
      <c r="I414" s="445"/>
      <c r="J414" s="445"/>
      <c r="K414" s="1136"/>
      <c r="L414" s="1136"/>
      <c r="M414" s="445"/>
      <c r="N414" s="445"/>
      <c r="O414" s="445"/>
      <c r="P414" s="445"/>
    </row>
    <row r="415" spans="1:16">
      <c r="A415" s="445"/>
      <c r="B415" s="445"/>
      <c r="C415" s="445"/>
      <c r="D415" s="445"/>
      <c r="E415" s="445"/>
      <c r="F415" s="445"/>
      <c r="G415" s="445"/>
      <c r="H415" s="445"/>
      <c r="I415" s="445"/>
      <c r="J415" s="445"/>
      <c r="K415" s="1136"/>
      <c r="L415" s="1136"/>
      <c r="M415" s="445"/>
      <c r="N415" s="445"/>
      <c r="O415" s="445"/>
      <c r="P415" s="445"/>
    </row>
    <row r="416" spans="1:16">
      <c r="A416" s="445"/>
      <c r="B416" s="445"/>
      <c r="C416" s="445"/>
      <c r="D416" s="445"/>
      <c r="E416" s="445"/>
      <c r="F416" s="445"/>
      <c r="G416" s="445"/>
      <c r="H416" s="445"/>
      <c r="I416" s="445"/>
      <c r="J416" s="445"/>
      <c r="K416" s="1136"/>
      <c r="L416" s="1136"/>
      <c r="M416" s="445"/>
      <c r="N416" s="445"/>
      <c r="O416" s="445"/>
      <c r="P416" s="445"/>
    </row>
    <row r="417" spans="1:16">
      <c r="A417" s="445"/>
      <c r="B417" s="445"/>
      <c r="C417" s="445"/>
      <c r="D417" s="445"/>
      <c r="E417" s="445"/>
      <c r="F417" s="445"/>
      <c r="G417" s="445"/>
      <c r="H417" s="445"/>
      <c r="I417" s="445"/>
      <c r="J417" s="445"/>
      <c r="K417" s="1136"/>
      <c r="L417" s="1136"/>
      <c r="M417" s="445"/>
      <c r="N417" s="445"/>
      <c r="O417" s="445"/>
      <c r="P417" s="445"/>
    </row>
    <row r="418" spans="1:16">
      <c r="A418" s="445"/>
      <c r="B418" s="445"/>
      <c r="C418" s="445"/>
      <c r="D418" s="445"/>
      <c r="E418" s="445"/>
      <c r="F418" s="445"/>
      <c r="G418" s="445"/>
      <c r="H418" s="445"/>
      <c r="I418" s="445"/>
      <c r="J418" s="445"/>
      <c r="K418" s="1136"/>
      <c r="L418" s="1136"/>
      <c r="M418" s="445"/>
      <c r="N418" s="445"/>
      <c r="O418" s="445"/>
      <c r="P418" s="445"/>
    </row>
    <row r="419" spans="1:16">
      <c r="A419" s="445"/>
      <c r="B419" s="445"/>
      <c r="C419" s="445"/>
      <c r="D419" s="445"/>
      <c r="E419" s="445"/>
      <c r="F419" s="445"/>
      <c r="G419" s="445"/>
      <c r="H419" s="445"/>
      <c r="I419" s="445"/>
      <c r="J419" s="445"/>
      <c r="K419" s="1136"/>
      <c r="L419" s="1136"/>
      <c r="M419" s="445"/>
      <c r="N419" s="445"/>
      <c r="O419" s="445"/>
      <c r="P419" s="445"/>
    </row>
    <row r="420" spans="1:16">
      <c r="A420" s="445"/>
      <c r="B420" s="445"/>
      <c r="C420" s="445"/>
      <c r="D420" s="445"/>
      <c r="E420" s="445"/>
      <c r="F420" s="445"/>
      <c r="G420" s="445"/>
      <c r="H420" s="445"/>
      <c r="I420" s="445"/>
      <c r="J420" s="445"/>
      <c r="K420" s="1136"/>
      <c r="L420" s="1136"/>
      <c r="M420" s="445"/>
      <c r="N420" s="445"/>
      <c r="O420" s="445"/>
      <c r="P420" s="445"/>
    </row>
    <row r="421" spans="1:16">
      <c r="A421" s="445"/>
      <c r="B421" s="445"/>
      <c r="C421" s="445"/>
      <c r="D421" s="445"/>
      <c r="E421" s="445"/>
      <c r="F421" s="445"/>
      <c r="G421" s="445"/>
      <c r="H421" s="445"/>
      <c r="I421" s="445"/>
      <c r="J421" s="445"/>
      <c r="K421" s="1136"/>
      <c r="L421" s="1136"/>
      <c r="M421" s="445"/>
      <c r="N421" s="445"/>
      <c r="O421" s="445"/>
      <c r="P421" s="445"/>
    </row>
    <row r="422" spans="1:16">
      <c r="A422" s="445"/>
      <c r="B422" s="445"/>
      <c r="C422" s="445"/>
      <c r="D422" s="445"/>
      <c r="E422" s="445"/>
      <c r="F422" s="445"/>
      <c r="G422" s="445"/>
      <c r="H422" s="445"/>
      <c r="I422" s="445"/>
      <c r="J422" s="445"/>
      <c r="K422" s="1136"/>
      <c r="L422" s="1136"/>
      <c r="M422" s="445"/>
      <c r="N422" s="445"/>
      <c r="O422" s="445"/>
      <c r="P422" s="445"/>
    </row>
    <row r="423" spans="1:16">
      <c r="A423" s="445"/>
      <c r="B423" s="445"/>
      <c r="C423" s="445"/>
      <c r="D423" s="445"/>
      <c r="E423" s="445"/>
      <c r="F423" s="445"/>
      <c r="G423" s="445"/>
      <c r="H423" s="445"/>
      <c r="I423" s="445"/>
      <c r="J423" s="445"/>
      <c r="K423" s="1136"/>
      <c r="L423" s="1136"/>
      <c r="M423" s="445"/>
      <c r="N423" s="445"/>
      <c r="O423" s="445"/>
      <c r="P423" s="445"/>
    </row>
    <row r="424" spans="1:16">
      <c r="A424" s="445"/>
      <c r="B424" s="445"/>
      <c r="C424" s="445"/>
      <c r="D424" s="445"/>
      <c r="E424" s="445"/>
      <c r="F424" s="445"/>
      <c r="G424" s="445"/>
      <c r="H424" s="445"/>
      <c r="I424" s="445"/>
      <c r="J424" s="445"/>
      <c r="K424" s="1136"/>
      <c r="L424" s="1136"/>
      <c r="M424" s="445"/>
      <c r="N424" s="445"/>
      <c r="O424" s="445"/>
      <c r="P424" s="445"/>
    </row>
    <row r="425" spans="1:16">
      <c r="A425" s="445"/>
      <c r="B425" s="445"/>
      <c r="C425" s="445"/>
      <c r="D425" s="445"/>
      <c r="E425" s="445"/>
      <c r="F425" s="445"/>
      <c r="G425" s="445"/>
      <c r="H425" s="445"/>
      <c r="I425" s="445"/>
      <c r="J425" s="445"/>
      <c r="K425" s="1136"/>
      <c r="L425" s="1136"/>
      <c r="M425" s="445"/>
      <c r="N425" s="445"/>
      <c r="O425" s="445"/>
      <c r="P425" s="445"/>
    </row>
    <row r="426" spans="1:16">
      <c r="A426" s="445"/>
      <c r="B426" s="445"/>
      <c r="C426" s="445"/>
      <c r="D426" s="445"/>
      <c r="E426" s="445"/>
      <c r="F426" s="445"/>
      <c r="G426" s="445"/>
      <c r="H426" s="445"/>
      <c r="I426" s="445"/>
      <c r="J426" s="445"/>
      <c r="K426" s="1136"/>
      <c r="L426" s="1136"/>
      <c r="M426" s="445"/>
      <c r="N426" s="445"/>
      <c r="O426" s="445"/>
      <c r="P426" s="445"/>
    </row>
    <row r="427" spans="1:16">
      <c r="A427" s="445"/>
      <c r="B427" s="445"/>
      <c r="C427" s="445"/>
      <c r="D427" s="445"/>
      <c r="E427" s="445"/>
      <c r="F427" s="445"/>
      <c r="G427" s="445"/>
      <c r="H427" s="445"/>
      <c r="I427" s="445"/>
      <c r="J427" s="445"/>
      <c r="K427" s="1136"/>
      <c r="L427" s="1136"/>
      <c r="M427" s="445"/>
      <c r="N427" s="445"/>
      <c r="O427" s="445"/>
      <c r="P427" s="445"/>
    </row>
    <row r="428" spans="1:16">
      <c r="A428" s="445"/>
      <c r="B428" s="445"/>
      <c r="C428" s="445"/>
      <c r="D428" s="445"/>
      <c r="E428" s="445"/>
      <c r="F428" s="445"/>
      <c r="G428" s="445"/>
      <c r="H428" s="445"/>
      <c r="I428" s="445"/>
      <c r="J428" s="445"/>
      <c r="K428" s="1136"/>
      <c r="L428" s="1136"/>
      <c r="M428" s="445"/>
      <c r="N428" s="445"/>
      <c r="O428" s="445"/>
      <c r="P428" s="445"/>
    </row>
    <row r="429" spans="1:16">
      <c r="A429" s="445"/>
      <c r="B429" s="445"/>
      <c r="C429" s="445"/>
      <c r="D429" s="445"/>
      <c r="E429" s="445"/>
      <c r="F429" s="445"/>
      <c r="G429" s="445"/>
      <c r="H429" s="445"/>
      <c r="I429" s="445"/>
      <c r="J429" s="445"/>
      <c r="K429" s="1136"/>
      <c r="L429" s="1136"/>
      <c r="M429" s="445"/>
      <c r="N429" s="445"/>
      <c r="O429" s="445"/>
      <c r="P429" s="445"/>
    </row>
    <row r="430" spans="1:16">
      <c r="A430" s="445"/>
      <c r="B430" s="445"/>
      <c r="C430" s="445"/>
      <c r="D430" s="445"/>
      <c r="E430" s="445"/>
      <c r="F430" s="445"/>
      <c r="G430" s="445"/>
      <c r="H430" s="445"/>
      <c r="I430" s="445"/>
      <c r="J430" s="445"/>
      <c r="K430" s="1136"/>
      <c r="L430" s="1136"/>
      <c r="M430" s="445"/>
      <c r="N430" s="445"/>
      <c r="O430" s="445"/>
      <c r="P430" s="445"/>
    </row>
    <row r="431" spans="1:16">
      <c r="A431" s="445"/>
      <c r="B431" s="445"/>
      <c r="C431" s="445"/>
      <c r="D431" s="445"/>
      <c r="E431" s="445"/>
      <c r="F431" s="445"/>
      <c r="G431" s="445"/>
      <c r="H431" s="445"/>
      <c r="I431" s="445"/>
      <c r="J431" s="445"/>
      <c r="K431" s="1136"/>
      <c r="L431" s="1136"/>
      <c r="M431" s="445"/>
      <c r="N431" s="445"/>
      <c r="O431" s="445"/>
      <c r="P431" s="445"/>
    </row>
    <row r="432" spans="1:16">
      <c r="A432" s="445"/>
      <c r="B432" s="445"/>
      <c r="C432" s="445"/>
      <c r="D432" s="445"/>
      <c r="E432" s="445"/>
      <c r="F432" s="445"/>
      <c r="G432" s="445"/>
      <c r="H432" s="445"/>
      <c r="I432" s="445"/>
      <c r="J432" s="445"/>
      <c r="K432" s="1136"/>
      <c r="L432" s="1136"/>
      <c r="M432" s="445"/>
      <c r="N432" s="445"/>
      <c r="O432" s="445"/>
      <c r="P432" s="445"/>
    </row>
    <row r="433" spans="1:16">
      <c r="A433" s="445"/>
      <c r="B433" s="445"/>
      <c r="C433" s="445"/>
      <c r="D433" s="445"/>
      <c r="E433" s="445"/>
      <c r="F433" s="445"/>
      <c r="G433" s="445"/>
      <c r="H433" s="445"/>
      <c r="I433" s="445"/>
      <c r="J433" s="445"/>
      <c r="K433" s="1136"/>
      <c r="L433" s="1136"/>
      <c r="M433" s="445"/>
      <c r="N433" s="445"/>
      <c r="O433" s="445"/>
      <c r="P433" s="445"/>
    </row>
    <row r="434" spans="1:16">
      <c r="A434" s="445"/>
      <c r="B434" s="445"/>
      <c r="C434" s="445"/>
      <c r="D434" s="445"/>
      <c r="E434" s="445"/>
      <c r="F434" s="445"/>
      <c r="G434" s="445"/>
      <c r="H434" s="445"/>
      <c r="I434" s="445"/>
      <c r="J434" s="445"/>
      <c r="K434" s="1136"/>
      <c r="L434" s="1136"/>
      <c r="M434" s="445"/>
      <c r="N434" s="445"/>
      <c r="O434" s="445"/>
      <c r="P434" s="445"/>
    </row>
    <row r="435" spans="1:16">
      <c r="A435" s="445"/>
      <c r="B435" s="445"/>
      <c r="C435" s="445"/>
      <c r="D435" s="445"/>
      <c r="E435" s="445"/>
      <c r="F435" s="445"/>
      <c r="G435" s="445"/>
      <c r="H435" s="445"/>
      <c r="I435" s="445"/>
      <c r="J435" s="445"/>
      <c r="K435" s="1136"/>
      <c r="L435" s="1136"/>
      <c r="M435" s="445"/>
      <c r="N435" s="445"/>
      <c r="O435" s="445"/>
      <c r="P435" s="445"/>
    </row>
    <row r="436" spans="1:16">
      <c r="A436" s="445"/>
      <c r="B436" s="445"/>
      <c r="C436" s="445"/>
      <c r="D436" s="445"/>
      <c r="E436" s="445"/>
      <c r="F436" s="445"/>
      <c r="G436" s="445"/>
      <c r="H436" s="445"/>
      <c r="I436" s="445"/>
      <c r="J436" s="445"/>
      <c r="K436" s="1136"/>
      <c r="L436" s="1136"/>
      <c r="M436" s="445"/>
      <c r="N436" s="445"/>
      <c r="O436" s="445"/>
      <c r="P436" s="445"/>
    </row>
    <row r="437" spans="1:16">
      <c r="A437" s="445"/>
      <c r="B437" s="445"/>
      <c r="C437" s="445"/>
      <c r="D437" s="445"/>
      <c r="E437" s="445"/>
      <c r="F437" s="445"/>
      <c r="G437" s="445"/>
      <c r="H437" s="445"/>
      <c r="I437" s="445"/>
      <c r="J437" s="445"/>
      <c r="K437" s="1136"/>
      <c r="L437" s="1136"/>
      <c r="M437" s="445"/>
      <c r="N437" s="445"/>
      <c r="O437" s="445"/>
      <c r="P437" s="445"/>
    </row>
    <row r="438" spans="1:16">
      <c r="A438" s="445"/>
      <c r="B438" s="445"/>
      <c r="C438" s="445"/>
      <c r="D438" s="445"/>
      <c r="E438" s="445"/>
      <c r="F438" s="445"/>
      <c r="G438" s="445"/>
      <c r="H438" s="445"/>
      <c r="I438" s="445"/>
      <c r="J438" s="445"/>
      <c r="K438" s="1136"/>
      <c r="L438" s="1136"/>
      <c r="M438" s="445"/>
      <c r="N438" s="445"/>
      <c r="O438" s="445"/>
      <c r="P438" s="445"/>
    </row>
    <row r="439" spans="1:16">
      <c r="A439" s="445"/>
      <c r="B439" s="445"/>
      <c r="C439" s="445"/>
      <c r="D439" s="445"/>
      <c r="E439" s="445"/>
      <c r="F439" s="445"/>
      <c r="G439" s="445"/>
      <c r="H439" s="445"/>
      <c r="I439" s="445"/>
      <c r="J439" s="445"/>
      <c r="K439" s="1136"/>
      <c r="L439" s="1136"/>
      <c r="M439" s="445"/>
      <c r="N439" s="445"/>
      <c r="O439" s="445"/>
      <c r="P439" s="445"/>
    </row>
    <row r="440" spans="1:16">
      <c r="A440" s="445"/>
      <c r="B440" s="445"/>
      <c r="C440" s="445"/>
      <c r="D440" s="445"/>
      <c r="E440" s="445"/>
      <c r="F440" s="445"/>
      <c r="G440" s="445"/>
      <c r="H440" s="445"/>
      <c r="I440" s="445"/>
      <c r="J440" s="445"/>
      <c r="K440" s="1136"/>
      <c r="L440" s="1136"/>
      <c r="M440" s="445"/>
      <c r="N440" s="445"/>
      <c r="O440" s="445"/>
      <c r="P440" s="445"/>
    </row>
    <row r="441" spans="1:16">
      <c r="A441" s="445"/>
      <c r="B441" s="445"/>
      <c r="C441" s="445"/>
      <c r="D441" s="445"/>
      <c r="E441" s="445"/>
      <c r="F441" s="445"/>
      <c r="G441" s="445"/>
      <c r="H441" s="445"/>
      <c r="I441" s="445"/>
      <c r="J441" s="445"/>
      <c r="K441" s="1136"/>
      <c r="L441" s="1136"/>
      <c r="M441" s="445"/>
      <c r="N441" s="445"/>
      <c r="O441" s="445"/>
      <c r="P441" s="445"/>
    </row>
    <row r="442" spans="1:16">
      <c r="A442" s="445"/>
      <c r="B442" s="445"/>
      <c r="C442" s="445"/>
      <c r="D442" s="445"/>
      <c r="E442" s="445"/>
      <c r="F442" s="445"/>
      <c r="G442" s="445"/>
      <c r="H442" s="445"/>
      <c r="I442" s="445"/>
      <c r="J442" s="445"/>
      <c r="K442" s="1136"/>
      <c r="L442" s="1136"/>
      <c r="M442" s="445"/>
      <c r="N442" s="445"/>
      <c r="O442" s="445"/>
      <c r="P442" s="445"/>
    </row>
    <row r="443" spans="1:16">
      <c r="A443" s="445"/>
      <c r="B443" s="445"/>
      <c r="C443" s="445"/>
      <c r="D443" s="445"/>
      <c r="E443" s="445"/>
      <c r="F443" s="445"/>
      <c r="G443" s="445"/>
      <c r="H443" s="445"/>
      <c r="I443" s="445"/>
      <c r="J443" s="445"/>
      <c r="K443" s="1136"/>
      <c r="L443" s="1136"/>
      <c r="M443" s="445"/>
      <c r="N443" s="445"/>
      <c r="O443" s="445"/>
      <c r="P443" s="445"/>
    </row>
    <row r="444" spans="1:16">
      <c r="A444" s="445"/>
      <c r="B444" s="445"/>
      <c r="C444" s="445"/>
      <c r="D444" s="445"/>
      <c r="E444" s="445"/>
      <c r="F444" s="445"/>
      <c r="G444" s="445"/>
      <c r="H444" s="445"/>
      <c r="I444" s="445"/>
      <c r="J444" s="445"/>
      <c r="K444" s="1136"/>
      <c r="L444" s="1136"/>
      <c r="M444" s="445"/>
      <c r="N444" s="445"/>
      <c r="O444" s="445"/>
      <c r="P444" s="445"/>
    </row>
    <row r="445" spans="1:16">
      <c r="A445" s="445"/>
      <c r="B445" s="445"/>
      <c r="C445" s="445"/>
      <c r="D445" s="445"/>
      <c r="E445" s="445"/>
      <c r="F445" s="445"/>
      <c r="G445" s="445"/>
      <c r="H445" s="445"/>
      <c r="I445" s="445"/>
      <c r="J445" s="445"/>
      <c r="K445" s="1136"/>
      <c r="L445" s="1136"/>
      <c r="M445" s="445"/>
      <c r="N445" s="445"/>
      <c r="O445" s="445"/>
      <c r="P445" s="445"/>
    </row>
    <row r="446" spans="1:16">
      <c r="A446" s="445"/>
      <c r="B446" s="445"/>
      <c r="C446" s="445"/>
      <c r="D446" s="445"/>
      <c r="E446" s="445"/>
      <c r="F446" s="445"/>
      <c r="G446" s="445"/>
      <c r="H446" s="445"/>
      <c r="I446" s="445"/>
      <c r="J446" s="445"/>
      <c r="K446" s="1136"/>
      <c r="L446" s="1136"/>
      <c r="M446" s="445"/>
      <c r="N446" s="445"/>
      <c r="O446" s="445"/>
      <c r="P446" s="445"/>
    </row>
    <row r="447" spans="1:16">
      <c r="A447" s="445"/>
      <c r="B447" s="445"/>
      <c r="C447" s="445"/>
      <c r="D447" s="445"/>
      <c r="E447" s="445"/>
      <c r="F447" s="445"/>
      <c r="G447" s="445"/>
      <c r="H447" s="445"/>
      <c r="I447" s="445"/>
      <c r="J447" s="445"/>
      <c r="K447" s="1136"/>
      <c r="L447" s="1136"/>
      <c r="M447" s="445"/>
      <c r="N447" s="445"/>
      <c r="O447" s="445"/>
      <c r="P447" s="445"/>
    </row>
    <row r="448" spans="1:16">
      <c r="A448" s="445"/>
      <c r="B448" s="445"/>
      <c r="C448" s="445"/>
      <c r="D448" s="445"/>
      <c r="E448" s="445"/>
      <c r="F448" s="445"/>
      <c r="G448" s="445"/>
      <c r="H448" s="445"/>
      <c r="I448" s="445"/>
      <c r="J448" s="445"/>
      <c r="K448" s="1136"/>
      <c r="L448" s="1136"/>
      <c r="M448" s="445"/>
      <c r="N448" s="445"/>
      <c r="O448" s="445"/>
      <c r="P448" s="445"/>
    </row>
    <row r="449" spans="1:16">
      <c r="A449" s="445"/>
      <c r="B449" s="445"/>
      <c r="C449" s="445"/>
      <c r="D449" s="445"/>
      <c r="E449" s="445"/>
      <c r="F449" s="445"/>
      <c r="G449" s="445"/>
      <c r="H449" s="445"/>
      <c r="I449" s="445"/>
      <c r="J449" s="445"/>
      <c r="K449" s="1136"/>
      <c r="L449" s="1136"/>
      <c r="M449" s="445"/>
      <c r="N449" s="445"/>
      <c r="O449" s="445"/>
      <c r="P449" s="445"/>
    </row>
    <row r="450" spans="1:16">
      <c r="A450" s="445"/>
      <c r="B450" s="445"/>
      <c r="C450" s="445"/>
      <c r="D450" s="445"/>
      <c r="E450" s="445"/>
      <c r="F450" s="445"/>
      <c r="G450" s="445"/>
      <c r="H450" s="445"/>
      <c r="I450" s="445"/>
      <c r="J450" s="445"/>
      <c r="K450" s="1136"/>
      <c r="L450" s="1136"/>
      <c r="M450" s="445"/>
      <c r="N450" s="445"/>
      <c r="O450" s="445"/>
      <c r="P450" s="445"/>
    </row>
    <row r="451" spans="1:16">
      <c r="A451" s="445"/>
      <c r="B451" s="445"/>
      <c r="C451" s="445"/>
      <c r="D451" s="445"/>
      <c r="E451" s="445"/>
      <c r="F451" s="445"/>
      <c r="G451" s="445"/>
      <c r="H451" s="445"/>
      <c r="I451" s="445"/>
      <c r="J451" s="445"/>
      <c r="K451" s="1136"/>
      <c r="L451" s="1136"/>
      <c r="M451" s="445"/>
      <c r="N451" s="445"/>
      <c r="O451" s="445"/>
      <c r="P451" s="445"/>
    </row>
    <row r="452" spans="1:16">
      <c r="A452" s="445"/>
      <c r="B452" s="445"/>
      <c r="C452" s="445"/>
      <c r="D452" s="445"/>
      <c r="E452" s="445"/>
      <c r="F452" s="445"/>
      <c r="G452" s="445"/>
      <c r="H452" s="445"/>
      <c r="I452" s="445"/>
      <c r="J452" s="445"/>
      <c r="K452" s="1136"/>
      <c r="L452" s="1136"/>
      <c r="M452" s="445"/>
      <c r="N452" s="445"/>
      <c r="O452" s="445"/>
      <c r="P452" s="445"/>
    </row>
    <row r="453" spans="1:16">
      <c r="A453" s="445"/>
      <c r="B453" s="445"/>
      <c r="C453" s="445"/>
      <c r="D453" s="445"/>
      <c r="E453" s="445"/>
      <c r="F453" s="445"/>
      <c r="G453" s="445"/>
      <c r="H453" s="445"/>
      <c r="I453" s="445"/>
      <c r="J453" s="445"/>
      <c r="K453" s="1136"/>
      <c r="L453" s="1136"/>
      <c r="M453" s="445"/>
      <c r="N453" s="445"/>
      <c r="O453" s="445"/>
      <c r="P453" s="445"/>
    </row>
    <row r="454" spans="1:16">
      <c r="A454" s="445"/>
      <c r="B454" s="445"/>
      <c r="C454" s="445"/>
      <c r="D454" s="445"/>
      <c r="E454" s="445"/>
      <c r="F454" s="445"/>
      <c r="G454" s="445"/>
      <c r="H454" s="445"/>
      <c r="I454" s="445"/>
      <c r="J454" s="445"/>
      <c r="K454" s="1136"/>
      <c r="L454" s="1136"/>
      <c r="M454" s="445"/>
      <c r="N454" s="445"/>
      <c r="O454" s="445"/>
      <c r="P454" s="445"/>
    </row>
    <row r="455" spans="1:16">
      <c r="A455" s="445"/>
      <c r="B455" s="445"/>
      <c r="C455" s="445"/>
      <c r="D455" s="445"/>
      <c r="E455" s="445"/>
      <c r="F455" s="445"/>
      <c r="G455" s="445"/>
      <c r="H455" s="445"/>
      <c r="I455" s="445"/>
      <c r="J455" s="445"/>
      <c r="K455" s="1136"/>
      <c r="L455" s="1136"/>
      <c r="M455" s="445"/>
      <c r="N455" s="445"/>
      <c r="O455" s="445"/>
      <c r="P455" s="445"/>
    </row>
    <row r="456" spans="1:16">
      <c r="A456" s="445"/>
      <c r="B456" s="445"/>
      <c r="C456" s="445"/>
      <c r="D456" s="445"/>
      <c r="E456" s="445"/>
      <c r="F456" s="445"/>
      <c r="G456" s="445"/>
      <c r="H456" s="445"/>
      <c r="I456" s="445"/>
      <c r="J456" s="445"/>
      <c r="K456" s="1136"/>
      <c r="L456" s="1136"/>
      <c r="M456" s="445"/>
      <c r="N456" s="445"/>
      <c r="O456" s="445"/>
      <c r="P456" s="445"/>
    </row>
    <row r="457" spans="1:16">
      <c r="A457" s="445"/>
      <c r="B457" s="445"/>
      <c r="C457" s="445"/>
      <c r="D457" s="445"/>
      <c r="E457" s="445"/>
      <c r="F457" s="445"/>
      <c r="G457" s="445"/>
      <c r="H457" s="445"/>
      <c r="I457" s="445"/>
      <c r="J457" s="445"/>
      <c r="K457" s="1136"/>
      <c r="L457" s="1136"/>
      <c r="M457" s="445"/>
      <c r="N457" s="445"/>
      <c r="O457" s="445"/>
      <c r="P457" s="445"/>
    </row>
    <row r="458" spans="1:16">
      <c r="A458" s="445"/>
      <c r="B458" s="445"/>
      <c r="C458" s="445"/>
      <c r="D458" s="445"/>
      <c r="E458" s="445"/>
      <c r="F458" s="445"/>
      <c r="G458" s="445"/>
      <c r="H458" s="445"/>
      <c r="I458" s="445"/>
      <c r="J458" s="445"/>
      <c r="K458" s="1136"/>
      <c r="L458" s="1136"/>
      <c r="M458" s="445"/>
      <c r="N458" s="445"/>
      <c r="O458" s="445"/>
      <c r="P458" s="445"/>
    </row>
    <row r="459" spans="1:16">
      <c r="A459" s="445"/>
      <c r="B459" s="445"/>
      <c r="C459" s="445"/>
      <c r="D459" s="445"/>
      <c r="E459" s="445"/>
      <c r="F459" s="445"/>
      <c r="G459" s="445"/>
      <c r="H459" s="445"/>
      <c r="I459" s="445"/>
      <c r="J459" s="445"/>
      <c r="K459" s="1136"/>
      <c r="L459" s="1136"/>
      <c r="M459" s="445"/>
      <c r="N459" s="445"/>
      <c r="O459" s="445"/>
      <c r="P459" s="445"/>
    </row>
    <row r="460" spans="1:16">
      <c r="A460" s="445"/>
      <c r="B460" s="445"/>
      <c r="C460" s="445"/>
      <c r="D460" s="445"/>
      <c r="E460" s="445"/>
      <c r="F460" s="445"/>
      <c r="G460" s="445"/>
      <c r="H460" s="445"/>
      <c r="I460" s="445"/>
      <c r="J460" s="445"/>
      <c r="K460" s="1136"/>
      <c r="L460" s="1136"/>
      <c r="M460" s="445"/>
      <c r="N460" s="445"/>
      <c r="O460" s="445"/>
      <c r="P460" s="445"/>
    </row>
    <row r="461" spans="1:16">
      <c r="A461" s="445"/>
      <c r="B461" s="445"/>
      <c r="C461" s="445"/>
      <c r="D461" s="445"/>
      <c r="E461" s="445"/>
      <c r="F461" s="445"/>
      <c r="G461" s="445"/>
      <c r="H461" s="445"/>
      <c r="I461" s="445"/>
      <c r="J461" s="445"/>
      <c r="K461" s="1136"/>
      <c r="L461" s="1136"/>
      <c r="M461" s="445"/>
      <c r="N461" s="445"/>
      <c r="O461" s="445"/>
      <c r="P461" s="445"/>
    </row>
    <row r="462" spans="1:16">
      <c r="A462" s="445"/>
      <c r="B462" s="445"/>
      <c r="C462" s="445"/>
      <c r="D462" s="445"/>
      <c r="E462" s="445"/>
      <c r="F462" s="445"/>
      <c r="G462" s="445"/>
      <c r="H462" s="445"/>
      <c r="I462" s="445"/>
      <c r="J462" s="445"/>
      <c r="K462" s="1136"/>
      <c r="L462" s="1136"/>
      <c r="M462" s="445"/>
      <c r="N462" s="445"/>
      <c r="O462" s="445"/>
      <c r="P462" s="445"/>
    </row>
    <row r="463" spans="1:16">
      <c r="A463" s="445"/>
      <c r="B463" s="445"/>
      <c r="C463" s="445"/>
      <c r="D463" s="445"/>
      <c r="E463" s="445"/>
      <c r="F463" s="445"/>
      <c r="G463" s="445"/>
      <c r="H463" s="445"/>
      <c r="I463" s="445"/>
      <c r="J463" s="445"/>
      <c r="K463" s="1136"/>
      <c r="L463" s="1136"/>
      <c r="M463" s="445"/>
      <c r="N463" s="445"/>
      <c r="O463" s="445"/>
      <c r="P463" s="445"/>
    </row>
    <row r="464" spans="1:16">
      <c r="A464" s="445"/>
      <c r="B464" s="445"/>
      <c r="C464" s="445"/>
      <c r="D464" s="445"/>
      <c r="E464" s="445"/>
      <c r="F464" s="445"/>
      <c r="G464" s="445"/>
      <c r="H464" s="445"/>
      <c r="I464" s="445"/>
      <c r="J464" s="445"/>
      <c r="K464" s="1136"/>
      <c r="L464" s="1136"/>
      <c r="M464" s="445"/>
      <c r="N464" s="445"/>
      <c r="O464" s="445"/>
      <c r="P464" s="445"/>
    </row>
    <row r="465" spans="1:16">
      <c r="A465" s="445"/>
      <c r="B465" s="445"/>
      <c r="C465" s="445"/>
      <c r="D465" s="445"/>
      <c r="E465" s="445"/>
      <c r="F465" s="445"/>
      <c r="G465" s="445"/>
      <c r="H465" s="445"/>
      <c r="I465" s="445"/>
      <c r="J465" s="445"/>
      <c r="K465" s="1136"/>
      <c r="L465" s="1136"/>
      <c r="M465" s="445"/>
      <c r="N465" s="445"/>
      <c r="O465" s="445"/>
      <c r="P465" s="445"/>
    </row>
    <row r="466" spans="1:16">
      <c r="A466" s="445"/>
      <c r="B466" s="445"/>
      <c r="C466" s="445"/>
      <c r="D466" s="445"/>
      <c r="E466" s="445"/>
      <c r="F466" s="445"/>
      <c r="G466" s="445"/>
      <c r="H466" s="445"/>
      <c r="I466" s="445"/>
      <c r="J466" s="445"/>
      <c r="K466" s="1136"/>
      <c r="L466" s="1136"/>
      <c r="M466" s="445"/>
      <c r="N466" s="445"/>
      <c r="O466" s="445"/>
      <c r="P466" s="445"/>
    </row>
    <row r="467" spans="1:16">
      <c r="A467" s="445"/>
      <c r="B467" s="445"/>
      <c r="C467" s="445"/>
      <c r="D467" s="445"/>
      <c r="E467" s="445"/>
      <c r="F467" s="445"/>
      <c r="G467" s="445"/>
      <c r="H467" s="445"/>
      <c r="I467" s="445"/>
      <c r="J467" s="445"/>
      <c r="K467" s="1136"/>
      <c r="L467" s="1136"/>
      <c r="M467" s="445"/>
      <c r="N467" s="445"/>
      <c r="O467" s="445"/>
      <c r="P467" s="445"/>
    </row>
    <row r="468" spans="1:16">
      <c r="A468" s="445"/>
      <c r="B468" s="445"/>
      <c r="C468" s="445"/>
      <c r="D468" s="445"/>
      <c r="E468" s="445"/>
      <c r="F468" s="445"/>
      <c r="G468" s="445"/>
      <c r="H468" s="445"/>
      <c r="I468" s="445"/>
      <c r="J468" s="445"/>
      <c r="K468" s="1136"/>
      <c r="L468" s="1136"/>
      <c r="M468" s="445"/>
      <c r="N468" s="445"/>
      <c r="O468" s="445"/>
      <c r="P468" s="445"/>
    </row>
    <row r="469" spans="1:16">
      <c r="A469" s="445"/>
      <c r="B469" s="445"/>
      <c r="C469" s="445"/>
      <c r="D469" s="445"/>
      <c r="E469" s="445"/>
      <c r="F469" s="445"/>
      <c r="G469" s="445"/>
      <c r="H469" s="445"/>
      <c r="I469" s="445"/>
      <c r="J469" s="445"/>
      <c r="K469" s="1136"/>
      <c r="L469" s="1136"/>
      <c r="M469" s="445"/>
      <c r="N469" s="445"/>
      <c r="O469" s="445"/>
      <c r="P469" s="445"/>
    </row>
    <row r="470" spans="1:16">
      <c r="A470" s="445"/>
      <c r="B470" s="445"/>
      <c r="C470" s="445"/>
      <c r="D470" s="445"/>
      <c r="E470" s="445"/>
      <c r="F470" s="445"/>
      <c r="G470" s="445"/>
      <c r="H470" s="445"/>
      <c r="I470" s="445"/>
      <c r="J470" s="445"/>
      <c r="K470" s="1136"/>
      <c r="L470" s="1136"/>
      <c r="M470" s="445"/>
      <c r="N470" s="445"/>
      <c r="O470" s="445"/>
      <c r="P470" s="445"/>
    </row>
    <row r="471" spans="1:16">
      <c r="A471" s="445"/>
      <c r="B471" s="445"/>
      <c r="C471" s="445"/>
      <c r="D471" s="445"/>
      <c r="E471" s="445"/>
      <c r="F471" s="445"/>
      <c r="G471" s="445"/>
      <c r="H471" s="445"/>
      <c r="I471" s="445"/>
      <c r="J471" s="445"/>
      <c r="K471" s="1136"/>
      <c r="L471" s="1136"/>
      <c r="M471" s="445"/>
      <c r="N471" s="445"/>
      <c r="O471" s="445"/>
      <c r="P471" s="445"/>
    </row>
    <row r="472" spans="1:16">
      <c r="A472" s="445"/>
      <c r="B472" s="445"/>
      <c r="C472" s="445"/>
      <c r="D472" s="445"/>
      <c r="E472" s="445"/>
      <c r="F472" s="445"/>
      <c r="G472" s="445"/>
      <c r="H472" s="445"/>
      <c r="I472" s="445"/>
      <c r="J472" s="445"/>
      <c r="K472" s="1136"/>
      <c r="L472" s="1136"/>
      <c r="M472" s="445"/>
      <c r="N472" s="445"/>
      <c r="O472" s="445"/>
      <c r="P472" s="445"/>
    </row>
    <row r="473" spans="1:16">
      <c r="A473" s="445"/>
      <c r="B473" s="445"/>
      <c r="C473" s="445"/>
      <c r="D473" s="445"/>
      <c r="E473" s="445"/>
      <c r="F473" s="445"/>
      <c r="G473" s="445"/>
      <c r="H473" s="445"/>
      <c r="I473" s="445"/>
      <c r="J473" s="445"/>
      <c r="K473" s="1136"/>
      <c r="L473" s="1136"/>
      <c r="M473" s="445"/>
      <c r="N473" s="445"/>
      <c r="O473" s="445"/>
      <c r="P473" s="445"/>
    </row>
    <row r="474" spans="1:16">
      <c r="A474" s="445"/>
      <c r="B474" s="445"/>
      <c r="C474" s="445"/>
      <c r="D474" s="445"/>
      <c r="E474" s="445"/>
      <c r="F474" s="445"/>
      <c r="G474" s="445"/>
      <c r="H474" s="445"/>
      <c r="I474" s="445"/>
      <c r="J474" s="445"/>
      <c r="K474" s="1136"/>
      <c r="L474" s="1136"/>
      <c r="M474" s="445"/>
      <c r="N474" s="445"/>
      <c r="O474" s="445"/>
      <c r="P474" s="445"/>
    </row>
    <row r="475" spans="1:16">
      <c r="A475" s="445"/>
      <c r="B475" s="445"/>
      <c r="C475" s="445"/>
      <c r="D475" s="445"/>
      <c r="E475" s="445"/>
      <c r="F475" s="445"/>
      <c r="G475" s="445"/>
      <c r="H475" s="445"/>
      <c r="I475" s="445"/>
      <c r="J475" s="445"/>
      <c r="K475" s="1136"/>
      <c r="L475" s="1136"/>
      <c r="M475" s="445"/>
      <c r="N475" s="445"/>
      <c r="O475" s="445"/>
      <c r="P475" s="445"/>
    </row>
    <row r="476" spans="1:16">
      <c r="A476" s="445"/>
      <c r="B476" s="445"/>
      <c r="C476" s="445"/>
      <c r="D476" s="445"/>
      <c r="E476" s="445"/>
      <c r="F476" s="445"/>
      <c r="G476" s="445"/>
      <c r="H476" s="445"/>
      <c r="I476" s="445"/>
      <c r="J476" s="445"/>
      <c r="K476" s="1136"/>
      <c r="L476" s="1136"/>
      <c r="M476" s="445"/>
      <c r="N476" s="445"/>
      <c r="O476" s="445"/>
      <c r="P476" s="445"/>
    </row>
    <row r="477" spans="1:16">
      <c r="A477" s="445"/>
      <c r="B477" s="445"/>
      <c r="C477" s="445"/>
      <c r="D477" s="445"/>
      <c r="E477" s="445"/>
      <c r="F477" s="445"/>
      <c r="G477" s="445"/>
      <c r="H477" s="445"/>
      <c r="I477" s="445"/>
      <c r="J477" s="445"/>
      <c r="K477" s="1136"/>
      <c r="L477" s="1136"/>
      <c r="M477" s="445"/>
      <c r="N477" s="445"/>
      <c r="O477" s="445"/>
      <c r="P477" s="445"/>
    </row>
    <row r="478" spans="1:16">
      <c r="A478" s="445"/>
      <c r="B478" s="445"/>
      <c r="C478" s="445"/>
      <c r="D478" s="445"/>
      <c r="E478" s="445"/>
      <c r="F478" s="445"/>
      <c r="G478" s="445"/>
      <c r="H478" s="445"/>
      <c r="I478" s="445"/>
      <c r="J478" s="445"/>
      <c r="K478" s="1136"/>
      <c r="L478" s="1136"/>
      <c r="M478" s="445"/>
      <c r="N478" s="445"/>
      <c r="O478" s="445"/>
      <c r="P478" s="445"/>
    </row>
  </sheetData>
  <mergeCells count="4">
    <mergeCell ref="A5:E5"/>
    <mergeCell ref="F5:J5"/>
    <mergeCell ref="K5:M5"/>
    <mergeCell ref="N5:P5"/>
  </mergeCells>
  <printOptions horizontalCentered="1"/>
  <pageMargins left="0.19685039370078741" right="0.19685039370078741" top="0.78740157480314965" bottom="0.78740157480314965" header="0.19685039370078741" footer="0.19685039370078741"/>
  <pageSetup paperSize="9" scale="64" fitToHeight="100" orientation="landscape" r:id="rId1"/>
  <headerFooter>
    <oddHeader>&amp;C&amp;"Arial,Negrita"&amp;20PROYECTO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002060"/>
    <pageSetUpPr fitToPage="1"/>
  </sheetPr>
  <dimension ref="A1:V478"/>
  <sheetViews>
    <sheetView view="pageBreakPreview" zoomScaleNormal="100" zoomScaleSheetLayoutView="100" workbookViewId="0">
      <selection activeCell="B8" sqref="B8"/>
    </sheetView>
  </sheetViews>
  <sheetFormatPr baseColWidth="10" defaultColWidth="11.42578125" defaultRowHeight="12"/>
  <cols>
    <col min="1" max="1" width="13.140625" style="285" customWidth="1"/>
    <col min="2" max="2" width="9.140625" style="265" customWidth="1"/>
    <col min="3" max="3" width="10.140625" style="265" customWidth="1"/>
    <col min="4" max="4" width="20.7109375" style="265" customWidth="1"/>
    <col min="5" max="5" width="10.7109375" style="265" customWidth="1"/>
    <col min="6" max="6" width="10.140625" style="265" bestFit="1" customWidth="1"/>
    <col min="7" max="7" width="35.7109375" style="265" customWidth="1"/>
    <col min="8" max="8" width="20.7109375" style="265" customWidth="1"/>
    <col min="9" max="9" width="35.7109375" style="265" customWidth="1"/>
    <col min="10" max="10" width="20.7109375" style="265" customWidth="1"/>
    <col min="11" max="11" width="7.7109375" style="276" bestFit="1" customWidth="1"/>
    <col min="12" max="12" width="5.42578125" style="276" bestFit="1" customWidth="1"/>
    <col min="13" max="13" width="12.140625" style="265" bestFit="1" customWidth="1"/>
    <col min="14" max="14" width="7.7109375" style="265" bestFit="1" customWidth="1"/>
    <col min="15" max="15" width="5.42578125" style="265" bestFit="1" customWidth="1"/>
    <col min="16" max="16" width="12.140625" style="265" bestFit="1" customWidth="1"/>
    <col min="17" max="16384" width="11.42578125" style="265"/>
  </cols>
  <sheetData>
    <row r="1" spans="1:22" s="275" customFormat="1">
      <c r="A1" s="275" t="s">
        <v>473</v>
      </c>
    </row>
    <row r="2" spans="1:22" s="264" customFormat="1">
      <c r="A2" s="69" t="s">
        <v>1655</v>
      </c>
      <c r="B2" s="69"/>
      <c r="C2" s="69"/>
      <c r="D2" s="69"/>
      <c r="E2" s="69"/>
      <c r="F2" s="69"/>
      <c r="G2" s="69"/>
      <c r="H2" s="69"/>
      <c r="I2" s="69"/>
      <c r="J2" s="69"/>
      <c r="K2" s="69"/>
      <c r="L2" s="69"/>
      <c r="M2" s="69"/>
      <c r="N2" s="69"/>
      <c r="O2" s="69"/>
      <c r="P2" s="69"/>
      <c r="Q2" s="69"/>
      <c r="R2" s="69"/>
      <c r="S2" s="69"/>
      <c r="T2" s="69"/>
      <c r="U2" s="69"/>
      <c r="V2" s="69"/>
    </row>
    <row r="3" spans="1:22" ht="12.75" thickBot="1">
      <c r="A3" s="1144" t="s">
        <v>4969</v>
      </c>
      <c r="B3" s="1144"/>
      <c r="C3" s="1144"/>
      <c r="D3" s="1144"/>
    </row>
    <row r="4" spans="1:22" s="277" customFormat="1" ht="12.75" thickBot="1">
      <c r="A4" s="2024" t="s">
        <v>131</v>
      </c>
      <c r="B4" s="2069"/>
      <c r="C4" s="2069"/>
      <c r="D4" s="2069"/>
      <c r="E4" s="2025"/>
      <c r="F4" s="2070" t="s">
        <v>132</v>
      </c>
      <c r="G4" s="2071"/>
      <c r="H4" s="2072"/>
      <c r="I4" s="2072"/>
      <c r="J4" s="2073"/>
      <c r="K4" s="2074" t="s">
        <v>1652</v>
      </c>
      <c r="L4" s="2075"/>
      <c r="M4" s="2076"/>
      <c r="N4" s="2074" t="s">
        <v>1651</v>
      </c>
      <c r="O4" s="2075"/>
      <c r="P4" s="2076"/>
    </row>
    <row r="5" spans="1:22" s="278" customFormat="1" ht="78" thickBot="1">
      <c r="A5" s="401" t="s">
        <v>94</v>
      </c>
      <c r="B5" s="139" t="s">
        <v>8</v>
      </c>
      <c r="C5" s="139" t="s">
        <v>91</v>
      </c>
      <c r="D5" s="402" t="s">
        <v>95</v>
      </c>
      <c r="E5" s="404" t="s">
        <v>115</v>
      </c>
      <c r="F5" s="401" t="s">
        <v>119</v>
      </c>
      <c r="G5" s="402" t="s">
        <v>120</v>
      </c>
      <c r="H5" s="402" t="s">
        <v>134</v>
      </c>
      <c r="I5" s="139" t="s">
        <v>135</v>
      </c>
      <c r="J5" s="399" t="s">
        <v>124</v>
      </c>
      <c r="K5" s="443" t="s">
        <v>121</v>
      </c>
      <c r="L5" s="140" t="s">
        <v>122</v>
      </c>
      <c r="M5" s="141" t="s">
        <v>123</v>
      </c>
      <c r="N5" s="443" t="s">
        <v>121</v>
      </c>
      <c r="O5" s="140" t="s">
        <v>122</v>
      </c>
      <c r="P5" s="141" t="s">
        <v>123</v>
      </c>
    </row>
    <row r="6" spans="1:22" ht="30">
      <c r="A6" s="1444" t="s">
        <v>4669</v>
      </c>
      <c r="B6" s="1445" t="s">
        <v>1880</v>
      </c>
      <c r="C6" s="1445" t="s">
        <v>504</v>
      </c>
      <c r="D6" s="1446" t="s">
        <v>4968</v>
      </c>
      <c r="E6" s="1447">
        <v>3000</v>
      </c>
      <c r="F6" s="1448" t="s">
        <v>4967</v>
      </c>
      <c r="G6" s="1449" t="s">
        <v>4966</v>
      </c>
      <c r="H6" s="1449" t="s">
        <v>4965</v>
      </c>
      <c r="I6" s="1449" t="s">
        <v>4692</v>
      </c>
      <c r="J6" s="1449" t="s">
        <v>4692</v>
      </c>
      <c r="K6" s="1450">
        <v>4</v>
      </c>
      <c r="L6" s="1450">
        <v>12</v>
      </c>
      <c r="M6" s="1451">
        <v>37946.22</v>
      </c>
      <c r="N6" s="1450">
        <v>1</v>
      </c>
      <c r="O6" s="1450">
        <v>6</v>
      </c>
      <c r="P6" s="1452">
        <v>18680.400000000001</v>
      </c>
    </row>
    <row r="7" spans="1:22">
      <c r="A7" s="1453" t="s">
        <v>4669</v>
      </c>
      <c r="B7" s="1453" t="s">
        <v>1880</v>
      </c>
      <c r="C7" s="1453" t="s">
        <v>504</v>
      </c>
      <c r="D7" s="1454" t="s">
        <v>4619</v>
      </c>
      <c r="E7" s="1455">
        <v>3700</v>
      </c>
      <c r="F7" s="1456" t="s">
        <v>4964</v>
      </c>
      <c r="G7" s="1454" t="s">
        <v>4963</v>
      </c>
      <c r="H7" s="1454" t="s">
        <v>4665</v>
      </c>
      <c r="I7" s="1454" t="s">
        <v>4692</v>
      </c>
      <c r="J7" s="1454" t="s">
        <v>4692</v>
      </c>
      <c r="K7" s="1457">
        <v>3</v>
      </c>
      <c r="L7" s="1457">
        <v>12</v>
      </c>
      <c r="M7" s="1458">
        <v>45760.800000000003</v>
      </c>
      <c r="N7" s="1457">
        <v>1</v>
      </c>
      <c r="O7" s="1457">
        <v>6</v>
      </c>
      <c r="P7" s="1459">
        <v>22880.400000000001</v>
      </c>
    </row>
    <row r="8" spans="1:22" ht="24">
      <c r="A8" s="1453" t="s">
        <v>4669</v>
      </c>
      <c r="B8" s="1453" t="s">
        <v>1880</v>
      </c>
      <c r="C8" s="1453" t="s">
        <v>504</v>
      </c>
      <c r="D8" s="1454" t="s">
        <v>4821</v>
      </c>
      <c r="E8" s="1455">
        <v>8000</v>
      </c>
      <c r="F8" s="1456" t="s">
        <v>4962</v>
      </c>
      <c r="G8" s="1454" t="s">
        <v>4961</v>
      </c>
      <c r="H8" s="1454" t="s">
        <v>4960</v>
      </c>
      <c r="I8" s="1454" t="s">
        <v>4960</v>
      </c>
      <c r="J8" s="1454" t="s">
        <v>4960</v>
      </c>
      <c r="K8" s="1457">
        <v>2</v>
      </c>
      <c r="L8" s="1457">
        <v>6</v>
      </c>
      <c r="M8" s="1458">
        <v>54849.51</v>
      </c>
      <c r="N8" s="1457">
        <v>0</v>
      </c>
      <c r="O8" s="1457">
        <v>0</v>
      </c>
      <c r="P8" s="1459">
        <v>0</v>
      </c>
    </row>
    <row r="9" spans="1:22" ht="24">
      <c r="A9" s="1453" t="s">
        <v>4669</v>
      </c>
      <c r="B9" s="1453" t="s">
        <v>1880</v>
      </c>
      <c r="C9" s="1453" t="s">
        <v>504</v>
      </c>
      <c r="D9" s="1454" t="s">
        <v>4959</v>
      </c>
      <c r="E9" s="1455">
        <v>12000</v>
      </c>
      <c r="F9" s="1456" t="s">
        <v>4958</v>
      </c>
      <c r="G9" s="1454" t="s">
        <v>4957</v>
      </c>
      <c r="H9" s="1454" t="s">
        <v>4766</v>
      </c>
      <c r="I9" s="1454" t="s">
        <v>4673</v>
      </c>
      <c r="J9" s="1454" t="s">
        <v>4673</v>
      </c>
      <c r="K9" s="1457">
        <v>1</v>
      </c>
      <c r="L9" s="1457">
        <v>12</v>
      </c>
      <c r="M9" s="1458">
        <v>145960.79999999999</v>
      </c>
      <c r="N9" s="1457">
        <v>0</v>
      </c>
      <c r="O9" s="1457">
        <v>2</v>
      </c>
      <c r="P9" s="1459">
        <v>50853.599999999999</v>
      </c>
    </row>
    <row r="10" spans="1:22" ht="24">
      <c r="A10" s="1453" t="s">
        <v>4669</v>
      </c>
      <c r="B10" s="1453" t="s">
        <v>1880</v>
      </c>
      <c r="C10" s="1453" t="s">
        <v>504</v>
      </c>
      <c r="D10" s="1454" t="s">
        <v>3605</v>
      </c>
      <c r="E10" s="1455">
        <v>5500</v>
      </c>
      <c r="F10" s="1456" t="s">
        <v>4956</v>
      </c>
      <c r="G10" s="1454" t="s">
        <v>4955</v>
      </c>
      <c r="H10" s="1454" t="s">
        <v>4954</v>
      </c>
      <c r="I10" s="1454" t="s">
        <v>4907</v>
      </c>
      <c r="J10" s="1454" t="s">
        <v>4907</v>
      </c>
      <c r="K10" s="1457">
        <v>4</v>
      </c>
      <c r="L10" s="1457">
        <v>12</v>
      </c>
      <c r="M10" s="1458">
        <v>61464.1</v>
      </c>
      <c r="N10" s="1457">
        <v>1</v>
      </c>
      <c r="O10" s="1457">
        <v>6</v>
      </c>
      <c r="P10" s="1459">
        <v>33668.18</v>
      </c>
    </row>
    <row r="11" spans="1:22" ht="24">
      <c r="A11" s="1453" t="s">
        <v>4669</v>
      </c>
      <c r="B11" s="1453" t="s">
        <v>1880</v>
      </c>
      <c r="C11" s="1453" t="s">
        <v>504</v>
      </c>
      <c r="D11" s="1454" t="s">
        <v>4749</v>
      </c>
      <c r="E11" s="1455">
        <v>4300</v>
      </c>
      <c r="F11" s="1460" t="s">
        <v>4953</v>
      </c>
      <c r="G11" s="1454" t="s">
        <v>4952</v>
      </c>
      <c r="H11" s="1454" t="s">
        <v>4746</v>
      </c>
      <c r="I11" s="1454" t="s">
        <v>4692</v>
      </c>
      <c r="J11" s="1454" t="s">
        <v>4692</v>
      </c>
      <c r="K11" s="1457">
        <v>3</v>
      </c>
      <c r="L11" s="1457">
        <v>8</v>
      </c>
      <c r="M11" s="1458">
        <v>42856.67</v>
      </c>
      <c r="N11" s="1457">
        <v>1</v>
      </c>
      <c r="O11" s="1457">
        <v>6</v>
      </c>
      <c r="P11" s="1459">
        <v>26480.400000000001</v>
      </c>
    </row>
    <row r="12" spans="1:22">
      <c r="A12" s="1453" t="s">
        <v>4669</v>
      </c>
      <c r="B12" s="1453" t="s">
        <v>1880</v>
      </c>
      <c r="C12" s="1453" t="s">
        <v>504</v>
      </c>
      <c r="D12" s="1461" t="s">
        <v>4887</v>
      </c>
      <c r="E12" s="1455">
        <v>6000</v>
      </c>
      <c r="F12" s="1456" t="s">
        <v>4951</v>
      </c>
      <c r="G12" s="1454" t="s">
        <v>4950</v>
      </c>
      <c r="H12" s="1454" t="s">
        <v>4594</v>
      </c>
      <c r="I12" s="1454" t="s">
        <v>4707</v>
      </c>
      <c r="J12" s="1454" t="s">
        <v>4707</v>
      </c>
      <c r="K12" s="1457">
        <v>0</v>
      </c>
      <c r="L12" s="1457">
        <v>0</v>
      </c>
      <c r="M12" s="1458">
        <v>0</v>
      </c>
      <c r="N12" s="1457">
        <v>2</v>
      </c>
      <c r="O12" s="1457">
        <v>6</v>
      </c>
      <c r="P12" s="1459">
        <v>35280.400000000001</v>
      </c>
    </row>
    <row r="13" spans="1:22" ht="36">
      <c r="A13" s="1453" t="s">
        <v>4669</v>
      </c>
      <c r="B13" s="1453" t="s">
        <v>1880</v>
      </c>
      <c r="C13" s="1453" t="s">
        <v>504</v>
      </c>
      <c r="D13" s="1461" t="s">
        <v>3478</v>
      </c>
      <c r="E13" s="1455">
        <v>7500</v>
      </c>
      <c r="F13" s="1460" t="s">
        <v>4949</v>
      </c>
      <c r="G13" s="1454" t="s">
        <v>4948</v>
      </c>
      <c r="H13" s="1454" t="s">
        <v>2917</v>
      </c>
      <c r="I13" s="1454" t="s">
        <v>2917</v>
      </c>
      <c r="J13" s="1454" t="s">
        <v>2917</v>
      </c>
      <c r="K13" s="1457">
        <v>0</v>
      </c>
      <c r="L13" s="1457">
        <v>0</v>
      </c>
      <c r="M13" s="1458">
        <v>0</v>
      </c>
      <c r="N13" s="1457">
        <v>1</v>
      </c>
      <c r="O13" s="1457">
        <v>3</v>
      </c>
      <c r="P13" s="1459">
        <v>17726.8</v>
      </c>
    </row>
    <row r="14" spans="1:22" ht="24">
      <c r="A14" s="1453" t="s">
        <v>4669</v>
      </c>
      <c r="B14" s="1453" t="s">
        <v>1880</v>
      </c>
      <c r="C14" s="1453" t="s">
        <v>504</v>
      </c>
      <c r="D14" s="1461" t="s">
        <v>4947</v>
      </c>
      <c r="E14" s="1455">
        <v>7238</v>
      </c>
      <c r="F14" s="1456" t="s">
        <v>4946</v>
      </c>
      <c r="G14" s="1454" t="s">
        <v>4945</v>
      </c>
      <c r="H14" s="1454" t="s">
        <v>4944</v>
      </c>
      <c r="I14" s="1454" t="s">
        <v>4943</v>
      </c>
      <c r="J14" s="1454" t="s">
        <v>4943</v>
      </c>
      <c r="K14" s="1457">
        <v>0</v>
      </c>
      <c r="L14" s="1457">
        <v>12</v>
      </c>
      <c r="M14" s="1458">
        <v>88216.8</v>
      </c>
      <c r="N14" s="1457">
        <v>0</v>
      </c>
      <c r="O14" s="1457">
        <v>6</v>
      </c>
      <c r="P14" s="1459">
        <v>44108.4</v>
      </c>
    </row>
    <row r="15" spans="1:22" ht="24">
      <c r="A15" s="1453" t="s">
        <v>4669</v>
      </c>
      <c r="B15" s="1453" t="s">
        <v>1880</v>
      </c>
      <c r="C15" s="1453" t="s">
        <v>504</v>
      </c>
      <c r="D15" s="1461" t="s">
        <v>4942</v>
      </c>
      <c r="E15" s="1455">
        <v>4000</v>
      </c>
      <c r="F15" s="1456" t="s">
        <v>4941</v>
      </c>
      <c r="G15" s="1454" t="s">
        <v>4940</v>
      </c>
      <c r="H15" s="1454" t="s">
        <v>4939</v>
      </c>
      <c r="I15" s="1454" t="s">
        <v>4692</v>
      </c>
      <c r="J15" s="1454" t="s">
        <v>4692</v>
      </c>
      <c r="K15" s="1457">
        <v>4</v>
      </c>
      <c r="L15" s="1457">
        <v>12</v>
      </c>
      <c r="M15" s="1458">
        <v>40198.54</v>
      </c>
      <c r="N15" s="1457">
        <v>1</v>
      </c>
      <c r="O15" s="1457">
        <v>6</v>
      </c>
      <c r="P15" s="1459">
        <v>24745.21</v>
      </c>
    </row>
    <row r="16" spans="1:22" ht="24">
      <c r="A16" s="1453" t="s">
        <v>4669</v>
      </c>
      <c r="B16" s="1453" t="s">
        <v>1880</v>
      </c>
      <c r="C16" s="1453" t="s">
        <v>504</v>
      </c>
      <c r="D16" s="1461" t="s">
        <v>4938</v>
      </c>
      <c r="E16" s="1455">
        <v>6500</v>
      </c>
      <c r="F16" s="1456" t="s">
        <v>4937</v>
      </c>
      <c r="G16" s="1454" t="s">
        <v>4936</v>
      </c>
      <c r="H16" s="1462" t="s">
        <v>4766</v>
      </c>
      <c r="I16" s="1462" t="s">
        <v>4692</v>
      </c>
      <c r="J16" s="1462" t="s">
        <v>4692</v>
      </c>
      <c r="K16" s="1457">
        <v>4</v>
      </c>
      <c r="L16" s="1457">
        <v>12</v>
      </c>
      <c r="M16" s="1458">
        <v>79886.320000000007</v>
      </c>
      <c r="N16" s="1457">
        <v>1</v>
      </c>
      <c r="O16" s="1457">
        <v>6</v>
      </c>
      <c r="P16" s="1459">
        <v>39680.400000000001</v>
      </c>
    </row>
    <row r="17" spans="1:16" ht="24">
      <c r="A17" s="1453" t="s">
        <v>4669</v>
      </c>
      <c r="B17" s="1453" t="s">
        <v>1880</v>
      </c>
      <c r="C17" s="1453" t="s">
        <v>504</v>
      </c>
      <c r="D17" s="1461" t="s">
        <v>4935</v>
      </c>
      <c r="E17" s="1455">
        <v>5500</v>
      </c>
      <c r="F17" s="1456" t="s">
        <v>4934</v>
      </c>
      <c r="G17" s="1454" t="s">
        <v>4933</v>
      </c>
      <c r="H17" s="1454" t="s">
        <v>4932</v>
      </c>
      <c r="I17" s="1454" t="s">
        <v>4931</v>
      </c>
      <c r="J17" s="1454" t="s">
        <v>4931</v>
      </c>
      <c r="K17" s="1457">
        <v>4</v>
      </c>
      <c r="L17" s="1457">
        <v>12</v>
      </c>
      <c r="M17" s="1458">
        <v>62122.36</v>
      </c>
      <c r="N17" s="1457">
        <v>1</v>
      </c>
      <c r="O17" s="1457">
        <v>6</v>
      </c>
      <c r="P17" s="1459">
        <v>33680.400000000001</v>
      </c>
    </row>
    <row r="18" spans="1:16" ht="36">
      <c r="A18" s="1453" t="s">
        <v>4669</v>
      </c>
      <c r="B18" s="1453" t="s">
        <v>1880</v>
      </c>
      <c r="C18" s="1453" t="s">
        <v>504</v>
      </c>
      <c r="D18" s="1461" t="s">
        <v>4756</v>
      </c>
      <c r="E18" s="1455">
        <v>3700</v>
      </c>
      <c r="F18" s="1456" t="s">
        <v>4930</v>
      </c>
      <c r="G18" s="1454" t="s">
        <v>4929</v>
      </c>
      <c r="H18" s="1462" t="s">
        <v>4665</v>
      </c>
      <c r="I18" s="1462" t="s">
        <v>4692</v>
      </c>
      <c r="J18" s="1462" t="s">
        <v>4692</v>
      </c>
      <c r="K18" s="1457">
        <v>4</v>
      </c>
      <c r="L18" s="1457">
        <v>12</v>
      </c>
      <c r="M18" s="1458">
        <v>45760.800000000003</v>
      </c>
      <c r="N18" s="1457">
        <v>2</v>
      </c>
      <c r="O18" s="1457">
        <v>6</v>
      </c>
      <c r="P18" s="1459">
        <v>22880.400000000001</v>
      </c>
    </row>
    <row r="19" spans="1:16" ht="24">
      <c r="A19" s="1453" t="s">
        <v>4669</v>
      </c>
      <c r="B19" s="1453" t="s">
        <v>1880</v>
      </c>
      <c r="C19" s="1453" t="s">
        <v>504</v>
      </c>
      <c r="D19" s="1461" t="s">
        <v>4880</v>
      </c>
      <c r="E19" s="1455">
        <v>4900</v>
      </c>
      <c r="F19" s="1456" t="s">
        <v>4928</v>
      </c>
      <c r="G19" s="1454" t="s">
        <v>4927</v>
      </c>
      <c r="H19" s="1462" t="s">
        <v>4665</v>
      </c>
      <c r="I19" s="1462" t="s">
        <v>4692</v>
      </c>
      <c r="J19" s="1462" t="s">
        <v>4692</v>
      </c>
      <c r="K19" s="1457">
        <v>4</v>
      </c>
      <c r="L19" s="1457">
        <v>12</v>
      </c>
      <c r="M19" s="1458">
        <v>51121.070000000007</v>
      </c>
      <c r="N19" s="1457">
        <v>1</v>
      </c>
      <c r="O19" s="1457">
        <v>6</v>
      </c>
      <c r="P19" s="1459">
        <v>30080.400000000001</v>
      </c>
    </row>
    <row r="20" spans="1:16" ht="36">
      <c r="A20" s="1453" t="s">
        <v>4669</v>
      </c>
      <c r="B20" s="1453" t="s">
        <v>1880</v>
      </c>
      <c r="C20" s="1453" t="s">
        <v>504</v>
      </c>
      <c r="D20" s="1461" t="s">
        <v>4926</v>
      </c>
      <c r="E20" s="1455">
        <v>3500</v>
      </c>
      <c r="F20" s="1456" t="s">
        <v>4925</v>
      </c>
      <c r="G20" s="1454" t="s">
        <v>4924</v>
      </c>
      <c r="H20" s="1454" t="s">
        <v>4923</v>
      </c>
      <c r="I20" s="1454" t="s">
        <v>4692</v>
      </c>
      <c r="J20" s="1454" t="s">
        <v>4692</v>
      </c>
      <c r="K20" s="1457">
        <v>4</v>
      </c>
      <c r="L20" s="1457">
        <v>12</v>
      </c>
      <c r="M20" s="1458">
        <v>40270.1</v>
      </c>
      <c r="N20" s="1457">
        <v>1</v>
      </c>
      <c r="O20" s="1457">
        <v>6</v>
      </c>
      <c r="P20" s="1459">
        <v>21653.9</v>
      </c>
    </row>
    <row r="21" spans="1:16" ht="24">
      <c r="A21" s="1453" t="s">
        <v>4669</v>
      </c>
      <c r="B21" s="1453" t="s">
        <v>1880</v>
      </c>
      <c r="C21" s="1453" t="s">
        <v>504</v>
      </c>
      <c r="D21" s="1461" t="s">
        <v>4922</v>
      </c>
      <c r="E21" s="1455">
        <v>6000</v>
      </c>
      <c r="F21" s="1456" t="s">
        <v>4921</v>
      </c>
      <c r="G21" s="1454" t="s">
        <v>4920</v>
      </c>
      <c r="H21" s="1454" t="s">
        <v>4623</v>
      </c>
      <c r="I21" s="1454" t="s">
        <v>2917</v>
      </c>
      <c r="J21" s="1454" t="s">
        <v>2917</v>
      </c>
      <c r="K21" s="1457">
        <v>4</v>
      </c>
      <c r="L21" s="1457">
        <v>12</v>
      </c>
      <c r="M21" s="1458">
        <v>63464.12000000001</v>
      </c>
      <c r="N21" s="1457">
        <v>1</v>
      </c>
      <c r="O21" s="1457">
        <v>6</v>
      </c>
      <c r="P21" s="1459">
        <v>36480.400000000001</v>
      </c>
    </row>
    <row r="22" spans="1:16" ht="36">
      <c r="A22" s="1453" t="s">
        <v>4669</v>
      </c>
      <c r="B22" s="1453" t="s">
        <v>1880</v>
      </c>
      <c r="C22" s="1453" t="s">
        <v>504</v>
      </c>
      <c r="D22" s="1461" t="s">
        <v>3478</v>
      </c>
      <c r="E22" s="1455">
        <v>8000</v>
      </c>
      <c r="F22" s="1456" t="s">
        <v>4919</v>
      </c>
      <c r="G22" s="1454" t="s">
        <v>4918</v>
      </c>
      <c r="H22" s="1454" t="s">
        <v>4623</v>
      </c>
      <c r="I22" s="1454" t="s">
        <v>2917</v>
      </c>
      <c r="J22" s="1454" t="s">
        <v>2917</v>
      </c>
      <c r="K22" s="1457">
        <v>2</v>
      </c>
      <c r="L22" s="1457">
        <v>12</v>
      </c>
      <c r="M22" s="1458">
        <v>96484.36</v>
      </c>
      <c r="N22" s="1457">
        <v>1</v>
      </c>
      <c r="O22" s="1457">
        <v>6</v>
      </c>
      <c r="P22" s="1459">
        <v>44568.32</v>
      </c>
    </row>
    <row r="23" spans="1:16" ht="24">
      <c r="A23" s="1453" t="s">
        <v>4669</v>
      </c>
      <c r="B23" s="1453" t="s">
        <v>1880</v>
      </c>
      <c r="C23" s="1453" t="s">
        <v>504</v>
      </c>
      <c r="D23" s="1461" t="s">
        <v>4821</v>
      </c>
      <c r="E23" s="1455">
        <v>8000</v>
      </c>
      <c r="F23" s="1456" t="s">
        <v>4917</v>
      </c>
      <c r="G23" s="1454" t="s">
        <v>4916</v>
      </c>
      <c r="H23" s="1454" t="s">
        <v>4915</v>
      </c>
      <c r="I23" s="1454" t="s">
        <v>4907</v>
      </c>
      <c r="J23" s="1454" t="s">
        <v>4907</v>
      </c>
      <c r="K23" s="1457">
        <v>2</v>
      </c>
      <c r="L23" s="1457">
        <v>12</v>
      </c>
      <c r="M23" s="1458">
        <v>97943.58</v>
      </c>
      <c r="N23" s="1457">
        <v>1</v>
      </c>
      <c r="O23" s="1457">
        <v>6</v>
      </c>
      <c r="P23" s="1459">
        <v>48667.07</v>
      </c>
    </row>
    <row r="24" spans="1:16" ht="24">
      <c r="A24" s="1453" t="s">
        <v>4669</v>
      </c>
      <c r="B24" s="1453" t="s">
        <v>1880</v>
      </c>
      <c r="C24" s="1453" t="s">
        <v>504</v>
      </c>
      <c r="D24" s="1461" t="s">
        <v>4752</v>
      </c>
      <c r="E24" s="1455">
        <v>7000</v>
      </c>
      <c r="F24" s="1456" t="s">
        <v>4914</v>
      </c>
      <c r="G24" s="1454" t="s">
        <v>4913</v>
      </c>
      <c r="H24" s="1454" t="s">
        <v>2917</v>
      </c>
      <c r="I24" s="1454" t="s">
        <v>2917</v>
      </c>
      <c r="J24" s="1454" t="s">
        <v>2917</v>
      </c>
      <c r="K24" s="1457">
        <v>0</v>
      </c>
      <c r="L24" s="1457">
        <v>0</v>
      </c>
      <c r="M24" s="1458">
        <v>0</v>
      </c>
      <c r="N24" s="1457">
        <v>1</v>
      </c>
      <c r="O24" s="1457">
        <v>3</v>
      </c>
      <c r="P24" s="1459">
        <v>16326.8</v>
      </c>
    </row>
    <row r="25" spans="1:16">
      <c r="A25" s="1453" t="s">
        <v>4669</v>
      </c>
      <c r="B25" s="1453" t="s">
        <v>1880</v>
      </c>
      <c r="C25" s="1453" t="s">
        <v>504</v>
      </c>
      <c r="D25" s="1461" t="s">
        <v>4819</v>
      </c>
      <c r="E25" s="1455">
        <v>7000</v>
      </c>
      <c r="F25" s="1456" t="s">
        <v>4912</v>
      </c>
      <c r="G25" s="1454" t="s">
        <v>4911</v>
      </c>
      <c r="H25" s="1454" t="s">
        <v>2917</v>
      </c>
      <c r="I25" s="1454" t="s">
        <v>2917</v>
      </c>
      <c r="J25" s="1454" t="s">
        <v>2917</v>
      </c>
      <c r="K25" s="1457">
        <v>1</v>
      </c>
      <c r="L25" s="1457">
        <v>3</v>
      </c>
      <c r="M25" s="1458">
        <v>21673.420000000002</v>
      </c>
      <c r="N25" s="1457">
        <v>0</v>
      </c>
      <c r="O25" s="1457">
        <v>0</v>
      </c>
      <c r="P25" s="1459">
        <v>0</v>
      </c>
    </row>
    <row r="26" spans="1:16" ht="36">
      <c r="A26" s="1453" t="s">
        <v>4669</v>
      </c>
      <c r="B26" s="1453" t="s">
        <v>1880</v>
      </c>
      <c r="C26" s="1453" t="s">
        <v>504</v>
      </c>
      <c r="D26" s="1461" t="s">
        <v>4910</v>
      </c>
      <c r="E26" s="1455">
        <v>5500</v>
      </c>
      <c r="F26" s="1456" t="s">
        <v>4909</v>
      </c>
      <c r="G26" s="1454" t="s">
        <v>4908</v>
      </c>
      <c r="H26" s="1454" t="s">
        <v>4682</v>
      </c>
      <c r="I26" s="1454" t="s">
        <v>4907</v>
      </c>
      <c r="J26" s="1454" t="s">
        <v>4907</v>
      </c>
      <c r="K26" s="1457">
        <v>6</v>
      </c>
      <c r="L26" s="1457">
        <v>12</v>
      </c>
      <c r="M26" s="1458">
        <v>95702.47</v>
      </c>
      <c r="N26" s="1457">
        <v>1</v>
      </c>
      <c r="O26" s="1457">
        <v>6</v>
      </c>
      <c r="P26" s="1459">
        <v>33680.400000000001</v>
      </c>
    </row>
    <row r="27" spans="1:16">
      <c r="A27" s="1453" t="s">
        <v>4669</v>
      </c>
      <c r="B27" s="1453" t="s">
        <v>1880</v>
      </c>
      <c r="C27" s="1453" t="s">
        <v>504</v>
      </c>
      <c r="D27" s="1461" t="s">
        <v>4797</v>
      </c>
      <c r="E27" s="1455">
        <v>5500</v>
      </c>
      <c r="F27" s="1460" t="s">
        <v>4906</v>
      </c>
      <c r="G27" s="1454" t="s">
        <v>4905</v>
      </c>
      <c r="H27" s="1454" t="s">
        <v>3276</v>
      </c>
      <c r="I27" s="1454" t="s">
        <v>4711</v>
      </c>
      <c r="J27" s="1454" t="s">
        <v>4711</v>
      </c>
      <c r="K27" s="1457">
        <v>1</v>
      </c>
      <c r="L27" s="1457">
        <v>3</v>
      </c>
      <c r="M27" s="1458">
        <v>17040.2</v>
      </c>
      <c r="N27" s="1457">
        <v>1</v>
      </c>
      <c r="O27" s="1457">
        <v>3</v>
      </c>
      <c r="P27" s="1459">
        <v>16250.79</v>
      </c>
    </row>
    <row r="28" spans="1:16" ht="36">
      <c r="A28" s="1453" t="s">
        <v>4669</v>
      </c>
      <c r="B28" s="1453" t="s">
        <v>1880</v>
      </c>
      <c r="C28" s="1453" t="s">
        <v>504</v>
      </c>
      <c r="D28" s="1461" t="s">
        <v>3478</v>
      </c>
      <c r="E28" s="1455">
        <v>7500</v>
      </c>
      <c r="F28" s="1460" t="s">
        <v>4904</v>
      </c>
      <c r="G28" s="1454" t="s">
        <v>4903</v>
      </c>
      <c r="H28" s="1454" t="s">
        <v>4902</v>
      </c>
      <c r="I28" s="1454" t="s">
        <v>4673</v>
      </c>
      <c r="J28" s="1454" t="s">
        <v>4673</v>
      </c>
      <c r="K28" s="1457">
        <v>0</v>
      </c>
      <c r="L28" s="1457">
        <v>0</v>
      </c>
      <c r="M28" s="1458">
        <v>0</v>
      </c>
      <c r="N28" s="1457">
        <v>1</v>
      </c>
      <c r="O28" s="1457">
        <v>2</v>
      </c>
      <c r="P28" s="1459">
        <v>10863.4</v>
      </c>
    </row>
    <row r="29" spans="1:16">
      <c r="A29" s="1453" t="s">
        <v>4669</v>
      </c>
      <c r="B29" s="1453" t="s">
        <v>1880</v>
      </c>
      <c r="C29" s="1453" t="s">
        <v>504</v>
      </c>
      <c r="D29" s="1461" t="s">
        <v>3231</v>
      </c>
      <c r="E29" s="1455">
        <v>3000</v>
      </c>
      <c r="F29" s="1456" t="s">
        <v>4901</v>
      </c>
      <c r="G29" s="1454" t="s">
        <v>4900</v>
      </c>
      <c r="H29" s="1454" t="s">
        <v>4628</v>
      </c>
      <c r="I29" s="1454" t="s">
        <v>4673</v>
      </c>
      <c r="J29" s="1454" t="s">
        <v>4673</v>
      </c>
      <c r="K29" s="1457">
        <v>4</v>
      </c>
      <c r="L29" s="1457">
        <v>12</v>
      </c>
      <c r="M29" s="1458">
        <v>35649.68</v>
      </c>
      <c r="N29" s="1457">
        <v>1</v>
      </c>
      <c r="O29" s="1457">
        <v>6</v>
      </c>
      <c r="P29" s="1459">
        <v>17689.96</v>
      </c>
    </row>
    <row r="30" spans="1:16" ht="36">
      <c r="A30" s="1453" t="s">
        <v>4669</v>
      </c>
      <c r="B30" s="1453" t="s">
        <v>1880</v>
      </c>
      <c r="C30" s="1453" t="s">
        <v>504</v>
      </c>
      <c r="D30" s="1461" t="s">
        <v>4899</v>
      </c>
      <c r="E30" s="1455">
        <v>5500</v>
      </c>
      <c r="F30" s="1456" t="s">
        <v>4898</v>
      </c>
      <c r="G30" s="1454" t="s">
        <v>4897</v>
      </c>
      <c r="H30" s="1454" t="s">
        <v>4560</v>
      </c>
      <c r="I30" s="1454" t="s">
        <v>4673</v>
      </c>
      <c r="J30" s="1454" t="s">
        <v>4673</v>
      </c>
      <c r="K30" s="1457">
        <v>1</v>
      </c>
      <c r="L30" s="1457">
        <v>1</v>
      </c>
      <c r="M30" s="1458">
        <v>5720.3499999999995</v>
      </c>
      <c r="N30" s="1457">
        <v>0</v>
      </c>
      <c r="O30" s="1457">
        <v>0</v>
      </c>
      <c r="P30" s="1459">
        <v>0</v>
      </c>
    </row>
    <row r="31" spans="1:16" ht="24">
      <c r="A31" s="1453" t="s">
        <v>4669</v>
      </c>
      <c r="B31" s="1453" t="s">
        <v>1880</v>
      </c>
      <c r="C31" s="1453" t="s">
        <v>504</v>
      </c>
      <c r="D31" s="1461" t="s">
        <v>4896</v>
      </c>
      <c r="E31" s="1455">
        <v>3700</v>
      </c>
      <c r="F31" s="1456" t="s">
        <v>4895</v>
      </c>
      <c r="G31" s="1454" t="s">
        <v>4894</v>
      </c>
      <c r="H31" s="1454" t="s">
        <v>4893</v>
      </c>
      <c r="I31" s="1454" t="s">
        <v>4692</v>
      </c>
      <c r="J31" s="1454" t="s">
        <v>4692</v>
      </c>
      <c r="K31" s="1457">
        <v>4</v>
      </c>
      <c r="L31" s="1457">
        <v>12</v>
      </c>
      <c r="M31" s="1458">
        <v>46250.080000000002</v>
      </c>
      <c r="N31" s="1457">
        <v>1</v>
      </c>
      <c r="O31" s="1457">
        <v>6</v>
      </c>
      <c r="P31" s="1459">
        <v>22880.400000000001</v>
      </c>
    </row>
    <row r="32" spans="1:16">
      <c r="A32" s="1453" t="s">
        <v>4669</v>
      </c>
      <c r="B32" s="1453" t="s">
        <v>1880</v>
      </c>
      <c r="C32" s="1453" t="s">
        <v>504</v>
      </c>
      <c r="D32" s="1461" t="s">
        <v>4632</v>
      </c>
      <c r="E32" s="1455">
        <v>3450</v>
      </c>
      <c r="F32" s="1456" t="s">
        <v>4892</v>
      </c>
      <c r="G32" s="1454" t="s">
        <v>4891</v>
      </c>
      <c r="H32" s="1454" t="s">
        <v>4632</v>
      </c>
      <c r="I32" s="1454" t="s">
        <v>4890</v>
      </c>
      <c r="J32" s="1454" t="s">
        <v>4890</v>
      </c>
      <c r="K32" s="1457">
        <v>4</v>
      </c>
      <c r="L32" s="1457">
        <v>12</v>
      </c>
      <c r="M32" s="1458">
        <v>43188.78</v>
      </c>
      <c r="N32" s="1457">
        <v>1</v>
      </c>
      <c r="O32" s="1457">
        <v>6</v>
      </c>
      <c r="P32" s="1459">
        <v>21251.71</v>
      </c>
    </row>
    <row r="33" spans="1:16">
      <c r="A33" s="1453" t="s">
        <v>4669</v>
      </c>
      <c r="B33" s="1453" t="s">
        <v>1880</v>
      </c>
      <c r="C33" s="1453" t="s">
        <v>504</v>
      </c>
      <c r="D33" s="1454" t="s">
        <v>4619</v>
      </c>
      <c r="E33" s="1455">
        <v>3600</v>
      </c>
      <c r="F33" s="1456" t="s">
        <v>4889</v>
      </c>
      <c r="G33" s="1454" t="s">
        <v>4888</v>
      </c>
      <c r="H33" s="1454" t="s">
        <v>4606</v>
      </c>
      <c r="I33" s="1454" t="s">
        <v>4692</v>
      </c>
      <c r="J33" s="1454" t="s">
        <v>4692</v>
      </c>
      <c r="K33" s="1457">
        <v>4</v>
      </c>
      <c r="L33" s="1457">
        <v>12</v>
      </c>
      <c r="M33" s="1458">
        <v>48096.54</v>
      </c>
      <c r="N33" s="1457">
        <v>1</v>
      </c>
      <c r="O33" s="1457">
        <v>6</v>
      </c>
      <c r="P33" s="1459">
        <v>23899.610000000004</v>
      </c>
    </row>
    <row r="34" spans="1:16">
      <c r="A34" s="1453" t="s">
        <v>4669</v>
      </c>
      <c r="B34" s="1453" t="s">
        <v>1880</v>
      </c>
      <c r="C34" s="1453" t="s">
        <v>504</v>
      </c>
      <c r="D34" s="1454" t="s">
        <v>4887</v>
      </c>
      <c r="E34" s="1455">
        <v>6000</v>
      </c>
      <c r="F34" s="1456" t="s">
        <v>4886</v>
      </c>
      <c r="G34" s="1454" t="s">
        <v>4885</v>
      </c>
      <c r="H34" s="1454" t="s">
        <v>4707</v>
      </c>
      <c r="I34" s="1454" t="s">
        <v>4707</v>
      </c>
      <c r="J34" s="1454" t="s">
        <v>4707</v>
      </c>
      <c r="K34" s="1457">
        <v>4</v>
      </c>
      <c r="L34" s="1457">
        <v>10</v>
      </c>
      <c r="M34" s="1458">
        <v>64916.150000000009</v>
      </c>
      <c r="N34" s="1457">
        <v>0</v>
      </c>
      <c r="O34" s="1457">
        <v>0</v>
      </c>
      <c r="P34" s="1459">
        <v>0</v>
      </c>
    </row>
    <row r="35" spans="1:16" ht="36">
      <c r="A35" s="1453" t="s">
        <v>4669</v>
      </c>
      <c r="B35" s="1453" t="s">
        <v>1880</v>
      </c>
      <c r="C35" s="1453" t="s">
        <v>504</v>
      </c>
      <c r="D35" s="1461" t="s">
        <v>4884</v>
      </c>
      <c r="E35" s="1455">
        <v>4000</v>
      </c>
      <c r="F35" s="1460" t="s">
        <v>4883</v>
      </c>
      <c r="G35" s="1454" t="s">
        <v>4882</v>
      </c>
      <c r="H35" s="1454" t="s">
        <v>4881</v>
      </c>
      <c r="I35" s="1454" t="s">
        <v>4692</v>
      </c>
      <c r="J35" s="1454" t="s">
        <v>4692</v>
      </c>
      <c r="K35" s="1457">
        <v>1</v>
      </c>
      <c r="L35" s="1457">
        <v>3</v>
      </c>
      <c r="M35" s="1458">
        <v>11540.2</v>
      </c>
      <c r="N35" s="1457">
        <v>1</v>
      </c>
      <c r="O35" s="1457">
        <v>6</v>
      </c>
      <c r="P35" s="1459">
        <v>24680.400000000001</v>
      </c>
    </row>
    <row r="36" spans="1:16" ht="24">
      <c r="A36" s="1453" t="s">
        <v>4669</v>
      </c>
      <c r="B36" s="1453" t="s">
        <v>1880</v>
      </c>
      <c r="C36" s="1453" t="s">
        <v>504</v>
      </c>
      <c r="D36" s="1461" t="s">
        <v>4880</v>
      </c>
      <c r="E36" s="1455">
        <v>4900</v>
      </c>
      <c r="F36" s="1456" t="s">
        <v>4879</v>
      </c>
      <c r="G36" s="1454" t="s">
        <v>4878</v>
      </c>
      <c r="H36" s="1461" t="s">
        <v>4665</v>
      </c>
      <c r="I36" s="1454" t="s">
        <v>4692</v>
      </c>
      <c r="J36" s="1454" t="s">
        <v>4692</v>
      </c>
      <c r="K36" s="1457">
        <v>4</v>
      </c>
      <c r="L36" s="1457">
        <v>12</v>
      </c>
      <c r="M36" s="1458">
        <v>60144.86</v>
      </c>
      <c r="N36" s="1457">
        <v>1</v>
      </c>
      <c r="O36" s="1457">
        <v>6</v>
      </c>
      <c r="P36" s="1459">
        <v>30080.400000000001</v>
      </c>
    </row>
    <row r="37" spans="1:16">
      <c r="A37" s="1453" t="s">
        <v>4669</v>
      </c>
      <c r="B37" s="1453" t="s">
        <v>1880</v>
      </c>
      <c r="C37" s="1453" t="s">
        <v>504</v>
      </c>
      <c r="D37" s="1461" t="s">
        <v>4877</v>
      </c>
      <c r="E37" s="1455">
        <v>4000</v>
      </c>
      <c r="F37" s="1456" t="s">
        <v>4876</v>
      </c>
      <c r="G37" s="1454" t="s">
        <v>4875</v>
      </c>
      <c r="H37" s="1461" t="s">
        <v>2917</v>
      </c>
      <c r="I37" s="1454" t="s">
        <v>2917</v>
      </c>
      <c r="J37" s="1454" t="s">
        <v>2917</v>
      </c>
      <c r="K37" s="1457">
        <v>4</v>
      </c>
      <c r="L37" s="1457">
        <v>12</v>
      </c>
      <c r="M37" s="1458">
        <v>46380.73</v>
      </c>
      <c r="N37" s="1457">
        <v>2</v>
      </c>
      <c r="O37" s="1457">
        <v>6</v>
      </c>
      <c r="P37" s="1459">
        <v>24680.400000000001</v>
      </c>
    </row>
    <row r="38" spans="1:16" ht="24">
      <c r="A38" s="1453" t="s">
        <v>4669</v>
      </c>
      <c r="B38" s="1453" t="s">
        <v>1880</v>
      </c>
      <c r="C38" s="1453" t="s">
        <v>504</v>
      </c>
      <c r="D38" s="1461" t="s">
        <v>4874</v>
      </c>
      <c r="E38" s="1455">
        <v>5500</v>
      </c>
      <c r="F38" s="1456" t="s">
        <v>4873</v>
      </c>
      <c r="G38" s="1454" t="s">
        <v>4872</v>
      </c>
      <c r="H38" s="1461" t="s">
        <v>4689</v>
      </c>
      <c r="I38" s="1454" t="s">
        <v>1592</v>
      </c>
      <c r="J38" s="1454" t="s">
        <v>1592</v>
      </c>
      <c r="K38" s="1457">
        <v>4</v>
      </c>
      <c r="L38" s="1457">
        <v>12</v>
      </c>
      <c r="M38" s="1458">
        <v>67956.210000000006</v>
      </c>
      <c r="N38" s="1457">
        <v>1</v>
      </c>
      <c r="O38" s="1457">
        <v>6</v>
      </c>
      <c r="P38" s="1459">
        <v>33534.51</v>
      </c>
    </row>
    <row r="39" spans="1:16" ht="36">
      <c r="A39" s="1453" t="s">
        <v>4669</v>
      </c>
      <c r="B39" s="1453" t="s">
        <v>1880</v>
      </c>
      <c r="C39" s="1453" t="s">
        <v>504</v>
      </c>
      <c r="D39" s="1454" t="s">
        <v>4854</v>
      </c>
      <c r="E39" s="1455">
        <v>6000</v>
      </c>
      <c r="F39" s="1460" t="s">
        <v>4871</v>
      </c>
      <c r="G39" s="1454" t="s">
        <v>4870</v>
      </c>
      <c r="H39" s="1454" t="s">
        <v>4869</v>
      </c>
      <c r="I39" s="1454" t="s">
        <v>4673</v>
      </c>
      <c r="J39" s="1454" t="s">
        <v>4673</v>
      </c>
      <c r="K39" s="1457">
        <v>1</v>
      </c>
      <c r="L39" s="1457">
        <v>1</v>
      </c>
      <c r="M39" s="1458">
        <v>4513.3999999999996</v>
      </c>
      <c r="N39" s="1457">
        <v>2</v>
      </c>
      <c r="O39" s="1457">
        <v>6</v>
      </c>
      <c r="P39" s="1459">
        <v>36655.4</v>
      </c>
    </row>
    <row r="40" spans="1:16" ht="24">
      <c r="A40" s="1453" t="s">
        <v>4669</v>
      </c>
      <c r="B40" s="1453" t="s">
        <v>1880</v>
      </c>
      <c r="C40" s="1453" t="s">
        <v>504</v>
      </c>
      <c r="D40" s="1454" t="s">
        <v>4866</v>
      </c>
      <c r="E40" s="1455">
        <v>5000</v>
      </c>
      <c r="F40" s="1456" t="s">
        <v>4868</v>
      </c>
      <c r="G40" s="1454" t="s">
        <v>4867</v>
      </c>
      <c r="H40" s="1454" t="s">
        <v>4866</v>
      </c>
      <c r="I40" s="1454" t="s">
        <v>4692</v>
      </c>
      <c r="J40" s="1454" t="s">
        <v>4692</v>
      </c>
      <c r="K40" s="1457">
        <v>4</v>
      </c>
      <c r="L40" s="1457">
        <v>12</v>
      </c>
      <c r="M40" s="1458">
        <v>61352.67</v>
      </c>
      <c r="N40" s="1457">
        <v>1</v>
      </c>
      <c r="O40" s="1457">
        <v>3</v>
      </c>
      <c r="P40" s="1459">
        <v>20827.3</v>
      </c>
    </row>
    <row r="41" spans="1:16" ht="24">
      <c r="A41" s="1453" t="s">
        <v>4669</v>
      </c>
      <c r="B41" s="1453" t="s">
        <v>1880</v>
      </c>
      <c r="C41" s="1453" t="s">
        <v>504</v>
      </c>
      <c r="D41" s="1454" t="s">
        <v>4715</v>
      </c>
      <c r="E41" s="1455">
        <v>12000</v>
      </c>
      <c r="F41" s="1456" t="s">
        <v>4865</v>
      </c>
      <c r="G41" s="1454" t="s">
        <v>4864</v>
      </c>
      <c r="H41" s="1454" t="s">
        <v>4711</v>
      </c>
      <c r="I41" s="1454" t="s">
        <v>4863</v>
      </c>
      <c r="J41" s="1454" t="s">
        <v>4863</v>
      </c>
      <c r="K41" s="1457">
        <v>1</v>
      </c>
      <c r="L41" s="1457">
        <v>1</v>
      </c>
      <c r="M41" s="1458">
        <v>11713.4</v>
      </c>
      <c r="N41" s="1457">
        <v>0</v>
      </c>
      <c r="O41" s="1457">
        <v>6</v>
      </c>
      <c r="P41" s="1459">
        <v>72680.399999999994</v>
      </c>
    </row>
    <row r="42" spans="1:16" ht="24">
      <c r="A42" s="1453" t="s">
        <v>4669</v>
      </c>
      <c r="B42" s="1453" t="s">
        <v>1880</v>
      </c>
      <c r="C42" s="1453" t="s">
        <v>504</v>
      </c>
      <c r="D42" s="1454" t="s">
        <v>4821</v>
      </c>
      <c r="E42" s="1455">
        <v>7000</v>
      </c>
      <c r="F42" s="1460" t="s">
        <v>4862</v>
      </c>
      <c r="G42" s="1454" t="s">
        <v>4861</v>
      </c>
      <c r="H42" s="1454" t="s">
        <v>4560</v>
      </c>
      <c r="I42" s="1454" t="s">
        <v>4723</v>
      </c>
      <c r="J42" s="1454" t="s">
        <v>4723</v>
      </c>
      <c r="K42" s="1457">
        <v>2</v>
      </c>
      <c r="L42" s="1457">
        <v>5</v>
      </c>
      <c r="M42" s="1458">
        <v>35662.36</v>
      </c>
      <c r="N42" s="1457">
        <v>1</v>
      </c>
      <c r="O42" s="1457">
        <v>3</v>
      </c>
      <c r="P42" s="1459">
        <v>22361.379999999997</v>
      </c>
    </row>
    <row r="43" spans="1:16">
      <c r="A43" s="1453" t="s">
        <v>4669</v>
      </c>
      <c r="B43" s="1453" t="s">
        <v>1880</v>
      </c>
      <c r="C43" s="1453" t="s">
        <v>504</v>
      </c>
      <c r="D43" s="1454" t="s">
        <v>4860</v>
      </c>
      <c r="E43" s="1455">
        <v>15000</v>
      </c>
      <c r="F43" s="1456" t="s">
        <v>4859</v>
      </c>
      <c r="G43" s="1454" t="s">
        <v>4858</v>
      </c>
      <c r="H43" s="1454" t="s">
        <v>2917</v>
      </c>
      <c r="I43" s="1454" t="s">
        <v>2917</v>
      </c>
      <c r="J43" s="1454" t="s">
        <v>2917</v>
      </c>
      <c r="K43" s="1457">
        <v>0</v>
      </c>
      <c r="L43" s="1457">
        <v>12</v>
      </c>
      <c r="M43" s="1458">
        <v>180960.8</v>
      </c>
      <c r="N43" s="1457">
        <v>0</v>
      </c>
      <c r="O43" s="1457">
        <v>6</v>
      </c>
      <c r="P43" s="1459">
        <v>89180.4</v>
      </c>
    </row>
    <row r="44" spans="1:16">
      <c r="A44" s="1453" t="s">
        <v>4669</v>
      </c>
      <c r="B44" s="1453" t="s">
        <v>1880</v>
      </c>
      <c r="C44" s="1453" t="s">
        <v>504</v>
      </c>
      <c r="D44" s="1454" t="s">
        <v>4857</v>
      </c>
      <c r="E44" s="1455">
        <v>6000</v>
      </c>
      <c r="F44" s="1456" t="s">
        <v>4856</v>
      </c>
      <c r="G44" s="1454" t="s">
        <v>4855</v>
      </c>
      <c r="H44" s="1454" t="s">
        <v>2917</v>
      </c>
      <c r="I44" s="1454" t="s">
        <v>2917</v>
      </c>
      <c r="J44" s="1454" t="s">
        <v>2917</v>
      </c>
      <c r="K44" s="1457">
        <v>4</v>
      </c>
      <c r="L44" s="1457">
        <v>12</v>
      </c>
      <c r="M44" s="1458">
        <v>73343.72</v>
      </c>
      <c r="N44" s="1457">
        <v>1</v>
      </c>
      <c r="O44" s="1457">
        <v>6</v>
      </c>
      <c r="P44" s="1459">
        <v>36764.1</v>
      </c>
    </row>
    <row r="45" spans="1:16" ht="36">
      <c r="A45" s="1453" t="s">
        <v>4669</v>
      </c>
      <c r="B45" s="1453" t="s">
        <v>1880</v>
      </c>
      <c r="C45" s="1453" t="s">
        <v>504</v>
      </c>
      <c r="D45" s="1454" t="s">
        <v>4854</v>
      </c>
      <c r="E45" s="1455">
        <v>6000</v>
      </c>
      <c r="F45" s="1456" t="s">
        <v>4853</v>
      </c>
      <c r="G45" s="1454" t="s">
        <v>4852</v>
      </c>
      <c r="H45" s="1454" t="s">
        <v>4851</v>
      </c>
      <c r="I45" s="1454" t="s">
        <v>4850</v>
      </c>
      <c r="J45" s="1454" t="s">
        <v>4723</v>
      </c>
      <c r="K45" s="1457">
        <v>4</v>
      </c>
      <c r="L45" s="1457">
        <v>10</v>
      </c>
      <c r="M45" s="1458">
        <v>65764.149999999994</v>
      </c>
      <c r="N45" s="1457">
        <v>0</v>
      </c>
      <c r="O45" s="1457">
        <v>0</v>
      </c>
      <c r="P45" s="1459">
        <v>0</v>
      </c>
    </row>
    <row r="46" spans="1:16" ht="24">
      <c r="A46" s="1453" t="s">
        <v>4669</v>
      </c>
      <c r="B46" s="1453" t="s">
        <v>1880</v>
      </c>
      <c r="C46" s="1453" t="s">
        <v>504</v>
      </c>
      <c r="D46" s="1454" t="s">
        <v>4821</v>
      </c>
      <c r="E46" s="1455">
        <v>7000</v>
      </c>
      <c r="F46" s="1456" t="s">
        <v>4849</v>
      </c>
      <c r="G46" s="1454" t="s">
        <v>4848</v>
      </c>
      <c r="H46" s="1454" t="s">
        <v>4847</v>
      </c>
      <c r="I46" s="1454" t="s">
        <v>4711</v>
      </c>
      <c r="J46" s="1454" t="s">
        <v>4711</v>
      </c>
      <c r="K46" s="1457">
        <v>3</v>
      </c>
      <c r="L46" s="1457">
        <v>8</v>
      </c>
      <c r="M46" s="1458">
        <v>55634.850000000006</v>
      </c>
      <c r="N46" s="1457">
        <v>1</v>
      </c>
      <c r="O46" s="1457">
        <v>6</v>
      </c>
      <c r="P46" s="1459">
        <v>42375.61</v>
      </c>
    </row>
    <row r="47" spans="1:16">
      <c r="A47" s="1453" t="s">
        <v>4669</v>
      </c>
      <c r="B47" s="1453" t="s">
        <v>1880</v>
      </c>
      <c r="C47" s="1453" t="s">
        <v>504</v>
      </c>
      <c r="D47" s="1454" t="s">
        <v>4594</v>
      </c>
      <c r="E47" s="1455">
        <v>7000</v>
      </c>
      <c r="F47" s="1456" t="s">
        <v>4846</v>
      </c>
      <c r="G47" s="1454" t="s">
        <v>4845</v>
      </c>
      <c r="H47" s="1454" t="s">
        <v>4707</v>
      </c>
      <c r="I47" s="1454" t="s">
        <v>4707</v>
      </c>
      <c r="J47" s="1454" t="s">
        <v>4707</v>
      </c>
      <c r="K47" s="1457">
        <v>4</v>
      </c>
      <c r="L47" s="1457">
        <v>12</v>
      </c>
      <c r="M47" s="1458">
        <v>95417.46</v>
      </c>
      <c r="N47" s="1457">
        <v>1</v>
      </c>
      <c r="O47" s="1457">
        <v>6</v>
      </c>
      <c r="P47" s="1459">
        <v>42680.4</v>
      </c>
    </row>
    <row r="48" spans="1:16">
      <c r="A48" s="1453" t="s">
        <v>4669</v>
      </c>
      <c r="B48" s="1453" t="s">
        <v>1880</v>
      </c>
      <c r="C48" s="1453" t="s">
        <v>504</v>
      </c>
      <c r="D48" s="1454" t="s">
        <v>4819</v>
      </c>
      <c r="E48" s="1455">
        <v>6000</v>
      </c>
      <c r="F48" s="1456" t="s">
        <v>4844</v>
      </c>
      <c r="G48" s="1454" t="s">
        <v>4843</v>
      </c>
      <c r="H48" s="1454" t="s">
        <v>2917</v>
      </c>
      <c r="I48" s="1454" t="s">
        <v>2917</v>
      </c>
      <c r="J48" s="1454" t="s">
        <v>2917</v>
      </c>
      <c r="K48" s="1457">
        <v>4</v>
      </c>
      <c r="L48" s="1457">
        <v>11</v>
      </c>
      <c r="M48" s="1458">
        <v>65811.149999999994</v>
      </c>
      <c r="N48" s="1457">
        <v>1</v>
      </c>
      <c r="O48" s="1457">
        <v>6</v>
      </c>
      <c r="P48" s="1459">
        <v>36362.450000000004</v>
      </c>
    </row>
    <row r="49" spans="1:16">
      <c r="A49" s="1453" t="s">
        <v>4669</v>
      </c>
      <c r="B49" s="1453" t="s">
        <v>1880</v>
      </c>
      <c r="C49" s="1453" t="s">
        <v>504</v>
      </c>
      <c r="D49" s="1454" t="s">
        <v>4842</v>
      </c>
      <c r="E49" s="1455">
        <v>4000</v>
      </c>
      <c r="F49" s="1456" t="s">
        <v>4841</v>
      </c>
      <c r="G49" s="1454" t="s">
        <v>4840</v>
      </c>
      <c r="H49" s="1454" t="s">
        <v>4623</v>
      </c>
      <c r="I49" s="1454" t="s">
        <v>2917</v>
      </c>
      <c r="J49" s="1454" t="s">
        <v>2917</v>
      </c>
      <c r="K49" s="1457">
        <v>1</v>
      </c>
      <c r="L49" s="1457">
        <v>2</v>
      </c>
      <c r="M49" s="1458">
        <v>9293.4599999999991</v>
      </c>
      <c r="N49" s="1457">
        <v>2</v>
      </c>
      <c r="O49" s="1457">
        <v>6</v>
      </c>
      <c r="P49" s="1459">
        <v>23856.840000000004</v>
      </c>
    </row>
    <row r="50" spans="1:16" ht="48">
      <c r="A50" s="1453" t="s">
        <v>4669</v>
      </c>
      <c r="B50" s="1453" t="s">
        <v>1880</v>
      </c>
      <c r="C50" s="1453" t="s">
        <v>504</v>
      </c>
      <c r="D50" s="1454" t="s">
        <v>4839</v>
      </c>
      <c r="E50" s="1455">
        <v>7000</v>
      </c>
      <c r="F50" s="1456" t="s">
        <v>4838</v>
      </c>
      <c r="G50" s="1454" t="s">
        <v>4837</v>
      </c>
      <c r="H50" s="1454" t="s">
        <v>4836</v>
      </c>
      <c r="I50" s="1454" t="s">
        <v>4711</v>
      </c>
      <c r="J50" s="1454" t="s">
        <v>4711</v>
      </c>
      <c r="K50" s="1457">
        <v>4</v>
      </c>
      <c r="L50" s="1457">
        <v>12</v>
      </c>
      <c r="M50" s="1458">
        <v>85960.8</v>
      </c>
      <c r="N50" s="1457">
        <v>1</v>
      </c>
      <c r="O50" s="1457">
        <v>6</v>
      </c>
      <c r="P50" s="1459">
        <v>42680.4</v>
      </c>
    </row>
    <row r="51" spans="1:16" ht="24">
      <c r="A51" s="1453" t="s">
        <v>4669</v>
      </c>
      <c r="B51" s="1453" t="s">
        <v>1880</v>
      </c>
      <c r="C51" s="1453" t="s">
        <v>504</v>
      </c>
      <c r="D51" s="1454" t="s">
        <v>4835</v>
      </c>
      <c r="E51" s="1455">
        <v>5000</v>
      </c>
      <c r="F51" s="1456" t="s">
        <v>4834</v>
      </c>
      <c r="G51" s="1454" t="s">
        <v>4833</v>
      </c>
      <c r="H51" s="1454" t="s">
        <v>4832</v>
      </c>
      <c r="I51" s="1454" t="s">
        <v>4692</v>
      </c>
      <c r="J51" s="1454" t="s">
        <v>4692</v>
      </c>
      <c r="K51" s="1457">
        <v>4</v>
      </c>
      <c r="L51" s="1457">
        <v>12</v>
      </c>
      <c r="M51" s="1458">
        <v>61360.800000000003</v>
      </c>
      <c r="N51" s="1457">
        <v>1</v>
      </c>
      <c r="O51" s="1457">
        <v>6</v>
      </c>
      <c r="P51" s="1459">
        <v>30680.400000000001</v>
      </c>
    </row>
    <row r="52" spans="1:16" ht="24">
      <c r="A52" s="1453" t="s">
        <v>4669</v>
      </c>
      <c r="B52" s="1453" t="s">
        <v>1880</v>
      </c>
      <c r="C52" s="1453" t="s">
        <v>504</v>
      </c>
      <c r="D52" s="1454" t="s">
        <v>4831</v>
      </c>
      <c r="E52" s="1455">
        <v>3700</v>
      </c>
      <c r="F52" s="1456" t="s">
        <v>4830</v>
      </c>
      <c r="G52" s="1454" t="s">
        <v>4829</v>
      </c>
      <c r="H52" s="1454" t="s">
        <v>4828</v>
      </c>
      <c r="I52" s="1454" t="s">
        <v>4573</v>
      </c>
      <c r="J52" s="1454" t="s">
        <v>4573</v>
      </c>
      <c r="K52" s="1457">
        <v>4</v>
      </c>
      <c r="L52" s="1457">
        <v>12</v>
      </c>
      <c r="M52" s="1458">
        <v>46197.960000000006</v>
      </c>
      <c r="N52" s="1457">
        <v>1</v>
      </c>
      <c r="O52" s="1457">
        <v>6</v>
      </c>
      <c r="P52" s="1459">
        <v>22865.760000000002</v>
      </c>
    </row>
    <row r="53" spans="1:16" ht="24">
      <c r="A53" s="1453" t="s">
        <v>4669</v>
      </c>
      <c r="B53" s="1453" t="s">
        <v>1880</v>
      </c>
      <c r="C53" s="1453" t="s">
        <v>504</v>
      </c>
      <c r="D53" s="1454" t="s">
        <v>4827</v>
      </c>
      <c r="E53" s="1455">
        <v>1650</v>
      </c>
      <c r="F53" s="1456" t="s">
        <v>4826</v>
      </c>
      <c r="G53" s="1454" t="s">
        <v>4825</v>
      </c>
      <c r="H53" s="1454" t="s">
        <v>1592</v>
      </c>
      <c r="I53" s="1454" t="s">
        <v>4824</v>
      </c>
      <c r="J53" s="1454" t="s">
        <v>4824</v>
      </c>
      <c r="K53" s="1457">
        <v>4</v>
      </c>
      <c r="L53" s="1457">
        <v>12</v>
      </c>
      <c r="M53" s="1458">
        <v>18834.129999999997</v>
      </c>
      <c r="N53" s="1457">
        <v>1</v>
      </c>
      <c r="O53" s="1457">
        <v>6</v>
      </c>
      <c r="P53" s="1459">
        <v>10580.4</v>
      </c>
    </row>
    <row r="54" spans="1:16" ht="24">
      <c r="A54" s="1453" t="s">
        <v>4669</v>
      </c>
      <c r="B54" s="1453" t="s">
        <v>1880</v>
      </c>
      <c r="C54" s="1453" t="s">
        <v>504</v>
      </c>
      <c r="D54" s="1454" t="s">
        <v>4793</v>
      </c>
      <c r="E54" s="1455">
        <v>4000</v>
      </c>
      <c r="F54" s="1456" t="s">
        <v>4823</v>
      </c>
      <c r="G54" s="1454" t="s">
        <v>4822</v>
      </c>
      <c r="H54" s="1454" t="s">
        <v>4682</v>
      </c>
      <c r="I54" s="1454" t="s">
        <v>4711</v>
      </c>
      <c r="J54" s="1454" t="s">
        <v>4711</v>
      </c>
      <c r="K54" s="1457">
        <v>1</v>
      </c>
      <c r="L54" s="1457">
        <v>2</v>
      </c>
      <c r="M54" s="1458">
        <v>9026.7999999999993</v>
      </c>
      <c r="N54" s="1457">
        <v>2</v>
      </c>
      <c r="O54" s="1457">
        <v>6</v>
      </c>
      <c r="P54" s="1459">
        <v>24680.400000000001</v>
      </c>
    </row>
    <row r="55" spans="1:16" ht="24">
      <c r="A55" s="1453" t="s">
        <v>4669</v>
      </c>
      <c r="B55" s="1453" t="s">
        <v>1880</v>
      </c>
      <c r="C55" s="1453" t="s">
        <v>504</v>
      </c>
      <c r="D55" s="1454" t="s">
        <v>4821</v>
      </c>
      <c r="E55" s="1455">
        <v>6500</v>
      </c>
      <c r="F55" s="1460" t="s">
        <v>976</v>
      </c>
      <c r="G55" s="1454" t="s">
        <v>4820</v>
      </c>
      <c r="H55" s="1454" t="s">
        <v>4560</v>
      </c>
      <c r="I55" s="1454" t="s">
        <v>4673</v>
      </c>
      <c r="J55" s="1454" t="s">
        <v>4673</v>
      </c>
      <c r="K55" s="1457">
        <v>1</v>
      </c>
      <c r="L55" s="1457">
        <v>2</v>
      </c>
      <c r="M55" s="1458">
        <v>20995.77</v>
      </c>
      <c r="N55" s="1457">
        <v>0</v>
      </c>
      <c r="O55" s="1457">
        <v>0</v>
      </c>
      <c r="P55" s="1459">
        <v>0</v>
      </c>
    </row>
    <row r="56" spans="1:16">
      <c r="A56" s="1453" t="s">
        <v>4669</v>
      </c>
      <c r="B56" s="1453" t="s">
        <v>1880</v>
      </c>
      <c r="C56" s="1453" t="s">
        <v>504</v>
      </c>
      <c r="D56" s="1454" t="s">
        <v>4819</v>
      </c>
      <c r="E56" s="1455">
        <v>6000</v>
      </c>
      <c r="F56" s="1456" t="s">
        <v>4818</v>
      </c>
      <c r="G56" s="1454" t="s">
        <v>4817</v>
      </c>
      <c r="H56" s="1454" t="s">
        <v>2917</v>
      </c>
      <c r="I56" s="1454" t="s">
        <v>2917</v>
      </c>
      <c r="J56" s="1454" t="s">
        <v>2917</v>
      </c>
      <c r="K56" s="1457">
        <v>1</v>
      </c>
      <c r="L56" s="1457">
        <v>2</v>
      </c>
      <c r="M56" s="1458">
        <v>11626.8</v>
      </c>
      <c r="N56" s="1457">
        <v>2</v>
      </c>
      <c r="O56" s="1457">
        <v>6</v>
      </c>
      <c r="P56" s="1459">
        <v>22853.599999999999</v>
      </c>
    </row>
    <row r="57" spans="1:16" ht="36">
      <c r="A57" s="1453" t="s">
        <v>4669</v>
      </c>
      <c r="B57" s="1453" t="s">
        <v>1880</v>
      </c>
      <c r="C57" s="1453" t="s">
        <v>504</v>
      </c>
      <c r="D57" s="1454" t="s">
        <v>4816</v>
      </c>
      <c r="E57" s="1455">
        <v>4000</v>
      </c>
      <c r="F57" s="1456" t="s">
        <v>4815</v>
      </c>
      <c r="G57" s="1454" t="s">
        <v>4814</v>
      </c>
      <c r="H57" s="1454" t="s">
        <v>4813</v>
      </c>
      <c r="I57" s="1454" t="s">
        <v>4573</v>
      </c>
      <c r="J57" s="1454" t="s">
        <v>4573</v>
      </c>
      <c r="K57" s="1457">
        <v>4</v>
      </c>
      <c r="L57" s="1457">
        <v>12</v>
      </c>
      <c r="M57" s="1458">
        <v>48895.020000000004</v>
      </c>
      <c r="N57" s="1457">
        <v>1</v>
      </c>
      <c r="O57" s="1457">
        <v>6</v>
      </c>
      <c r="P57" s="1459">
        <v>24515.68</v>
      </c>
    </row>
    <row r="58" spans="1:16" ht="36">
      <c r="A58" s="1453" t="s">
        <v>4669</v>
      </c>
      <c r="B58" s="1453" t="s">
        <v>1880</v>
      </c>
      <c r="C58" s="1453" t="s">
        <v>504</v>
      </c>
      <c r="D58" s="1454" t="s">
        <v>3478</v>
      </c>
      <c r="E58" s="1455">
        <v>8000</v>
      </c>
      <c r="F58" s="1456" t="s">
        <v>4812</v>
      </c>
      <c r="G58" s="1454" t="s">
        <v>4811</v>
      </c>
      <c r="H58" s="1454" t="s">
        <v>4712</v>
      </c>
      <c r="I58" s="1454" t="s">
        <v>4711</v>
      </c>
      <c r="J58" s="1454" t="s">
        <v>4711</v>
      </c>
      <c r="K58" s="1457">
        <v>2</v>
      </c>
      <c r="L58" s="1457">
        <v>5</v>
      </c>
      <c r="M58" s="1458">
        <v>37933.67</v>
      </c>
      <c r="N58" s="1457">
        <v>2</v>
      </c>
      <c r="O58" s="1457">
        <v>6</v>
      </c>
      <c r="P58" s="1459">
        <v>48542.720000000001</v>
      </c>
    </row>
    <row r="59" spans="1:16" ht="24">
      <c r="A59" s="1453" t="s">
        <v>4669</v>
      </c>
      <c r="B59" s="1453" t="s">
        <v>1880</v>
      </c>
      <c r="C59" s="1453" t="s">
        <v>504</v>
      </c>
      <c r="D59" s="1454" t="s">
        <v>4810</v>
      </c>
      <c r="E59" s="1455">
        <v>2700</v>
      </c>
      <c r="F59" s="1460" t="s">
        <v>4809</v>
      </c>
      <c r="G59" s="1454" t="s">
        <v>4808</v>
      </c>
      <c r="H59" s="1454" t="s">
        <v>4807</v>
      </c>
      <c r="I59" s="1454" t="s">
        <v>4806</v>
      </c>
      <c r="J59" s="1454" t="s">
        <v>4673</v>
      </c>
      <c r="K59" s="1457">
        <v>1</v>
      </c>
      <c r="L59" s="1457">
        <v>2</v>
      </c>
      <c r="M59" s="1458">
        <v>5765.55</v>
      </c>
      <c r="N59" s="1457">
        <v>0</v>
      </c>
      <c r="O59" s="1457">
        <v>0</v>
      </c>
      <c r="P59" s="1459">
        <v>0</v>
      </c>
    </row>
    <row r="60" spans="1:16">
      <c r="A60" s="1453" t="s">
        <v>4669</v>
      </c>
      <c r="B60" s="1453" t="s">
        <v>1880</v>
      </c>
      <c r="C60" s="1453" t="s">
        <v>504</v>
      </c>
      <c r="D60" s="1461" t="s">
        <v>4805</v>
      </c>
      <c r="E60" s="1455">
        <v>7500</v>
      </c>
      <c r="F60" s="1456" t="s">
        <v>4804</v>
      </c>
      <c r="G60" s="1454" t="s">
        <v>4803</v>
      </c>
      <c r="H60" s="1454" t="s">
        <v>2917</v>
      </c>
      <c r="I60" s="1454" t="s">
        <v>2917</v>
      </c>
      <c r="J60" s="1454" t="s">
        <v>2917</v>
      </c>
      <c r="K60" s="1457">
        <v>0</v>
      </c>
      <c r="L60" s="1457">
        <v>0</v>
      </c>
      <c r="M60" s="1458">
        <v>0</v>
      </c>
      <c r="N60" s="1457">
        <v>1</v>
      </c>
      <c r="O60" s="1457">
        <v>6</v>
      </c>
      <c r="P60" s="1459">
        <v>44398</v>
      </c>
    </row>
    <row r="61" spans="1:16" ht="24">
      <c r="A61" s="1453" t="s">
        <v>4669</v>
      </c>
      <c r="B61" s="1453" t="s">
        <v>1880</v>
      </c>
      <c r="C61" s="1453" t="s">
        <v>504</v>
      </c>
      <c r="D61" s="1454" t="s">
        <v>4802</v>
      </c>
      <c r="E61" s="1455">
        <v>5500</v>
      </c>
      <c r="F61" s="1456" t="s">
        <v>4801</v>
      </c>
      <c r="G61" s="1454" t="s">
        <v>4800</v>
      </c>
      <c r="H61" s="1454" t="s">
        <v>4707</v>
      </c>
      <c r="I61" s="1454" t="s">
        <v>4707</v>
      </c>
      <c r="J61" s="1454" t="s">
        <v>4707</v>
      </c>
      <c r="K61" s="1457">
        <v>1</v>
      </c>
      <c r="L61" s="1457">
        <v>3</v>
      </c>
      <c r="M61" s="1458">
        <v>15440.2</v>
      </c>
      <c r="N61" s="1457">
        <v>2</v>
      </c>
      <c r="O61" s="1457">
        <v>6</v>
      </c>
      <c r="P61" s="1459">
        <v>33400.83</v>
      </c>
    </row>
    <row r="62" spans="1:16">
      <c r="A62" s="1453" t="s">
        <v>4669</v>
      </c>
      <c r="B62" s="1453" t="s">
        <v>1880</v>
      </c>
      <c r="C62" s="1453" t="s">
        <v>504</v>
      </c>
      <c r="D62" s="1454" t="s">
        <v>4799</v>
      </c>
      <c r="E62" s="1455">
        <v>4000</v>
      </c>
      <c r="F62" s="1456" t="s">
        <v>4798</v>
      </c>
      <c r="G62" s="1454" t="s">
        <v>4795</v>
      </c>
      <c r="H62" s="1454" t="s">
        <v>4794</v>
      </c>
      <c r="I62" s="1454" t="s">
        <v>4711</v>
      </c>
      <c r="J62" s="1454" t="s">
        <v>4711</v>
      </c>
      <c r="K62" s="1457">
        <v>2</v>
      </c>
      <c r="L62" s="1457">
        <v>5</v>
      </c>
      <c r="M62" s="1458">
        <v>18054.989999999998</v>
      </c>
      <c r="N62" s="1457">
        <v>0</v>
      </c>
      <c r="O62" s="1457">
        <v>0</v>
      </c>
      <c r="P62" s="1459">
        <v>0</v>
      </c>
    </row>
    <row r="63" spans="1:16">
      <c r="A63" s="1453" t="s">
        <v>4669</v>
      </c>
      <c r="B63" s="1453" t="s">
        <v>1880</v>
      </c>
      <c r="C63" s="1453" t="s">
        <v>504</v>
      </c>
      <c r="D63" s="1454" t="s">
        <v>4797</v>
      </c>
      <c r="E63" s="1455">
        <v>5500</v>
      </c>
      <c r="F63" s="1456" t="s">
        <v>4796</v>
      </c>
      <c r="G63" s="1454" t="s">
        <v>4795</v>
      </c>
      <c r="H63" s="1454" t="s">
        <v>4794</v>
      </c>
      <c r="I63" s="1454" t="s">
        <v>4711</v>
      </c>
      <c r="J63" s="1454" t="s">
        <v>4711</v>
      </c>
      <c r="K63" s="1457">
        <v>0</v>
      </c>
      <c r="L63" s="1457">
        <v>0</v>
      </c>
      <c r="M63" s="1458">
        <v>0</v>
      </c>
      <c r="N63" s="1457">
        <v>1</v>
      </c>
      <c r="O63" s="1457">
        <v>1</v>
      </c>
      <c r="P63" s="1459">
        <v>0</v>
      </c>
    </row>
    <row r="64" spans="1:16" ht="24">
      <c r="A64" s="1453" t="s">
        <v>4669</v>
      </c>
      <c r="B64" s="1453" t="s">
        <v>1880</v>
      </c>
      <c r="C64" s="1453" t="s">
        <v>504</v>
      </c>
      <c r="D64" s="1454" t="s">
        <v>4793</v>
      </c>
      <c r="E64" s="1455">
        <v>4500</v>
      </c>
      <c r="F64" s="1456" t="s">
        <v>4792</v>
      </c>
      <c r="G64" s="1454" t="s">
        <v>4791</v>
      </c>
      <c r="H64" s="1454" t="s">
        <v>4790</v>
      </c>
      <c r="I64" s="1454" t="s">
        <v>4673</v>
      </c>
      <c r="J64" s="1454" t="s">
        <v>4673</v>
      </c>
      <c r="K64" s="1457">
        <v>4</v>
      </c>
      <c r="L64" s="1457">
        <v>10</v>
      </c>
      <c r="M64" s="1458">
        <v>45220.36</v>
      </c>
      <c r="N64" s="1457">
        <v>0</v>
      </c>
      <c r="O64" s="1457">
        <v>0</v>
      </c>
      <c r="P64" s="1459">
        <v>0</v>
      </c>
    </row>
    <row r="65" spans="1:16" ht="24">
      <c r="A65" s="1453" t="s">
        <v>4669</v>
      </c>
      <c r="B65" s="1453" t="s">
        <v>1880</v>
      </c>
      <c r="C65" s="1453" t="s">
        <v>504</v>
      </c>
      <c r="D65" s="1461" t="s">
        <v>4789</v>
      </c>
      <c r="E65" s="1455">
        <v>7200</v>
      </c>
      <c r="F65" s="1460" t="s">
        <v>4788</v>
      </c>
      <c r="G65" s="1454" t="s">
        <v>4787</v>
      </c>
      <c r="H65" s="1454" t="s">
        <v>4665</v>
      </c>
      <c r="I65" s="1454" t="s">
        <v>4573</v>
      </c>
      <c r="J65" s="1454" t="s">
        <v>4573</v>
      </c>
      <c r="K65" s="1457">
        <v>0</v>
      </c>
      <c r="L65" s="1457">
        <v>0</v>
      </c>
      <c r="M65" s="1458">
        <v>0</v>
      </c>
      <c r="N65" s="1457">
        <v>1</v>
      </c>
      <c r="O65" s="1457">
        <v>4</v>
      </c>
      <c r="P65" s="1459">
        <v>29013.599999999999</v>
      </c>
    </row>
    <row r="66" spans="1:16" ht="36">
      <c r="A66" s="1453" t="s">
        <v>4669</v>
      </c>
      <c r="B66" s="1453" t="s">
        <v>1880</v>
      </c>
      <c r="C66" s="1453" t="s">
        <v>504</v>
      </c>
      <c r="D66" s="1461" t="s">
        <v>4786</v>
      </c>
      <c r="E66" s="1455">
        <v>10000</v>
      </c>
      <c r="F66" s="1456" t="s">
        <v>4785</v>
      </c>
      <c r="G66" s="1454" t="s">
        <v>4784</v>
      </c>
      <c r="H66" s="1454" t="s">
        <v>4760</v>
      </c>
      <c r="I66" s="1454" t="s">
        <v>4673</v>
      </c>
      <c r="J66" s="1454" t="s">
        <v>4673</v>
      </c>
      <c r="K66" s="1457">
        <v>1</v>
      </c>
      <c r="L66" s="1457">
        <v>4</v>
      </c>
      <c r="M66" s="1458">
        <v>50900.32</v>
      </c>
      <c r="N66" s="1457">
        <v>0</v>
      </c>
      <c r="O66" s="1457">
        <v>0</v>
      </c>
      <c r="P66" s="1459">
        <v>0</v>
      </c>
    </row>
    <row r="67" spans="1:16" ht="36">
      <c r="A67" s="1453" t="s">
        <v>4669</v>
      </c>
      <c r="B67" s="1453" t="s">
        <v>1880</v>
      </c>
      <c r="C67" s="1453" t="s">
        <v>504</v>
      </c>
      <c r="D67" s="1454" t="s">
        <v>4783</v>
      </c>
      <c r="E67" s="1455">
        <v>4500</v>
      </c>
      <c r="F67" s="1456" t="s">
        <v>4782</v>
      </c>
      <c r="G67" s="1454" t="s">
        <v>4781</v>
      </c>
      <c r="H67" s="1454" t="s">
        <v>4780</v>
      </c>
      <c r="I67" s="1454" t="s">
        <v>4759</v>
      </c>
      <c r="J67" s="1454" t="s">
        <v>4759</v>
      </c>
      <c r="K67" s="1457">
        <v>4</v>
      </c>
      <c r="L67" s="1457">
        <v>12</v>
      </c>
      <c r="M67" s="1458">
        <v>61919.130000000005</v>
      </c>
      <c r="N67" s="1457">
        <v>2</v>
      </c>
      <c r="O67" s="1457">
        <v>6</v>
      </c>
      <c r="P67" s="1459">
        <v>31914.800000000003</v>
      </c>
    </row>
    <row r="68" spans="1:16" ht="36">
      <c r="A68" s="1453" t="s">
        <v>4669</v>
      </c>
      <c r="B68" s="1453" t="s">
        <v>1880</v>
      </c>
      <c r="C68" s="1453" t="s">
        <v>504</v>
      </c>
      <c r="D68" s="1454" t="s">
        <v>4779</v>
      </c>
      <c r="E68" s="1455">
        <v>7000</v>
      </c>
      <c r="F68" s="1456" t="s">
        <v>4778</v>
      </c>
      <c r="G68" s="1454" t="s">
        <v>4777</v>
      </c>
      <c r="H68" s="1454" t="s">
        <v>4776</v>
      </c>
      <c r="I68" s="1454" t="s">
        <v>4711</v>
      </c>
      <c r="J68" s="1454" t="s">
        <v>4711</v>
      </c>
      <c r="K68" s="1457">
        <v>4</v>
      </c>
      <c r="L68" s="1457">
        <v>12</v>
      </c>
      <c r="M68" s="1458">
        <v>94797.390000000014</v>
      </c>
      <c r="N68" s="1457">
        <v>0</v>
      </c>
      <c r="O68" s="1457">
        <v>0</v>
      </c>
      <c r="P68" s="1459">
        <v>0</v>
      </c>
    </row>
    <row r="69" spans="1:16" ht="24">
      <c r="A69" s="1453" t="s">
        <v>4669</v>
      </c>
      <c r="B69" s="1453" t="s">
        <v>1880</v>
      </c>
      <c r="C69" s="1453" t="s">
        <v>504</v>
      </c>
      <c r="D69" s="1461" t="s">
        <v>4775</v>
      </c>
      <c r="E69" s="1455">
        <v>5500</v>
      </c>
      <c r="F69" s="1456" t="s">
        <v>4774</v>
      </c>
      <c r="G69" s="1454" t="s">
        <v>4773</v>
      </c>
      <c r="H69" s="1454" t="s">
        <v>4665</v>
      </c>
      <c r="I69" s="1454" t="s">
        <v>4573</v>
      </c>
      <c r="J69" s="1454" t="s">
        <v>4573</v>
      </c>
      <c r="K69" s="1457">
        <v>1</v>
      </c>
      <c r="L69" s="1457">
        <v>3</v>
      </c>
      <c r="M69" s="1458">
        <v>15740.2</v>
      </c>
      <c r="N69" s="1457">
        <v>1</v>
      </c>
      <c r="O69" s="1457">
        <v>3</v>
      </c>
      <c r="P69" s="1459">
        <v>16786.350000000002</v>
      </c>
    </row>
    <row r="70" spans="1:16" ht="36">
      <c r="A70" s="1453" t="s">
        <v>4669</v>
      </c>
      <c r="B70" s="1453" t="s">
        <v>1880</v>
      </c>
      <c r="C70" s="1453" t="s">
        <v>504</v>
      </c>
      <c r="D70" s="1454" t="s">
        <v>4756</v>
      </c>
      <c r="E70" s="1455">
        <v>3700</v>
      </c>
      <c r="F70" s="1456" t="s">
        <v>4772</v>
      </c>
      <c r="G70" s="1454" t="s">
        <v>4771</v>
      </c>
      <c r="H70" s="1454" t="s">
        <v>4770</v>
      </c>
      <c r="I70" s="1454" t="s">
        <v>4692</v>
      </c>
      <c r="J70" s="1454" t="s">
        <v>4692</v>
      </c>
      <c r="K70" s="1457">
        <v>3</v>
      </c>
      <c r="L70" s="1457">
        <v>7</v>
      </c>
      <c r="M70" s="1458">
        <v>29884.040000000005</v>
      </c>
      <c r="N70" s="1457">
        <v>0</v>
      </c>
      <c r="O70" s="1457">
        <v>0</v>
      </c>
      <c r="P70" s="1459">
        <v>0</v>
      </c>
    </row>
    <row r="71" spans="1:16" ht="36">
      <c r="A71" s="1453" t="s">
        <v>4669</v>
      </c>
      <c r="B71" s="1453" t="s">
        <v>1880</v>
      </c>
      <c r="C71" s="1453" t="s">
        <v>504</v>
      </c>
      <c r="D71" s="1461" t="s">
        <v>4769</v>
      </c>
      <c r="E71" s="1455">
        <v>8500</v>
      </c>
      <c r="F71" s="1456" t="s">
        <v>4768</v>
      </c>
      <c r="G71" s="1454" t="s">
        <v>4767</v>
      </c>
      <c r="H71" s="1454" t="s">
        <v>4766</v>
      </c>
      <c r="I71" s="1454" t="s">
        <v>4673</v>
      </c>
      <c r="J71" s="1454" t="s">
        <v>4673</v>
      </c>
      <c r="K71" s="1457">
        <v>0</v>
      </c>
      <c r="L71" s="1457">
        <v>0</v>
      </c>
      <c r="M71" s="1458">
        <v>0</v>
      </c>
      <c r="N71" s="1457">
        <v>1</v>
      </c>
      <c r="O71" s="1457">
        <v>3</v>
      </c>
      <c r="P71" s="1459">
        <v>20060.13</v>
      </c>
    </row>
    <row r="72" spans="1:16" ht="36">
      <c r="A72" s="1453" t="s">
        <v>4669</v>
      </c>
      <c r="B72" s="1453" t="s">
        <v>1880</v>
      </c>
      <c r="C72" s="1453" t="s">
        <v>504</v>
      </c>
      <c r="D72" s="1454" t="s">
        <v>4727</v>
      </c>
      <c r="E72" s="1455">
        <v>8600</v>
      </c>
      <c r="F72" s="1456" t="s">
        <v>4765</v>
      </c>
      <c r="G72" s="1454" t="s">
        <v>4764</v>
      </c>
      <c r="H72" s="1454" t="s">
        <v>4763</v>
      </c>
      <c r="I72" s="1454" t="s">
        <v>4711</v>
      </c>
      <c r="J72" s="1454" t="s">
        <v>4711</v>
      </c>
      <c r="K72" s="1457">
        <v>1</v>
      </c>
      <c r="L72" s="1457">
        <v>8</v>
      </c>
      <c r="M72" s="1458">
        <v>69420.53</v>
      </c>
      <c r="N72" s="1457">
        <v>0</v>
      </c>
      <c r="O72" s="1457">
        <v>6</v>
      </c>
      <c r="P72" s="1459">
        <v>52280.4</v>
      </c>
    </row>
    <row r="73" spans="1:16">
      <c r="A73" s="1453" t="s">
        <v>4669</v>
      </c>
      <c r="B73" s="1453" t="s">
        <v>1880</v>
      </c>
      <c r="C73" s="1453" t="s">
        <v>504</v>
      </c>
      <c r="D73" s="1454" t="s">
        <v>4677</v>
      </c>
      <c r="E73" s="1455">
        <v>6500</v>
      </c>
      <c r="F73" s="1456" t="s">
        <v>4762</v>
      </c>
      <c r="G73" s="1454" t="s">
        <v>4761</v>
      </c>
      <c r="H73" s="1454" t="s">
        <v>4760</v>
      </c>
      <c r="I73" s="1454" t="s">
        <v>4759</v>
      </c>
      <c r="J73" s="1454" t="s">
        <v>4759</v>
      </c>
      <c r="K73" s="1457">
        <v>4</v>
      </c>
      <c r="L73" s="1457">
        <v>12</v>
      </c>
      <c r="M73" s="1458">
        <v>79877.290000000008</v>
      </c>
      <c r="N73" s="1457">
        <v>1</v>
      </c>
      <c r="O73" s="1457">
        <v>6</v>
      </c>
      <c r="P73" s="1459">
        <v>39680.400000000001</v>
      </c>
    </row>
    <row r="74" spans="1:16" ht="36">
      <c r="A74" s="1453" t="s">
        <v>4669</v>
      </c>
      <c r="B74" s="1453" t="s">
        <v>1880</v>
      </c>
      <c r="C74" s="1453" t="s">
        <v>504</v>
      </c>
      <c r="D74" s="1463" t="s">
        <v>3478</v>
      </c>
      <c r="E74" s="1455">
        <v>9000</v>
      </c>
      <c r="F74" s="1456" t="s">
        <v>4758</v>
      </c>
      <c r="G74" s="1454" t="s">
        <v>4757</v>
      </c>
      <c r="H74" s="1454" t="s">
        <v>4623</v>
      </c>
      <c r="I74" s="1454" t="s">
        <v>4623</v>
      </c>
      <c r="J74" s="1454" t="s">
        <v>4623</v>
      </c>
      <c r="K74" s="1457">
        <v>4</v>
      </c>
      <c r="L74" s="1457">
        <v>12</v>
      </c>
      <c r="M74" s="1458">
        <v>109322.02000000002</v>
      </c>
      <c r="N74" s="1457">
        <v>1</v>
      </c>
      <c r="O74" s="1457">
        <v>3</v>
      </c>
      <c r="P74" s="1459">
        <v>36048.109999999993</v>
      </c>
    </row>
    <row r="75" spans="1:16" ht="36">
      <c r="A75" s="1453" t="s">
        <v>4669</v>
      </c>
      <c r="B75" s="1453" t="s">
        <v>1880</v>
      </c>
      <c r="C75" s="1453" t="s">
        <v>504</v>
      </c>
      <c r="D75" s="1454" t="s">
        <v>4756</v>
      </c>
      <c r="E75" s="1455">
        <v>6500</v>
      </c>
      <c r="F75" s="1456" t="s">
        <v>4755</v>
      </c>
      <c r="G75" s="1454" t="s">
        <v>4754</v>
      </c>
      <c r="H75" s="1454" t="s">
        <v>4753</v>
      </c>
      <c r="I75" s="1454" t="s">
        <v>4753</v>
      </c>
      <c r="J75" s="1454" t="s">
        <v>4753</v>
      </c>
      <c r="K75" s="1457">
        <v>3</v>
      </c>
      <c r="L75" s="1457">
        <v>9</v>
      </c>
      <c r="M75" s="1458">
        <v>65319.41</v>
      </c>
      <c r="N75" s="1457">
        <v>0</v>
      </c>
      <c r="O75" s="1457">
        <v>0</v>
      </c>
      <c r="P75" s="1459">
        <v>0</v>
      </c>
    </row>
    <row r="76" spans="1:16" ht="24">
      <c r="A76" s="1453" t="s">
        <v>4669</v>
      </c>
      <c r="B76" s="1453" t="s">
        <v>1880</v>
      </c>
      <c r="C76" s="1453" t="s">
        <v>504</v>
      </c>
      <c r="D76" s="1454" t="s">
        <v>4752</v>
      </c>
      <c r="E76" s="1455">
        <v>7500</v>
      </c>
      <c r="F76" s="1456" t="s">
        <v>4751</v>
      </c>
      <c r="G76" s="1454" t="s">
        <v>4750</v>
      </c>
      <c r="H76" s="1454" t="s">
        <v>4560</v>
      </c>
      <c r="I76" s="1454" t="s">
        <v>4573</v>
      </c>
      <c r="J76" s="1454" t="s">
        <v>4573</v>
      </c>
      <c r="K76" s="1457">
        <v>4</v>
      </c>
      <c r="L76" s="1457">
        <v>12</v>
      </c>
      <c r="M76" s="1458">
        <v>88909.119999999995</v>
      </c>
      <c r="N76" s="1457">
        <v>1</v>
      </c>
      <c r="O76" s="1457">
        <v>6</v>
      </c>
      <c r="P76" s="1459">
        <v>45680.4</v>
      </c>
    </row>
    <row r="77" spans="1:16" ht="24">
      <c r="A77" s="1453" t="s">
        <v>4669</v>
      </c>
      <c r="B77" s="1453" t="s">
        <v>1880</v>
      </c>
      <c r="C77" s="1453" t="s">
        <v>504</v>
      </c>
      <c r="D77" s="1461" t="s">
        <v>4749</v>
      </c>
      <c r="E77" s="1455">
        <v>4300</v>
      </c>
      <c r="F77" s="1460" t="s">
        <v>4748</v>
      </c>
      <c r="G77" s="1454" t="s">
        <v>4747</v>
      </c>
      <c r="H77" s="1454" t="s">
        <v>4746</v>
      </c>
      <c r="I77" s="1454" t="s">
        <v>4692</v>
      </c>
      <c r="J77" s="1454" t="s">
        <v>4692</v>
      </c>
      <c r="K77" s="1457">
        <v>3</v>
      </c>
      <c r="L77" s="1457">
        <v>8</v>
      </c>
      <c r="M77" s="1458">
        <v>35136.090000000004</v>
      </c>
      <c r="N77" s="1457">
        <v>1</v>
      </c>
      <c r="O77" s="1457">
        <v>6</v>
      </c>
      <c r="P77" s="1459">
        <v>26480.400000000001</v>
      </c>
    </row>
    <row r="78" spans="1:16" ht="24">
      <c r="A78" s="1453" t="s">
        <v>4669</v>
      </c>
      <c r="B78" s="1453" t="s">
        <v>1880</v>
      </c>
      <c r="C78" s="1453" t="s">
        <v>504</v>
      </c>
      <c r="D78" s="1454" t="s">
        <v>4745</v>
      </c>
      <c r="E78" s="1455">
        <v>12000</v>
      </c>
      <c r="F78" s="1456" t="s">
        <v>4744</v>
      </c>
      <c r="G78" s="1454" t="s">
        <v>4743</v>
      </c>
      <c r="H78" s="1454" t="s">
        <v>2917</v>
      </c>
      <c r="I78" s="1454" t="s">
        <v>2917</v>
      </c>
      <c r="J78" s="1454" t="s">
        <v>2917</v>
      </c>
      <c r="K78" s="1457">
        <v>0</v>
      </c>
      <c r="L78" s="1457">
        <v>12</v>
      </c>
      <c r="M78" s="1458">
        <v>145960.79999999999</v>
      </c>
      <c r="N78" s="1457">
        <v>0</v>
      </c>
      <c r="O78" s="1457">
        <v>6</v>
      </c>
      <c r="P78" s="1459">
        <v>72680.399999999994</v>
      </c>
    </row>
    <row r="79" spans="1:16" ht="36">
      <c r="A79" s="1453" t="s">
        <v>4669</v>
      </c>
      <c r="B79" s="1453" t="s">
        <v>1880</v>
      </c>
      <c r="C79" s="1453" t="s">
        <v>504</v>
      </c>
      <c r="D79" s="1454" t="s">
        <v>4742</v>
      </c>
      <c r="E79" s="1455">
        <v>7000</v>
      </c>
      <c r="F79" s="1456" t="s">
        <v>702</v>
      </c>
      <c r="G79" s="1454" t="s">
        <v>4741</v>
      </c>
      <c r="H79" s="1454" t="s">
        <v>4740</v>
      </c>
      <c r="I79" s="1454" t="s">
        <v>4723</v>
      </c>
      <c r="J79" s="1454" t="s">
        <v>4673</v>
      </c>
      <c r="K79" s="1457">
        <v>1</v>
      </c>
      <c r="L79" s="1457">
        <v>2</v>
      </c>
      <c r="M79" s="1458">
        <v>14168.34</v>
      </c>
      <c r="N79" s="1457">
        <v>0</v>
      </c>
      <c r="O79" s="1457">
        <v>0</v>
      </c>
      <c r="P79" s="1459">
        <v>0</v>
      </c>
    </row>
    <row r="80" spans="1:16" ht="60">
      <c r="A80" s="1453" t="s">
        <v>4669</v>
      </c>
      <c r="B80" s="1453" t="s">
        <v>1880</v>
      </c>
      <c r="C80" s="1453" t="s">
        <v>504</v>
      </c>
      <c r="D80" s="1454" t="s">
        <v>4739</v>
      </c>
      <c r="E80" s="1455">
        <v>6000</v>
      </c>
      <c r="F80" s="1456" t="s">
        <v>4738</v>
      </c>
      <c r="G80" s="1454" t="s">
        <v>4737</v>
      </c>
      <c r="H80" s="1454" t="s">
        <v>4707</v>
      </c>
      <c r="I80" s="1454" t="s">
        <v>4707</v>
      </c>
      <c r="J80" s="1454" t="s">
        <v>4707</v>
      </c>
      <c r="K80" s="1457">
        <v>4</v>
      </c>
      <c r="L80" s="1457">
        <v>12</v>
      </c>
      <c r="M80" s="1458">
        <v>73870.38</v>
      </c>
      <c r="N80" s="1457">
        <v>1</v>
      </c>
      <c r="O80" s="1457">
        <v>6</v>
      </c>
      <c r="P80" s="1459">
        <v>36680.400000000001</v>
      </c>
    </row>
    <row r="81" spans="1:16" ht="24">
      <c r="A81" s="1453" t="s">
        <v>4669</v>
      </c>
      <c r="B81" s="1453" t="s">
        <v>1880</v>
      </c>
      <c r="C81" s="1453" t="s">
        <v>504</v>
      </c>
      <c r="D81" s="1454" t="s">
        <v>3231</v>
      </c>
      <c r="E81" s="1455">
        <v>3000</v>
      </c>
      <c r="F81" s="1456" t="s">
        <v>4736</v>
      </c>
      <c r="G81" s="1454" t="s">
        <v>4735</v>
      </c>
      <c r="H81" s="1454" t="s">
        <v>4734</v>
      </c>
      <c r="I81" s="1454" t="s">
        <v>4692</v>
      </c>
      <c r="J81" s="1454" t="s">
        <v>4692</v>
      </c>
      <c r="K81" s="1457">
        <v>4</v>
      </c>
      <c r="L81" s="1457">
        <v>12</v>
      </c>
      <c r="M81" s="1458">
        <v>37325.460000000006</v>
      </c>
      <c r="N81" s="1457">
        <v>1</v>
      </c>
      <c r="O81" s="1457">
        <v>6</v>
      </c>
      <c r="P81" s="1459">
        <v>18658.21</v>
      </c>
    </row>
    <row r="82" spans="1:16">
      <c r="A82" s="1453" t="s">
        <v>4669</v>
      </c>
      <c r="B82" s="1453" t="s">
        <v>1880</v>
      </c>
      <c r="C82" s="1453" t="s">
        <v>504</v>
      </c>
      <c r="D82" s="1454" t="s">
        <v>2688</v>
      </c>
      <c r="E82" s="1455">
        <v>10000</v>
      </c>
      <c r="F82" s="1456" t="s">
        <v>4733</v>
      </c>
      <c r="G82" s="1454" t="s">
        <v>4732</v>
      </c>
      <c r="H82" s="1454" t="s">
        <v>4707</v>
      </c>
      <c r="I82" s="1454" t="s">
        <v>4707</v>
      </c>
      <c r="J82" s="1454" t="s">
        <v>4707</v>
      </c>
      <c r="K82" s="1457">
        <v>4</v>
      </c>
      <c r="L82" s="1457">
        <v>12</v>
      </c>
      <c r="M82" s="1458">
        <v>139255.99</v>
      </c>
      <c r="N82" s="1457">
        <v>0</v>
      </c>
      <c r="O82" s="1457">
        <v>0</v>
      </c>
      <c r="P82" s="1459">
        <v>0</v>
      </c>
    </row>
    <row r="83" spans="1:16" ht="36">
      <c r="A83" s="1453" t="s">
        <v>4669</v>
      </c>
      <c r="B83" s="1453" t="s">
        <v>1880</v>
      </c>
      <c r="C83" s="1453" t="s">
        <v>504</v>
      </c>
      <c r="D83" s="1454" t="s">
        <v>4731</v>
      </c>
      <c r="E83" s="1455">
        <v>6000</v>
      </c>
      <c r="F83" s="1456" t="s">
        <v>4730</v>
      </c>
      <c r="G83" s="1454" t="s">
        <v>4729</v>
      </c>
      <c r="H83" s="1454" t="s">
        <v>4728</v>
      </c>
      <c r="I83" s="1454" t="s">
        <v>4723</v>
      </c>
      <c r="J83" s="1454" t="s">
        <v>4723</v>
      </c>
      <c r="K83" s="1457">
        <v>4</v>
      </c>
      <c r="L83" s="1457">
        <v>12</v>
      </c>
      <c r="M83" s="1458">
        <v>66731.64</v>
      </c>
      <c r="N83" s="1457">
        <v>1</v>
      </c>
      <c r="O83" s="1457">
        <v>6</v>
      </c>
      <c r="P83" s="1459">
        <v>36680.400000000001</v>
      </c>
    </row>
    <row r="84" spans="1:16" ht="36">
      <c r="A84" s="1453" t="s">
        <v>4669</v>
      </c>
      <c r="B84" s="1453" t="s">
        <v>1880</v>
      </c>
      <c r="C84" s="1453" t="s">
        <v>504</v>
      </c>
      <c r="D84" s="1454" t="s">
        <v>4727</v>
      </c>
      <c r="E84" s="1455">
        <v>10000</v>
      </c>
      <c r="F84" s="1460" t="s">
        <v>4726</v>
      </c>
      <c r="G84" s="1454" t="s">
        <v>4725</v>
      </c>
      <c r="H84" s="1454" t="s">
        <v>4724</v>
      </c>
      <c r="I84" s="1454" t="s">
        <v>4723</v>
      </c>
      <c r="J84" s="1454" t="s">
        <v>4723</v>
      </c>
      <c r="K84" s="1457">
        <v>1</v>
      </c>
      <c r="L84" s="1457">
        <v>4</v>
      </c>
      <c r="M84" s="1458">
        <v>43455.89</v>
      </c>
      <c r="N84" s="1457">
        <v>0</v>
      </c>
      <c r="O84" s="1457">
        <v>0</v>
      </c>
      <c r="P84" s="1459">
        <v>0</v>
      </c>
    </row>
    <row r="85" spans="1:16">
      <c r="A85" s="1453" t="s">
        <v>4669</v>
      </c>
      <c r="B85" s="1453" t="s">
        <v>1880</v>
      </c>
      <c r="C85" s="1453" t="s">
        <v>504</v>
      </c>
      <c r="D85" s="1454" t="s">
        <v>4685</v>
      </c>
      <c r="E85" s="1455">
        <v>2500</v>
      </c>
      <c r="F85" s="1456" t="s">
        <v>4722</v>
      </c>
      <c r="G85" s="1454" t="s">
        <v>4721</v>
      </c>
      <c r="H85" s="1454" t="s">
        <v>4689</v>
      </c>
      <c r="I85" s="1454" t="s">
        <v>1592</v>
      </c>
      <c r="J85" s="1454" t="s">
        <v>1592</v>
      </c>
      <c r="K85" s="1457">
        <v>2</v>
      </c>
      <c r="L85" s="1457">
        <v>5</v>
      </c>
      <c r="M85" s="1458">
        <v>14236.109999999999</v>
      </c>
      <c r="N85" s="1457">
        <v>0</v>
      </c>
      <c r="O85" s="1457">
        <v>0</v>
      </c>
      <c r="P85" s="1459">
        <v>0</v>
      </c>
    </row>
    <row r="86" spans="1:16" ht="48">
      <c r="A86" s="1453" t="s">
        <v>4669</v>
      </c>
      <c r="B86" s="1453" t="s">
        <v>1880</v>
      </c>
      <c r="C86" s="1453" t="s">
        <v>504</v>
      </c>
      <c r="D86" s="1454" t="s">
        <v>4720</v>
      </c>
      <c r="E86" s="1455">
        <v>8000</v>
      </c>
      <c r="F86" s="1460" t="s">
        <v>4056</v>
      </c>
      <c r="G86" s="1454" t="s">
        <v>4719</v>
      </c>
      <c r="H86" s="1454" t="s">
        <v>2917</v>
      </c>
      <c r="I86" s="1454" t="s">
        <v>2917</v>
      </c>
      <c r="J86" s="1454" t="s">
        <v>2917</v>
      </c>
      <c r="K86" s="1457">
        <v>2</v>
      </c>
      <c r="L86" s="1457">
        <v>5</v>
      </c>
      <c r="M86" s="1458">
        <v>40531.99</v>
      </c>
      <c r="N86" s="1457">
        <v>1</v>
      </c>
      <c r="O86" s="1457">
        <v>6</v>
      </c>
      <c r="P86" s="1459">
        <v>48670.400000000001</v>
      </c>
    </row>
    <row r="87" spans="1:16">
      <c r="A87" s="1453" t="s">
        <v>4669</v>
      </c>
      <c r="B87" s="1453" t="s">
        <v>1880</v>
      </c>
      <c r="C87" s="1453" t="s">
        <v>504</v>
      </c>
      <c r="D87" s="1454" t="s">
        <v>4718</v>
      </c>
      <c r="E87" s="1455">
        <v>7200</v>
      </c>
      <c r="F87" s="1456" t="s">
        <v>4717</v>
      </c>
      <c r="G87" s="1454" t="s">
        <v>4716</v>
      </c>
      <c r="H87" s="1454" t="s">
        <v>4674</v>
      </c>
      <c r="I87" s="1454" t="s">
        <v>4573</v>
      </c>
      <c r="J87" s="1454" t="s">
        <v>4573</v>
      </c>
      <c r="K87" s="1457">
        <v>2</v>
      </c>
      <c r="L87" s="1457">
        <v>12</v>
      </c>
      <c r="M87" s="1458">
        <v>94020.800000000003</v>
      </c>
      <c r="N87" s="1457">
        <v>0</v>
      </c>
      <c r="O87" s="1457">
        <v>6</v>
      </c>
      <c r="P87" s="1459">
        <v>43880.4</v>
      </c>
    </row>
    <row r="88" spans="1:16" ht="24">
      <c r="A88" s="1453" t="s">
        <v>4669</v>
      </c>
      <c r="B88" s="1453" t="s">
        <v>1880</v>
      </c>
      <c r="C88" s="1453" t="s">
        <v>504</v>
      </c>
      <c r="D88" s="1454" t="s">
        <v>4715</v>
      </c>
      <c r="E88" s="1455">
        <v>12000</v>
      </c>
      <c r="F88" s="1456" t="s">
        <v>4714</v>
      </c>
      <c r="G88" s="1454" t="s">
        <v>4713</v>
      </c>
      <c r="H88" s="1454" t="s">
        <v>4712</v>
      </c>
      <c r="I88" s="1454" t="s">
        <v>4711</v>
      </c>
      <c r="J88" s="1454" t="s">
        <v>4711</v>
      </c>
      <c r="K88" s="1457">
        <v>0</v>
      </c>
      <c r="L88" s="1457">
        <v>11</v>
      </c>
      <c r="M88" s="1458">
        <v>136860.75</v>
      </c>
      <c r="N88" s="1457">
        <v>0</v>
      </c>
      <c r="O88" s="1457">
        <v>0</v>
      </c>
      <c r="P88" s="1459">
        <v>0</v>
      </c>
    </row>
    <row r="89" spans="1:16" ht="24">
      <c r="A89" s="1453" t="s">
        <v>4669</v>
      </c>
      <c r="B89" s="1453" t="s">
        <v>1880</v>
      </c>
      <c r="C89" s="1453" t="s">
        <v>504</v>
      </c>
      <c r="D89" s="1461" t="s">
        <v>4710</v>
      </c>
      <c r="E89" s="1460" t="s">
        <v>4709</v>
      </c>
      <c r="F89" s="1460" t="s">
        <v>4709</v>
      </c>
      <c r="G89" s="1454" t="s">
        <v>4708</v>
      </c>
      <c r="H89" s="1454" t="s">
        <v>4707</v>
      </c>
      <c r="I89" s="1454" t="s">
        <v>4707</v>
      </c>
      <c r="J89" s="1454" t="s">
        <v>4707</v>
      </c>
      <c r="K89" s="1457">
        <v>1</v>
      </c>
      <c r="L89" s="1457">
        <v>1</v>
      </c>
      <c r="M89" s="1458">
        <v>13876.789999999999</v>
      </c>
      <c r="N89" s="1457">
        <v>0</v>
      </c>
      <c r="O89" s="1457">
        <v>0</v>
      </c>
      <c r="P89" s="1459">
        <v>0</v>
      </c>
    </row>
    <row r="90" spans="1:16" ht="36">
      <c r="A90" s="1453" t="s">
        <v>4669</v>
      </c>
      <c r="B90" s="1453" t="s">
        <v>1880</v>
      </c>
      <c r="C90" s="1453" t="s">
        <v>504</v>
      </c>
      <c r="D90" s="1454" t="s">
        <v>4706</v>
      </c>
      <c r="E90" s="1455">
        <v>4900</v>
      </c>
      <c r="F90" s="1456" t="s">
        <v>4705</v>
      </c>
      <c r="G90" s="1454" t="s">
        <v>4704</v>
      </c>
      <c r="H90" s="1454" t="s">
        <v>4665</v>
      </c>
      <c r="I90" s="1454" t="s">
        <v>4692</v>
      </c>
      <c r="J90" s="1454" t="s">
        <v>4692</v>
      </c>
      <c r="K90" s="1457">
        <v>4</v>
      </c>
      <c r="L90" s="1457">
        <v>12</v>
      </c>
      <c r="M90" s="1458">
        <v>68364.610000000015</v>
      </c>
      <c r="N90" s="1457">
        <v>1</v>
      </c>
      <c r="O90" s="1457">
        <v>6</v>
      </c>
      <c r="P90" s="1459">
        <v>30080.06</v>
      </c>
    </row>
    <row r="91" spans="1:16" ht="36">
      <c r="A91" s="1453" t="s">
        <v>4669</v>
      </c>
      <c r="B91" s="1453" t="s">
        <v>1880</v>
      </c>
      <c r="C91" s="1453" t="s">
        <v>504</v>
      </c>
      <c r="D91" s="1454" t="s">
        <v>4699</v>
      </c>
      <c r="E91" s="1455">
        <v>4500</v>
      </c>
      <c r="F91" s="1456" t="s">
        <v>4703</v>
      </c>
      <c r="G91" s="1454" t="s">
        <v>4702</v>
      </c>
      <c r="H91" s="1454" t="s">
        <v>2917</v>
      </c>
      <c r="I91" s="1454" t="s">
        <v>4573</v>
      </c>
      <c r="J91" s="1454" t="s">
        <v>4573</v>
      </c>
      <c r="K91" s="1457">
        <v>3</v>
      </c>
      <c r="L91" s="1457">
        <v>9</v>
      </c>
      <c r="M91" s="1458">
        <v>41658.71</v>
      </c>
      <c r="N91" s="1457">
        <v>0</v>
      </c>
      <c r="O91" s="1457">
        <v>0</v>
      </c>
      <c r="P91" s="1459">
        <v>0</v>
      </c>
    </row>
    <row r="92" spans="1:16">
      <c r="A92" s="1453" t="s">
        <v>4669</v>
      </c>
      <c r="B92" s="1453" t="s">
        <v>1880</v>
      </c>
      <c r="C92" s="1453" t="s">
        <v>504</v>
      </c>
      <c r="D92" s="1454" t="s">
        <v>4685</v>
      </c>
      <c r="E92" s="1455">
        <v>2500</v>
      </c>
      <c r="F92" s="1456" t="s">
        <v>4701</v>
      </c>
      <c r="G92" s="1454" t="s">
        <v>4700</v>
      </c>
      <c r="H92" s="1454" t="s">
        <v>4689</v>
      </c>
      <c r="I92" s="1454" t="s">
        <v>1592</v>
      </c>
      <c r="J92" s="1454" t="s">
        <v>1592</v>
      </c>
      <c r="K92" s="1457">
        <v>2</v>
      </c>
      <c r="L92" s="1457">
        <v>3</v>
      </c>
      <c r="M92" s="1458">
        <v>7440.2</v>
      </c>
      <c r="N92" s="1457">
        <v>1</v>
      </c>
      <c r="O92" s="1457">
        <v>6</v>
      </c>
      <c r="P92" s="1459">
        <v>15680.4</v>
      </c>
    </row>
    <row r="93" spans="1:16" ht="36">
      <c r="A93" s="1453" t="s">
        <v>4669</v>
      </c>
      <c r="B93" s="1453" t="s">
        <v>1880</v>
      </c>
      <c r="C93" s="1453" t="s">
        <v>504</v>
      </c>
      <c r="D93" s="1454" t="s">
        <v>4699</v>
      </c>
      <c r="E93" s="1455">
        <v>5500</v>
      </c>
      <c r="F93" s="1456" t="s">
        <v>4698</v>
      </c>
      <c r="G93" s="1454" t="s">
        <v>4697</v>
      </c>
      <c r="H93" s="1454" t="s">
        <v>2917</v>
      </c>
      <c r="I93" s="1454" t="s">
        <v>2917</v>
      </c>
      <c r="J93" s="1454" t="s">
        <v>2917</v>
      </c>
      <c r="K93" s="1457">
        <v>4</v>
      </c>
      <c r="L93" s="1457">
        <v>12</v>
      </c>
      <c r="M93" s="1458">
        <v>66585.97</v>
      </c>
      <c r="N93" s="1457">
        <v>1</v>
      </c>
      <c r="O93" s="1457">
        <v>6</v>
      </c>
      <c r="P93" s="1459">
        <v>33087.99</v>
      </c>
    </row>
    <row r="94" spans="1:16" ht="24">
      <c r="A94" s="1453" t="s">
        <v>4669</v>
      </c>
      <c r="B94" s="1453" t="s">
        <v>1880</v>
      </c>
      <c r="C94" s="1453" t="s">
        <v>504</v>
      </c>
      <c r="D94" s="1454" t="s">
        <v>4696</v>
      </c>
      <c r="E94" s="1455">
        <v>2500</v>
      </c>
      <c r="F94" s="1456" t="s">
        <v>4695</v>
      </c>
      <c r="G94" s="1454" t="s">
        <v>4694</v>
      </c>
      <c r="H94" s="1454" t="s">
        <v>4693</v>
      </c>
      <c r="I94" s="1454" t="s">
        <v>4692</v>
      </c>
      <c r="J94" s="1454" t="s">
        <v>4692</v>
      </c>
      <c r="K94" s="1457">
        <v>4</v>
      </c>
      <c r="L94" s="1457">
        <v>12</v>
      </c>
      <c r="M94" s="1458">
        <v>31795.519999999997</v>
      </c>
      <c r="N94" s="1457">
        <v>1</v>
      </c>
      <c r="O94" s="1457">
        <v>6</v>
      </c>
      <c r="P94" s="1459">
        <v>15597.07</v>
      </c>
    </row>
    <row r="95" spans="1:16">
      <c r="A95" s="1453" t="s">
        <v>4669</v>
      </c>
      <c r="B95" s="1453" t="s">
        <v>1880</v>
      </c>
      <c r="C95" s="1453" t="s">
        <v>504</v>
      </c>
      <c r="D95" s="1454" t="s">
        <v>4685</v>
      </c>
      <c r="E95" s="1455">
        <v>2500</v>
      </c>
      <c r="F95" s="1456" t="s">
        <v>4691</v>
      </c>
      <c r="G95" s="1454" t="s">
        <v>4690</v>
      </c>
      <c r="H95" s="1454" t="s">
        <v>4689</v>
      </c>
      <c r="I95" s="1454" t="s">
        <v>1592</v>
      </c>
      <c r="J95" s="1454" t="s">
        <v>1592</v>
      </c>
      <c r="K95" s="1457">
        <v>4</v>
      </c>
      <c r="L95" s="1457">
        <v>12</v>
      </c>
      <c r="M95" s="1458">
        <v>31872.17</v>
      </c>
      <c r="N95" s="1457">
        <v>1</v>
      </c>
      <c r="O95" s="1457">
        <v>6</v>
      </c>
      <c r="P95" s="1459">
        <v>15680.4</v>
      </c>
    </row>
    <row r="96" spans="1:16" ht="24">
      <c r="A96" s="1453" t="s">
        <v>4669</v>
      </c>
      <c r="B96" s="1453" t="s">
        <v>1880</v>
      </c>
      <c r="C96" s="1453" t="s">
        <v>504</v>
      </c>
      <c r="D96" s="1461" t="s">
        <v>3620</v>
      </c>
      <c r="E96" s="1455">
        <v>4500</v>
      </c>
      <c r="F96" s="1456" t="s">
        <v>4688</v>
      </c>
      <c r="G96" s="1454" t="s">
        <v>4687</v>
      </c>
      <c r="H96" s="1454" t="s">
        <v>4686</v>
      </c>
      <c r="I96" s="1454" t="s">
        <v>4573</v>
      </c>
      <c r="J96" s="1454" t="s">
        <v>4573</v>
      </c>
      <c r="K96" s="1457">
        <v>4</v>
      </c>
      <c r="L96" s="1457">
        <v>12</v>
      </c>
      <c r="M96" s="1458">
        <v>55899.22</v>
      </c>
      <c r="N96" s="1457">
        <v>1</v>
      </c>
      <c r="O96" s="1457">
        <v>6</v>
      </c>
      <c r="P96" s="1459">
        <v>26689.78</v>
      </c>
    </row>
    <row r="97" spans="1:16">
      <c r="A97" s="1453" t="s">
        <v>4669</v>
      </c>
      <c r="B97" s="1453" t="s">
        <v>1880</v>
      </c>
      <c r="C97" s="1453" t="s">
        <v>504</v>
      </c>
      <c r="D97" s="1461" t="s">
        <v>4685</v>
      </c>
      <c r="E97" s="1455">
        <v>2500</v>
      </c>
      <c r="F97" s="1460" t="s">
        <v>4684</v>
      </c>
      <c r="G97" s="1454" t="s">
        <v>4683</v>
      </c>
      <c r="H97" s="1454" t="s">
        <v>4682</v>
      </c>
      <c r="I97" s="1454" t="s">
        <v>4573</v>
      </c>
      <c r="J97" s="1454" t="s">
        <v>4573</v>
      </c>
      <c r="K97" s="1457">
        <v>1</v>
      </c>
      <c r="L97" s="1457">
        <v>3</v>
      </c>
      <c r="M97" s="1458">
        <v>7840.19</v>
      </c>
      <c r="N97" s="1457">
        <v>0</v>
      </c>
      <c r="O97" s="1457">
        <v>0</v>
      </c>
      <c r="P97" s="1459">
        <v>0</v>
      </c>
    </row>
    <row r="98" spans="1:16" ht="24">
      <c r="A98" s="1453" t="s">
        <v>4669</v>
      </c>
      <c r="B98" s="1453" t="s">
        <v>1880</v>
      </c>
      <c r="C98" s="1453" t="s">
        <v>504</v>
      </c>
      <c r="D98" s="1454" t="s">
        <v>3231</v>
      </c>
      <c r="E98" s="1455">
        <v>3000</v>
      </c>
      <c r="F98" s="1456" t="s">
        <v>4681</v>
      </c>
      <c r="G98" s="1454" t="s">
        <v>4680</v>
      </c>
      <c r="H98" s="1454" t="s">
        <v>4679</v>
      </c>
      <c r="I98" s="1454" t="s">
        <v>4678</v>
      </c>
      <c r="J98" s="1454" t="s">
        <v>4678</v>
      </c>
      <c r="K98" s="1457">
        <v>4</v>
      </c>
      <c r="L98" s="1457">
        <v>12</v>
      </c>
      <c r="M98" s="1458">
        <v>35528.44</v>
      </c>
      <c r="N98" s="1457">
        <v>1</v>
      </c>
      <c r="O98" s="1457">
        <v>6</v>
      </c>
      <c r="P98" s="1459">
        <v>18680.400000000001</v>
      </c>
    </row>
    <row r="99" spans="1:16">
      <c r="A99" s="1453" t="s">
        <v>4669</v>
      </c>
      <c r="B99" s="1453" t="s">
        <v>1880</v>
      </c>
      <c r="C99" s="1453" t="s">
        <v>504</v>
      </c>
      <c r="D99" s="1454" t="s">
        <v>4677</v>
      </c>
      <c r="E99" s="1455">
        <v>5500</v>
      </c>
      <c r="F99" s="1460" t="s">
        <v>4676</v>
      </c>
      <c r="G99" s="1454" t="s">
        <v>4675</v>
      </c>
      <c r="H99" s="1454" t="s">
        <v>4674</v>
      </c>
      <c r="I99" s="1454" t="s">
        <v>4673</v>
      </c>
      <c r="J99" s="1454" t="s">
        <v>4673</v>
      </c>
      <c r="K99" s="1457">
        <v>2</v>
      </c>
      <c r="L99" s="1457">
        <v>6</v>
      </c>
      <c r="M99" s="1458">
        <v>32030.400000000001</v>
      </c>
      <c r="N99" s="1457">
        <v>1</v>
      </c>
      <c r="O99" s="1457">
        <v>3</v>
      </c>
      <c r="P99" s="1459">
        <v>19856.399999999998</v>
      </c>
    </row>
    <row r="100" spans="1:16" ht="36">
      <c r="A100" s="1453" t="s">
        <v>4669</v>
      </c>
      <c r="B100" s="1453" t="s">
        <v>1880</v>
      </c>
      <c r="C100" s="1453" t="s">
        <v>504</v>
      </c>
      <c r="D100" s="1454" t="s">
        <v>4672</v>
      </c>
      <c r="E100" s="1455">
        <v>5000</v>
      </c>
      <c r="F100" s="1456" t="s">
        <v>4671</v>
      </c>
      <c r="G100" s="1454" t="s">
        <v>4670</v>
      </c>
      <c r="H100" s="1454" t="s">
        <v>4623</v>
      </c>
      <c r="I100" s="1454" t="s">
        <v>4623</v>
      </c>
      <c r="J100" s="1454" t="s">
        <v>4623</v>
      </c>
      <c r="K100" s="1457">
        <v>4</v>
      </c>
      <c r="L100" s="1457">
        <v>12</v>
      </c>
      <c r="M100" s="1458">
        <v>61227.130000000005</v>
      </c>
      <c r="N100" s="1457">
        <v>2</v>
      </c>
      <c r="O100" s="1457">
        <v>4</v>
      </c>
      <c r="P100" s="1459">
        <v>20453.599999999999</v>
      </c>
    </row>
    <row r="101" spans="1:16" ht="24.75" thickBot="1">
      <c r="A101" s="1453" t="s">
        <v>4669</v>
      </c>
      <c r="B101" s="1453" t="s">
        <v>1880</v>
      </c>
      <c r="C101" s="1453" t="s">
        <v>504</v>
      </c>
      <c r="D101" s="1454" t="s">
        <v>4668</v>
      </c>
      <c r="E101" s="1455">
        <v>6400</v>
      </c>
      <c r="F101" s="1456" t="s">
        <v>4667</v>
      </c>
      <c r="G101" s="1454" t="s">
        <v>4666</v>
      </c>
      <c r="H101" s="1454" t="s">
        <v>4665</v>
      </c>
      <c r="I101" s="1454" t="s">
        <v>4573</v>
      </c>
      <c r="J101" s="1454" t="s">
        <v>4573</v>
      </c>
      <c r="K101" s="1464">
        <v>4</v>
      </c>
      <c r="L101" s="1464">
        <v>12</v>
      </c>
      <c r="M101" s="1465">
        <v>78023.03</v>
      </c>
      <c r="N101" s="1464">
        <v>1</v>
      </c>
      <c r="O101" s="1464">
        <v>6</v>
      </c>
      <c r="P101" s="1466">
        <v>38855.07</v>
      </c>
    </row>
    <row r="102" spans="1:16" ht="12.75" thickBot="1">
      <c r="A102" s="1209"/>
      <c r="B102" s="1230"/>
      <c r="C102" s="1230"/>
      <c r="D102" s="1207"/>
      <c r="E102" s="1211"/>
      <c r="F102" s="1230"/>
      <c r="G102" s="1207"/>
      <c r="H102" s="1207"/>
      <c r="I102" s="1210"/>
      <c r="J102" s="1231"/>
      <c r="K102" s="1212"/>
      <c r="L102" s="1213"/>
      <c r="M102" s="1467">
        <f>SUM(M6:M101)</f>
        <v>4743132.1599999983</v>
      </c>
      <c r="N102" s="1212"/>
      <c r="O102" s="1213"/>
      <c r="P102" s="1467">
        <f>SUM(P6:P101)</f>
        <v>2346732.2999999989</v>
      </c>
    </row>
    <row r="103" spans="1:16" ht="24">
      <c r="A103" s="277" t="s">
        <v>449</v>
      </c>
      <c r="B103" s="445"/>
      <c r="C103" s="445"/>
      <c r="D103" s="445"/>
      <c r="E103" s="445"/>
      <c r="F103" s="445"/>
      <c r="G103" s="445"/>
      <c r="H103" s="445"/>
      <c r="I103" s="445"/>
      <c r="J103" s="445"/>
      <c r="K103" s="1136"/>
      <c r="L103" s="1136"/>
      <c r="M103" s="445"/>
      <c r="N103" s="445"/>
      <c r="O103" s="445"/>
      <c r="P103" s="445"/>
    </row>
    <row r="104" spans="1:16">
      <c r="A104" s="277"/>
      <c r="B104" s="445"/>
      <c r="C104" s="445"/>
      <c r="D104" s="445"/>
      <c r="E104" s="445"/>
      <c r="F104" s="445"/>
      <c r="G104" s="445"/>
      <c r="H104" s="445"/>
      <c r="I104" s="445"/>
      <c r="J104" s="445"/>
      <c r="K104" s="1136"/>
      <c r="L104" s="1136"/>
      <c r="M104" s="445"/>
      <c r="N104" s="445"/>
      <c r="O104" s="445"/>
      <c r="P104" s="445"/>
    </row>
    <row r="105" spans="1:16">
      <c r="A105" s="277"/>
      <c r="B105" s="445"/>
      <c r="C105" s="445"/>
      <c r="D105" s="445"/>
      <c r="E105" s="445"/>
      <c r="F105" s="445"/>
      <c r="G105" s="445"/>
      <c r="H105" s="445"/>
      <c r="I105" s="445"/>
      <c r="J105" s="445"/>
      <c r="K105" s="1136"/>
      <c r="L105" s="1136"/>
      <c r="M105" s="445"/>
      <c r="N105" s="445"/>
      <c r="O105" s="445"/>
      <c r="P105" s="445"/>
    </row>
    <row r="106" spans="1:16">
      <c r="A106" s="277"/>
      <c r="B106" s="445"/>
      <c r="C106" s="445"/>
      <c r="D106" s="445"/>
      <c r="E106" s="445"/>
      <c r="F106" s="445"/>
      <c r="G106" s="445"/>
      <c r="H106" s="445"/>
      <c r="I106" s="445"/>
      <c r="J106" s="445"/>
      <c r="K106" s="1136"/>
      <c r="L106" s="1136"/>
      <c r="M106" s="445"/>
      <c r="N106" s="445"/>
      <c r="O106" s="445"/>
      <c r="P106" s="445"/>
    </row>
    <row r="107" spans="1:16">
      <c r="A107" s="277"/>
      <c r="B107" s="445"/>
      <c r="C107" s="445"/>
      <c r="D107" s="445"/>
      <c r="E107" s="445"/>
      <c r="F107" s="445"/>
      <c r="G107" s="445"/>
      <c r="H107" s="445"/>
      <c r="I107" s="445"/>
      <c r="J107" s="445"/>
      <c r="K107" s="1136"/>
      <c r="L107" s="1136"/>
      <c r="M107" s="445"/>
      <c r="N107" s="445"/>
      <c r="O107" s="445"/>
      <c r="P107" s="445"/>
    </row>
    <row r="108" spans="1:16">
      <c r="A108" s="277"/>
      <c r="B108" s="445"/>
      <c r="C108" s="445"/>
      <c r="D108" s="445"/>
      <c r="E108" s="445"/>
      <c r="F108" s="445"/>
      <c r="G108" s="445"/>
      <c r="H108" s="445"/>
      <c r="I108" s="445"/>
      <c r="J108" s="445"/>
      <c r="K108" s="1136"/>
      <c r="L108" s="1136"/>
      <c r="M108" s="445"/>
      <c r="N108" s="445"/>
      <c r="O108" s="445"/>
      <c r="P108" s="445"/>
    </row>
    <row r="109" spans="1:16">
      <c r="A109" s="277"/>
      <c r="B109" s="445"/>
      <c r="C109" s="445"/>
      <c r="D109" s="445"/>
      <c r="E109" s="445"/>
      <c r="F109" s="445"/>
      <c r="G109" s="445"/>
      <c r="H109" s="445"/>
      <c r="I109" s="445"/>
      <c r="J109" s="445"/>
      <c r="K109" s="1136"/>
      <c r="L109" s="1136"/>
      <c r="M109" s="445"/>
      <c r="N109" s="445"/>
      <c r="O109" s="445"/>
      <c r="P109" s="445"/>
    </row>
    <row r="110" spans="1:16">
      <c r="A110" s="277"/>
      <c r="B110" s="445"/>
      <c r="C110" s="445"/>
      <c r="D110" s="445"/>
      <c r="E110" s="445"/>
      <c r="F110" s="445"/>
      <c r="G110" s="445"/>
      <c r="H110" s="445"/>
      <c r="I110" s="445"/>
      <c r="J110" s="445"/>
      <c r="K110" s="1136"/>
      <c r="L110" s="1136"/>
      <c r="M110" s="445"/>
      <c r="N110" s="445"/>
      <c r="O110" s="445"/>
      <c r="P110" s="445"/>
    </row>
    <row r="111" spans="1:16">
      <c r="A111" s="277"/>
      <c r="B111" s="445"/>
      <c r="C111" s="445"/>
      <c r="D111" s="445"/>
      <c r="E111" s="445"/>
      <c r="F111" s="445"/>
      <c r="G111" s="445"/>
      <c r="H111" s="445"/>
      <c r="I111" s="445"/>
      <c r="J111" s="445"/>
      <c r="K111" s="1136"/>
      <c r="L111" s="1136"/>
      <c r="M111" s="445"/>
      <c r="N111" s="445"/>
      <c r="O111" s="445"/>
      <c r="P111" s="445"/>
    </row>
    <row r="112" spans="1:16">
      <c r="A112" s="277"/>
      <c r="B112" s="445"/>
      <c r="C112" s="445"/>
      <c r="D112" s="445"/>
      <c r="E112" s="445"/>
      <c r="F112" s="445"/>
      <c r="G112" s="445"/>
      <c r="H112" s="445"/>
      <c r="I112" s="445"/>
      <c r="J112" s="445"/>
      <c r="K112" s="1136"/>
      <c r="L112" s="1136"/>
      <c r="M112" s="445"/>
      <c r="N112" s="445"/>
      <c r="O112" s="445"/>
      <c r="P112" s="445"/>
    </row>
    <row r="113" spans="1:16">
      <c r="A113" s="277"/>
      <c r="B113" s="445"/>
      <c r="C113" s="445"/>
      <c r="D113" s="445"/>
      <c r="E113" s="445"/>
      <c r="F113" s="445"/>
      <c r="G113" s="445"/>
      <c r="H113" s="445"/>
      <c r="I113" s="445"/>
      <c r="J113" s="445"/>
      <c r="K113" s="1136"/>
      <c r="L113" s="1136"/>
      <c r="M113" s="445"/>
      <c r="N113" s="445"/>
      <c r="O113" s="445"/>
      <c r="P113" s="445"/>
    </row>
    <row r="114" spans="1:16">
      <c r="A114" s="277"/>
      <c r="B114" s="445"/>
      <c r="C114" s="445"/>
      <c r="D114" s="445"/>
      <c r="E114" s="445"/>
      <c r="F114" s="445"/>
      <c r="G114" s="445"/>
      <c r="H114" s="445"/>
      <c r="I114" s="445"/>
      <c r="J114" s="445"/>
      <c r="K114" s="1136"/>
      <c r="L114" s="1136"/>
      <c r="M114" s="445"/>
      <c r="N114" s="445"/>
      <c r="O114" s="445"/>
      <c r="P114" s="445"/>
    </row>
    <row r="115" spans="1:16">
      <c r="A115" s="277"/>
      <c r="B115" s="445"/>
      <c r="C115" s="445"/>
      <c r="D115" s="445"/>
      <c r="E115" s="445"/>
      <c r="F115" s="445"/>
      <c r="G115" s="445"/>
      <c r="H115" s="445"/>
      <c r="I115" s="445"/>
      <c r="J115" s="445"/>
      <c r="K115" s="1136"/>
      <c r="L115" s="1136"/>
      <c r="M115" s="445"/>
      <c r="N115" s="445"/>
      <c r="O115" s="445"/>
      <c r="P115" s="445"/>
    </row>
    <row r="116" spans="1:16">
      <c r="A116" s="277"/>
      <c r="B116" s="445"/>
      <c r="C116" s="445"/>
      <c r="D116" s="445"/>
      <c r="E116" s="445"/>
      <c r="F116" s="445"/>
      <c r="G116" s="445"/>
      <c r="H116" s="445"/>
      <c r="I116" s="445"/>
      <c r="J116" s="445"/>
      <c r="K116" s="1136"/>
      <c r="L116" s="1136"/>
      <c r="M116" s="445"/>
      <c r="N116" s="445"/>
      <c r="O116" s="445"/>
      <c r="P116" s="445"/>
    </row>
    <row r="117" spans="1:16">
      <c r="A117" s="277"/>
      <c r="B117" s="445"/>
      <c r="C117" s="445"/>
      <c r="D117" s="445"/>
      <c r="E117" s="445"/>
      <c r="F117" s="445"/>
      <c r="G117" s="445"/>
      <c r="H117" s="445"/>
      <c r="I117" s="445"/>
      <c r="J117" s="445"/>
      <c r="K117" s="1136"/>
      <c r="L117" s="1136"/>
      <c r="M117" s="445"/>
      <c r="N117" s="445"/>
      <c r="O117" s="445"/>
      <c r="P117" s="445"/>
    </row>
    <row r="118" spans="1:16">
      <c r="A118" s="277"/>
      <c r="B118" s="445"/>
      <c r="C118" s="445"/>
      <c r="D118" s="445"/>
      <c r="E118" s="445"/>
      <c r="F118" s="445"/>
      <c r="G118" s="445"/>
      <c r="H118" s="445"/>
      <c r="I118" s="445"/>
      <c r="J118" s="445"/>
      <c r="K118" s="1136"/>
      <c r="L118" s="1136"/>
      <c r="M118" s="445"/>
      <c r="N118" s="445"/>
      <c r="O118" s="445"/>
      <c r="P118" s="445"/>
    </row>
    <row r="119" spans="1:16">
      <c r="A119" s="277"/>
      <c r="B119" s="445"/>
      <c r="C119" s="445"/>
      <c r="D119" s="445"/>
      <c r="E119" s="445"/>
      <c r="F119" s="445"/>
      <c r="G119" s="445"/>
      <c r="H119" s="445"/>
      <c r="I119" s="445"/>
      <c r="J119" s="445"/>
      <c r="K119" s="1136"/>
      <c r="L119" s="1136"/>
      <c r="M119" s="445"/>
      <c r="N119" s="445"/>
      <c r="O119" s="445"/>
      <c r="P119" s="445"/>
    </row>
    <row r="120" spans="1:16">
      <c r="A120" s="277"/>
      <c r="B120" s="445"/>
      <c r="C120" s="445"/>
      <c r="D120" s="445"/>
      <c r="E120" s="445"/>
      <c r="F120" s="445"/>
      <c r="G120" s="445"/>
      <c r="H120" s="445"/>
      <c r="I120" s="445"/>
      <c r="J120" s="445"/>
      <c r="K120" s="1136"/>
      <c r="L120" s="1136"/>
      <c r="M120" s="445"/>
      <c r="N120" s="445"/>
      <c r="O120" s="445"/>
      <c r="P120" s="445"/>
    </row>
    <row r="121" spans="1:16">
      <c r="A121" s="277"/>
      <c r="B121" s="445"/>
      <c r="C121" s="445"/>
      <c r="D121" s="445"/>
      <c r="E121" s="445"/>
      <c r="F121" s="445"/>
      <c r="G121" s="445"/>
      <c r="H121" s="445"/>
      <c r="I121" s="445"/>
      <c r="J121" s="445"/>
      <c r="K121" s="1136"/>
      <c r="L121" s="1136"/>
      <c r="M121" s="445"/>
      <c r="N121" s="445"/>
      <c r="O121" s="445"/>
      <c r="P121" s="445"/>
    </row>
    <row r="122" spans="1:16">
      <c r="A122" s="277"/>
      <c r="B122" s="445"/>
      <c r="C122" s="445"/>
      <c r="D122" s="445"/>
      <c r="E122" s="445"/>
      <c r="F122" s="445"/>
      <c r="G122" s="445"/>
      <c r="H122" s="445"/>
      <c r="I122" s="445"/>
      <c r="J122" s="445"/>
      <c r="K122" s="1136"/>
      <c r="L122" s="1136"/>
      <c r="M122" s="445"/>
      <c r="N122" s="445"/>
      <c r="O122" s="445"/>
      <c r="P122" s="445"/>
    </row>
    <row r="123" spans="1:16">
      <c r="A123" s="277"/>
      <c r="B123" s="445"/>
      <c r="C123" s="445"/>
      <c r="D123" s="445"/>
      <c r="E123" s="445"/>
      <c r="F123" s="445"/>
      <c r="G123" s="445"/>
      <c r="H123" s="445"/>
      <c r="I123" s="445"/>
      <c r="J123" s="445"/>
      <c r="K123" s="1136"/>
      <c r="L123" s="1136"/>
      <c r="M123" s="445"/>
      <c r="N123" s="445"/>
      <c r="O123" s="445"/>
      <c r="P123" s="445"/>
    </row>
    <row r="124" spans="1:16">
      <c r="A124" s="277"/>
      <c r="B124" s="445"/>
      <c r="C124" s="445"/>
      <c r="D124" s="445"/>
      <c r="E124" s="445"/>
      <c r="F124" s="445"/>
      <c r="G124" s="445"/>
      <c r="H124" s="445"/>
      <c r="I124" s="445"/>
      <c r="J124" s="445"/>
      <c r="K124" s="1136"/>
      <c r="L124" s="1136"/>
      <c r="M124" s="445"/>
      <c r="N124" s="445"/>
      <c r="O124" s="445"/>
      <c r="P124" s="445"/>
    </row>
    <row r="125" spans="1:16">
      <c r="A125" s="277"/>
      <c r="B125" s="445"/>
      <c r="C125" s="445"/>
      <c r="D125" s="445"/>
      <c r="E125" s="445"/>
      <c r="F125" s="445"/>
      <c r="G125" s="445"/>
      <c r="H125" s="445"/>
      <c r="I125" s="445"/>
      <c r="J125" s="445"/>
      <c r="K125" s="1136"/>
      <c r="L125" s="1136"/>
      <c r="M125" s="445"/>
      <c r="N125" s="445"/>
      <c r="O125" s="445"/>
      <c r="P125" s="445"/>
    </row>
    <row r="126" spans="1:16">
      <c r="A126" s="277"/>
      <c r="B126" s="445"/>
      <c r="C126" s="445"/>
      <c r="D126" s="445"/>
      <c r="E126" s="445"/>
      <c r="F126" s="445"/>
      <c r="G126" s="445"/>
      <c r="H126" s="445"/>
      <c r="I126" s="445"/>
      <c r="J126" s="445"/>
      <c r="K126" s="1136"/>
      <c r="L126" s="1136"/>
      <c r="M126" s="445"/>
      <c r="N126" s="445"/>
      <c r="O126" s="445"/>
      <c r="P126" s="445"/>
    </row>
    <row r="127" spans="1:16">
      <c r="A127" s="277"/>
      <c r="B127" s="445"/>
      <c r="C127" s="445"/>
      <c r="D127" s="445"/>
      <c r="E127" s="445"/>
      <c r="F127" s="445"/>
      <c r="G127" s="445"/>
      <c r="H127" s="445"/>
      <c r="I127" s="445"/>
      <c r="J127" s="445"/>
      <c r="K127" s="1136"/>
      <c r="L127" s="1136"/>
      <c r="M127" s="445"/>
      <c r="N127" s="445"/>
      <c r="O127" s="445"/>
      <c r="P127" s="445"/>
    </row>
    <row r="128" spans="1:16">
      <c r="A128" s="277"/>
      <c r="B128" s="445"/>
      <c r="C128" s="445"/>
      <c r="D128" s="445"/>
      <c r="E128" s="445"/>
      <c r="F128" s="445"/>
      <c r="G128" s="445"/>
      <c r="H128" s="445"/>
      <c r="I128" s="445"/>
      <c r="J128" s="445"/>
      <c r="K128" s="1136"/>
      <c r="L128" s="1136"/>
      <c r="M128" s="445"/>
      <c r="N128" s="445"/>
      <c r="O128" s="445"/>
      <c r="P128" s="445"/>
    </row>
    <row r="129" spans="1:16">
      <c r="A129" s="277"/>
      <c r="B129" s="445"/>
      <c r="C129" s="445"/>
      <c r="D129" s="445"/>
      <c r="E129" s="445"/>
      <c r="F129" s="445"/>
      <c r="G129" s="445"/>
      <c r="H129" s="445"/>
      <c r="I129" s="445"/>
      <c r="J129" s="445"/>
      <c r="K129" s="1136"/>
      <c r="L129" s="1136"/>
      <c r="M129" s="445"/>
      <c r="N129" s="445"/>
      <c r="O129" s="445"/>
      <c r="P129" s="445"/>
    </row>
    <row r="130" spans="1:16">
      <c r="A130" s="277"/>
      <c r="B130" s="445"/>
      <c r="C130" s="445"/>
      <c r="D130" s="445"/>
      <c r="E130" s="445"/>
      <c r="F130" s="445"/>
      <c r="G130" s="445"/>
      <c r="H130" s="445"/>
      <c r="I130" s="445"/>
      <c r="J130" s="445"/>
      <c r="K130" s="1136"/>
      <c r="L130" s="1136"/>
      <c r="M130" s="445"/>
      <c r="N130" s="445"/>
      <c r="O130" s="445"/>
      <c r="P130" s="445"/>
    </row>
    <row r="131" spans="1:16">
      <c r="A131" s="277"/>
      <c r="B131" s="445"/>
      <c r="C131" s="445"/>
      <c r="D131" s="445"/>
      <c r="E131" s="445"/>
      <c r="F131" s="445"/>
      <c r="G131" s="445"/>
      <c r="H131" s="445"/>
      <c r="I131" s="445"/>
      <c r="J131" s="445"/>
      <c r="K131" s="1136"/>
      <c r="L131" s="1136"/>
      <c r="M131" s="445"/>
      <c r="N131" s="445"/>
      <c r="O131" s="445"/>
      <c r="P131" s="445"/>
    </row>
    <row r="132" spans="1:16">
      <c r="A132" s="277"/>
      <c r="B132" s="445"/>
      <c r="C132" s="445"/>
      <c r="D132" s="445"/>
      <c r="E132" s="445"/>
      <c r="F132" s="445"/>
      <c r="G132" s="445"/>
      <c r="H132" s="445"/>
      <c r="I132" s="445"/>
      <c r="J132" s="445"/>
      <c r="K132" s="1136"/>
      <c r="L132" s="1136"/>
      <c r="M132" s="445"/>
      <c r="N132" s="445"/>
      <c r="O132" s="445"/>
      <c r="P132" s="445"/>
    </row>
    <row r="133" spans="1:16">
      <c r="A133" s="277"/>
      <c r="B133" s="445"/>
      <c r="C133" s="445"/>
      <c r="D133" s="445"/>
      <c r="E133" s="445"/>
      <c r="F133" s="445"/>
      <c r="G133" s="445"/>
      <c r="H133" s="445"/>
      <c r="I133" s="445"/>
      <c r="J133" s="445"/>
      <c r="K133" s="1136"/>
      <c r="L133" s="1136"/>
      <c r="M133" s="445"/>
      <c r="N133" s="445"/>
      <c r="O133" s="445"/>
      <c r="P133" s="445"/>
    </row>
    <row r="134" spans="1:16">
      <c r="A134" s="277"/>
      <c r="B134" s="445"/>
      <c r="C134" s="445"/>
      <c r="D134" s="445"/>
      <c r="E134" s="445"/>
      <c r="F134" s="445"/>
      <c r="G134" s="445"/>
      <c r="H134" s="445"/>
      <c r="I134" s="445"/>
      <c r="J134" s="445"/>
      <c r="K134" s="1136"/>
      <c r="L134" s="1136"/>
      <c r="M134" s="445"/>
      <c r="N134" s="445"/>
      <c r="O134" s="445"/>
      <c r="P134" s="445"/>
    </row>
    <row r="135" spans="1:16">
      <c r="A135" s="277"/>
      <c r="B135" s="445"/>
      <c r="C135" s="445"/>
      <c r="D135" s="445"/>
      <c r="E135" s="445"/>
      <c r="F135" s="445"/>
      <c r="G135" s="445"/>
      <c r="H135" s="445"/>
      <c r="I135" s="445"/>
      <c r="J135" s="445"/>
      <c r="K135" s="1136"/>
      <c r="L135" s="1136"/>
      <c r="M135" s="445"/>
      <c r="N135" s="445"/>
      <c r="O135" s="445"/>
      <c r="P135" s="445"/>
    </row>
    <row r="136" spans="1:16">
      <c r="A136" s="277"/>
      <c r="B136" s="445"/>
      <c r="C136" s="445"/>
      <c r="D136" s="445"/>
      <c r="E136" s="445"/>
      <c r="F136" s="445"/>
      <c r="G136" s="445"/>
      <c r="H136" s="445"/>
      <c r="I136" s="445"/>
      <c r="J136" s="445"/>
      <c r="K136" s="1136"/>
      <c r="L136" s="1136"/>
      <c r="M136" s="445"/>
      <c r="N136" s="445"/>
      <c r="O136" s="445"/>
      <c r="P136" s="445"/>
    </row>
    <row r="137" spans="1:16">
      <c r="A137" s="277"/>
      <c r="B137" s="445"/>
      <c r="C137" s="445"/>
      <c r="D137" s="445"/>
      <c r="E137" s="445"/>
      <c r="F137" s="445"/>
      <c r="G137" s="445"/>
      <c r="H137" s="445"/>
      <c r="I137" s="445"/>
      <c r="J137" s="445"/>
      <c r="K137" s="1136"/>
      <c r="L137" s="1136"/>
      <c r="M137" s="445"/>
      <c r="N137" s="445"/>
      <c r="O137" s="445"/>
      <c r="P137" s="445"/>
    </row>
    <row r="138" spans="1:16">
      <c r="A138" s="277"/>
      <c r="B138" s="445"/>
      <c r="C138" s="445"/>
      <c r="D138" s="445"/>
      <c r="E138" s="445"/>
      <c r="F138" s="445"/>
      <c r="G138" s="445"/>
      <c r="H138" s="445"/>
      <c r="I138" s="445"/>
      <c r="J138" s="445"/>
      <c r="K138" s="1136"/>
      <c r="L138" s="1136"/>
      <c r="M138" s="445"/>
      <c r="N138" s="445"/>
      <c r="O138" s="445"/>
      <c r="P138" s="445"/>
    </row>
    <row r="139" spans="1:16">
      <c r="A139" s="277"/>
      <c r="B139" s="445"/>
      <c r="C139" s="445"/>
      <c r="D139" s="445"/>
      <c r="E139" s="445"/>
      <c r="F139" s="445"/>
      <c r="G139" s="445"/>
      <c r="H139" s="445"/>
      <c r="I139" s="445"/>
      <c r="J139" s="445"/>
      <c r="K139" s="1136"/>
      <c r="L139" s="1136"/>
      <c r="M139" s="445"/>
      <c r="N139" s="445"/>
      <c r="O139" s="445"/>
      <c r="P139" s="445"/>
    </row>
    <row r="140" spans="1:16">
      <c r="A140" s="277"/>
      <c r="B140" s="445"/>
      <c r="C140" s="445"/>
      <c r="D140" s="445"/>
      <c r="E140" s="445"/>
      <c r="F140" s="445"/>
      <c r="G140" s="445"/>
      <c r="H140" s="445"/>
      <c r="I140" s="445"/>
      <c r="J140" s="445"/>
      <c r="K140" s="1136"/>
      <c r="L140" s="1136"/>
      <c r="M140" s="445"/>
      <c r="N140" s="445"/>
      <c r="O140" s="445"/>
      <c r="P140" s="445"/>
    </row>
    <row r="141" spans="1:16">
      <c r="A141" s="277"/>
      <c r="B141" s="445"/>
      <c r="C141" s="445"/>
      <c r="D141" s="445"/>
      <c r="E141" s="445"/>
      <c r="F141" s="445"/>
      <c r="G141" s="445"/>
      <c r="H141" s="445"/>
      <c r="I141" s="445"/>
      <c r="J141" s="445"/>
      <c r="K141" s="1136"/>
      <c r="L141" s="1136"/>
      <c r="M141" s="445"/>
      <c r="N141" s="445"/>
      <c r="O141" s="445"/>
      <c r="P141" s="445"/>
    </row>
    <row r="142" spans="1:16">
      <c r="A142" s="277"/>
      <c r="B142" s="445"/>
      <c r="C142" s="445"/>
      <c r="D142" s="445"/>
      <c r="E142" s="445"/>
      <c r="F142" s="445"/>
      <c r="G142" s="445"/>
      <c r="H142" s="445"/>
      <c r="I142" s="445"/>
      <c r="J142" s="445"/>
      <c r="K142" s="1136"/>
      <c r="L142" s="1136"/>
      <c r="M142" s="445"/>
      <c r="N142" s="445"/>
      <c r="O142" s="445"/>
      <c r="P142" s="445"/>
    </row>
    <row r="143" spans="1:16">
      <c r="A143" s="277"/>
      <c r="B143" s="445"/>
      <c r="C143" s="445"/>
      <c r="D143" s="445"/>
      <c r="E143" s="445"/>
      <c r="F143" s="445"/>
      <c r="G143" s="445"/>
      <c r="H143" s="445"/>
      <c r="I143" s="445"/>
      <c r="J143" s="445"/>
      <c r="K143" s="1136"/>
      <c r="L143" s="1136"/>
      <c r="M143" s="445"/>
      <c r="N143" s="445"/>
      <c r="O143" s="445"/>
      <c r="P143" s="445"/>
    </row>
    <row r="144" spans="1:16">
      <c r="A144" s="277"/>
      <c r="B144" s="445"/>
      <c r="C144" s="445"/>
      <c r="D144" s="445"/>
      <c r="E144" s="445"/>
      <c r="F144" s="445"/>
      <c r="G144" s="445"/>
      <c r="H144" s="445"/>
      <c r="I144" s="445"/>
      <c r="J144" s="445"/>
      <c r="K144" s="1136"/>
      <c r="L144" s="1136"/>
      <c r="M144" s="445"/>
      <c r="N144" s="445"/>
      <c r="O144" s="445"/>
      <c r="P144" s="445"/>
    </row>
    <row r="145" spans="1:16">
      <c r="A145" s="277"/>
      <c r="B145" s="445"/>
      <c r="C145" s="445"/>
      <c r="D145" s="445"/>
      <c r="E145" s="445"/>
      <c r="F145" s="445"/>
      <c r="G145" s="445"/>
      <c r="H145" s="445"/>
      <c r="I145" s="445"/>
      <c r="J145" s="445"/>
      <c r="K145" s="1136"/>
      <c r="L145" s="1136"/>
      <c r="M145" s="445"/>
      <c r="N145" s="445"/>
      <c r="O145" s="445"/>
      <c r="P145" s="445"/>
    </row>
    <row r="146" spans="1:16">
      <c r="A146" s="277"/>
      <c r="B146" s="445"/>
      <c r="C146" s="445"/>
      <c r="D146" s="445"/>
      <c r="E146" s="445"/>
      <c r="F146" s="445"/>
      <c r="G146" s="445"/>
      <c r="H146" s="445"/>
      <c r="I146" s="445"/>
      <c r="J146" s="445"/>
      <c r="K146" s="1136"/>
      <c r="L146" s="1136"/>
      <c r="M146" s="445"/>
      <c r="N146" s="445"/>
      <c r="O146" s="445"/>
      <c r="P146" s="445"/>
    </row>
    <row r="147" spans="1:16">
      <c r="A147" s="277"/>
      <c r="B147" s="445"/>
      <c r="C147" s="445"/>
      <c r="D147" s="445"/>
      <c r="E147" s="445"/>
      <c r="F147" s="445"/>
      <c r="G147" s="445"/>
      <c r="H147" s="445"/>
      <c r="I147" s="445"/>
      <c r="J147" s="445"/>
      <c r="K147" s="1136"/>
      <c r="L147" s="1136"/>
      <c r="M147" s="445"/>
      <c r="N147" s="445"/>
      <c r="O147" s="445"/>
      <c r="P147" s="445"/>
    </row>
    <row r="148" spans="1:16">
      <c r="A148" s="277"/>
      <c r="B148" s="445"/>
      <c r="C148" s="445"/>
      <c r="D148" s="445"/>
      <c r="E148" s="445"/>
      <c r="F148" s="445"/>
      <c r="G148" s="445"/>
      <c r="H148" s="445"/>
      <c r="I148" s="445"/>
      <c r="J148" s="445"/>
      <c r="K148" s="1136"/>
      <c r="L148" s="1136"/>
      <c r="M148" s="445"/>
      <c r="N148" s="445"/>
      <c r="O148" s="445"/>
      <c r="P148" s="445"/>
    </row>
    <row r="149" spans="1:16">
      <c r="A149" s="277"/>
      <c r="B149" s="445"/>
      <c r="C149" s="445"/>
      <c r="D149" s="445"/>
      <c r="E149" s="445"/>
      <c r="F149" s="445"/>
      <c r="G149" s="445"/>
      <c r="H149" s="445"/>
      <c r="I149" s="445"/>
      <c r="J149" s="445"/>
      <c r="K149" s="1136"/>
      <c r="L149" s="1136"/>
      <c r="M149" s="445"/>
      <c r="N149" s="445"/>
      <c r="O149" s="445"/>
      <c r="P149" s="445"/>
    </row>
    <row r="150" spans="1:16">
      <c r="A150" s="277"/>
      <c r="B150" s="445"/>
      <c r="C150" s="445"/>
      <c r="D150" s="445"/>
      <c r="E150" s="445"/>
      <c r="F150" s="445"/>
      <c r="G150" s="445"/>
      <c r="H150" s="445"/>
      <c r="I150" s="445"/>
      <c r="J150" s="445"/>
      <c r="K150" s="1136"/>
      <c r="L150" s="1136"/>
      <c r="M150" s="445"/>
      <c r="N150" s="445"/>
      <c r="O150" s="445"/>
      <c r="P150" s="445"/>
    </row>
    <row r="151" spans="1:16">
      <c r="A151" s="277"/>
      <c r="B151" s="445"/>
      <c r="C151" s="445"/>
      <c r="D151" s="445"/>
      <c r="E151" s="445"/>
      <c r="F151" s="445"/>
      <c r="G151" s="445"/>
      <c r="H151" s="445"/>
      <c r="I151" s="445"/>
      <c r="J151" s="445"/>
      <c r="K151" s="1136"/>
      <c r="L151" s="1136"/>
      <c r="M151" s="445"/>
      <c r="N151" s="445"/>
      <c r="O151" s="445"/>
      <c r="P151" s="445"/>
    </row>
    <row r="152" spans="1:16">
      <c r="A152" s="277"/>
      <c r="B152" s="445"/>
      <c r="C152" s="445"/>
      <c r="D152" s="445"/>
      <c r="E152" s="445"/>
      <c r="F152" s="445"/>
      <c r="G152" s="445"/>
      <c r="H152" s="445"/>
      <c r="I152" s="445"/>
      <c r="J152" s="445"/>
      <c r="K152" s="1136"/>
      <c r="L152" s="1136"/>
      <c r="M152" s="445"/>
      <c r="N152" s="445"/>
      <c r="O152" s="445"/>
      <c r="P152" s="445"/>
    </row>
    <row r="153" spans="1:16">
      <c r="A153" s="277"/>
      <c r="B153" s="445"/>
      <c r="C153" s="445"/>
      <c r="D153" s="445"/>
      <c r="E153" s="445"/>
      <c r="F153" s="445"/>
      <c r="G153" s="445"/>
      <c r="H153" s="445"/>
      <c r="I153" s="445"/>
      <c r="J153" s="445"/>
      <c r="K153" s="1136"/>
      <c r="L153" s="1136"/>
      <c r="M153" s="445"/>
      <c r="N153" s="445"/>
      <c r="O153" s="445"/>
      <c r="P153" s="445"/>
    </row>
    <row r="154" spans="1:16">
      <c r="A154" s="277"/>
      <c r="B154" s="445"/>
      <c r="C154" s="445"/>
      <c r="D154" s="445"/>
      <c r="E154" s="445"/>
      <c r="F154" s="445"/>
      <c r="G154" s="445"/>
      <c r="H154" s="445"/>
      <c r="I154" s="445"/>
      <c r="J154" s="445"/>
      <c r="K154" s="1136"/>
      <c r="L154" s="1136"/>
      <c r="M154" s="445"/>
      <c r="N154" s="445"/>
      <c r="O154" s="445"/>
      <c r="P154" s="445"/>
    </row>
    <row r="155" spans="1:16">
      <c r="A155" s="277"/>
      <c r="B155" s="445"/>
      <c r="C155" s="445"/>
      <c r="D155" s="445"/>
      <c r="E155" s="445"/>
      <c r="F155" s="445"/>
      <c r="G155" s="445"/>
      <c r="H155" s="445"/>
      <c r="I155" s="445"/>
      <c r="J155" s="445"/>
      <c r="K155" s="1136"/>
      <c r="L155" s="1136"/>
      <c r="M155" s="445"/>
      <c r="N155" s="445"/>
      <c r="O155" s="445"/>
      <c r="P155" s="445"/>
    </row>
    <row r="156" spans="1:16">
      <c r="A156" s="277"/>
      <c r="B156" s="445"/>
      <c r="C156" s="445"/>
      <c r="D156" s="445"/>
      <c r="E156" s="445"/>
      <c r="F156" s="445"/>
      <c r="G156" s="445"/>
      <c r="H156" s="445"/>
      <c r="I156" s="445"/>
      <c r="J156" s="445"/>
      <c r="K156" s="1136"/>
      <c r="L156" s="1136"/>
      <c r="M156" s="445"/>
      <c r="N156" s="445"/>
      <c r="O156" s="445"/>
      <c r="P156" s="445"/>
    </row>
    <row r="157" spans="1:16">
      <c r="A157" s="277"/>
      <c r="B157" s="445"/>
      <c r="C157" s="445"/>
      <c r="D157" s="445"/>
      <c r="E157" s="445"/>
      <c r="F157" s="445"/>
      <c r="G157" s="445"/>
      <c r="H157" s="445"/>
      <c r="I157" s="445"/>
      <c r="J157" s="445"/>
      <c r="K157" s="1136"/>
      <c r="L157" s="1136"/>
      <c r="M157" s="445"/>
      <c r="N157" s="445"/>
      <c r="O157" s="445"/>
      <c r="P157" s="445"/>
    </row>
    <row r="158" spans="1:16">
      <c r="A158" s="277"/>
      <c r="B158" s="445"/>
      <c r="C158" s="445"/>
      <c r="D158" s="445"/>
      <c r="E158" s="445"/>
      <c r="F158" s="445"/>
      <c r="G158" s="445"/>
      <c r="H158" s="445"/>
      <c r="I158" s="445"/>
      <c r="J158" s="445"/>
      <c r="K158" s="1136"/>
      <c r="L158" s="1136"/>
      <c r="M158" s="445"/>
      <c r="N158" s="445"/>
      <c r="O158" s="445"/>
      <c r="P158" s="445"/>
    </row>
    <row r="159" spans="1:16">
      <c r="A159" s="277"/>
      <c r="B159" s="445"/>
      <c r="C159" s="445"/>
      <c r="D159" s="445"/>
      <c r="E159" s="445"/>
      <c r="F159" s="445"/>
      <c r="G159" s="445"/>
      <c r="H159" s="445"/>
      <c r="I159" s="445"/>
      <c r="J159" s="445"/>
      <c r="K159" s="1136"/>
      <c r="L159" s="1136"/>
      <c r="M159" s="445"/>
      <c r="N159" s="445"/>
      <c r="O159" s="445"/>
      <c r="P159" s="445"/>
    </row>
    <row r="160" spans="1:16">
      <c r="A160" s="277"/>
      <c r="B160" s="445"/>
      <c r="C160" s="445"/>
      <c r="D160" s="445"/>
      <c r="E160" s="445"/>
      <c r="F160" s="445"/>
      <c r="G160" s="445"/>
      <c r="H160" s="445"/>
      <c r="I160" s="445"/>
      <c r="J160" s="445"/>
      <c r="K160" s="1136"/>
      <c r="L160" s="1136"/>
      <c r="M160" s="445"/>
      <c r="N160" s="445"/>
      <c r="O160" s="445"/>
      <c r="P160" s="445"/>
    </row>
    <row r="161" spans="1:16">
      <c r="A161" s="277"/>
      <c r="B161" s="445"/>
      <c r="C161" s="445"/>
      <c r="D161" s="445"/>
      <c r="E161" s="445"/>
      <c r="F161" s="445"/>
      <c r="G161" s="445"/>
      <c r="H161" s="445"/>
      <c r="I161" s="445"/>
      <c r="J161" s="445"/>
      <c r="K161" s="1136"/>
      <c r="L161" s="1136"/>
      <c r="M161" s="445"/>
      <c r="N161" s="445"/>
      <c r="O161" s="445"/>
      <c r="P161" s="445"/>
    </row>
    <row r="162" spans="1:16">
      <c r="A162" s="277"/>
      <c r="B162" s="445"/>
      <c r="C162" s="445"/>
      <c r="D162" s="445"/>
      <c r="E162" s="445"/>
      <c r="F162" s="445"/>
      <c r="G162" s="445"/>
      <c r="H162" s="445"/>
      <c r="I162" s="445"/>
      <c r="J162" s="445"/>
      <c r="K162" s="1136"/>
      <c r="L162" s="1136"/>
      <c r="M162" s="445"/>
      <c r="N162" s="445"/>
      <c r="O162" s="445"/>
      <c r="P162" s="445"/>
    </row>
    <row r="163" spans="1:16">
      <c r="A163" s="277"/>
      <c r="B163" s="445"/>
      <c r="C163" s="445"/>
      <c r="D163" s="445"/>
      <c r="E163" s="445"/>
      <c r="F163" s="445"/>
      <c r="G163" s="445"/>
      <c r="H163" s="445"/>
      <c r="I163" s="445"/>
      <c r="J163" s="445"/>
      <c r="K163" s="1136"/>
      <c r="L163" s="1136"/>
      <c r="M163" s="445"/>
      <c r="N163" s="445"/>
      <c r="O163" s="445"/>
      <c r="P163" s="445"/>
    </row>
    <row r="164" spans="1:16">
      <c r="A164" s="277"/>
      <c r="B164" s="445"/>
      <c r="C164" s="445"/>
      <c r="D164" s="445"/>
      <c r="E164" s="445"/>
      <c r="F164" s="445"/>
      <c r="G164" s="445"/>
      <c r="H164" s="445"/>
      <c r="I164" s="445"/>
      <c r="J164" s="445"/>
      <c r="K164" s="1136"/>
      <c r="L164" s="1136"/>
      <c r="M164" s="445"/>
      <c r="N164" s="445"/>
      <c r="O164" s="445"/>
      <c r="P164" s="445"/>
    </row>
    <row r="165" spans="1:16">
      <c r="A165" s="277"/>
      <c r="B165" s="445"/>
      <c r="C165" s="445"/>
      <c r="D165" s="445"/>
      <c r="E165" s="445"/>
      <c r="F165" s="445"/>
      <c r="G165" s="445"/>
      <c r="H165" s="445"/>
      <c r="I165" s="445"/>
      <c r="J165" s="445"/>
      <c r="K165" s="1136"/>
      <c r="L165" s="1136"/>
      <c r="M165" s="445"/>
      <c r="N165" s="445"/>
      <c r="O165" s="445"/>
      <c r="P165" s="445"/>
    </row>
    <row r="166" spans="1:16">
      <c r="A166" s="277"/>
      <c r="B166" s="445"/>
      <c r="C166" s="445"/>
      <c r="D166" s="445"/>
      <c r="E166" s="445"/>
      <c r="F166" s="445"/>
      <c r="G166" s="445"/>
      <c r="H166" s="445"/>
      <c r="I166" s="445"/>
      <c r="J166" s="445"/>
      <c r="K166" s="1136"/>
      <c r="L166" s="1136"/>
      <c r="M166" s="445"/>
      <c r="N166" s="445"/>
      <c r="O166" s="445"/>
      <c r="P166" s="445"/>
    </row>
    <row r="167" spans="1:16">
      <c r="A167" s="277"/>
      <c r="B167" s="445"/>
      <c r="C167" s="445"/>
      <c r="D167" s="445"/>
      <c r="E167" s="445"/>
      <c r="F167" s="445"/>
      <c r="G167" s="445"/>
      <c r="H167" s="445"/>
      <c r="I167" s="445"/>
      <c r="J167" s="445"/>
      <c r="K167" s="1136"/>
      <c r="L167" s="1136"/>
      <c r="M167" s="445"/>
      <c r="N167" s="445"/>
      <c r="O167" s="445"/>
      <c r="P167" s="445"/>
    </row>
    <row r="168" spans="1:16">
      <c r="A168" s="277"/>
      <c r="B168" s="445"/>
      <c r="C168" s="445"/>
      <c r="D168" s="445"/>
      <c r="E168" s="445"/>
      <c r="F168" s="445"/>
      <c r="G168" s="445"/>
      <c r="H168" s="445"/>
      <c r="I168" s="445"/>
      <c r="J168" s="445"/>
      <c r="K168" s="1136"/>
      <c r="L168" s="1136"/>
      <c r="M168" s="445"/>
      <c r="N168" s="445"/>
      <c r="O168" s="445"/>
      <c r="P168" s="445"/>
    </row>
    <row r="169" spans="1:16">
      <c r="A169" s="277"/>
      <c r="B169" s="445"/>
      <c r="C169" s="445"/>
      <c r="D169" s="445"/>
      <c r="E169" s="445"/>
      <c r="F169" s="445"/>
      <c r="G169" s="445"/>
      <c r="H169" s="445"/>
      <c r="I169" s="445"/>
      <c r="J169" s="445"/>
      <c r="K169" s="1136"/>
      <c r="L169" s="1136"/>
      <c r="M169" s="445"/>
      <c r="N169" s="445"/>
      <c r="O169" s="445"/>
      <c r="P169" s="445"/>
    </row>
    <row r="170" spans="1:16">
      <c r="A170" s="277"/>
      <c r="B170" s="445"/>
      <c r="C170" s="445"/>
      <c r="D170" s="445"/>
      <c r="E170" s="445"/>
      <c r="F170" s="445"/>
      <c r="G170" s="445"/>
      <c r="H170" s="445"/>
      <c r="I170" s="445"/>
      <c r="J170" s="445"/>
      <c r="K170" s="1136"/>
      <c r="L170" s="1136"/>
      <c r="M170" s="445"/>
      <c r="N170" s="445"/>
      <c r="O170" s="445"/>
      <c r="P170" s="445"/>
    </row>
    <row r="171" spans="1:16">
      <c r="A171" s="277"/>
      <c r="B171" s="445"/>
      <c r="C171" s="445"/>
      <c r="D171" s="445"/>
      <c r="E171" s="445"/>
      <c r="F171" s="445"/>
      <c r="G171" s="445"/>
      <c r="H171" s="445"/>
      <c r="I171" s="445"/>
      <c r="J171" s="445"/>
      <c r="K171" s="1136"/>
      <c r="L171" s="1136"/>
      <c r="M171" s="445"/>
      <c r="N171" s="445"/>
      <c r="O171" s="445"/>
      <c r="P171" s="445"/>
    </row>
    <row r="172" spans="1:16">
      <c r="A172" s="277"/>
      <c r="B172" s="445"/>
      <c r="C172" s="445"/>
      <c r="D172" s="445"/>
      <c r="E172" s="445"/>
      <c r="F172" s="445"/>
      <c r="G172" s="445"/>
      <c r="H172" s="445"/>
      <c r="I172" s="445"/>
      <c r="J172" s="445"/>
      <c r="K172" s="1136"/>
      <c r="L172" s="1136"/>
      <c r="M172" s="445"/>
      <c r="N172" s="445"/>
      <c r="O172" s="445"/>
      <c r="P172" s="445"/>
    </row>
    <row r="173" spans="1:16">
      <c r="A173" s="277"/>
      <c r="B173" s="445"/>
      <c r="C173" s="445"/>
      <c r="D173" s="445"/>
      <c r="E173" s="445"/>
      <c r="F173" s="445"/>
      <c r="G173" s="445"/>
      <c r="H173" s="445"/>
      <c r="I173" s="445"/>
      <c r="J173" s="445"/>
      <c r="K173" s="1136"/>
      <c r="L173" s="1136"/>
      <c r="M173" s="445"/>
      <c r="N173" s="445"/>
      <c r="O173" s="445"/>
      <c r="P173" s="445"/>
    </row>
    <row r="174" spans="1:16">
      <c r="A174" s="277"/>
      <c r="B174" s="445"/>
      <c r="C174" s="445"/>
      <c r="D174" s="445"/>
      <c r="E174" s="445"/>
      <c r="F174" s="445"/>
      <c r="G174" s="445"/>
      <c r="H174" s="445"/>
      <c r="I174" s="445"/>
      <c r="J174" s="445"/>
      <c r="K174" s="1136"/>
      <c r="L174" s="1136"/>
      <c r="M174" s="445"/>
      <c r="N174" s="445"/>
      <c r="O174" s="445"/>
      <c r="P174" s="445"/>
    </row>
    <row r="175" spans="1:16">
      <c r="A175" s="277"/>
      <c r="B175" s="445"/>
      <c r="C175" s="445"/>
      <c r="D175" s="445"/>
      <c r="E175" s="445"/>
      <c r="F175" s="445"/>
      <c r="G175" s="445"/>
      <c r="H175" s="445"/>
      <c r="I175" s="445"/>
      <c r="J175" s="445"/>
      <c r="K175" s="1136"/>
      <c r="L175" s="1136"/>
      <c r="M175" s="445"/>
      <c r="N175" s="445"/>
      <c r="O175" s="445"/>
      <c r="P175" s="445"/>
    </row>
    <row r="176" spans="1:16">
      <c r="A176" s="277"/>
      <c r="B176" s="445"/>
      <c r="C176" s="445"/>
      <c r="D176" s="445"/>
      <c r="E176" s="445"/>
      <c r="F176" s="445"/>
      <c r="G176" s="445"/>
      <c r="H176" s="445"/>
      <c r="I176" s="445"/>
      <c r="J176" s="445"/>
      <c r="K176" s="1136"/>
      <c r="L176" s="1136"/>
      <c r="M176" s="445"/>
      <c r="N176" s="445"/>
      <c r="O176" s="445"/>
      <c r="P176" s="445"/>
    </row>
    <row r="177" spans="1:16">
      <c r="A177" s="277"/>
      <c r="B177" s="445"/>
      <c r="C177" s="445"/>
      <c r="D177" s="445"/>
      <c r="E177" s="445"/>
      <c r="F177" s="445"/>
      <c r="G177" s="445"/>
      <c r="H177" s="445"/>
      <c r="I177" s="445"/>
      <c r="J177" s="445"/>
      <c r="K177" s="1136"/>
      <c r="L177" s="1136"/>
      <c r="M177" s="445"/>
      <c r="N177" s="445"/>
      <c r="O177" s="445"/>
      <c r="P177" s="445"/>
    </row>
    <row r="178" spans="1:16">
      <c r="A178" s="277"/>
      <c r="B178" s="445"/>
      <c r="C178" s="445"/>
      <c r="D178" s="445"/>
      <c r="E178" s="445"/>
      <c r="F178" s="445"/>
      <c r="G178" s="445"/>
      <c r="H178" s="445"/>
      <c r="I178" s="445"/>
      <c r="J178" s="445"/>
      <c r="K178" s="1136"/>
      <c r="L178" s="1136"/>
      <c r="M178" s="445"/>
      <c r="N178" s="445"/>
      <c r="O178" s="445"/>
      <c r="P178" s="445"/>
    </row>
    <row r="179" spans="1:16">
      <c r="A179" s="277"/>
      <c r="B179" s="445"/>
      <c r="C179" s="445"/>
      <c r="D179" s="445"/>
      <c r="E179" s="445"/>
      <c r="F179" s="445"/>
      <c r="G179" s="445"/>
      <c r="H179" s="445"/>
      <c r="I179" s="445"/>
      <c r="J179" s="445"/>
      <c r="K179" s="1136"/>
      <c r="L179" s="1136"/>
      <c r="M179" s="445"/>
      <c r="N179" s="445"/>
      <c r="O179" s="445"/>
      <c r="P179" s="445"/>
    </row>
    <row r="180" spans="1:16">
      <c r="A180" s="277"/>
      <c r="B180" s="445"/>
      <c r="C180" s="445"/>
      <c r="D180" s="445"/>
      <c r="E180" s="445"/>
      <c r="F180" s="445"/>
      <c r="G180" s="445"/>
      <c r="H180" s="445"/>
      <c r="I180" s="445"/>
      <c r="J180" s="445"/>
      <c r="K180" s="1136"/>
      <c r="L180" s="1136"/>
      <c r="M180" s="445"/>
      <c r="N180" s="445"/>
      <c r="O180" s="445"/>
      <c r="P180" s="445"/>
    </row>
    <row r="181" spans="1:16">
      <c r="A181" s="277"/>
      <c r="B181" s="445"/>
      <c r="C181" s="445"/>
      <c r="D181" s="445"/>
      <c r="E181" s="445"/>
      <c r="F181" s="445"/>
      <c r="G181" s="445"/>
      <c r="H181" s="445"/>
      <c r="I181" s="445"/>
      <c r="J181" s="445"/>
      <c r="K181" s="1136"/>
      <c r="L181" s="1136"/>
      <c r="M181" s="445"/>
      <c r="N181" s="445"/>
      <c r="O181" s="445"/>
      <c r="P181" s="445"/>
    </row>
    <row r="182" spans="1:16">
      <c r="A182" s="277"/>
      <c r="B182" s="445"/>
      <c r="C182" s="445"/>
      <c r="D182" s="445"/>
      <c r="E182" s="445"/>
      <c r="F182" s="445"/>
      <c r="G182" s="445"/>
      <c r="H182" s="445"/>
      <c r="I182" s="445"/>
      <c r="J182" s="445"/>
      <c r="K182" s="1136"/>
      <c r="L182" s="1136"/>
      <c r="M182" s="445"/>
      <c r="N182" s="445"/>
      <c r="O182" s="445"/>
      <c r="P182" s="445"/>
    </row>
    <row r="183" spans="1:16">
      <c r="A183" s="277"/>
      <c r="B183" s="445"/>
      <c r="C183" s="445"/>
      <c r="D183" s="445"/>
      <c r="E183" s="445"/>
      <c r="F183" s="445"/>
      <c r="G183" s="445"/>
      <c r="H183" s="445"/>
      <c r="I183" s="445"/>
      <c r="J183" s="445"/>
      <c r="K183" s="1136"/>
      <c r="L183" s="1136"/>
      <c r="M183" s="445"/>
      <c r="N183" s="445"/>
      <c r="O183" s="445"/>
      <c r="P183" s="445"/>
    </row>
    <row r="184" spans="1:16">
      <c r="A184" s="277"/>
      <c r="B184" s="445"/>
      <c r="C184" s="445"/>
      <c r="D184" s="445"/>
      <c r="E184" s="445"/>
      <c r="F184" s="445"/>
      <c r="G184" s="445"/>
      <c r="H184" s="445"/>
      <c r="I184" s="445"/>
      <c r="J184" s="445"/>
      <c r="K184" s="1136"/>
      <c r="L184" s="1136"/>
      <c r="M184" s="445"/>
      <c r="N184" s="445"/>
      <c r="O184" s="445"/>
      <c r="P184" s="445"/>
    </row>
    <row r="185" spans="1:16">
      <c r="A185" s="277"/>
      <c r="B185" s="445"/>
      <c r="C185" s="445"/>
      <c r="D185" s="445"/>
      <c r="E185" s="445"/>
      <c r="F185" s="445"/>
      <c r="G185" s="445"/>
      <c r="H185" s="445"/>
      <c r="I185" s="445"/>
      <c r="J185" s="445"/>
      <c r="K185" s="1136"/>
      <c r="L185" s="1136"/>
      <c r="M185" s="445"/>
      <c r="N185" s="445"/>
      <c r="O185" s="445"/>
      <c r="P185" s="445"/>
    </row>
    <row r="186" spans="1:16">
      <c r="A186" s="277"/>
      <c r="B186" s="445"/>
      <c r="C186" s="445"/>
      <c r="D186" s="445"/>
      <c r="E186" s="445"/>
      <c r="F186" s="445"/>
      <c r="G186" s="445"/>
      <c r="H186" s="445"/>
      <c r="I186" s="445"/>
      <c r="J186" s="445"/>
      <c r="K186" s="1136"/>
      <c r="L186" s="1136"/>
      <c r="M186" s="445"/>
      <c r="N186" s="445"/>
      <c r="O186" s="445"/>
      <c r="P186" s="445"/>
    </row>
    <row r="187" spans="1:16">
      <c r="A187" s="277"/>
      <c r="B187" s="445"/>
      <c r="C187" s="445"/>
      <c r="D187" s="445"/>
      <c r="E187" s="445"/>
      <c r="F187" s="445"/>
      <c r="G187" s="445"/>
      <c r="H187" s="445"/>
      <c r="I187" s="445"/>
      <c r="J187" s="445"/>
      <c r="K187" s="1136"/>
      <c r="L187" s="1136"/>
      <c r="M187" s="445"/>
      <c r="N187" s="445"/>
      <c r="O187" s="445"/>
      <c r="P187" s="445"/>
    </row>
    <row r="188" spans="1:16">
      <c r="A188" s="277"/>
      <c r="B188" s="445"/>
      <c r="C188" s="445"/>
      <c r="D188" s="445"/>
      <c r="E188" s="445"/>
      <c r="F188" s="445"/>
      <c r="G188" s="445"/>
      <c r="H188" s="445"/>
      <c r="I188" s="445"/>
      <c r="J188" s="445"/>
      <c r="K188" s="1136"/>
      <c r="L188" s="1136"/>
      <c r="M188" s="445"/>
      <c r="N188" s="445"/>
      <c r="O188" s="445"/>
      <c r="P188" s="445"/>
    </row>
    <row r="189" spans="1:16">
      <c r="A189" s="277"/>
      <c r="B189" s="445"/>
      <c r="C189" s="445"/>
      <c r="D189" s="445"/>
      <c r="E189" s="445"/>
      <c r="F189" s="445"/>
      <c r="G189" s="445"/>
      <c r="H189" s="445"/>
      <c r="I189" s="445"/>
      <c r="J189" s="445"/>
      <c r="K189" s="1136"/>
      <c r="L189" s="1136"/>
      <c r="M189" s="445"/>
      <c r="N189" s="445"/>
      <c r="O189" s="445"/>
      <c r="P189" s="445"/>
    </row>
    <row r="190" spans="1:16">
      <c r="A190" s="277"/>
      <c r="B190" s="445"/>
      <c r="C190" s="445"/>
      <c r="D190" s="445"/>
      <c r="E190" s="445"/>
      <c r="F190" s="445"/>
      <c r="G190" s="445"/>
      <c r="H190" s="445"/>
      <c r="I190" s="445"/>
      <c r="J190" s="445"/>
      <c r="K190" s="1136"/>
      <c r="L190" s="1136"/>
      <c r="M190" s="445"/>
      <c r="N190" s="445"/>
      <c r="O190" s="445"/>
      <c r="P190" s="445"/>
    </row>
    <row r="191" spans="1:16">
      <c r="A191" s="277"/>
      <c r="B191" s="445"/>
      <c r="C191" s="445"/>
      <c r="D191" s="445"/>
      <c r="E191" s="445"/>
      <c r="F191" s="445"/>
      <c r="G191" s="445"/>
      <c r="H191" s="445"/>
      <c r="I191" s="445"/>
      <c r="J191" s="445"/>
      <c r="K191" s="1136"/>
      <c r="L191" s="1136"/>
      <c r="M191" s="445"/>
      <c r="N191" s="445"/>
      <c r="O191" s="445"/>
      <c r="P191" s="445"/>
    </row>
    <row r="192" spans="1:16">
      <c r="A192" s="277"/>
      <c r="B192" s="445"/>
      <c r="C192" s="445"/>
      <c r="D192" s="445"/>
      <c r="E192" s="445"/>
      <c r="F192" s="445"/>
      <c r="G192" s="445"/>
      <c r="H192" s="445"/>
      <c r="I192" s="445"/>
      <c r="J192" s="445"/>
      <c r="K192" s="1136"/>
      <c r="L192" s="1136"/>
      <c r="M192" s="445"/>
      <c r="N192" s="445"/>
      <c r="O192" s="445"/>
      <c r="P192" s="445"/>
    </row>
    <row r="193" spans="1:16">
      <c r="A193" s="277"/>
      <c r="B193" s="445"/>
      <c r="C193" s="445"/>
      <c r="D193" s="445"/>
      <c r="E193" s="445"/>
      <c r="F193" s="445"/>
      <c r="G193" s="445"/>
      <c r="H193" s="445"/>
      <c r="I193" s="445"/>
      <c r="J193" s="445"/>
      <c r="K193" s="1136"/>
      <c r="L193" s="1136"/>
      <c r="M193" s="445"/>
      <c r="N193" s="445"/>
      <c r="O193" s="445"/>
      <c r="P193" s="445"/>
    </row>
    <row r="194" spans="1:16">
      <c r="A194" s="277"/>
      <c r="B194" s="445"/>
      <c r="C194" s="445"/>
      <c r="D194" s="445"/>
      <c r="E194" s="445"/>
      <c r="F194" s="445"/>
      <c r="G194" s="445"/>
      <c r="H194" s="445"/>
      <c r="I194" s="445"/>
      <c r="J194" s="445"/>
      <c r="K194" s="1136"/>
      <c r="L194" s="1136"/>
      <c r="M194" s="445"/>
      <c r="N194" s="445"/>
      <c r="O194" s="445"/>
      <c r="P194" s="445"/>
    </row>
    <row r="195" spans="1:16">
      <c r="A195" s="277"/>
      <c r="B195" s="445"/>
      <c r="C195" s="445"/>
      <c r="D195" s="445"/>
      <c r="E195" s="445"/>
      <c r="F195" s="445"/>
      <c r="G195" s="445"/>
      <c r="H195" s="445"/>
      <c r="I195" s="445"/>
      <c r="J195" s="445"/>
      <c r="K195" s="1136"/>
      <c r="L195" s="1136"/>
      <c r="M195" s="445"/>
      <c r="N195" s="445"/>
      <c r="O195" s="445"/>
      <c r="P195" s="445"/>
    </row>
    <row r="196" spans="1:16">
      <c r="A196" s="277"/>
      <c r="B196" s="445"/>
      <c r="C196" s="445"/>
      <c r="D196" s="445"/>
      <c r="E196" s="445"/>
      <c r="F196" s="445"/>
      <c r="G196" s="445"/>
      <c r="H196" s="445"/>
      <c r="I196" s="445"/>
      <c r="J196" s="445"/>
      <c r="K196" s="1136"/>
      <c r="L196" s="1136"/>
      <c r="M196" s="445"/>
      <c r="N196" s="445"/>
      <c r="O196" s="445"/>
      <c r="P196" s="445"/>
    </row>
    <row r="197" spans="1:16">
      <c r="A197" s="277"/>
      <c r="B197" s="445"/>
      <c r="C197" s="445"/>
      <c r="D197" s="445"/>
      <c r="E197" s="445"/>
      <c r="F197" s="445"/>
      <c r="G197" s="445"/>
      <c r="H197" s="445"/>
      <c r="I197" s="445"/>
      <c r="J197" s="445"/>
      <c r="K197" s="1136"/>
      <c r="L197" s="1136"/>
      <c r="M197" s="445"/>
      <c r="N197" s="445"/>
      <c r="O197" s="445"/>
      <c r="P197" s="445"/>
    </row>
    <row r="198" spans="1:16">
      <c r="A198" s="277"/>
      <c r="B198" s="445"/>
      <c r="C198" s="445"/>
      <c r="D198" s="445"/>
      <c r="E198" s="445"/>
      <c r="F198" s="445"/>
      <c r="G198" s="445"/>
      <c r="H198" s="445"/>
      <c r="I198" s="445"/>
      <c r="J198" s="445"/>
      <c r="K198" s="1136"/>
      <c r="L198" s="1136"/>
      <c r="M198" s="445"/>
      <c r="N198" s="445"/>
      <c r="O198" s="445"/>
      <c r="P198" s="445"/>
    </row>
    <row r="199" spans="1:16">
      <c r="A199" s="277"/>
      <c r="B199" s="445"/>
      <c r="C199" s="445"/>
      <c r="D199" s="445"/>
      <c r="E199" s="445"/>
      <c r="F199" s="445"/>
      <c r="G199" s="445"/>
      <c r="H199" s="445"/>
      <c r="I199" s="445"/>
      <c r="J199" s="445"/>
      <c r="K199" s="1136"/>
      <c r="L199" s="1136"/>
      <c r="M199" s="445"/>
      <c r="N199" s="445"/>
      <c r="O199" s="445"/>
      <c r="P199" s="445"/>
    </row>
    <row r="200" spans="1:16">
      <c r="A200" s="277"/>
      <c r="B200" s="445"/>
      <c r="C200" s="445"/>
      <c r="D200" s="445"/>
      <c r="E200" s="445"/>
      <c r="F200" s="445"/>
      <c r="G200" s="445"/>
      <c r="H200" s="445"/>
      <c r="I200" s="445"/>
      <c r="J200" s="445"/>
      <c r="K200" s="1136"/>
      <c r="L200" s="1136"/>
      <c r="M200" s="445"/>
      <c r="N200" s="445"/>
      <c r="O200" s="445"/>
      <c r="P200" s="445"/>
    </row>
    <row r="201" spans="1:16">
      <c r="A201" s="277"/>
      <c r="B201" s="445"/>
      <c r="C201" s="445"/>
      <c r="D201" s="445"/>
      <c r="E201" s="445"/>
      <c r="F201" s="445"/>
      <c r="G201" s="445"/>
      <c r="H201" s="445"/>
      <c r="I201" s="445"/>
      <c r="J201" s="445"/>
      <c r="K201" s="1136"/>
      <c r="L201" s="1136"/>
      <c r="M201" s="445"/>
      <c r="N201" s="445"/>
      <c r="O201" s="445"/>
      <c r="P201" s="445"/>
    </row>
    <row r="202" spans="1:16">
      <c r="A202" s="277"/>
      <c r="B202" s="445"/>
      <c r="C202" s="445"/>
      <c r="D202" s="445"/>
      <c r="E202" s="445"/>
      <c r="F202" s="445"/>
      <c r="G202" s="445"/>
      <c r="H202" s="445"/>
      <c r="I202" s="445"/>
      <c r="J202" s="445"/>
      <c r="K202" s="1136"/>
      <c r="L202" s="1136"/>
      <c r="M202" s="445"/>
      <c r="N202" s="445"/>
      <c r="O202" s="445"/>
      <c r="P202" s="445"/>
    </row>
    <row r="203" spans="1:16">
      <c r="A203" s="277"/>
      <c r="B203" s="445"/>
      <c r="C203" s="445"/>
      <c r="D203" s="445"/>
      <c r="E203" s="445"/>
      <c r="F203" s="445"/>
      <c r="G203" s="445"/>
      <c r="H203" s="445"/>
      <c r="I203" s="445"/>
      <c r="J203" s="445"/>
      <c r="K203" s="1136"/>
      <c r="L203" s="1136"/>
      <c r="M203" s="445"/>
      <c r="N203" s="445"/>
      <c r="O203" s="445"/>
      <c r="P203" s="445"/>
    </row>
    <row r="204" spans="1:16">
      <c r="A204" s="277"/>
      <c r="B204" s="445"/>
      <c r="C204" s="445"/>
      <c r="D204" s="445"/>
      <c r="E204" s="445"/>
      <c r="F204" s="445"/>
      <c r="G204" s="445"/>
      <c r="H204" s="445"/>
      <c r="I204" s="445"/>
      <c r="J204" s="445"/>
      <c r="K204" s="1136"/>
      <c r="L204" s="1136"/>
      <c r="M204" s="445"/>
      <c r="N204" s="445"/>
      <c r="O204" s="445"/>
      <c r="P204" s="445"/>
    </row>
    <row r="205" spans="1:16">
      <c r="A205" s="277"/>
      <c r="B205" s="445"/>
      <c r="C205" s="445"/>
      <c r="D205" s="445"/>
      <c r="E205" s="445"/>
      <c r="F205" s="445"/>
      <c r="G205" s="445"/>
      <c r="H205" s="445"/>
      <c r="I205" s="445"/>
      <c r="J205" s="445"/>
      <c r="K205" s="1136"/>
      <c r="L205" s="1136"/>
      <c r="M205" s="445"/>
      <c r="N205" s="445"/>
      <c r="O205" s="445"/>
      <c r="P205" s="445"/>
    </row>
    <row r="206" spans="1:16">
      <c r="A206" s="277"/>
      <c r="B206" s="445"/>
      <c r="C206" s="445"/>
      <c r="D206" s="445"/>
      <c r="E206" s="445"/>
      <c r="F206" s="445"/>
      <c r="G206" s="445"/>
      <c r="H206" s="445"/>
      <c r="I206" s="445"/>
      <c r="J206" s="445"/>
      <c r="K206" s="1136"/>
      <c r="L206" s="1136"/>
      <c r="M206" s="445"/>
      <c r="N206" s="445"/>
      <c r="O206" s="445"/>
      <c r="P206" s="445"/>
    </row>
    <row r="207" spans="1:16">
      <c r="A207" s="277"/>
      <c r="B207" s="445"/>
      <c r="C207" s="445"/>
      <c r="D207" s="445"/>
      <c r="E207" s="445"/>
      <c r="F207" s="445"/>
      <c r="G207" s="445"/>
      <c r="H207" s="445"/>
      <c r="I207" s="445"/>
      <c r="J207" s="445"/>
      <c r="K207" s="1136"/>
      <c r="L207" s="1136"/>
      <c r="M207" s="445"/>
      <c r="N207" s="445"/>
      <c r="O207" s="445"/>
      <c r="P207" s="445"/>
    </row>
    <row r="208" spans="1:16">
      <c r="A208" s="277"/>
      <c r="B208" s="445"/>
      <c r="C208" s="445"/>
      <c r="D208" s="445"/>
      <c r="E208" s="445"/>
      <c r="F208" s="445"/>
      <c r="G208" s="445"/>
      <c r="H208" s="445"/>
      <c r="I208" s="445"/>
      <c r="J208" s="445"/>
      <c r="K208" s="1136"/>
      <c r="L208" s="1136"/>
      <c r="M208" s="445"/>
      <c r="N208" s="445"/>
      <c r="O208" s="445"/>
      <c r="P208" s="445"/>
    </row>
    <row r="209" spans="1:16">
      <c r="A209" s="277"/>
      <c r="B209" s="445"/>
      <c r="C209" s="445"/>
      <c r="D209" s="445"/>
      <c r="E209" s="445"/>
      <c r="F209" s="445"/>
      <c r="G209" s="445"/>
      <c r="H209" s="445"/>
      <c r="I209" s="445"/>
      <c r="J209" s="445"/>
      <c r="K209" s="1136"/>
      <c r="L209" s="1136"/>
      <c r="M209" s="445"/>
      <c r="N209" s="445"/>
      <c r="O209" s="445"/>
      <c r="P209" s="445"/>
    </row>
    <row r="210" spans="1:16">
      <c r="A210" s="277"/>
      <c r="B210" s="445"/>
      <c r="C210" s="445"/>
      <c r="D210" s="445"/>
      <c r="E210" s="445"/>
      <c r="F210" s="445"/>
      <c r="G210" s="445"/>
      <c r="H210" s="445"/>
      <c r="I210" s="445"/>
      <c r="J210" s="445"/>
      <c r="K210" s="1136"/>
      <c r="L210" s="1136"/>
      <c r="M210" s="445"/>
      <c r="N210" s="445"/>
      <c r="O210" s="445"/>
      <c r="P210" s="445"/>
    </row>
    <row r="211" spans="1:16">
      <c r="A211" s="277"/>
      <c r="B211" s="445"/>
      <c r="C211" s="445"/>
      <c r="D211" s="445"/>
      <c r="E211" s="445"/>
      <c r="F211" s="445"/>
      <c r="G211" s="445"/>
      <c r="H211" s="445"/>
      <c r="I211" s="445"/>
      <c r="J211" s="445"/>
      <c r="K211" s="1136"/>
      <c r="L211" s="1136"/>
      <c r="M211" s="445"/>
      <c r="N211" s="445"/>
      <c r="O211" s="445"/>
      <c r="P211" s="445"/>
    </row>
    <row r="212" spans="1:16">
      <c r="A212" s="277"/>
      <c r="B212" s="445"/>
      <c r="C212" s="445"/>
      <c r="D212" s="445"/>
      <c r="E212" s="445"/>
      <c r="F212" s="445"/>
      <c r="G212" s="445"/>
      <c r="H212" s="445"/>
      <c r="I212" s="445"/>
      <c r="J212" s="445"/>
      <c r="K212" s="1136"/>
      <c r="L212" s="1136"/>
      <c r="M212" s="445"/>
      <c r="N212" s="445"/>
      <c r="O212" s="445"/>
      <c r="P212" s="445"/>
    </row>
    <row r="213" spans="1:16">
      <c r="A213" s="277"/>
      <c r="B213" s="445"/>
      <c r="C213" s="445"/>
      <c r="D213" s="445"/>
      <c r="E213" s="445"/>
      <c r="F213" s="445"/>
      <c r="G213" s="445"/>
      <c r="H213" s="445"/>
      <c r="I213" s="445"/>
      <c r="J213" s="445"/>
      <c r="K213" s="1136"/>
      <c r="L213" s="1136"/>
      <c r="M213" s="445"/>
      <c r="N213" s="445"/>
      <c r="O213" s="445"/>
      <c r="P213" s="445"/>
    </row>
    <row r="214" spans="1:16">
      <c r="A214" s="277"/>
      <c r="B214" s="445"/>
      <c r="C214" s="445"/>
      <c r="D214" s="445"/>
      <c r="E214" s="445"/>
      <c r="F214" s="445"/>
      <c r="G214" s="445"/>
      <c r="H214" s="445"/>
      <c r="I214" s="445"/>
      <c r="J214" s="445"/>
      <c r="K214" s="1136"/>
      <c r="L214" s="1136"/>
      <c r="M214" s="445"/>
      <c r="N214" s="445"/>
      <c r="O214" s="445"/>
      <c r="P214" s="445"/>
    </row>
    <row r="215" spans="1:16">
      <c r="A215" s="277"/>
      <c r="B215" s="445"/>
      <c r="C215" s="445"/>
      <c r="D215" s="445"/>
      <c r="E215" s="445"/>
      <c r="F215" s="445"/>
      <c r="G215" s="445"/>
      <c r="H215" s="445"/>
      <c r="I215" s="445"/>
      <c r="J215" s="445"/>
      <c r="K215" s="1136"/>
      <c r="L215" s="1136"/>
      <c r="M215" s="445"/>
      <c r="N215" s="445"/>
      <c r="O215" s="445"/>
      <c r="P215" s="445"/>
    </row>
    <row r="216" spans="1:16">
      <c r="A216" s="277"/>
      <c r="B216" s="445"/>
      <c r="C216" s="445"/>
      <c r="D216" s="445"/>
      <c r="E216" s="445"/>
      <c r="F216" s="445"/>
      <c r="G216" s="445"/>
      <c r="H216" s="445"/>
      <c r="I216" s="445"/>
      <c r="J216" s="445"/>
      <c r="K216" s="1136"/>
      <c r="L216" s="1136"/>
      <c r="M216" s="445"/>
      <c r="N216" s="445"/>
      <c r="O216" s="445"/>
      <c r="P216" s="445"/>
    </row>
    <row r="217" spans="1:16">
      <c r="A217" s="277"/>
      <c r="B217" s="445"/>
      <c r="C217" s="445"/>
      <c r="D217" s="445"/>
      <c r="E217" s="445"/>
      <c r="F217" s="445"/>
      <c r="G217" s="445"/>
      <c r="H217" s="445"/>
      <c r="I217" s="445"/>
      <c r="J217" s="445"/>
      <c r="K217" s="1136"/>
      <c r="L217" s="1136"/>
      <c r="M217" s="445"/>
      <c r="N217" s="445"/>
      <c r="O217" s="445"/>
      <c r="P217" s="445"/>
    </row>
    <row r="218" spans="1:16">
      <c r="A218" s="277"/>
      <c r="B218" s="445"/>
      <c r="C218" s="445"/>
      <c r="D218" s="445"/>
      <c r="E218" s="445"/>
      <c r="F218" s="445"/>
      <c r="G218" s="445"/>
      <c r="H218" s="445"/>
      <c r="I218" s="445"/>
      <c r="J218" s="445"/>
      <c r="K218" s="1136"/>
      <c r="L218" s="1136"/>
      <c r="M218" s="445"/>
      <c r="N218" s="445"/>
      <c r="O218" s="445"/>
      <c r="P218" s="445"/>
    </row>
    <row r="219" spans="1:16">
      <c r="A219" s="277"/>
      <c r="B219" s="445"/>
      <c r="C219" s="445"/>
      <c r="D219" s="445"/>
      <c r="E219" s="445"/>
      <c r="F219" s="445"/>
      <c r="G219" s="445"/>
      <c r="H219" s="445"/>
      <c r="I219" s="445"/>
      <c r="J219" s="445"/>
      <c r="K219" s="1136"/>
      <c r="L219" s="1136"/>
      <c r="M219" s="445"/>
      <c r="N219" s="445"/>
      <c r="O219" s="445"/>
      <c r="P219" s="445"/>
    </row>
    <row r="220" spans="1:16">
      <c r="A220" s="277"/>
      <c r="B220" s="445"/>
      <c r="C220" s="445"/>
      <c r="D220" s="445"/>
      <c r="E220" s="445"/>
      <c r="F220" s="445"/>
      <c r="G220" s="445"/>
      <c r="H220" s="445"/>
      <c r="I220" s="445"/>
      <c r="J220" s="445"/>
      <c r="K220" s="1136"/>
      <c r="L220" s="1136"/>
      <c r="M220" s="445"/>
      <c r="N220" s="445"/>
      <c r="O220" s="445"/>
      <c r="P220" s="445"/>
    </row>
    <row r="221" spans="1:16">
      <c r="A221" s="277"/>
      <c r="B221" s="445"/>
      <c r="C221" s="445"/>
      <c r="D221" s="445"/>
      <c r="E221" s="445"/>
      <c r="F221" s="445"/>
      <c r="G221" s="445"/>
      <c r="H221" s="445"/>
      <c r="I221" s="445"/>
      <c r="J221" s="445"/>
      <c r="K221" s="1136"/>
      <c r="L221" s="1136"/>
      <c r="M221" s="445"/>
      <c r="N221" s="445"/>
      <c r="O221" s="445"/>
      <c r="P221" s="445"/>
    </row>
    <row r="222" spans="1:16">
      <c r="A222" s="277"/>
      <c r="B222" s="445"/>
      <c r="C222" s="445"/>
      <c r="D222" s="445"/>
      <c r="E222" s="445"/>
      <c r="F222" s="445"/>
      <c r="G222" s="445"/>
      <c r="H222" s="445"/>
      <c r="I222" s="445"/>
      <c r="J222" s="445"/>
      <c r="K222" s="1136"/>
      <c r="L222" s="1136"/>
      <c r="M222" s="445"/>
      <c r="N222" s="445"/>
      <c r="O222" s="445"/>
      <c r="P222" s="445"/>
    </row>
    <row r="223" spans="1:16">
      <c r="A223" s="277"/>
      <c r="B223" s="445"/>
      <c r="C223" s="445"/>
      <c r="D223" s="445"/>
      <c r="E223" s="445"/>
      <c r="F223" s="445"/>
      <c r="G223" s="445"/>
      <c r="H223" s="445"/>
      <c r="I223" s="445"/>
      <c r="J223" s="445"/>
      <c r="K223" s="1136"/>
      <c r="L223" s="1136"/>
      <c r="M223" s="445"/>
      <c r="N223" s="445"/>
      <c r="O223" s="445"/>
      <c r="P223" s="445"/>
    </row>
    <row r="224" spans="1:16">
      <c r="A224" s="277"/>
      <c r="B224" s="445"/>
      <c r="C224" s="445"/>
      <c r="D224" s="445"/>
      <c r="E224" s="445"/>
      <c r="F224" s="445"/>
      <c r="G224" s="445"/>
      <c r="H224" s="445"/>
      <c r="I224" s="445"/>
      <c r="J224" s="445"/>
      <c r="K224" s="1136"/>
      <c r="L224" s="1136"/>
      <c r="M224" s="445"/>
      <c r="N224" s="445"/>
      <c r="O224" s="445"/>
      <c r="P224" s="445"/>
    </row>
    <row r="225" spans="1:16">
      <c r="A225" s="277"/>
      <c r="B225" s="445"/>
      <c r="C225" s="445"/>
      <c r="D225" s="445"/>
      <c r="E225" s="445"/>
      <c r="F225" s="445"/>
      <c r="G225" s="445"/>
      <c r="H225" s="445"/>
      <c r="I225" s="445"/>
      <c r="J225" s="445"/>
      <c r="K225" s="1136"/>
      <c r="L225" s="1136"/>
      <c r="M225" s="445"/>
      <c r="N225" s="445"/>
      <c r="O225" s="445"/>
      <c r="P225" s="445"/>
    </row>
    <row r="226" spans="1:16">
      <c r="A226" s="277"/>
      <c r="B226" s="445"/>
      <c r="C226" s="445"/>
      <c r="D226" s="445"/>
      <c r="E226" s="445"/>
      <c r="F226" s="445"/>
      <c r="G226" s="445"/>
      <c r="H226" s="445"/>
      <c r="I226" s="445"/>
      <c r="J226" s="445"/>
      <c r="K226" s="1136"/>
      <c r="L226" s="1136"/>
      <c r="M226" s="445"/>
      <c r="N226" s="445"/>
      <c r="O226" s="445"/>
      <c r="P226" s="445"/>
    </row>
    <row r="227" spans="1:16">
      <c r="A227" s="277"/>
      <c r="B227" s="445"/>
      <c r="C227" s="445"/>
      <c r="D227" s="445"/>
      <c r="E227" s="445"/>
      <c r="F227" s="445"/>
      <c r="G227" s="445"/>
      <c r="H227" s="445"/>
      <c r="I227" s="445"/>
      <c r="J227" s="445"/>
      <c r="K227" s="1136"/>
      <c r="L227" s="1136"/>
      <c r="M227" s="445"/>
      <c r="N227" s="445"/>
      <c r="O227" s="445"/>
      <c r="P227" s="445"/>
    </row>
    <row r="228" spans="1:16">
      <c r="A228" s="277"/>
      <c r="B228" s="445"/>
      <c r="C228" s="445"/>
      <c r="D228" s="445"/>
      <c r="E228" s="445"/>
      <c r="F228" s="445"/>
      <c r="G228" s="445"/>
      <c r="H228" s="445"/>
      <c r="I228" s="445"/>
      <c r="J228" s="445"/>
      <c r="K228" s="1136"/>
      <c r="L228" s="1136"/>
      <c r="M228" s="445"/>
      <c r="N228" s="445"/>
      <c r="O228" s="445"/>
      <c r="P228" s="445"/>
    </row>
    <row r="229" spans="1:16">
      <c r="A229" s="277"/>
      <c r="B229" s="445"/>
      <c r="C229" s="445"/>
      <c r="D229" s="445"/>
      <c r="E229" s="445"/>
      <c r="F229" s="445"/>
      <c r="G229" s="445"/>
      <c r="H229" s="445"/>
      <c r="I229" s="445"/>
      <c r="J229" s="445"/>
      <c r="K229" s="1136"/>
      <c r="L229" s="1136"/>
      <c r="M229" s="445"/>
      <c r="N229" s="445"/>
      <c r="O229" s="445"/>
      <c r="P229" s="445"/>
    </row>
    <row r="230" spans="1:16">
      <c r="A230" s="277"/>
      <c r="B230" s="445"/>
      <c r="C230" s="445"/>
      <c r="D230" s="445"/>
      <c r="E230" s="445"/>
      <c r="F230" s="445"/>
      <c r="G230" s="445"/>
      <c r="H230" s="445"/>
      <c r="I230" s="445"/>
      <c r="J230" s="445"/>
      <c r="K230" s="1136"/>
      <c r="L230" s="1136"/>
      <c r="M230" s="445"/>
      <c r="N230" s="445"/>
      <c r="O230" s="445"/>
      <c r="P230" s="445"/>
    </row>
    <row r="231" spans="1:16">
      <c r="A231" s="277"/>
      <c r="B231" s="445"/>
      <c r="C231" s="445"/>
      <c r="D231" s="445"/>
      <c r="E231" s="445"/>
      <c r="F231" s="445"/>
      <c r="G231" s="445"/>
      <c r="H231" s="445"/>
      <c r="I231" s="445"/>
      <c r="J231" s="445"/>
      <c r="K231" s="1136"/>
      <c r="L231" s="1136"/>
      <c r="M231" s="445"/>
      <c r="N231" s="445"/>
      <c r="O231" s="445"/>
      <c r="P231" s="445"/>
    </row>
    <row r="232" spans="1:16">
      <c r="A232" s="277"/>
      <c r="B232" s="445"/>
      <c r="C232" s="445"/>
      <c r="D232" s="445"/>
      <c r="E232" s="445"/>
      <c r="F232" s="445"/>
      <c r="G232" s="445"/>
      <c r="H232" s="445"/>
      <c r="I232" s="445"/>
      <c r="J232" s="445"/>
      <c r="K232" s="1136"/>
      <c r="L232" s="1136"/>
      <c r="M232" s="445"/>
      <c r="N232" s="445"/>
      <c r="O232" s="445"/>
      <c r="P232" s="445"/>
    </row>
    <row r="233" spans="1:16">
      <c r="A233" s="277"/>
      <c r="B233" s="445"/>
      <c r="C233" s="445"/>
      <c r="D233" s="445"/>
      <c r="E233" s="445"/>
      <c r="F233" s="445"/>
      <c r="G233" s="445"/>
      <c r="H233" s="445"/>
      <c r="I233" s="445"/>
      <c r="J233" s="445"/>
      <c r="K233" s="1136"/>
      <c r="L233" s="1136"/>
      <c r="M233" s="445"/>
      <c r="N233" s="445"/>
      <c r="O233" s="445"/>
      <c r="P233" s="445"/>
    </row>
    <row r="234" spans="1:16">
      <c r="A234" s="277"/>
      <c r="B234" s="445"/>
      <c r="C234" s="445"/>
      <c r="D234" s="445"/>
      <c r="E234" s="445"/>
      <c r="F234" s="445"/>
      <c r="G234" s="445"/>
      <c r="H234" s="445"/>
      <c r="I234" s="445"/>
      <c r="J234" s="445"/>
      <c r="K234" s="1136"/>
      <c r="L234" s="1136"/>
      <c r="M234" s="445"/>
      <c r="N234" s="445"/>
      <c r="O234" s="445"/>
      <c r="P234" s="445"/>
    </row>
    <row r="235" spans="1:16">
      <c r="A235" s="277"/>
      <c r="B235" s="445"/>
      <c r="C235" s="445"/>
      <c r="D235" s="445"/>
      <c r="E235" s="445"/>
      <c r="F235" s="445"/>
      <c r="G235" s="445"/>
      <c r="H235" s="445"/>
      <c r="I235" s="445"/>
      <c r="J235" s="445"/>
      <c r="K235" s="1136"/>
      <c r="L235" s="1136"/>
      <c r="M235" s="445"/>
      <c r="N235" s="445"/>
      <c r="O235" s="445"/>
      <c r="P235" s="445"/>
    </row>
    <row r="236" spans="1:16">
      <c r="A236" s="277"/>
      <c r="B236" s="445"/>
      <c r="C236" s="445"/>
      <c r="D236" s="445"/>
      <c r="E236" s="445"/>
      <c r="F236" s="445"/>
      <c r="G236" s="445"/>
      <c r="H236" s="445"/>
      <c r="I236" s="445"/>
      <c r="J236" s="445"/>
      <c r="K236" s="1136"/>
      <c r="L236" s="1136"/>
      <c r="M236" s="445"/>
      <c r="N236" s="445"/>
      <c r="O236" s="445"/>
      <c r="P236" s="445"/>
    </row>
    <row r="237" spans="1:16">
      <c r="A237" s="277"/>
      <c r="B237" s="445"/>
      <c r="C237" s="445"/>
      <c r="D237" s="445"/>
      <c r="E237" s="445"/>
      <c r="F237" s="445"/>
      <c r="G237" s="445"/>
      <c r="H237" s="445"/>
      <c r="I237" s="445"/>
      <c r="J237" s="445"/>
      <c r="K237" s="1136"/>
      <c r="L237" s="1136"/>
      <c r="M237" s="445"/>
      <c r="N237" s="445"/>
      <c r="O237" s="445"/>
      <c r="P237" s="445"/>
    </row>
    <row r="238" spans="1:16">
      <c r="A238" s="277"/>
      <c r="B238" s="445"/>
      <c r="C238" s="445"/>
      <c r="D238" s="445"/>
      <c r="E238" s="445"/>
      <c r="F238" s="445"/>
      <c r="G238" s="445"/>
      <c r="H238" s="445"/>
      <c r="I238" s="445"/>
      <c r="J238" s="445"/>
      <c r="K238" s="1136"/>
      <c r="L238" s="1136"/>
      <c r="M238" s="445"/>
      <c r="N238" s="445"/>
      <c r="O238" s="445"/>
      <c r="P238" s="445"/>
    </row>
    <row r="239" spans="1:16">
      <c r="A239" s="277"/>
      <c r="B239" s="445"/>
      <c r="C239" s="445"/>
      <c r="D239" s="445"/>
      <c r="E239" s="445"/>
      <c r="F239" s="445"/>
      <c r="G239" s="445"/>
      <c r="H239" s="445"/>
      <c r="I239" s="445"/>
      <c r="J239" s="445"/>
      <c r="K239" s="1136"/>
      <c r="L239" s="1136"/>
      <c r="M239" s="445"/>
      <c r="N239" s="445"/>
      <c r="O239" s="445"/>
      <c r="P239" s="445"/>
    </row>
    <row r="240" spans="1:16">
      <c r="A240" s="277"/>
      <c r="B240" s="445"/>
      <c r="C240" s="445"/>
      <c r="D240" s="445"/>
      <c r="E240" s="445"/>
      <c r="F240" s="445"/>
      <c r="G240" s="445"/>
      <c r="H240" s="445"/>
      <c r="I240" s="445"/>
      <c r="J240" s="445"/>
      <c r="K240" s="1136"/>
      <c r="L240" s="1136"/>
      <c r="M240" s="445"/>
      <c r="N240" s="445"/>
      <c r="O240" s="445"/>
      <c r="P240" s="445"/>
    </row>
    <row r="241" spans="1:16">
      <c r="A241" s="277"/>
      <c r="B241" s="445"/>
      <c r="C241" s="445"/>
      <c r="D241" s="445"/>
      <c r="E241" s="445"/>
      <c r="F241" s="445"/>
      <c r="G241" s="445"/>
      <c r="H241" s="445"/>
      <c r="I241" s="445"/>
      <c r="J241" s="445"/>
      <c r="K241" s="1136"/>
      <c r="L241" s="1136"/>
      <c r="M241" s="445"/>
      <c r="N241" s="445"/>
      <c r="O241" s="445"/>
      <c r="P241" s="445"/>
    </row>
    <row r="242" spans="1:16">
      <c r="A242" s="277"/>
      <c r="B242" s="445"/>
      <c r="C242" s="445"/>
      <c r="D242" s="445"/>
      <c r="E242" s="445"/>
      <c r="F242" s="445"/>
      <c r="G242" s="445"/>
      <c r="H242" s="445"/>
      <c r="I242" s="445"/>
      <c r="J242" s="445"/>
      <c r="K242" s="1136"/>
      <c r="L242" s="1136"/>
      <c r="M242" s="445"/>
      <c r="N242" s="445"/>
      <c r="O242" s="445"/>
      <c r="P242" s="445"/>
    </row>
    <row r="243" spans="1:16">
      <c r="A243" s="277"/>
      <c r="B243" s="445"/>
      <c r="C243" s="445"/>
      <c r="D243" s="445"/>
      <c r="E243" s="445"/>
      <c r="F243" s="445"/>
      <c r="G243" s="445"/>
      <c r="H243" s="445"/>
      <c r="I243" s="445"/>
      <c r="J243" s="445"/>
      <c r="K243" s="1136"/>
      <c r="L243" s="1136"/>
      <c r="M243" s="445"/>
      <c r="N243" s="445"/>
      <c r="O243" s="445"/>
      <c r="P243" s="445"/>
    </row>
    <row r="244" spans="1:16">
      <c r="A244" s="277"/>
      <c r="B244" s="445"/>
      <c r="C244" s="445"/>
      <c r="D244" s="445"/>
      <c r="E244" s="445"/>
      <c r="F244" s="445"/>
      <c r="G244" s="445"/>
      <c r="H244" s="445"/>
      <c r="I244" s="445"/>
      <c r="J244" s="445"/>
      <c r="K244" s="1136"/>
      <c r="L244" s="1136"/>
      <c r="M244" s="445"/>
      <c r="N244" s="445"/>
      <c r="O244" s="445"/>
      <c r="P244" s="445"/>
    </row>
    <row r="245" spans="1:16">
      <c r="A245" s="277"/>
      <c r="B245" s="445"/>
      <c r="C245" s="445"/>
      <c r="D245" s="445"/>
      <c r="E245" s="445"/>
      <c r="F245" s="445"/>
      <c r="G245" s="445"/>
      <c r="H245" s="445"/>
      <c r="I245" s="445"/>
      <c r="J245" s="445"/>
      <c r="K245" s="1136"/>
      <c r="L245" s="1136"/>
      <c r="M245" s="445"/>
      <c r="N245" s="445"/>
      <c r="O245" s="445"/>
      <c r="P245" s="445"/>
    </row>
    <row r="246" spans="1:16">
      <c r="A246" s="277"/>
      <c r="B246" s="445"/>
      <c r="C246" s="445"/>
      <c r="D246" s="445"/>
      <c r="E246" s="445"/>
      <c r="F246" s="445"/>
      <c r="G246" s="445"/>
      <c r="H246" s="445"/>
      <c r="I246" s="445"/>
      <c r="J246" s="445"/>
      <c r="K246" s="1136"/>
      <c r="L246" s="1136"/>
      <c r="M246" s="445"/>
      <c r="N246" s="445"/>
      <c r="O246" s="445"/>
      <c r="P246" s="445"/>
    </row>
    <row r="247" spans="1:16">
      <c r="A247" s="277"/>
      <c r="B247" s="445"/>
      <c r="C247" s="445"/>
      <c r="D247" s="445"/>
      <c r="E247" s="445"/>
      <c r="F247" s="445"/>
      <c r="G247" s="445"/>
      <c r="H247" s="445"/>
      <c r="I247" s="445"/>
      <c r="J247" s="445"/>
      <c r="K247" s="1136"/>
      <c r="L247" s="1136"/>
      <c r="M247" s="445"/>
      <c r="N247" s="445"/>
      <c r="O247" s="445"/>
      <c r="P247" s="445"/>
    </row>
    <row r="248" spans="1:16">
      <c r="A248" s="277"/>
      <c r="B248" s="445"/>
      <c r="C248" s="445"/>
      <c r="D248" s="445"/>
      <c r="E248" s="445"/>
      <c r="F248" s="445"/>
      <c r="G248" s="445"/>
      <c r="H248" s="445"/>
      <c r="I248" s="445"/>
      <c r="J248" s="445"/>
      <c r="K248" s="1136"/>
      <c r="L248" s="1136"/>
      <c r="M248" s="445"/>
      <c r="N248" s="445"/>
      <c r="O248" s="445"/>
      <c r="P248" s="445"/>
    </row>
    <row r="249" spans="1:16">
      <c r="A249" s="277"/>
      <c r="B249" s="445"/>
      <c r="C249" s="445"/>
      <c r="D249" s="445"/>
      <c r="E249" s="445"/>
      <c r="F249" s="445"/>
      <c r="G249" s="445"/>
      <c r="H249" s="445"/>
      <c r="I249" s="445"/>
      <c r="J249" s="445"/>
      <c r="K249" s="1136"/>
      <c r="L249" s="1136"/>
      <c r="M249" s="445"/>
      <c r="N249" s="445"/>
      <c r="O249" s="445"/>
      <c r="P249" s="445"/>
    </row>
    <row r="250" spans="1:16">
      <c r="A250" s="277"/>
      <c r="B250" s="445"/>
      <c r="C250" s="445"/>
      <c r="D250" s="445"/>
      <c r="E250" s="445"/>
      <c r="F250" s="445"/>
      <c r="G250" s="445"/>
      <c r="H250" s="445"/>
      <c r="I250" s="445"/>
      <c r="J250" s="445"/>
      <c r="K250" s="1136"/>
      <c r="L250" s="1136"/>
      <c r="M250" s="445"/>
      <c r="N250" s="445"/>
      <c r="O250" s="445"/>
      <c r="P250" s="445"/>
    </row>
    <row r="251" spans="1:16">
      <c r="A251" s="277"/>
      <c r="B251" s="445"/>
      <c r="C251" s="445"/>
      <c r="D251" s="445"/>
      <c r="E251" s="445"/>
      <c r="F251" s="445"/>
      <c r="G251" s="445"/>
      <c r="H251" s="445"/>
      <c r="I251" s="445"/>
      <c r="J251" s="445"/>
      <c r="K251" s="1136"/>
      <c r="L251" s="1136"/>
      <c r="M251" s="445"/>
      <c r="N251" s="445"/>
      <c r="O251" s="445"/>
      <c r="P251" s="445"/>
    </row>
    <row r="252" spans="1:16">
      <c r="A252" s="277"/>
      <c r="B252" s="445"/>
      <c r="C252" s="445"/>
      <c r="D252" s="445"/>
      <c r="E252" s="445"/>
      <c r="F252" s="445"/>
      <c r="G252" s="445"/>
      <c r="H252" s="445"/>
      <c r="I252" s="445"/>
      <c r="J252" s="445"/>
      <c r="K252" s="1136"/>
      <c r="L252" s="1136"/>
      <c r="M252" s="445"/>
      <c r="N252" s="445"/>
      <c r="O252" s="445"/>
      <c r="P252" s="445"/>
    </row>
    <row r="253" spans="1:16">
      <c r="A253" s="277"/>
      <c r="B253" s="445"/>
      <c r="C253" s="445"/>
      <c r="D253" s="445"/>
      <c r="E253" s="445"/>
      <c r="F253" s="445"/>
      <c r="G253" s="445"/>
      <c r="H253" s="445"/>
      <c r="I253" s="445"/>
      <c r="J253" s="445"/>
      <c r="K253" s="1136"/>
      <c r="L253" s="1136"/>
      <c r="M253" s="445"/>
      <c r="N253" s="445"/>
      <c r="O253" s="445"/>
      <c r="P253" s="445"/>
    </row>
    <row r="254" spans="1:16">
      <c r="A254" s="277"/>
      <c r="B254" s="445"/>
      <c r="C254" s="445"/>
      <c r="D254" s="445"/>
      <c r="E254" s="445"/>
      <c r="F254" s="445"/>
      <c r="G254" s="445"/>
      <c r="H254" s="445"/>
      <c r="I254" s="445"/>
      <c r="J254" s="445"/>
      <c r="K254" s="1136"/>
      <c r="L254" s="1136"/>
      <c r="M254" s="445"/>
      <c r="N254" s="445"/>
      <c r="O254" s="445"/>
      <c r="P254" s="445"/>
    </row>
    <row r="255" spans="1:16">
      <c r="A255" s="277"/>
      <c r="B255" s="445"/>
      <c r="C255" s="445"/>
      <c r="D255" s="445"/>
      <c r="E255" s="445"/>
      <c r="F255" s="445"/>
      <c r="G255" s="445"/>
      <c r="H255" s="445"/>
      <c r="I255" s="445"/>
      <c r="J255" s="445"/>
      <c r="K255" s="1136"/>
      <c r="L255" s="1136"/>
      <c r="M255" s="445"/>
      <c r="N255" s="445"/>
      <c r="O255" s="445"/>
      <c r="P255" s="445"/>
    </row>
    <row r="256" spans="1:16">
      <c r="A256" s="277"/>
      <c r="B256" s="445"/>
      <c r="C256" s="445"/>
      <c r="D256" s="445"/>
      <c r="E256" s="445"/>
      <c r="F256" s="445"/>
      <c r="G256" s="445"/>
      <c r="H256" s="445"/>
      <c r="I256" s="445"/>
      <c r="J256" s="445"/>
      <c r="K256" s="1136"/>
      <c r="L256" s="1136"/>
      <c r="M256" s="445"/>
      <c r="N256" s="445"/>
      <c r="O256" s="445"/>
      <c r="P256" s="445"/>
    </row>
    <row r="257" spans="1:16">
      <c r="A257" s="277"/>
      <c r="B257" s="445"/>
      <c r="C257" s="445"/>
      <c r="D257" s="445"/>
      <c r="E257" s="445"/>
      <c r="F257" s="445"/>
      <c r="G257" s="445"/>
      <c r="H257" s="445"/>
      <c r="I257" s="445"/>
      <c r="J257" s="445"/>
      <c r="K257" s="1136"/>
      <c r="L257" s="1136"/>
      <c r="M257" s="445"/>
      <c r="N257" s="445"/>
      <c r="O257" s="445"/>
      <c r="P257" s="445"/>
    </row>
    <row r="258" spans="1:16">
      <c r="A258" s="277"/>
      <c r="B258" s="445"/>
      <c r="C258" s="445"/>
      <c r="D258" s="445"/>
      <c r="E258" s="445"/>
      <c r="F258" s="445"/>
      <c r="G258" s="445"/>
      <c r="H258" s="445"/>
      <c r="I258" s="445"/>
      <c r="J258" s="445"/>
      <c r="K258" s="1136"/>
      <c r="L258" s="1136"/>
      <c r="M258" s="445"/>
      <c r="N258" s="445"/>
      <c r="O258" s="445"/>
      <c r="P258" s="445"/>
    </row>
    <row r="259" spans="1:16">
      <c r="A259" s="277"/>
      <c r="B259" s="445"/>
      <c r="C259" s="445"/>
      <c r="D259" s="445"/>
      <c r="E259" s="445"/>
      <c r="F259" s="445"/>
      <c r="G259" s="445"/>
      <c r="H259" s="445"/>
      <c r="I259" s="445"/>
      <c r="J259" s="445"/>
      <c r="K259" s="1136"/>
      <c r="L259" s="1136"/>
      <c r="M259" s="445"/>
      <c r="N259" s="445"/>
      <c r="O259" s="445"/>
      <c r="P259" s="445"/>
    </row>
    <row r="260" spans="1:16">
      <c r="A260" s="277"/>
      <c r="B260" s="445"/>
      <c r="C260" s="445"/>
      <c r="D260" s="445"/>
      <c r="E260" s="445"/>
      <c r="F260" s="445"/>
      <c r="G260" s="445"/>
      <c r="H260" s="445"/>
      <c r="I260" s="445"/>
      <c r="J260" s="445"/>
      <c r="K260" s="1136"/>
      <c r="L260" s="1136"/>
      <c r="M260" s="445"/>
      <c r="N260" s="445"/>
      <c r="O260" s="445"/>
      <c r="P260" s="445"/>
    </row>
    <row r="261" spans="1:16">
      <c r="A261" s="277"/>
      <c r="B261" s="445"/>
      <c r="C261" s="445"/>
      <c r="D261" s="445"/>
      <c r="E261" s="445"/>
      <c r="F261" s="445"/>
      <c r="G261" s="445"/>
      <c r="H261" s="445"/>
      <c r="I261" s="445"/>
      <c r="J261" s="445"/>
      <c r="K261" s="1136"/>
      <c r="L261" s="1136"/>
      <c r="M261" s="445"/>
      <c r="N261" s="445"/>
      <c r="O261" s="445"/>
      <c r="P261" s="445"/>
    </row>
    <row r="262" spans="1:16">
      <c r="A262" s="277"/>
      <c r="B262" s="445"/>
      <c r="C262" s="445"/>
      <c r="D262" s="445"/>
      <c r="E262" s="445"/>
      <c r="F262" s="445"/>
      <c r="G262" s="445"/>
      <c r="H262" s="445"/>
      <c r="I262" s="445"/>
      <c r="J262" s="445"/>
      <c r="K262" s="1136"/>
      <c r="L262" s="1136"/>
      <c r="M262" s="445"/>
      <c r="N262" s="445"/>
      <c r="O262" s="445"/>
      <c r="P262" s="445"/>
    </row>
    <row r="263" spans="1:16">
      <c r="A263" s="277"/>
      <c r="B263" s="445"/>
      <c r="C263" s="445"/>
      <c r="D263" s="445"/>
      <c r="E263" s="445"/>
      <c r="F263" s="445"/>
      <c r="G263" s="445"/>
      <c r="H263" s="445"/>
      <c r="I263" s="445"/>
      <c r="J263" s="445"/>
      <c r="K263" s="1136"/>
      <c r="L263" s="1136"/>
      <c r="M263" s="445"/>
      <c r="N263" s="445"/>
      <c r="O263" s="445"/>
      <c r="P263" s="445"/>
    </row>
    <row r="264" spans="1:16">
      <c r="A264" s="277"/>
      <c r="B264" s="445"/>
      <c r="C264" s="445"/>
      <c r="D264" s="445"/>
      <c r="E264" s="445"/>
      <c r="F264" s="445"/>
      <c r="G264" s="445"/>
      <c r="H264" s="445"/>
      <c r="I264" s="445"/>
      <c r="J264" s="445"/>
      <c r="K264" s="1136"/>
      <c r="L264" s="1136"/>
      <c r="M264" s="445"/>
      <c r="N264" s="445"/>
      <c r="O264" s="445"/>
      <c r="P264" s="445"/>
    </row>
    <row r="265" spans="1:16">
      <c r="A265" s="277"/>
      <c r="B265" s="445"/>
      <c r="C265" s="445"/>
      <c r="D265" s="445"/>
      <c r="E265" s="445"/>
      <c r="F265" s="445"/>
      <c r="G265" s="445"/>
      <c r="H265" s="445"/>
      <c r="I265" s="445"/>
      <c r="J265" s="445"/>
      <c r="K265" s="1136"/>
      <c r="L265" s="1136"/>
      <c r="M265" s="445"/>
      <c r="N265" s="445"/>
      <c r="O265" s="445"/>
      <c r="P265" s="445"/>
    </row>
    <row r="266" spans="1:16">
      <c r="A266" s="277"/>
      <c r="B266" s="445"/>
      <c r="C266" s="445"/>
      <c r="D266" s="445"/>
      <c r="E266" s="445"/>
      <c r="F266" s="445"/>
      <c r="G266" s="445"/>
      <c r="H266" s="445"/>
      <c r="I266" s="445"/>
      <c r="J266" s="445"/>
      <c r="K266" s="1136"/>
      <c r="L266" s="1136"/>
      <c r="M266" s="445"/>
      <c r="N266" s="445"/>
      <c r="O266" s="445"/>
      <c r="P266" s="445"/>
    </row>
    <row r="267" spans="1:16">
      <c r="A267" s="277"/>
      <c r="B267" s="445"/>
      <c r="C267" s="445"/>
      <c r="D267" s="445"/>
      <c r="E267" s="445"/>
      <c r="F267" s="445"/>
      <c r="G267" s="445"/>
      <c r="H267" s="445"/>
      <c r="I267" s="445"/>
      <c r="J267" s="445"/>
      <c r="K267" s="1136"/>
      <c r="L267" s="1136"/>
      <c r="M267" s="445"/>
      <c r="N267" s="445"/>
      <c r="O267" s="445"/>
      <c r="P267" s="445"/>
    </row>
    <row r="268" spans="1:16">
      <c r="A268" s="277"/>
      <c r="B268" s="445"/>
      <c r="C268" s="445"/>
      <c r="D268" s="445"/>
      <c r="E268" s="445"/>
      <c r="F268" s="445"/>
      <c r="G268" s="445"/>
      <c r="H268" s="445"/>
      <c r="I268" s="445"/>
      <c r="J268" s="445"/>
      <c r="K268" s="1136"/>
      <c r="L268" s="1136"/>
      <c r="M268" s="445"/>
      <c r="N268" s="445"/>
      <c r="O268" s="445"/>
      <c r="P268" s="445"/>
    </row>
    <row r="269" spans="1:16">
      <c r="A269" s="277"/>
      <c r="B269" s="445"/>
      <c r="C269" s="445"/>
      <c r="D269" s="445"/>
      <c r="E269" s="445"/>
      <c r="F269" s="445"/>
      <c r="G269" s="445"/>
      <c r="H269" s="445"/>
      <c r="I269" s="445"/>
      <c r="J269" s="445"/>
      <c r="K269" s="1136"/>
      <c r="L269" s="1136"/>
      <c r="M269" s="445"/>
      <c r="N269" s="445"/>
      <c r="O269" s="445"/>
      <c r="P269" s="445"/>
    </row>
    <row r="270" spans="1:16">
      <c r="A270" s="277"/>
      <c r="B270" s="445"/>
      <c r="C270" s="445"/>
      <c r="D270" s="445"/>
      <c r="E270" s="445"/>
      <c r="F270" s="445"/>
      <c r="G270" s="445"/>
      <c r="H270" s="445"/>
      <c r="I270" s="445"/>
      <c r="J270" s="445"/>
      <c r="K270" s="1136"/>
      <c r="L270" s="1136"/>
      <c r="M270" s="445"/>
      <c r="N270" s="445"/>
      <c r="O270" s="445"/>
      <c r="P270" s="445"/>
    </row>
    <row r="271" spans="1:16">
      <c r="A271" s="277"/>
      <c r="B271" s="445"/>
      <c r="C271" s="445"/>
      <c r="D271" s="445"/>
      <c r="E271" s="445"/>
      <c r="F271" s="445"/>
      <c r="G271" s="445"/>
      <c r="H271" s="445"/>
      <c r="I271" s="445"/>
      <c r="J271" s="445"/>
      <c r="K271" s="1136"/>
      <c r="L271" s="1136"/>
      <c r="M271" s="445"/>
      <c r="N271" s="445"/>
      <c r="O271" s="445"/>
      <c r="P271" s="445"/>
    </row>
    <row r="272" spans="1:16">
      <c r="A272" s="277"/>
      <c r="B272" s="445"/>
      <c r="C272" s="445"/>
      <c r="D272" s="445"/>
      <c r="E272" s="445"/>
      <c r="F272" s="445"/>
      <c r="G272" s="445"/>
      <c r="H272" s="445"/>
      <c r="I272" s="445"/>
      <c r="J272" s="445"/>
      <c r="K272" s="1136"/>
      <c r="L272" s="1136"/>
      <c r="M272" s="445"/>
      <c r="N272" s="445"/>
      <c r="O272" s="445"/>
      <c r="P272" s="445"/>
    </row>
    <row r="273" spans="1:16">
      <c r="A273" s="277"/>
      <c r="B273" s="445"/>
      <c r="C273" s="445"/>
      <c r="D273" s="445"/>
      <c r="E273" s="445"/>
      <c r="F273" s="445"/>
      <c r="G273" s="445"/>
      <c r="H273" s="445"/>
      <c r="I273" s="445"/>
      <c r="J273" s="445"/>
      <c r="K273" s="1136"/>
      <c r="L273" s="1136"/>
      <c r="M273" s="445"/>
      <c r="N273" s="445"/>
      <c r="O273" s="445"/>
      <c r="P273" s="445"/>
    </row>
    <row r="274" spans="1:16">
      <c r="A274" s="277"/>
      <c r="B274" s="445"/>
      <c r="C274" s="445"/>
      <c r="D274" s="445"/>
      <c r="E274" s="445"/>
      <c r="F274" s="445"/>
      <c r="G274" s="445"/>
      <c r="H274" s="445"/>
      <c r="I274" s="445"/>
      <c r="J274" s="445"/>
      <c r="K274" s="1136"/>
      <c r="L274" s="1136"/>
      <c r="M274" s="445"/>
      <c r="N274" s="445"/>
      <c r="O274" s="445"/>
      <c r="P274" s="445"/>
    </row>
    <row r="275" spans="1:16">
      <c r="A275" s="277"/>
      <c r="B275" s="445"/>
      <c r="C275" s="445"/>
      <c r="D275" s="445"/>
      <c r="E275" s="445"/>
      <c r="F275" s="445"/>
      <c r="G275" s="445"/>
      <c r="H275" s="445"/>
      <c r="I275" s="445"/>
      <c r="J275" s="445"/>
      <c r="K275" s="1136"/>
      <c r="L275" s="1136"/>
      <c r="M275" s="445"/>
      <c r="N275" s="445"/>
      <c r="O275" s="445"/>
      <c r="P275" s="445"/>
    </row>
    <row r="276" spans="1:16">
      <c r="A276" s="277"/>
      <c r="B276" s="445"/>
      <c r="C276" s="445"/>
      <c r="D276" s="445"/>
      <c r="E276" s="445"/>
      <c r="F276" s="445"/>
      <c r="G276" s="445"/>
      <c r="H276" s="445"/>
      <c r="I276" s="445"/>
      <c r="J276" s="445"/>
      <c r="K276" s="1136"/>
      <c r="L276" s="1136"/>
      <c r="M276" s="445"/>
      <c r="N276" s="445"/>
      <c r="O276" s="445"/>
      <c r="P276" s="445"/>
    </row>
    <row r="277" spans="1:16">
      <c r="A277" s="277"/>
      <c r="B277" s="445"/>
      <c r="C277" s="445"/>
      <c r="D277" s="445"/>
      <c r="E277" s="445"/>
      <c r="F277" s="445"/>
      <c r="G277" s="445"/>
      <c r="H277" s="445"/>
      <c r="I277" s="445"/>
      <c r="J277" s="445"/>
      <c r="K277" s="1136"/>
      <c r="L277" s="1136"/>
      <c r="M277" s="445"/>
      <c r="N277" s="445"/>
      <c r="O277" s="445"/>
      <c r="P277" s="445"/>
    </row>
    <row r="278" spans="1:16">
      <c r="A278" s="277"/>
      <c r="B278" s="445"/>
      <c r="C278" s="445"/>
      <c r="D278" s="445"/>
      <c r="E278" s="445"/>
      <c r="F278" s="445"/>
      <c r="G278" s="445"/>
      <c r="H278" s="445"/>
      <c r="I278" s="445"/>
      <c r="J278" s="445"/>
      <c r="K278" s="1136"/>
      <c r="L278" s="1136"/>
      <c r="M278" s="445"/>
      <c r="N278" s="445"/>
      <c r="O278" s="445"/>
      <c r="P278" s="445"/>
    </row>
    <row r="279" spans="1:16">
      <c r="A279" s="277"/>
      <c r="B279" s="445"/>
      <c r="C279" s="445"/>
      <c r="D279" s="445"/>
      <c r="E279" s="445"/>
      <c r="F279" s="445"/>
      <c r="G279" s="445"/>
      <c r="H279" s="445"/>
      <c r="I279" s="445"/>
      <c r="J279" s="445"/>
      <c r="K279" s="1136"/>
      <c r="L279" s="1136"/>
      <c r="M279" s="445"/>
      <c r="N279" s="445"/>
      <c r="O279" s="445"/>
      <c r="P279" s="445"/>
    </row>
    <row r="280" spans="1:16">
      <c r="A280" s="277"/>
      <c r="B280" s="445"/>
      <c r="C280" s="445"/>
      <c r="D280" s="445"/>
      <c r="E280" s="445"/>
      <c r="F280" s="445"/>
      <c r="G280" s="445"/>
      <c r="H280" s="445"/>
      <c r="I280" s="445"/>
      <c r="J280" s="445"/>
      <c r="K280" s="1136"/>
      <c r="L280" s="1136"/>
      <c r="M280" s="445"/>
      <c r="N280" s="445"/>
      <c r="O280" s="445"/>
      <c r="P280" s="445"/>
    </row>
    <row r="281" spans="1:16">
      <c r="A281" s="277"/>
      <c r="B281" s="445"/>
      <c r="C281" s="445"/>
      <c r="D281" s="445"/>
      <c r="E281" s="445"/>
      <c r="F281" s="445"/>
      <c r="G281" s="445"/>
      <c r="H281" s="445"/>
      <c r="I281" s="445"/>
      <c r="J281" s="445"/>
      <c r="K281" s="1136"/>
      <c r="L281" s="1136"/>
      <c r="M281" s="445"/>
      <c r="N281" s="445"/>
      <c r="O281" s="445"/>
      <c r="P281" s="445"/>
    </row>
    <row r="282" spans="1:16">
      <c r="A282" s="277"/>
      <c r="B282" s="445"/>
      <c r="C282" s="445"/>
      <c r="D282" s="445"/>
      <c r="E282" s="445"/>
      <c r="F282" s="445"/>
      <c r="G282" s="445"/>
      <c r="H282" s="445"/>
      <c r="I282" s="445"/>
      <c r="J282" s="445"/>
      <c r="K282" s="1136"/>
      <c r="L282" s="1136"/>
      <c r="M282" s="445"/>
      <c r="N282" s="445"/>
      <c r="O282" s="445"/>
      <c r="P282" s="445"/>
    </row>
    <row r="283" spans="1:16">
      <c r="A283" s="277"/>
      <c r="B283" s="445"/>
      <c r="C283" s="445"/>
      <c r="D283" s="445"/>
      <c r="E283" s="445"/>
      <c r="F283" s="445"/>
      <c r="G283" s="445"/>
      <c r="H283" s="445"/>
      <c r="I283" s="445"/>
      <c r="J283" s="445"/>
      <c r="K283" s="1136"/>
      <c r="L283" s="1136"/>
      <c r="M283" s="445"/>
      <c r="N283" s="445"/>
      <c r="O283" s="445"/>
      <c r="P283" s="445"/>
    </row>
    <row r="284" spans="1:16">
      <c r="A284" s="277"/>
      <c r="B284" s="445"/>
      <c r="C284" s="445"/>
      <c r="D284" s="445"/>
      <c r="E284" s="445"/>
      <c r="F284" s="445"/>
      <c r="G284" s="445"/>
      <c r="H284" s="445"/>
      <c r="I284" s="445"/>
      <c r="J284" s="445"/>
      <c r="K284" s="1136"/>
      <c r="L284" s="1136"/>
      <c r="M284" s="445"/>
      <c r="N284" s="445"/>
      <c r="O284" s="445"/>
      <c r="P284" s="445"/>
    </row>
    <row r="285" spans="1:16">
      <c r="A285" s="277"/>
      <c r="B285" s="445"/>
      <c r="C285" s="445"/>
      <c r="D285" s="445"/>
      <c r="E285" s="445"/>
      <c r="F285" s="445"/>
      <c r="G285" s="445"/>
      <c r="H285" s="445"/>
      <c r="I285" s="445"/>
      <c r="J285" s="445"/>
      <c r="K285" s="1136"/>
      <c r="L285" s="1136"/>
      <c r="M285" s="445"/>
      <c r="N285" s="445"/>
      <c r="O285" s="445"/>
      <c r="P285" s="445"/>
    </row>
    <row r="286" spans="1:16">
      <c r="A286" s="277"/>
      <c r="B286" s="445"/>
      <c r="C286" s="445"/>
      <c r="D286" s="445"/>
      <c r="E286" s="445"/>
      <c r="F286" s="445"/>
      <c r="G286" s="445"/>
      <c r="H286" s="445"/>
      <c r="I286" s="445"/>
      <c r="J286" s="445"/>
      <c r="K286" s="1136"/>
      <c r="L286" s="1136"/>
      <c r="M286" s="445"/>
      <c r="N286" s="445"/>
      <c r="O286" s="445"/>
      <c r="P286" s="445"/>
    </row>
    <row r="287" spans="1:16">
      <c r="A287" s="277"/>
      <c r="B287" s="445"/>
      <c r="C287" s="445"/>
      <c r="D287" s="445"/>
      <c r="E287" s="445"/>
      <c r="F287" s="445"/>
      <c r="G287" s="445"/>
      <c r="H287" s="445"/>
      <c r="I287" s="445"/>
      <c r="J287" s="445"/>
      <c r="K287" s="1136"/>
      <c r="L287" s="1136"/>
      <c r="M287" s="445"/>
      <c r="N287" s="445"/>
      <c r="O287" s="445"/>
      <c r="P287" s="445"/>
    </row>
    <row r="288" spans="1:16">
      <c r="A288" s="277"/>
      <c r="B288" s="445"/>
      <c r="C288" s="445"/>
      <c r="D288" s="445"/>
      <c r="E288" s="445"/>
      <c r="F288" s="445"/>
      <c r="G288" s="445"/>
      <c r="H288" s="445"/>
      <c r="I288" s="445"/>
      <c r="J288" s="445"/>
      <c r="K288" s="1136"/>
      <c r="L288" s="1136"/>
      <c r="M288" s="445"/>
      <c r="N288" s="445"/>
      <c r="O288" s="445"/>
      <c r="P288" s="445"/>
    </row>
    <row r="289" spans="1:16">
      <c r="A289" s="277"/>
      <c r="B289" s="445"/>
      <c r="C289" s="445"/>
      <c r="D289" s="445"/>
      <c r="E289" s="445"/>
      <c r="F289" s="445"/>
      <c r="G289" s="445"/>
      <c r="H289" s="445"/>
      <c r="I289" s="445"/>
      <c r="J289" s="445"/>
      <c r="K289" s="1136"/>
      <c r="L289" s="1136"/>
      <c r="M289" s="445"/>
      <c r="N289" s="445"/>
      <c r="O289" s="445"/>
      <c r="P289" s="445"/>
    </row>
    <row r="290" spans="1:16">
      <c r="A290" s="277"/>
      <c r="B290" s="445"/>
      <c r="C290" s="445"/>
      <c r="D290" s="445"/>
      <c r="E290" s="445"/>
      <c r="F290" s="445"/>
      <c r="G290" s="445"/>
      <c r="H290" s="445"/>
      <c r="I290" s="445"/>
      <c r="J290" s="445"/>
      <c r="K290" s="1136"/>
      <c r="L290" s="1136"/>
      <c r="M290" s="445"/>
      <c r="N290" s="445"/>
      <c r="O290" s="445"/>
      <c r="P290" s="445"/>
    </row>
    <row r="291" spans="1:16">
      <c r="A291" s="277"/>
      <c r="B291" s="445"/>
      <c r="C291" s="445"/>
      <c r="D291" s="445"/>
      <c r="E291" s="445"/>
      <c r="F291" s="445"/>
      <c r="G291" s="445"/>
      <c r="H291" s="445"/>
      <c r="I291" s="445"/>
      <c r="J291" s="445"/>
      <c r="K291" s="1136"/>
      <c r="L291" s="1136"/>
      <c r="M291" s="445"/>
      <c r="N291" s="445"/>
      <c r="O291" s="445"/>
      <c r="P291" s="445"/>
    </row>
    <row r="292" spans="1:16">
      <c r="A292" s="277"/>
      <c r="B292" s="445"/>
      <c r="C292" s="445"/>
      <c r="D292" s="445"/>
      <c r="E292" s="445"/>
      <c r="F292" s="445"/>
      <c r="G292" s="445"/>
      <c r="H292" s="445"/>
      <c r="I292" s="445"/>
      <c r="J292" s="445"/>
      <c r="K292" s="1136"/>
      <c r="L292" s="1136"/>
      <c r="M292" s="445"/>
      <c r="N292" s="445"/>
      <c r="O292" s="445"/>
      <c r="P292" s="445"/>
    </row>
    <row r="293" spans="1:16">
      <c r="A293" s="277"/>
      <c r="B293" s="445"/>
      <c r="C293" s="445"/>
      <c r="D293" s="445"/>
      <c r="E293" s="445"/>
      <c r="F293" s="445"/>
      <c r="G293" s="445"/>
      <c r="H293" s="445"/>
      <c r="I293" s="445"/>
      <c r="J293" s="445"/>
      <c r="K293" s="1136"/>
      <c r="L293" s="1136"/>
      <c r="M293" s="445"/>
      <c r="N293" s="445"/>
      <c r="O293" s="445"/>
      <c r="P293" s="445"/>
    </row>
    <row r="294" spans="1:16">
      <c r="A294" s="277"/>
      <c r="B294" s="445"/>
      <c r="C294" s="445"/>
      <c r="D294" s="445"/>
      <c r="E294" s="445"/>
      <c r="F294" s="445"/>
      <c r="G294" s="445"/>
      <c r="H294" s="445"/>
      <c r="I294" s="445"/>
      <c r="J294" s="445"/>
      <c r="K294" s="1136"/>
      <c r="L294" s="1136"/>
      <c r="M294" s="445"/>
      <c r="N294" s="445"/>
      <c r="O294" s="445"/>
      <c r="P294" s="445"/>
    </row>
    <row r="295" spans="1:16">
      <c r="A295" s="277"/>
      <c r="B295" s="445"/>
      <c r="C295" s="445"/>
      <c r="D295" s="445"/>
      <c r="E295" s="445"/>
      <c r="F295" s="445"/>
      <c r="G295" s="445"/>
      <c r="H295" s="445"/>
      <c r="I295" s="445"/>
      <c r="J295" s="445"/>
      <c r="K295" s="1136"/>
      <c r="L295" s="1136"/>
      <c r="M295" s="445"/>
      <c r="N295" s="445"/>
      <c r="O295" s="445"/>
      <c r="P295" s="445"/>
    </row>
    <row r="296" spans="1:16">
      <c r="A296" s="277"/>
      <c r="B296" s="445"/>
      <c r="C296" s="445"/>
      <c r="D296" s="445"/>
      <c r="E296" s="445"/>
      <c r="F296" s="445"/>
      <c r="G296" s="445"/>
      <c r="H296" s="445"/>
      <c r="I296" s="445"/>
      <c r="J296" s="445"/>
      <c r="K296" s="1136"/>
      <c r="L296" s="1136"/>
      <c r="M296" s="445"/>
      <c r="N296" s="445"/>
      <c r="O296" s="445"/>
      <c r="P296" s="445"/>
    </row>
    <row r="297" spans="1:16">
      <c r="A297" s="277"/>
      <c r="B297" s="445"/>
      <c r="C297" s="445"/>
      <c r="D297" s="445"/>
      <c r="E297" s="445"/>
      <c r="F297" s="445"/>
      <c r="G297" s="445"/>
      <c r="H297" s="445"/>
      <c r="I297" s="445"/>
      <c r="J297" s="445"/>
      <c r="K297" s="1136"/>
      <c r="L297" s="1136"/>
      <c r="M297" s="445"/>
      <c r="N297" s="445"/>
      <c r="O297" s="445"/>
      <c r="P297" s="445"/>
    </row>
    <row r="298" spans="1:16">
      <c r="A298" s="277"/>
      <c r="B298" s="445"/>
      <c r="C298" s="445"/>
      <c r="D298" s="445"/>
      <c r="E298" s="445"/>
      <c r="F298" s="445"/>
      <c r="G298" s="445"/>
      <c r="H298" s="445"/>
      <c r="I298" s="445"/>
      <c r="J298" s="445"/>
      <c r="K298" s="1136"/>
      <c r="L298" s="1136"/>
      <c r="M298" s="445"/>
      <c r="N298" s="445"/>
      <c r="O298" s="445"/>
      <c r="P298" s="445"/>
    </row>
    <row r="299" spans="1:16">
      <c r="A299" s="277"/>
      <c r="B299" s="445"/>
      <c r="C299" s="445"/>
      <c r="D299" s="445"/>
      <c r="E299" s="445"/>
      <c r="F299" s="445"/>
      <c r="G299" s="445"/>
      <c r="H299" s="445"/>
      <c r="I299" s="445"/>
      <c r="J299" s="445"/>
      <c r="K299" s="1136"/>
      <c r="L299" s="1136"/>
      <c r="M299" s="445"/>
      <c r="N299" s="445"/>
      <c r="O299" s="445"/>
      <c r="P299" s="445"/>
    </row>
    <row r="300" spans="1:16">
      <c r="A300" s="277"/>
      <c r="B300" s="445"/>
      <c r="C300" s="445"/>
      <c r="D300" s="445"/>
      <c r="E300" s="445"/>
      <c r="F300" s="445"/>
      <c r="G300" s="445"/>
      <c r="H300" s="445"/>
      <c r="I300" s="445"/>
      <c r="J300" s="445"/>
      <c r="K300" s="1136"/>
      <c r="L300" s="1136"/>
      <c r="M300" s="445"/>
      <c r="N300" s="445"/>
      <c r="O300" s="445"/>
      <c r="P300" s="445"/>
    </row>
    <row r="301" spans="1:16">
      <c r="A301" s="277"/>
      <c r="B301" s="445"/>
      <c r="C301" s="445"/>
      <c r="D301" s="445"/>
      <c r="E301" s="445"/>
      <c r="F301" s="445"/>
      <c r="G301" s="445"/>
      <c r="H301" s="445"/>
      <c r="I301" s="445"/>
      <c r="J301" s="445"/>
      <c r="K301" s="1136"/>
      <c r="L301" s="1136"/>
      <c r="M301" s="445"/>
      <c r="N301" s="445"/>
      <c r="O301" s="445"/>
      <c r="P301" s="445"/>
    </row>
    <row r="302" spans="1:16">
      <c r="A302" s="277"/>
      <c r="B302" s="445"/>
      <c r="C302" s="445"/>
      <c r="D302" s="445"/>
      <c r="E302" s="445"/>
      <c r="F302" s="445"/>
      <c r="G302" s="445"/>
      <c r="H302" s="445"/>
      <c r="I302" s="445"/>
      <c r="J302" s="445"/>
      <c r="K302" s="1136"/>
      <c r="L302" s="1136"/>
      <c r="M302" s="445"/>
      <c r="N302" s="445"/>
      <c r="O302" s="445"/>
      <c r="P302" s="445"/>
    </row>
    <row r="303" spans="1:16">
      <c r="A303" s="277"/>
      <c r="B303" s="445"/>
      <c r="C303" s="445"/>
      <c r="D303" s="445"/>
      <c r="E303" s="445"/>
      <c r="F303" s="445"/>
      <c r="G303" s="445"/>
      <c r="H303" s="445"/>
      <c r="I303" s="445"/>
      <c r="J303" s="445"/>
      <c r="K303" s="1136"/>
      <c r="L303" s="1136"/>
      <c r="M303" s="445"/>
      <c r="N303" s="445"/>
      <c r="O303" s="445"/>
      <c r="P303" s="445"/>
    </row>
    <row r="304" spans="1:16">
      <c r="A304" s="277"/>
      <c r="B304" s="445"/>
      <c r="C304" s="445"/>
      <c r="D304" s="445"/>
      <c r="E304" s="445"/>
      <c r="F304" s="445"/>
      <c r="G304" s="445"/>
      <c r="H304" s="445"/>
      <c r="I304" s="445"/>
      <c r="J304" s="445"/>
      <c r="K304" s="1136"/>
      <c r="L304" s="1136"/>
      <c r="M304" s="445"/>
      <c r="N304" s="445"/>
      <c r="O304" s="445"/>
      <c r="P304" s="445"/>
    </row>
    <row r="305" spans="1:16">
      <c r="A305" s="277"/>
      <c r="B305" s="445"/>
      <c r="C305" s="445"/>
      <c r="D305" s="445"/>
      <c r="E305" s="445"/>
      <c r="F305" s="445"/>
      <c r="G305" s="445"/>
      <c r="H305" s="445"/>
      <c r="I305" s="445"/>
      <c r="J305" s="445"/>
      <c r="K305" s="1136"/>
      <c r="L305" s="1136"/>
      <c r="M305" s="445"/>
      <c r="N305" s="445"/>
      <c r="O305" s="445"/>
      <c r="P305" s="445"/>
    </row>
    <row r="306" spans="1:16">
      <c r="A306" s="277"/>
      <c r="B306" s="445"/>
      <c r="C306" s="445"/>
      <c r="D306" s="445"/>
      <c r="E306" s="445"/>
      <c r="F306" s="445"/>
      <c r="G306" s="445"/>
      <c r="H306" s="445"/>
      <c r="I306" s="445"/>
      <c r="J306" s="445"/>
      <c r="K306" s="1136"/>
      <c r="L306" s="1136"/>
      <c r="M306" s="445"/>
      <c r="N306" s="445"/>
      <c r="O306" s="445"/>
      <c r="P306" s="445"/>
    </row>
    <row r="307" spans="1:16">
      <c r="A307" s="277"/>
      <c r="B307" s="445"/>
      <c r="C307" s="445"/>
      <c r="D307" s="445"/>
      <c r="E307" s="445"/>
      <c r="F307" s="445"/>
      <c r="G307" s="445"/>
      <c r="H307" s="445"/>
      <c r="I307" s="445"/>
      <c r="J307" s="445"/>
      <c r="K307" s="1136"/>
      <c r="L307" s="1136"/>
      <c r="M307" s="445"/>
      <c r="N307" s="445"/>
      <c r="O307" s="445"/>
      <c r="P307" s="445"/>
    </row>
    <row r="308" spans="1:16">
      <c r="A308" s="277"/>
      <c r="B308" s="445"/>
      <c r="C308" s="445"/>
      <c r="D308" s="445"/>
      <c r="E308" s="445"/>
      <c r="F308" s="445"/>
      <c r="G308" s="445"/>
      <c r="H308" s="445"/>
      <c r="I308" s="445"/>
      <c r="J308" s="445"/>
      <c r="K308" s="1136"/>
      <c r="L308" s="1136"/>
      <c r="M308" s="445"/>
      <c r="N308" s="445"/>
      <c r="O308" s="445"/>
      <c r="P308" s="445"/>
    </row>
    <row r="309" spans="1:16">
      <c r="A309" s="277"/>
      <c r="B309" s="445"/>
      <c r="C309" s="445"/>
      <c r="D309" s="445"/>
      <c r="E309" s="445"/>
      <c r="F309" s="445"/>
      <c r="G309" s="445"/>
      <c r="H309" s="445"/>
      <c r="I309" s="445"/>
      <c r="J309" s="445"/>
      <c r="K309" s="1136"/>
      <c r="L309" s="1136"/>
      <c r="M309" s="445"/>
      <c r="N309" s="445"/>
      <c r="O309" s="445"/>
      <c r="P309" s="445"/>
    </row>
    <row r="310" spans="1:16">
      <c r="A310" s="277"/>
      <c r="B310" s="445"/>
      <c r="C310" s="445"/>
      <c r="D310" s="445"/>
      <c r="E310" s="445"/>
      <c r="F310" s="445"/>
      <c r="G310" s="445"/>
      <c r="H310" s="445"/>
      <c r="I310" s="445"/>
      <c r="J310" s="445"/>
      <c r="K310" s="1136"/>
      <c r="L310" s="1136"/>
      <c r="M310" s="445"/>
      <c r="N310" s="445"/>
      <c r="O310" s="445"/>
      <c r="P310" s="445"/>
    </row>
    <row r="311" spans="1:16">
      <c r="A311" s="277"/>
      <c r="B311" s="445"/>
      <c r="C311" s="445"/>
      <c r="D311" s="445"/>
      <c r="E311" s="445"/>
      <c r="F311" s="445"/>
      <c r="G311" s="445"/>
      <c r="H311" s="445"/>
      <c r="I311" s="445"/>
      <c r="J311" s="445"/>
      <c r="K311" s="1136"/>
      <c r="L311" s="1136"/>
      <c r="M311" s="445"/>
      <c r="N311" s="445"/>
      <c r="O311" s="445"/>
      <c r="P311" s="445"/>
    </row>
    <row r="312" spans="1:16">
      <c r="A312" s="277"/>
      <c r="B312" s="445"/>
      <c r="C312" s="445"/>
      <c r="D312" s="445"/>
      <c r="E312" s="445"/>
      <c r="F312" s="445"/>
      <c r="G312" s="445"/>
      <c r="H312" s="445"/>
      <c r="I312" s="445"/>
      <c r="J312" s="445"/>
      <c r="K312" s="1136"/>
      <c r="L312" s="1136"/>
      <c r="M312" s="445"/>
      <c r="N312" s="445"/>
      <c r="O312" s="445"/>
      <c r="P312" s="445"/>
    </row>
    <row r="313" spans="1:16">
      <c r="A313" s="277"/>
      <c r="B313" s="445"/>
      <c r="C313" s="445"/>
      <c r="D313" s="445"/>
      <c r="E313" s="445"/>
      <c r="F313" s="445"/>
      <c r="G313" s="445"/>
      <c r="H313" s="445"/>
      <c r="I313" s="445"/>
      <c r="J313" s="445"/>
      <c r="K313" s="1136"/>
      <c r="L313" s="1136"/>
      <c r="M313" s="445"/>
      <c r="N313" s="445"/>
      <c r="O313" s="445"/>
      <c r="P313" s="445"/>
    </row>
    <row r="314" spans="1:16">
      <c r="A314" s="277"/>
      <c r="B314" s="445"/>
      <c r="C314" s="445"/>
      <c r="D314" s="445"/>
      <c r="E314" s="445"/>
      <c r="F314" s="445"/>
      <c r="G314" s="445"/>
      <c r="H314" s="445"/>
      <c r="I314" s="445"/>
      <c r="J314" s="445"/>
      <c r="K314" s="1136"/>
      <c r="L314" s="1136"/>
      <c r="M314" s="445"/>
      <c r="N314" s="445"/>
      <c r="O314" s="445"/>
      <c r="P314" s="445"/>
    </row>
    <row r="315" spans="1:16">
      <c r="A315" s="277"/>
      <c r="B315" s="445"/>
      <c r="C315" s="445"/>
      <c r="D315" s="445"/>
      <c r="E315" s="445"/>
      <c r="F315" s="445"/>
      <c r="G315" s="445"/>
      <c r="H315" s="445"/>
      <c r="I315" s="445"/>
      <c r="J315" s="445"/>
      <c r="K315" s="1136"/>
      <c r="L315" s="1136"/>
      <c r="M315" s="445"/>
      <c r="N315" s="445"/>
      <c r="O315" s="445"/>
      <c r="P315" s="445"/>
    </row>
    <row r="316" spans="1:16">
      <c r="A316" s="277"/>
      <c r="B316" s="445"/>
      <c r="C316" s="445"/>
      <c r="D316" s="445"/>
      <c r="E316" s="445"/>
      <c r="F316" s="445"/>
      <c r="G316" s="445"/>
      <c r="H316" s="445"/>
      <c r="I316" s="445"/>
      <c r="J316" s="445"/>
      <c r="K316" s="1136"/>
      <c r="L316" s="1136"/>
      <c r="M316" s="445"/>
      <c r="N316" s="445"/>
      <c r="O316" s="445"/>
      <c r="P316" s="445"/>
    </row>
    <row r="317" spans="1:16">
      <c r="A317" s="277"/>
      <c r="B317" s="445"/>
      <c r="C317" s="445"/>
      <c r="D317" s="445"/>
      <c r="E317" s="445"/>
      <c r="F317" s="445"/>
      <c r="G317" s="445"/>
      <c r="H317" s="445"/>
      <c r="I317" s="445"/>
      <c r="J317" s="445"/>
      <c r="K317" s="1136"/>
      <c r="L317" s="1136"/>
      <c r="M317" s="445"/>
      <c r="N317" s="445"/>
      <c r="O317" s="445"/>
      <c r="P317" s="445"/>
    </row>
    <row r="318" spans="1:16">
      <c r="A318" s="277"/>
      <c r="B318" s="445"/>
      <c r="C318" s="445"/>
      <c r="D318" s="445"/>
      <c r="E318" s="445"/>
      <c r="F318" s="445"/>
      <c r="G318" s="445"/>
      <c r="H318" s="445"/>
      <c r="I318" s="445"/>
      <c r="J318" s="445"/>
      <c r="K318" s="1136"/>
      <c r="L318" s="1136"/>
      <c r="M318" s="445"/>
      <c r="N318" s="445"/>
      <c r="O318" s="445"/>
      <c r="P318" s="445"/>
    </row>
    <row r="319" spans="1:16">
      <c r="A319" s="277"/>
      <c r="B319" s="445"/>
      <c r="C319" s="445"/>
      <c r="D319" s="445"/>
      <c r="E319" s="445"/>
      <c r="F319" s="445"/>
      <c r="G319" s="445"/>
      <c r="H319" s="445"/>
      <c r="I319" s="445"/>
      <c r="J319" s="445"/>
      <c r="K319" s="1136"/>
      <c r="L319" s="1136"/>
      <c r="M319" s="445"/>
      <c r="N319" s="445"/>
      <c r="O319" s="445"/>
      <c r="P319" s="445"/>
    </row>
    <row r="320" spans="1:16">
      <c r="A320" s="277"/>
      <c r="B320" s="445"/>
      <c r="C320" s="445"/>
      <c r="D320" s="445"/>
      <c r="E320" s="445"/>
      <c r="F320" s="445"/>
      <c r="G320" s="445"/>
      <c r="H320" s="445"/>
      <c r="I320" s="445"/>
      <c r="J320" s="445"/>
      <c r="K320" s="1136"/>
      <c r="L320" s="1136"/>
      <c r="M320" s="445"/>
      <c r="N320" s="445"/>
      <c r="O320" s="445"/>
      <c r="P320" s="445"/>
    </row>
    <row r="321" spans="1:16">
      <c r="A321" s="277"/>
      <c r="B321" s="445"/>
      <c r="C321" s="445"/>
      <c r="D321" s="445"/>
      <c r="E321" s="445"/>
      <c r="F321" s="445"/>
      <c r="G321" s="445"/>
      <c r="H321" s="445"/>
      <c r="I321" s="445"/>
      <c r="J321" s="445"/>
      <c r="K321" s="1136"/>
      <c r="L321" s="1136"/>
      <c r="M321" s="445"/>
      <c r="N321" s="445"/>
      <c r="O321" s="445"/>
      <c r="P321" s="445"/>
    </row>
    <row r="322" spans="1:16">
      <c r="A322" s="277"/>
      <c r="B322" s="445"/>
      <c r="C322" s="445"/>
      <c r="D322" s="445"/>
      <c r="E322" s="445"/>
      <c r="F322" s="445"/>
      <c r="G322" s="445"/>
      <c r="H322" s="445"/>
      <c r="I322" s="445"/>
      <c r="J322" s="445"/>
      <c r="K322" s="1136"/>
      <c r="L322" s="1136"/>
      <c r="M322" s="445"/>
      <c r="N322" s="445"/>
      <c r="O322" s="445"/>
      <c r="P322" s="445"/>
    </row>
    <row r="323" spans="1:16">
      <c r="A323" s="277"/>
      <c r="B323" s="445"/>
      <c r="C323" s="445"/>
      <c r="D323" s="445"/>
      <c r="E323" s="445"/>
      <c r="F323" s="445"/>
      <c r="G323" s="445"/>
      <c r="H323" s="445"/>
      <c r="I323" s="445"/>
      <c r="J323" s="445"/>
      <c r="K323" s="1136"/>
      <c r="L323" s="1136"/>
      <c r="M323" s="445"/>
      <c r="N323" s="445"/>
      <c r="O323" s="445"/>
      <c r="P323" s="445"/>
    </row>
    <row r="324" spans="1:16">
      <c r="A324" s="277"/>
      <c r="B324" s="445"/>
      <c r="C324" s="445"/>
      <c r="D324" s="445"/>
      <c r="E324" s="445"/>
      <c r="F324" s="445"/>
      <c r="G324" s="445"/>
      <c r="H324" s="445"/>
      <c r="I324" s="445"/>
      <c r="J324" s="445"/>
      <c r="K324" s="1136"/>
      <c r="L324" s="1136"/>
      <c r="M324" s="445"/>
      <c r="N324" s="445"/>
      <c r="O324" s="445"/>
      <c r="P324" s="445"/>
    </row>
    <row r="325" spans="1:16">
      <c r="A325" s="277"/>
      <c r="B325" s="445"/>
      <c r="C325" s="445"/>
      <c r="D325" s="445"/>
      <c r="E325" s="445"/>
      <c r="F325" s="445"/>
      <c r="G325" s="445"/>
      <c r="H325" s="445"/>
      <c r="I325" s="445"/>
      <c r="J325" s="445"/>
      <c r="K325" s="1136"/>
      <c r="L325" s="1136"/>
      <c r="M325" s="445"/>
      <c r="N325" s="445"/>
      <c r="O325" s="445"/>
      <c r="P325" s="445"/>
    </row>
    <row r="326" spans="1:16">
      <c r="A326" s="277"/>
      <c r="B326" s="445"/>
      <c r="C326" s="445"/>
      <c r="D326" s="445"/>
      <c r="E326" s="445"/>
      <c r="F326" s="445"/>
      <c r="G326" s="445"/>
      <c r="H326" s="445"/>
      <c r="I326" s="445"/>
      <c r="J326" s="445"/>
      <c r="K326" s="1136"/>
      <c r="L326" s="1136"/>
      <c r="M326" s="445"/>
      <c r="N326" s="445"/>
      <c r="O326" s="445"/>
      <c r="P326" s="445"/>
    </row>
    <row r="327" spans="1:16">
      <c r="A327" s="277"/>
      <c r="B327" s="445"/>
      <c r="C327" s="445"/>
      <c r="D327" s="445"/>
      <c r="E327" s="445"/>
      <c r="F327" s="445"/>
      <c r="G327" s="445"/>
      <c r="H327" s="445"/>
      <c r="I327" s="445"/>
      <c r="J327" s="445"/>
      <c r="K327" s="1136"/>
      <c r="L327" s="1136"/>
      <c r="M327" s="445"/>
      <c r="N327" s="445"/>
      <c r="O327" s="445"/>
      <c r="P327" s="445"/>
    </row>
    <row r="328" spans="1:16">
      <c r="A328" s="277"/>
      <c r="B328" s="445"/>
      <c r="C328" s="445"/>
      <c r="D328" s="445"/>
      <c r="E328" s="445"/>
      <c r="F328" s="445"/>
      <c r="G328" s="445"/>
      <c r="H328" s="445"/>
      <c r="I328" s="445"/>
      <c r="J328" s="445"/>
      <c r="K328" s="1136"/>
      <c r="L328" s="1136"/>
      <c r="M328" s="445"/>
      <c r="N328" s="445"/>
      <c r="O328" s="445"/>
      <c r="P328" s="445"/>
    </row>
    <row r="329" spans="1:16">
      <c r="A329" s="277"/>
      <c r="B329" s="445"/>
      <c r="C329" s="445"/>
      <c r="D329" s="445"/>
      <c r="E329" s="445"/>
      <c r="F329" s="445"/>
      <c r="G329" s="445"/>
      <c r="H329" s="445"/>
      <c r="I329" s="445"/>
      <c r="J329" s="445"/>
      <c r="K329" s="1136"/>
      <c r="L329" s="1136"/>
      <c r="M329" s="445"/>
      <c r="N329" s="445"/>
      <c r="O329" s="445"/>
      <c r="P329" s="445"/>
    </row>
    <row r="330" spans="1:16">
      <c r="A330" s="277"/>
      <c r="B330" s="445"/>
      <c r="C330" s="445"/>
      <c r="D330" s="445"/>
      <c r="E330" s="445"/>
      <c r="F330" s="445"/>
      <c r="G330" s="445"/>
      <c r="H330" s="445"/>
      <c r="I330" s="445"/>
      <c r="J330" s="445"/>
      <c r="K330" s="1136"/>
      <c r="L330" s="1136"/>
      <c r="M330" s="445"/>
      <c r="N330" s="445"/>
      <c r="O330" s="445"/>
      <c r="P330" s="445"/>
    </row>
    <row r="331" spans="1:16">
      <c r="A331" s="277"/>
      <c r="B331" s="445"/>
      <c r="C331" s="445"/>
      <c r="D331" s="445"/>
      <c r="E331" s="445"/>
      <c r="F331" s="445"/>
      <c r="G331" s="445"/>
      <c r="H331" s="445"/>
      <c r="I331" s="445"/>
      <c r="J331" s="445"/>
      <c r="K331" s="1136"/>
      <c r="L331" s="1136"/>
      <c r="M331" s="445"/>
      <c r="N331" s="445"/>
      <c r="O331" s="445"/>
      <c r="P331" s="445"/>
    </row>
    <row r="332" spans="1:16">
      <c r="A332" s="277"/>
      <c r="B332" s="445"/>
      <c r="C332" s="445"/>
      <c r="D332" s="445"/>
      <c r="E332" s="445"/>
      <c r="F332" s="445"/>
      <c r="G332" s="445"/>
      <c r="H332" s="445"/>
      <c r="I332" s="445"/>
      <c r="J332" s="445"/>
      <c r="K332" s="1136"/>
      <c r="L332" s="1136"/>
      <c r="M332" s="445"/>
      <c r="N332" s="445"/>
      <c r="O332" s="445"/>
      <c r="P332" s="445"/>
    </row>
    <row r="333" spans="1:16">
      <c r="A333" s="277"/>
      <c r="B333" s="445"/>
      <c r="C333" s="445"/>
      <c r="D333" s="445"/>
      <c r="E333" s="445"/>
      <c r="F333" s="445"/>
      <c r="G333" s="445"/>
      <c r="H333" s="445"/>
      <c r="I333" s="445"/>
      <c r="J333" s="445"/>
      <c r="K333" s="1136"/>
      <c r="L333" s="1136"/>
      <c r="M333" s="445"/>
      <c r="N333" s="445"/>
      <c r="O333" s="445"/>
      <c r="P333" s="445"/>
    </row>
    <row r="334" spans="1:16">
      <c r="A334" s="277"/>
      <c r="B334" s="445"/>
      <c r="C334" s="445"/>
      <c r="D334" s="445"/>
      <c r="E334" s="445"/>
      <c r="F334" s="445"/>
      <c r="G334" s="445"/>
      <c r="H334" s="445"/>
      <c r="I334" s="445"/>
      <c r="J334" s="445"/>
      <c r="K334" s="1136"/>
      <c r="L334" s="1136"/>
      <c r="M334" s="445"/>
      <c r="N334" s="445"/>
      <c r="O334" s="445"/>
      <c r="P334" s="445"/>
    </row>
    <row r="335" spans="1:16">
      <c r="A335" s="277"/>
      <c r="B335" s="445"/>
      <c r="C335" s="445"/>
      <c r="D335" s="445"/>
      <c r="E335" s="445"/>
      <c r="F335" s="445"/>
      <c r="G335" s="445"/>
      <c r="H335" s="445"/>
      <c r="I335" s="445"/>
      <c r="J335" s="445"/>
      <c r="K335" s="1136"/>
      <c r="L335" s="1136"/>
      <c r="M335" s="445"/>
      <c r="N335" s="445"/>
      <c r="O335" s="445"/>
      <c r="P335" s="445"/>
    </row>
    <row r="336" spans="1:16">
      <c r="A336" s="277"/>
      <c r="B336" s="445"/>
      <c r="C336" s="445"/>
      <c r="D336" s="445"/>
      <c r="E336" s="445"/>
      <c r="F336" s="445"/>
      <c r="G336" s="445"/>
      <c r="H336" s="445"/>
      <c r="I336" s="445"/>
      <c r="J336" s="445"/>
      <c r="K336" s="1136"/>
      <c r="L336" s="1136"/>
      <c r="M336" s="445"/>
      <c r="N336" s="445"/>
      <c r="O336" s="445"/>
      <c r="P336" s="445"/>
    </row>
    <row r="337" spans="1:16">
      <c r="A337" s="277"/>
      <c r="B337" s="445"/>
      <c r="C337" s="445"/>
      <c r="D337" s="445"/>
      <c r="E337" s="445"/>
      <c r="F337" s="445"/>
      <c r="G337" s="445"/>
      <c r="H337" s="445"/>
      <c r="I337" s="445"/>
      <c r="J337" s="445"/>
      <c r="K337" s="1136"/>
      <c r="L337" s="1136"/>
      <c r="M337" s="445"/>
      <c r="N337" s="445"/>
      <c r="O337" s="445"/>
      <c r="P337" s="445"/>
    </row>
    <row r="338" spans="1:16">
      <c r="A338" s="277"/>
      <c r="B338" s="445"/>
      <c r="C338" s="445"/>
      <c r="D338" s="445"/>
      <c r="E338" s="445"/>
      <c r="F338" s="445"/>
      <c r="G338" s="445"/>
      <c r="H338" s="445"/>
      <c r="I338" s="445"/>
      <c r="J338" s="445"/>
      <c r="K338" s="1136"/>
      <c r="L338" s="1136"/>
      <c r="M338" s="445"/>
      <c r="N338" s="445"/>
      <c r="O338" s="445"/>
      <c r="P338" s="445"/>
    </row>
    <row r="339" spans="1:16">
      <c r="A339" s="277"/>
      <c r="B339" s="445"/>
      <c r="C339" s="445"/>
      <c r="D339" s="445"/>
      <c r="E339" s="445"/>
      <c r="F339" s="445"/>
      <c r="G339" s="445"/>
      <c r="H339" s="445"/>
      <c r="I339" s="445"/>
      <c r="J339" s="445"/>
      <c r="K339" s="1136"/>
      <c r="L339" s="1136"/>
      <c r="M339" s="445"/>
      <c r="N339" s="445"/>
      <c r="O339" s="445"/>
      <c r="P339" s="445"/>
    </row>
    <row r="340" spans="1:16">
      <c r="A340" s="277"/>
      <c r="B340" s="445"/>
      <c r="C340" s="445"/>
      <c r="D340" s="445"/>
      <c r="E340" s="445"/>
      <c r="F340" s="445"/>
      <c r="G340" s="445"/>
      <c r="H340" s="445"/>
      <c r="I340" s="445"/>
      <c r="J340" s="445"/>
      <c r="K340" s="1136"/>
      <c r="L340" s="1136"/>
      <c r="M340" s="445"/>
      <c r="N340" s="445"/>
      <c r="O340" s="445"/>
      <c r="P340" s="445"/>
    </row>
    <row r="341" spans="1:16">
      <c r="A341" s="277"/>
      <c r="B341" s="445"/>
      <c r="C341" s="445"/>
      <c r="D341" s="445"/>
      <c r="E341" s="445"/>
      <c r="F341" s="445"/>
      <c r="G341" s="445"/>
      <c r="H341" s="445"/>
      <c r="I341" s="445"/>
      <c r="J341" s="445"/>
      <c r="K341" s="1136"/>
      <c r="L341" s="1136"/>
      <c r="M341" s="445"/>
      <c r="N341" s="445"/>
      <c r="O341" s="445"/>
      <c r="P341" s="445"/>
    </row>
    <row r="342" spans="1:16">
      <c r="A342" s="277"/>
      <c r="B342" s="445"/>
      <c r="C342" s="445"/>
      <c r="D342" s="445"/>
      <c r="E342" s="445"/>
      <c r="F342" s="445"/>
      <c r="G342" s="445"/>
      <c r="H342" s="445"/>
      <c r="I342" s="445"/>
      <c r="J342" s="445"/>
      <c r="K342" s="1136"/>
      <c r="L342" s="1136"/>
      <c r="M342" s="445"/>
      <c r="N342" s="445"/>
      <c r="O342" s="445"/>
      <c r="P342" s="445"/>
    </row>
    <row r="343" spans="1:16">
      <c r="A343" s="277"/>
      <c r="B343" s="445"/>
      <c r="C343" s="445"/>
      <c r="D343" s="445"/>
      <c r="E343" s="445"/>
      <c r="F343" s="445"/>
      <c r="G343" s="445"/>
      <c r="H343" s="445"/>
      <c r="I343" s="445"/>
      <c r="J343" s="445"/>
      <c r="K343" s="1136"/>
      <c r="L343" s="1136"/>
      <c r="M343" s="445"/>
      <c r="N343" s="445"/>
      <c r="O343" s="445"/>
      <c r="P343" s="445"/>
    </row>
    <row r="344" spans="1:16">
      <c r="A344" s="277"/>
      <c r="B344" s="445"/>
      <c r="C344" s="445"/>
      <c r="D344" s="445"/>
      <c r="E344" s="445"/>
      <c r="F344" s="445"/>
      <c r="G344" s="445"/>
      <c r="H344" s="445"/>
      <c r="I344" s="445"/>
      <c r="J344" s="445"/>
      <c r="K344" s="1136"/>
      <c r="L344" s="1136"/>
      <c r="M344" s="445"/>
      <c r="N344" s="445"/>
      <c r="O344" s="445"/>
      <c r="P344" s="445"/>
    </row>
    <row r="345" spans="1:16">
      <c r="A345" s="277"/>
      <c r="B345" s="445"/>
      <c r="C345" s="445"/>
      <c r="D345" s="445"/>
      <c r="E345" s="445"/>
      <c r="F345" s="445"/>
      <c r="G345" s="445"/>
      <c r="H345" s="445"/>
      <c r="I345" s="445"/>
      <c r="J345" s="445"/>
      <c r="K345" s="1136"/>
      <c r="L345" s="1136"/>
      <c r="M345" s="445"/>
      <c r="N345" s="445"/>
      <c r="O345" s="445"/>
      <c r="P345" s="445"/>
    </row>
    <row r="346" spans="1:16">
      <c r="A346" s="277"/>
      <c r="B346" s="445"/>
      <c r="C346" s="445"/>
      <c r="D346" s="445"/>
      <c r="E346" s="445"/>
      <c r="F346" s="445"/>
      <c r="G346" s="445"/>
      <c r="H346" s="445"/>
      <c r="I346" s="445"/>
      <c r="J346" s="445"/>
      <c r="K346" s="1136"/>
      <c r="L346" s="1136"/>
      <c r="M346" s="445"/>
      <c r="N346" s="445"/>
      <c r="O346" s="445"/>
      <c r="P346" s="445"/>
    </row>
    <row r="347" spans="1:16">
      <c r="A347" s="277"/>
      <c r="B347" s="445"/>
      <c r="C347" s="445"/>
      <c r="D347" s="445"/>
      <c r="E347" s="445"/>
      <c r="F347" s="445"/>
      <c r="G347" s="445"/>
      <c r="H347" s="445"/>
      <c r="I347" s="445"/>
      <c r="J347" s="445"/>
      <c r="K347" s="1136"/>
      <c r="L347" s="1136"/>
      <c r="M347" s="445"/>
      <c r="N347" s="445"/>
      <c r="O347" s="445"/>
      <c r="P347" s="445"/>
    </row>
    <row r="348" spans="1:16">
      <c r="A348" s="277"/>
      <c r="B348" s="445"/>
      <c r="C348" s="445"/>
      <c r="D348" s="445"/>
      <c r="E348" s="445"/>
      <c r="F348" s="445"/>
      <c r="G348" s="445"/>
      <c r="H348" s="445"/>
      <c r="I348" s="445"/>
      <c r="J348" s="445"/>
      <c r="K348" s="1136"/>
      <c r="L348" s="1136"/>
      <c r="M348" s="445"/>
      <c r="N348" s="445"/>
      <c r="O348" s="445"/>
      <c r="P348" s="445"/>
    </row>
    <row r="349" spans="1:16">
      <c r="A349" s="277"/>
      <c r="B349" s="445"/>
      <c r="C349" s="445"/>
      <c r="D349" s="445"/>
      <c r="E349" s="445"/>
      <c r="F349" s="445"/>
      <c r="G349" s="445"/>
      <c r="H349" s="445"/>
      <c r="I349" s="445"/>
      <c r="J349" s="445"/>
      <c r="K349" s="1136"/>
      <c r="L349" s="1136"/>
      <c r="M349" s="445"/>
      <c r="N349" s="445"/>
      <c r="O349" s="445"/>
      <c r="P349" s="445"/>
    </row>
    <row r="350" spans="1:16">
      <c r="A350" s="277"/>
      <c r="B350" s="445"/>
      <c r="C350" s="445"/>
      <c r="D350" s="445"/>
      <c r="E350" s="445"/>
      <c r="F350" s="445"/>
      <c r="G350" s="445"/>
      <c r="H350" s="445"/>
      <c r="I350" s="445"/>
      <c r="J350" s="445"/>
      <c r="K350" s="1136"/>
      <c r="L350" s="1136"/>
      <c r="M350" s="445"/>
      <c r="N350" s="445"/>
      <c r="O350" s="445"/>
      <c r="P350" s="445"/>
    </row>
    <row r="351" spans="1:16">
      <c r="A351" s="277"/>
      <c r="B351" s="445"/>
      <c r="C351" s="445"/>
      <c r="D351" s="445"/>
      <c r="E351" s="445"/>
      <c r="F351" s="445"/>
      <c r="G351" s="445"/>
      <c r="H351" s="445"/>
      <c r="I351" s="445"/>
      <c r="J351" s="445"/>
      <c r="K351" s="1136"/>
      <c r="L351" s="1136"/>
      <c r="M351" s="445"/>
      <c r="N351" s="445"/>
      <c r="O351" s="445"/>
      <c r="P351" s="445"/>
    </row>
    <row r="352" spans="1:16">
      <c r="A352" s="277"/>
      <c r="B352" s="445"/>
      <c r="C352" s="445"/>
      <c r="D352" s="445"/>
      <c r="E352" s="445"/>
      <c r="F352" s="445"/>
      <c r="G352" s="445"/>
      <c r="H352" s="445"/>
      <c r="I352" s="445"/>
      <c r="J352" s="445"/>
      <c r="K352" s="1136"/>
      <c r="L352" s="1136"/>
      <c r="M352" s="445"/>
      <c r="N352" s="445"/>
      <c r="O352" s="445"/>
      <c r="P352" s="445"/>
    </row>
    <row r="353" spans="1:16">
      <c r="A353" s="277"/>
      <c r="B353" s="445"/>
      <c r="C353" s="445"/>
      <c r="D353" s="445"/>
      <c r="E353" s="445"/>
      <c r="F353" s="445"/>
      <c r="G353" s="445"/>
      <c r="H353" s="445"/>
      <c r="I353" s="445"/>
      <c r="J353" s="445"/>
      <c r="K353" s="1136"/>
      <c r="L353" s="1136"/>
      <c r="M353" s="445"/>
      <c r="N353" s="445"/>
      <c r="O353" s="445"/>
      <c r="P353" s="445"/>
    </row>
    <row r="354" spans="1:16">
      <c r="A354" s="277"/>
      <c r="B354" s="445"/>
      <c r="C354" s="445"/>
      <c r="D354" s="445"/>
      <c r="E354" s="445"/>
      <c r="F354" s="445"/>
      <c r="G354" s="445"/>
      <c r="H354" s="445"/>
      <c r="I354" s="445"/>
      <c r="J354" s="445"/>
      <c r="K354" s="1136"/>
      <c r="L354" s="1136"/>
      <c r="M354" s="445"/>
      <c r="N354" s="445"/>
      <c r="O354" s="445"/>
      <c r="P354" s="445"/>
    </row>
    <row r="355" spans="1:16">
      <c r="A355" s="277"/>
      <c r="B355" s="445"/>
      <c r="C355" s="445"/>
      <c r="D355" s="445"/>
      <c r="E355" s="445"/>
      <c r="F355" s="445"/>
      <c r="G355" s="445"/>
      <c r="H355" s="445"/>
      <c r="I355" s="445"/>
      <c r="J355" s="445"/>
      <c r="K355" s="1136"/>
      <c r="L355" s="1136"/>
      <c r="M355" s="445"/>
      <c r="N355" s="445"/>
      <c r="O355" s="445"/>
      <c r="P355" s="445"/>
    </row>
    <row r="356" spans="1:16">
      <c r="A356" s="277"/>
      <c r="B356" s="445"/>
      <c r="C356" s="445"/>
      <c r="D356" s="445"/>
      <c r="E356" s="445"/>
      <c r="F356" s="445"/>
      <c r="G356" s="445"/>
      <c r="H356" s="445"/>
      <c r="I356" s="445"/>
      <c r="J356" s="445"/>
      <c r="K356" s="1136"/>
      <c r="L356" s="1136"/>
      <c r="M356" s="445"/>
      <c r="N356" s="445"/>
      <c r="O356" s="445"/>
      <c r="P356" s="445"/>
    </row>
    <row r="357" spans="1:16">
      <c r="A357" s="277"/>
      <c r="B357" s="445"/>
      <c r="C357" s="445"/>
      <c r="D357" s="445"/>
      <c r="E357" s="445"/>
      <c r="F357" s="445"/>
      <c r="G357" s="445"/>
      <c r="H357" s="445"/>
      <c r="I357" s="445"/>
      <c r="J357" s="445"/>
      <c r="K357" s="1136"/>
      <c r="L357" s="1136"/>
      <c r="M357" s="445"/>
      <c r="N357" s="445"/>
      <c r="O357" s="445"/>
      <c r="P357" s="445"/>
    </row>
    <row r="358" spans="1:16">
      <c r="A358" s="277"/>
      <c r="B358" s="445"/>
      <c r="C358" s="445"/>
      <c r="D358" s="445"/>
      <c r="E358" s="445"/>
      <c r="F358" s="445"/>
      <c r="G358" s="445"/>
      <c r="H358" s="445"/>
      <c r="I358" s="445"/>
      <c r="J358" s="445"/>
      <c r="K358" s="1136"/>
      <c r="L358" s="1136"/>
      <c r="M358" s="445"/>
      <c r="N358" s="445"/>
      <c r="O358" s="445"/>
      <c r="P358" s="445"/>
    </row>
    <row r="359" spans="1:16">
      <c r="A359" s="277"/>
      <c r="B359" s="445"/>
      <c r="C359" s="445"/>
      <c r="D359" s="445"/>
      <c r="E359" s="445"/>
      <c r="F359" s="445"/>
      <c r="G359" s="445"/>
      <c r="H359" s="445"/>
      <c r="I359" s="445"/>
      <c r="J359" s="445"/>
      <c r="K359" s="1136"/>
      <c r="L359" s="1136"/>
      <c r="M359" s="445"/>
      <c r="N359" s="445"/>
      <c r="O359" s="445"/>
      <c r="P359" s="445"/>
    </row>
    <row r="360" spans="1:16">
      <c r="A360" s="277"/>
      <c r="B360" s="445"/>
      <c r="C360" s="445"/>
      <c r="D360" s="445"/>
      <c r="E360" s="445"/>
      <c r="F360" s="445"/>
      <c r="G360" s="445"/>
      <c r="H360" s="445"/>
      <c r="I360" s="445"/>
      <c r="J360" s="445"/>
      <c r="K360" s="1136"/>
      <c r="L360" s="1136"/>
      <c r="M360" s="445"/>
      <c r="N360" s="445"/>
      <c r="O360" s="445"/>
      <c r="P360" s="445"/>
    </row>
    <row r="361" spans="1:16">
      <c r="A361" s="277"/>
      <c r="B361" s="445"/>
      <c r="C361" s="445"/>
      <c r="D361" s="445"/>
      <c r="E361" s="445"/>
      <c r="F361" s="445"/>
      <c r="G361" s="445"/>
      <c r="H361" s="445"/>
      <c r="I361" s="445"/>
      <c r="J361" s="445"/>
      <c r="K361" s="1136"/>
      <c r="L361" s="1136"/>
      <c r="M361" s="445"/>
      <c r="N361" s="445"/>
      <c r="O361" s="445"/>
      <c r="P361" s="445"/>
    </row>
    <row r="362" spans="1:16">
      <c r="A362" s="277"/>
      <c r="B362" s="445"/>
      <c r="C362" s="445"/>
      <c r="D362" s="445"/>
      <c r="E362" s="445"/>
      <c r="F362" s="445"/>
      <c r="G362" s="445"/>
      <c r="H362" s="445"/>
      <c r="I362" s="445"/>
      <c r="J362" s="445"/>
      <c r="K362" s="1136"/>
      <c r="L362" s="1136"/>
      <c r="M362" s="445"/>
      <c r="N362" s="445"/>
      <c r="O362" s="445"/>
      <c r="P362" s="445"/>
    </row>
    <row r="363" spans="1:16">
      <c r="A363" s="277"/>
      <c r="B363" s="445"/>
      <c r="C363" s="445"/>
      <c r="D363" s="445"/>
      <c r="E363" s="445"/>
      <c r="F363" s="445"/>
      <c r="G363" s="445"/>
      <c r="H363" s="445"/>
      <c r="I363" s="445"/>
      <c r="J363" s="445"/>
      <c r="K363" s="1136"/>
      <c r="L363" s="1136"/>
      <c r="M363" s="445"/>
      <c r="N363" s="445"/>
      <c r="O363" s="445"/>
      <c r="P363" s="445"/>
    </row>
    <row r="364" spans="1:16">
      <c r="A364" s="277"/>
      <c r="B364" s="445"/>
      <c r="C364" s="445"/>
      <c r="D364" s="445"/>
      <c r="E364" s="445"/>
      <c r="F364" s="445"/>
      <c r="G364" s="445"/>
      <c r="H364" s="445"/>
      <c r="I364" s="445"/>
      <c r="J364" s="445"/>
      <c r="K364" s="1136"/>
      <c r="L364" s="1136"/>
      <c r="M364" s="445"/>
      <c r="N364" s="445"/>
      <c r="O364" s="445"/>
      <c r="P364" s="445"/>
    </row>
    <row r="365" spans="1:16">
      <c r="A365" s="277"/>
      <c r="B365" s="445"/>
      <c r="C365" s="445"/>
      <c r="D365" s="445"/>
      <c r="E365" s="445"/>
      <c r="F365" s="445"/>
      <c r="G365" s="445"/>
      <c r="H365" s="445"/>
      <c r="I365" s="445"/>
      <c r="J365" s="445"/>
      <c r="K365" s="1136"/>
      <c r="L365" s="1136"/>
      <c r="M365" s="445"/>
      <c r="N365" s="445"/>
      <c r="O365" s="445"/>
      <c r="P365" s="445"/>
    </row>
    <row r="366" spans="1:16">
      <c r="A366" s="277"/>
      <c r="B366" s="445"/>
      <c r="C366" s="445"/>
      <c r="D366" s="445"/>
      <c r="E366" s="445"/>
      <c r="F366" s="445"/>
      <c r="G366" s="445"/>
      <c r="H366" s="445"/>
      <c r="I366" s="445"/>
      <c r="J366" s="445"/>
      <c r="K366" s="1136"/>
      <c r="L366" s="1136"/>
      <c r="M366" s="445"/>
      <c r="N366" s="445"/>
      <c r="O366" s="445"/>
      <c r="P366" s="445"/>
    </row>
    <row r="367" spans="1:16">
      <c r="A367" s="277"/>
      <c r="B367" s="445"/>
      <c r="C367" s="445"/>
      <c r="D367" s="445"/>
      <c r="E367" s="445"/>
      <c r="F367" s="445"/>
      <c r="G367" s="445"/>
      <c r="H367" s="445"/>
      <c r="I367" s="445"/>
      <c r="J367" s="445"/>
      <c r="K367" s="1136"/>
      <c r="L367" s="1136"/>
      <c r="M367" s="445"/>
      <c r="N367" s="445"/>
      <c r="O367" s="445"/>
      <c r="P367" s="445"/>
    </row>
    <row r="368" spans="1:16">
      <c r="A368" s="277"/>
      <c r="B368" s="445"/>
      <c r="C368" s="445"/>
      <c r="D368" s="445"/>
      <c r="E368" s="445"/>
      <c r="F368" s="445"/>
      <c r="G368" s="445"/>
      <c r="H368" s="445"/>
      <c r="I368" s="445"/>
      <c r="J368" s="445"/>
      <c r="K368" s="1136"/>
      <c r="L368" s="1136"/>
      <c r="M368" s="445"/>
      <c r="N368" s="445"/>
      <c r="O368" s="445"/>
      <c r="P368" s="445"/>
    </row>
    <row r="369" spans="1:16">
      <c r="A369" s="277"/>
      <c r="B369" s="445"/>
      <c r="C369" s="445"/>
      <c r="D369" s="445"/>
      <c r="E369" s="445"/>
      <c r="F369" s="445"/>
      <c r="G369" s="445"/>
      <c r="H369" s="445"/>
      <c r="I369" s="445"/>
      <c r="J369" s="445"/>
      <c r="K369" s="1136"/>
      <c r="L369" s="1136"/>
      <c r="M369" s="445"/>
      <c r="N369" s="445"/>
      <c r="O369" s="445"/>
      <c r="P369" s="445"/>
    </row>
    <row r="370" spans="1:16">
      <c r="A370" s="277"/>
      <c r="B370" s="445"/>
      <c r="C370" s="445"/>
      <c r="D370" s="445"/>
      <c r="E370" s="445"/>
      <c r="F370" s="445"/>
      <c r="G370" s="445"/>
      <c r="H370" s="445"/>
      <c r="I370" s="445"/>
      <c r="J370" s="445"/>
      <c r="K370" s="1136"/>
      <c r="L370" s="1136"/>
      <c r="M370" s="445"/>
      <c r="N370" s="445"/>
      <c r="O370" s="445"/>
      <c r="P370" s="445"/>
    </row>
    <row r="371" spans="1:16">
      <c r="A371" s="277"/>
      <c r="B371" s="445"/>
      <c r="C371" s="445"/>
      <c r="D371" s="445"/>
      <c r="E371" s="445"/>
      <c r="F371" s="445"/>
      <c r="G371" s="445"/>
      <c r="H371" s="445"/>
      <c r="I371" s="445"/>
      <c r="J371" s="445"/>
      <c r="K371" s="1136"/>
      <c r="L371" s="1136"/>
      <c r="M371" s="445"/>
      <c r="N371" s="445"/>
      <c r="O371" s="445"/>
      <c r="P371" s="445"/>
    </row>
    <row r="372" spans="1:16">
      <c r="A372" s="277"/>
      <c r="B372" s="445"/>
      <c r="C372" s="445"/>
      <c r="D372" s="445"/>
      <c r="E372" s="445"/>
      <c r="F372" s="445"/>
      <c r="G372" s="445"/>
      <c r="H372" s="445"/>
      <c r="I372" s="445"/>
      <c r="J372" s="445"/>
      <c r="K372" s="1136"/>
      <c r="L372" s="1136"/>
      <c r="M372" s="445"/>
      <c r="N372" s="445"/>
      <c r="O372" s="445"/>
      <c r="P372" s="445"/>
    </row>
    <row r="373" spans="1:16">
      <c r="A373" s="277"/>
      <c r="B373" s="445"/>
      <c r="C373" s="445"/>
      <c r="D373" s="445"/>
      <c r="E373" s="445"/>
      <c r="F373" s="445"/>
      <c r="G373" s="445"/>
      <c r="H373" s="445"/>
      <c r="I373" s="445"/>
      <c r="J373" s="445"/>
      <c r="K373" s="1136"/>
      <c r="L373" s="1136"/>
      <c r="M373" s="445"/>
      <c r="N373" s="445"/>
      <c r="O373" s="445"/>
      <c r="P373" s="445"/>
    </row>
    <row r="374" spans="1:16">
      <c r="A374" s="277"/>
      <c r="B374" s="445"/>
      <c r="C374" s="445"/>
      <c r="D374" s="445"/>
      <c r="E374" s="445"/>
      <c r="F374" s="445"/>
      <c r="G374" s="445"/>
      <c r="H374" s="445"/>
      <c r="I374" s="445"/>
      <c r="J374" s="445"/>
      <c r="K374" s="1136"/>
      <c r="L374" s="1136"/>
      <c r="M374" s="445"/>
      <c r="N374" s="445"/>
      <c r="O374" s="445"/>
      <c r="P374" s="445"/>
    </row>
    <row r="375" spans="1:16">
      <c r="A375" s="277"/>
      <c r="B375" s="445"/>
      <c r="C375" s="445"/>
      <c r="D375" s="445"/>
      <c r="E375" s="445"/>
      <c r="F375" s="445"/>
      <c r="G375" s="445"/>
      <c r="H375" s="445"/>
      <c r="I375" s="445"/>
      <c r="J375" s="445"/>
      <c r="K375" s="1136"/>
      <c r="L375" s="1136"/>
      <c r="M375" s="445"/>
      <c r="N375" s="445"/>
      <c r="O375" s="445"/>
      <c r="P375" s="445"/>
    </row>
    <row r="376" spans="1:16">
      <c r="A376" s="277"/>
      <c r="B376" s="445"/>
      <c r="C376" s="445"/>
      <c r="D376" s="445"/>
      <c r="E376" s="445"/>
      <c r="F376" s="445"/>
      <c r="G376" s="445"/>
      <c r="H376" s="445"/>
      <c r="I376" s="445"/>
      <c r="J376" s="445"/>
      <c r="K376" s="1136"/>
      <c r="L376" s="1136"/>
      <c r="M376" s="445"/>
      <c r="N376" s="445"/>
      <c r="O376" s="445"/>
      <c r="P376" s="445"/>
    </row>
    <row r="377" spans="1:16">
      <c r="A377" s="277"/>
      <c r="B377" s="445"/>
      <c r="C377" s="445"/>
      <c r="D377" s="445"/>
      <c r="E377" s="445"/>
      <c r="F377" s="445"/>
      <c r="G377" s="445"/>
      <c r="H377" s="445"/>
      <c r="I377" s="445"/>
      <c r="J377" s="445"/>
      <c r="K377" s="1136"/>
      <c r="L377" s="1136"/>
      <c r="M377" s="445"/>
      <c r="N377" s="445"/>
      <c r="O377" s="445"/>
      <c r="P377" s="445"/>
    </row>
    <row r="378" spans="1:16">
      <c r="A378" s="277"/>
      <c r="B378" s="445"/>
      <c r="C378" s="445"/>
      <c r="D378" s="445"/>
      <c r="E378" s="445"/>
      <c r="F378" s="445"/>
      <c r="G378" s="445"/>
      <c r="H378" s="445"/>
      <c r="I378" s="445"/>
      <c r="J378" s="445"/>
      <c r="K378" s="1136"/>
      <c r="L378" s="1136"/>
      <c r="M378" s="445"/>
      <c r="N378" s="445"/>
      <c r="O378" s="445"/>
      <c r="P378" s="445"/>
    </row>
    <row r="379" spans="1:16">
      <c r="A379" s="277"/>
      <c r="B379" s="445"/>
      <c r="C379" s="445"/>
      <c r="D379" s="445"/>
      <c r="E379" s="445"/>
      <c r="F379" s="445"/>
      <c r="G379" s="445"/>
      <c r="H379" s="445"/>
      <c r="I379" s="445"/>
      <c r="J379" s="445"/>
      <c r="K379" s="1136"/>
      <c r="L379" s="1136"/>
      <c r="M379" s="445"/>
      <c r="N379" s="445"/>
      <c r="O379" s="445"/>
      <c r="P379" s="445"/>
    </row>
    <row r="380" spans="1:16">
      <c r="A380" s="277"/>
      <c r="B380" s="445"/>
      <c r="C380" s="445"/>
      <c r="D380" s="445"/>
      <c r="E380" s="445"/>
      <c r="F380" s="445"/>
      <c r="G380" s="445"/>
      <c r="H380" s="445"/>
      <c r="I380" s="445"/>
      <c r="J380" s="445"/>
      <c r="K380" s="1136"/>
      <c r="L380" s="1136"/>
      <c r="M380" s="445"/>
      <c r="N380" s="445"/>
      <c r="O380" s="445"/>
      <c r="P380" s="445"/>
    </row>
    <row r="381" spans="1:16">
      <c r="A381" s="277"/>
      <c r="B381" s="445"/>
      <c r="C381" s="445"/>
      <c r="D381" s="445"/>
      <c r="E381" s="445"/>
      <c r="F381" s="445"/>
      <c r="G381" s="445"/>
      <c r="H381" s="445"/>
      <c r="I381" s="445"/>
      <c r="J381" s="445"/>
      <c r="K381" s="1136"/>
      <c r="L381" s="1136"/>
      <c r="M381" s="445"/>
      <c r="N381" s="445"/>
      <c r="O381" s="445"/>
      <c r="P381" s="445"/>
    </row>
    <row r="382" spans="1:16">
      <c r="A382" s="277"/>
      <c r="B382" s="445"/>
      <c r="C382" s="445"/>
      <c r="D382" s="445"/>
      <c r="E382" s="445"/>
      <c r="F382" s="445"/>
      <c r="G382" s="445"/>
      <c r="H382" s="445"/>
      <c r="I382" s="445"/>
      <c r="J382" s="445"/>
      <c r="K382" s="1136"/>
      <c r="L382" s="1136"/>
      <c r="M382" s="445"/>
      <c r="N382" s="445"/>
      <c r="O382" s="445"/>
      <c r="P382" s="445"/>
    </row>
    <row r="383" spans="1:16">
      <c r="A383" s="277"/>
      <c r="B383" s="445"/>
      <c r="C383" s="445"/>
      <c r="D383" s="445"/>
      <c r="E383" s="445"/>
      <c r="F383" s="445"/>
      <c r="G383" s="445"/>
      <c r="H383" s="445"/>
      <c r="I383" s="445"/>
      <c r="J383" s="445"/>
      <c r="K383" s="1136"/>
      <c r="L383" s="1136"/>
      <c r="M383" s="445"/>
      <c r="N383" s="445"/>
      <c r="O383" s="445"/>
      <c r="P383" s="445"/>
    </row>
    <row r="384" spans="1:16">
      <c r="A384" s="277"/>
      <c r="B384" s="445"/>
      <c r="C384" s="445"/>
      <c r="D384" s="445"/>
      <c r="E384" s="445"/>
      <c r="F384" s="445"/>
      <c r="G384" s="445"/>
      <c r="H384" s="445"/>
      <c r="I384" s="445"/>
      <c r="J384" s="445"/>
      <c r="K384" s="1136"/>
      <c r="L384" s="1136"/>
      <c r="M384" s="445"/>
      <c r="N384" s="445"/>
      <c r="O384" s="445"/>
      <c r="P384" s="445"/>
    </row>
    <row r="385" spans="1:16">
      <c r="A385" s="277"/>
      <c r="B385" s="445"/>
      <c r="C385" s="445"/>
      <c r="D385" s="445"/>
      <c r="E385" s="445"/>
      <c r="F385" s="445"/>
      <c r="G385" s="445"/>
      <c r="H385" s="445"/>
      <c r="I385" s="445"/>
      <c r="J385" s="445"/>
      <c r="K385" s="1136"/>
      <c r="L385" s="1136"/>
      <c r="M385" s="445"/>
      <c r="N385" s="445"/>
      <c r="O385" s="445"/>
      <c r="P385" s="445"/>
    </row>
    <row r="386" spans="1:16">
      <c r="A386" s="277"/>
      <c r="B386" s="445"/>
      <c r="C386" s="445"/>
      <c r="D386" s="445"/>
      <c r="E386" s="445"/>
      <c r="F386" s="445"/>
      <c r="G386" s="445"/>
      <c r="H386" s="445"/>
      <c r="I386" s="445"/>
      <c r="J386" s="445"/>
      <c r="K386" s="1136"/>
      <c r="L386" s="1136"/>
      <c r="M386" s="445"/>
      <c r="N386" s="445"/>
      <c r="O386" s="445"/>
      <c r="P386" s="445"/>
    </row>
    <row r="387" spans="1:16">
      <c r="A387" s="277"/>
      <c r="B387" s="445"/>
      <c r="C387" s="445"/>
      <c r="D387" s="445"/>
      <c r="E387" s="445"/>
      <c r="F387" s="445"/>
      <c r="G387" s="445"/>
      <c r="H387" s="445"/>
      <c r="I387" s="445"/>
      <c r="J387" s="445"/>
      <c r="K387" s="1136"/>
      <c r="L387" s="1136"/>
      <c r="M387" s="445"/>
      <c r="N387" s="445"/>
      <c r="O387" s="445"/>
      <c r="P387" s="445"/>
    </row>
    <row r="388" spans="1:16">
      <c r="A388" s="277"/>
      <c r="B388" s="445"/>
      <c r="C388" s="445"/>
      <c r="D388" s="445"/>
      <c r="E388" s="445"/>
      <c r="F388" s="445"/>
      <c r="G388" s="445"/>
      <c r="H388" s="445"/>
      <c r="I388" s="445"/>
      <c r="J388" s="445"/>
      <c r="K388" s="1136"/>
      <c r="L388" s="1136"/>
      <c r="M388" s="445"/>
      <c r="N388" s="445"/>
      <c r="O388" s="445"/>
      <c r="P388" s="445"/>
    </row>
    <row r="389" spans="1:16">
      <c r="A389" s="277"/>
      <c r="B389" s="445"/>
      <c r="C389" s="445"/>
      <c r="D389" s="445"/>
      <c r="E389" s="445"/>
      <c r="F389" s="445"/>
      <c r="G389" s="445"/>
      <c r="H389" s="445"/>
      <c r="I389" s="445"/>
      <c r="J389" s="445"/>
      <c r="K389" s="1136"/>
      <c r="L389" s="1136"/>
      <c r="M389" s="445"/>
      <c r="N389" s="445"/>
      <c r="O389" s="445"/>
      <c r="P389" s="445"/>
    </row>
    <row r="390" spans="1:16">
      <c r="A390" s="277"/>
      <c r="B390" s="445"/>
      <c r="C390" s="445"/>
      <c r="D390" s="445"/>
      <c r="E390" s="445"/>
      <c r="F390" s="445"/>
      <c r="G390" s="445"/>
      <c r="H390" s="445"/>
      <c r="I390" s="445"/>
      <c r="J390" s="445"/>
      <c r="K390" s="1136"/>
      <c r="L390" s="1136"/>
      <c r="M390" s="445"/>
      <c r="N390" s="445"/>
      <c r="O390" s="445"/>
      <c r="P390" s="445"/>
    </row>
    <row r="391" spans="1:16">
      <c r="A391" s="277"/>
      <c r="B391" s="445"/>
      <c r="C391" s="445"/>
      <c r="D391" s="445"/>
      <c r="E391" s="445"/>
      <c r="F391" s="445"/>
      <c r="G391" s="445"/>
      <c r="H391" s="445"/>
      <c r="I391" s="445"/>
      <c r="J391" s="445"/>
      <c r="K391" s="1136"/>
      <c r="L391" s="1136"/>
      <c r="M391" s="445"/>
      <c r="N391" s="445"/>
      <c r="O391" s="445"/>
      <c r="P391" s="445"/>
    </row>
    <row r="392" spans="1:16">
      <c r="A392" s="277"/>
      <c r="B392" s="445"/>
      <c r="C392" s="445"/>
      <c r="D392" s="445"/>
      <c r="E392" s="445"/>
      <c r="F392" s="445"/>
      <c r="G392" s="445"/>
      <c r="H392" s="445"/>
      <c r="I392" s="445"/>
      <c r="J392" s="445"/>
      <c r="K392" s="1136"/>
      <c r="L392" s="1136"/>
      <c r="M392" s="445"/>
      <c r="N392" s="445"/>
      <c r="O392" s="445"/>
      <c r="P392" s="445"/>
    </row>
    <row r="393" spans="1:16">
      <c r="A393" s="277"/>
      <c r="B393" s="445"/>
      <c r="C393" s="445"/>
      <c r="D393" s="445"/>
      <c r="E393" s="445"/>
      <c r="F393" s="445"/>
      <c r="G393" s="445"/>
      <c r="H393" s="445"/>
      <c r="I393" s="445"/>
      <c r="J393" s="445"/>
      <c r="K393" s="1136"/>
      <c r="L393" s="1136"/>
      <c r="M393" s="445"/>
      <c r="N393" s="445"/>
      <c r="O393" s="445"/>
      <c r="P393" s="445"/>
    </row>
    <row r="394" spans="1:16">
      <c r="A394" s="277"/>
      <c r="B394" s="445"/>
      <c r="C394" s="445"/>
      <c r="D394" s="445"/>
      <c r="E394" s="445"/>
      <c r="F394" s="445"/>
      <c r="G394" s="445"/>
      <c r="H394" s="445"/>
      <c r="I394" s="445"/>
      <c r="J394" s="445"/>
      <c r="K394" s="1136"/>
      <c r="L394" s="1136"/>
      <c r="M394" s="445"/>
      <c r="N394" s="445"/>
      <c r="O394" s="445"/>
      <c r="P394" s="445"/>
    </row>
    <row r="395" spans="1:16">
      <c r="A395" s="277"/>
      <c r="B395" s="445"/>
      <c r="C395" s="445"/>
      <c r="D395" s="445"/>
      <c r="E395" s="445"/>
      <c r="F395" s="445"/>
      <c r="G395" s="445"/>
      <c r="H395" s="445"/>
      <c r="I395" s="445"/>
      <c r="J395" s="445"/>
      <c r="K395" s="1136"/>
      <c r="L395" s="1136"/>
      <c r="M395" s="445"/>
      <c r="N395" s="445"/>
      <c r="O395" s="445"/>
      <c r="P395" s="445"/>
    </row>
    <row r="396" spans="1:16">
      <c r="A396" s="277"/>
      <c r="B396" s="445"/>
      <c r="C396" s="445"/>
      <c r="D396" s="445"/>
      <c r="E396" s="445"/>
      <c r="F396" s="445"/>
      <c r="G396" s="445"/>
      <c r="H396" s="445"/>
      <c r="I396" s="445"/>
      <c r="J396" s="445"/>
      <c r="K396" s="1136"/>
      <c r="L396" s="1136"/>
      <c r="M396" s="445"/>
      <c r="N396" s="445"/>
      <c r="O396" s="445"/>
      <c r="P396" s="445"/>
    </row>
    <row r="397" spans="1:16">
      <c r="A397" s="277"/>
      <c r="B397" s="445"/>
      <c r="C397" s="445"/>
      <c r="D397" s="445"/>
      <c r="E397" s="445"/>
      <c r="F397" s="445"/>
      <c r="G397" s="445"/>
      <c r="H397" s="445"/>
      <c r="I397" s="445"/>
      <c r="J397" s="445"/>
      <c r="K397" s="1136"/>
      <c r="L397" s="1136"/>
      <c r="M397" s="445"/>
      <c r="N397" s="445"/>
      <c r="O397" s="445"/>
      <c r="P397" s="445"/>
    </row>
    <row r="398" spans="1:16">
      <c r="A398" s="277"/>
      <c r="B398" s="445"/>
      <c r="C398" s="445"/>
      <c r="D398" s="445"/>
      <c r="E398" s="445"/>
      <c r="F398" s="445"/>
      <c r="G398" s="445"/>
      <c r="H398" s="445"/>
      <c r="I398" s="445"/>
      <c r="J398" s="445"/>
      <c r="K398" s="1136"/>
      <c r="L398" s="1136"/>
      <c r="M398" s="445"/>
      <c r="N398" s="445"/>
      <c r="O398" s="445"/>
      <c r="P398" s="445"/>
    </row>
    <row r="399" spans="1:16">
      <c r="A399" s="277"/>
      <c r="B399" s="445"/>
      <c r="C399" s="445"/>
      <c r="D399" s="445"/>
      <c r="E399" s="445"/>
      <c r="F399" s="445"/>
      <c r="G399" s="445"/>
      <c r="H399" s="445"/>
      <c r="I399" s="445"/>
      <c r="J399" s="445"/>
      <c r="K399" s="1136"/>
      <c r="L399" s="1136"/>
      <c r="M399" s="445"/>
      <c r="N399" s="445"/>
      <c r="O399" s="445"/>
      <c r="P399" s="445"/>
    </row>
    <row r="400" spans="1:16">
      <c r="A400" s="277"/>
      <c r="B400" s="445"/>
      <c r="C400" s="445"/>
      <c r="D400" s="445"/>
      <c r="E400" s="445"/>
      <c r="F400" s="445"/>
      <c r="G400" s="445"/>
      <c r="H400" s="445"/>
      <c r="I400" s="445"/>
      <c r="J400" s="445"/>
      <c r="K400" s="1136"/>
      <c r="L400" s="1136"/>
      <c r="M400" s="445"/>
      <c r="N400" s="445"/>
      <c r="O400" s="445"/>
      <c r="P400" s="445"/>
    </row>
    <row r="401" spans="1:16">
      <c r="A401" s="277"/>
      <c r="B401" s="445"/>
      <c r="C401" s="445"/>
      <c r="D401" s="445"/>
      <c r="E401" s="445"/>
      <c r="F401" s="445"/>
      <c r="G401" s="445"/>
      <c r="H401" s="445"/>
      <c r="I401" s="445"/>
      <c r="J401" s="445"/>
      <c r="K401" s="1136"/>
      <c r="L401" s="1136"/>
      <c r="M401" s="445"/>
      <c r="N401" s="445"/>
      <c r="O401" s="445"/>
      <c r="P401" s="445"/>
    </row>
    <row r="402" spans="1:16">
      <c r="A402" s="277"/>
      <c r="B402" s="445"/>
      <c r="C402" s="445"/>
      <c r="D402" s="445"/>
      <c r="E402" s="445"/>
      <c r="F402" s="445"/>
      <c r="G402" s="445"/>
      <c r="H402" s="445"/>
      <c r="I402" s="445"/>
      <c r="J402" s="445"/>
      <c r="K402" s="1136"/>
      <c r="L402" s="1136"/>
      <c r="M402" s="445"/>
      <c r="N402" s="445"/>
      <c r="O402" s="445"/>
      <c r="P402" s="445"/>
    </row>
    <row r="403" spans="1:16">
      <c r="A403" s="277"/>
      <c r="B403" s="445"/>
      <c r="C403" s="445"/>
      <c r="D403" s="445"/>
      <c r="E403" s="445"/>
      <c r="F403" s="445"/>
      <c r="G403" s="445"/>
      <c r="H403" s="445"/>
      <c r="I403" s="445"/>
      <c r="J403" s="445"/>
      <c r="K403" s="1136"/>
      <c r="L403" s="1136"/>
      <c r="M403" s="445"/>
      <c r="N403" s="445"/>
      <c r="O403" s="445"/>
      <c r="P403" s="445"/>
    </row>
    <row r="404" spans="1:16">
      <c r="A404" s="277"/>
      <c r="B404" s="445"/>
      <c r="C404" s="445"/>
      <c r="D404" s="445"/>
      <c r="E404" s="445"/>
      <c r="F404" s="445"/>
      <c r="G404" s="445"/>
      <c r="H404" s="445"/>
      <c r="I404" s="445"/>
      <c r="J404" s="445"/>
      <c r="K404" s="1136"/>
      <c r="L404" s="1136"/>
      <c r="M404" s="445"/>
      <c r="N404" s="445"/>
      <c r="O404" s="445"/>
      <c r="P404" s="445"/>
    </row>
    <row r="405" spans="1:16">
      <c r="A405" s="277"/>
      <c r="B405" s="445"/>
      <c r="C405" s="445"/>
      <c r="D405" s="445"/>
      <c r="E405" s="445"/>
      <c r="F405" s="445"/>
      <c r="G405" s="445"/>
      <c r="H405" s="445"/>
      <c r="I405" s="445"/>
      <c r="J405" s="445"/>
      <c r="K405" s="1136"/>
      <c r="L405" s="1136"/>
      <c r="M405" s="445"/>
      <c r="N405" s="445"/>
      <c r="O405" s="445"/>
      <c r="P405" s="445"/>
    </row>
    <row r="406" spans="1:16">
      <c r="A406" s="277"/>
      <c r="B406" s="445"/>
      <c r="C406" s="445"/>
      <c r="D406" s="445"/>
      <c r="E406" s="445"/>
      <c r="F406" s="445"/>
      <c r="G406" s="445"/>
      <c r="H406" s="445"/>
      <c r="I406" s="445"/>
      <c r="J406" s="445"/>
      <c r="K406" s="1136"/>
      <c r="L406" s="1136"/>
      <c r="M406" s="445"/>
      <c r="N406" s="445"/>
      <c r="O406" s="445"/>
      <c r="P406" s="445"/>
    </row>
    <row r="407" spans="1:16">
      <c r="A407" s="277"/>
      <c r="B407" s="445"/>
      <c r="C407" s="445"/>
      <c r="D407" s="445"/>
      <c r="E407" s="445"/>
      <c r="F407" s="445"/>
      <c r="G407" s="445"/>
      <c r="H407" s="445"/>
      <c r="I407" s="445"/>
      <c r="J407" s="445"/>
      <c r="K407" s="1136"/>
      <c r="L407" s="1136"/>
      <c r="M407" s="445"/>
      <c r="N407" s="445"/>
      <c r="O407" s="445"/>
      <c r="P407" s="445"/>
    </row>
    <row r="408" spans="1:16">
      <c r="A408" s="277"/>
      <c r="B408" s="445"/>
      <c r="C408" s="445"/>
      <c r="D408" s="445"/>
      <c r="E408" s="445"/>
      <c r="F408" s="445"/>
      <c r="G408" s="445"/>
      <c r="H408" s="445"/>
      <c r="I408" s="445"/>
      <c r="J408" s="445"/>
      <c r="K408" s="1136"/>
      <c r="L408" s="1136"/>
      <c r="M408" s="445"/>
      <c r="N408" s="445"/>
      <c r="O408" s="445"/>
      <c r="P408" s="445"/>
    </row>
    <row r="409" spans="1:16">
      <c r="A409" s="277"/>
      <c r="B409" s="445"/>
      <c r="C409" s="445"/>
      <c r="D409" s="445"/>
      <c r="E409" s="445"/>
      <c r="F409" s="445"/>
      <c r="G409" s="445"/>
      <c r="H409" s="445"/>
      <c r="I409" s="445"/>
      <c r="J409" s="445"/>
      <c r="K409" s="1136"/>
      <c r="L409" s="1136"/>
      <c r="M409" s="445"/>
      <c r="N409" s="445"/>
      <c r="O409" s="445"/>
      <c r="P409" s="445"/>
    </row>
    <row r="410" spans="1:16">
      <c r="A410" s="277"/>
      <c r="B410" s="445"/>
      <c r="C410" s="445"/>
      <c r="D410" s="445"/>
      <c r="E410" s="445"/>
      <c r="F410" s="445"/>
      <c r="G410" s="445"/>
      <c r="H410" s="445"/>
      <c r="I410" s="445"/>
      <c r="J410" s="445"/>
      <c r="K410" s="1136"/>
      <c r="L410" s="1136"/>
      <c r="M410" s="445"/>
      <c r="N410" s="445"/>
      <c r="O410" s="445"/>
      <c r="P410" s="445"/>
    </row>
    <row r="411" spans="1:16">
      <c r="A411" s="277"/>
      <c r="B411" s="445"/>
      <c r="C411" s="445"/>
      <c r="D411" s="445"/>
      <c r="E411" s="445"/>
      <c r="F411" s="445"/>
      <c r="G411" s="445"/>
      <c r="H411" s="445"/>
      <c r="I411" s="445"/>
      <c r="J411" s="445"/>
      <c r="K411" s="1136"/>
      <c r="L411" s="1136"/>
      <c r="M411" s="445"/>
      <c r="N411" s="445"/>
      <c r="O411" s="445"/>
      <c r="P411" s="445"/>
    </row>
    <row r="412" spans="1:16">
      <c r="A412" s="277"/>
      <c r="B412" s="445"/>
      <c r="C412" s="445"/>
      <c r="D412" s="445"/>
      <c r="E412" s="445"/>
      <c r="F412" s="445"/>
      <c r="G412" s="445"/>
      <c r="H412" s="445"/>
      <c r="I412" s="445"/>
      <c r="J412" s="445"/>
      <c r="K412" s="1136"/>
      <c r="L412" s="1136"/>
      <c r="M412" s="445"/>
      <c r="N412" s="445"/>
      <c r="O412" s="445"/>
      <c r="P412" s="445"/>
    </row>
    <row r="413" spans="1:16">
      <c r="A413" s="277"/>
      <c r="B413" s="445"/>
      <c r="C413" s="445"/>
      <c r="D413" s="445"/>
      <c r="E413" s="445"/>
      <c r="F413" s="445"/>
      <c r="G413" s="445"/>
      <c r="H413" s="445"/>
      <c r="I413" s="445"/>
      <c r="J413" s="445"/>
      <c r="K413" s="1136"/>
      <c r="L413" s="1136"/>
      <c r="M413" s="445"/>
      <c r="N413" s="445"/>
      <c r="O413" s="445"/>
      <c r="P413" s="445"/>
    </row>
    <row r="414" spans="1:16">
      <c r="A414" s="277"/>
      <c r="B414" s="445"/>
      <c r="C414" s="445"/>
      <c r="D414" s="445"/>
      <c r="E414" s="445"/>
      <c r="F414" s="445"/>
      <c r="G414" s="445"/>
      <c r="H414" s="445"/>
      <c r="I414" s="445"/>
      <c r="J414" s="445"/>
      <c r="K414" s="1136"/>
      <c r="L414" s="1136"/>
      <c r="M414" s="445"/>
      <c r="N414" s="445"/>
      <c r="O414" s="445"/>
      <c r="P414" s="445"/>
    </row>
    <row r="415" spans="1:16">
      <c r="A415" s="277"/>
      <c r="B415" s="445"/>
      <c r="C415" s="445"/>
      <c r="D415" s="445"/>
      <c r="E415" s="445"/>
      <c r="F415" s="445"/>
      <c r="G415" s="445"/>
      <c r="H415" s="445"/>
      <c r="I415" s="445"/>
      <c r="J415" s="445"/>
      <c r="K415" s="1136"/>
      <c r="L415" s="1136"/>
      <c r="M415" s="445"/>
      <c r="N415" s="445"/>
      <c r="O415" s="445"/>
      <c r="P415" s="445"/>
    </row>
    <row r="416" spans="1:16">
      <c r="A416" s="277"/>
      <c r="B416" s="445"/>
      <c r="C416" s="445"/>
      <c r="D416" s="445"/>
      <c r="E416" s="445"/>
      <c r="F416" s="445"/>
      <c r="G416" s="445"/>
      <c r="H416" s="445"/>
      <c r="I416" s="445"/>
      <c r="J416" s="445"/>
      <c r="K416" s="1136"/>
      <c r="L416" s="1136"/>
      <c r="M416" s="445"/>
      <c r="N416" s="445"/>
      <c r="O416" s="445"/>
      <c r="P416" s="445"/>
    </row>
    <row r="417" spans="1:16">
      <c r="A417" s="277"/>
      <c r="B417" s="445"/>
      <c r="C417" s="445"/>
      <c r="D417" s="445"/>
      <c r="E417" s="445"/>
      <c r="F417" s="445"/>
      <c r="G417" s="445"/>
      <c r="H417" s="445"/>
      <c r="I417" s="445"/>
      <c r="J417" s="445"/>
      <c r="K417" s="1136"/>
      <c r="L417" s="1136"/>
      <c r="M417" s="445"/>
      <c r="N417" s="445"/>
      <c r="O417" s="445"/>
      <c r="P417" s="445"/>
    </row>
    <row r="418" spans="1:16">
      <c r="A418" s="277"/>
      <c r="B418" s="445"/>
      <c r="C418" s="445"/>
      <c r="D418" s="445"/>
      <c r="E418" s="445"/>
      <c r="F418" s="445"/>
      <c r="G418" s="445"/>
      <c r="H418" s="445"/>
      <c r="I418" s="445"/>
      <c r="J418" s="445"/>
      <c r="K418" s="1136"/>
      <c r="L418" s="1136"/>
      <c r="M418" s="445"/>
      <c r="N418" s="445"/>
      <c r="O418" s="445"/>
      <c r="P418" s="445"/>
    </row>
    <row r="419" spans="1:16">
      <c r="A419" s="277"/>
      <c r="B419" s="445"/>
      <c r="C419" s="445"/>
      <c r="D419" s="445"/>
      <c r="E419" s="445"/>
      <c r="F419" s="445"/>
      <c r="G419" s="445"/>
      <c r="H419" s="445"/>
      <c r="I419" s="445"/>
      <c r="J419" s="445"/>
      <c r="K419" s="1136"/>
      <c r="L419" s="1136"/>
      <c r="M419" s="445"/>
      <c r="N419" s="445"/>
      <c r="O419" s="445"/>
      <c r="P419" s="445"/>
    </row>
    <row r="420" spans="1:16">
      <c r="A420" s="277"/>
      <c r="B420" s="445"/>
      <c r="C420" s="445"/>
      <c r="D420" s="445"/>
      <c r="E420" s="445"/>
      <c r="F420" s="445"/>
      <c r="G420" s="445"/>
      <c r="H420" s="445"/>
      <c r="I420" s="445"/>
      <c r="J420" s="445"/>
      <c r="K420" s="1136"/>
      <c r="L420" s="1136"/>
      <c r="M420" s="445"/>
      <c r="N420" s="445"/>
      <c r="O420" s="445"/>
      <c r="P420" s="445"/>
    </row>
    <row r="421" spans="1:16">
      <c r="A421" s="277"/>
      <c r="B421" s="445"/>
      <c r="C421" s="445"/>
      <c r="D421" s="445"/>
      <c r="E421" s="445"/>
      <c r="F421" s="445"/>
      <c r="G421" s="445"/>
      <c r="H421" s="445"/>
      <c r="I421" s="445"/>
      <c r="J421" s="445"/>
      <c r="K421" s="1136"/>
      <c r="L421" s="1136"/>
      <c r="M421" s="445"/>
      <c r="N421" s="445"/>
      <c r="O421" s="445"/>
      <c r="P421" s="445"/>
    </row>
    <row r="422" spans="1:16">
      <c r="A422" s="277"/>
      <c r="B422" s="445"/>
      <c r="C422" s="445"/>
      <c r="D422" s="445"/>
      <c r="E422" s="445"/>
      <c r="F422" s="445"/>
      <c r="G422" s="445"/>
      <c r="H422" s="445"/>
      <c r="I422" s="445"/>
      <c r="J422" s="445"/>
      <c r="K422" s="1136"/>
      <c r="L422" s="1136"/>
      <c r="M422" s="445"/>
      <c r="N422" s="445"/>
      <c r="O422" s="445"/>
      <c r="P422" s="445"/>
    </row>
    <row r="423" spans="1:16">
      <c r="A423" s="277"/>
      <c r="B423" s="445"/>
      <c r="C423" s="445"/>
      <c r="D423" s="445"/>
      <c r="E423" s="445"/>
      <c r="F423" s="445"/>
      <c r="G423" s="445"/>
      <c r="H423" s="445"/>
      <c r="I423" s="445"/>
      <c r="J423" s="445"/>
      <c r="K423" s="1136"/>
      <c r="L423" s="1136"/>
      <c r="M423" s="445"/>
      <c r="N423" s="445"/>
      <c r="O423" s="445"/>
      <c r="P423" s="445"/>
    </row>
    <row r="424" spans="1:16">
      <c r="A424" s="277"/>
      <c r="B424" s="445"/>
      <c r="C424" s="445"/>
      <c r="D424" s="445"/>
      <c r="E424" s="445"/>
      <c r="F424" s="445"/>
      <c r="G424" s="445"/>
      <c r="H424" s="445"/>
      <c r="I424" s="445"/>
      <c r="J424" s="445"/>
      <c r="K424" s="1136"/>
      <c r="L424" s="1136"/>
      <c r="M424" s="445"/>
      <c r="N424" s="445"/>
      <c r="O424" s="445"/>
      <c r="P424" s="445"/>
    </row>
    <row r="425" spans="1:16">
      <c r="A425" s="277"/>
      <c r="B425" s="445"/>
      <c r="C425" s="445"/>
      <c r="D425" s="445"/>
      <c r="E425" s="445"/>
      <c r="F425" s="445"/>
      <c r="G425" s="445"/>
      <c r="H425" s="445"/>
      <c r="I425" s="445"/>
      <c r="J425" s="445"/>
      <c r="K425" s="1136"/>
      <c r="L425" s="1136"/>
      <c r="M425" s="445"/>
      <c r="N425" s="445"/>
      <c r="O425" s="445"/>
      <c r="P425" s="445"/>
    </row>
    <row r="426" spans="1:16">
      <c r="A426" s="277"/>
      <c r="B426" s="445"/>
      <c r="C426" s="445"/>
      <c r="D426" s="445"/>
      <c r="E426" s="445"/>
      <c r="F426" s="445"/>
      <c r="G426" s="445"/>
      <c r="H426" s="445"/>
      <c r="I426" s="445"/>
      <c r="J426" s="445"/>
      <c r="K426" s="1136"/>
      <c r="L426" s="1136"/>
      <c r="M426" s="445"/>
      <c r="N426" s="445"/>
      <c r="O426" s="445"/>
      <c r="P426" s="445"/>
    </row>
    <row r="427" spans="1:16">
      <c r="A427" s="277"/>
      <c r="B427" s="445"/>
      <c r="C427" s="445"/>
      <c r="D427" s="445"/>
      <c r="E427" s="445"/>
      <c r="F427" s="445"/>
      <c r="G427" s="445"/>
      <c r="H427" s="445"/>
      <c r="I427" s="445"/>
      <c r="J427" s="445"/>
      <c r="K427" s="1136"/>
      <c r="L427" s="1136"/>
      <c r="M427" s="445"/>
      <c r="N427" s="445"/>
      <c r="O427" s="445"/>
      <c r="P427" s="445"/>
    </row>
    <row r="428" spans="1:16">
      <c r="A428" s="277"/>
      <c r="B428" s="445"/>
      <c r="C428" s="445"/>
      <c r="D428" s="445"/>
      <c r="E428" s="445"/>
      <c r="F428" s="445"/>
      <c r="G428" s="445"/>
      <c r="H428" s="445"/>
      <c r="I428" s="445"/>
      <c r="J428" s="445"/>
      <c r="K428" s="1136"/>
      <c r="L428" s="1136"/>
      <c r="M428" s="445"/>
      <c r="N428" s="445"/>
      <c r="O428" s="445"/>
      <c r="P428" s="445"/>
    </row>
    <row r="429" spans="1:16">
      <c r="A429" s="277"/>
      <c r="B429" s="445"/>
      <c r="C429" s="445"/>
      <c r="D429" s="445"/>
      <c r="E429" s="445"/>
      <c r="F429" s="445"/>
      <c r="G429" s="445"/>
      <c r="H429" s="445"/>
      <c r="I429" s="445"/>
      <c r="J429" s="445"/>
      <c r="K429" s="1136"/>
      <c r="L429" s="1136"/>
      <c r="M429" s="445"/>
      <c r="N429" s="445"/>
      <c r="O429" s="445"/>
      <c r="P429" s="445"/>
    </row>
    <row r="430" spans="1:16">
      <c r="A430" s="277"/>
      <c r="B430" s="445"/>
      <c r="C430" s="445"/>
      <c r="D430" s="445"/>
      <c r="E430" s="445"/>
      <c r="F430" s="445"/>
      <c r="G430" s="445"/>
      <c r="H430" s="445"/>
      <c r="I430" s="445"/>
      <c r="J430" s="445"/>
      <c r="K430" s="1136"/>
      <c r="L430" s="1136"/>
      <c r="M430" s="445"/>
      <c r="N430" s="445"/>
      <c r="O430" s="445"/>
      <c r="P430" s="445"/>
    </row>
    <row r="431" spans="1:16">
      <c r="A431" s="277"/>
      <c r="B431" s="445"/>
      <c r="C431" s="445"/>
      <c r="D431" s="445"/>
      <c r="E431" s="445"/>
      <c r="F431" s="445"/>
      <c r="G431" s="445"/>
      <c r="H431" s="445"/>
      <c r="I431" s="445"/>
      <c r="J431" s="445"/>
      <c r="K431" s="1136"/>
      <c r="L431" s="1136"/>
      <c r="M431" s="445"/>
      <c r="N431" s="445"/>
      <c r="O431" s="445"/>
      <c r="P431" s="445"/>
    </row>
    <row r="432" spans="1:16">
      <c r="A432" s="277"/>
      <c r="B432" s="445"/>
      <c r="C432" s="445"/>
      <c r="D432" s="445"/>
      <c r="E432" s="445"/>
      <c r="F432" s="445"/>
      <c r="G432" s="445"/>
      <c r="H432" s="445"/>
      <c r="I432" s="445"/>
      <c r="J432" s="445"/>
      <c r="K432" s="1136"/>
      <c r="L432" s="1136"/>
      <c r="M432" s="445"/>
      <c r="N432" s="445"/>
      <c r="O432" s="445"/>
      <c r="P432" s="445"/>
    </row>
    <row r="433" spans="1:16">
      <c r="A433" s="277"/>
      <c r="B433" s="445"/>
      <c r="C433" s="445"/>
      <c r="D433" s="445"/>
      <c r="E433" s="445"/>
      <c r="F433" s="445"/>
      <c r="G433" s="445"/>
      <c r="H433" s="445"/>
      <c r="I433" s="445"/>
      <c r="J433" s="445"/>
      <c r="K433" s="1136"/>
      <c r="L433" s="1136"/>
      <c r="M433" s="445"/>
      <c r="N433" s="445"/>
      <c r="O433" s="445"/>
      <c r="P433" s="445"/>
    </row>
    <row r="434" spans="1:16">
      <c r="A434" s="277"/>
      <c r="B434" s="445"/>
      <c r="C434" s="445"/>
      <c r="D434" s="445"/>
      <c r="E434" s="445"/>
      <c r="F434" s="445"/>
      <c r="G434" s="445"/>
      <c r="H434" s="445"/>
      <c r="I434" s="445"/>
      <c r="J434" s="445"/>
      <c r="K434" s="1136"/>
      <c r="L434" s="1136"/>
      <c r="M434" s="445"/>
      <c r="N434" s="445"/>
      <c r="O434" s="445"/>
      <c r="P434" s="445"/>
    </row>
    <row r="435" spans="1:16">
      <c r="A435" s="277"/>
      <c r="B435" s="445"/>
      <c r="C435" s="445"/>
      <c r="D435" s="445"/>
      <c r="E435" s="445"/>
      <c r="F435" s="445"/>
      <c r="G435" s="445"/>
      <c r="H435" s="445"/>
      <c r="I435" s="445"/>
      <c r="J435" s="445"/>
      <c r="K435" s="1136"/>
      <c r="L435" s="1136"/>
      <c r="M435" s="445"/>
      <c r="N435" s="445"/>
      <c r="O435" s="445"/>
      <c r="P435" s="445"/>
    </row>
    <row r="436" spans="1:16">
      <c r="A436" s="277"/>
      <c r="B436" s="445"/>
      <c r="C436" s="445"/>
      <c r="D436" s="445"/>
      <c r="E436" s="445"/>
      <c r="F436" s="445"/>
      <c r="G436" s="445"/>
      <c r="H436" s="445"/>
      <c r="I436" s="445"/>
      <c r="J436" s="445"/>
      <c r="K436" s="1136"/>
      <c r="L436" s="1136"/>
      <c r="M436" s="445"/>
      <c r="N436" s="445"/>
      <c r="O436" s="445"/>
      <c r="P436" s="445"/>
    </row>
    <row r="437" spans="1:16">
      <c r="A437" s="277"/>
      <c r="B437" s="445"/>
      <c r="C437" s="445"/>
      <c r="D437" s="445"/>
      <c r="E437" s="445"/>
      <c r="F437" s="445"/>
      <c r="G437" s="445"/>
      <c r="H437" s="445"/>
      <c r="I437" s="445"/>
      <c r="J437" s="445"/>
      <c r="K437" s="1136"/>
      <c r="L437" s="1136"/>
      <c r="M437" s="445"/>
      <c r="N437" s="445"/>
      <c r="O437" s="445"/>
      <c r="P437" s="445"/>
    </row>
    <row r="438" spans="1:16">
      <c r="A438" s="277"/>
      <c r="B438" s="445"/>
      <c r="C438" s="445"/>
      <c r="D438" s="445"/>
      <c r="E438" s="445"/>
      <c r="F438" s="445"/>
      <c r="G438" s="445"/>
      <c r="H438" s="445"/>
      <c r="I438" s="445"/>
      <c r="J438" s="445"/>
      <c r="K438" s="1136"/>
      <c r="L438" s="1136"/>
      <c r="M438" s="445"/>
      <c r="N438" s="445"/>
      <c r="O438" s="445"/>
      <c r="P438" s="445"/>
    </row>
    <row r="439" spans="1:16">
      <c r="A439" s="277"/>
      <c r="B439" s="445"/>
      <c r="C439" s="445"/>
      <c r="D439" s="445"/>
      <c r="E439" s="445"/>
      <c r="F439" s="445"/>
      <c r="G439" s="445"/>
      <c r="H439" s="445"/>
      <c r="I439" s="445"/>
      <c r="J439" s="445"/>
      <c r="K439" s="1136"/>
      <c r="L439" s="1136"/>
      <c r="M439" s="445"/>
      <c r="N439" s="445"/>
      <c r="O439" s="445"/>
      <c r="P439" s="445"/>
    </row>
    <row r="440" spans="1:16">
      <c r="A440" s="277"/>
      <c r="B440" s="445"/>
      <c r="C440" s="445"/>
      <c r="D440" s="445"/>
      <c r="E440" s="445"/>
      <c r="F440" s="445"/>
      <c r="G440" s="445"/>
      <c r="H440" s="445"/>
      <c r="I440" s="445"/>
      <c r="J440" s="445"/>
      <c r="K440" s="1136"/>
      <c r="L440" s="1136"/>
      <c r="M440" s="445"/>
      <c r="N440" s="445"/>
      <c r="O440" s="445"/>
      <c r="P440" s="445"/>
    </row>
    <row r="441" spans="1:16">
      <c r="A441" s="277"/>
      <c r="B441" s="445"/>
      <c r="C441" s="445"/>
      <c r="D441" s="445"/>
      <c r="E441" s="445"/>
      <c r="F441" s="445"/>
      <c r="G441" s="445"/>
      <c r="H441" s="445"/>
      <c r="I441" s="445"/>
      <c r="J441" s="445"/>
      <c r="K441" s="1136"/>
      <c r="L441" s="1136"/>
      <c r="M441" s="445"/>
      <c r="N441" s="445"/>
      <c r="O441" s="445"/>
      <c r="P441" s="445"/>
    </row>
    <row r="442" spans="1:16">
      <c r="A442" s="277"/>
      <c r="B442" s="445"/>
      <c r="C442" s="445"/>
      <c r="D442" s="445"/>
      <c r="E442" s="445"/>
      <c r="F442" s="445"/>
      <c r="G442" s="445"/>
      <c r="H442" s="445"/>
      <c r="I442" s="445"/>
      <c r="J442" s="445"/>
      <c r="K442" s="1136"/>
      <c r="L442" s="1136"/>
      <c r="M442" s="445"/>
      <c r="N442" s="445"/>
      <c r="O442" s="445"/>
      <c r="P442" s="445"/>
    </row>
    <row r="443" spans="1:16">
      <c r="A443" s="277"/>
      <c r="B443" s="445"/>
      <c r="C443" s="445"/>
      <c r="D443" s="445"/>
      <c r="E443" s="445"/>
      <c r="F443" s="445"/>
      <c r="G443" s="445"/>
      <c r="H443" s="445"/>
      <c r="I443" s="445"/>
      <c r="J443" s="445"/>
      <c r="K443" s="1136"/>
      <c r="L443" s="1136"/>
      <c r="M443" s="445"/>
      <c r="N443" s="445"/>
      <c r="O443" s="445"/>
      <c r="P443" s="445"/>
    </row>
    <row r="444" spans="1:16">
      <c r="A444" s="277"/>
      <c r="B444" s="445"/>
      <c r="C444" s="445"/>
      <c r="D444" s="445"/>
      <c r="E444" s="445"/>
      <c r="F444" s="445"/>
      <c r="G444" s="445"/>
      <c r="H444" s="445"/>
      <c r="I444" s="445"/>
      <c r="J444" s="445"/>
      <c r="K444" s="1136"/>
      <c r="L444" s="1136"/>
      <c r="M444" s="445"/>
      <c r="N444" s="445"/>
      <c r="O444" s="445"/>
      <c r="P444" s="445"/>
    </row>
    <row r="445" spans="1:16">
      <c r="A445" s="277"/>
      <c r="B445" s="445"/>
      <c r="C445" s="445"/>
      <c r="D445" s="445"/>
      <c r="E445" s="445"/>
      <c r="F445" s="445"/>
      <c r="G445" s="445"/>
      <c r="H445" s="445"/>
      <c r="I445" s="445"/>
      <c r="J445" s="445"/>
      <c r="K445" s="1136"/>
      <c r="L445" s="1136"/>
      <c r="M445" s="445"/>
      <c r="N445" s="445"/>
      <c r="O445" s="445"/>
      <c r="P445" s="445"/>
    </row>
    <row r="446" spans="1:16">
      <c r="A446" s="277"/>
      <c r="B446" s="445"/>
      <c r="C446" s="445"/>
      <c r="D446" s="445"/>
      <c r="E446" s="445"/>
      <c r="F446" s="445"/>
      <c r="G446" s="445"/>
      <c r="H446" s="445"/>
      <c r="I446" s="445"/>
      <c r="J446" s="445"/>
      <c r="K446" s="1136"/>
      <c r="L446" s="1136"/>
      <c r="M446" s="445"/>
      <c r="N446" s="445"/>
      <c r="O446" s="445"/>
      <c r="P446" s="445"/>
    </row>
    <row r="447" spans="1:16">
      <c r="A447" s="277"/>
      <c r="B447" s="445"/>
      <c r="C447" s="445"/>
      <c r="D447" s="445"/>
      <c r="E447" s="445"/>
      <c r="F447" s="445"/>
      <c r="G447" s="445"/>
      <c r="H447" s="445"/>
      <c r="I447" s="445"/>
      <c r="J447" s="445"/>
      <c r="K447" s="1136"/>
      <c r="L447" s="1136"/>
      <c r="M447" s="445"/>
      <c r="N447" s="445"/>
      <c r="O447" s="445"/>
      <c r="P447" s="445"/>
    </row>
    <row r="448" spans="1:16">
      <c r="A448" s="277"/>
      <c r="B448" s="445"/>
      <c r="C448" s="445"/>
      <c r="D448" s="445"/>
      <c r="E448" s="445"/>
      <c r="F448" s="445"/>
      <c r="G448" s="445"/>
      <c r="H448" s="445"/>
      <c r="I448" s="445"/>
      <c r="J448" s="445"/>
      <c r="K448" s="1136"/>
      <c r="L448" s="1136"/>
      <c r="M448" s="445"/>
      <c r="N448" s="445"/>
      <c r="O448" s="445"/>
      <c r="P448" s="445"/>
    </row>
    <row r="449" spans="1:16">
      <c r="A449" s="277"/>
      <c r="B449" s="445"/>
      <c r="C449" s="445"/>
      <c r="D449" s="445"/>
      <c r="E449" s="445"/>
      <c r="F449" s="445"/>
      <c r="G449" s="445"/>
      <c r="H449" s="445"/>
      <c r="I449" s="445"/>
      <c r="J449" s="445"/>
      <c r="K449" s="1136"/>
      <c r="L449" s="1136"/>
      <c r="M449" s="445"/>
      <c r="N449" s="445"/>
      <c r="O449" s="445"/>
      <c r="P449" s="445"/>
    </row>
    <row r="450" spans="1:16">
      <c r="A450" s="277"/>
      <c r="B450" s="445"/>
      <c r="C450" s="445"/>
      <c r="D450" s="445"/>
      <c r="E450" s="445"/>
      <c r="F450" s="445"/>
      <c r="G450" s="445"/>
      <c r="H450" s="445"/>
      <c r="I450" s="445"/>
      <c r="J450" s="445"/>
      <c r="K450" s="1136"/>
      <c r="L450" s="1136"/>
      <c r="M450" s="445"/>
      <c r="N450" s="445"/>
      <c r="O450" s="445"/>
      <c r="P450" s="445"/>
    </row>
    <row r="451" spans="1:16">
      <c r="A451" s="277"/>
      <c r="B451" s="445"/>
      <c r="C451" s="445"/>
      <c r="D451" s="445"/>
      <c r="E451" s="445"/>
      <c r="F451" s="445"/>
      <c r="G451" s="445"/>
      <c r="H451" s="445"/>
      <c r="I451" s="445"/>
      <c r="J451" s="445"/>
      <c r="K451" s="1136"/>
      <c r="L451" s="1136"/>
      <c r="M451" s="445"/>
      <c r="N451" s="445"/>
      <c r="O451" s="445"/>
      <c r="P451" s="445"/>
    </row>
    <row r="452" spans="1:16">
      <c r="A452" s="277"/>
      <c r="B452" s="445"/>
      <c r="C452" s="445"/>
      <c r="D452" s="445"/>
      <c r="E452" s="445"/>
      <c r="F452" s="445"/>
      <c r="G452" s="445"/>
      <c r="H452" s="445"/>
      <c r="I452" s="445"/>
      <c r="J452" s="445"/>
      <c r="K452" s="1136"/>
      <c r="L452" s="1136"/>
      <c r="M452" s="445"/>
      <c r="N452" s="445"/>
      <c r="O452" s="445"/>
      <c r="P452" s="445"/>
    </row>
    <row r="453" spans="1:16">
      <c r="A453" s="277"/>
      <c r="B453" s="445"/>
      <c r="C453" s="445"/>
      <c r="D453" s="445"/>
      <c r="E453" s="445"/>
      <c r="F453" s="445"/>
      <c r="G453" s="445"/>
      <c r="H453" s="445"/>
      <c r="I453" s="445"/>
      <c r="J453" s="445"/>
      <c r="K453" s="1136"/>
      <c r="L453" s="1136"/>
      <c r="M453" s="445"/>
      <c r="N453" s="445"/>
      <c r="O453" s="445"/>
      <c r="P453" s="445"/>
    </row>
    <row r="454" spans="1:16">
      <c r="A454" s="277"/>
      <c r="B454" s="445"/>
      <c r="C454" s="445"/>
      <c r="D454" s="445"/>
      <c r="E454" s="445"/>
      <c r="F454" s="445"/>
      <c r="G454" s="445"/>
      <c r="H454" s="445"/>
      <c r="I454" s="445"/>
      <c r="J454" s="445"/>
      <c r="K454" s="1136"/>
      <c r="L454" s="1136"/>
      <c r="M454" s="445"/>
      <c r="N454" s="445"/>
      <c r="O454" s="445"/>
      <c r="P454" s="445"/>
    </row>
    <row r="455" spans="1:16">
      <c r="A455" s="277"/>
      <c r="B455" s="445"/>
      <c r="C455" s="445"/>
      <c r="D455" s="445"/>
      <c r="E455" s="445"/>
      <c r="F455" s="445"/>
      <c r="G455" s="445"/>
      <c r="H455" s="445"/>
      <c r="I455" s="445"/>
      <c r="J455" s="445"/>
      <c r="K455" s="1136"/>
      <c r="L455" s="1136"/>
      <c r="M455" s="445"/>
      <c r="N455" s="445"/>
      <c r="O455" s="445"/>
      <c r="P455" s="445"/>
    </row>
    <row r="456" spans="1:16">
      <c r="A456" s="277"/>
      <c r="B456" s="445"/>
      <c r="C456" s="445"/>
      <c r="D456" s="445"/>
      <c r="E456" s="445"/>
      <c r="F456" s="445"/>
      <c r="G456" s="445"/>
      <c r="H456" s="445"/>
      <c r="I456" s="445"/>
      <c r="J456" s="445"/>
      <c r="K456" s="1136"/>
      <c r="L456" s="1136"/>
      <c r="M456" s="445"/>
      <c r="N456" s="445"/>
      <c r="O456" s="445"/>
      <c r="P456" s="445"/>
    </row>
    <row r="457" spans="1:16">
      <c r="A457" s="277"/>
      <c r="B457" s="445"/>
      <c r="C457" s="445"/>
      <c r="D457" s="445"/>
      <c r="E457" s="445"/>
      <c r="F457" s="445"/>
      <c r="G457" s="445"/>
      <c r="H457" s="445"/>
      <c r="I457" s="445"/>
      <c r="J457" s="445"/>
      <c r="K457" s="1136"/>
      <c r="L457" s="1136"/>
      <c r="M457" s="445"/>
      <c r="N457" s="445"/>
      <c r="O457" s="445"/>
      <c r="P457" s="445"/>
    </row>
    <row r="458" spans="1:16">
      <c r="A458" s="277"/>
      <c r="B458" s="445"/>
      <c r="C458" s="445"/>
      <c r="D458" s="445"/>
      <c r="E458" s="445"/>
      <c r="F458" s="445"/>
      <c r="G458" s="445"/>
      <c r="H458" s="445"/>
      <c r="I458" s="445"/>
      <c r="J458" s="445"/>
      <c r="K458" s="1136"/>
      <c r="L458" s="1136"/>
      <c r="M458" s="445"/>
      <c r="N458" s="445"/>
      <c r="O458" s="445"/>
      <c r="P458" s="445"/>
    </row>
    <row r="459" spans="1:16">
      <c r="A459" s="277"/>
      <c r="B459" s="445"/>
      <c r="C459" s="445"/>
      <c r="D459" s="445"/>
      <c r="E459" s="445"/>
      <c r="F459" s="445"/>
      <c r="G459" s="445"/>
      <c r="H459" s="445"/>
      <c r="I459" s="445"/>
      <c r="J459" s="445"/>
      <c r="K459" s="1136"/>
      <c r="L459" s="1136"/>
      <c r="M459" s="445"/>
      <c r="N459" s="445"/>
      <c r="O459" s="445"/>
      <c r="P459" s="445"/>
    </row>
    <row r="460" spans="1:16">
      <c r="A460" s="277"/>
      <c r="B460" s="445"/>
      <c r="C460" s="445"/>
      <c r="D460" s="445"/>
      <c r="E460" s="445"/>
      <c r="F460" s="445"/>
      <c r="G460" s="445"/>
      <c r="H460" s="445"/>
      <c r="I460" s="445"/>
      <c r="J460" s="445"/>
      <c r="K460" s="1136"/>
      <c r="L460" s="1136"/>
      <c r="M460" s="445"/>
      <c r="N460" s="445"/>
      <c r="O460" s="445"/>
      <c r="P460" s="445"/>
    </row>
    <row r="461" spans="1:16">
      <c r="A461" s="277"/>
      <c r="B461" s="445"/>
      <c r="C461" s="445"/>
      <c r="D461" s="445"/>
      <c r="E461" s="445"/>
      <c r="F461" s="445"/>
      <c r="G461" s="445"/>
      <c r="H461" s="445"/>
      <c r="I461" s="445"/>
      <c r="J461" s="445"/>
      <c r="K461" s="1136"/>
      <c r="L461" s="1136"/>
      <c r="M461" s="445"/>
      <c r="N461" s="445"/>
      <c r="O461" s="445"/>
      <c r="P461" s="445"/>
    </row>
    <row r="462" spans="1:16">
      <c r="A462" s="277"/>
      <c r="B462" s="445"/>
      <c r="C462" s="445"/>
      <c r="D462" s="445"/>
      <c r="E462" s="445"/>
      <c r="F462" s="445"/>
      <c r="G462" s="445"/>
      <c r="H462" s="445"/>
      <c r="I462" s="445"/>
      <c r="J462" s="445"/>
      <c r="K462" s="1136"/>
      <c r="L462" s="1136"/>
      <c r="M462" s="445"/>
      <c r="N462" s="445"/>
      <c r="O462" s="445"/>
      <c r="P462" s="445"/>
    </row>
    <row r="463" spans="1:16">
      <c r="A463" s="277"/>
      <c r="B463" s="445"/>
      <c r="C463" s="445"/>
      <c r="D463" s="445"/>
      <c r="E463" s="445"/>
      <c r="F463" s="445"/>
      <c r="G463" s="445"/>
      <c r="H463" s="445"/>
      <c r="I463" s="445"/>
      <c r="J463" s="445"/>
      <c r="K463" s="1136"/>
      <c r="L463" s="1136"/>
      <c r="M463" s="445"/>
      <c r="N463" s="445"/>
      <c r="O463" s="445"/>
      <c r="P463" s="445"/>
    </row>
    <row r="464" spans="1:16">
      <c r="A464" s="277"/>
      <c r="B464" s="445"/>
      <c r="C464" s="445"/>
      <c r="D464" s="445"/>
      <c r="E464" s="445"/>
      <c r="F464" s="445"/>
      <c r="G464" s="445"/>
      <c r="H464" s="445"/>
      <c r="I464" s="445"/>
      <c r="J464" s="445"/>
      <c r="K464" s="1136"/>
      <c r="L464" s="1136"/>
      <c r="M464" s="445"/>
      <c r="N464" s="445"/>
      <c r="O464" s="445"/>
      <c r="P464" s="445"/>
    </row>
    <row r="465" spans="1:16">
      <c r="A465" s="277"/>
      <c r="B465" s="445"/>
      <c r="C465" s="445"/>
      <c r="D465" s="445"/>
      <c r="E465" s="445"/>
      <c r="F465" s="445"/>
      <c r="G465" s="445"/>
      <c r="H465" s="445"/>
      <c r="I465" s="445"/>
      <c r="J465" s="445"/>
      <c r="K465" s="1136"/>
      <c r="L465" s="1136"/>
      <c r="M465" s="445"/>
      <c r="N465" s="445"/>
      <c r="O465" s="445"/>
      <c r="P465" s="445"/>
    </row>
    <row r="466" spans="1:16">
      <c r="A466" s="277"/>
      <c r="B466" s="445"/>
      <c r="C466" s="445"/>
      <c r="D466" s="445"/>
      <c r="E466" s="445"/>
      <c r="F466" s="445"/>
      <c r="G466" s="445"/>
      <c r="H466" s="445"/>
      <c r="I466" s="445"/>
      <c r="J466" s="445"/>
      <c r="K466" s="1136"/>
      <c r="L466" s="1136"/>
      <c r="M466" s="445"/>
      <c r="N466" s="445"/>
      <c r="O466" s="445"/>
      <c r="P466" s="445"/>
    </row>
    <row r="467" spans="1:16">
      <c r="A467" s="277"/>
      <c r="B467" s="445"/>
      <c r="C467" s="445"/>
      <c r="D467" s="445"/>
      <c r="E467" s="445"/>
      <c r="F467" s="445"/>
      <c r="G467" s="445"/>
      <c r="H467" s="445"/>
      <c r="I467" s="445"/>
      <c r="J467" s="445"/>
      <c r="K467" s="1136"/>
      <c r="L467" s="1136"/>
      <c r="M467" s="445"/>
      <c r="N467" s="445"/>
      <c r="O467" s="445"/>
      <c r="P467" s="445"/>
    </row>
    <row r="468" spans="1:16">
      <c r="A468" s="277"/>
      <c r="B468" s="445"/>
      <c r="C468" s="445"/>
      <c r="D468" s="445"/>
      <c r="E468" s="445"/>
      <c r="F468" s="445"/>
      <c r="G468" s="445"/>
      <c r="H468" s="445"/>
      <c r="I468" s="445"/>
      <c r="J468" s="445"/>
      <c r="K468" s="1136"/>
      <c r="L468" s="1136"/>
      <c r="M468" s="445"/>
      <c r="N468" s="445"/>
      <c r="O468" s="445"/>
      <c r="P468" s="445"/>
    </row>
    <row r="469" spans="1:16">
      <c r="A469" s="277"/>
      <c r="B469" s="445"/>
      <c r="C469" s="445"/>
      <c r="D469" s="445"/>
      <c r="E469" s="445"/>
      <c r="F469" s="445"/>
      <c r="G469" s="445"/>
      <c r="H469" s="445"/>
      <c r="I469" s="445"/>
      <c r="J469" s="445"/>
      <c r="K469" s="1136"/>
      <c r="L469" s="1136"/>
      <c r="M469" s="445"/>
      <c r="N469" s="445"/>
      <c r="O469" s="445"/>
      <c r="P469" s="445"/>
    </row>
    <row r="470" spans="1:16">
      <c r="A470" s="277"/>
      <c r="B470" s="445"/>
      <c r="C470" s="445"/>
      <c r="D470" s="445"/>
      <c r="E470" s="445"/>
      <c r="F470" s="445"/>
      <c r="G470" s="445"/>
      <c r="H470" s="445"/>
      <c r="I470" s="445"/>
      <c r="J470" s="445"/>
      <c r="K470" s="1136"/>
      <c r="L470" s="1136"/>
      <c r="M470" s="445"/>
      <c r="N470" s="445"/>
      <c r="O470" s="445"/>
      <c r="P470" s="445"/>
    </row>
    <row r="471" spans="1:16">
      <c r="A471" s="277"/>
      <c r="B471" s="445"/>
      <c r="C471" s="445"/>
      <c r="D471" s="445"/>
      <c r="E471" s="445"/>
      <c r="F471" s="445"/>
      <c r="G471" s="445"/>
      <c r="H471" s="445"/>
      <c r="I471" s="445"/>
      <c r="J471" s="445"/>
      <c r="K471" s="1136"/>
      <c r="L471" s="1136"/>
      <c r="M471" s="445"/>
      <c r="N471" s="445"/>
      <c r="O471" s="445"/>
      <c r="P471" s="445"/>
    </row>
    <row r="472" spans="1:16">
      <c r="A472" s="277"/>
      <c r="B472" s="445"/>
      <c r="C472" s="445"/>
      <c r="D472" s="445"/>
      <c r="E472" s="445"/>
      <c r="F472" s="445"/>
      <c r="G472" s="445"/>
      <c r="H472" s="445"/>
      <c r="I472" s="445"/>
      <c r="J472" s="445"/>
      <c r="K472" s="1136"/>
      <c r="L472" s="1136"/>
      <c r="M472" s="445"/>
      <c r="N472" s="445"/>
      <c r="O472" s="445"/>
      <c r="P472" s="445"/>
    </row>
    <row r="473" spans="1:16">
      <c r="A473" s="277"/>
      <c r="B473" s="445"/>
      <c r="C473" s="445"/>
      <c r="D473" s="445"/>
      <c r="E473" s="445"/>
      <c r="F473" s="445"/>
      <c r="G473" s="445"/>
      <c r="H473" s="445"/>
      <c r="I473" s="445"/>
      <c r="J473" s="445"/>
      <c r="K473" s="1136"/>
      <c r="L473" s="1136"/>
      <c r="M473" s="445"/>
      <c r="N473" s="445"/>
      <c r="O473" s="445"/>
      <c r="P473" s="445"/>
    </row>
    <row r="474" spans="1:16">
      <c r="A474" s="277"/>
      <c r="B474" s="445"/>
      <c r="C474" s="445"/>
      <c r="D474" s="445"/>
      <c r="E474" s="445"/>
      <c r="F474" s="445"/>
      <c r="G474" s="445"/>
      <c r="H474" s="445"/>
      <c r="I474" s="445"/>
      <c r="J474" s="445"/>
      <c r="K474" s="1136"/>
      <c r="L474" s="1136"/>
      <c r="M474" s="445"/>
      <c r="N474" s="445"/>
      <c r="O474" s="445"/>
      <c r="P474" s="445"/>
    </row>
    <row r="475" spans="1:16">
      <c r="A475" s="277"/>
      <c r="B475" s="445"/>
      <c r="C475" s="445"/>
      <c r="D475" s="445"/>
      <c r="E475" s="445"/>
      <c r="F475" s="445"/>
      <c r="G475" s="445"/>
      <c r="H475" s="445"/>
      <c r="I475" s="445"/>
      <c r="J475" s="445"/>
      <c r="K475" s="1136"/>
      <c r="L475" s="1136"/>
      <c r="M475" s="445"/>
      <c r="N475" s="445"/>
      <c r="O475" s="445"/>
      <c r="P475" s="445"/>
    </row>
    <row r="476" spans="1:16">
      <c r="A476" s="277"/>
      <c r="B476" s="445"/>
      <c r="C476" s="445"/>
      <c r="D476" s="445"/>
      <c r="E476" s="445"/>
      <c r="F476" s="445"/>
      <c r="G476" s="445"/>
      <c r="H476" s="445"/>
      <c r="I476" s="445"/>
      <c r="J476" s="445"/>
      <c r="K476" s="1136"/>
      <c r="L476" s="1136"/>
      <c r="M476" s="445"/>
      <c r="N476" s="445"/>
      <c r="O476" s="445"/>
      <c r="P476" s="445"/>
    </row>
    <row r="477" spans="1:16">
      <c r="A477" s="277"/>
      <c r="B477" s="445"/>
      <c r="C477" s="445"/>
      <c r="D477" s="445"/>
      <c r="E477" s="445"/>
      <c r="F477" s="445"/>
      <c r="G477" s="445"/>
      <c r="H477" s="445"/>
      <c r="I477" s="445"/>
      <c r="J477" s="445"/>
      <c r="K477" s="1136"/>
      <c r="L477" s="1136"/>
      <c r="M477" s="445"/>
      <c r="N477" s="445"/>
      <c r="O477" s="445"/>
      <c r="P477" s="445"/>
    </row>
    <row r="478" spans="1:16">
      <c r="A478" s="277"/>
      <c r="B478" s="445"/>
      <c r="C478" s="445"/>
      <c r="D478" s="445"/>
      <c r="E478" s="445"/>
      <c r="F478" s="445"/>
      <c r="G478" s="445"/>
      <c r="H478" s="445"/>
      <c r="I478" s="445"/>
      <c r="J478" s="445"/>
      <c r="K478" s="1136"/>
      <c r="L478" s="1136"/>
      <c r="M478" s="445"/>
      <c r="N478" s="445"/>
      <c r="O478" s="445"/>
      <c r="P478" s="445"/>
    </row>
  </sheetData>
  <mergeCells count="4">
    <mergeCell ref="A4:E4"/>
    <mergeCell ref="F4:J4"/>
    <mergeCell ref="K4:M4"/>
    <mergeCell ref="N4:P4"/>
  </mergeCells>
  <printOptions horizontalCentered="1"/>
  <pageMargins left="0.19685039370078741" right="0.19685039370078741" top="0.78740157480314965" bottom="0.78740157480314965" header="0.19685039370078741" footer="0.19685039370078741"/>
  <pageSetup paperSize="9" scale="61" fitToHeight="100" orientation="landscape" r:id="rId1"/>
  <headerFooter>
    <oddHeader>&amp;C&amp;"Arial,Negrita"&amp;20PROYECTO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02060"/>
    <pageSetUpPr fitToPage="1"/>
  </sheetPr>
  <dimension ref="A1:V478"/>
  <sheetViews>
    <sheetView view="pageBreakPreview" zoomScaleNormal="100" zoomScaleSheetLayoutView="100" workbookViewId="0">
      <selection activeCell="B8" sqref="B8"/>
    </sheetView>
  </sheetViews>
  <sheetFormatPr baseColWidth="10" defaultColWidth="11.42578125" defaultRowHeight="12"/>
  <cols>
    <col min="1" max="1" width="13.140625" style="265" customWidth="1"/>
    <col min="2" max="2" width="9.140625" style="265" customWidth="1"/>
    <col min="3" max="3" width="10.140625" style="265" customWidth="1"/>
    <col min="4" max="4" width="20.7109375" style="265" customWidth="1"/>
    <col min="5" max="5" width="10.7109375" style="265" customWidth="1"/>
    <col min="6" max="6" width="9" style="265" bestFit="1" customWidth="1"/>
    <col min="7" max="7" width="35.7109375" style="265" customWidth="1"/>
    <col min="8" max="8" width="20.7109375" style="265" customWidth="1"/>
    <col min="9" max="9" width="35.7109375" style="265" customWidth="1"/>
    <col min="10" max="10" width="20.7109375" style="265" customWidth="1"/>
    <col min="11" max="11" width="7.7109375" style="276" bestFit="1" customWidth="1"/>
    <col min="12" max="12" width="5.42578125" style="276" bestFit="1" customWidth="1"/>
    <col min="13" max="13" width="12.140625" style="265" bestFit="1" customWidth="1"/>
    <col min="14" max="14" width="7.7109375" style="265" bestFit="1" customWidth="1"/>
    <col min="15" max="15" width="5.42578125" style="265" bestFit="1" customWidth="1"/>
    <col min="16" max="16" width="10.7109375" style="265" bestFit="1" customWidth="1"/>
    <col min="17" max="16384" width="11.42578125" style="265"/>
  </cols>
  <sheetData>
    <row r="1" spans="1:22" s="275" customFormat="1">
      <c r="A1" s="275" t="s">
        <v>473</v>
      </c>
    </row>
    <row r="2" spans="1:22" s="264" customFormat="1">
      <c r="A2" s="69" t="s">
        <v>1655</v>
      </c>
      <c r="B2" s="69"/>
      <c r="C2" s="69"/>
      <c r="D2" s="69"/>
      <c r="E2" s="69"/>
      <c r="F2" s="69"/>
      <c r="G2" s="69"/>
      <c r="H2" s="69"/>
      <c r="I2" s="69"/>
      <c r="J2" s="69"/>
      <c r="K2" s="69"/>
      <c r="L2" s="69"/>
      <c r="M2" s="69"/>
      <c r="N2" s="69"/>
      <c r="O2" s="69"/>
      <c r="P2" s="69"/>
      <c r="Q2" s="69"/>
      <c r="R2" s="69"/>
      <c r="S2" s="69"/>
      <c r="T2" s="69"/>
      <c r="U2" s="69"/>
      <c r="V2" s="69"/>
    </row>
    <row r="3" spans="1:22" ht="12.75" thickBot="1">
      <c r="A3" s="742" t="s">
        <v>5104</v>
      </c>
    </row>
    <row r="4" spans="1:22" s="277" customFormat="1" ht="12.75" thickBot="1">
      <c r="A4" s="2024" t="s">
        <v>131</v>
      </c>
      <c r="B4" s="2069"/>
      <c r="C4" s="2069"/>
      <c r="D4" s="2069"/>
      <c r="E4" s="2025"/>
      <c r="F4" s="2070" t="s">
        <v>132</v>
      </c>
      <c r="G4" s="2071"/>
      <c r="H4" s="2072"/>
      <c r="I4" s="2072"/>
      <c r="J4" s="2073"/>
      <c r="K4" s="2074" t="s">
        <v>1652</v>
      </c>
      <c r="L4" s="2075"/>
      <c r="M4" s="2076"/>
      <c r="N4" s="2074" t="s">
        <v>1651</v>
      </c>
      <c r="O4" s="2075"/>
      <c r="P4" s="2076"/>
    </row>
    <row r="5" spans="1:22" s="278" customFormat="1" ht="78" thickBot="1">
      <c r="A5" s="401" t="s">
        <v>94</v>
      </c>
      <c r="B5" s="139" t="s">
        <v>8</v>
      </c>
      <c r="C5" s="139" t="s">
        <v>91</v>
      </c>
      <c r="D5" s="402" t="s">
        <v>95</v>
      </c>
      <c r="E5" s="404" t="s">
        <v>115</v>
      </c>
      <c r="F5" s="401" t="s">
        <v>119</v>
      </c>
      <c r="G5" s="402" t="s">
        <v>120</v>
      </c>
      <c r="H5" s="402" t="s">
        <v>134</v>
      </c>
      <c r="I5" s="139" t="s">
        <v>135</v>
      </c>
      <c r="J5" s="400" t="s">
        <v>124</v>
      </c>
      <c r="K5" s="443" t="s">
        <v>121</v>
      </c>
      <c r="L5" s="140" t="s">
        <v>122</v>
      </c>
      <c r="M5" s="141" t="s">
        <v>123</v>
      </c>
      <c r="N5" s="443" t="s">
        <v>121</v>
      </c>
      <c r="O5" s="140" t="s">
        <v>122</v>
      </c>
      <c r="P5" s="141" t="s">
        <v>123</v>
      </c>
    </row>
    <row r="6" spans="1:22" s="454" customFormat="1" ht="11.25">
      <c r="A6" s="1468" t="s">
        <v>4975</v>
      </c>
      <c r="B6" s="1469" t="s">
        <v>4978</v>
      </c>
      <c r="C6" s="1470" t="s">
        <v>504</v>
      </c>
      <c r="D6" s="1471" t="s">
        <v>4974</v>
      </c>
      <c r="E6" s="1472">
        <v>2298</v>
      </c>
      <c r="F6" s="1473" t="s">
        <v>5103</v>
      </c>
      <c r="G6" s="1474" t="s">
        <v>5102</v>
      </c>
      <c r="H6" s="1475" t="s">
        <v>1708</v>
      </c>
      <c r="I6" s="1476" t="s">
        <v>618</v>
      </c>
      <c r="J6" s="1477" t="s">
        <v>1708</v>
      </c>
      <c r="K6" s="1478">
        <v>4</v>
      </c>
      <c r="L6" s="1469">
        <v>12</v>
      </c>
      <c r="M6" s="1472">
        <f t="shared" ref="M6:M37" si="0">+L6*E6</f>
        <v>27576</v>
      </c>
      <c r="N6" s="1478">
        <v>4</v>
      </c>
      <c r="O6" s="1469">
        <v>6</v>
      </c>
      <c r="P6" s="1472">
        <f t="shared" ref="P6:P12" si="1">+O6*E6</f>
        <v>13788</v>
      </c>
    </row>
    <row r="7" spans="1:22" s="454" customFormat="1">
      <c r="A7" s="1479" t="s">
        <v>4975</v>
      </c>
      <c r="B7" s="1480" t="s">
        <v>1880</v>
      </c>
      <c r="C7" s="1481" t="s">
        <v>504</v>
      </c>
      <c r="D7" s="1482" t="s">
        <v>4974</v>
      </c>
      <c r="E7" s="1483">
        <v>4500</v>
      </c>
      <c r="F7" s="1484" t="s">
        <v>5101</v>
      </c>
      <c r="G7" s="1485" t="s">
        <v>5100</v>
      </c>
      <c r="H7" s="1486" t="s">
        <v>5099</v>
      </c>
      <c r="I7" s="1487" t="s">
        <v>569</v>
      </c>
      <c r="J7" s="1488" t="s">
        <v>1571</v>
      </c>
      <c r="K7" s="1489">
        <v>4</v>
      </c>
      <c r="L7" s="1480">
        <v>12</v>
      </c>
      <c r="M7" s="1483">
        <f t="shared" si="0"/>
        <v>54000</v>
      </c>
      <c r="N7" s="1489">
        <v>4</v>
      </c>
      <c r="O7" s="1480">
        <v>6</v>
      </c>
      <c r="P7" s="1483">
        <f t="shared" si="1"/>
        <v>27000</v>
      </c>
    </row>
    <row r="8" spans="1:22" s="454" customFormat="1">
      <c r="A8" s="1479" t="s">
        <v>4975</v>
      </c>
      <c r="B8" s="1480" t="s">
        <v>1880</v>
      </c>
      <c r="C8" s="1481" t="s">
        <v>504</v>
      </c>
      <c r="D8" s="1482" t="s">
        <v>4974</v>
      </c>
      <c r="E8" s="1483">
        <v>2298</v>
      </c>
      <c r="F8" s="1484" t="s">
        <v>5098</v>
      </c>
      <c r="G8" s="1485" t="s">
        <v>5097</v>
      </c>
      <c r="H8" s="1486" t="s">
        <v>1708</v>
      </c>
      <c r="I8" s="1487" t="s">
        <v>618</v>
      </c>
      <c r="J8" s="1488" t="s">
        <v>1708</v>
      </c>
      <c r="K8" s="1489">
        <v>4</v>
      </c>
      <c r="L8" s="1480">
        <v>12</v>
      </c>
      <c r="M8" s="1483">
        <f t="shared" si="0"/>
        <v>27576</v>
      </c>
      <c r="N8" s="1489">
        <v>4</v>
      </c>
      <c r="O8" s="1480">
        <v>6</v>
      </c>
      <c r="P8" s="1483">
        <f t="shared" si="1"/>
        <v>13788</v>
      </c>
    </row>
    <row r="9" spans="1:22" s="454" customFormat="1" ht="36">
      <c r="A9" s="1479" t="s">
        <v>4975</v>
      </c>
      <c r="B9" s="1480" t="s">
        <v>4978</v>
      </c>
      <c r="C9" s="1481" t="s">
        <v>504</v>
      </c>
      <c r="D9" s="1482" t="s">
        <v>4974</v>
      </c>
      <c r="E9" s="1483">
        <v>2070</v>
      </c>
      <c r="F9" s="1484" t="s">
        <v>5096</v>
      </c>
      <c r="G9" s="1485" t="s">
        <v>5095</v>
      </c>
      <c r="H9" s="1486" t="s">
        <v>5094</v>
      </c>
      <c r="I9" s="1487" t="s">
        <v>569</v>
      </c>
      <c r="J9" s="1488" t="s">
        <v>1134</v>
      </c>
      <c r="K9" s="1489">
        <v>4</v>
      </c>
      <c r="L9" s="1480">
        <v>12</v>
      </c>
      <c r="M9" s="1483">
        <f t="shared" si="0"/>
        <v>24840</v>
      </c>
      <c r="N9" s="1489">
        <v>4</v>
      </c>
      <c r="O9" s="1480">
        <v>6</v>
      </c>
      <c r="P9" s="1483">
        <f t="shared" si="1"/>
        <v>12420</v>
      </c>
    </row>
    <row r="10" spans="1:22" s="454" customFormat="1" ht="24">
      <c r="A10" s="1479" t="s">
        <v>4975</v>
      </c>
      <c r="B10" s="1480" t="s">
        <v>1880</v>
      </c>
      <c r="C10" s="1481" t="s">
        <v>504</v>
      </c>
      <c r="D10" s="1482" t="s">
        <v>4974</v>
      </c>
      <c r="E10" s="1483">
        <v>2640</v>
      </c>
      <c r="F10" s="1490" t="s">
        <v>5093</v>
      </c>
      <c r="G10" s="1485" t="s">
        <v>5092</v>
      </c>
      <c r="H10" s="1486" t="s">
        <v>5086</v>
      </c>
      <c r="I10" s="1487" t="s">
        <v>618</v>
      </c>
      <c r="J10" s="1488" t="s">
        <v>2584</v>
      </c>
      <c r="K10" s="1489">
        <v>4</v>
      </c>
      <c r="L10" s="1480">
        <v>12</v>
      </c>
      <c r="M10" s="1483">
        <f t="shared" si="0"/>
        <v>31680</v>
      </c>
      <c r="N10" s="1489">
        <v>4</v>
      </c>
      <c r="O10" s="1480">
        <v>6</v>
      </c>
      <c r="P10" s="1483">
        <f t="shared" si="1"/>
        <v>15840</v>
      </c>
    </row>
    <row r="11" spans="1:22" s="454" customFormat="1" ht="24">
      <c r="A11" s="1479" t="s">
        <v>4975</v>
      </c>
      <c r="B11" s="1480" t="s">
        <v>1880</v>
      </c>
      <c r="C11" s="1481" t="s">
        <v>504</v>
      </c>
      <c r="D11" s="1482" t="s">
        <v>4974</v>
      </c>
      <c r="E11" s="1483">
        <v>2000</v>
      </c>
      <c r="F11" s="1491">
        <v>41508175</v>
      </c>
      <c r="G11" s="1485" t="s">
        <v>5091</v>
      </c>
      <c r="H11" s="1486" t="s">
        <v>5088</v>
      </c>
      <c r="I11" s="1487" t="s">
        <v>569</v>
      </c>
      <c r="J11" s="1488" t="s">
        <v>4998</v>
      </c>
      <c r="K11" s="1489">
        <v>2</v>
      </c>
      <c r="L11" s="1480">
        <v>3</v>
      </c>
      <c r="M11" s="1483">
        <f t="shared" si="0"/>
        <v>6000</v>
      </c>
      <c r="N11" s="1489">
        <v>0</v>
      </c>
      <c r="O11" s="1480">
        <v>0</v>
      </c>
      <c r="P11" s="1492">
        <f t="shared" si="1"/>
        <v>0</v>
      </c>
    </row>
    <row r="12" spans="1:22" s="454" customFormat="1" ht="24">
      <c r="A12" s="1479" t="s">
        <v>4975</v>
      </c>
      <c r="B12" s="1480" t="s">
        <v>1880</v>
      </c>
      <c r="C12" s="1481" t="s">
        <v>504</v>
      </c>
      <c r="D12" s="1482" t="s">
        <v>4974</v>
      </c>
      <c r="E12" s="1483">
        <v>2300</v>
      </c>
      <c r="F12" s="1491">
        <v>45639568</v>
      </c>
      <c r="G12" s="1493" t="s">
        <v>5090</v>
      </c>
      <c r="H12" s="1486" t="s">
        <v>5088</v>
      </c>
      <c r="I12" s="1487" t="s">
        <v>569</v>
      </c>
      <c r="J12" s="1488" t="s">
        <v>1779</v>
      </c>
      <c r="K12" s="1489">
        <v>2</v>
      </c>
      <c r="L12" s="1480">
        <v>2</v>
      </c>
      <c r="M12" s="1483">
        <f t="shared" si="0"/>
        <v>4600</v>
      </c>
      <c r="N12" s="1489">
        <f>-O12</f>
        <v>0</v>
      </c>
      <c r="O12" s="1480">
        <v>0</v>
      </c>
      <c r="P12" s="1492">
        <f t="shared" si="1"/>
        <v>0</v>
      </c>
    </row>
    <row r="13" spans="1:22" s="454" customFormat="1" ht="24">
      <c r="A13" s="1479" t="s">
        <v>4975</v>
      </c>
      <c r="B13" s="1480" t="s">
        <v>1880</v>
      </c>
      <c r="C13" s="1481" t="s">
        <v>504</v>
      </c>
      <c r="D13" s="1482" t="s">
        <v>4974</v>
      </c>
      <c r="E13" s="1483">
        <v>2300</v>
      </c>
      <c r="F13" s="1491">
        <v>44530996</v>
      </c>
      <c r="G13" s="1493" t="s">
        <v>5089</v>
      </c>
      <c r="H13" s="1486" t="s">
        <v>5088</v>
      </c>
      <c r="I13" s="1487" t="s">
        <v>569</v>
      </c>
      <c r="J13" s="1488" t="s">
        <v>4301</v>
      </c>
      <c r="K13" s="1489">
        <v>3</v>
      </c>
      <c r="L13" s="1480">
        <v>8</v>
      </c>
      <c r="M13" s="1483">
        <f t="shared" si="0"/>
        <v>18400</v>
      </c>
      <c r="N13" s="1489">
        <f>-O13</f>
        <v>0</v>
      </c>
      <c r="O13" s="1480">
        <v>0</v>
      </c>
      <c r="P13" s="1492" t="s">
        <v>1592</v>
      </c>
    </row>
    <row r="14" spans="1:22" s="454" customFormat="1" ht="24">
      <c r="A14" s="1479" t="s">
        <v>4975</v>
      </c>
      <c r="B14" s="1480" t="s">
        <v>1880</v>
      </c>
      <c r="C14" s="1481" t="s">
        <v>504</v>
      </c>
      <c r="D14" s="1482" t="s">
        <v>4974</v>
      </c>
      <c r="E14" s="1483">
        <v>2500</v>
      </c>
      <c r="F14" s="1491">
        <v>41841347</v>
      </c>
      <c r="G14" s="1494" t="s">
        <v>5087</v>
      </c>
      <c r="H14" s="1486" t="s">
        <v>5086</v>
      </c>
      <c r="I14" s="1487" t="s">
        <v>569</v>
      </c>
      <c r="J14" s="1488" t="s">
        <v>4297</v>
      </c>
      <c r="K14" s="1489">
        <v>3</v>
      </c>
      <c r="L14" s="1480">
        <v>7</v>
      </c>
      <c r="M14" s="1483">
        <f t="shared" si="0"/>
        <v>17500</v>
      </c>
      <c r="N14" s="1489">
        <v>4</v>
      </c>
      <c r="O14" s="1480">
        <v>6</v>
      </c>
      <c r="P14" s="1483">
        <f t="shared" ref="P14:P45" si="2">+O14*E14</f>
        <v>15000</v>
      </c>
    </row>
    <row r="15" spans="1:22" s="454" customFormat="1">
      <c r="A15" s="1479" t="s">
        <v>4975</v>
      </c>
      <c r="B15" s="1480" t="s">
        <v>1880</v>
      </c>
      <c r="C15" s="1495" t="s">
        <v>504</v>
      </c>
      <c r="D15" s="1482" t="s">
        <v>4974</v>
      </c>
      <c r="E15" s="1483">
        <v>6000</v>
      </c>
      <c r="F15" s="1484" t="s">
        <v>5085</v>
      </c>
      <c r="G15" s="1496" t="s">
        <v>5084</v>
      </c>
      <c r="H15" s="1497" t="s">
        <v>1858</v>
      </c>
      <c r="I15" s="1487" t="s">
        <v>569</v>
      </c>
      <c r="J15" s="1488" t="s">
        <v>1571</v>
      </c>
      <c r="K15" s="1489">
        <v>4</v>
      </c>
      <c r="L15" s="1480">
        <v>12</v>
      </c>
      <c r="M15" s="1483">
        <f t="shared" si="0"/>
        <v>72000</v>
      </c>
      <c r="N15" s="1489">
        <v>4</v>
      </c>
      <c r="O15" s="1480">
        <v>6</v>
      </c>
      <c r="P15" s="1483">
        <f t="shared" si="2"/>
        <v>36000</v>
      </c>
    </row>
    <row r="16" spans="1:22" s="454" customFormat="1">
      <c r="A16" s="1479" t="s">
        <v>4975</v>
      </c>
      <c r="B16" s="1480" t="s">
        <v>4978</v>
      </c>
      <c r="C16" s="1495" t="s">
        <v>504</v>
      </c>
      <c r="D16" s="1482" t="s">
        <v>4974</v>
      </c>
      <c r="E16" s="1483">
        <v>2600</v>
      </c>
      <c r="F16" s="1498" t="s">
        <v>5083</v>
      </c>
      <c r="G16" s="1499" t="s">
        <v>5082</v>
      </c>
      <c r="H16" s="1497" t="s">
        <v>5081</v>
      </c>
      <c r="I16" s="1487" t="s">
        <v>569</v>
      </c>
      <c r="J16" s="1488" t="s">
        <v>1742</v>
      </c>
      <c r="K16" s="1489">
        <v>4</v>
      </c>
      <c r="L16" s="1480">
        <v>12</v>
      </c>
      <c r="M16" s="1483">
        <f t="shared" si="0"/>
        <v>31200</v>
      </c>
      <c r="N16" s="1489">
        <v>4</v>
      </c>
      <c r="O16" s="1480">
        <v>6</v>
      </c>
      <c r="P16" s="1483">
        <f t="shared" si="2"/>
        <v>15600</v>
      </c>
    </row>
    <row r="17" spans="1:16" s="454" customFormat="1">
      <c r="A17" s="1479" t="s">
        <v>4975</v>
      </c>
      <c r="B17" s="1480" t="s">
        <v>4978</v>
      </c>
      <c r="C17" s="1481" t="s">
        <v>504</v>
      </c>
      <c r="D17" s="1482" t="s">
        <v>4974</v>
      </c>
      <c r="E17" s="1483">
        <v>2300</v>
      </c>
      <c r="F17" s="1491">
        <v>41061553</v>
      </c>
      <c r="G17" s="1500" t="s">
        <v>5080</v>
      </c>
      <c r="H17" s="1486" t="s">
        <v>3098</v>
      </c>
      <c r="I17" s="1487" t="s">
        <v>569</v>
      </c>
      <c r="J17" s="1488" t="s">
        <v>1779</v>
      </c>
      <c r="K17" s="1489">
        <v>4</v>
      </c>
      <c r="L17" s="1480">
        <v>12</v>
      </c>
      <c r="M17" s="1483">
        <f t="shared" si="0"/>
        <v>27600</v>
      </c>
      <c r="N17" s="1489">
        <v>4</v>
      </c>
      <c r="O17" s="1480">
        <v>6</v>
      </c>
      <c r="P17" s="1483">
        <f t="shared" si="2"/>
        <v>13800</v>
      </c>
    </row>
    <row r="18" spans="1:16" s="454" customFormat="1">
      <c r="A18" s="1479" t="s">
        <v>4975</v>
      </c>
      <c r="B18" s="1480" t="s">
        <v>1880</v>
      </c>
      <c r="C18" s="1481" t="s">
        <v>504</v>
      </c>
      <c r="D18" s="1482" t="s">
        <v>4974</v>
      </c>
      <c r="E18" s="1483">
        <v>2300</v>
      </c>
      <c r="F18" s="1491">
        <v>43501544</v>
      </c>
      <c r="G18" s="1500" t="s">
        <v>5079</v>
      </c>
      <c r="H18" s="1486" t="s">
        <v>3098</v>
      </c>
      <c r="I18" s="1487" t="s">
        <v>569</v>
      </c>
      <c r="J18" s="1488" t="s">
        <v>1779</v>
      </c>
      <c r="K18" s="1489">
        <v>4</v>
      </c>
      <c r="L18" s="1480">
        <v>12</v>
      </c>
      <c r="M18" s="1483">
        <f t="shared" si="0"/>
        <v>27600</v>
      </c>
      <c r="N18" s="1489">
        <v>4</v>
      </c>
      <c r="O18" s="1480">
        <v>6</v>
      </c>
      <c r="P18" s="1483">
        <f t="shared" si="2"/>
        <v>13800</v>
      </c>
    </row>
    <row r="19" spans="1:16" s="454" customFormat="1">
      <c r="A19" s="1479" t="s">
        <v>4975</v>
      </c>
      <c r="B19" s="1480" t="s">
        <v>1880</v>
      </c>
      <c r="C19" s="1481" t="s">
        <v>504</v>
      </c>
      <c r="D19" s="1482" t="s">
        <v>4974</v>
      </c>
      <c r="E19" s="1483">
        <v>6000</v>
      </c>
      <c r="F19" s="1491">
        <v>10035228</v>
      </c>
      <c r="G19" s="1500" t="s">
        <v>5078</v>
      </c>
      <c r="H19" s="1486" t="s">
        <v>1813</v>
      </c>
      <c r="I19" s="1487" t="s">
        <v>569</v>
      </c>
      <c r="J19" s="1488" t="s">
        <v>1571</v>
      </c>
      <c r="K19" s="1489">
        <v>2</v>
      </c>
      <c r="L19" s="1480">
        <v>6</v>
      </c>
      <c r="M19" s="1483">
        <f t="shared" si="0"/>
        <v>36000</v>
      </c>
      <c r="N19" s="1489">
        <v>0</v>
      </c>
      <c r="O19" s="1480">
        <v>0</v>
      </c>
      <c r="P19" s="1483">
        <f t="shared" si="2"/>
        <v>0</v>
      </c>
    </row>
    <row r="20" spans="1:16" s="454" customFormat="1">
      <c r="A20" s="1479" t="s">
        <v>4975</v>
      </c>
      <c r="B20" s="1480" t="s">
        <v>4978</v>
      </c>
      <c r="C20" s="1481" t="s">
        <v>504</v>
      </c>
      <c r="D20" s="1482" t="s">
        <v>4974</v>
      </c>
      <c r="E20" s="1483">
        <v>3000</v>
      </c>
      <c r="F20" s="1501">
        <v>10689754</v>
      </c>
      <c r="G20" s="1502" t="s">
        <v>5077</v>
      </c>
      <c r="H20" s="1503" t="s">
        <v>5076</v>
      </c>
      <c r="I20" s="1487" t="s">
        <v>569</v>
      </c>
      <c r="J20" s="1504" t="s">
        <v>5076</v>
      </c>
      <c r="K20" s="1489">
        <v>4</v>
      </c>
      <c r="L20" s="1480">
        <v>10</v>
      </c>
      <c r="M20" s="1483">
        <f t="shared" si="0"/>
        <v>30000</v>
      </c>
      <c r="N20" s="1489">
        <v>0</v>
      </c>
      <c r="O20" s="1480">
        <v>0</v>
      </c>
      <c r="P20" s="1483">
        <f t="shared" si="2"/>
        <v>0</v>
      </c>
    </row>
    <row r="21" spans="1:16" s="454" customFormat="1" ht="24">
      <c r="A21" s="1479" t="s">
        <v>4975</v>
      </c>
      <c r="B21" s="1480" t="s">
        <v>4978</v>
      </c>
      <c r="C21" s="1481" t="s">
        <v>504</v>
      </c>
      <c r="D21" s="1482" t="s">
        <v>4974</v>
      </c>
      <c r="E21" s="1483">
        <v>3060</v>
      </c>
      <c r="F21" s="1491">
        <v>46075538</v>
      </c>
      <c r="G21" s="1500" t="s">
        <v>5075</v>
      </c>
      <c r="H21" s="1486" t="s">
        <v>1439</v>
      </c>
      <c r="I21" s="1487" t="s">
        <v>569</v>
      </c>
      <c r="J21" s="1488" t="s">
        <v>5074</v>
      </c>
      <c r="K21" s="1489">
        <v>4</v>
      </c>
      <c r="L21" s="1480">
        <v>12</v>
      </c>
      <c r="M21" s="1483">
        <f t="shared" si="0"/>
        <v>36720</v>
      </c>
      <c r="N21" s="1489">
        <v>4</v>
      </c>
      <c r="O21" s="1480">
        <v>6</v>
      </c>
      <c r="P21" s="1483">
        <f t="shared" si="2"/>
        <v>18360</v>
      </c>
    </row>
    <row r="22" spans="1:16" s="454" customFormat="1" ht="24">
      <c r="A22" s="1479" t="s">
        <v>4975</v>
      </c>
      <c r="B22" s="1480" t="s">
        <v>4978</v>
      </c>
      <c r="C22" s="1481" t="s">
        <v>504</v>
      </c>
      <c r="D22" s="1482" t="s">
        <v>4974</v>
      </c>
      <c r="E22" s="1483">
        <v>2000</v>
      </c>
      <c r="F22" s="1491">
        <v>42702950</v>
      </c>
      <c r="G22" s="1500" t="s">
        <v>5073</v>
      </c>
      <c r="H22" s="1486" t="s">
        <v>5072</v>
      </c>
      <c r="I22" s="1487" t="s">
        <v>1664</v>
      </c>
      <c r="J22" s="1488" t="s">
        <v>5071</v>
      </c>
      <c r="K22" s="1489">
        <v>2</v>
      </c>
      <c r="L22" s="1480">
        <v>5</v>
      </c>
      <c r="M22" s="1483">
        <f t="shared" si="0"/>
        <v>10000</v>
      </c>
      <c r="N22" s="1489">
        <v>0</v>
      </c>
      <c r="O22" s="1480">
        <v>0</v>
      </c>
      <c r="P22" s="1483">
        <f t="shared" si="2"/>
        <v>0</v>
      </c>
    </row>
    <row r="23" spans="1:16" s="454" customFormat="1" ht="24">
      <c r="A23" s="1479" t="s">
        <v>4975</v>
      </c>
      <c r="B23" s="1480" t="s">
        <v>4978</v>
      </c>
      <c r="C23" s="1481" t="s">
        <v>504</v>
      </c>
      <c r="D23" s="1482" t="s">
        <v>4974</v>
      </c>
      <c r="E23" s="1483">
        <v>3500</v>
      </c>
      <c r="F23" s="1491">
        <v>40001885</v>
      </c>
      <c r="G23" s="1500" t="s">
        <v>5070</v>
      </c>
      <c r="H23" s="1486" t="s">
        <v>1680</v>
      </c>
      <c r="I23" s="1487" t="s">
        <v>1664</v>
      </c>
      <c r="J23" s="1488" t="s">
        <v>660</v>
      </c>
      <c r="K23" s="1489">
        <v>1</v>
      </c>
      <c r="L23" s="1480">
        <v>3</v>
      </c>
      <c r="M23" s="1483">
        <f t="shared" si="0"/>
        <v>10500</v>
      </c>
      <c r="N23" s="1489">
        <v>0</v>
      </c>
      <c r="O23" s="1480">
        <v>0</v>
      </c>
      <c r="P23" s="1483">
        <f t="shared" si="2"/>
        <v>0</v>
      </c>
    </row>
    <row r="24" spans="1:16" s="454" customFormat="1">
      <c r="A24" s="1479" t="s">
        <v>4975</v>
      </c>
      <c r="B24" s="1480" t="s">
        <v>4978</v>
      </c>
      <c r="C24" s="1481" t="s">
        <v>504</v>
      </c>
      <c r="D24" s="1482" t="s">
        <v>4974</v>
      </c>
      <c r="E24" s="1483">
        <v>1500</v>
      </c>
      <c r="F24" s="1491">
        <v>43655149</v>
      </c>
      <c r="G24" s="1500" t="s">
        <v>5069</v>
      </c>
      <c r="H24" s="1486" t="s">
        <v>4249</v>
      </c>
      <c r="I24" s="1487" t="s">
        <v>618</v>
      </c>
      <c r="J24" s="1488" t="s">
        <v>4976</v>
      </c>
      <c r="K24" s="1489">
        <v>4</v>
      </c>
      <c r="L24" s="1480">
        <v>12</v>
      </c>
      <c r="M24" s="1483">
        <f t="shared" si="0"/>
        <v>18000</v>
      </c>
      <c r="N24" s="1489">
        <v>4</v>
      </c>
      <c r="O24" s="1480">
        <v>6</v>
      </c>
      <c r="P24" s="1483">
        <f t="shared" si="2"/>
        <v>9000</v>
      </c>
    </row>
    <row r="25" spans="1:16" s="454" customFormat="1">
      <c r="A25" s="1479" t="s">
        <v>4975</v>
      </c>
      <c r="B25" s="1480" t="s">
        <v>4978</v>
      </c>
      <c r="C25" s="1481" t="s">
        <v>504</v>
      </c>
      <c r="D25" s="1482" t="s">
        <v>4974</v>
      </c>
      <c r="E25" s="1483">
        <v>1500</v>
      </c>
      <c r="F25" s="1491">
        <v>48456918</v>
      </c>
      <c r="G25" s="1500" t="s">
        <v>5068</v>
      </c>
      <c r="H25" s="1486" t="s">
        <v>4249</v>
      </c>
      <c r="I25" s="1487" t="s">
        <v>618</v>
      </c>
      <c r="J25" s="1488" t="s">
        <v>4976</v>
      </c>
      <c r="K25" s="1489">
        <v>2</v>
      </c>
      <c r="L25" s="1480">
        <v>6</v>
      </c>
      <c r="M25" s="1483">
        <f t="shared" si="0"/>
        <v>9000</v>
      </c>
      <c r="N25" s="1489"/>
      <c r="O25" s="1480"/>
      <c r="P25" s="1483">
        <f t="shared" si="2"/>
        <v>0</v>
      </c>
    </row>
    <row r="26" spans="1:16" s="453" customFormat="1" ht="24">
      <c r="A26" s="1479" t="s">
        <v>4975</v>
      </c>
      <c r="B26" s="1480" t="s">
        <v>1880</v>
      </c>
      <c r="C26" s="1481" t="s">
        <v>504</v>
      </c>
      <c r="D26" s="1482" t="s">
        <v>4974</v>
      </c>
      <c r="E26" s="1483">
        <v>4500</v>
      </c>
      <c r="F26" s="1491">
        <v>42296175</v>
      </c>
      <c r="G26" s="1485" t="s">
        <v>5067</v>
      </c>
      <c r="H26" s="1486" t="s">
        <v>5066</v>
      </c>
      <c r="I26" s="1487" t="s">
        <v>569</v>
      </c>
      <c r="J26" s="1488" t="s">
        <v>1779</v>
      </c>
      <c r="K26" s="1489">
        <v>4</v>
      </c>
      <c r="L26" s="1480">
        <v>12</v>
      </c>
      <c r="M26" s="1483">
        <f t="shared" si="0"/>
        <v>54000</v>
      </c>
      <c r="N26" s="1489">
        <v>4</v>
      </c>
      <c r="O26" s="1480">
        <v>6</v>
      </c>
      <c r="P26" s="1483">
        <f t="shared" si="2"/>
        <v>27000</v>
      </c>
    </row>
    <row r="27" spans="1:16" s="453" customFormat="1" ht="24">
      <c r="A27" s="1479" t="s">
        <v>4975</v>
      </c>
      <c r="B27" s="1480" t="s">
        <v>4978</v>
      </c>
      <c r="C27" s="1481" t="s">
        <v>504</v>
      </c>
      <c r="D27" s="1482" t="s">
        <v>4974</v>
      </c>
      <c r="E27" s="1483">
        <v>2300</v>
      </c>
      <c r="F27" s="1491">
        <v>46046305</v>
      </c>
      <c r="G27" s="1485" t="s">
        <v>5065</v>
      </c>
      <c r="H27" s="1486" t="s">
        <v>5027</v>
      </c>
      <c r="I27" s="1487" t="s">
        <v>1664</v>
      </c>
      <c r="J27" s="1488" t="s">
        <v>5029</v>
      </c>
      <c r="K27" s="1489">
        <v>4</v>
      </c>
      <c r="L27" s="1480">
        <v>12</v>
      </c>
      <c r="M27" s="1483">
        <f t="shared" si="0"/>
        <v>27600</v>
      </c>
      <c r="N27" s="1489">
        <v>4</v>
      </c>
      <c r="O27" s="1480">
        <v>6</v>
      </c>
      <c r="P27" s="1483">
        <f t="shared" si="2"/>
        <v>13800</v>
      </c>
    </row>
    <row r="28" spans="1:16" s="453" customFormat="1">
      <c r="A28" s="1479" t="s">
        <v>4975</v>
      </c>
      <c r="B28" s="1480" t="s">
        <v>1880</v>
      </c>
      <c r="C28" s="1481" t="s">
        <v>504</v>
      </c>
      <c r="D28" s="1482" t="s">
        <v>4974</v>
      </c>
      <c r="E28" s="1483">
        <v>2000</v>
      </c>
      <c r="F28" s="1491">
        <v>42431687</v>
      </c>
      <c r="G28" s="1485" t="s">
        <v>5064</v>
      </c>
      <c r="H28" s="1486" t="s">
        <v>1977</v>
      </c>
      <c r="I28" s="1487" t="s">
        <v>1664</v>
      </c>
      <c r="J28" s="1488" t="s">
        <v>2220</v>
      </c>
      <c r="K28" s="1489">
        <v>4</v>
      </c>
      <c r="L28" s="1480">
        <v>12</v>
      </c>
      <c r="M28" s="1483">
        <f t="shared" si="0"/>
        <v>24000</v>
      </c>
      <c r="N28" s="1489">
        <v>4</v>
      </c>
      <c r="O28" s="1480">
        <v>6</v>
      </c>
      <c r="P28" s="1483">
        <f t="shared" si="2"/>
        <v>12000</v>
      </c>
    </row>
    <row r="29" spans="1:16" s="453" customFormat="1">
      <c r="A29" s="1479" t="s">
        <v>4975</v>
      </c>
      <c r="B29" s="1480" t="s">
        <v>1880</v>
      </c>
      <c r="C29" s="1481" t="s">
        <v>504</v>
      </c>
      <c r="D29" s="1482" t="s">
        <v>4974</v>
      </c>
      <c r="E29" s="1483">
        <v>2700</v>
      </c>
      <c r="F29" s="1484" t="s">
        <v>5063</v>
      </c>
      <c r="G29" s="1485" t="s">
        <v>5062</v>
      </c>
      <c r="H29" s="1486" t="s">
        <v>5061</v>
      </c>
      <c r="I29" s="1487" t="s">
        <v>1664</v>
      </c>
      <c r="J29" s="1488" t="s">
        <v>3543</v>
      </c>
      <c r="K29" s="1489">
        <v>4</v>
      </c>
      <c r="L29" s="1480">
        <v>12</v>
      </c>
      <c r="M29" s="1483">
        <f t="shared" si="0"/>
        <v>32400</v>
      </c>
      <c r="N29" s="1489">
        <v>4</v>
      </c>
      <c r="O29" s="1480">
        <v>6</v>
      </c>
      <c r="P29" s="1483">
        <f t="shared" si="2"/>
        <v>16200</v>
      </c>
    </row>
    <row r="30" spans="1:16" s="453" customFormat="1">
      <c r="A30" s="1479" t="s">
        <v>4975</v>
      </c>
      <c r="B30" s="1480" t="s">
        <v>1880</v>
      </c>
      <c r="C30" s="1481" t="s">
        <v>504</v>
      </c>
      <c r="D30" s="1482" t="s">
        <v>4974</v>
      </c>
      <c r="E30" s="1483">
        <v>2300</v>
      </c>
      <c r="F30" s="1491">
        <v>45219194</v>
      </c>
      <c r="G30" s="1500" t="s">
        <v>5060</v>
      </c>
      <c r="H30" s="1137" t="s">
        <v>787</v>
      </c>
      <c r="I30" s="1487" t="s">
        <v>569</v>
      </c>
      <c r="J30" s="1488" t="s">
        <v>5059</v>
      </c>
      <c r="K30" s="1489">
        <v>4</v>
      </c>
      <c r="L30" s="1480">
        <v>12</v>
      </c>
      <c r="M30" s="1483">
        <f t="shared" si="0"/>
        <v>27600</v>
      </c>
      <c r="N30" s="1489">
        <v>0</v>
      </c>
      <c r="O30" s="1480">
        <v>0</v>
      </c>
      <c r="P30" s="1483">
        <f t="shared" si="2"/>
        <v>0</v>
      </c>
    </row>
    <row r="31" spans="1:16" s="453" customFormat="1">
      <c r="A31" s="1479" t="s">
        <v>4975</v>
      </c>
      <c r="B31" s="1480" t="s">
        <v>4978</v>
      </c>
      <c r="C31" s="1481" t="s">
        <v>504</v>
      </c>
      <c r="D31" s="1482" t="s">
        <v>4974</v>
      </c>
      <c r="E31" s="1483">
        <v>1500</v>
      </c>
      <c r="F31" s="1484" t="s">
        <v>5058</v>
      </c>
      <c r="G31" s="1485" t="s">
        <v>5057</v>
      </c>
      <c r="H31" s="1505" t="s">
        <v>2051</v>
      </c>
      <c r="I31" s="1487" t="s">
        <v>618</v>
      </c>
      <c r="J31" s="1488" t="s">
        <v>4976</v>
      </c>
      <c r="K31" s="1489">
        <v>4</v>
      </c>
      <c r="L31" s="1480">
        <v>12</v>
      </c>
      <c r="M31" s="1483">
        <f t="shared" si="0"/>
        <v>18000</v>
      </c>
      <c r="N31" s="1489">
        <v>0</v>
      </c>
      <c r="O31" s="1480">
        <v>0</v>
      </c>
      <c r="P31" s="1483">
        <f t="shared" si="2"/>
        <v>0</v>
      </c>
    </row>
    <row r="32" spans="1:16" s="453" customFormat="1">
      <c r="A32" s="1479" t="s">
        <v>4975</v>
      </c>
      <c r="B32" s="1480" t="s">
        <v>1880</v>
      </c>
      <c r="C32" s="1481" t="s">
        <v>504</v>
      </c>
      <c r="D32" s="1482" t="s">
        <v>4974</v>
      </c>
      <c r="E32" s="1483">
        <v>1500</v>
      </c>
      <c r="F32" s="1491">
        <v>20210833</v>
      </c>
      <c r="G32" s="1485" t="s">
        <v>5056</v>
      </c>
      <c r="H32" s="1505" t="s">
        <v>2051</v>
      </c>
      <c r="I32" s="1487" t="s">
        <v>618</v>
      </c>
      <c r="J32" s="1488" t="s">
        <v>4976</v>
      </c>
      <c r="K32" s="1489">
        <v>4</v>
      </c>
      <c r="L32" s="1480">
        <v>9</v>
      </c>
      <c r="M32" s="1483">
        <f t="shared" si="0"/>
        <v>13500</v>
      </c>
      <c r="N32" s="1489">
        <v>4</v>
      </c>
      <c r="O32" s="1480">
        <v>6</v>
      </c>
      <c r="P32" s="1483">
        <f t="shared" si="2"/>
        <v>9000</v>
      </c>
    </row>
    <row r="33" spans="1:16" s="453" customFormat="1">
      <c r="A33" s="1479" t="s">
        <v>4975</v>
      </c>
      <c r="B33" s="1480" t="s">
        <v>4978</v>
      </c>
      <c r="C33" s="1481" t="s">
        <v>504</v>
      </c>
      <c r="D33" s="1482" t="s">
        <v>4974</v>
      </c>
      <c r="E33" s="1483">
        <v>1500</v>
      </c>
      <c r="F33" s="1491">
        <v>41543904</v>
      </c>
      <c r="G33" s="1485" t="s">
        <v>5055</v>
      </c>
      <c r="H33" s="1505" t="s">
        <v>2051</v>
      </c>
      <c r="I33" s="1487" t="s">
        <v>618</v>
      </c>
      <c r="J33" s="1488" t="s">
        <v>4976</v>
      </c>
      <c r="K33" s="1489">
        <v>4</v>
      </c>
      <c r="L33" s="1480">
        <v>12</v>
      </c>
      <c r="M33" s="1483">
        <f t="shared" si="0"/>
        <v>18000</v>
      </c>
      <c r="N33" s="1489">
        <v>4</v>
      </c>
      <c r="O33" s="1480">
        <v>6</v>
      </c>
      <c r="P33" s="1483">
        <f t="shared" si="2"/>
        <v>9000</v>
      </c>
    </row>
    <row r="34" spans="1:16" s="453" customFormat="1">
      <c r="A34" s="1479" t="s">
        <v>4975</v>
      </c>
      <c r="B34" s="1480" t="s">
        <v>4978</v>
      </c>
      <c r="C34" s="1481" t="s">
        <v>504</v>
      </c>
      <c r="D34" s="1482" t="s">
        <v>4974</v>
      </c>
      <c r="E34" s="1483">
        <v>1500</v>
      </c>
      <c r="F34" s="1484" t="s">
        <v>5054</v>
      </c>
      <c r="G34" s="1485" t="s">
        <v>5053</v>
      </c>
      <c r="H34" s="1505" t="s">
        <v>2051</v>
      </c>
      <c r="I34" s="1487" t="s">
        <v>618</v>
      </c>
      <c r="J34" s="1488" t="s">
        <v>4976</v>
      </c>
      <c r="K34" s="1489">
        <v>4</v>
      </c>
      <c r="L34" s="1480">
        <v>12</v>
      </c>
      <c r="M34" s="1483">
        <f t="shared" si="0"/>
        <v>18000</v>
      </c>
      <c r="N34" s="1489">
        <v>3</v>
      </c>
      <c r="O34" s="1480">
        <v>5</v>
      </c>
      <c r="P34" s="1483">
        <f t="shared" si="2"/>
        <v>7500</v>
      </c>
    </row>
    <row r="35" spans="1:16" s="453" customFormat="1">
      <c r="A35" s="1479" t="s">
        <v>4975</v>
      </c>
      <c r="B35" s="1480" t="s">
        <v>1880</v>
      </c>
      <c r="C35" s="1481" t="s">
        <v>504</v>
      </c>
      <c r="D35" s="1482" t="s">
        <v>4974</v>
      </c>
      <c r="E35" s="1483">
        <v>1500</v>
      </c>
      <c r="F35" s="1484" t="s">
        <v>5052</v>
      </c>
      <c r="G35" s="1485" t="s">
        <v>5051</v>
      </c>
      <c r="H35" s="1505" t="s">
        <v>2051</v>
      </c>
      <c r="I35" s="1487" t="s">
        <v>618</v>
      </c>
      <c r="J35" s="1488" t="s">
        <v>4976</v>
      </c>
      <c r="K35" s="1489">
        <v>4</v>
      </c>
      <c r="L35" s="1480">
        <v>12</v>
      </c>
      <c r="M35" s="1483">
        <f t="shared" si="0"/>
        <v>18000</v>
      </c>
      <c r="N35" s="1489">
        <v>0</v>
      </c>
      <c r="O35" s="1480">
        <v>0</v>
      </c>
      <c r="P35" s="1483">
        <f t="shared" si="2"/>
        <v>0</v>
      </c>
    </row>
    <row r="36" spans="1:16" s="453" customFormat="1" ht="24">
      <c r="A36" s="1479" t="s">
        <v>4975</v>
      </c>
      <c r="B36" s="1480" t="s">
        <v>1880</v>
      </c>
      <c r="C36" s="1481" t="s">
        <v>504</v>
      </c>
      <c r="D36" s="1482" t="s">
        <v>4974</v>
      </c>
      <c r="E36" s="1483">
        <v>1800</v>
      </c>
      <c r="F36" s="1491">
        <v>75217609</v>
      </c>
      <c r="G36" s="1500" t="s">
        <v>5050</v>
      </c>
      <c r="H36" s="1486" t="s">
        <v>604</v>
      </c>
      <c r="I36" s="1487" t="s">
        <v>1664</v>
      </c>
      <c r="J36" s="1488" t="s">
        <v>3395</v>
      </c>
      <c r="K36" s="1489">
        <v>1</v>
      </c>
      <c r="L36" s="1480">
        <v>3</v>
      </c>
      <c r="M36" s="1483">
        <f t="shared" si="0"/>
        <v>5400</v>
      </c>
      <c r="N36" s="1489"/>
      <c r="O36" s="1480"/>
      <c r="P36" s="1483">
        <f t="shared" si="2"/>
        <v>0</v>
      </c>
    </row>
    <row r="37" spans="1:16" s="453" customFormat="1">
      <c r="A37" s="1479" t="s">
        <v>4975</v>
      </c>
      <c r="B37" s="1480" t="s">
        <v>1880</v>
      </c>
      <c r="C37" s="1481" t="s">
        <v>504</v>
      </c>
      <c r="D37" s="1482" t="s">
        <v>4974</v>
      </c>
      <c r="E37" s="1483">
        <v>2800</v>
      </c>
      <c r="F37" s="1491">
        <v>70330211</v>
      </c>
      <c r="G37" s="1500" t="s">
        <v>5049</v>
      </c>
      <c r="H37" s="1486" t="s">
        <v>1319</v>
      </c>
      <c r="I37" s="1487" t="s">
        <v>569</v>
      </c>
      <c r="J37" s="1488" t="s">
        <v>1319</v>
      </c>
      <c r="K37" s="1489">
        <v>4</v>
      </c>
      <c r="L37" s="1480">
        <v>12</v>
      </c>
      <c r="M37" s="1483">
        <f t="shared" si="0"/>
        <v>33600</v>
      </c>
      <c r="N37" s="1489">
        <v>4</v>
      </c>
      <c r="O37" s="1480">
        <v>6</v>
      </c>
      <c r="P37" s="1483">
        <f t="shared" si="2"/>
        <v>16800</v>
      </c>
    </row>
    <row r="38" spans="1:16" s="453" customFormat="1">
      <c r="A38" s="1479" t="s">
        <v>4975</v>
      </c>
      <c r="B38" s="1480" t="s">
        <v>4978</v>
      </c>
      <c r="C38" s="1481" t="s">
        <v>504</v>
      </c>
      <c r="D38" s="1482" t="s">
        <v>4974</v>
      </c>
      <c r="E38" s="1483">
        <v>1800</v>
      </c>
      <c r="F38" s="1491">
        <v>75327430</v>
      </c>
      <c r="G38" s="1500" t="s">
        <v>5048</v>
      </c>
      <c r="H38" s="1486" t="s">
        <v>1775</v>
      </c>
      <c r="I38" s="1487" t="s">
        <v>1664</v>
      </c>
      <c r="J38" s="1488" t="s">
        <v>5047</v>
      </c>
      <c r="K38" s="1489">
        <v>4</v>
      </c>
      <c r="L38" s="1480">
        <v>10</v>
      </c>
      <c r="M38" s="1483">
        <f t="shared" ref="M38:M69" si="3">+L38*E38</f>
        <v>18000</v>
      </c>
      <c r="N38" s="1489">
        <v>0</v>
      </c>
      <c r="O38" s="1480">
        <v>0</v>
      </c>
      <c r="P38" s="1483">
        <f t="shared" si="2"/>
        <v>0</v>
      </c>
    </row>
    <row r="39" spans="1:16" s="453" customFormat="1" ht="24">
      <c r="A39" s="1479" t="s">
        <v>4975</v>
      </c>
      <c r="B39" s="1480" t="s">
        <v>1880</v>
      </c>
      <c r="C39" s="1481" t="s">
        <v>504</v>
      </c>
      <c r="D39" s="1482" t="s">
        <v>4974</v>
      </c>
      <c r="E39" s="1483">
        <v>2300</v>
      </c>
      <c r="F39" s="1491">
        <v>70020238</v>
      </c>
      <c r="G39" s="1506" t="s">
        <v>5046</v>
      </c>
      <c r="H39" s="1486" t="s">
        <v>5045</v>
      </c>
      <c r="I39" s="1487" t="s">
        <v>569</v>
      </c>
      <c r="J39" s="1488" t="s">
        <v>5044</v>
      </c>
      <c r="K39" s="1489">
        <v>4</v>
      </c>
      <c r="L39" s="1480">
        <v>12</v>
      </c>
      <c r="M39" s="1483">
        <f t="shared" si="3"/>
        <v>27600</v>
      </c>
      <c r="N39" s="1489">
        <v>4</v>
      </c>
      <c r="O39" s="1480">
        <v>6</v>
      </c>
      <c r="P39" s="1483">
        <f t="shared" si="2"/>
        <v>13800</v>
      </c>
    </row>
    <row r="40" spans="1:16" s="453" customFormat="1">
      <c r="A40" s="1479" t="s">
        <v>4975</v>
      </c>
      <c r="B40" s="1480" t="s">
        <v>1880</v>
      </c>
      <c r="C40" s="1481" t="s">
        <v>504</v>
      </c>
      <c r="D40" s="1482" t="s">
        <v>4974</v>
      </c>
      <c r="E40" s="1483">
        <v>1800</v>
      </c>
      <c r="F40" s="1490" t="s">
        <v>5043</v>
      </c>
      <c r="G40" s="1506" t="s">
        <v>5042</v>
      </c>
      <c r="H40" s="1486" t="s">
        <v>2215</v>
      </c>
      <c r="I40" s="1487" t="s">
        <v>618</v>
      </c>
      <c r="J40" s="1488" t="s">
        <v>4274</v>
      </c>
      <c r="K40" s="1489">
        <v>4</v>
      </c>
      <c r="L40" s="1480">
        <v>12</v>
      </c>
      <c r="M40" s="1507">
        <f t="shared" si="3"/>
        <v>21600</v>
      </c>
      <c r="N40" s="1489">
        <v>4</v>
      </c>
      <c r="O40" s="1480">
        <v>6</v>
      </c>
      <c r="P40" s="1483">
        <f t="shared" si="2"/>
        <v>10800</v>
      </c>
    </row>
    <row r="41" spans="1:16" s="453" customFormat="1">
      <c r="A41" s="1479" t="s">
        <v>4975</v>
      </c>
      <c r="B41" s="1480" t="s">
        <v>4978</v>
      </c>
      <c r="C41" s="1481" t="s">
        <v>504</v>
      </c>
      <c r="D41" s="1482" t="s">
        <v>4974</v>
      </c>
      <c r="E41" s="1483">
        <v>1500</v>
      </c>
      <c r="F41" s="1491">
        <v>43633843</v>
      </c>
      <c r="G41" s="1506" t="s">
        <v>5041</v>
      </c>
      <c r="H41" s="1486" t="s">
        <v>5040</v>
      </c>
      <c r="I41" s="1487" t="s">
        <v>618</v>
      </c>
      <c r="J41" s="1488" t="s">
        <v>4976</v>
      </c>
      <c r="K41" s="1508">
        <v>4</v>
      </c>
      <c r="L41" s="1509">
        <v>12</v>
      </c>
      <c r="M41" s="1507">
        <f t="shared" si="3"/>
        <v>18000</v>
      </c>
      <c r="N41" s="1489">
        <v>4</v>
      </c>
      <c r="O41" s="1480">
        <v>6</v>
      </c>
      <c r="P41" s="1483">
        <f t="shared" si="2"/>
        <v>9000</v>
      </c>
    </row>
    <row r="42" spans="1:16" s="453" customFormat="1">
      <c r="A42" s="1479" t="s">
        <v>4975</v>
      </c>
      <c r="B42" s="1480" t="s">
        <v>4978</v>
      </c>
      <c r="C42" s="1481" t="s">
        <v>504</v>
      </c>
      <c r="D42" s="1482" t="s">
        <v>4974</v>
      </c>
      <c r="E42" s="1483">
        <v>1500</v>
      </c>
      <c r="F42" s="1491">
        <v>41884297</v>
      </c>
      <c r="G42" s="1506" t="s">
        <v>5039</v>
      </c>
      <c r="H42" s="1486" t="s">
        <v>5036</v>
      </c>
      <c r="I42" s="1487" t="s">
        <v>1664</v>
      </c>
      <c r="J42" s="1488" t="s">
        <v>2161</v>
      </c>
      <c r="K42" s="1508">
        <v>1</v>
      </c>
      <c r="L42" s="1509">
        <v>2</v>
      </c>
      <c r="M42" s="1507">
        <f t="shared" si="3"/>
        <v>3000</v>
      </c>
      <c r="N42" s="1489">
        <v>0</v>
      </c>
      <c r="O42" s="1480">
        <v>0</v>
      </c>
      <c r="P42" s="1483">
        <f t="shared" si="2"/>
        <v>0</v>
      </c>
    </row>
    <row r="43" spans="1:16" s="453" customFormat="1">
      <c r="A43" s="1479" t="s">
        <v>4975</v>
      </c>
      <c r="B43" s="1480" t="s">
        <v>1880</v>
      </c>
      <c r="C43" s="1481" t="s">
        <v>504</v>
      </c>
      <c r="D43" s="1482" t="s">
        <v>4974</v>
      </c>
      <c r="E43" s="1483">
        <v>1500</v>
      </c>
      <c r="F43" s="1491">
        <v>71630111</v>
      </c>
      <c r="G43" s="1506" t="s">
        <v>5038</v>
      </c>
      <c r="H43" s="1486" t="s">
        <v>1980</v>
      </c>
      <c r="I43" s="1487" t="s">
        <v>618</v>
      </c>
      <c r="J43" s="1488" t="s">
        <v>4976</v>
      </c>
      <c r="K43" s="1508">
        <v>4</v>
      </c>
      <c r="L43" s="1509">
        <v>12</v>
      </c>
      <c r="M43" s="1507">
        <f t="shared" si="3"/>
        <v>18000</v>
      </c>
      <c r="N43" s="1489">
        <v>4</v>
      </c>
      <c r="O43" s="1480">
        <v>6</v>
      </c>
      <c r="P43" s="1483">
        <f t="shared" si="2"/>
        <v>9000</v>
      </c>
    </row>
    <row r="44" spans="1:16" s="453" customFormat="1">
      <c r="A44" s="1479" t="s">
        <v>4975</v>
      </c>
      <c r="B44" s="1480" t="s">
        <v>4978</v>
      </c>
      <c r="C44" s="1481" t="s">
        <v>504</v>
      </c>
      <c r="D44" s="1482" t="s">
        <v>4974</v>
      </c>
      <c r="E44" s="1483">
        <v>1500</v>
      </c>
      <c r="F44" s="1491">
        <v>48216389</v>
      </c>
      <c r="G44" s="1506" t="s">
        <v>5037</v>
      </c>
      <c r="H44" s="1486" t="s">
        <v>5036</v>
      </c>
      <c r="I44" s="1487" t="s">
        <v>618</v>
      </c>
      <c r="J44" s="1488" t="s">
        <v>4274</v>
      </c>
      <c r="K44" s="1508">
        <v>3</v>
      </c>
      <c r="L44" s="1510">
        <v>9</v>
      </c>
      <c r="M44" s="1507">
        <f t="shared" si="3"/>
        <v>13500</v>
      </c>
      <c r="N44" s="1489">
        <v>0</v>
      </c>
      <c r="O44" s="1480">
        <v>0</v>
      </c>
      <c r="P44" s="1483">
        <f t="shared" si="2"/>
        <v>0</v>
      </c>
    </row>
    <row r="45" spans="1:16" s="453" customFormat="1" ht="24">
      <c r="A45" s="1479" t="s">
        <v>4975</v>
      </c>
      <c r="B45" s="1480" t="s">
        <v>4978</v>
      </c>
      <c r="C45" s="1481" t="s">
        <v>504</v>
      </c>
      <c r="D45" s="1482" t="s">
        <v>4974</v>
      </c>
      <c r="E45" s="1483">
        <v>2700</v>
      </c>
      <c r="F45" s="1491">
        <v>28311291</v>
      </c>
      <c r="G45" s="1506" t="s">
        <v>5035</v>
      </c>
      <c r="H45" s="1486" t="s">
        <v>5032</v>
      </c>
      <c r="I45" s="1487" t="s">
        <v>569</v>
      </c>
      <c r="J45" s="1488" t="s">
        <v>5034</v>
      </c>
      <c r="K45" s="1508">
        <v>4</v>
      </c>
      <c r="L45" s="1511">
        <v>12</v>
      </c>
      <c r="M45" s="1507">
        <f t="shared" si="3"/>
        <v>32400</v>
      </c>
      <c r="N45" s="1489">
        <v>4</v>
      </c>
      <c r="O45" s="1480">
        <v>6</v>
      </c>
      <c r="P45" s="1483">
        <f t="shared" si="2"/>
        <v>16200</v>
      </c>
    </row>
    <row r="46" spans="1:16" s="453" customFormat="1" ht="24">
      <c r="A46" s="1479" t="s">
        <v>4975</v>
      </c>
      <c r="B46" s="1480" t="s">
        <v>4978</v>
      </c>
      <c r="C46" s="1481" t="s">
        <v>504</v>
      </c>
      <c r="D46" s="1482" t="s">
        <v>4974</v>
      </c>
      <c r="E46" s="1483">
        <v>2700</v>
      </c>
      <c r="F46" s="1491">
        <v>40805146</v>
      </c>
      <c r="G46" s="1506" t="s">
        <v>5033</v>
      </c>
      <c r="H46" s="1486" t="s">
        <v>5032</v>
      </c>
      <c r="I46" s="1487" t="s">
        <v>569</v>
      </c>
      <c r="J46" s="1488" t="s">
        <v>5031</v>
      </c>
      <c r="K46" s="1508">
        <v>4</v>
      </c>
      <c r="L46" s="1511">
        <v>12</v>
      </c>
      <c r="M46" s="1507">
        <f t="shared" si="3"/>
        <v>32400</v>
      </c>
      <c r="N46" s="1489">
        <v>4</v>
      </c>
      <c r="O46" s="1480">
        <v>6</v>
      </c>
      <c r="P46" s="1483">
        <f t="shared" ref="P46:P70" si="4">+O46*E46</f>
        <v>16200</v>
      </c>
    </row>
    <row r="47" spans="1:16" s="453" customFormat="1" ht="24">
      <c r="A47" s="1479" t="s">
        <v>4975</v>
      </c>
      <c r="B47" s="1480" t="s">
        <v>4978</v>
      </c>
      <c r="C47" s="1481" t="s">
        <v>504</v>
      </c>
      <c r="D47" s="1482" t="s">
        <v>4974</v>
      </c>
      <c r="E47" s="1483">
        <v>2500</v>
      </c>
      <c r="F47" s="1491">
        <v>10671827</v>
      </c>
      <c r="G47" s="1506" t="s">
        <v>5030</v>
      </c>
      <c r="H47" s="1486" t="s">
        <v>604</v>
      </c>
      <c r="I47" s="1487" t="s">
        <v>1664</v>
      </c>
      <c r="J47" s="1488" t="s">
        <v>5029</v>
      </c>
      <c r="K47" s="1508">
        <v>4</v>
      </c>
      <c r="L47" s="1509">
        <v>12</v>
      </c>
      <c r="M47" s="1507">
        <f t="shared" si="3"/>
        <v>30000</v>
      </c>
      <c r="N47" s="1489">
        <v>4</v>
      </c>
      <c r="O47" s="1480">
        <v>6</v>
      </c>
      <c r="P47" s="1483">
        <f t="shared" si="4"/>
        <v>15000</v>
      </c>
    </row>
    <row r="48" spans="1:16" s="453" customFormat="1">
      <c r="A48" s="1479" t="s">
        <v>4975</v>
      </c>
      <c r="B48" s="1480" t="s">
        <v>1880</v>
      </c>
      <c r="C48" s="1481" t="s">
        <v>504</v>
      </c>
      <c r="D48" s="1482" t="s">
        <v>4974</v>
      </c>
      <c r="E48" s="1483">
        <v>2300</v>
      </c>
      <c r="F48" s="1491">
        <v>76639506</v>
      </c>
      <c r="G48" s="1506" t="s">
        <v>5028</v>
      </c>
      <c r="H48" s="1486" t="s">
        <v>5027</v>
      </c>
      <c r="I48" s="1487" t="s">
        <v>569</v>
      </c>
      <c r="J48" s="1488" t="s">
        <v>5026</v>
      </c>
      <c r="K48" s="1508">
        <v>4</v>
      </c>
      <c r="L48" s="1511">
        <v>12</v>
      </c>
      <c r="M48" s="1507">
        <f t="shared" si="3"/>
        <v>27600</v>
      </c>
      <c r="N48" s="1489">
        <v>4</v>
      </c>
      <c r="O48" s="1480">
        <v>6</v>
      </c>
      <c r="P48" s="1483">
        <f t="shared" si="4"/>
        <v>13800</v>
      </c>
    </row>
    <row r="49" spans="1:16" s="453" customFormat="1">
      <c r="A49" s="1479" t="s">
        <v>4975</v>
      </c>
      <c r="B49" s="1480" t="s">
        <v>4978</v>
      </c>
      <c r="C49" s="1481" t="s">
        <v>504</v>
      </c>
      <c r="D49" s="1482" t="s">
        <v>4974</v>
      </c>
      <c r="E49" s="1512">
        <v>2500</v>
      </c>
      <c r="F49" s="1513" t="s">
        <v>5025</v>
      </c>
      <c r="G49" s="1505" t="s">
        <v>5024</v>
      </c>
      <c r="H49" s="1505" t="s">
        <v>1742</v>
      </c>
      <c r="I49" s="1487" t="s">
        <v>569</v>
      </c>
      <c r="J49" s="1514" t="s">
        <v>5023</v>
      </c>
      <c r="K49" s="1508">
        <v>3</v>
      </c>
      <c r="L49" s="1511">
        <v>7</v>
      </c>
      <c r="M49" s="1507">
        <f t="shared" si="3"/>
        <v>17500</v>
      </c>
      <c r="N49" s="1489"/>
      <c r="O49" s="1480"/>
      <c r="P49" s="1483">
        <f t="shared" si="4"/>
        <v>0</v>
      </c>
    </row>
    <row r="50" spans="1:16" s="453" customFormat="1">
      <c r="A50" s="1479" t="s">
        <v>4975</v>
      </c>
      <c r="B50" s="1480" t="s">
        <v>1880</v>
      </c>
      <c r="C50" s="1481" t="s">
        <v>504</v>
      </c>
      <c r="D50" s="1482" t="s">
        <v>4974</v>
      </c>
      <c r="E50" s="1512">
        <v>2300</v>
      </c>
      <c r="F50" s="1515" t="s">
        <v>5022</v>
      </c>
      <c r="G50" s="1505" t="s">
        <v>5021</v>
      </c>
      <c r="H50" s="1137" t="s">
        <v>1742</v>
      </c>
      <c r="I50" s="1487" t="s">
        <v>569</v>
      </c>
      <c r="J50" s="1488" t="s">
        <v>4995</v>
      </c>
      <c r="K50" s="1508">
        <v>4</v>
      </c>
      <c r="L50" s="1511">
        <v>12</v>
      </c>
      <c r="M50" s="1507">
        <f t="shared" si="3"/>
        <v>27600</v>
      </c>
      <c r="N50" s="1489">
        <v>4</v>
      </c>
      <c r="O50" s="1480">
        <v>6</v>
      </c>
      <c r="P50" s="1483">
        <f t="shared" si="4"/>
        <v>13800</v>
      </c>
    </row>
    <row r="51" spans="1:16" s="452" customFormat="1" ht="24">
      <c r="A51" s="1479" t="s">
        <v>4975</v>
      </c>
      <c r="B51" s="1480" t="s">
        <v>4978</v>
      </c>
      <c r="C51" s="1481" t="s">
        <v>504</v>
      </c>
      <c r="D51" s="1482" t="s">
        <v>4974</v>
      </c>
      <c r="E51" s="1512">
        <v>1800</v>
      </c>
      <c r="F51" s="1516">
        <v>41706949</v>
      </c>
      <c r="G51" s="1505" t="s">
        <v>5020</v>
      </c>
      <c r="H51" s="1505" t="s">
        <v>5019</v>
      </c>
      <c r="I51" s="1487" t="s">
        <v>569</v>
      </c>
      <c r="J51" s="1514" t="s">
        <v>5018</v>
      </c>
      <c r="K51" s="1508">
        <v>3</v>
      </c>
      <c r="L51" s="1511">
        <v>7</v>
      </c>
      <c r="M51" s="1507">
        <f t="shared" si="3"/>
        <v>12600</v>
      </c>
      <c r="N51" s="1489"/>
      <c r="O51" s="1480"/>
      <c r="P51" s="1483">
        <f t="shared" si="4"/>
        <v>0</v>
      </c>
    </row>
    <row r="52" spans="1:16" s="452" customFormat="1">
      <c r="A52" s="1479" t="s">
        <v>4975</v>
      </c>
      <c r="B52" s="1480" t="s">
        <v>1880</v>
      </c>
      <c r="C52" s="1481" t="s">
        <v>504</v>
      </c>
      <c r="D52" s="1482" t="s">
        <v>4974</v>
      </c>
      <c r="E52" s="1512">
        <v>2000</v>
      </c>
      <c r="F52" s="1516">
        <v>43462092</v>
      </c>
      <c r="G52" s="1505" t="s">
        <v>5017</v>
      </c>
      <c r="H52" s="1137" t="s">
        <v>1944</v>
      </c>
      <c r="I52" s="1505" t="s">
        <v>5016</v>
      </c>
      <c r="J52" s="1514" t="s">
        <v>5016</v>
      </c>
      <c r="K52" s="1508">
        <v>3</v>
      </c>
      <c r="L52" s="1517">
        <v>7</v>
      </c>
      <c r="M52" s="1507">
        <f t="shared" si="3"/>
        <v>14000</v>
      </c>
      <c r="N52" s="1489">
        <v>4</v>
      </c>
      <c r="O52" s="1480">
        <v>6</v>
      </c>
      <c r="P52" s="1483">
        <f t="shared" si="4"/>
        <v>12000</v>
      </c>
    </row>
    <row r="53" spans="1:16" s="452" customFormat="1">
      <c r="A53" s="1479" t="s">
        <v>4975</v>
      </c>
      <c r="B53" s="1480" t="s">
        <v>4978</v>
      </c>
      <c r="C53" s="1481" t="s">
        <v>504</v>
      </c>
      <c r="D53" s="1482" t="s">
        <v>4974</v>
      </c>
      <c r="E53" s="1512">
        <v>1500</v>
      </c>
      <c r="F53" s="1516" t="s">
        <v>5015</v>
      </c>
      <c r="G53" s="1505" t="s">
        <v>5014</v>
      </c>
      <c r="H53" s="1505" t="s">
        <v>2051</v>
      </c>
      <c r="I53" s="1505" t="s">
        <v>618</v>
      </c>
      <c r="J53" s="1488" t="s">
        <v>4976</v>
      </c>
      <c r="K53" s="1508">
        <v>3</v>
      </c>
      <c r="L53" s="1510">
        <v>7</v>
      </c>
      <c r="M53" s="1507">
        <f t="shared" si="3"/>
        <v>10500</v>
      </c>
      <c r="N53" s="1489">
        <v>4</v>
      </c>
      <c r="O53" s="1480">
        <v>6</v>
      </c>
      <c r="P53" s="1483">
        <f t="shared" si="4"/>
        <v>9000</v>
      </c>
    </row>
    <row r="54" spans="1:16" s="452" customFormat="1">
      <c r="A54" s="1479" t="s">
        <v>4975</v>
      </c>
      <c r="B54" s="1480" t="s">
        <v>4978</v>
      </c>
      <c r="C54" s="1481" t="s">
        <v>504</v>
      </c>
      <c r="D54" s="1482" t="s">
        <v>4974</v>
      </c>
      <c r="E54" s="1512">
        <v>2500</v>
      </c>
      <c r="F54" s="1516" t="s">
        <v>5013</v>
      </c>
      <c r="G54" s="1505" t="s">
        <v>5012</v>
      </c>
      <c r="H54" s="1137" t="s">
        <v>5011</v>
      </c>
      <c r="I54" s="1487" t="s">
        <v>569</v>
      </c>
      <c r="J54" s="1138" t="s">
        <v>5010</v>
      </c>
      <c r="K54" s="1508">
        <v>3</v>
      </c>
      <c r="L54" s="1511">
        <v>7</v>
      </c>
      <c r="M54" s="1507">
        <f t="shared" si="3"/>
        <v>17500</v>
      </c>
      <c r="N54" s="1489"/>
      <c r="O54" s="1480"/>
      <c r="P54" s="1483">
        <f t="shared" si="4"/>
        <v>0</v>
      </c>
    </row>
    <row r="55" spans="1:16" s="452" customFormat="1">
      <c r="A55" s="1479" t="s">
        <v>4975</v>
      </c>
      <c r="B55" s="1480" t="s">
        <v>4978</v>
      </c>
      <c r="C55" s="1481" t="s">
        <v>504</v>
      </c>
      <c r="D55" s="1482" t="s">
        <v>4974</v>
      </c>
      <c r="E55" s="1512">
        <v>2000</v>
      </c>
      <c r="F55" s="1516" t="s">
        <v>5009</v>
      </c>
      <c r="G55" s="1505" t="s">
        <v>5008</v>
      </c>
      <c r="H55" s="1505" t="s">
        <v>5007</v>
      </c>
      <c r="I55" s="1487" t="s">
        <v>569</v>
      </c>
      <c r="J55" s="1514" t="s">
        <v>5007</v>
      </c>
      <c r="K55" s="1508">
        <v>3</v>
      </c>
      <c r="L55" s="1511">
        <v>9</v>
      </c>
      <c r="M55" s="1507">
        <f t="shared" si="3"/>
        <v>18000</v>
      </c>
      <c r="N55" s="1489">
        <v>4</v>
      </c>
      <c r="O55" s="1480">
        <v>6</v>
      </c>
      <c r="P55" s="1483">
        <f t="shared" si="4"/>
        <v>12000</v>
      </c>
    </row>
    <row r="56" spans="1:16" s="452" customFormat="1" ht="24">
      <c r="A56" s="1479" t="s">
        <v>4975</v>
      </c>
      <c r="B56" s="1480" t="s">
        <v>1880</v>
      </c>
      <c r="C56" s="1481" t="s">
        <v>504</v>
      </c>
      <c r="D56" s="1482" t="s">
        <v>4974</v>
      </c>
      <c r="E56" s="1512">
        <v>2300</v>
      </c>
      <c r="F56" s="1516" t="s">
        <v>5006</v>
      </c>
      <c r="G56" s="1505" t="s">
        <v>5005</v>
      </c>
      <c r="H56" s="1505" t="s">
        <v>5004</v>
      </c>
      <c r="I56" s="1487" t="s">
        <v>569</v>
      </c>
      <c r="J56" s="1514" t="s">
        <v>5003</v>
      </c>
      <c r="K56" s="1508">
        <v>4</v>
      </c>
      <c r="L56" s="1511">
        <v>10</v>
      </c>
      <c r="M56" s="1507">
        <f t="shared" si="3"/>
        <v>23000</v>
      </c>
      <c r="N56" s="1489">
        <v>4</v>
      </c>
      <c r="O56" s="1480">
        <v>6</v>
      </c>
      <c r="P56" s="1483">
        <f t="shared" si="4"/>
        <v>13800</v>
      </c>
    </row>
    <row r="57" spans="1:16" s="452" customFormat="1" ht="24">
      <c r="A57" s="1479" t="s">
        <v>4975</v>
      </c>
      <c r="B57" s="1480" t="s">
        <v>1880</v>
      </c>
      <c r="C57" s="1481" t="s">
        <v>504</v>
      </c>
      <c r="D57" s="1482" t="s">
        <v>4974</v>
      </c>
      <c r="E57" s="1512">
        <v>2600</v>
      </c>
      <c r="F57" s="1516" t="s">
        <v>5002</v>
      </c>
      <c r="G57" s="1505" t="s">
        <v>5001</v>
      </c>
      <c r="H57" s="1505" t="s">
        <v>5000</v>
      </c>
      <c r="I57" s="1487" t="s">
        <v>569</v>
      </c>
      <c r="J57" s="1514" t="s">
        <v>1790</v>
      </c>
      <c r="K57" s="1508">
        <v>4</v>
      </c>
      <c r="L57" s="1511">
        <v>10</v>
      </c>
      <c r="M57" s="1507">
        <f t="shared" si="3"/>
        <v>26000</v>
      </c>
      <c r="N57" s="1489">
        <v>4</v>
      </c>
      <c r="O57" s="1480">
        <v>6</v>
      </c>
      <c r="P57" s="1483">
        <f t="shared" si="4"/>
        <v>15600</v>
      </c>
    </row>
    <row r="58" spans="1:16" s="452" customFormat="1">
      <c r="A58" s="1479" t="s">
        <v>4975</v>
      </c>
      <c r="B58" s="1480" t="s">
        <v>4978</v>
      </c>
      <c r="C58" s="1481" t="s">
        <v>504</v>
      </c>
      <c r="D58" s="1482" t="s">
        <v>4974</v>
      </c>
      <c r="E58" s="1512">
        <v>2300</v>
      </c>
      <c r="F58" s="1518">
        <v>44156952</v>
      </c>
      <c r="G58" s="1519" t="s">
        <v>4999</v>
      </c>
      <c r="H58" s="1505" t="s">
        <v>787</v>
      </c>
      <c r="I58" s="1487" t="s">
        <v>569</v>
      </c>
      <c r="J58" s="1514" t="s">
        <v>4998</v>
      </c>
      <c r="K58" s="1508">
        <v>2</v>
      </c>
      <c r="L58" s="1511">
        <v>6</v>
      </c>
      <c r="M58" s="1507">
        <f t="shared" si="3"/>
        <v>13800</v>
      </c>
      <c r="N58" s="1489"/>
      <c r="O58" s="1480"/>
      <c r="P58" s="1483">
        <f t="shared" si="4"/>
        <v>0</v>
      </c>
    </row>
    <row r="59" spans="1:16" s="452" customFormat="1">
      <c r="A59" s="1479" t="s">
        <v>4975</v>
      </c>
      <c r="B59" s="1480" t="s">
        <v>1880</v>
      </c>
      <c r="C59" s="1481" t="s">
        <v>504</v>
      </c>
      <c r="D59" s="1482" t="s">
        <v>4974</v>
      </c>
      <c r="E59" s="1512">
        <v>2300</v>
      </c>
      <c r="F59" s="1513" t="s">
        <v>4997</v>
      </c>
      <c r="G59" s="1505" t="s">
        <v>4996</v>
      </c>
      <c r="H59" s="1505" t="s">
        <v>4980</v>
      </c>
      <c r="I59" s="1487" t="s">
        <v>569</v>
      </c>
      <c r="J59" s="1488" t="s">
        <v>4995</v>
      </c>
      <c r="K59" s="1508">
        <v>4</v>
      </c>
      <c r="L59" s="1511">
        <v>10</v>
      </c>
      <c r="M59" s="1507">
        <f t="shared" si="3"/>
        <v>23000</v>
      </c>
      <c r="N59" s="1489">
        <v>4</v>
      </c>
      <c r="O59" s="1480">
        <v>6</v>
      </c>
      <c r="P59" s="1483">
        <f t="shared" si="4"/>
        <v>13800</v>
      </c>
    </row>
    <row r="60" spans="1:16" s="452" customFormat="1" ht="24">
      <c r="A60" s="1479" t="s">
        <v>4975</v>
      </c>
      <c r="B60" s="1480" t="s">
        <v>4978</v>
      </c>
      <c r="C60" s="1481" t="s">
        <v>504</v>
      </c>
      <c r="D60" s="1482" t="s">
        <v>4974</v>
      </c>
      <c r="E60" s="1512">
        <v>2000</v>
      </c>
      <c r="F60" s="1501">
        <v>9363530</v>
      </c>
      <c r="G60" s="1505" t="s">
        <v>4994</v>
      </c>
      <c r="H60" s="1505" t="s">
        <v>604</v>
      </c>
      <c r="I60" s="1487" t="s">
        <v>569</v>
      </c>
      <c r="J60" s="1520" t="s">
        <v>4993</v>
      </c>
      <c r="K60" s="1508">
        <v>2</v>
      </c>
      <c r="L60" s="1511">
        <v>6</v>
      </c>
      <c r="M60" s="1507">
        <f t="shared" si="3"/>
        <v>12000</v>
      </c>
      <c r="N60" s="1489">
        <v>4</v>
      </c>
      <c r="O60" s="1480">
        <v>6</v>
      </c>
      <c r="P60" s="1483">
        <f t="shared" si="4"/>
        <v>12000</v>
      </c>
    </row>
    <row r="61" spans="1:16" s="452" customFormat="1">
      <c r="A61" s="1479" t="s">
        <v>4975</v>
      </c>
      <c r="B61" s="1480" t="s">
        <v>1880</v>
      </c>
      <c r="C61" s="1481" t="s">
        <v>504</v>
      </c>
      <c r="D61" s="1482" t="s">
        <v>4974</v>
      </c>
      <c r="E61" s="1512">
        <v>6000</v>
      </c>
      <c r="F61" s="1521" t="s">
        <v>4992</v>
      </c>
      <c r="G61" s="1505" t="s">
        <v>4991</v>
      </c>
      <c r="H61" s="1505" t="s">
        <v>1813</v>
      </c>
      <c r="I61" s="1487" t="s">
        <v>569</v>
      </c>
      <c r="J61" s="1514" t="s">
        <v>1571</v>
      </c>
      <c r="K61" s="1508">
        <v>2</v>
      </c>
      <c r="L61" s="1511">
        <v>6</v>
      </c>
      <c r="M61" s="1507">
        <f t="shared" si="3"/>
        <v>36000</v>
      </c>
      <c r="N61" s="1489">
        <v>4</v>
      </c>
      <c r="O61" s="1480">
        <v>6</v>
      </c>
      <c r="P61" s="1483">
        <f t="shared" si="4"/>
        <v>36000</v>
      </c>
    </row>
    <row r="62" spans="1:16" s="452" customFormat="1">
      <c r="A62" s="1479" t="s">
        <v>4975</v>
      </c>
      <c r="B62" s="1480" t="s">
        <v>4978</v>
      </c>
      <c r="C62" s="1481" t="s">
        <v>504</v>
      </c>
      <c r="D62" s="1482" t="s">
        <v>4974</v>
      </c>
      <c r="E62" s="1512">
        <v>2300</v>
      </c>
      <c r="F62" s="1522">
        <v>43529370</v>
      </c>
      <c r="G62" s="1505" t="s">
        <v>4990</v>
      </c>
      <c r="H62" s="1505" t="s">
        <v>787</v>
      </c>
      <c r="I62" s="1487" t="s">
        <v>569</v>
      </c>
      <c r="J62" s="1514" t="s">
        <v>4988</v>
      </c>
      <c r="K62" s="1508">
        <v>2</v>
      </c>
      <c r="L62" s="1511">
        <v>4</v>
      </c>
      <c r="M62" s="1507">
        <f t="shared" si="3"/>
        <v>9200</v>
      </c>
      <c r="N62" s="1489">
        <v>0</v>
      </c>
      <c r="O62" s="1480">
        <v>0</v>
      </c>
      <c r="P62" s="1483">
        <f t="shared" si="4"/>
        <v>0</v>
      </c>
    </row>
    <row r="63" spans="1:16" s="452" customFormat="1">
      <c r="A63" s="1479" t="s">
        <v>4975</v>
      </c>
      <c r="B63" s="1480" t="s">
        <v>4978</v>
      </c>
      <c r="C63" s="1481" t="s">
        <v>504</v>
      </c>
      <c r="D63" s="1482" t="s">
        <v>4974</v>
      </c>
      <c r="E63" s="1512">
        <v>2300</v>
      </c>
      <c r="F63" s="1522">
        <v>71248951</v>
      </c>
      <c r="G63" s="1505" t="s">
        <v>4989</v>
      </c>
      <c r="H63" s="1505" t="s">
        <v>787</v>
      </c>
      <c r="I63" s="1487" t="s">
        <v>569</v>
      </c>
      <c r="J63" s="1514" t="s">
        <v>4988</v>
      </c>
      <c r="K63" s="1508">
        <v>2</v>
      </c>
      <c r="L63" s="1511">
        <v>4</v>
      </c>
      <c r="M63" s="1507">
        <f t="shared" si="3"/>
        <v>9200</v>
      </c>
      <c r="N63" s="1489">
        <v>0</v>
      </c>
      <c r="O63" s="1480">
        <v>0</v>
      </c>
      <c r="P63" s="1483">
        <f t="shared" si="4"/>
        <v>0</v>
      </c>
    </row>
    <row r="64" spans="1:16" s="452" customFormat="1">
      <c r="A64" s="1479" t="s">
        <v>4975</v>
      </c>
      <c r="B64" s="1480" t="s">
        <v>1880</v>
      </c>
      <c r="C64" s="1481" t="s">
        <v>504</v>
      </c>
      <c r="D64" s="1482" t="s">
        <v>4974</v>
      </c>
      <c r="E64" s="1512">
        <v>2300</v>
      </c>
      <c r="F64" s="1523">
        <v>44463712</v>
      </c>
      <c r="G64" s="1505" t="s">
        <v>4987</v>
      </c>
      <c r="H64" s="1505" t="s">
        <v>4301</v>
      </c>
      <c r="I64" s="1487" t="s">
        <v>569</v>
      </c>
      <c r="J64" s="1514" t="s">
        <v>4301</v>
      </c>
      <c r="K64" s="1508">
        <v>2</v>
      </c>
      <c r="L64" s="1511">
        <v>4</v>
      </c>
      <c r="M64" s="1507">
        <f t="shared" si="3"/>
        <v>9200</v>
      </c>
      <c r="N64" s="1489">
        <v>4</v>
      </c>
      <c r="O64" s="1480">
        <v>6</v>
      </c>
      <c r="P64" s="1483">
        <f t="shared" si="4"/>
        <v>13800</v>
      </c>
    </row>
    <row r="65" spans="1:16" s="452" customFormat="1">
      <c r="A65" s="1479" t="s">
        <v>4975</v>
      </c>
      <c r="B65" s="1480" t="s">
        <v>1880</v>
      </c>
      <c r="C65" s="1481" t="s">
        <v>504</v>
      </c>
      <c r="D65" s="1482" t="s">
        <v>4974</v>
      </c>
      <c r="E65" s="1512">
        <v>2300</v>
      </c>
      <c r="F65" s="1523">
        <v>76806564</v>
      </c>
      <c r="G65" s="1524" t="s">
        <v>4986</v>
      </c>
      <c r="H65" s="1505" t="s">
        <v>4982</v>
      </c>
      <c r="I65" s="1487" t="s">
        <v>569</v>
      </c>
      <c r="J65" s="1514" t="s">
        <v>4982</v>
      </c>
      <c r="K65" s="1508">
        <v>2</v>
      </c>
      <c r="L65" s="1511">
        <v>3</v>
      </c>
      <c r="M65" s="1507">
        <f t="shared" si="3"/>
        <v>6900</v>
      </c>
      <c r="N65" s="1489">
        <v>4</v>
      </c>
      <c r="O65" s="1480">
        <v>6</v>
      </c>
      <c r="P65" s="1483">
        <f t="shared" si="4"/>
        <v>13800</v>
      </c>
    </row>
    <row r="66" spans="1:16" s="452" customFormat="1">
      <c r="A66" s="1479" t="s">
        <v>4975</v>
      </c>
      <c r="B66" s="1480" t="s">
        <v>1880</v>
      </c>
      <c r="C66" s="1481" t="s">
        <v>504</v>
      </c>
      <c r="D66" s="1482" t="s">
        <v>4974</v>
      </c>
      <c r="E66" s="1512">
        <v>2300</v>
      </c>
      <c r="F66" s="1525">
        <v>43876600</v>
      </c>
      <c r="G66" s="1526" t="s">
        <v>4985</v>
      </c>
      <c r="H66" s="1505" t="s">
        <v>4984</v>
      </c>
      <c r="I66" s="1487" t="s">
        <v>569</v>
      </c>
      <c r="J66" s="1514" t="s">
        <v>4984</v>
      </c>
      <c r="K66" s="1508">
        <v>0</v>
      </c>
      <c r="L66" s="1527">
        <v>0</v>
      </c>
      <c r="M66" s="1507">
        <f t="shared" si="3"/>
        <v>0</v>
      </c>
      <c r="N66" s="1489">
        <v>3</v>
      </c>
      <c r="O66" s="1480">
        <v>5</v>
      </c>
      <c r="P66" s="1483">
        <f t="shared" si="4"/>
        <v>11500</v>
      </c>
    </row>
    <row r="67" spans="1:16" s="452" customFormat="1">
      <c r="A67" s="1479" t="s">
        <v>4975</v>
      </c>
      <c r="B67" s="1480" t="s">
        <v>4978</v>
      </c>
      <c r="C67" s="1481" t="s">
        <v>504</v>
      </c>
      <c r="D67" s="1482" t="s">
        <v>4974</v>
      </c>
      <c r="E67" s="1512">
        <v>2300</v>
      </c>
      <c r="F67" s="1525">
        <v>44834409</v>
      </c>
      <c r="G67" s="1526" t="s">
        <v>4983</v>
      </c>
      <c r="H67" s="1505" t="s">
        <v>4982</v>
      </c>
      <c r="I67" s="1487" t="s">
        <v>569</v>
      </c>
      <c r="J67" s="1514" t="s">
        <v>4982</v>
      </c>
      <c r="K67" s="1508">
        <v>0</v>
      </c>
      <c r="L67" s="1527">
        <v>0</v>
      </c>
      <c r="M67" s="1507">
        <f t="shared" si="3"/>
        <v>0</v>
      </c>
      <c r="N67" s="1489">
        <v>3</v>
      </c>
      <c r="O67" s="1480">
        <v>5</v>
      </c>
      <c r="P67" s="1483">
        <f t="shared" si="4"/>
        <v>11500</v>
      </c>
    </row>
    <row r="68" spans="1:16" s="452" customFormat="1" ht="24">
      <c r="A68" s="1479" t="s">
        <v>4975</v>
      </c>
      <c r="B68" s="1480" t="s">
        <v>4978</v>
      </c>
      <c r="C68" s="1481" t="s">
        <v>504</v>
      </c>
      <c r="D68" s="1482" t="s">
        <v>4974</v>
      </c>
      <c r="E68" s="1512">
        <v>1800</v>
      </c>
      <c r="F68" s="1525">
        <v>75094234</v>
      </c>
      <c r="G68" s="1526" t="s">
        <v>4981</v>
      </c>
      <c r="H68" s="1505" t="s">
        <v>4980</v>
      </c>
      <c r="I68" s="1487" t="s">
        <v>569</v>
      </c>
      <c r="J68" s="1514" t="s">
        <v>4979</v>
      </c>
      <c r="K68" s="1508">
        <v>0</v>
      </c>
      <c r="L68" s="1527">
        <v>0</v>
      </c>
      <c r="M68" s="1507">
        <f t="shared" si="3"/>
        <v>0</v>
      </c>
      <c r="N68" s="1489">
        <v>3</v>
      </c>
      <c r="O68" s="1480">
        <v>5</v>
      </c>
      <c r="P68" s="1483">
        <f t="shared" si="4"/>
        <v>9000</v>
      </c>
    </row>
    <row r="69" spans="1:16" s="452" customFormat="1">
      <c r="A69" s="1479" t="s">
        <v>4975</v>
      </c>
      <c r="B69" s="1480" t="s">
        <v>4978</v>
      </c>
      <c r="C69" s="1481" t="s">
        <v>504</v>
      </c>
      <c r="D69" s="1482" t="s">
        <v>4974</v>
      </c>
      <c r="E69" s="1512">
        <v>1500</v>
      </c>
      <c r="F69" s="1523">
        <v>71653414</v>
      </c>
      <c r="G69" s="1526" t="s">
        <v>4977</v>
      </c>
      <c r="H69" s="1505" t="s">
        <v>2051</v>
      </c>
      <c r="I69" s="1505" t="s">
        <v>618</v>
      </c>
      <c r="J69" s="1488" t="s">
        <v>4976</v>
      </c>
      <c r="K69" s="1508">
        <v>0</v>
      </c>
      <c r="L69" s="1527">
        <v>0</v>
      </c>
      <c r="M69" s="1507">
        <f t="shared" si="3"/>
        <v>0</v>
      </c>
      <c r="N69" s="1489">
        <v>3</v>
      </c>
      <c r="O69" s="1480">
        <v>5</v>
      </c>
      <c r="P69" s="1483">
        <f t="shared" si="4"/>
        <v>7500</v>
      </c>
    </row>
    <row r="70" spans="1:16" s="452" customFormat="1" ht="24.75" thickBot="1">
      <c r="A70" s="1528" t="s">
        <v>4975</v>
      </c>
      <c r="B70" s="1480" t="s">
        <v>1880</v>
      </c>
      <c r="C70" s="1529" t="s">
        <v>504</v>
      </c>
      <c r="D70" s="1530" t="s">
        <v>4974</v>
      </c>
      <c r="E70" s="1531">
        <v>2300</v>
      </c>
      <c r="F70" s="1523">
        <v>72716240</v>
      </c>
      <c r="G70" s="1526" t="s">
        <v>4973</v>
      </c>
      <c r="H70" s="1505" t="s">
        <v>4972</v>
      </c>
      <c r="I70" s="1487" t="s">
        <v>569</v>
      </c>
      <c r="J70" s="1514" t="s">
        <v>4971</v>
      </c>
      <c r="K70" s="1508">
        <v>0</v>
      </c>
      <c r="L70" s="1527">
        <v>0</v>
      </c>
      <c r="M70" s="1507">
        <f t="shared" ref="M70" si="5">+L70*E70</f>
        <v>0</v>
      </c>
      <c r="N70" s="1489">
        <v>3</v>
      </c>
      <c r="O70" s="1480">
        <v>5</v>
      </c>
      <c r="P70" s="1483">
        <f t="shared" si="4"/>
        <v>11500</v>
      </c>
    </row>
    <row r="71" spans="1:16" ht="12.75" thickBot="1">
      <c r="A71" s="1209" t="s">
        <v>4970</v>
      </c>
      <c r="B71" s="1230"/>
      <c r="C71" s="1230"/>
      <c r="D71" s="1207"/>
      <c r="E71" s="1231"/>
      <c r="F71" s="1209"/>
      <c r="G71" s="1207"/>
      <c r="H71" s="1207"/>
      <c r="I71" s="1210"/>
      <c r="J71" s="1211"/>
      <c r="K71" s="1212"/>
      <c r="L71" s="1213"/>
      <c r="M71" s="1532">
        <f>SUM(M6:M70)</f>
        <v>1338992</v>
      </c>
      <c r="N71" s="1392"/>
      <c r="O71" s="1393"/>
      <c r="P71" s="1532">
        <f>SUM(P6:P70)</f>
        <v>636096</v>
      </c>
    </row>
    <row r="72" spans="1:16" ht="24">
      <c r="A72" s="445" t="s">
        <v>449</v>
      </c>
      <c r="B72" s="445"/>
      <c r="C72" s="445"/>
      <c r="D72" s="445"/>
      <c r="E72" s="445"/>
      <c r="F72" s="445"/>
      <c r="G72" s="445"/>
      <c r="H72" s="445"/>
      <c r="I72" s="445"/>
      <c r="J72" s="445"/>
      <c r="K72" s="1136"/>
      <c r="L72" s="1136"/>
      <c r="M72" s="445"/>
      <c r="N72" s="445"/>
      <c r="O72" s="445"/>
      <c r="P72" s="445"/>
    </row>
    <row r="73" spans="1:16">
      <c r="A73" s="445"/>
      <c r="B73" s="445"/>
      <c r="C73" s="445"/>
      <c r="D73" s="445"/>
      <c r="E73" s="445"/>
      <c r="F73" s="445"/>
      <c r="G73" s="445"/>
      <c r="H73" s="445"/>
      <c r="I73" s="445"/>
      <c r="J73" s="445"/>
      <c r="K73" s="1136"/>
      <c r="L73" s="1136"/>
      <c r="M73" s="445"/>
      <c r="N73" s="445"/>
      <c r="O73" s="445"/>
      <c r="P73" s="445"/>
    </row>
    <row r="74" spans="1:16">
      <c r="A74" s="445"/>
      <c r="B74" s="445"/>
      <c r="C74" s="445"/>
      <c r="D74" s="445"/>
      <c r="E74" s="445"/>
      <c r="F74" s="445"/>
      <c r="G74" s="445"/>
      <c r="H74" s="445"/>
      <c r="I74" s="445"/>
      <c r="J74" s="445"/>
      <c r="K74" s="1136"/>
      <c r="L74" s="1136"/>
      <c r="M74" s="445"/>
      <c r="N74" s="445"/>
      <c r="O74" s="445"/>
      <c r="P74" s="445"/>
    </row>
    <row r="75" spans="1:16">
      <c r="A75" s="445"/>
      <c r="B75" s="445"/>
      <c r="C75" s="445"/>
      <c r="D75" s="445"/>
      <c r="E75" s="445"/>
      <c r="F75" s="445"/>
      <c r="G75" s="445"/>
      <c r="H75" s="445"/>
      <c r="I75" s="445"/>
      <c r="J75" s="445"/>
      <c r="K75" s="1136"/>
      <c r="L75" s="1136"/>
      <c r="M75" s="445"/>
      <c r="N75" s="445"/>
      <c r="O75" s="445"/>
      <c r="P75" s="445"/>
    </row>
    <row r="76" spans="1:16">
      <c r="A76" s="445"/>
      <c r="B76" s="445"/>
      <c r="C76" s="445"/>
      <c r="D76" s="445"/>
      <c r="E76" s="445"/>
      <c r="F76" s="445"/>
      <c r="G76" s="445"/>
      <c r="H76" s="445"/>
      <c r="I76" s="445"/>
      <c r="J76" s="445"/>
      <c r="K76" s="1136"/>
      <c r="L76" s="1136"/>
      <c r="M76" s="445"/>
      <c r="N76" s="445"/>
      <c r="O76" s="445"/>
      <c r="P76" s="445"/>
    </row>
    <row r="77" spans="1:16">
      <c r="A77" s="445"/>
      <c r="B77" s="445"/>
      <c r="C77" s="445"/>
      <c r="D77" s="445"/>
      <c r="E77" s="445"/>
      <c r="F77" s="445"/>
      <c r="G77" s="445"/>
      <c r="H77" s="445"/>
      <c r="I77" s="445"/>
      <c r="J77" s="445"/>
      <c r="K77" s="1136"/>
      <c r="L77" s="1136"/>
      <c r="M77" s="445"/>
      <c r="N77" s="445"/>
      <c r="O77" s="445"/>
      <c r="P77" s="445"/>
    </row>
    <row r="78" spans="1:16">
      <c r="A78" s="445"/>
      <c r="B78" s="445"/>
      <c r="C78" s="445"/>
      <c r="D78" s="445"/>
      <c r="E78" s="445"/>
      <c r="F78" s="445"/>
      <c r="G78" s="445"/>
      <c r="H78" s="445"/>
      <c r="I78" s="445"/>
      <c r="J78" s="445"/>
      <c r="K78" s="1136"/>
      <c r="L78" s="1136"/>
      <c r="M78" s="445"/>
      <c r="N78" s="445"/>
      <c r="O78" s="445"/>
      <c r="P78" s="445"/>
    </row>
    <row r="79" spans="1:16">
      <c r="A79" s="445"/>
      <c r="B79" s="445"/>
      <c r="C79" s="445"/>
      <c r="D79" s="445"/>
      <c r="E79" s="445"/>
      <c r="F79" s="445"/>
      <c r="G79" s="445"/>
      <c r="H79" s="445"/>
      <c r="I79" s="445"/>
      <c r="J79" s="445"/>
      <c r="K79" s="1136"/>
      <c r="L79" s="1136"/>
      <c r="M79" s="445"/>
      <c r="N79" s="445"/>
      <c r="O79" s="445"/>
      <c r="P79" s="445"/>
    </row>
    <row r="80" spans="1:16">
      <c r="A80" s="445"/>
      <c r="B80" s="445"/>
      <c r="C80" s="445"/>
      <c r="D80" s="445"/>
      <c r="E80" s="445"/>
      <c r="F80" s="445"/>
      <c r="G80" s="445"/>
      <c r="H80" s="445"/>
      <c r="I80" s="445"/>
      <c r="J80" s="445"/>
      <c r="K80" s="1136"/>
      <c r="L80" s="1136"/>
      <c r="M80" s="445"/>
      <c r="N80" s="445"/>
      <c r="O80" s="445"/>
      <c r="P80" s="445"/>
    </row>
    <row r="81" spans="1:16">
      <c r="A81" s="445"/>
      <c r="B81" s="445"/>
      <c r="C81" s="445"/>
      <c r="D81" s="445"/>
      <c r="E81" s="445"/>
      <c r="F81" s="445"/>
      <c r="G81" s="445"/>
      <c r="H81" s="445"/>
      <c r="I81" s="445"/>
      <c r="J81" s="445"/>
      <c r="K81" s="1136"/>
      <c r="L81" s="1136"/>
      <c r="M81" s="445"/>
      <c r="N81" s="445"/>
      <c r="O81" s="445"/>
      <c r="P81" s="445"/>
    </row>
    <row r="82" spans="1:16">
      <c r="A82" s="445"/>
      <c r="B82" s="445"/>
      <c r="C82" s="445"/>
      <c r="D82" s="445"/>
      <c r="E82" s="445"/>
      <c r="F82" s="445"/>
      <c r="G82" s="445"/>
      <c r="H82" s="445"/>
      <c r="I82" s="445"/>
      <c r="J82" s="445"/>
      <c r="K82" s="1136"/>
      <c r="L82" s="1136"/>
      <c r="M82" s="445"/>
      <c r="N82" s="445"/>
      <c r="O82" s="445"/>
      <c r="P82" s="445"/>
    </row>
    <row r="83" spans="1:16">
      <c r="A83" s="445"/>
      <c r="B83" s="445"/>
      <c r="C83" s="445"/>
      <c r="D83" s="445"/>
      <c r="E83" s="445"/>
      <c r="F83" s="445"/>
      <c r="G83" s="445"/>
      <c r="H83" s="445"/>
      <c r="I83" s="445"/>
      <c r="J83" s="445"/>
      <c r="K83" s="1136"/>
      <c r="L83" s="1136"/>
      <c r="M83" s="445"/>
      <c r="N83" s="445"/>
      <c r="O83" s="445"/>
      <c r="P83" s="445"/>
    </row>
    <row r="84" spans="1:16">
      <c r="A84" s="445"/>
      <c r="B84" s="445"/>
      <c r="C84" s="445"/>
      <c r="D84" s="445"/>
      <c r="E84" s="445"/>
      <c r="F84" s="445"/>
      <c r="G84" s="445"/>
      <c r="H84" s="445"/>
      <c r="I84" s="445"/>
      <c r="J84" s="445"/>
      <c r="K84" s="1136"/>
      <c r="L84" s="1136"/>
      <c r="M84" s="445"/>
      <c r="N84" s="445"/>
      <c r="O84" s="445"/>
      <c r="P84" s="445"/>
    </row>
    <row r="85" spans="1:16">
      <c r="A85" s="445"/>
      <c r="B85" s="445"/>
      <c r="C85" s="445"/>
      <c r="D85" s="445"/>
      <c r="E85" s="445"/>
      <c r="F85" s="445"/>
      <c r="G85" s="445"/>
      <c r="H85" s="445"/>
      <c r="I85" s="445"/>
      <c r="J85" s="445"/>
      <c r="K85" s="1136"/>
      <c r="L85" s="1136"/>
      <c r="M85" s="445"/>
      <c r="N85" s="445"/>
      <c r="O85" s="445"/>
      <c r="P85" s="445"/>
    </row>
    <row r="86" spans="1:16">
      <c r="A86" s="445"/>
      <c r="B86" s="445"/>
      <c r="C86" s="445"/>
      <c r="D86" s="445"/>
      <c r="E86" s="445"/>
      <c r="F86" s="445"/>
      <c r="G86" s="445"/>
      <c r="H86" s="445"/>
      <c r="I86" s="445"/>
      <c r="J86" s="445"/>
      <c r="K86" s="1136"/>
      <c r="L86" s="1136"/>
      <c r="M86" s="445"/>
      <c r="N86" s="445"/>
      <c r="O86" s="445"/>
      <c r="P86" s="445"/>
    </row>
    <row r="87" spans="1:16">
      <c r="A87" s="445"/>
      <c r="B87" s="445"/>
      <c r="C87" s="445"/>
      <c r="D87" s="445"/>
      <c r="E87" s="445"/>
      <c r="F87" s="445"/>
      <c r="G87" s="445"/>
      <c r="H87" s="445"/>
      <c r="I87" s="445"/>
      <c r="J87" s="445"/>
      <c r="K87" s="1136"/>
      <c r="L87" s="1136"/>
      <c r="M87" s="445"/>
      <c r="N87" s="445"/>
      <c r="O87" s="445"/>
      <c r="P87" s="445"/>
    </row>
    <row r="88" spans="1:16">
      <c r="A88" s="445"/>
      <c r="B88" s="445"/>
      <c r="C88" s="445"/>
      <c r="D88" s="445"/>
      <c r="E88" s="445"/>
      <c r="F88" s="445"/>
      <c r="G88" s="445"/>
      <c r="H88" s="445"/>
      <c r="I88" s="445"/>
      <c r="J88" s="445"/>
      <c r="K88" s="1136"/>
      <c r="L88" s="1136"/>
      <c r="M88" s="445"/>
      <c r="N88" s="445"/>
      <c r="O88" s="445"/>
      <c r="P88" s="445"/>
    </row>
    <row r="89" spans="1:16">
      <c r="A89" s="445"/>
      <c r="B89" s="445"/>
      <c r="C89" s="445"/>
      <c r="D89" s="445"/>
      <c r="E89" s="445"/>
      <c r="F89" s="445"/>
      <c r="G89" s="445"/>
      <c r="H89" s="445"/>
      <c r="I89" s="445"/>
      <c r="J89" s="445"/>
      <c r="K89" s="1136"/>
      <c r="L89" s="1136"/>
      <c r="M89" s="445"/>
      <c r="N89" s="445"/>
      <c r="O89" s="445"/>
      <c r="P89" s="445"/>
    </row>
    <row r="90" spans="1:16">
      <c r="A90" s="445"/>
      <c r="B90" s="445"/>
      <c r="C90" s="445"/>
      <c r="D90" s="445"/>
      <c r="E90" s="445"/>
      <c r="F90" s="445"/>
      <c r="G90" s="445"/>
      <c r="H90" s="445"/>
      <c r="I90" s="445"/>
      <c r="J90" s="445"/>
      <c r="K90" s="1136"/>
      <c r="L90" s="1136"/>
      <c r="M90" s="445"/>
      <c r="N90" s="445"/>
      <c r="O90" s="445"/>
      <c r="P90" s="445"/>
    </row>
    <row r="91" spans="1:16">
      <c r="A91" s="445"/>
      <c r="B91" s="445"/>
      <c r="C91" s="445"/>
      <c r="D91" s="445"/>
      <c r="E91" s="445"/>
      <c r="F91" s="445"/>
      <c r="G91" s="445"/>
      <c r="H91" s="445"/>
      <c r="I91" s="445"/>
      <c r="J91" s="445"/>
      <c r="K91" s="1136"/>
      <c r="L91" s="1136"/>
      <c r="M91" s="445"/>
      <c r="N91" s="445"/>
      <c r="O91" s="445"/>
      <c r="P91" s="445"/>
    </row>
    <row r="92" spans="1:16">
      <c r="A92" s="445"/>
      <c r="B92" s="445"/>
      <c r="C92" s="445"/>
      <c r="D92" s="445"/>
      <c r="E92" s="445"/>
      <c r="F92" s="445"/>
      <c r="G92" s="445"/>
      <c r="H92" s="445"/>
      <c r="I92" s="445"/>
      <c r="J92" s="445"/>
      <c r="K92" s="1136"/>
      <c r="L92" s="1136"/>
      <c r="M92" s="445"/>
      <c r="N92" s="445"/>
      <c r="O92" s="445"/>
      <c r="P92" s="445"/>
    </row>
    <row r="93" spans="1:16">
      <c r="A93" s="445"/>
      <c r="B93" s="445"/>
      <c r="C93" s="445"/>
      <c r="D93" s="445"/>
      <c r="E93" s="445"/>
      <c r="F93" s="445"/>
      <c r="G93" s="445"/>
      <c r="H93" s="445"/>
      <c r="I93" s="445"/>
      <c r="J93" s="445"/>
      <c r="K93" s="1136"/>
      <c r="L93" s="1136"/>
      <c r="M93" s="445"/>
      <c r="N93" s="445"/>
      <c r="O93" s="445"/>
      <c r="P93" s="445"/>
    </row>
    <row r="94" spans="1:16">
      <c r="A94" s="445"/>
      <c r="B94" s="445"/>
      <c r="C94" s="445"/>
      <c r="D94" s="445"/>
      <c r="E94" s="445"/>
      <c r="F94" s="445"/>
      <c r="G94" s="445"/>
      <c r="H94" s="445"/>
      <c r="I94" s="445"/>
      <c r="J94" s="445"/>
      <c r="K94" s="1136"/>
      <c r="L94" s="1136"/>
      <c r="M94" s="445"/>
      <c r="N94" s="445"/>
      <c r="O94" s="445"/>
      <c r="P94" s="445"/>
    </row>
    <row r="95" spans="1:16">
      <c r="A95" s="445"/>
      <c r="B95" s="445"/>
      <c r="C95" s="445"/>
      <c r="D95" s="445"/>
      <c r="E95" s="445"/>
      <c r="F95" s="445"/>
      <c r="G95" s="445"/>
      <c r="H95" s="445"/>
      <c r="I95" s="445"/>
      <c r="J95" s="445"/>
      <c r="K95" s="1136"/>
      <c r="L95" s="1136"/>
      <c r="M95" s="445"/>
      <c r="N95" s="445"/>
      <c r="O95" s="445"/>
      <c r="P95" s="445"/>
    </row>
    <row r="96" spans="1:16">
      <c r="A96" s="445"/>
      <c r="B96" s="445"/>
      <c r="C96" s="445"/>
      <c r="D96" s="445"/>
      <c r="E96" s="445"/>
      <c r="F96" s="445"/>
      <c r="G96" s="445"/>
      <c r="H96" s="445"/>
      <c r="I96" s="445"/>
      <c r="J96" s="445"/>
      <c r="K96" s="1136"/>
      <c r="L96" s="1136"/>
      <c r="M96" s="445"/>
      <c r="N96" s="445"/>
      <c r="O96" s="445"/>
      <c r="P96" s="445"/>
    </row>
    <row r="97" spans="1:16">
      <c r="A97" s="445"/>
      <c r="B97" s="445"/>
      <c r="C97" s="445"/>
      <c r="D97" s="445"/>
      <c r="E97" s="445"/>
      <c r="F97" s="445"/>
      <c r="G97" s="445"/>
      <c r="H97" s="445"/>
      <c r="I97" s="445"/>
      <c r="J97" s="445"/>
      <c r="K97" s="1136"/>
      <c r="L97" s="1136"/>
      <c r="M97" s="445"/>
      <c r="N97" s="445"/>
      <c r="O97" s="445"/>
      <c r="P97" s="445"/>
    </row>
    <row r="98" spans="1:16">
      <c r="A98" s="445"/>
      <c r="B98" s="445"/>
      <c r="C98" s="445"/>
      <c r="D98" s="445"/>
      <c r="E98" s="445"/>
      <c r="F98" s="445"/>
      <c r="G98" s="445"/>
      <c r="H98" s="445"/>
      <c r="I98" s="445"/>
      <c r="J98" s="445"/>
      <c r="K98" s="1136"/>
      <c r="L98" s="1136"/>
      <c r="M98" s="445"/>
      <c r="N98" s="445"/>
      <c r="O98" s="445"/>
      <c r="P98" s="445"/>
    </row>
    <row r="99" spans="1:16">
      <c r="A99" s="445"/>
      <c r="B99" s="445"/>
      <c r="C99" s="445"/>
      <c r="D99" s="445"/>
      <c r="E99" s="445"/>
      <c r="F99" s="445"/>
      <c r="G99" s="445"/>
      <c r="H99" s="445"/>
      <c r="I99" s="445"/>
      <c r="J99" s="445"/>
      <c r="K99" s="1136"/>
      <c r="L99" s="1136"/>
      <c r="M99" s="445"/>
      <c r="N99" s="445"/>
      <c r="O99" s="445"/>
      <c r="P99" s="445"/>
    </row>
    <row r="100" spans="1:16">
      <c r="A100" s="445"/>
      <c r="B100" s="445"/>
      <c r="C100" s="445"/>
      <c r="D100" s="445"/>
      <c r="E100" s="445"/>
      <c r="F100" s="445"/>
      <c r="G100" s="445"/>
      <c r="H100" s="445"/>
      <c r="I100" s="445"/>
      <c r="J100" s="445"/>
      <c r="K100" s="1136"/>
      <c r="L100" s="1136"/>
      <c r="M100" s="445"/>
      <c r="N100" s="445"/>
      <c r="O100" s="445"/>
      <c r="P100" s="445"/>
    </row>
    <row r="101" spans="1:16">
      <c r="A101" s="445"/>
      <c r="B101" s="445"/>
      <c r="C101" s="445"/>
      <c r="D101" s="445"/>
      <c r="E101" s="445"/>
      <c r="F101" s="445"/>
      <c r="G101" s="445"/>
      <c r="H101" s="445"/>
      <c r="I101" s="445"/>
      <c r="J101" s="445"/>
      <c r="K101" s="1136"/>
      <c r="L101" s="1136"/>
      <c r="M101" s="445"/>
      <c r="N101" s="445"/>
      <c r="O101" s="445"/>
      <c r="P101" s="445"/>
    </row>
    <row r="102" spans="1:16">
      <c r="A102" s="445"/>
      <c r="B102" s="445"/>
      <c r="C102" s="445"/>
      <c r="D102" s="445"/>
      <c r="E102" s="445"/>
      <c r="F102" s="445"/>
      <c r="G102" s="445"/>
      <c r="H102" s="445"/>
      <c r="I102" s="445"/>
      <c r="J102" s="445"/>
      <c r="K102" s="1136"/>
      <c r="L102" s="1136"/>
      <c r="M102" s="445"/>
      <c r="N102" s="445"/>
      <c r="O102" s="445"/>
      <c r="P102" s="445"/>
    </row>
    <row r="103" spans="1:16">
      <c r="A103" s="445"/>
      <c r="B103" s="445"/>
      <c r="C103" s="445"/>
      <c r="D103" s="445"/>
      <c r="E103" s="445"/>
      <c r="F103" s="445"/>
      <c r="G103" s="445"/>
      <c r="H103" s="445"/>
      <c r="I103" s="445"/>
      <c r="J103" s="445"/>
      <c r="K103" s="1136"/>
      <c r="L103" s="1136"/>
      <c r="M103" s="445"/>
      <c r="N103" s="445"/>
      <c r="O103" s="445"/>
      <c r="P103" s="445"/>
    </row>
    <row r="104" spans="1:16">
      <c r="A104" s="445"/>
      <c r="B104" s="445"/>
      <c r="C104" s="445"/>
      <c r="D104" s="445"/>
      <c r="E104" s="445"/>
      <c r="F104" s="445"/>
      <c r="G104" s="445"/>
      <c r="H104" s="445"/>
      <c r="I104" s="445"/>
      <c r="J104" s="445"/>
      <c r="K104" s="1136"/>
      <c r="L104" s="1136"/>
      <c r="M104" s="445"/>
      <c r="N104" s="445"/>
      <c r="O104" s="445"/>
      <c r="P104" s="445"/>
    </row>
    <row r="105" spans="1:16">
      <c r="A105" s="445"/>
      <c r="B105" s="445"/>
      <c r="C105" s="445"/>
      <c r="D105" s="445"/>
      <c r="E105" s="445"/>
      <c r="F105" s="445"/>
      <c r="G105" s="445"/>
      <c r="H105" s="445"/>
      <c r="I105" s="445"/>
      <c r="J105" s="445"/>
      <c r="K105" s="1136"/>
      <c r="L105" s="1136"/>
      <c r="M105" s="445"/>
      <c r="N105" s="445"/>
      <c r="O105" s="445"/>
      <c r="P105" s="445"/>
    </row>
    <row r="106" spans="1:16">
      <c r="A106" s="445"/>
      <c r="B106" s="445"/>
      <c r="C106" s="445"/>
      <c r="D106" s="445"/>
      <c r="E106" s="445"/>
      <c r="F106" s="445"/>
      <c r="G106" s="445"/>
      <c r="H106" s="445"/>
      <c r="I106" s="445"/>
      <c r="J106" s="445"/>
      <c r="K106" s="1136"/>
      <c r="L106" s="1136"/>
      <c r="M106" s="445"/>
      <c r="N106" s="445"/>
      <c r="O106" s="445"/>
      <c r="P106" s="445"/>
    </row>
    <row r="107" spans="1:16">
      <c r="A107" s="445"/>
      <c r="B107" s="445"/>
      <c r="C107" s="445"/>
      <c r="D107" s="445"/>
      <c r="E107" s="445"/>
      <c r="F107" s="445"/>
      <c r="G107" s="445"/>
      <c r="H107" s="445"/>
      <c r="I107" s="445"/>
      <c r="J107" s="445"/>
      <c r="K107" s="1136"/>
      <c r="L107" s="1136"/>
      <c r="M107" s="445"/>
      <c r="N107" s="445"/>
      <c r="O107" s="445"/>
      <c r="P107" s="445"/>
    </row>
    <row r="108" spans="1:16">
      <c r="A108" s="445"/>
      <c r="B108" s="445"/>
      <c r="C108" s="445"/>
      <c r="D108" s="445"/>
      <c r="E108" s="445"/>
      <c r="F108" s="445"/>
      <c r="G108" s="445"/>
      <c r="H108" s="445"/>
      <c r="I108" s="445"/>
      <c r="J108" s="445"/>
      <c r="K108" s="1136"/>
      <c r="L108" s="1136"/>
      <c r="M108" s="445"/>
      <c r="N108" s="445"/>
      <c r="O108" s="445"/>
      <c r="P108" s="445"/>
    </row>
    <row r="109" spans="1:16">
      <c r="A109" s="445"/>
      <c r="B109" s="445"/>
      <c r="C109" s="445"/>
      <c r="D109" s="445"/>
      <c r="E109" s="445"/>
      <c r="F109" s="445"/>
      <c r="G109" s="445"/>
      <c r="H109" s="445"/>
      <c r="I109" s="445"/>
      <c r="J109" s="445"/>
      <c r="K109" s="1136"/>
      <c r="L109" s="1136"/>
      <c r="M109" s="445"/>
      <c r="N109" s="445"/>
      <c r="O109" s="445"/>
      <c r="P109" s="445"/>
    </row>
    <row r="110" spans="1:16">
      <c r="A110" s="445"/>
      <c r="B110" s="445"/>
      <c r="C110" s="445"/>
      <c r="D110" s="445"/>
      <c r="E110" s="445"/>
      <c r="F110" s="445"/>
      <c r="G110" s="445"/>
      <c r="H110" s="445"/>
      <c r="I110" s="445"/>
      <c r="J110" s="445"/>
      <c r="K110" s="1136"/>
      <c r="L110" s="1136"/>
      <c r="M110" s="445"/>
      <c r="N110" s="445"/>
      <c r="O110" s="445"/>
      <c r="P110" s="445"/>
    </row>
    <row r="111" spans="1:16">
      <c r="A111" s="445"/>
      <c r="B111" s="445"/>
      <c r="C111" s="445"/>
      <c r="D111" s="445"/>
      <c r="E111" s="445"/>
      <c r="F111" s="445"/>
      <c r="G111" s="445"/>
      <c r="H111" s="445"/>
      <c r="I111" s="445"/>
      <c r="J111" s="445"/>
      <c r="K111" s="1136"/>
      <c r="L111" s="1136"/>
      <c r="M111" s="445"/>
      <c r="N111" s="445"/>
      <c r="O111" s="445"/>
      <c r="P111" s="445"/>
    </row>
    <row r="112" spans="1:16">
      <c r="A112" s="445"/>
      <c r="B112" s="445"/>
      <c r="C112" s="445"/>
      <c r="D112" s="445"/>
      <c r="E112" s="445"/>
      <c r="F112" s="445"/>
      <c r="G112" s="445"/>
      <c r="H112" s="445"/>
      <c r="I112" s="445"/>
      <c r="J112" s="445"/>
      <c r="K112" s="1136"/>
      <c r="L112" s="1136"/>
      <c r="M112" s="445"/>
      <c r="N112" s="445"/>
      <c r="O112" s="445"/>
      <c r="P112" s="445"/>
    </row>
    <row r="113" spans="1:16">
      <c r="A113" s="445"/>
      <c r="B113" s="445"/>
      <c r="C113" s="445"/>
      <c r="D113" s="445"/>
      <c r="E113" s="445"/>
      <c r="F113" s="445"/>
      <c r="G113" s="445"/>
      <c r="H113" s="445"/>
      <c r="I113" s="445"/>
      <c r="J113" s="445"/>
      <c r="K113" s="1136"/>
      <c r="L113" s="1136"/>
      <c r="M113" s="445"/>
      <c r="N113" s="445"/>
      <c r="O113" s="445"/>
      <c r="P113" s="445"/>
    </row>
    <row r="114" spans="1:16">
      <c r="A114" s="445"/>
      <c r="B114" s="445"/>
      <c r="C114" s="445"/>
      <c r="D114" s="445"/>
      <c r="E114" s="445"/>
      <c r="F114" s="445"/>
      <c r="G114" s="445"/>
      <c r="H114" s="445"/>
      <c r="I114" s="445"/>
      <c r="J114" s="445"/>
      <c r="K114" s="1136"/>
      <c r="L114" s="1136"/>
      <c r="M114" s="445"/>
      <c r="N114" s="445"/>
      <c r="O114" s="445"/>
      <c r="P114" s="445"/>
    </row>
    <row r="115" spans="1:16">
      <c r="A115" s="445"/>
      <c r="B115" s="445"/>
      <c r="C115" s="445"/>
      <c r="D115" s="445"/>
      <c r="E115" s="445"/>
      <c r="F115" s="445"/>
      <c r="G115" s="445"/>
      <c r="H115" s="445"/>
      <c r="I115" s="445"/>
      <c r="J115" s="445"/>
      <c r="K115" s="1136"/>
      <c r="L115" s="1136"/>
      <c r="M115" s="445"/>
      <c r="N115" s="445"/>
      <c r="O115" s="445"/>
      <c r="P115" s="445"/>
    </row>
    <row r="116" spans="1:16">
      <c r="A116" s="445"/>
      <c r="B116" s="445"/>
      <c r="C116" s="445"/>
      <c r="D116" s="445"/>
      <c r="E116" s="445"/>
      <c r="F116" s="445"/>
      <c r="G116" s="445"/>
      <c r="H116" s="445"/>
      <c r="I116" s="445"/>
      <c r="J116" s="445"/>
      <c r="K116" s="1136"/>
      <c r="L116" s="1136"/>
      <c r="M116" s="445"/>
      <c r="N116" s="445"/>
      <c r="O116" s="445"/>
      <c r="P116" s="445"/>
    </row>
    <row r="117" spans="1:16">
      <c r="A117" s="445"/>
      <c r="B117" s="445"/>
      <c r="C117" s="445"/>
      <c r="D117" s="445"/>
      <c r="E117" s="445"/>
      <c r="F117" s="445"/>
      <c r="G117" s="445"/>
      <c r="H117" s="445"/>
      <c r="I117" s="445"/>
      <c r="J117" s="445"/>
      <c r="K117" s="1136"/>
      <c r="L117" s="1136"/>
      <c r="M117" s="445"/>
      <c r="N117" s="445"/>
      <c r="O117" s="445"/>
      <c r="P117" s="445"/>
    </row>
    <row r="118" spans="1:16">
      <c r="A118" s="445"/>
      <c r="B118" s="445"/>
      <c r="C118" s="445"/>
      <c r="D118" s="445"/>
      <c r="E118" s="445"/>
      <c r="F118" s="445"/>
      <c r="G118" s="445"/>
      <c r="H118" s="445"/>
      <c r="I118" s="445"/>
      <c r="J118" s="445"/>
      <c r="K118" s="1136"/>
      <c r="L118" s="1136"/>
      <c r="M118" s="445"/>
      <c r="N118" s="445"/>
      <c r="O118" s="445"/>
      <c r="P118" s="445"/>
    </row>
    <row r="119" spans="1:16">
      <c r="A119" s="445"/>
      <c r="B119" s="445"/>
      <c r="C119" s="445"/>
      <c r="D119" s="445"/>
      <c r="E119" s="445"/>
      <c r="F119" s="445"/>
      <c r="G119" s="445"/>
      <c r="H119" s="445"/>
      <c r="I119" s="445"/>
      <c r="J119" s="445"/>
      <c r="K119" s="1136"/>
      <c r="L119" s="1136"/>
      <c r="M119" s="445"/>
      <c r="N119" s="445"/>
      <c r="O119" s="445"/>
      <c r="P119" s="445"/>
    </row>
    <row r="120" spans="1:16">
      <c r="A120" s="445"/>
      <c r="B120" s="445"/>
      <c r="C120" s="445"/>
      <c r="D120" s="445"/>
      <c r="E120" s="445"/>
      <c r="F120" s="445"/>
      <c r="G120" s="445"/>
      <c r="H120" s="445"/>
      <c r="I120" s="445"/>
      <c r="J120" s="445"/>
      <c r="K120" s="1136"/>
      <c r="L120" s="1136"/>
      <c r="M120" s="445"/>
      <c r="N120" s="445"/>
      <c r="O120" s="445"/>
      <c r="P120" s="445"/>
    </row>
    <row r="121" spans="1:16">
      <c r="A121" s="445"/>
      <c r="B121" s="445"/>
      <c r="C121" s="445"/>
      <c r="D121" s="445"/>
      <c r="E121" s="445"/>
      <c r="F121" s="445"/>
      <c r="G121" s="445"/>
      <c r="H121" s="445"/>
      <c r="I121" s="445"/>
      <c r="J121" s="445"/>
      <c r="K121" s="1136"/>
      <c r="L121" s="1136"/>
      <c r="M121" s="445"/>
      <c r="N121" s="445"/>
      <c r="O121" s="445"/>
      <c r="P121" s="445"/>
    </row>
    <row r="122" spans="1:16">
      <c r="A122" s="445"/>
      <c r="B122" s="445"/>
      <c r="C122" s="445"/>
      <c r="D122" s="445"/>
      <c r="E122" s="445"/>
      <c r="F122" s="445"/>
      <c r="G122" s="445"/>
      <c r="H122" s="445"/>
      <c r="I122" s="445"/>
      <c r="J122" s="445"/>
      <c r="K122" s="1136"/>
      <c r="L122" s="1136"/>
      <c r="M122" s="445"/>
      <c r="N122" s="445"/>
      <c r="O122" s="445"/>
      <c r="P122" s="445"/>
    </row>
    <row r="123" spans="1:16">
      <c r="A123" s="445"/>
      <c r="B123" s="445"/>
      <c r="C123" s="445"/>
      <c r="D123" s="445"/>
      <c r="E123" s="445"/>
      <c r="F123" s="445"/>
      <c r="G123" s="445"/>
      <c r="H123" s="445"/>
      <c r="I123" s="445"/>
      <c r="J123" s="445"/>
      <c r="K123" s="1136"/>
      <c r="L123" s="1136"/>
      <c r="M123" s="445"/>
      <c r="N123" s="445"/>
      <c r="O123" s="445"/>
      <c r="P123" s="445"/>
    </row>
    <row r="124" spans="1:16">
      <c r="A124" s="445"/>
      <c r="B124" s="445"/>
      <c r="C124" s="445"/>
      <c r="D124" s="445"/>
      <c r="E124" s="445"/>
      <c r="F124" s="445"/>
      <c r="G124" s="445"/>
      <c r="H124" s="445"/>
      <c r="I124" s="445"/>
      <c r="J124" s="445"/>
      <c r="K124" s="1136"/>
      <c r="L124" s="1136"/>
      <c r="M124" s="445"/>
      <c r="N124" s="445"/>
      <c r="O124" s="445"/>
      <c r="P124" s="445"/>
    </row>
    <row r="125" spans="1:16">
      <c r="A125" s="445"/>
      <c r="B125" s="445"/>
      <c r="C125" s="445"/>
      <c r="D125" s="445"/>
      <c r="E125" s="445"/>
      <c r="F125" s="445"/>
      <c r="G125" s="445"/>
      <c r="H125" s="445"/>
      <c r="I125" s="445"/>
      <c r="J125" s="445"/>
      <c r="K125" s="1136"/>
      <c r="L125" s="1136"/>
      <c r="M125" s="445"/>
      <c r="N125" s="445"/>
      <c r="O125" s="445"/>
      <c r="P125" s="445"/>
    </row>
    <row r="126" spans="1:16">
      <c r="A126" s="445"/>
      <c r="B126" s="445"/>
      <c r="C126" s="445"/>
      <c r="D126" s="445"/>
      <c r="E126" s="445"/>
      <c r="F126" s="445"/>
      <c r="G126" s="445"/>
      <c r="H126" s="445"/>
      <c r="I126" s="445"/>
      <c r="J126" s="445"/>
      <c r="K126" s="1136"/>
      <c r="L126" s="1136"/>
      <c r="M126" s="445"/>
      <c r="N126" s="445"/>
      <c r="O126" s="445"/>
      <c r="P126" s="445"/>
    </row>
    <row r="127" spans="1:16">
      <c r="A127" s="445"/>
      <c r="B127" s="445"/>
      <c r="C127" s="445"/>
      <c r="D127" s="445"/>
      <c r="E127" s="445"/>
      <c r="F127" s="445"/>
      <c r="G127" s="445"/>
      <c r="H127" s="445"/>
      <c r="I127" s="445"/>
      <c r="J127" s="445"/>
      <c r="K127" s="1136"/>
      <c r="L127" s="1136"/>
      <c r="M127" s="445"/>
      <c r="N127" s="445"/>
      <c r="O127" s="445"/>
      <c r="P127" s="445"/>
    </row>
    <row r="128" spans="1:16">
      <c r="A128" s="445"/>
      <c r="B128" s="445"/>
      <c r="C128" s="445"/>
      <c r="D128" s="445"/>
      <c r="E128" s="445"/>
      <c r="F128" s="445"/>
      <c r="G128" s="445"/>
      <c r="H128" s="445"/>
      <c r="I128" s="445"/>
      <c r="J128" s="445"/>
      <c r="K128" s="1136"/>
      <c r="L128" s="1136"/>
      <c r="M128" s="445"/>
      <c r="N128" s="445"/>
      <c r="O128" s="445"/>
      <c r="P128" s="445"/>
    </row>
    <row r="129" spans="1:16">
      <c r="A129" s="445"/>
      <c r="B129" s="445"/>
      <c r="C129" s="445"/>
      <c r="D129" s="445"/>
      <c r="E129" s="445"/>
      <c r="F129" s="445"/>
      <c r="G129" s="445"/>
      <c r="H129" s="445"/>
      <c r="I129" s="445"/>
      <c r="J129" s="445"/>
      <c r="K129" s="1136"/>
      <c r="L129" s="1136"/>
      <c r="M129" s="445"/>
      <c r="N129" s="445"/>
      <c r="O129" s="445"/>
      <c r="P129" s="445"/>
    </row>
    <row r="130" spans="1:16">
      <c r="A130" s="445"/>
      <c r="B130" s="445"/>
      <c r="C130" s="445"/>
      <c r="D130" s="445"/>
      <c r="E130" s="445"/>
      <c r="F130" s="445"/>
      <c r="G130" s="445"/>
      <c r="H130" s="445"/>
      <c r="I130" s="445"/>
      <c r="J130" s="445"/>
      <c r="K130" s="1136"/>
      <c r="L130" s="1136"/>
      <c r="M130" s="445"/>
      <c r="N130" s="445"/>
      <c r="O130" s="445"/>
      <c r="P130" s="445"/>
    </row>
    <row r="131" spans="1:16">
      <c r="A131" s="445"/>
      <c r="B131" s="445"/>
      <c r="C131" s="445"/>
      <c r="D131" s="445"/>
      <c r="E131" s="445"/>
      <c r="F131" s="445"/>
      <c r="G131" s="445"/>
      <c r="H131" s="445"/>
      <c r="I131" s="445"/>
      <c r="J131" s="445"/>
      <c r="K131" s="1136"/>
      <c r="L131" s="1136"/>
      <c r="M131" s="445"/>
      <c r="N131" s="445"/>
      <c r="O131" s="445"/>
      <c r="P131" s="445"/>
    </row>
    <row r="132" spans="1:16">
      <c r="A132" s="445"/>
      <c r="B132" s="445"/>
      <c r="C132" s="445"/>
      <c r="D132" s="445"/>
      <c r="E132" s="445"/>
      <c r="F132" s="445"/>
      <c r="G132" s="445"/>
      <c r="H132" s="445"/>
      <c r="I132" s="445"/>
      <c r="J132" s="445"/>
      <c r="K132" s="1136"/>
      <c r="L132" s="1136"/>
      <c r="M132" s="445"/>
      <c r="N132" s="445"/>
      <c r="O132" s="445"/>
      <c r="P132" s="445"/>
    </row>
    <row r="133" spans="1:16">
      <c r="A133" s="445"/>
      <c r="B133" s="445"/>
      <c r="C133" s="445"/>
      <c r="D133" s="445"/>
      <c r="E133" s="445"/>
      <c r="F133" s="445"/>
      <c r="G133" s="445"/>
      <c r="H133" s="445"/>
      <c r="I133" s="445"/>
      <c r="J133" s="445"/>
      <c r="K133" s="1136"/>
      <c r="L133" s="1136"/>
      <c r="M133" s="445"/>
      <c r="N133" s="445"/>
      <c r="O133" s="445"/>
      <c r="P133" s="445"/>
    </row>
    <row r="134" spans="1:16">
      <c r="A134" s="445"/>
      <c r="B134" s="445"/>
      <c r="C134" s="445"/>
      <c r="D134" s="445"/>
      <c r="E134" s="445"/>
      <c r="F134" s="445"/>
      <c r="G134" s="445"/>
      <c r="H134" s="445"/>
      <c r="I134" s="445"/>
      <c r="J134" s="445"/>
      <c r="K134" s="1136"/>
      <c r="L134" s="1136"/>
      <c r="M134" s="445"/>
      <c r="N134" s="445"/>
      <c r="O134" s="445"/>
      <c r="P134" s="445"/>
    </row>
    <row r="135" spans="1:16">
      <c r="A135" s="445"/>
      <c r="B135" s="445"/>
      <c r="C135" s="445"/>
      <c r="D135" s="445"/>
      <c r="E135" s="445"/>
      <c r="F135" s="445"/>
      <c r="G135" s="445"/>
      <c r="H135" s="445"/>
      <c r="I135" s="445"/>
      <c r="J135" s="445"/>
      <c r="K135" s="1136"/>
      <c r="L135" s="1136"/>
      <c r="M135" s="445"/>
      <c r="N135" s="445"/>
      <c r="O135" s="445"/>
      <c r="P135" s="445"/>
    </row>
    <row r="136" spans="1:16">
      <c r="A136" s="445"/>
      <c r="B136" s="445"/>
      <c r="C136" s="445"/>
      <c r="D136" s="445"/>
      <c r="E136" s="445"/>
      <c r="F136" s="445"/>
      <c r="G136" s="445"/>
      <c r="H136" s="445"/>
      <c r="I136" s="445"/>
      <c r="J136" s="445"/>
      <c r="K136" s="1136"/>
      <c r="L136" s="1136"/>
      <c r="M136" s="445"/>
      <c r="N136" s="445"/>
      <c r="O136" s="445"/>
      <c r="P136" s="445"/>
    </row>
    <row r="137" spans="1:16">
      <c r="A137" s="445"/>
      <c r="B137" s="445"/>
      <c r="C137" s="445"/>
      <c r="D137" s="445"/>
      <c r="E137" s="445"/>
      <c r="F137" s="445"/>
      <c r="G137" s="445"/>
      <c r="H137" s="445"/>
      <c r="I137" s="445"/>
      <c r="J137" s="445"/>
      <c r="K137" s="1136"/>
      <c r="L137" s="1136"/>
      <c r="M137" s="445"/>
      <c r="N137" s="445"/>
      <c r="O137" s="445"/>
      <c r="P137" s="445"/>
    </row>
    <row r="138" spans="1:16">
      <c r="A138" s="445"/>
      <c r="B138" s="445"/>
      <c r="C138" s="445"/>
      <c r="D138" s="445"/>
      <c r="E138" s="445"/>
      <c r="F138" s="445"/>
      <c r="G138" s="445"/>
      <c r="H138" s="445"/>
      <c r="I138" s="445"/>
      <c r="J138" s="445"/>
      <c r="K138" s="1136"/>
      <c r="L138" s="1136"/>
      <c r="M138" s="445"/>
      <c r="N138" s="445"/>
      <c r="O138" s="445"/>
      <c r="P138" s="445"/>
    </row>
    <row r="139" spans="1:16">
      <c r="A139" s="445"/>
      <c r="B139" s="445"/>
      <c r="C139" s="445"/>
      <c r="D139" s="445"/>
      <c r="E139" s="445"/>
      <c r="F139" s="445"/>
      <c r="G139" s="445"/>
      <c r="H139" s="445"/>
      <c r="I139" s="445"/>
      <c r="J139" s="445"/>
      <c r="K139" s="1136"/>
      <c r="L139" s="1136"/>
      <c r="M139" s="445"/>
      <c r="N139" s="445"/>
      <c r="O139" s="445"/>
      <c r="P139" s="445"/>
    </row>
    <row r="140" spans="1:16">
      <c r="A140" s="445"/>
      <c r="B140" s="445"/>
      <c r="C140" s="445"/>
      <c r="D140" s="445"/>
      <c r="E140" s="445"/>
      <c r="F140" s="445"/>
      <c r="G140" s="445"/>
      <c r="H140" s="445"/>
      <c r="I140" s="445"/>
      <c r="J140" s="445"/>
      <c r="K140" s="1136"/>
      <c r="L140" s="1136"/>
      <c r="M140" s="445"/>
      <c r="N140" s="445"/>
      <c r="O140" s="445"/>
      <c r="P140" s="445"/>
    </row>
    <row r="141" spans="1:16">
      <c r="A141" s="445"/>
      <c r="B141" s="445"/>
      <c r="C141" s="445"/>
      <c r="D141" s="445"/>
      <c r="E141" s="445"/>
      <c r="F141" s="445"/>
      <c r="G141" s="445"/>
      <c r="H141" s="445"/>
      <c r="I141" s="445"/>
      <c r="J141" s="445"/>
      <c r="K141" s="1136"/>
      <c r="L141" s="1136"/>
      <c r="M141" s="445"/>
      <c r="N141" s="445"/>
      <c r="O141" s="445"/>
      <c r="P141" s="445"/>
    </row>
    <row r="142" spans="1:16">
      <c r="A142" s="445"/>
      <c r="B142" s="445"/>
      <c r="C142" s="445"/>
      <c r="D142" s="445"/>
      <c r="E142" s="445"/>
      <c r="F142" s="445"/>
      <c r="G142" s="445"/>
      <c r="H142" s="445"/>
      <c r="I142" s="445"/>
      <c r="J142" s="445"/>
      <c r="K142" s="1136"/>
      <c r="L142" s="1136"/>
      <c r="M142" s="445"/>
      <c r="N142" s="445"/>
      <c r="O142" s="445"/>
      <c r="P142" s="445"/>
    </row>
    <row r="143" spans="1:16">
      <c r="A143" s="445"/>
      <c r="B143" s="445"/>
      <c r="C143" s="445"/>
      <c r="D143" s="445"/>
      <c r="E143" s="445"/>
      <c r="F143" s="445"/>
      <c r="G143" s="445"/>
      <c r="H143" s="445"/>
      <c r="I143" s="445"/>
      <c r="J143" s="445"/>
      <c r="K143" s="1136"/>
      <c r="L143" s="1136"/>
      <c r="M143" s="445"/>
      <c r="N143" s="445"/>
      <c r="O143" s="445"/>
      <c r="P143" s="445"/>
    </row>
    <row r="144" spans="1:16">
      <c r="A144" s="445"/>
      <c r="B144" s="445"/>
      <c r="C144" s="445"/>
      <c r="D144" s="445"/>
      <c r="E144" s="445"/>
      <c r="F144" s="445"/>
      <c r="G144" s="445"/>
      <c r="H144" s="445"/>
      <c r="I144" s="445"/>
      <c r="J144" s="445"/>
      <c r="K144" s="1136"/>
      <c r="L144" s="1136"/>
      <c r="M144" s="445"/>
      <c r="N144" s="445"/>
      <c r="O144" s="445"/>
      <c r="P144" s="445"/>
    </row>
    <row r="145" spans="1:16">
      <c r="A145" s="445"/>
      <c r="B145" s="445"/>
      <c r="C145" s="445"/>
      <c r="D145" s="445"/>
      <c r="E145" s="445"/>
      <c r="F145" s="445"/>
      <c r="G145" s="445"/>
      <c r="H145" s="445"/>
      <c r="I145" s="445"/>
      <c r="J145" s="445"/>
      <c r="K145" s="1136"/>
      <c r="L145" s="1136"/>
      <c r="M145" s="445"/>
      <c r="N145" s="445"/>
      <c r="O145" s="445"/>
      <c r="P145" s="445"/>
    </row>
    <row r="146" spans="1:16">
      <c r="A146" s="445"/>
      <c r="B146" s="445"/>
      <c r="C146" s="445"/>
      <c r="D146" s="445"/>
      <c r="E146" s="445"/>
      <c r="F146" s="445"/>
      <c r="G146" s="445"/>
      <c r="H146" s="445"/>
      <c r="I146" s="445"/>
      <c r="J146" s="445"/>
      <c r="K146" s="1136"/>
      <c r="L146" s="1136"/>
      <c r="M146" s="445"/>
      <c r="N146" s="445"/>
      <c r="O146" s="445"/>
      <c r="P146" s="445"/>
    </row>
    <row r="147" spans="1:16">
      <c r="A147" s="445"/>
      <c r="B147" s="445"/>
      <c r="C147" s="445"/>
      <c r="D147" s="445"/>
      <c r="E147" s="445"/>
      <c r="F147" s="445"/>
      <c r="G147" s="445"/>
      <c r="H147" s="445"/>
      <c r="I147" s="445"/>
      <c r="J147" s="445"/>
      <c r="K147" s="1136"/>
      <c r="L147" s="1136"/>
      <c r="M147" s="445"/>
      <c r="N147" s="445"/>
      <c r="O147" s="445"/>
      <c r="P147" s="445"/>
    </row>
    <row r="148" spans="1:16">
      <c r="A148" s="445"/>
      <c r="B148" s="445"/>
      <c r="C148" s="445"/>
      <c r="D148" s="445"/>
      <c r="E148" s="445"/>
      <c r="F148" s="445"/>
      <c r="G148" s="445"/>
      <c r="H148" s="445"/>
      <c r="I148" s="445"/>
      <c r="J148" s="445"/>
      <c r="K148" s="1136"/>
      <c r="L148" s="1136"/>
      <c r="M148" s="445"/>
      <c r="N148" s="445"/>
      <c r="O148" s="445"/>
      <c r="P148" s="445"/>
    </row>
    <row r="149" spans="1:16">
      <c r="A149" s="445"/>
      <c r="B149" s="445"/>
      <c r="C149" s="445"/>
      <c r="D149" s="445"/>
      <c r="E149" s="445"/>
      <c r="F149" s="445"/>
      <c r="G149" s="445"/>
      <c r="H149" s="445"/>
      <c r="I149" s="445"/>
      <c r="J149" s="445"/>
      <c r="K149" s="1136"/>
      <c r="L149" s="1136"/>
      <c r="M149" s="445"/>
      <c r="N149" s="445"/>
      <c r="O149" s="445"/>
      <c r="P149" s="445"/>
    </row>
    <row r="150" spans="1:16">
      <c r="A150" s="445"/>
      <c r="B150" s="445"/>
      <c r="C150" s="445"/>
      <c r="D150" s="445"/>
      <c r="E150" s="445"/>
      <c r="F150" s="445"/>
      <c r="G150" s="445"/>
      <c r="H150" s="445"/>
      <c r="I150" s="445"/>
      <c r="J150" s="445"/>
      <c r="K150" s="1136"/>
      <c r="L150" s="1136"/>
      <c r="M150" s="445"/>
      <c r="N150" s="445"/>
      <c r="O150" s="445"/>
      <c r="P150" s="445"/>
    </row>
    <row r="151" spans="1:16">
      <c r="A151" s="445"/>
      <c r="B151" s="445"/>
      <c r="C151" s="445"/>
      <c r="D151" s="445"/>
      <c r="E151" s="445"/>
      <c r="F151" s="445"/>
      <c r="G151" s="445"/>
      <c r="H151" s="445"/>
      <c r="I151" s="445"/>
      <c r="J151" s="445"/>
      <c r="K151" s="1136"/>
      <c r="L151" s="1136"/>
      <c r="M151" s="445"/>
      <c r="N151" s="445"/>
      <c r="O151" s="445"/>
      <c r="P151" s="445"/>
    </row>
    <row r="152" spans="1:16">
      <c r="A152" s="445"/>
      <c r="B152" s="445"/>
      <c r="C152" s="445"/>
      <c r="D152" s="445"/>
      <c r="E152" s="445"/>
      <c r="F152" s="445"/>
      <c r="G152" s="445"/>
      <c r="H152" s="445"/>
      <c r="I152" s="445"/>
      <c r="J152" s="445"/>
      <c r="K152" s="1136"/>
      <c r="L152" s="1136"/>
      <c r="M152" s="445"/>
      <c r="N152" s="445"/>
      <c r="O152" s="445"/>
      <c r="P152" s="445"/>
    </row>
    <row r="153" spans="1:16">
      <c r="A153" s="445"/>
      <c r="B153" s="445"/>
      <c r="C153" s="445"/>
      <c r="D153" s="445"/>
      <c r="E153" s="445"/>
      <c r="F153" s="445"/>
      <c r="G153" s="445"/>
      <c r="H153" s="445"/>
      <c r="I153" s="445"/>
      <c r="J153" s="445"/>
      <c r="K153" s="1136"/>
      <c r="L153" s="1136"/>
      <c r="M153" s="445"/>
      <c r="N153" s="445"/>
      <c r="O153" s="445"/>
      <c r="P153" s="445"/>
    </row>
    <row r="154" spans="1:16">
      <c r="A154" s="445"/>
      <c r="B154" s="445"/>
      <c r="C154" s="445"/>
      <c r="D154" s="445"/>
      <c r="E154" s="445"/>
      <c r="F154" s="445"/>
      <c r="G154" s="445"/>
      <c r="H154" s="445"/>
      <c r="I154" s="445"/>
      <c r="J154" s="445"/>
      <c r="K154" s="1136"/>
      <c r="L154" s="1136"/>
      <c r="M154" s="445"/>
      <c r="N154" s="445"/>
      <c r="O154" s="445"/>
      <c r="P154" s="445"/>
    </row>
    <row r="155" spans="1:16">
      <c r="A155" s="445"/>
      <c r="B155" s="445"/>
      <c r="C155" s="445"/>
      <c r="D155" s="445"/>
      <c r="E155" s="445"/>
      <c r="F155" s="445"/>
      <c r="G155" s="445"/>
      <c r="H155" s="445"/>
      <c r="I155" s="445"/>
      <c r="J155" s="445"/>
      <c r="K155" s="1136"/>
      <c r="L155" s="1136"/>
      <c r="M155" s="445"/>
      <c r="N155" s="445"/>
      <c r="O155" s="445"/>
      <c r="P155" s="445"/>
    </row>
    <row r="156" spans="1:16">
      <c r="A156" s="445"/>
      <c r="B156" s="445"/>
      <c r="C156" s="445"/>
      <c r="D156" s="445"/>
      <c r="E156" s="445"/>
      <c r="F156" s="445"/>
      <c r="G156" s="445"/>
      <c r="H156" s="445"/>
      <c r="I156" s="445"/>
      <c r="J156" s="445"/>
      <c r="K156" s="1136"/>
      <c r="L156" s="1136"/>
      <c r="M156" s="445"/>
      <c r="N156" s="445"/>
      <c r="O156" s="445"/>
      <c r="P156" s="445"/>
    </row>
    <row r="157" spans="1:16">
      <c r="A157" s="445"/>
      <c r="B157" s="445"/>
      <c r="C157" s="445"/>
      <c r="D157" s="445"/>
      <c r="E157" s="445"/>
      <c r="F157" s="445"/>
      <c r="G157" s="445"/>
      <c r="H157" s="445"/>
      <c r="I157" s="445"/>
      <c r="J157" s="445"/>
      <c r="K157" s="1136"/>
      <c r="L157" s="1136"/>
      <c r="M157" s="445"/>
      <c r="N157" s="445"/>
      <c r="O157" s="445"/>
      <c r="P157" s="445"/>
    </row>
    <row r="158" spans="1:16">
      <c r="A158" s="445"/>
      <c r="B158" s="445"/>
      <c r="C158" s="445"/>
      <c r="D158" s="445"/>
      <c r="E158" s="445"/>
      <c r="F158" s="445"/>
      <c r="G158" s="445"/>
      <c r="H158" s="445"/>
      <c r="I158" s="445"/>
      <c r="J158" s="445"/>
      <c r="K158" s="1136"/>
      <c r="L158" s="1136"/>
      <c r="M158" s="445"/>
      <c r="N158" s="445"/>
      <c r="O158" s="445"/>
      <c r="P158" s="445"/>
    </row>
    <row r="159" spans="1:16">
      <c r="A159" s="445"/>
      <c r="B159" s="445"/>
      <c r="C159" s="445"/>
      <c r="D159" s="445"/>
      <c r="E159" s="445"/>
      <c r="F159" s="445"/>
      <c r="G159" s="445"/>
      <c r="H159" s="445"/>
      <c r="I159" s="445"/>
      <c r="J159" s="445"/>
      <c r="K159" s="1136"/>
      <c r="L159" s="1136"/>
      <c r="M159" s="445"/>
      <c r="N159" s="445"/>
      <c r="O159" s="445"/>
      <c r="P159" s="445"/>
    </row>
    <row r="160" spans="1:16">
      <c r="A160" s="445"/>
      <c r="B160" s="445"/>
      <c r="C160" s="445"/>
      <c r="D160" s="445"/>
      <c r="E160" s="445"/>
      <c r="F160" s="445"/>
      <c r="G160" s="445"/>
      <c r="H160" s="445"/>
      <c r="I160" s="445"/>
      <c r="J160" s="445"/>
      <c r="K160" s="1136"/>
      <c r="L160" s="1136"/>
      <c r="M160" s="445"/>
      <c r="N160" s="445"/>
      <c r="O160" s="445"/>
      <c r="P160" s="445"/>
    </row>
    <row r="161" spans="1:16">
      <c r="A161" s="445"/>
      <c r="B161" s="445"/>
      <c r="C161" s="445"/>
      <c r="D161" s="445"/>
      <c r="E161" s="445"/>
      <c r="F161" s="445"/>
      <c r="G161" s="445"/>
      <c r="H161" s="445"/>
      <c r="I161" s="445"/>
      <c r="J161" s="445"/>
      <c r="K161" s="1136"/>
      <c r="L161" s="1136"/>
      <c r="M161" s="445"/>
      <c r="N161" s="445"/>
      <c r="O161" s="445"/>
      <c r="P161" s="445"/>
    </row>
    <row r="162" spans="1:16">
      <c r="A162" s="445"/>
      <c r="B162" s="445"/>
      <c r="C162" s="445"/>
      <c r="D162" s="445"/>
      <c r="E162" s="445"/>
      <c r="F162" s="445"/>
      <c r="G162" s="445"/>
      <c r="H162" s="445"/>
      <c r="I162" s="445"/>
      <c r="J162" s="445"/>
      <c r="K162" s="1136"/>
      <c r="L162" s="1136"/>
      <c r="M162" s="445"/>
      <c r="N162" s="445"/>
      <c r="O162" s="445"/>
      <c r="P162" s="445"/>
    </row>
    <row r="163" spans="1:16">
      <c r="A163" s="445"/>
      <c r="B163" s="445"/>
      <c r="C163" s="445"/>
      <c r="D163" s="445"/>
      <c r="E163" s="445"/>
      <c r="F163" s="445"/>
      <c r="G163" s="445"/>
      <c r="H163" s="445"/>
      <c r="I163" s="445"/>
      <c r="J163" s="445"/>
      <c r="K163" s="1136"/>
      <c r="L163" s="1136"/>
      <c r="M163" s="445"/>
      <c r="N163" s="445"/>
      <c r="O163" s="445"/>
      <c r="P163" s="445"/>
    </row>
    <row r="164" spans="1:16">
      <c r="A164" s="445"/>
      <c r="B164" s="445"/>
      <c r="C164" s="445"/>
      <c r="D164" s="445"/>
      <c r="E164" s="445"/>
      <c r="F164" s="445"/>
      <c r="G164" s="445"/>
      <c r="H164" s="445"/>
      <c r="I164" s="445"/>
      <c r="J164" s="445"/>
      <c r="K164" s="1136"/>
      <c r="L164" s="1136"/>
      <c r="M164" s="445"/>
      <c r="N164" s="445"/>
      <c r="O164" s="445"/>
      <c r="P164" s="445"/>
    </row>
    <row r="165" spans="1:16">
      <c r="A165" s="445"/>
      <c r="B165" s="445"/>
      <c r="C165" s="445"/>
      <c r="D165" s="445"/>
      <c r="E165" s="445"/>
      <c r="F165" s="445"/>
      <c r="G165" s="445"/>
      <c r="H165" s="445"/>
      <c r="I165" s="445"/>
      <c r="J165" s="445"/>
      <c r="K165" s="1136"/>
      <c r="L165" s="1136"/>
      <c r="M165" s="445"/>
      <c r="N165" s="445"/>
      <c r="O165" s="445"/>
      <c r="P165" s="445"/>
    </row>
    <row r="166" spans="1:16">
      <c r="A166" s="445"/>
      <c r="B166" s="445"/>
      <c r="C166" s="445"/>
      <c r="D166" s="445"/>
      <c r="E166" s="445"/>
      <c r="F166" s="445"/>
      <c r="G166" s="445"/>
      <c r="H166" s="445"/>
      <c r="I166" s="445"/>
      <c r="J166" s="445"/>
      <c r="K166" s="1136"/>
      <c r="L166" s="1136"/>
      <c r="M166" s="445"/>
      <c r="N166" s="445"/>
      <c r="O166" s="445"/>
      <c r="P166" s="445"/>
    </row>
    <row r="167" spans="1:16">
      <c r="A167" s="445"/>
      <c r="B167" s="445"/>
      <c r="C167" s="445"/>
      <c r="D167" s="445"/>
      <c r="E167" s="445"/>
      <c r="F167" s="445"/>
      <c r="G167" s="445"/>
      <c r="H167" s="445"/>
      <c r="I167" s="445"/>
      <c r="J167" s="445"/>
      <c r="K167" s="1136"/>
      <c r="L167" s="1136"/>
      <c r="M167" s="445"/>
      <c r="N167" s="445"/>
      <c r="O167" s="445"/>
      <c r="P167" s="445"/>
    </row>
    <row r="168" spans="1:16">
      <c r="A168" s="445"/>
      <c r="B168" s="445"/>
      <c r="C168" s="445"/>
      <c r="D168" s="445"/>
      <c r="E168" s="445"/>
      <c r="F168" s="445"/>
      <c r="G168" s="445"/>
      <c r="H168" s="445"/>
      <c r="I168" s="445"/>
      <c r="J168" s="445"/>
      <c r="K168" s="1136"/>
      <c r="L168" s="1136"/>
      <c r="M168" s="445"/>
      <c r="N168" s="445"/>
      <c r="O168" s="445"/>
      <c r="P168" s="445"/>
    </row>
    <row r="169" spans="1:16">
      <c r="A169" s="445"/>
      <c r="B169" s="445"/>
      <c r="C169" s="445"/>
      <c r="D169" s="445"/>
      <c r="E169" s="445"/>
      <c r="F169" s="445"/>
      <c r="G169" s="445"/>
      <c r="H169" s="445"/>
      <c r="I169" s="445"/>
      <c r="J169" s="445"/>
      <c r="K169" s="1136"/>
      <c r="L169" s="1136"/>
      <c r="M169" s="445"/>
      <c r="N169" s="445"/>
      <c r="O169" s="445"/>
      <c r="P169" s="445"/>
    </row>
    <row r="170" spans="1:16">
      <c r="A170" s="445"/>
      <c r="B170" s="445"/>
      <c r="C170" s="445"/>
      <c r="D170" s="445"/>
      <c r="E170" s="445"/>
      <c r="F170" s="445"/>
      <c r="G170" s="445"/>
      <c r="H170" s="445"/>
      <c r="I170" s="445"/>
      <c r="J170" s="445"/>
      <c r="K170" s="1136"/>
      <c r="L170" s="1136"/>
      <c r="M170" s="445"/>
      <c r="N170" s="445"/>
      <c r="O170" s="445"/>
      <c r="P170" s="445"/>
    </row>
    <row r="171" spans="1:16">
      <c r="A171" s="445"/>
      <c r="B171" s="445"/>
      <c r="C171" s="445"/>
      <c r="D171" s="445"/>
      <c r="E171" s="445"/>
      <c r="F171" s="445"/>
      <c r="G171" s="445"/>
      <c r="H171" s="445"/>
      <c r="I171" s="445"/>
      <c r="J171" s="445"/>
      <c r="K171" s="1136"/>
      <c r="L171" s="1136"/>
      <c r="M171" s="445"/>
      <c r="N171" s="445"/>
      <c r="O171" s="445"/>
      <c r="P171" s="445"/>
    </row>
    <row r="172" spans="1:16">
      <c r="A172" s="445"/>
      <c r="B172" s="445"/>
      <c r="C172" s="445"/>
      <c r="D172" s="445"/>
      <c r="E172" s="445"/>
      <c r="F172" s="445"/>
      <c r="G172" s="445"/>
      <c r="H172" s="445"/>
      <c r="I172" s="445"/>
      <c r="J172" s="445"/>
      <c r="K172" s="1136"/>
      <c r="L172" s="1136"/>
      <c r="M172" s="445"/>
      <c r="N172" s="445"/>
      <c r="O172" s="445"/>
      <c r="P172" s="445"/>
    </row>
    <row r="173" spans="1:16">
      <c r="A173" s="445"/>
      <c r="B173" s="445"/>
      <c r="C173" s="445"/>
      <c r="D173" s="445"/>
      <c r="E173" s="445"/>
      <c r="F173" s="445"/>
      <c r="G173" s="445"/>
      <c r="H173" s="445"/>
      <c r="I173" s="445"/>
      <c r="J173" s="445"/>
      <c r="K173" s="1136"/>
      <c r="L173" s="1136"/>
      <c r="M173" s="445"/>
      <c r="N173" s="445"/>
      <c r="O173" s="445"/>
      <c r="P173" s="445"/>
    </row>
    <row r="174" spans="1:16">
      <c r="A174" s="445"/>
      <c r="B174" s="445"/>
      <c r="C174" s="445"/>
      <c r="D174" s="445"/>
      <c r="E174" s="445"/>
      <c r="F174" s="445"/>
      <c r="G174" s="445"/>
      <c r="H174" s="445"/>
      <c r="I174" s="445"/>
      <c r="J174" s="445"/>
      <c r="K174" s="1136"/>
      <c r="L174" s="1136"/>
      <c r="M174" s="445"/>
      <c r="N174" s="445"/>
      <c r="O174" s="445"/>
      <c r="P174" s="445"/>
    </row>
    <row r="175" spans="1:16">
      <c r="A175" s="445"/>
      <c r="B175" s="445"/>
      <c r="C175" s="445"/>
      <c r="D175" s="445"/>
      <c r="E175" s="445"/>
      <c r="F175" s="445"/>
      <c r="G175" s="445"/>
      <c r="H175" s="445"/>
      <c r="I175" s="445"/>
      <c r="J175" s="445"/>
      <c r="K175" s="1136"/>
      <c r="L175" s="1136"/>
      <c r="M175" s="445"/>
      <c r="N175" s="445"/>
      <c r="O175" s="445"/>
      <c r="P175" s="445"/>
    </row>
    <row r="176" spans="1:16">
      <c r="A176" s="445"/>
      <c r="B176" s="445"/>
      <c r="C176" s="445"/>
      <c r="D176" s="445"/>
      <c r="E176" s="445"/>
      <c r="F176" s="445"/>
      <c r="G176" s="445"/>
      <c r="H176" s="445"/>
      <c r="I176" s="445"/>
      <c r="J176" s="445"/>
      <c r="K176" s="1136"/>
      <c r="L176" s="1136"/>
      <c r="M176" s="445"/>
      <c r="N176" s="445"/>
      <c r="O176" s="445"/>
      <c r="P176" s="445"/>
    </row>
    <row r="177" spans="1:16">
      <c r="A177" s="445"/>
      <c r="B177" s="445"/>
      <c r="C177" s="445"/>
      <c r="D177" s="445"/>
      <c r="E177" s="445"/>
      <c r="F177" s="445"/>
      <c r="G177" s="445"/>
      <c r="H177" s="445"/>
      <c r="I177" s="445"/>
      <c r="J177" s="445"/>
      <c r="K177" s="1136"/>
      <c r="L177" s="1136"/>
      <c r="M177" s="445"/>
      <c r="N177" s="445"/>
      <c r="O177" s="445"/>
      <c r="P177" s="445"/>
    </row>
    <row r="178" spans="1:16">
      <c r="A178" s="445"/>
      <c r="B178" s="445"/>
      <c r="C178" s="445"/>
      <c r="D178" s="445"/>
      <c r="E178" s="445"/>
      <c r="F178" s="445"/>
      <c r="G178" s="445"/>
      <c r="H178" s="445"/>
      <c r="I178" s="445"/>
      <c r="J178" s="445"/>
      <c r="K178" s="1136"/>
      <c r="L178" s="1136"/>
      <c r="M178" s="445"/>
      <c r="N178" s="445"/>
      <c r="O178" s="445"/>
      <c r="P178" s="445"/>
    </row>
    <row r="179" spans="1:16">
      <c r="A179" s="445"/>
      <c r="B179" s="445"/>
      <c r="C179" s="445"/>
      <c r="D179" s="445"/>
      <c r="E179" s="445"/>
      <c r="F179" s="445"/>
      <c r="G179" s="445"/>
      <c r="H179" s="445"/>
      <c r="I179" s="445"/>
      <c r="J179" s="445"/>
      <c r="K179" s="1136"/>
      <c r="L179" s="1136"/>
      <c r="M179" s="445"/>
      <c r="N179" s="445"/>
      <c r="O179" s="445"/>
      <c r="P179" s="445"/>
    </row>
    <row r="180" spans="1:16">
      <c r="A180" s="445"/>
      <c r="B180" s="445"/>
      <c r="C180" s="445"/>
      <c r="D180" s="445"/>
      <c r="E180" s="445"/>
      <c r="F180" s="445"/>
      <c r="G180" s="445"/>
      <c r="H180" s="445"/>
      <c r="I180" s="445"/>
      <c r="J180" s="445"/>
      <c r="K180" s="1136"/>
      <c r="L180" s="1136"/>
      <c r="M180" s="445"/>
      <c r="N180" s="445"/>
      <c r="O180" s="445"/>
      <c r="P180" s="445"/>
    </row>
    <row r="181" spans="1:16">
      <c r="A181" s="445"/>
      <c r="B181" s="445"/>
      <c r="C181" s="445"/>
      <c r="D181" s="445"/>
      <c r="E181" s="445"/>
      <c r="F181" s="445"/>
      <c r="G181" s="445"/>
      <c r="H181" s="445"/>
      <c r="I181" s="445"/>
      <c r="J181" s="445"/>
      <c r="K181" s="1136"/>
      <c r="L181" s="1136"/>
      <c r="M181" s="445"/>
      <c r="N181" s="445"/>
      <c r="O181" s="445"/>
      <c r="P181" s="445"/>
    </row>
    <row r="182" spans="1:16">
      <c r="A182" s="445"/>
      <c r="B182" s="445"/>
      <c r="C182" s="445"/>
      <c r="D182" s="445"/>
      <c r="E182" s="445"/>
      <c r="F182" s="445"/>
      <c r="G182" s="445"/>
      <c r="H182" s="445"/>
      <c r="I182" s="445"/>
      <c r="J182" s="445"/>
      <c r="K182" s="1136"/>
      <c r="L182" s="1136"/>
      <c r="M182" s="445"/>
      <c r="N182" s="445"/>
      <c r="O182" s="445"/>
      <c r="P182" s="445"/>
    </row>
    <row r="183" spans="1:16">
      <c r="A183" s="445"/>
      <c r="B183" s="445"/>
      <c r="C183" s="445"/>
      <c r="D183" s="445"/>
      <c r="E183" s="445"/>
      <c r="F183" s="445"/>
      <c r="G183" s="445"/>
      <c r="H183" s="445"/>
      <c r="I183" s="445"/>
      <c r="J183" s="445"/>
      <c r="K183" s="1136"/>
      <c r="L183" s="1136"/>
      <c r="M183" s="445"/>
      <c r="N183" s="445"/>
      <c r="O183" s="445"/>
      <c r="P183" s="445"/>
    </row>
    <row r="184" spans="1:16">
      <c r="A184" s="445"/>
      <c r="B184" s="445"/>
      <c r="C184" s="445"/>
      <c r="D184" s="445"/>
      <c r="E184" s="445"/>
      <c r="F184" s="445"/>
      <c r="G184" s="445"/>
      <c r="H184" s="445"/>
      <c r="I184" s="445"/>
      <c r="J184" s="445"/>
      <c r="K184" s="1136"/>
      <c r="L184" s="1136"/>
      <c r="M184" s="445"/>
      <c r="N184" s="445"/>
      <c r="O184" s="445"/>
      <c r="P184" s="445"/>
    </row>
    <row r="185" spans="1:16">
      <c r="A185" s="445"/>
      <c r="B185" s="445"/>
      <c r="C185" s="445"/>
      <c r="D185" s="445"/>
      <c r="E185" s="445"/>
      <c r="F185" s="445"/>
      <c r="G185" s="445"/>
      <c r="H185" s="445"/>
      <c r="I185" s="445"/>
      <c r="J185" s="445"/>
      <c r="K185" s="1136"/>
      <c r="L185" s="1136"/>
      <c r="M185" s="445"/>
      <c r="N185" s="445"/>
      <c r="O185" s="445"/>
      <c r="P185" s="445"/>
    </row>
    <row r="186" spans="1:16">
      <c r="A186" s="445"/>
      <c r="B186" s="445"/>
      <c r="C186" s="445"/>
      <c r="D186" s="445"/>
      <c r="E186" s="445"/>
      <c r="F186" s="445"/>
      <c r="G186" s="445"/>
      <c r="H186" s="445"/>
      <c r="I186" s="445"/>
      <c r="J186" s="445"/>
      <c r="K186" s="1136"/>
      <c r="L186" s="1136"/>
      <c r="M186" s="445"/>
      <c r="N186" s="445"/>
      <c r="O186" s="445"/>
      <c r="P186" s="445"/>
    </row>
    <row r="187" spans="1:16">
      <c r="A187" s="445"/>
      <c r="B187" s="445"/>
      <c r="C187" s="445"/>
      <c r="D187" s="445"/>
      <c r="E187" s="445"/>
      <c r="F187" s="445"/>
      <c r="G187" s="445"/>
      <c r="H187" s="445"/>
      <c r="I187" s="445"/>
      <c r="J187" s="445"/>
      <c r="K187" s="1136"/>
      <c r="L187" s="1136"/>
      <c r="M187" s="445"/>
      <c r="N187" s="445"/>
      <c r="O187" s="445"/>
      <c r="P187" s="445"/>
    </row>
    <row r="188" spans="1:16">
      <c r="A188" s="445"/>
      <c r="B188" s="445"/>
      <c r="C188" s="445"/>
      <c r="D188" s="445"/>
      <c r="E188" s="445"/>
      <c r="F188" s="445"/>
      <c r="G188" s="445"/>
      <c r="H188" s="445"/>
      <c r="I188" s="445"/>
      <c r="J188" s="445"/>
      <c r="K188" s="1136"/>
      <c r="L188" s="1136"/>
      <c r="M188" s="445"/>
      <c r="N188" s="445"/>
      <c r="O188" s="445"/>
      <c r="P188" s="445"/>
    </row>
    <row r="189" spans="1:16">
      <c r="A189" s="445"/>
      <c r="B189" s="445"/>
      <c r="C189" s="445"/>
      <c r="D189" s="445"/>
      <c r="E189" s="445"/>
      <c r="F189" s="445"/>
      <c r="G189" s="445"/>
      <c r="H189" s="445"/>
      <c r="I189" s="445"/>
      <c r="J189" s="445"/>
      <c r="K189" s="1136"/>
      <c r="L189" s="1136"/>
      <c r="M189" s="445"/>
      <c r="N189" s="445"/>
      <c r="O189" s="445"/>
      <c r="P189" s="445"/>
    </row>
    <row r="190" spans="1:16">
      <c r="A190" s="445"/>
      <c r="B190" s="445"/>
      <c r="C190" s="445"/>
      <c r="D190" s="445"/>
      <c r="E190" s="445"/>
      <c r="F190" s="445"/>
      <c r="G190" s="445"/>
      <c r="H190" s="445"/>
      <c r="I190" s="445"/>
      <c r="J190" s="445"/>
      <c r="K190" s="1136"/>
      <c r="L190" s="1136"/>
      <c r="M190" s="445"/>
      <c r="N190" s="445"/>
      <c r="O190" s="445"/>
      <c r="P190" s="445"/>
    </row>
    <row r="191" spans="1:16">
      <c r="A191" s="445"/>
      <c r="B191" s="445"/>
      <c r="C191" s="445"/>
      <c r="D191" s="445"/>
      <c r="E191" s="445"/>
      <c r="F191" s="445"/>
      <c r="G191" s="445"/>
      <c r="H191" s="445"/>
      <c r="I191" s="445"/>
      <c r="J191" s="445"/>
      <c r="K191" s="1136"/>
      <c r="L191" s="1136"/>
      <c r="M191" s="445"/>
      <c r="N191" s="445"/>
      <c r="O191" s="445"/>
      <c r="P191" s="445"/>
    </row>
    <row r="192" spans="1:16">
      <c r="A192" s="445"/>
      <c r="B192" s="445"/>
      <c r="C192" s="445"/>
      <c r="D192" s="445"/>
      <c r="E192" s="445"/>
      <c r="F192" s="445"/>
      <c r="G192" s="445"/>
      <c r="H192" s="445"/>
      <c r="I192" s="445"/>
      <c r="J192" s="445"/>
      <c r="K192" s="1136"/>
      <c r="L192" s="1136"/>
      <c r="M192" s="445"/>
      <c r="N192" s="445"/>
      <c r="O192" s="445"/>
      <c r="P192" s="445"/>
    </row>
    <row r="193" spans="1:16">
      <c r="A193" s="445"/>
      <c r="B193" s="445"/>
      <c r="C193" s="445"/>
      <c r="D193" s="445"/>
      <c r="E193" s="445"/>
      <c r="F193" s="445"/>
      <c r="G193" s="445"/>
      <c r="H193" s="445"/>
      <c r="I193" s="445"/>
      <c r="J193" s="445"/>
      <c r="K193" s="1136"/>
      <c r="L193" s="1136"/>
      <c r="M193" s="445"/>
      <c r="N193" s="445"/>
      <c r="O193" s="445"/>
      <c r="P193" s="445"/>
    </row>
    <row r="194" spans="1:16">
      <c r="A194" s="445"/>
      <c r="B194" s="445"/>
      <c r="C194" s="445"/>
      <c r="D194" s="445"/>
      <c r="E194" s="445"/>
      <c r="F194" s="445"/>
      <c r="G194" s="445"/>
      <c r="H194" s="445"/>
      <c r="I194" s="445"/>
      <c r="J194" s="445"/>
      <c r="K194" s="1136"/>
      <c r="L194" s="1136"/>
      <c r="M194" s="445"/>
      <c r="N194" s="445"/>
      <c r="O194" s="445"/>
      <c r="P194" s="445"/>
    </row>
    <row r="195" spans="1:16">
      <c r="A195" s="445"/>
      <c r="B195" s="445"/>
      <c r="C195" s="445"/>
      <c r="D195" s="445"/>
      <c r="E195" s="445"/>
      <c r="F195" s="445"/>
      <c r="G195" s="445"/>
      <c r="H195" s="445"/>
      <c r="I195" s="445"/>
      <c r="J195" s="445"/>
      <c r="K195" s="1136"/>
      <c r="L195" s="1136"/>
      <c r="M195" s="445"/>
      <c r="N195" s="445"/>
      <c r="O195" s="445"/>
      <c r="P195" s="445"/>
    </row>
    <row r="196" spans="1:16">
      <c r="A196" s="445"/>
      <c r="B196" s="445"/>
      <c r="C196" s="445"/>
      <c r="D196" s="445"/>
      <c r="E196" s="445"/>
      <c r="F196" s="445"/>
      <c r="G196" s="445"/>
      <c r="H196" s="445"/>
      <c r="I196" s="445"/>
      <c r="J196" s="445"/>
      <c r="K196" s="1136"/>
      <c r="L196" s="1136"/>
      <c r="M196" s="445"/>
      <c r="N196" s="445"/>
      <c r="O196" s="445"/>
      <c r="P196" s="445"/>
    </row>
    <row r="197" spans="1:16">
      <c r="A197" s="445"/>
      <c r="B197" s="445"/>
      <c r="C197" s="445"/>
      <c r="D197" s="445"/>
      <c r="E197" s="445"/>
      <c r="F197" s="445"/>
      <c r="G197" s="445"/>
      <c r="H197" s="445"/>
      <c r="I197" s="445"/>
      <c r="J197" s="445"/>
      <c r="K197" s="1136"/>
      <c r="L197" s="1136"/>
      <c r="M197" s="445"/>
      <c r="N197" s="445"/>
      <c r="O197" s="445"/>
      <c r="P197" s="445"/>
    </row>
    <row r="198" spans="1:16">
      <c r="A198" s="445"/>
      <c r="B198" s="445"/>
      <c r="C198" s="445"/>
      <c r="D198" s="445"/>
      <c r="E198" s="445"/>
      <c r="F198" s="445"/>
      <c r="G198" s="445"/>
      <c r="H198" s="445"/>
      <c r="I198" s="445"/>
      <c r="J198" s="445"/>
      <c r="K198" s="1136"/>
      <c r="L198" s="1136"/>
      <c r="M198" s="445"/>
      <c r="N198" s="445"/>
      <c r="O198" s="445"/>
      <c r="P198" s="445"/>
    </row>
    <row r="199" spans="1:16">
      <c r="A199" s="445"/>
      <c r="B199" s="445"/>
      <c r="C199" s="445"/>
      <c r="D199" s="445"/>
      <c r="E199" s="445"/>
      <c r="F199" s="445"/>
      <c r="G199" s="445"/>
      <c r="H199" s="445"/>
      <c r="I199" s="445"/>
      <c r="J199" s="445"/>
      <c r="K199" s="1136"/>
      <c r="L199" s="1136"/>
      <c r="M199" s="445"/>
      <c r="N199" s="445"/>
      <c r="O199" s="445"/>
      <c r="P199" s="445"/>
    </row>
    <row r="200" spans="1:16">
      <c r="A200" s="445"/>
      <c r="B200" s="445"/>
      <c r="C200" s="445"/>
      <c r="D200" s="445"/>
      <c r="E200" s="445"/>
      <c r="F200" s="445"/>
      <c r="G200" s="445"/>
      <c r="H200" s="445"/>
      <c r="I200" s="445"/>
      <c r="J200" s="445"/>
      <c r="K200" s="1136"/>
      <c r="L200" s="1136"/>
      <c r="M200" s="445"/>
      <c r="N200" s="445"/>
      <c r="O200" s="445"/>
      <c r="P200" s="445"/>
    </row>
    <row r="201" spans="1:16">
      <c r="A201" s="445"/>
      <c r="B201" s="445"/>
      <c r="C201" s="445"/>
      <c r="D201" s="445"/>
      <c r="E201" s="445"/>
      <c r="F201" s="445"/>
      <c r="G201" s="445"/>
      <c r="H201" s="445"/>
      <c r="I201" s="445"/>
      <c r="J201" s="445"/>
      <c r="K201" s="1136"/>
      <c r="L201" s="1136"/>
      <c r="M201" s="445"/>
      <c r="N201" s="445"/>
      <c r="O201" s="445"/>
      <c r="P201" s="445"/>
    </row>
    <row r="202" spans="1:16">
      <c r="A202" s="445"/>
      <c r="B202" s="445"/>
      <c r="C202" s="445"/>
      <c r="D202" s="445"/>
      <c r="E202" s="445"/>
      <c r="F202" s="445"/>
      <c r="G202" s="445"/>
      <c r="H202" s="445"/>
      <c r="I202" s="445"/>
      <c r="J202" s="445"/>
      <c r="K202" s="1136"/>
      <c r="L202" s="1136"/>
      <c r="M202" s="445"/>
      <c r="N202" s="445"/>
      <c r="O202" s="445"/>
      <c r="P202" s="445"/>
    </row>
    <row r="203" spans="1:16">
      <c r="A203" s="445"/>
      <c r="B203" s="445"/>
      <c r="C203" s="445"/>
      <c r="D203" s="445"/>
      <c r="E203" s="445"/>
      <c r="F203" s="445"/>
      <c r="G203" s="445"/>
      <c r="H203" s="445"/>
      <c r="I203" s="445"/>
      <c r="J203" s="445"/>
      <c r="K203" s="1136"/>
      <c r="L203" s="1136"/>
      <c r="M203" s="445"/>
      <c r="N203" s="445"/>
      <c r="O203" s="445"/>
      <c r="P203" s="445"/>
    </row>
    <row r="204" spans="1:16">
      <c r="A204" s="445"/>
      <c r="B204" s="445"/>
      <c r="C204" s="445"/>
      <c r="D204" s="445"/>
      <c r="E204" s="445"/>
      <c r="F204" s="445"/>
      <c r="G204" s="445"/>
      <c r="H204" s="445"/>
      <c r="I204" s="445"/>
      <c r="J204" s="445"/>
      <c r="K204" s="1136"/>
      <c r="L204" s="1136"/>
      <c r="M204" s="445"/>
      <c r="N204" s="445"/>
      <c r="O204" s="445"/>
      <c r="P204" s="445"/>
    </row>
    <row r="205" spans="1:16">
      <c r="A205" s="445"/>
      <c r="B205" s="445"/>
      <c r="C205" s="445"/>
      <c r="D205" s="445"/>
      <c r="E205" s="445"/>
      <c r="F205" s="445"/>
      <c r="G205" s="445"/>
      <c r="H205" s="445"/>
      <c r="I205" s="445"/>
      <c r="J205" s="445"/>
      <c r="K205" s="1136"/>
      <c r="L205" s="1136"/>
      <c r="M205" s="445"/>
      <c r="N205" s="445"/>
      <c r="O205" s="445"/>
      <c r="P205" s="445"/>
    </row>
    <row r="206" spans="1:16">
      <c r="A206" s="445"/>
      <c r="B206" s="445"/>
      <c r="C206" s="445"/>
      <c r="D206" s="445"/>
      <c r="E206" s="445"/>
      <c r="F206" s="445"/>
      <c r="G206" s="445"/>
      <c r="H206" s="445"/>
      <c r="I206" s="445"/>
      <c r="J206" s="445"/>
      <c r="K206" s="1136"/>
      <c r="L206" s="1136"/>
      <c r="M206" s="445"/>
      <c r="N206" s="445"/>
      <c r="O206" s="445"/>
      <c r="P206" s="445"/>
    </row>
    <row r="207" spans="1:16">
      <c r="A207" s="445"/>
      <c r="B207" s="445"/>
      <c r="C207" s="445"/>
      <c r="D207" s="445"/>
      <c r="E207" s="445"/>
      <c r="F207" s="445"/>
      <c r="G207" s="445"/>
      <c r="H207" s="445"/>
      <c r="I207" s="445"/>
      <c r="J207" s="445"/>
      <c r="K207" s="1136"/>
      <c r="L207" s="1136"/>
      <c r="M207" s="445"/>
      <c r="N207" s="445"/>
      <c r="O207" s="445"/>
      <c r="P207" s="445"/>
    </row>
    <row r="208" spans="1:16">
      <c r="A208" s="445"/>
      <c r="B208" s="445"/>
      <c r="C208" s="445"/>
      <c r="D208" s="445"/>
      <c r="E208" s="445"/>
      <c r="F208" s="445"/>
      <c r="G208" s="445"/>
      <c r="H208" s="445"/>
      <c r="I208" s="445"/>
      <c r="J208" s="445"/>
      <c r="K208" s="1136"/>
      <c r="L208" s="1136"/>
      <c r="M208" s="445"/>
      <c r="N208" s="445"/>
      <c r="O208" s="445"/>
      <c r="P208" s="445"/>
    </row>
    <row r="209" spans="1:16">
      <c r="A209" s="445"/>
      <c r="B209" s="445"/>
      <c r="C209" s="445"/>
      <c r="D209" s="445"/>
      <c r="E209" s="445"/>
      <c r="F209" s="445"/>
      <c r="G209" s="445"/>
      <c r="H209" s="445"/>
      <c r="I209" s="445"/>
      <c r="J209" s="445"/>
      <c r="K209" s="1136"/>
      <c r="L209" s="1136"/>
      <c r="M209" s="445"/>
      <c r="N209" s="445"/>
      <c r="O209" s="445"/>
      <c r="P209" s="445"/>
    </row>
    <row r="210" spans="1:16">
      <c r="A210" s="445"/>
      <c r="B210" s="445"/>
      <c r="C210" s="445"/>
      <c r="D210" s="445"/>
      <c r="E210" s="445"/>
      <c r="F210" s="445"/>
      <c r="G210" s="445"/>
      <c r="H210" s="445"/>
      <c r="I210" s="445"/>
      <c r="J210" s="445"/>
      <c r="K210" s="1136"/>
      <c r="L210" s="1136"/>
      <c r="M210" s="445"/>
      <c r="N210" s="445"/>
      <c r="O210" s="445"/>
      <c r="P210" s="445"/>
    </row>
    <row r="211" spans="1:16">
      <c r="A211" s="445"/>
      <c r="B211" s="445"/>
      <c r="C211" s="445"/>
      <c r="D211" s="445"/>
      <c r="E211" s="445"/>
      <c r="F211" s="445"/>
      <c r="G211" s="445"/>
      <c r="H211" s="445"/>
      <c r="I211" s="445"/>
      <c r="J211" s="445"/>
      <c r="K211" s="1136"/>
      <c r="L211" s="1136"/>
      <c r="M211" s="445"/>
      <c r="N211" s="445"/>
      <c r="O211" s="445"/>
      <c r="P211" s="445"/>
    </row>
    <row r="212" spans="1:16">
      <c r="A212" s="445"/>
      <c r="B212" s="445"/>
      <c r="C212" s="445"/>
      <c r="D212" s="445"/>
      <c r="E212" s="445"/>
      <c r="F212" s="445"/>
      <c r="G212" s="445"/>
      <c r="H212" s="445"/>
      <c r="I212" s="445"/>
      <c r="J212" s="445"/>
      <c r="K212" s="1136"/>
      <c r="L212" s="1136"/>
      <c r="M212" s="445"/>
      <c r="N212" s="445"/>
      <c r="O212" s="445"/>
      <c r="P212" s="445"/>
    </row>
    <row r="213" spans="1:16">
      <c r="A213" s="445"/>
      <c r="B213" s="445"/>
      <c r="C213" s="445"/>
      <c r="D213" s="445"/>
      <c r="E213" s="445"/>
      <c r="F213" s="445"/>
      <c r="G213" s="445"/>
      <c r="H213" s="445"/>
      <c r="I213" s="445"/>
      <c r="J213" s="445"/>
      <c r="K213" s="1136"/>
      <c r="L213" s="1136"/>
      <c r="M213" s="445"/>
      <c r="N213" s="445"/>
      <c r="O213" s="445"/>
      <c r="P213" s="445"/>
    </row>
    <row r="214" spans="1:16">
      <c r="A214" s="445"/>
      <c r="B214" s="445"/>
      <c r="C214" s="445"/>
      <c r="D214" s="445"/>
      <c r="E214" s="445"/>
      <c r="F214" s="445"/>
      <c r="G214" s="445"/>
      <c r="H214" s="445"/>
      <c r="I214" s="445"/>
      <c r="J214" s="445"/>
      <c r="K214" s="1136"/>
      <c r="L214" s="1136"/>
      <c r="M214" s="445"/>
      <c r="N214" s="445"/>
      <c r="O214" s="445"/>
      <c r="P214" s="445"/>
    </row>
    <row r="215" spans="1:16">
      <c r="A215" s="445"/>
      <c r="B215" s="445"/>
      <c r="C215" s="445"/>
      <c r="D215" s="445"/>
      <c r="E215" s="445"/>
      <c r="F215" s="445"/>
      <c r="G215" s="445"/>
      <c r="H215" s="445"/>
      <c r="I215" s="445"/>
      <c r="J215" s="445"/>
      <c r="K215" s="1136"/>
      <c r="L215" s="1136"/>
      <c r="M215" s="445"/>
      <c r="N215" s="445"/>
      <c r="O215" s="445"/>
      <c r="P215" s="445"/>
    </row>
    <row r="216" spans="1:16">
      <c r="A216" s="445"/>
      <c r="B216" s="445"/>
      <c r="C216" s="445"/>
      <c r="D216" s="445"/>
      <c r="E216" s="445"/>
      <c r="F216" s="445"/>
      <c r="G216" s="445"/>
      <c r="H216" s="445"/>
      <c r="I216" s="445"/>
      <c r="J216" s="445"/>
      <c r="K216" s="1136"/>
      <c r="L216" s="1136"/>
      <c r="M216" s="445"/>
      <c r="N216" s="445"/>
      <c r="O216" s="445"/>
      <c r="P216" s="445"/>
    </row>
    <row r="217" spans="1:16">
      <c r="A217" s="445"/>
      <c r="B217" s="445"/>
      <c r="C217" s="445"/>
      <c r="D217" s="445"/>
      <c r="E217" s="445"/>
      <c r="F217" s="445"/>
      <c r="G217" s="445"/>
      <c r="H217" s="445"/>
      <c r="I217" s="445"/>
      <c r="J217" s="445"/>
      <c r="K217" s="1136"/>
      <c r="L217" s="1136"/>
      <c r="M217" s="445"/>
      <c r="N217" s="445"/>
      <c r="O217" s="445"/>
      <c r="P217" s="445"/>
    </row>
    <row r="218" spans="1:16">
      <c r="A218" s="445"/>
      <c r="B218" s="445"/>
      <c r="C218" s="445"/>
      <c r="D218" s="445"/>
      <c r="E218" s="445"/>
      <c r="F218" s="445"/>
      <c r="G218" s="445"/>
      <c r="H218" s="445"/>
      <c r="I218" s="445"/>
      <c r="J218" s="445"/>
      <c r="K218" s="1136"/>
      <c r="L218" s="1136"/>
      <c r="M218" s="445"/>
      <c r="N218" s="445"/>
      <c r="O218" s="445"/>
      <c r="P218" s="445"/>
    </row>
    <row r="219" spans="1:16">
      <c r="A219" s="445"/>
      <c r="B219" s="445"/>
      <c r="C219" s="445"/>
      <c r="D219" s="445"/>
      <c r="E219" s="445"/>
      <c r="F219" s="445"/>
      <c r="G219" s="445"/>
      <c r="H219" s="445"/>
      <c r="I219" s="445"/>
      <c r="J219" s="445"/>
      <c r="K219" s="1136"/>
      <c r="L219" s="1136"/>
      <c r="M219" s="445"/>
      <c r="N219" s="445"/>
      <c r="O219" s="445"/>
      <c r="P219" s="445"/>
    </row>
    <row r="220" spans="1:16">
      <c r="A220" s="445"/>
      <c r="B220" s="445"/>
      <c r="C220" s="445"/>
      <c r="D220" s="445"/>
      <c r="E220" s="445"/>
      <c r="F220" s="445"/>
      <c r="G220" s="445"/>
      <c r="H220" s="445"/>
      <c r="I220" s="445"/>
      <c r="J220" s="445"/>
      <c r="K220" s="1136"/>
      <c r="L220" s="1136"/>
      <c r="M220" s="445"/>
      <c r="N220" s="445"/>
      <c r="O220" s="445"/>
      <c r="P220" s="445"/>
    </row>
    <row r="221" spans="1:16">
      <c r="A221" s="445"/>
      <c r="B221" s="445"/>
      <c r="C221" s="445"/>
      <c r="D221" s="445"/>
      <c r="E221" s="445"/>
      <c r="F221" s="445"/>
      <c r="G221" s="445"/>
      <c r="H221" s="445"/>
      <c r="I221" s="445"/>
      <c r="J221" s="445"/>
      <c r="K221" s="1136"/>
      <c r="L221" s="1136"/>
      <c r="M221" s="445"/>
      <c r="N221" s="445"/>
      <c r="O221" s="445"/>
      <c r="P221" s="445"/>
    </row>
    <row r="222" spans="1:16">
      <c r="A222" s="445"/>
      <c r="B222" s="445"/>
      <c r="C222" s="445"/>
      <c r="D222" s="445"/>
      <c r="E222" s="445"/>
      <c r="F222" s="445"/>
      <c r="G222" s="445"/>
      <c r="H222" s="445"/>
      <c r="I222" s="445"/>
      <c r="J222" s="445"/>
      <c r="K222" s="1136"/>
      <c r="L222" s="1136"/>
      <c r="M222" s="445"/>
      <c r="N222" s="445"/>
      <c r="O222" s="445"/>
      <c r="P222" s="445"/>
    </row>
    <row r="223" spans="1:16">
      <c r="A223" s="445"/>
      <c r="B223" s="445"/>
      <c r="C223" s="445"/>
      <c r="D223" s="445"/>
      <c r="E223" s="445"/>
      <c r="F223" s="445"/>
      <c r="G223" s="445"/>
      <c r="H223" s="445"/>
      <c r="I223" s="445"/>
      <c r="J223" s="445"/>
      <c r="K223" s="1136"/>
      <c r="L223" s="1136"/>
      <c r="M223" s="445"/>
      <c r="N223" s="445"/>
      <c r="O223" s="445"/>
      <c r="P223" s="445"/>
    </row>
    <row r="224" spans="1:16">
      <c r="A224" s="445"/>
      <c r="B224" s="445"/>
      <c r="C224" s="445"/>
      <c r="D224" s="445"/>
      <c r="E224" s="445"/>
      <c r="F224" s="445"/>
      <c r="G224" s="445"/>
      <c r="H224" s="445"/>
      <c r="I224" s="445"/>
      <c r="J224" s="445"/>
      <c r="K224" s="1136"/>
      <c r="L224" s="1136"/>
      <c r="M224" s="445"/>
      <c r="N224" s="445"/>
      <c r="O224" s="445"/>
      <c r="P224" s="445"/>
    </row>
    <row r="225" spans="1:16">
      <c r="A225" s="445"/>
      <c r="B225" s="445"/>
      <c r="C225" s="445"/>
      <c r="D225" s="445"/>
      <c r="E225" s="445"/>
      <c r="F225" s="445"/>
      <c r="G225" s="445"/>
      <c r="H225" s="445"/>
      <c r="I225" s="445"/>
      <c r="J225" s="445"/>
      <c r="K225" s="1136"/>
      <c r="L225" s="1136"/>
      <c r="M225" s="445"/>
      <c r="N225" s="445"/>
      <c r="O225" s="445"/>
      <c r="P225" s="445"/>
    </row>
    <row r="226" spans="1:16">
      <c r="A226" s="445"/>
      <c r="B226" s="445"/>
      <c r="C226" s="445"/>
      <c r="D226" s="445"/>
      <c r="E226" s="445"/>
      <c r="F226" s="445"/>
      <c r="G226" s="445"/>
      <c r="H226" s="445"/>
      <c r="I226" s="445"/>
      <c r="J226" s="445"/>
      <c r="K226" s="1136"/>
      <c r="L226" s="1136"/>
      <c r="M226" s="445"/>
      <c r="N226" s="445"/>
      <c r="O226" s="445"/>
      <c r="P226" s="445"/>
    </row>
    <row r="227" spans="1:16">
      <c r="A227" s="445"/>
      <c r="B227" s="445"/>
      <c r="C227" s="445"/>
      <c r="D227" s="445"/>
      <c r="E227" s="445"/>
      <c r="F227" s="445"/>
      <c r="G227" s="445"/>
      <c r="H227" s="445"/>
      <c r="I227" s="445"/>
      <c r="J227" s="445"/>
      <c r="K227" s="1136"/>
      <c r="L227" s="1136"/>
      <c r="M227" s="445"/>
      <c r="N227" s="445"/>
      <c r="O227" s="445"/>
      <c r="P227" s="445"/>
    </row>
    <row r="228" spans="1:16">
      <c r="A228" s="445"/>
      <c r="B228" s="445"/>
      <c r="C228" s="445"/>
      <c r="D228" s="445"/>
      <c r="E228" s="445"/>
      <c r="F228" s="445"/>
      <c r="G228" s="445"/>
      <c r="H228" s="445"/>
      <c r="I228" s="445"/>
      <c r="J228" s="445"/>
      <c r="K228" s="1136"/>
      <c r="L228" s="1136"/>
      <c r="M228" s="445"/>
      <c r="N228" s="445"/>
      <c r="O228" s="445"/>
      <c r="P228" s="445"/>
    </row>
    <row r="229" spans="1:16">
      <c r="A229" s="445"/>
      <c r="B229" s="445"/>
      <c r="C229" s="445"/>
      <c r="D229" s="445"/>
      <c r="E229" s="445"/>
      <c r="F229" s="445"/>
      <c r="G229" s="445"/>
      <c r="H229" s="445"/>
      <c r="I229" s="445"/>
      <c r="J229" s="445"/>
      <c r="K229" s="1136"/>
      <c r="L229" s="1136"/>
      <c r="M229" s="445"/>
      <c r="N229" s="445"/>
      <c r="O229" s="445"/>
      <c r="P229" s="445"/>
    </row>
    <row r="230" spans="1:16">
      <c r="A230" s="445"/>
      <c r="B230" s="445"/>
      <c r="C230" s="445"/>
      <c r="D230" s="445"/>
      <c r="E230" s="445"/>
      <c r="F230" s="445"/>
      <c r="G230" s="445"/>
      <c r="H230" s="445"/>
      <c r="I230" s="445"/>
      <c r="J230" s="445"/>
      <c r="K230" s="1136"/>
      <c r="L230" s="1136"/>
      <c r="M230" s="445"/>
      <c r="N230" s="445"/>
      <c r="O230" s="445"/>
      <c r="P230" s="445"/>
    </row>
    <row r="231" spans="1:16">
      <c r="A231" s="445"/>
      <c r="B231" s="445"/>
      <c r="C231" s="445"/>
      <c r="D231" s="445"/>
      <c r="E231" s="445"/>
      <c r="F231" s="445"/>
      <c r="G231" s="445"/>
      <c r="H231" s="445"/>
      <c r="I231" s="445"/>
      <c r="J231" s="445"/>
      <c r="K231" s="1136"/>
      <c r="L231" s="1136"/>
      <c r="M231" s="445"/>
      <c r="N231" s="445"/>
      <c r="O231" s="445"/>
      <c r="P231" s="445"/>
    </row>
    <row r="232" spans="1:16">
      <c r="A232" s="445"/>
      <c r="B232" s="445"/>
      <c r="C232" s="445"/>
      <c r="D232" s="445"/>
      <c r="E232" s="445"/>
      <c r="F232" s="445"/>
      <c r="G232" s="445"/>
      <c r="H232" s="445"/>
      <c r="I232" s="445"/>
      <c r="J232" s="445"/>
      <c r="K232" s="1136"/>
      <c r="L232" s="1136"/>
      <c r="M232" s="445"/>
      <c r="N232" s="445"/>
      <c r="O232" s="445"/>
      <c r="P232" s="445"/>
    </row>
    <row r="233" spans="1:16">
      <c r="A233" s="445"/>
      <c r="B233" s="445"/>
      <c r="C233" s="445"/>
      <c r="D233" s="445"/>
      <c r="E233" s="445"/>
      <c r="F233" s="445"/>
      <c r="G233" s="445"/>
      <c r="H233" s="445"/>
      <c r="I233" s="445"/>
      <c r="J233" s="445"/>
      <c r="K233" s="1136"/>
      <c r="L233" s="1136"/>
      <c r="M233" s="445"/>
      <c r="N233" s="445"/>
      <c r="O233" s="445"/>
      <c r="P233" s="445"/>
    </row>
    <row r="234" spans="1:16">
      <c r="A234" s="445"/>
      <c r="B234" s="445"/>
      <c r="C234" s="445"/>
      <c r="D234" s="445"/>
      <c r="E234" s="445"/>
      <c r="F234" s="445"/>
      <c r="G234" s="445"/>
      <c r="H234" s="445"/>
      <c r="I234" s="445"/>
      <c r="J234" s="445"/>
      <c r="K234" s="1136"/>
      <c r="L234" s="1136"/>
      <c r="M234" s="445"/>
      <c r="N234" s="445"/>
      <c r="O234" s="445"/>
      <c r="P234" s="445"/>
    </row>
    <row r="235" spans="1:16">
      <c r="A235" s="445"/>
      <c r="B235" s="445"/>
      <c r="C235" s="445"/>
      <c r="D235" s="445"/>
      <c r="E235" s="445"/>
      <c r="F235" s="445"/>
      <c r="G235" s="445"/>
      <c r="H235" s="445"/>
      <c r="I235" s="445"/>
      <c r="J235" s="445"/>
      <c r="K235" s="1136"/>
      <c r="L235" s="1136"/>
      <c r="M235" s="445"/>
      <c r="N235" s="445"/>
      <c r="O235" s="445"/>
      <c r="P235" s="445"/>
    </row>
    <row r="236" spans="1:16">
      <c r="A236" s="445"/>
      <c r="B236" s="445"/>
      <c r="C236" s="445"/>
      <c r="D236" s="445"/>
      <c r="E236" s="445"/>
      <c r="F236" s="445"/>
      <c r="G236" s="445"/>
      <c r="H236" s="445"/>
      <c r="I236" s="445"/>
      <c r="J236" s="445"/>
      <c r="K236" s="1136"/>
      <c r="L236" s="1136"/>
      <c r="M236" s="445"/>
      <c r="N236" s="445"/>
      <c r="O236" s="445"/>
      <c r="P236" s="445"/>
    </row>
    <row r="237" spans="1:16">
      <c r="A237" s="445"/>
      <c r="B237" s="445"/>
      <c r="C237" s="445"/>
      <c r="D237" s="445"/>
      <c r="E237" s="445"/>
      <c r="F237" s="445"/>
      <c r="G237" s="445"/>
      <c r="H237" s="445"/>
      <c r="I237" s="445"/>
      <c r="J237" s="445"/>
      <c r="K237" s="1136"/>
      <c r="L237" s="1136"/>
      <c r="M237" s="445"/>
      <c r="N237" s="445"/>
      <c r="O237" s="445"/>
      <c r="P237" s="445"/>
    </row>
    <row r="238" spans="1:16">
      <c r="A238" s="445"/>
      <c r="B238" s="445"/>
      <c r="C238" s="445"/>
      <c r="D238" s="445"/>
      <c r="E238" s="445"/>
      <c r="F238" s="445"/>
      <c r="G238" s="445"/>
      <c r="H238" s="445"/>
      <c r="I238" s="445"/>
      <c r="J238" s="445"/>
      <c r="K238" s="1136"/>
      <c r="L238" s="1136"/>
      <c r="M238" s="445"/>
      <c r="N238" s="445"/>
      <c r="O238" s="445"/>
      <c r="P238" s="445"/>
    </row>
    <row r="239" spans="1:16">
      <c r="A239" s="445"/>
      <c r="B239" s="445"/>
      <c r="C239" s="445"/>
      <c r="D239" s="445"/>
      <c r="E239" s="445"/>
      <c r="F239" s="445"/>
      <c r="G239" s="445"/>
      <c r="H239" s="445"/>
      <c r="I239" s="445"/>
      <c r="J239" s="445"/>
      <c r="K239" s="1136"/>
      <c r="L239" s="1136"/>
      <c r="M239" s="445"/>
      <c r="N239" s="445"/>
      <c r="O239" s="445"/>
      <c r="P239" s="445"/>
    </row>
    <row r="240" spans="1:16">
      <c r="A240" s="445"/>
      <c r="B240" s="445"/>
      <c r="C240" s="445"/>
      <c r="D240" s="445"/>
      <c r="E240" s="445"/>
      <c r="F240" s="445"/>
      <c r="G240" s="445"/>
      <c r="H240" s="445"/>
      <c r="I240" s="445"/>
      <c r="J240" s="445"/>
      <c r="K240" s="1136"/>
      <c r="L240" s="1136"/>
      <c r="M240" s="445"/>
      <c r="N240" s="445"/>
      <c r="O240" s="445"/>
      <c r="P240" s="445"/>
    </row>
    <row r="241" spans="1:16">
      <c r="A241" s="445"/>
      <c r="B241" s="445"/>
      <c r="C241" s="445"/>
      <c r="D241" s="445"/>
      <c r="E241" s="445"/>
      <c r="F241" s="445"/>
      <c r="G241" s="445"/>
      <c r="H241" s="445"/>
      <c r="I241" s="445"/>
      <c r="J241" s="445"/>
      <c r="K241" s="1136"/>
      <c r="L241" s="1136"/>
      <c r="M241" s="445"/>
      <c r="N241" s="445"/>
      <c r="O241" s="445"/>
      <c r="P241" s="445"/>
    </row>
    <row r="242" spans="1:16">
      <c r="A242" s="445"/>
      <c r="B242" s="445"/>
      <c r="C242" s="445"/>
      <c r="D242" s="445"/>
      <c r="E242" s="445"/>
      <c r="F242" s="445"/>
      <c r="G242" s="445"/>
      <c r="H242" s="445"/>
      <c r="I242" s="445"/>
      <c r="J242" s="445"/>
      <c r="K242" s="1136"/>
      <c r="L242" s="1136"/>
      <c r="M242" s="445"/>
      <c r="N242" s="445"/>
      <c r="O242" s="445"/>
      <c r="P242" s="445"/>
    </row>
    <row r="243" spans="1:16">
      <c r="A243" s="445"/>
      <c r="B243" s="445"/>
      <c r="C243" s="445"/>
      <c r="D243" s="445"/>
      <c r="E243" s="445"/>
      <c r="F243" s="445"/>
      <c r="G243" s="445"/>
      <c r="H243" s="445"/>
      <c r="I243" s="445"/>
      <c r="J243" s="445"/>
      <c r="K243" s="1136"/>
      <c r="L243" s="1136"/>
      <c r="M243" s="445"/>
      <c r="N243" s="445"/>
      <c r="O243" s="445"/>
      <c r="P243" s="445"/>
    </row>
    <row r="244" spans="1:16">
      <c r="A244" s="445"/>
      <c r="B244" s="445"/>
      <c r="C244" s="445"/>
      <c r="D244" s="445"/>
      <c r="E244" s="445"/>
      <c r="F244" s="445"/>
      <c r="G244" s="445"/>
      <c r="H244" s="445"/>
      <c r="I244" s="445"/>
      <c r="J244" s="445"/>
      <c r="K244" s="1136"/>
      <c r="L244" s="1136"/>
      <c r="M244" s="445"/>
      <c r="N244" s="445"/>
      <c r="O244" s="445"/>
      <c r="P244" s="445"/>
    </row>
    <row r="245" spans="1:16">
      <c r="A245" s="445"/>
      <c r="B245" s="445"/>
      <c r="C245" s="445"/>
      <c r="D245" s="445"/>
      <c r="E245" s="445"/>
      <c r="F245" s="445"/>
      <c r="G245" s="445"/>
      <c r="H245" s="445"/>
      <c r="I245" s="445"/>
      <c r="J245" s="445"/>
      <c r="K245" s="1136"/>
      <c r="L245" s="1136"/>
      <c r="M245" s="445"/>
      <c r="N245" s="445"/>
      <c r="O245" s="445"/>
      <c r="P245" s="445"/>
    </row>
    <row r="246" spans="1:16">
      <c r="A246" s="445"/>
      <c r="B246" s="445"/>
      <c r="C246" s="445"/>
      <c r="D246" s="445"/>
      <c r="E246" s="445"/>
      <c r="F246" s="445"/>
      <c r="G246" s="445"/>
      <c r="H246" s="445"/>
      <c r="I246" s="445"/>
      <c r="J246" s="445"/>
      <c r="K246" s="1136"/>
      <c r="L246" s="1136"/>
      <c r="M246" s="445"/>
      <c r="N246" s="445"/>
      <c r="O246" s="445"/>
      <c r="P246" s="445"/>
    </row>
    <row r="247" spans="1:16">
      <c r="A247" s="445"/>
      <c r="B247" s="445"/>
      <c r="C247" s="445"/>
      <c r="D247" s="445"/>
      <c r="E247" s="445"/>
      <c r="F247" s="445"/>
      <c r="G247" s="445"/>
      <c r="H247" s="445"/>
      <c r="I247" s="445"/>
      <c r="J247" s="445"/>
      <c r="K247" s="1136"/>
      <c r="L247" s="1136"/>
      <c r="M247" s="445"/>
      <c r="N247" s="445"/>
      <c r="O247" s="445"/>
      <c r="P247" s="445"/>
    </row>
    <row r="248" spans="1:16">
      <c r="A248" s="445"/>
      <c r="B248" s="445"/>
      <c r="C248" s="445"/>
      <c r="D248" s="445"/>
      <c r="E248" s="445"/>
      <c r="F248" s="445"/>
      <c r="G248" s="445"/>
      <c r="H248" s="445"/>
      <c r="I248" s="445"/>
      <c r="J248" s="445"/>
      <c r="K248" s="1136"/>
      <c r="L248" s="1136"/>
      <c r="M248" s="445"/>
      <c r="N248" s="445"/>
      <c r="O248" s="445"/>
      <c r="P248" s="445"/>
    </row>
    <row r="249" spans="1:16">
      <c r="A249" s="445"/>
      <c r="B249" s="445"/>
      <c r="C249" s="445"/>
      <c r="D249" s="445"/>
      <c r="E249" s="445"/>
      <c r="F249" s="445"/>
      <c r="G249" s="445"/>
      <c r="H249" s="445"/>
      <c r="I249" s="445"/>
      <c r="J249" s="445"/>
      <c r="K249" s="1136"/>
      <c r="L249" s="1136"/>
      <c r="M249" s="445"/>
      <c r="N249" s="445"/>
      <c r="O249" s="445"/>
      <c r="P249" s="445"/>
    </row>
    <row r="250" spans="1:16">
      <c r="A250" s="445"/>
      <c r="B250" s="445"/>
      <c r="C250" s="445"/>
      <c r="D250" s="445"/>
      <c r="E250" s="445"/>
      <c r="F250" s="445"/>
      <c r="G250" s="445"/>
      <c r="H250" s="445"/>
      <c r="I250" s="445"/>
      <c r="J250" s="445"/>
      <c r="K250" s="1136"/>
      <c r="L250" s="1136"/>
      <c r="M250" s="445"/>
      <c r="N250" s="445"/>
      <c r="O250" s="445"/>
      <c r="P250" s="445"/>
    </row>
    <row r="251" spans="1:16">
      <c r="A251" s="445"/>
      <c r="B251" s="445"/>
      <c r="C251" s="445"/>
      <c r="D251" s="445"/>
      <c r="E251" s="445"/>
      <c r="F251" s="445"/>
      <c r="G251" s="445"/>
      <c r="H251" s="445"/>
      <c r="I251" s="445"/>
      <c r="J251" s="445"/>
      <c r="K251" s="1136"/>
      <c r="L251" s="1136"/>
      <c r="M251" s="445"/>
      <c r="N251" s="445"/>
      <c r="O251" s="445"/>
      <c r="P251" s="445"/>
    </row>
    <row r="252" spans="1:16">
      <c r="A252" s="445"/>
      <c r="B252" s="445"/>
      <c r="C252" s="445"/>
      <c r="D252" s="445"/>
      <c r="E252" s="445"/>
      <c r="F252" s="445"/>
      <c r="G252" s="445"/>
      <c r="H252" s="445"/>
      <c r="I252" s="445"/>
      <c r="J252" s="445"/>
      <c r="K252" s="1136"/>
      <c r="L252" s="1136"/>
      <c r="M252" s="445"/>
      <c r="N252" s="445"/>
      <c r="O252" s="445"/>
      <c r="P252" s="445"/>
    </row>
    <row r="253" spans="1:16">
      <c r="A253" s="445"/>
      <c r="B253" s="445"/>
      <c r="C253" s="445"/>
      <c r="D253" s="445"/>
      <c r="E253" s="445"/>
      <c r="F253" s="445"/>
      <c r="G253" s="445"/>
      <c r="H253" s="445"/>
      <c r="I253" s="445"/>
      <c r="J253" s="445"/>
      <c r="K253" s="1136"/>
      <c r="L253" s="1136"/>
      <c r="M253" s="445"/>
      <c r="N253" s="445"/>
      <c r="O253" s="445"/>
      <c r="P253" s="445"/>
    </row>
    <row r="254" spans="1:16">
      <c r="A254" s="445"/>
      <c r="B254" s="445"/>
      <c r="C254" s="445"/>
      <c r="D254" s="445"/>
      <c r="E254" s="445"/>
      <c r="F254" s="445"/>
      <c r="G254" s="445"/>
      <c r="H254" s="445"/>
      <c r="I254" s="445"/>
      <c r="J254" s="445"/>
      <c r="K254" s="1136"/>
      <c r="L254" s="1136"/>
      <c r="M254" s="445"/>
      <c r="N254" s="445"/>
      <c r="O254" s="445"/>
      <c r="P254" s="445"/>
    </row>
    <row r="255" spans="1:16">
      <c r="A255" s="445"/>
      <c r="B255" s="445"/>
      <c r="C255" s="445"/>
      <c r="D255" s="445"/>
      <c r="E255" s="445"/>
      <c r="F255" s="445"/>
      <c r="G255" s="445"/>
      <c r="H255" s="445"/>
      <c r="I255" s="445"/>
      <c r="J255" s="445"/>
      <c r="K255" s="1136"/>
      <c r="L255" s="1136"/>
      <c r="M255" s="445"/>
      <c r="N255" s="445"/>
      <c r="O255" s="445"/>
      <c r="P255" s="445"/>
    </row>
    <row r="256" spans="1:16">
      <c r="A256" s="445"/>
      <c r="B256" s="445"/>
      <c r="C256" s="445"/>
      <c r="D256" s="445"/>
      <c r="E256" s="445"/>
      <c r="F256" s="445"/>
      <c r="G256" s="445"/>
      <c r="H256" s="445"/>
      <c r="I256" s="445"/>
      <c r="J256" s="445"/>
      <c r="K256" s="1136"/>
      <c r="L256" s="1136"/>
      <c r="M256" s="445"/>
      <c r="N256" s="445"/>
      <c r="O256" s="445"/>
      <c r="P256" s="445"/>
    </row>
    <row r="257" spans="1:16">
      <c r="A257" s="445"/>
      <c r="B257" s="445"/>
      <c r="C257" s="445"/>
      <c r="D257" s="445"/>
      <c r="E257" s="445"/>
      <c r="F257" s="445"/>
      <c r="G257" s="445"/>
      <c r="H257" s="445"/>
      <c r="I257" s="445"/>
      <c r="J257" s="445"/>
      <c r="K257" s="1136"/>
      <c r="L257" s="1136"/>
      <c r="M257" s="445"/>
      <c r="N257" s="445"/>
      <c r="O257" s="445"/>
      <c r="P257" s="445"/>
    </row>
    <row r="258" spans="1:16">
      <c r="A258" s="445"/>
      <c r="B258" s="445"/>
      <c r="C258" s="445"/>
      <c r="D258" s="445"/>
      <c r="E258" s="445"/>
      <c r="F258" s="445"/>
      <c r="G258" s="445"/>
      <c r="H258" s="445"/>
      <c r="I258" s="445"/>
      <c r="J258" s="445"/>
      <c r="K258" s="1136"/>
      <c r="L258" s="1136"/>
      <c r="M258" s="445"/>
      <c r="N258" s="445"/>
      <c r="O258" s="445"/>
      <c r="P258" s="445"/>
    </row>
    <row r="259" spans="1:16">
      <c r="A259" s="445"/>
      <c r="B259" s="445"/>
      <c r="C259" s="445"/>
      <c r="D259" s="445"/>
      <c r="E259" s="445"/>
      <c r="F259" s="445"/>
      <c r="G259" s="445"/>
      <c r="H259" s="445"/>
      <c r="I259" s="445"/>
      <c r="J259" s="445"/>
      <c r="K259" s="1136"/>
      <c r="L259" s="1136"/>
      <c r="M259" s="445"/>
      <c r="N259" s="445"/>
      <c r="O259" s="445"/>
      <c r="P259" s="445"/>
    </row>
    <row r="260" spans="1:16">
      <c r="A260" s="445"/>
      <c r="B260" s="445"/>
      <c r="C260" s="445"/>
      <c r="D260" s="445"/>
      <c r="E260" s="445"/>
      <c r="F260" s="445"/>
      <c r="G260" s="445"/>
      <c r="H260" s="445"/>
      <c r="I260" s="445"/>
      <c r="J260" s="445"/>
      <c r="K260" s="1136"/>
      <c r="L260" s="1136"/>
      <c r="M260" s="445"/>
      <c r="N260" s="445"/>
      <c r="O260" s="445"/>
      <c r="P260" s="445"/>
    </row>
    <row r="261" spans="1:16">
      <c r="A261" s="445"/>
      <c r="B261" s="445"/>
      <c r="C261" s="445"/>
      <c r="D261" s="445"/>
      <c r="E261" s="445"/>
      <c r="F261" s="445"/>
      <c r="G261" s="445"/>
      <c r="H261" s="445"/>
      <c r="I261" s="445"/>
      <c r="J261" s="445"/>
      <c r="K261" s="1136"/>
      <c r="L261" s="1136"/>
      <c r="M261" s="445"/>
      <c r="N261" s="445"/>
      <c r="O261" s="445"/>
      <c r="P261" s="445"/>
    </row>
    <row r="262" spans="1:16">
      <c r="A262" s="445"/>
      <c r="B262" s="445"/>
      <c r="C262" s="445"/>
      <c r="D262" s="445"/>
      <c r="E262" s="445"/>
      <c r="F262" s="445"/>
      <c r="G262" s="445"/>
      <c r="H262" s="445"/>
      <c r="I262" s="445"/>
      <c r="J262" s="445"/>
      <c r="K262" s="1136"/>
      <c r="L262" s="1136"/>
      <c r="M262" s="445"/>
      <c r="N262" s="445"/>
      <c r="O262" s="445"/>
      <c r="P262" s="445"/>
    </row>
    <row r="263" spans="1:16">
      <c r="A263" s="445"/>
      <c r="B263" s="445"/>
      <c r="C263" s="445"/>
      <c r="D263" s="445"/>
      <c r="E263" s="445"/>
      <c r="F263" s="445"/>
      <c r="G263" s="445"/>
      <c r="H263" s="445"/>
      <c r="I263" s="445"/>
      <c r="J263" s="445"/>
      <c r="K263" s="1136"/>
      <c r="L263" s="1136"/>
      <c r="M263" s="445"/>
      <c r="N263" s="445"/>
      <c r="O263" s="445"/>
      <c r="P263" s="445"/>
    </row>
    <row r="264" spans="1:16">
      <c r="A264" s="445"/>
      <c r="B264" s="445"/>
      <c r="C264" s="445"/>
      <c r="D264" s="445"/>
      <c r="E264" s="445"/>
      <c r="F264" s="445"/>
      <c r="G264" s="445"/>
      <c r="H264" s="445"/>
      <c r="I264" s="445"/>
      <c r="J264" s="445"/>
      <c r="K264" s="1136"/>
      <c r="L264" s="1136"/>
      <c r="M264" s="445"/>
      <c r="N264" s="445"/>
      <c r="O264" s="445"/>
      <c r="P264" s="445"/>
    </row>
    <row r="265" spans="1:16">
      <c r="A265" s="445"/>
      <c r="B265" s="445"/>
      <c r="C265" s="445"/>
      <c r="D265" s="445"/>
      <c r="E265" s="445"/>
      <c r="F265" s="445"/>
      <c r="G265" s="445"/>
      <c r="H265" s="445"/>
      <c r="I265" s="445"/>
      <c r="J265" s="445"/>
      <c r="K265" s="1136"/>
      <c r="L265" s="1136"/>
      <c r="M265" s="445"/>
      <c r="N265" s="445"/>
      <c r="O265" s="445"/>
      <c r="P265" s="445"/>
    </row>
    <row r="266" spans="1:16">
      <c r="A266" s="445"/>
      <c r="B266" s="445"/>
      <c r="C266" s="445"/>
      <c r="D266" s="445"/>
      <c r="E266" s="445"/>
      <c r="F266" s="445"/>
      <c r="G266" s="445"/>
      <c r="H266" s="445"/>
      <c r="I266" s="445"/>
      <c r="J266" s="445"/>
      <c r="K266" s="1136"/>
      <c r="L266" s="1136"/>
      <c r="M266" s="445"/>
      <c r="N266" s="445"/>
      <c r="O266" s="445"/>
      <c r="P266" s="445"/>
    </row>
    <row r="267" spans="1:16">
      <c r="A267" s="445"/>
      <c r="B267" s="445"/>
      <c r="C267" s="445"/>
      <c r="D267" s="445"/>
      <c r="E267" s="445"/>
      <c r="F267" s="445"/>
      <c r="G267" s="445"/>
      <c r="H267" s="445"/>
      <c r="I267" s="445"/>
      <c r="J267" s="445"/>
      <c r="K267" s="1136"/>
      <c r="L267" s="1136"/>
      <c r="M267" s="445"/>
      <c r="N267" s="445"/>
      <c r="O267" s="445"/>
      <c r="P267" s="445"/>
    </row>
    <row r="268" spans="1:16">
      <c r="A268" s="445"/>
      <c r="B268" s="445"/>
      <c r="C268" s="445"/>
      <c r="D268" s="445"/>
      <c r="E268" s="445"/>
      <c r="F268" s="445"/>
      <c r="G268" s="445"/>
      <c r="H268" s="445"/>
      <c r="I268" s="445"/>
      <c r="J268" s="445"/>
      <c r="K268" s="1136"/>
      <c r="L268" s="1136"/>
      <c r="M268" s="445"/>
      <c r="N268" s="445"/>
      <c r="O268" s="445"/>
      <c r="P268" s="445"/>
    </row>
    <row r="269" spans="1:16">
      <c r="A269" s="445"/>
      <c r="B269" s="445"/>
      <c r="C269" s="445"/>
      <c r="D269" s="445"/>
      <c r="E269" s="445"/>
      <c r="F269" s="445"/>
      <c r="G269" s="445"/>
      <c r="H269" s="445"/>
      <c r="I269" s="445"/>
      <c r="J269" s="445"/>
      <c r="K269" s="1136"/>
      <c r="L269" s="1136"/>
      <c r="M269" s="445"/>
      <c r="N269" s="445"/>
      <c r="O269" s="445"/>
      <c r="P269" s="445"/>
    </row>
    <row r="270" spans="1:16">
      <c r="A270" s="445"/>
      <c r="B270" s="445"/>
      <c r="C270" s="445"/>
      <c r="D270" s="445"/>
      <c r="E270" s="445"/>
      <c r="F270" s="445"/>
      <c r="G270" s="445"/>
      <c r="H270" s="445"/>
      <c r="I270" s="445"/>
      <c r="J270" s="445"/>
      <c r="K270" s="1136"/>
      <c r="L270" s="1136"/>
      <c r="M270" s="445"/>
      <c r="N270" s="445"/>
      <c r="O270" s="445"/>
      <c r="P270" s="445"/>
    </row>
    <row r="271" spans="1:16">
      <c r="A271" s="445"/>
      <c r="B271" s="445"/>
      <c r="C271" s="445"/>
      <c r="D271" s="445"/>
      <c r="E271" s="445"/>
      <c r="F271" s="445"/>
      <c r="G271" s="445"/>
      <c r="H271" s="445"/>
      <c r="I271" s="445"/>
      <c r="J271" s="445"/>
      <c r="K271" s="1136"/>
      <c r="L271" s="1136"/>
      <c r="M271" s="445"/>
      <c r="N271" s="445"/>
      <c r="O271" s="445"/>
      <c r="P271" s="445"/>
    </row>
    <row r="272" spans="1:16">
      <c r="A272" s="445"/>
      <c r="B272" s="445"/>
      <c r="C272" s="445"/>
      <c r="D272" s="445"/>
      <c r="E272" s="445"/>
      <c r="F272" s="445"/>
      <c r="G272" s="445"/>
      <c r="H272" s="445"/>
      <c r="I272" s="445"/>
      <c r="J272" s="445"/>
      <c r="K272" s="1136"/>
      <c r="L272" s="1136"/>
      <c r="M272" s="445"/>
      <c r="N272" s="445"/>
      <c r="O272" s="445"/>
      <c r="P272" s="445"/>
    </row>
    <row r="273" spans="1:16">
      <c r="A273" s="445"/>
      <c r="B273" s="445"/>
      <c r="C273" s="445"/>
      <c r="D273" s="445"/>
      <c r="E273" s="445"/>
      <c r="F273" s="445"/>
      <c r="G273" s="445"/>
      <c r="H273" s="445"/>
      <c r="I273" s="445"/>
      <c r="J273" s="445"/>
      <c r="K273" s="1136"/>
      <c r="L273" s="1136"/>
      <c r="M273" s="445"/>
      <c r="N273" s="445"/>
      <c r="O273" s="445"/>
      <c r="P273" s="445"/>
    </row>
    <row r="274" spans="1:16">
      <c r="A274" s="445"/>
      <c r="B274" s="445"/>
      <c r="C274" s="445"/>
      <c r="D274" s="445"/>
      <c r="E274" s="445"/>
      <c r="F274" s="445"/>
      <c r="G274" s="445"/>
      <c r="H274" s="445"/>
      <c r="I274" s="445"/>
      <c r="J274" s="445"/>
      <c r="K274" s="1136"/>
      <c r="L274" s="1136"/>
      <c r="M274" s="445"/>
      <c r="N274" s="445"/>
      <c r="O274" s="445"/>
      <c r="P274" s="445"/>
    </row>
    <row r="275" spans="1:16">
      <c r="A275" s="445"/>
      <c r="B275" s="445"/>
      <c r="C275" s="445"/>
      <c r="D275" s="445"/>
      <c r="E275" s="445"/>
      <c r="F275" s="445"/>
      <c r="G275" s="445"/>
      <c r="H275" s="445"/>
      <c r="I275" s="445"/>
      <c r="J275" s="445"/>
      <c r="K275" s="1136"/>
      <c r="L275" s="1136"/>
      <c r="M275" s="445"/>
      <c r="N275" s="445"/>
      <c r="O275" s="445"/>
      <c r="P275" s="445"/>
    </row>
    <row r="276" spans="1:16">
      <c r="A276" s="445"/>
      <c r="B276" s="445"/>
      <c r="C276" s="445"/>
      <c r="D276" s="445"/>
      <c r="E276" s="445"/>
      <c r="F276" s="445"/>
      <c r="G276" s="445"/>
      <c r="H276" s="445"/>
      <c r="I276" s="445"/>
      <c r="J276" s="445"/>
      <c r="K276" s="1136"/>
      <c r="L276" s="1136"/>
      <c r="M276" s="445"/>
      <c r="N276" s="445"/>
      <c r="O276" s="445"/>
      <c r="P276" s="445"/>
    </row>
    <row r="277" spans="1:16">
      <c r="A277" s="445"/>
      <c r="B277" s="445"/>
      <c r="C277" s="445"/>
      <c r="D277" s="445"/>
      <c r="E277" s="445"/>
      <c r="F277" s="445"/>
      <c r="G277" s="445"/>
      <c r="H277" s="445"/>
      <c r="I277" s="445"/>
      <c r="J277" s="445"/>
      <c r="K277" s="1136"/>
      <c r="L277" s="1136"/>
      <c r="M277" s="445"/>
      <c r="N277" s="445"/>
      <c r="O277" s="445"/>
      <c r="P277" s="445"/>
    </row>
    <row r="278" spans="1:16">
      <c r="A278" s="445"/>
      <c r="B278" s="445"/>
      <c r="C278" s="445"/>
      <c r="D278" s="445"/>
      <c r="E278" s="445"/>
      <c r="F278" s="445"/>
      <c r="G278" s="445"/>
      <c r="H278" s="445"/>
      <c r="I278" s="445"/>
      <c r="J278" s="445"/>
      <c r="K278" s="1136"/>
      <c r="L278" s="1136"/>
      <c r="M278" s="445"/>
      <c r="N278" s="445"/>
      <c r="O278" s="445"/>
      <c r="P278" s="445"/>
    </row>
    <row r="279" spans="1:16">
      <c r="A279" s="445"/>
      <c r="B279" s="445"/>
      <c r="C279" s="445"/>
      <c r="D279" s="445"/>
      <c r="E279" s="445"/>
      <c r="F279" s="445"/>
      <c r="G279" s="445"/>
      <c r="H279" s="445"/>
      <c r="I279" s="445"/>
      <c r="J279" s="445"/>
      <c r="K279" s="1136"/>
      <c r="L279" s="1136"/>
      <c r="M279" s="445"/>
      <c r="N279" s="445"/>
      <c r="O279" s="445"/>
      <c r="P279" s="445"/>
    </row>
    <row r="280" spans="1:16">
      <c r="A280" s="445"/>
      <c r="B280" s="445"/>
      <c r="C280" s="445"/>
      <c r="D280" s="445"/>
      <c r="E280" s="445"/>
      <c r="F280" s="445"/>
      <c r="G280" s="445"/>
      <c r="H280" s="445"/>
      <c r="I280" s="445"/>
      <c r="J280" s="445"/>
      <c r="K280" s="1136"/>
      <c r="L280" s="1136"/>
      <c r="M280" s="445"/>
      <c r="N280" s="445"/>
      <c r="O280" s="445"/>
      <c r="P280" s="445"/>
    </row>
    <row r="281" spans="1:16">
      <c r="A281" s="445"/>
      <c r="B281" s="445"/>
      <c r="C281" s="445"/>
      <c r="D281" s="445"/>
      <c r="E281" s="445"/>
      <c r="F281" s="445"/>
      <c r="G281" s="445"/>
      <c r="H281" s="445"/>
      <c r="I281" s="445"/>
      <c r="J281" s="445"/>
      <c r="K281" s="1136"/>
      <c r="L281" s="1136"/>
      <c r="M281" s="445"/>
      <c r="N281" s="445"/>
      <c r="O281" s="445"/>
      <c r="P281" s="445"/>
    </row>
    <row r="282" spans="1:16">
      <c r="A282" s="445"/>
      <c r="B282" s="445"/>
      <c r="C282" s="445"/>
      <c r="D282" s="445"/>
      <c r="E282" s="445"/>
      <c r="F282" s="445"/>
      <c r="G282" s="445"/>
      <c r="H282" s="445"/>
      <c r="I282" s="445"/>
      <c r="J282" s="445"/>
      <c r="K282" s="1136"/>
      <c r="L282" s="1136"/>
      <c r="M282" s="445"/>
      <c r="N282" s="445"/>
      <c r="O282" s="445"/>
      <c r="P282" s="445"/>
    </row>
    <row r="283" spans="1:16">
      <c r="A283" s="445"/>
      <c r="B283" s="445"/>
      <c r="C283" s="445"/>
      <c r="D283" s="445"/>
      <c r="E283" s="445"/>
      <c r="F283" s="445"/>
      <c r="G283" s="445"/>
      <c r="H283" s="445"/>
      <c r="I283" s="445"/>
      <c r="J283" s="445"/>
      <c r="K283" s="1136"/>
      <c r="L283" s="1136"/>
      <c r="M283" s="445"/>
      <c r="N283" s="445"/>
      <c r="O283" s="445"/>
      <c r="P283" s="445"/>
    </row>
    <row r="284" spans="1:16">
      <c r="A284" s="445"/>
      <c r="B284" s="445"/>
      <c r="C284" s="445"/>
      <c r="D284" s="445"/>
      <c r="E284" s="445"/>
      <c r="F284" s="445"/>
      <c r="G284" s="445"/>
      <c r="H284" s="445"/>
      <c r="I284" s="445"/>
      <c r="J284" s="445"/>
      <c r="K284" s="1136"/>
      <c r="L284" s="1136"/>
      <c r="M284" s="445"/>
      <c r="N284" s="445"/>
      <c r="O284" s="445"/>
      <c r="P284" s="445"/>
    </row>
    <row r="285" spans="1:16">
      <c r="A285" s="445"/>
      <c r="B285" s="445"/>
      <c r="C285" s="445"/>
      <c r="D285" s="445"/>
      <c r="E285" s="445"/>
      <c r="F285" s="445"/>
      <c r="G285" s="445"/>
      <c r="H285" s="445"/>
      <c r="I285" s="445"/>
      <c r="J285" s="445"/>
      <c r="K285" s="1136"/>
      <c r="L285" s="1136"/>
      <c r="M285" s="445"/>
      <c r="N285" s="445"/>
      <c r="O285" s="445"/>
      <c r="P285" s="445"/>
    </row>
    <row r="286" spans="1:16">
      <c r="A286" s="445"/>
      <c r="B286" s="445"/>
      <c r="C286" s="445"/>
      <c r="D286" s="445"/>
      <c r="E286" s="445"/>
      <c r="F286" s="445"/>
      <c r="G286" s="445"/>
      <c r="H286" s="445"/>
      <c r="I286" s="445"/>
      <c r="J286" s="445"/>
      <c r="K286" s="1136"/>
      <c r="L286" s="1136"/>
      <c r="M286" s="445"/>
      <c r="N286" s="445"/>
      <c r="O286" s="445"/>
      <c r="P286" s="445"/>
    </row>
    <row r="287" spans="1:16">
      <c r="A287" s="445"/>
      <c r="B287" s="445"/>
      <c r="C287" s="445"/>
      <c r="D287" s="445"/>
      <c r="E287" s="445"/>
      <c r="F287" s="445"/>
      <c r="G287" s="445"/>
      <c r="H287" s="445"/>
      <c r="I287" s="445"/>
      <c r="J287" s="445"/>
      <c r="K287" s="1136"/>
      <c r="L287" s="1136"/>
      <c r="M287" s="445"/>
      <c r="N287" s="445"/>
      <c r="O287" s="445"/>
      <c r="P287" s="445"/>
    </row>
    <row r="288" spans="1:16">
      <c r="A288" s="445"/>
      <c r="B288" s="445"/>
      <c r="C288" s="445"/>
      <c r="D288" s="445"/>
      <c r="E288" s="445"/>
      <c r="F288" s="445"/>
      <c r="G288" s="445"/>
      <c r="H288" s="445"/>
      <c r="I288" s="445"/>
      <c r="J288" s="445"/>
      <c r="K288" s="1136"/>
      <c r="L288" s="1136"/>
      <c r="M288" s="445"/>
      <c r="N288" s="445"/>
      <c r="O288" s="445"/>
      <c r="P288" s="445"/>
    </row>
    <row r="289" spans="1:16">
      <c r="A289" s="445"/>
      <c r="B289" s="445"/>
      <c r="C289" s="445"/>
      <c r="D289" s="445"/>
      <c r="E289" s="445"/>
      <c r="F289" s="445"/>
      <c r="G289" s="445"/>
      <c r="H289" s="445"/>
      <c r="I289" s="445"/>
      <c r="J289" s="445"/>
      <c r="K289" s="1136"/>
      <c r="L289" s="1136"/>
      <c r="M289" s="445"/>
      <c r="N289" s="445"/>
      <c r="O289" s="445"/>
      <c r="P289" s="445"/>
    </row>
    <row r="290" spans="1:16">
      <c r="A290" s="445"/>
      <c r="B290" s="445"/>
      <c r="C290" s="445"/>
      <c r="D290" s="445"/>
      <c r="E290" s="445"/>
      <c r="F290" s="445"/>
      <c r="G290" s="445"/>
      <c r="H290" s="445"/>
      <c r="I290" s="445"/>
      <c r="J290" s="445"/>
      <c r="K290" s="1136"/>
      <c r="L290" s="1136"/>
      <c r="M290" s="445"/>
      <c r="N290" s="445"/>
      <c r="O290" s="445"/>
      <c r="P290" s="445"/>
    </row>
    <row r="291" spans="1:16">
      <c r="A291" s="445"/>
      <c r="B291" s="445"/>
      <c r="C291" s="445"/>
      <c r="D291" s="445"/>
      <c r="E291" s="445"/>
      <c r="F291" s="445"/>
      <c r="G291" s="445"/>
      <c r="H291" s="445"/>
      <c r="I291" s="445"/>
      <c r="J291" s="445"/>
      <c r="K291" s="1136"/>
      <c r="L291" s="1136"/>
      <c r="M291" s="445"/>
      <c r="N291" s="445"/>
      <c r="O291" s="445"/>
      <c r="P291" s="445"/>
    </row>
    <row r="292" spans="1:16">
      <c r="A292" s="445"/>
      <c r="B292" s="445"/>
      <c r="C292" s="445"/>
      <c r="D292" s="445"/>
      <c r="E292" s="445"/>
      <c r="F292" s="445"/>
      <c r="G292" s="445"/>
      <c r="H292" s="445"/>
      <c r="I292" s="445"/>
      <c r="J292" s="445"/>
      <c r="K292" s="1136"/>
      <c r="L292" s="1136"/>
      <c r="M292" s="445"/>
      <c r="N292" s="445"/>
      <c r="O292" s="445"/>
      <c r="P292" s="445"/>
    </row>
    <row r="293" spans="1:16">
      <c r="A293" s="445"/>
      <c r="B293" s="445"/>
      <c r="C293" s="445"/>
      <c r="D293" s="445"/>
      <c r="E293" s="445"/>
      <c r="F293" s="445"/>
      <c r="G293" s="445"/>
      <c r="H293" s="445"/>
      <c r="I293" s="445"/>
      <c r="J293" s="445"/>
      <c r="K293" s="1136"/>
      <c r="L293" s="1136"/>
      <c r="M293" s="445"/>
      <c r="N293" s="445"/>
      <c r="O293" s="445"/>
      <c r="P293" s="445"/>
    </row>
    <row r="294" spans="1:16">
      <c r="A294" s="445"/>
      <c r="B294" s="445"/>
      <c r="C294" s="445"/>
      <c r="D294" s="445"/>
      <c r="E294" s="445"/>
      <c r="F294" s="445"/>
      <c r="G294" s="445"/>
      <c r="H294" s="445"/>
      <c r="I294" s="445"/>
      <c r="J294" s="445"/>
      <c r="K294" s="1136"/>
      <c r="L294" s="1136"/>
      <c r="M294" s="445"/>
      <c r="N294" s="445"/>
      <c r="O294" s="445"/>
      <c r="P294" s="445"/>
    </row>
    <row r="295" spans="1:16">
      <c r="A295" s="445"/>
      <c r="B295" s="445"/>
      <c r="C295" s="445"/>
      <c r="D295" s="445"/>
      <c r="E295" s="445"/>
      <c r="F295" s="445"/>
      <c r="G295" s="445"/>
      <c r="H295" s="445"/>
      <c r="I295" s="445"/>
      <c r="J295" s="445"/>
      <c r="K295" s="1136"/>
      <c r="L295" s="1136"/>
      <c r="M295" s="445"/>
      <c r="N295" s="445"/>
      <c r="O295" s="445"/>
      <c r="P295" s="445"/>
    </row>
    <row r="296" spans="1:16">
      <c r="A296" s="445"/>
      <c r="B296" s="445"/>
      <c r="C296" s="445"/>
      <c r="D296" s="445"/>
      <c r="E296" s="445"/>
      <c r="F296" s="445"/>
      <c r="G296" s="445"/>
      <c r="H296" s="445"/>
      <c r="I296" s="445"/>
      <c r="J296" s="445"/>
      <c r="K296" s="1136"/>
      <c r="L296" s="1136"/>
      <c r="M296" s="445"/>
      <c r="N296" s="445"/>
      <c r="O296" s="445"/>
      <c r="P296" s="445"/>
    </row>
    <row r="297" spans="1:16">
      <c r="A297" s="445"/>
      <c r="B297" s="445"/>
      <c r="C297" s="445"/>
      <c r="D297" s="445"/>
      <c r="E297" s="445"/>
      <c r="F297" s="445"/>
      <c r="G297" s="445"/>
      <c r="H297" s="445"/>
      <c r="I297" s="445"/>
      <c r="J297" s="445"/>
      <c r="K297" s="1136"/>
      <c r="L297" s="1136"/>
      <c r="M297" s="445"/>
      <c r="N297" s="445"/>
      <c r="O297" s="445"/>
      <c r="P297" s="445"/>
    </row>
    <row r="298" spans="1:16">
      <c r="A298" s="445"/>
      <c r="B298" s="445"/>
      <c r="C298" s="445"/>
      <c r="D298" s="445"/>
      <c r="E298" s="445"/>
      <c r="F298" s="445"/>
      <c r="G298" s="445"/>
      <c r="H298" s="445"/>
      <c r="I298" s="445"/>
      <c r="J298" s="445"/>
      <c r="K298" s="1136"/>
      <c r="L298" s="1136"/>
      <c r="M298" s="445"/>
      <c r="N298" s="445"/>
      <c r="O298" s="445"/>
      <c r="P298" s="445"/>
    </row>
    <row r="299" spans="1:16">
      <c r="A299" s="445"/>
      <c r="B299" s="445"/>
      <c r="C299" s="445"/>
      <c r="D299" s="445"/>
      <c r="E299" s="445"/>
      <c r="F299" s="445"/>
      <c r="G299" s="445"/>
      <c r="H299" s="445"/>
      <c r="I299" s="445"/>
      <c r="J299" s="445"/>
      <c r="K299" s="1136"/>
      <c r="L299" s="1136"/>
      <c r="M299" s="445"/>
      <c r="N299" s="445"/>
      <c r="O299" s="445"/>
      <c r="P299" s="445"/>
    </row>
    <row r="300" spans="1:16">
      <c r="A300" s="445"/>
      <c r="B300" s="445"/>
      <c r="C300" s="445"/>
      <c r="D300" s="445"/>
      <c r="E300" s="445"/>
      <c r="F300" s="445"/>
      <c r="G300" s="445"/>
      <c r="H300" s="445"/>
      <c r="I300" s="445"/>
      <c r="J300" s="445"/>
      <c r="K300" s="1136"/>
      <c r="L300" s="1136"/>
      <c r="M300" s="445"/>
      <c r="N300" s="445"/>
      <c r="O300" s="445"/>
      <c r="P300" s="445"/>
    </row>
    <row r="301" spans="1:16">
      <c r="A301" s="445"/>
      <c r="B301" s="445"/>
      <c r="C301" s="445"/>
      <c r="D301" s="445"/>
      <c r="E301" s="445"/>
      <c r="F301" s="445"/>
      <c r="G301" s="445"/>
      <c r="H301" s="445"/>
      <c r="I301" s="445"/>
      <c r="J301" s="445"/>
      <c r="K301" s="1136"/>
      <c r="L301" s="1136"/>
      <c r="M301" s="445"/>
      <c r="N301" s="445"/>
      <c r="O301" s="445"/>
      <c r="P301" s="445"/>
    </row>
    <row r="302" spans="1:16">
      <c r="A302" s="445"/>
      <c r="B302" s="445"/>
      <c r="C302" s="445"/>
      <c r="D302" s="445"/>
      <c r="E302" s="445"/>
      <c r="F302" s="445"/>
      <c r="G302" s="445"/>
      <c r="H302" s="445"/>
      <c r="I302" s="445"/>
      <c r="J302" s="445"/>
      <c r="K302" s="1136"/>
      <c r="L302" s="1136"/>
      <c r="M302" s="445"/>
      <c r="N302" s="445"/>
      <c r="O302" s="445"/>
      <c r="P302" s="445"/>
    </row>
    <row r="303" spans="1:16">
      <c r="A303" s="445"/>
      <c r="B303" s="445"/>
      <c r="C303" s="445"/>
      <c r="D303" s="445"/>
      <c r="E303" s="445"/>
      <c r="F303" s="445"/>
      <c r="G303" s="445"/>
      <c r="H303" s="445"/>
      <c r="I303" s="445"/>
      <c r="J303" s="445"/>
      <c r="K303" s="1136"/>
      <c r="L303" s="1136"/>
      <c r="M303" s="445"/>
      <c r="N303" s="445"/>
      <c r="O303" s="445"/>
      <c r="P303" s="445"/>
    </row>
    <row r="304" spans="1:16">
      <c r="A304" s="445"/>
      <c r="B304" s="445"/>
      <c r="C304" s="445"/>
      <c r="D304" s="445"/>
      <c r="E304" s="445"/>
      <c r="F304" s="445"/>
      <c r="G304" s="445"/>
      <c r="H304" s="445"/>
      <c r="I304" s="445"/>
      <c r="J304" s="445"/>
      <c r="K304" s="1136"/>
      <c r="L304" s="1136"/>
      <c r="M304" s="445"/>
      <c r="N304" s="445"/>
      <c r="O304" s="445"/>
      <c r="P304" s="445"/>
    </row>
    <row r="305" spans="1:16">
      <c r="A305" s="445"/>
      <c r="B305" s="445"/>
      <c r="C305" s="445"/>
      <c r="D305" s="445"/>
      <c r="E305" s="445"/>
      <c r="F305" s="445"/>
      <c r="G305" s="445"/>
      <c r="H305" s="445"/>
      <c r="I305" s="445"/>
      <c r="J305" s="445"/>
      <c r="K305" s="1136"/>
      <c r="L305" s="1136"/>
      <c r="M305" s="445"/>
      <c r="N305" s="445"/>
      <c r="O305" s="445"/>
      <c r="P305" s="445"/>
    </row>
    <row r="306" spans="1:16">
      <c r="A306" s="445"/>
      <c r="B306" s="445"/>
      <c r="C306" s="445"/>
      <c r="D306" s="445"/>
      <c r="E306" s="445"/>
      <c r="F306" s="445"/>
      <c r="G306" s="445"/>
      <c r="H306" s="445"/>
      <c r="I306" s="445"/>
      <c r="J306" s="445"/>
      <c r="K306" s="1136"/>
      <c r="L306" s="1136"/>
      <c r="M306" s="445"/>
      <c r="N306" s="445"/>
      <c r="O306" s="445"/>
      <c r="P306" s="445"/>
    </row>
    <row r="307" spans="1:16">
      <c r="A307" s="445"/>
      <c r="B307" s="445"/>
      <c r="C307" s="445"/>
      <c r="D307" s="445"/>
      <c r="E307" s="445"/>
      <c r="F307" s="445"/>
      <c r="G307" s="445"/>
      <c r="H307" s="445"/>
      <c r="I307" s="445"/>
      <c r="J307" s="445"/>
      <c r="K307" s="1136"/>
      <c r="L307" s="1136"/>
      <c r="M307" s="445"/>
      <c r="N307" s="445"/>
      <c r="O307" s="445"/>
      <c r="P307" s="445"/>
    </row>
    <row r="308" spans="1:16">
      <c r="A308" s="445"/>
      <c r="B308" s="445"/>
      <c r="C308" s="445"/>
      <c r="D308" s="445"/>
      <c r="E308" s="445"/>
      <c r="F308" s="445"/>
      <c r="G308" s="445"/>
      <c r="H308" s="445"/>
      <c r="I308" s="445"/>
      <c r="J308" s="445"/>
      <c r="K308" s="1136"/>
      <c r="L308" s="1136"/>
      <c r="M308" s="445"/>
      <c r="N308" s="445"/>
      <c r="O308" s="445"/>
      <c r="P308" s="445"/>
    </row>
    <row r="309" spans="1:16">
      <c r="A309" s="445"/>
      <c r="B309" s="445"/>
      <c r="C309" s="445"/>
      <c r="D309" s="445"/>
      <c r="E309" s="445"/>
      <c r="F309" s="445"/>
      <c r="G309" s="445"/>
      <c r="H309" s="445"/>
      <c r="I309" s="445"/>
      <c r="J309" s="445"/>
      <c r="K309" s="1136"/>
      <c r="L309" s="1136"/>
      <c r="M309" s="445"/>
      <c r="N309" s="445"/>
      <c r="O309" s="445"/>
      <c r="P309" s="445"/>
    </row>
    <row r="310" spans="1:16">
      <c r="A310" s="445"/>
      <c r="B310" s="445"/>
      <c r="C310" s="445"/>
      <c r="D310" s="445"/>
      <c r="E310" s="445"/>
      <c r="F310" s="445"/>
      <c r="G310" s="445"/>
      <c r="H310" s="445"/>
      <c r="I310" s="445"/>
      <c r="J310" s="445"/>
      <c r="K310" s="1136"/>
      <c r="L310" s="1136"/>
      <c r="M310" s="445"/>
      <c r="N310" s="445"/>
      <c r="O310" s="445"/>
      <c r="P310" s="445"/>
    </row>
    <row r="311" spans="1:16">
      <c r="A311" s="445"/>
      <c r="B311" s="445"/>
      <c r="C311" s="445"/>
      <c r="D311" s="445"/>
      <c r="E311" s="445"/>
      <c r="F311" s="445"/>
      <c r="G311" s="445"/>
      <c r="H311" s="445"/>
      <c r="I311" s="445"/>
      <c r="J311" s="445"/>
      <c r="K311" s="1136"/>
      <c r="L311" s="1136"/>
      <c r="M311" s="445"/>
      <c r="N311" s="445"/>
      <c r="O311" s="445"/>
      <c r="P311" s="445"/>
    </row>
    <row r="312" spans="1:16">
      <c r="A312" s="445"/>
      <c r="B312" s="445"/>
      <c r="C312" s="445"/>
      <c r="D312" s="445"/>
      <c r="E312" s="445"/>
      <c r="F312" s="445"/>
      <c r="G312" s="445"/>
      <c r="H312" s="445"/>
      <c r="I312" s="445"/>
      <c r="J312" s="445"/>
      <c r="K312" s="1136"/>
      <c r="L312" s="1136"/>
      <c r="M312" s="445"/>
      <c r="N312" s="445"/>
      <c r="O312" s="445"/>
      <c r="P312" s="445"/>
    </row>
    <row r="313" spans="1:16">
      <c r="A313" s="445"/>
      <c r="B313" s="445"/>
      <c r="C313" s="445"/>
      <c r="D313" s="445"/>
      <c r="E313" s="445"/>
      <c r="F313" s="445"/>
      <c r="G313" s="445"/>
      <c r="H313" s="445"/>
      <c r="I313" s="445"/>
      <c r="J313" s="445"/>
      <c r="K313" s="1136"/>
      <c r="L313" s="1136"/>
      <c r="M313" s="445"/>
      <c r="N313" s="445"/>
      <c r="O313" s="445"/>
      <c r="P313" s="445"/>
    </row>
    <row r="314" spans="1:16">
      <c r="A314" s="445"/>
      <c r="B314" s="445"/>
      <c r="C314" s="445"/>
      <c r="D314" s="445"/>
      <c r="E314" s="445"/>
      <c r="F314" s="445"/>
      <c r="G314" s="445"/>
      <c r="H314" s="445"/>
      <c r="I314" s="445"/>
      <c r="J314" s="445"/>
      <c r="K314" s="1136"/>
      <c r="L314" s="1136"/>
      <c r="M314" s="445"/>
      <c r="N314" s="445"/>
      <c r="O314" s="445"/>
      <c r="P314" s="445"/>
    </row>
    <row r="315" spans="1:16">
      <c r="A315" s="445"/>
      <c r="B315" s="445"/>
      <c r="C315" s="445"/>
      <c r="D315" s="445"/>
      <c r="E315" s="445"/>
      <c r="F315" s="445"/>
      <c r="G315" s="445"/>
      <c r="H315" s="445"/>
      <c r="I315" s="445"/>
      <c r="J315" s="445"/>
      <c r="K315" s="1136"/>
      <c r="L315" s="1136"/>
      <c r="M315" s="445"/>
      <c r="N315" s="445"/>
      <c r="O315" s="445"/>
      <c r="P315" s="445"/>
    </row>
    <row r="316" spans="1:16">
      <c r="A316" s="445"/>
      <c r="B316" s="445"/>
      <c r="C316" s="445"/>
      <c r="D316" s="445"/>
      <c r="E316" s="445"/>
      <c r="F316" s="445"/>
      <c r="G316" s="445"/>
      <c r="H316" s="445"/>
      <c r="I316" s="445"/>
      <c r="J316" s="445"/>
      <c r="K316" s="1136"/>
      <c r="L316" s="1136"/>
      <c r="M316" s="445"/>
      <c r="N316" s="445"/>
      <c r="O316" s="445"/>
      <c r="P316" s="445"/>
    </row>
    <row r="317" spans="1:16">
      <c r="A317" s="445"/>
      <c r="B317" s="445"/>
      <c r="C317" s="445"/>
      <c r="D317" s="445"/>
      <c r="E317" s="445"/>
      <c r="F317" s="445"/>
      <c r="G317" s="445"/>
      <c r="H317" s="445"/>
      <c r="I317" s="445"/>
      <c r="J317" s="445"/>
      <c r="K317" s="1136"/>
      <c r="L317" s="1136"/>
      <c r="M317" s="445"/>
      <c r="N317" s="445"/>
      <c r="O317" s="445"/>
      <c r="P317" s="445"/>
    </row>
    <row r="318" spans="1:16">
      <c r="A318" s="445"/>
      <c r="B318" s="445"/>
      <c r="C318" s="445"/>
      <c r="D318" s="445"/>
      <c r="E318" s="445"/>
      <c r="F318" s="445"/>
      <c r="G318" s="445"/>
      <c r="H318" s="445"/>
      <c r="I318" s="445"/>
      <c r="J318" s="445"/>
      <c r="K318" s="1136"/>
      <c r="L318" s="1136"/>
      <c r="M318" s="445"/>
      <c r="N318" s="445"/>
      <c r="O318" s="445"/>
      <c r="P318" s="445"/>
    </row>
    <row r="319" spans="1:16">
      <c r="A319" s="445"/>
      <c r="B319" s="445"/>
      <c r="C319" s="445"/>
      <c r="D319" s="445"/>
      <c r="E319" s="445"/>
      <c r="F319" s="445"/>
      <c r="G319" s="445"/>
      <c r="H319" s="445"/>
      <c r="I319" s="445"/>
      <c r="J319" s="445"/>
      <c r="K319" s="1136"/>
      <c r="L319" s="1136"/>
      <c r="M319" s="445"/>
      <c r="N319" s="445"/>
      <c r="O319" s="445"/>
      <c r="P319" s="445"/>
    </row>
    <row r="320" spans="1:16">
      <c r="A320" s="445"/>
      <c r="B320" s="445"/>
      <c r="C320" s="445"/>
      <c r="D320" s="445"/>
      <c r="E320" s="445"/>
      <c r="F320" s="445"/>
      <c r="G320" s="445"/>
      <c r="H320" s="445"/>
      <c r="I320" s="445"/>
      <c r="J320" s="445"/>
      <c r="K320" s="1136"/>
      <c r="L320" s="1136"/>
      <c r="M320" s="445"/>
      <c r="N320" s="445"/>
      <c r="O320" s="445"/>
      <c r="P320" s="445"/>
    </row>
    <row r="321" spans="1:16">
      <c r="A321" s="445"/>
      <c r="B321" s="445"/>
      <c r="C321" s="445"/>
      <c r="D321" s="445"/>
      <c r="E321" s="445"/>
      <c r="F321" s="445"/>
      <c r="G321" s="445"/>
      <c r="H321" s="445"/>
      <c r="I321" s="445"/>
      <c r="J321" s="445"/>
      <c r="K321" s="1136"/>
      <c r="L321" s="1136"/>
      <c r="M321" s="445"/>
      <c r="N321" s="445"/>
      <c r="O321" s="445"/>
      <c r="P321" s="445"/>
    </row>
    <row r="322" spans="1:16">
      <c r="A322" s="445"/>
      <c r="B322" s="445"/>
      <c r="C322" s="445"/>
      <c r="D322" s="445"/>
      <c r="E322" s="445"/>
      <c r="F322" s="445"/>
      <c r="G322" s="445"/>
      <c r="H322" s="445"/>
      <c r="I322" s="445"/>
      <c r="J322" s="445"/>
      <c r="K322" s="1136"/>
      <c r="L322" s="1136"/>
      <c r="M322" s="445"/>
      <c r="N322" s="445"/>
      <c r="O322" s="445"/>
      <c r="P322" s="445"/>
    </row>
    <row r="323" spans="1:16">
      <c r="A323" s="445"/>
      <c r="B323" s="445"/>
      <c r="C323" s="445"/>
      <c r="D323" s="445"/>
      <c r="E323" s="445"/>
      <c r="F323" s="445"/>
      <c r="G323" s="445"/>
      <c r="H323" s="445"/>
      <c r="I323" s="445"/>
      <c r="J323" s="445"/>
      <c r="K323" s="1136"/>
      <c r="L323" s="1136"/>
      <c r="M323" s="445"/>
      <c r="N323" s="445"/>
      <c r="O323" s="445"/>
      <c r="P323" s="445"/>
    </row>
    <row r="324" spans="1:16">
      <c r="A324" s="445"/>
      <c r="B324" s="445"/>
      <c r="C324" s="445"/>
      <c r="D324" s="445"/>
      <c r="E324" s="445"/>
      <c r="F324" s="445"/>
      <c r="G324" s="445"/>
      <c r="H324" s="445"/>
      <c r="I324" s="445"/>
      <c r="J324" s="445"/>
      <c r="K324" s="1136"/>
      <c r="L324" s="1136"/>
      <c r="M324" s="445"/>
      <c r="N324" s="445"/>
      <c r="O324" s="445"/>
      <c r="P324" s="445"/>
    </row>
    <row r="325" spans="1:16">
      <c r="A325" s="445"/>
      <c r="B325" s="445"/>
      <c r="C325" s="445"/>
      <c r="D325" s="445"/>
      <c r="E325" s="445"/>
      <c r="F325" s="445"/>
      <c r="G325" s="445"/>
      <c r="H325" s="445"/>
      <c r="I325" s="445"/>
      <c r="J325" s="445"/>
      <c r="K325" s="1136"/>
      <c r="L325" s="1136"/>
      <c r="M325" s="445"/>
      <c r="N325" s="445"/>
      <c r="O325" s="445"/>
      <c r="P325" s="445"/>
    </row>
    <row r="326" spans="1:16">
      <c r="A326" s="445"/>
      <c r="B326" s="445"/>
      <c r="C326" s="445"/>
      <c r="D326" s="445"/>
      <c r="E326" s="445"/>
      <c r="F326" s="445"/>
      <c r="G326" s="445"/>
      <c r="H326" s="445"/>
      <c r="I326" s="445"/>
      <c r="J326" s="445"/>
      <c r="K326" s="1136"/>
      <c r="L326" s="1136"/>
      <c r="M326" s="445"/>
      <c r="N326" s="445"/>
      <c r="O326" s="445"/>
      <c r="P326" s="445"/>
    </row>
    <row r="327" spans="1:16">
      <c r="A327" s="445"/>
      <c r="B327" s="445"/>
      <c r="C327" s="445"/>
      <c r="D327" s="445"/>
      <c r="E327" s="445"/>
      <c r="F327" s="445"/>
      <c r="G327" s="445"/>
      <c r="H327" s="445"/>
      <c r="I327" s="445"/>
      <c r="J327" s="445"/>
      <c r="K327" s="1136"/>
      <c r="L327" s="1136"/>
      <c r="M327" s="445"/>
      <c r="N327" s="445"/>
      <c r="O327" s="445"/>
      <c r="P327" s="445"/>
    </row>
    <row r="328" spans="1:16">
      <c r="A328" s="445"/>
      <c r="B328" s="445"/>
      <c r="C328" s="445"/>
      <c r="D328" s="445"/>
      <c r="E328" s="445"/>
      <c r="F328" s="445"/>
      <c r="G328" s="445"/>
      <c r="H328" s="445"/>
      <c r="I328" s="445"/>
      <c r="J328" s="445"/>
      <c r="K328" s="1136"/>
      <c r="L328" s="1136"/>
      <c r="M328" s="445"/>
      <c r="N328" s="445"/>
      <c r="O328" s="445"/>
      <c r="P328" s="445"/>
    </row>
    <row r="329" spans="1:16">
      <c r="A329" s="445"/>
      <c r="B329" s="445"/>
      <c r="C329" s="445"/>
      <c r="D329" s="445"/>
      <c r="E329" s="445"/>
      <c r="F329" s="445"/>
      <c r="G329" s="445"/>
      <c r="H329" s="445"/>
      <c r="I329" s="445"/>
      <c r="J329" s="445"/>
      <c r="K329" s="1136"/>
      <c r="L329" s="1136"/>
      <c r="M329" s="445"/>
      <c r="N329" s="445"/>
      <c r="O329" s="445"/>
      <c r="P329" s="445"/>
    </row>
    <row r="330" spans="1:16">
      <c r="A330" s="445"/>
      <c r="B330" s="445"/>
      <c r="C330" s="445"/>
      <c r="D330" s="445"/>
      <c r="E330" s="445"/>
      <c r="F330" s="445"/>
      <c r="G330" s="445"/>
      <c r="H330" s="445"/>
      <c r="I330" s="445"/>
      <c r="J330" s="445"/>
      <c r="K330" s="1136"/>
      <c r="L330" s="1136"/>
      <c r="M330" s="445"/>
      <c r="N330" s="445"/>
      <c r="O330" s="445"/>
      <c r="P330" s="445"/>
    </row>
    <row r="331" spans="1:16">
      <c r="A331" s="445"/>
      <c r="B331" s="445"/>
      <c r="C331" s="445"/>
      <c r="D331" s="445"/>
      <c r="E331" s="445"/>
      <c r="F331" s="445"/>
      <c r="G331" s="445"/>
      <c r="H331" s="445"/>
      <c r="I331" s="445"/>
      <c r="J331" s="445"/>
      <c r="K331" s="1136"/>
      <c r="L331" s="1136"/>
      <c r="M331" s="445"/>
      <c r="N331" s="445"/>
      <c r="O331" s="445"/>
      <c r="P331" s="445"/>
    </row>
    <row r="332" spans="1:16">
      <c r="A332" s="445"/>
      <c r="B332" s="445"/>
      <c r="C332" s="445"/>
      <c r="D332" s="445"/>
      <c r="E332" s="445"/>
      <c r="F332" s="445"/>
      <c r="G332" s="445"/>
      <c r="H332" s="445"/>
      <c r="I332" s="445"/>
      <c r="J332" s="445"/>
      <c r="K332" s="1136"/>
      <c r="L332" s="1136"/>
      <c r="M332" s="445"/>
      <c r="N332" s="445"/>
      <c r="O332" s="445"/>
      <c r="P332" s="445"/>
    </row>
    <row r="333" spans="1:16">
      <c r="A333" s="445"/>
      <c r="B333" s="445"/>
      <c r="C333" s="445"/>
      <c r="D333" s="445"/>
      <c r="E333" s="445"/>
      <c r="F333" s="445"/>
      <c r="G333" s="445"/>
      <c r="H333" s="445"/>
      <c r="I333" s="445"/>
      <c r="J333" s="445"/>
      <c r="K333" s="1136"/>
      <c r="L333" s="1136"/>
      <c r="M333" s="445"/>
      <c r="N333" s="445"/>
      <c r="O333" s="445"/>
      <c r="P333" s="445"/>
    </row>
    <row r="334" spans="1:16">
      <c r="A334" s="445"/>
      <c r="B334" s="445"/>
      <c r="C334" s="445"/>
      <c r="D334" s="445"/>
      <c r="E334" s="445"/>
      <c r="F334" s="445"/>
      <c r="G334" s="445"/>
      <c r="H334" s="445"/>
      <c r="I334" s="445"/>
      <c r="J334" s="445"/>
      <c r="K334" s="1136"/>
      <c r="L334" s="1136"/>
      <c r="M334" s="445"/>
      <c r="N334" s="445"/>
      <c r="O334" s="445"/>
      <c r="P334" s="445"/>
    </row>
    <row r="335" spans="1:16">
      <c r="A335" s="445"/>
      <c r="B335" s="445"/>
      <c r="C335" s="445"/>
      <c r="D335" s="445"/>
      <c r="E335" s="445"/>
      <c r="F335" s="445"/>
      <c r="G335" s="445"/>
      <c r="H335" s="445"/>
      <c r="I335" s="445"/>
      <c r="J335" s="445"/>
      <c r="K335" s="1136"/>
      <c r="L335" s="1136"/>
      <c r="M335" s="445"/>
      <c r="N335" s="445"/>
      <c r="O335" s="445"/>
      <c r="P335" s="445"/>
    </row>
    <row r="336" spans="1:16">
      <c r="A336" s="445"/>
      <c r="B336" s="445"/>
      <c r="C336" s="445"/>
      <c r="D336" s="445"/>
      <c r="E336" s="445"/>
      <c r="F336" s="445"/>
      <c r="G336" s="445"/>
      <c r="H336" s="445"/>
      <c r="I336" s="445"/>
      <c r="J336" s="445"/>
      <c r="K336" s="1136"/>
      <c r="L336" s="1136"/>
      <c r="M336" s="445"/>
      <c r="N336" s="445"/>
      <c r="O336" s="445"/>
      <c r="P336" s="445"/>
    </row>
    <row r="337" spans="1:16">
      <c r="A337" s="445"/>
      <c r="B337" s="445"/>
      <c r="C337" s="445"/>
      <c r="D337" s="445"/>
      <c r="E337" s="445"/>
      <c r="F337" s="445"/>
      <c r="G337" s="445"/>
      <c r="H337" s="445"/>
      <c r="I337" s="445"/>
      <c r="J337" s="445"/>
      <c r="K337" s="1136"/>
      <c r="L337" s="1136"/>
      <c r="M337" s="445"/>
      <c r="N337" s="445"/>
      <c r="O337" s="445"/>
      <c r="P337" s="445"/>
    </row>
    <row r="338" spans="1:16">
      <c r="A338" s="445"/>
      <c r="B338" s="445"/>
      <c r="C338" s="445"/>
      <c r="D338" s="445"/>
      <c r="E338" s="445"/>
      <c r="F338" s="445"/>
      <c r="G338" s="445"/>
      <c r="H338" s="445"/>
      <c r="I338" s="445"/>
      <c r="J338" s="445"/>
      <c r="K338" s="1136"/>
      <c r="L338" s="1136"/>
      <c r="M338" s="445"/>
      <c r="N338" s="445"/>
      <c r="O338" s="445"/>
      <c r="P338" s="445"/>
    </row>
    <row r="339" spans="1:16">
      <c r="A339" s="445"/>
      <c r="B339" s="445"/>
      <c r="C339" s="445"/>
      <c r="D339" s="445"/>
      <c r="E339" s="445"/>
      <c r="F339" s="445"/>
      <c r="G339" s="445"/>
      <c r="H339" s="445"/>
      <c r="I339" s="445"/>
      <c r="J339" s="445"/>
      <c r="K339" s="1136"/>
      <c r="L339" s="1136"/>
      <c r="M339" s="445"/>
      <c r="N339" s="445"/>
      <c r="O339" s="445"/>
      <c r="P339" s="445"/>
    </row>
    <row r="340" spans="1:16">
      <c r="A340" s="445"/>
      <c r="B340" s="445"/>
      <c r="C340" s="445"/>
      <c r="D340" s="445"/>
      <c r="E340" s="445"/>
      <c r="F340" s="445"/>
      <c r="G340" s="445"/>
      <c r="H340" s="445"/>
      <c r="I340" s="445"/>
      <c r="J340" s="445"/>
      <c r="K340" s="1136"/>
      <c r="L340" s="1136"/>
      <c r="M340" s="445"/>
      <c r="N340" s="445"/>
      <c r="O340" s="445"/>
      <c r="P340" s="445"/>
    </row>
    <row r="341" spans="1:16">
      <c r="A341" s="445"/>
      <c r="B341" s="445"/>
      <c r="C341" s="445"/>
      <c r="D341" s="445"/>
      <c r="E341" s="445"/>
      <c r="F341" s="445"/>
      <c r="G341" s="445"/>
      <c r="H341" s="445"/>
      <c r="I341" s="445"/>
      <c r="J341" s="445"/>
      <c r="K341" s="1136"/>
      <c r="L341" s="1136"/>
      <c r="M341" s="445"/>
      <c r="N341" s="445"/>
      <c r="O341" s="445"/>
      <c r="P341" s="445"/>
    </row>
    <row r="342" spans="1:16">
      <c r="A342" s="445"/>
      <c r="B342" s="445"/>
      <c r="C342" s="445"/>
      <c r="D342" s="445"/>
      <c r="E342" s="445"/>
      <c r="F342" s="445"/>
      <c r="G342" s="445"/>
      <c r="H342" s="445"/>
      <c r="I342" s="445"/>
      <c r="J342" s="445"/>
      <c r="K342" s="1136"/>
      <c r="L342" s="1136"/>
      <c r="M342" s="445"/>
      <c r="N342" s="445"/>
      <c r="O342" s="445"/>
      <c r="P342" s="445"/>
    </row>
    <row r="343" spans="1:16">
      <c r="A343" s="445"/>
      <c r="B343" s="445"/>
      <c r="C343" s="445"/>
      <c r="D343" s="445"/>
      <c r="E343" s="445"/>
      <c r="F343" s="445"/>
      <c r="G343" s="445"/>
      <c r="H343" s="445"/>
      <c r="I343" s="445"/>
      <c r="J343" s="445"/>
      <c r="K343" s="1136"/>
      <c r="L343" s="1136"/>
      <c r="M343" s="445"/>
      <c r="N343" s="445"/>
      <c r="O343" s="445"/>
      <c r="P343" s="445"/>
    </row>
    <row r="344" spans="1:16">
      <c r="A344" s="445"/>
      <c r="B344" s="445"/>
      <c r="C344" s="445"/>
      <c r="D344" s="445"/>
      <c r="E344" s="445"/>
      <c r="F344" s="445"/>
      <c r="G344" s="445"/>
      <c r="H344" s="445"/>
      <c r="I344" s="445"/>
      <c r="J344" s="445"/>
      <c r="K344" s="1136"/>
      <c r="L344" s="1136"/>
      <c r="M344" s="445"/>
      <c r="N344" s="445"/>
      <c r="O344" s="445"/>
      <c r="P344" s="445"/>
    </row>
    <row r="345" spans="1:16">
      <c r="A345" s="445"/>
      <c r="B345" s="445"/>
      <c r="C345" s="445"/>
      <c r="D345" s="445"/>
      <c r="E345" s="445"/>
      <c r="F345" s="445"/>
      <c r="G345" s="445"/>
      <c r="H345" s="445"/>
      <c r="I345" s="445"/>
      <c r="J345" s="445"/>
      <c r="K345" s="1136"/>
      <c r="L345" s="1136"/>
      <c r="M345" s="445"/>
      <c r="N345" s="445"/>
      <c r="O345" s="445"/>
      <c r="P345" s="445"/>
    </row>
    <row r="346" spans="1:16">
      <c r="A346" s="445"/>
      <c r="B346" s="445"/>
      <c r="C346" s="445"/>
      <c r="D346" s="445"/>
      <c r="E346" s="445"/>
      <c r="F346" s="445"/>
      <c r="G346" s="445"/>
      <c r="H346" s="445"/>
      <c r="I346" s="445"/>
      <c r="J346" s="445"/>
      <c r="K346" s="1136"/>
      <c r="L346" s="1136"/>
      <c r="M346" s="445"/>
      <c r="N346" s="445"/>
      <c r="O346" s="445"/>
      <c r="P346" s="445"/>
    </row>
    <row r="347" spans="1:16">
      <c r="A347" s="445"/>
      <c r="B347" s="445"/>
      <c r="C347" s="445"/>
      <c r="D347" s="445"/>
      <c r="E347" s="445"/>
      <c r="F347" s="445"/>
      <c r="G347" s="445"/>
      <c r="H347" s="445"/>
      <c r="I347" s="445"/>
      <c r="J347" s="445"/>
      <c r="K347" s="1136"/>
      <c r="L347" s="1136"/>
      <c r="M347" s="445"/>
      <c r="N347" s="445"/>
      <c r="O347" s="445"/>
      <c r="P347" s="445"/>
    </row>
    <row r="348" spans="1:16">
      <c r="A348" s="445"/>
      <c r="B348" s="445"/>
      <c r="C348" s="445"/>
      <c r="D348" s="445"/>
      <c r="E348" s="445"/>
      <c r="F348" s="445"/>
      <c r="G348" s="445"/>
      <c r="H348" s="445"/>
      <c r="I348" s="445"/>
      <c r="J348" s="445"/>
      <c r="K348" s="1136"/>
      <c r="L348" s="1136"/>
      <c r="M348" s="445"/>
      <c r="N348" s="445"/>
      <c r="O348" s="445"/>
      <c r="P348" s="445"/>
    </row>
    <row r="349" spans="1:16">
      <c r="A349" s="445"/>
      <c r="B349" s="445"/>
      <c r="C349" s="445"/>
      <c r="D349" s="445"/>
      <c r="E349" s="445"/>
      <c r="F349" s="445"/>
      <c r="G349" s="445"/>
      <c r="H349" s="445"/>
      <c r="I349" s="445"/>
      <c r="J349" s="445"/>
      <c r="K349" s="1136"/>
      <c r="L349" s="1136"/>
      <c r="M349" s="445"/>
      <c r="N349" s="445"/>
      <c r="O349" s="445"/>
      <c r="P349" s="445"/>
    </row>
    <row r="350" spans="1:16">
      <c r="A350" s="445"/>
      <c r="B350" s="445"/>
      <c r="C350" s="445"/>
      <c r="D350" s="445"/>
      <c r="E350" s="445"/>
      <c r="F350" s="445"/>
      <c r="G350" s="445"/>
      <c r="H350" s="445"/>
      <c r="I350" s="445"/>
      <c r="J350" s="445"/>
      <c r="K350" s="1136"/>
      <c r="L350" s="1136"/>
      <c r="M350" s="445"/>
      <c r="N350" s="445"/>
      <c r="O350" s="445"/>
      <c r="P350" s="445"/>
    </row>
    <row r="351" spans="1:16">
      <c r="A351" s="445"/>
      <c r="B351" s="445"/>
      <c r="C351" s="445"/>
      <c r="D351" s="445"/>
      <c r="E351" s="445"/>
      <c r="F351" s="445"/>
      <c r="G351" s="445"/>
      <c r="H351" s="445"/>
      <c r="I351" s="445"/>
      <c r="J351" s="445"/>
      <c r="K351" s="1136"/>
      <c r="L351" s="1136"/>
      <c r="M351" s="445"/>
      <c r="N351" s="445"/>
      <c r="O351" s="445"/>
      <c r="P351" s="445"/>
    </row>
    <row r="352" spans="1:16">
      <c r="A352" s="445"/>
      <c r="B352" s="445"/>
      <c r="C352" s="445"/>
      <c r="D352" s="445"/>
      <c r="E352" s="445"/>
      <c r="F352" s="445"/>
      <c r="G352" s="445"/>
      <c r="H352" s="445"/>
      <c r="I352" s="445"/>
      <c r="J352" s="445"/>
      <c r="K352" s="1136"/>
      <c r="L352" s="1136"/>
      <c r="M352" s="445"/>
      <c r="N352" s="445"/>
      <c r="O352" s="445"/>
      <c r="P352" s="445"/>
    </row>
    <row r="353" spans="1:16">
      <c r="A353" s="445"/>
      <c r="B353" s="445"/>
      <c r="C353" s="445"/>
      <c r="D353" s="445"/>
      <c r="E353" s="445"/>
      <c r="F353" s="445"/>
      <c r="G353" s="445"/>
      <c r="H353" s="445"/>
      <c r="I353" s="445"/>
      <c r="J353" s="445"/>
      <c r="K353" s="1136"/>
      <c r="L353" s="1136"/>
      <c r="M353" s="445"/>
      <c r="N353" s="445"/>
      <c r="O353" s="445"/>
      <c r="P353" s="445"/>
    </row>
    <row r="354" spans="1:16">
      <c r="A354" s="445"/>
      <c r="B354" s="445"/>
      <c r="C354" s="445"/>
      <c r="D354" s="445"/>
      <c r="E354" s="445"/>
      <c r="F354" s="445"/>
      <c r="G354" s="445"/>
      <c r="H354" s="445"/>
      <c r="I354" s="445"/>
      <c r="J354" s="445"/>
      <c r="K354" s="1136"/>
      <c r="L354" s="1136"/>
      <c r="M354" s="445"/>
      <c r="N354" s="445"/>
      <c r="O354" s="445"/>
      <c r="P354" s="445"/>
    </row>
    <row r="355" spans="1:16">
      <c r="A355" s="445"/>
      <c r="B355" s="445"/>
      <c r="C355" s="445"/>
      <c r="D355" s="445"/>
      <c r="E355" s="445"/>
      <c r="F355" s="445"/>
      <c r="G355" s="445"/>
      <c r="H355" s="445"/>
      <c r="I355" s="445"/>
      <c r="J355" s="445"/>
      <c r="K355" s="1136"/>
      <c r="L355" s="1136"/>
      <c r="M355" s="445"/>
      <c r="N355" s="445"/>
      <c r="O355" s="445"/>
      <c r="P355" s="445"/>
    </row>
    <row r="356" spans="1:16">
      <c r="A356" s="445"/>
      <c r="B356" s="445"/>
      <c r="C356" s="445"/>
      <c r="D356" s="445"/>
      <c r="E356" s="445"/>
      <c r="F356" s="445"/>
      <c r="G356" s="445"/>
      <c r="H356" s="445"/>
      <c r="I356" s="445"/>
      <c r="J356" s="445"/>
      <c r="K356" s="1136"/>
      <c r="L356" s="1136"/>
      <c r="M356" s="445"/>
      <c r="N356" s="445"/>
      <c r="O356" s="445"/>
      <c r="P356" s="445"/>
    </row>
    <row r="357" spans="1:16">
      <c r="A357" s="445"/>
      <c r="B357" s="445"/>
      <c r="C357" s="445"/>
      <c r="D357" s="445"/>
      <c r="E357" s="445"/>
      <c r="F357" s="445"/>
      <c r="G357" s="445"/>
      <c r="H357" s="445"/>
      <c r="I357" s="445"/>
      <c r="J357" s="445"/>
      <c r="K357" s="1136"/>
      <c r="L357" s="1136"/>
      <c r="M357" s="445"/>
      <c r="N357" s="445"/>
      <c r="O357" s="445"/>
      <c r="P357" s="445"/>
    </row>
    <row r="358" spans="1:16">
      <c r="A358" s="445"/>
      <c r="B358" s="445"/>
      <c r="C358" s="445"/>
      <c r="D358" s="445"/>
      <c r="E358" s="445"/>
      <c r="F358" s="445"/>
      <c r="G358" s="445"/>
      <c r="H358" s="445"/>
      <c r="I358" s="445"/>
      <c r="J358" s="445"/>
      <c r="K358" s="1136"/>
      <c r="L358" s="1136"/>
      <c r="M358" s="445"/>
      <c r="N358" s="445"/>
      <c r="O358" s="445"/>
      <c r="P358" s="445"/>
    </row>
    <row r="359" spans="1:16">
      <c r="A359" s="445"/>
      <c r="B359" s="445"/>
      <c r="C359" s="445"/>
      <c r="D359" s="445"/>
      <c r="E359" s="445"/>
      <c r="F359" s="445"/>
      <c r="G359" s="445"/>
      <c r="H359" s="445"/>
      <c r="I359" s="445"/>
      <c r="J359" s="445"/>
      <c r="K359" s="1136"/>
      <c r="L359" s="1136"/>
      <c r="M359" s="445"/>
      <c r="N359" s="445"/>
      <c r="O359" s="445"/>
      <c r="P359" s="445"/>
    </row>
    <row r="360" spans="1:16">
      <c r="A360" s="445"/>
      <c r="B360" s="445"/>
      <c r="C360" s="445"/>
      <c r="D360" s="445"/>
      <c r="E360" s="445"/>
      <c r="F360" s="445"/>
      <c r="G360" s="445"/>
      <c r="H360" s="445"/>
      <c r="I360" s="445"/>
      <c r="J360" s="445"/>
      <c r="K360" s="1136"/>
      <c r="L360" s="1136"/>
      <c r="M360" s="445"/>
      <c r="N360" s="445"/>
      <c r="O360" s="445"/>
      <c r="P360" s="445"/>
    </row>
    <row r="361" spans="1:16">
      <c r="A361" s="445"/>
      <c r="B361" s="445"/>
      <c r="C361" s="445"/>
      <c r="D361" s="445"/>
      <c r="E361" s="445"/>
      <c r="F361" s="445"/>
      <c r="G361" s="445"/>
      <c r="H361" s="445"/>
      <c r="I361" s="445"/>
      <c r="J361" s="445"/>
      <c r="K361" s="1136"/>
      <c r="L361" s="1136"/>
      <c r="M361" s="445"/>
      <c r="N361" s="445"/>
      <c r="O361" s="445"/>
      <c r="P361" s="445"/>
    </row>
    <row r="362" spans="1:16">
      <c r="A362" s="445"/>
      <c r="B362" s="445"/>
      <c r="C362" s="445"/>
      <c r="D362" s="445"/>
      <c r="E362" s="445"/>
      <c r="F362" s="445"/>
      <c r="G362" s="445"/>
      <c r="H362" s="445"/>
      <c r="I362" s="445"/>
      <c r="J362" s="445"/>
      <c r="K362" s="1136"/>
      <c r="L362" s="1136"/>
      <c r="M362" s="445"/>
      <c r="N362" s="445"/>
      <c r="O362" s="445"/>
      <c r="P362" s="445"/>
    </row>
    <row r="363" spans="1:16">
      <c r="A363" s="445"/>
      <c r="B363" s="445"/>
      <c r="C363" s="445"/>
      <c r="D363" s="445"/>
      <c r="E363" s="445"/>
      <c r="F363" s="445"/>
      <c r="G363" s="445"/>
      <c r="H363" s="445"/>
      <c r="I363" s="445"/>
      <c r="J363" s="445"/>
      <c r="K363" s="1136"/>
      <c r="L363" s="1136"/>
      <c r="M363" s="445"/>
      <c r="N363" s="445"/>
      <c r="O363" s="445"/>
      <c r="P363" s="445"/>
    </row>
    <row r="364" spans="1:16">
      <c r="A364" s="445"/>
      <c r="B364" s="445"/>
      <c r="C364" s="445"/>
      <c r="D364" s="445"/>
      <c r="E364" s="445"/>
      <c r="F364" s="445"/>
      <c r="G364" s="445"/>
      <c r="H364" s="445"/>
      <c r="I364" s="445"/>
      <c r="J364" s="445"/>
      <c r="K364" s="1136"/>
      <c r="L364" s="1136"/>
      <c r="M364" s="445"/>
      <c r="N364" s="445"/>
      <c r="O364" s="445"/>
      <c r="P364" s="445"/>
    </row>
    <row r="365" spans="1:16">
      <c r="A365" s="445"/>
      <c r="B365" s="445"/>
      <c r="C365" s="445"/>
      <c r="D365" s="445"/>
      <c r="E365" s="445"/>
      <c r="F365" s="445"/>
      <c r="G365" s="445"/>
      <c r="H365" s="445"/>
      <c r="I365" s="445"/>
      <c r="J365" s="445"/>
      <c r="K365" s="1136"/>
      <c r="L365" s="1136"/>
      <c r="M365" s="445"/>
      <c r="N365" s="445"/>
      <c r="O365" s="445"/>
      <c r="P365" s="445"/>
    </row>
    <row r="366" spans="1:16">
      <c r="A366" s="445"/>
      <c r="B366" s="445"/>
      <c r="C366" s="445"/>
      <c r="D366" s="445"/>
      <c r="E366" s="445"/>
      <c r="F366" s="445"/>
      <c r="G366" s="445"/>
      <c r="H366" s="445"/>
      <c r="I366" s="445"/>
      <c r="J366" s="445"/>
      <c r="K366" s="1136"/>
      <c r="L366" s="1136"/>
      <c r="M366" s="445"/>
      <c r="N366" s="445"/>
      <c r="O366" s="445"/>
      <c r="P366" s="445"/>
    </row>
    <row r="367" spans="1:16">
      <c r="A367" s="445"/>
      <c r="B367" s="445"/>
      <c r="C367" s="445"/>
      <c r="D367" s="445"/>
      <c r="E367" s="445"/>
      <c r="F367" s="445"/>
      <c r="G367" s="445"/>
      <c r="H367" s="445"/>
      <c r="I367" s="445"/>
      <c r="J367" s="445"/>
      <c r="K367" s="1136"/>
      <c r="L367" s="1136"/>
      <c r="M367" s="445"/>
      <c r="N367" s="445"/>
      <c r="O367" s="445"/>
      <c r="P367" s="445"/>
    </row>
    <row r="368" spans="1:16">
      <c r="A368" s="445"/>
      <c r="B368" s="445"/>
      <c r="C368" s="445"/>
      <c r="D368" s="445"/>
      <c r="E368" s="445"/>
      <c r="F368" s="445"/>
      <c r="G368" s="445"/>
      <c r="H368" s="445"/>
      <c r="I368" s="445"/>
      <c r="J368" s="445"/>
      <c r="K368" s="1136"/>
      <c r="L368" s="1136"/>
      <c r="M368" s="445"/>
      <c r="N368" s="445"/>
      <c r="O368" s="445"/>
      <c r="P368" s="445"/>
    </row>
    <row r="369" spans="1:16">
      <c r="A369" s="445"/>
      <c r="B369" s="445"/>
      <c r="C369" s="445"/>
      <c r="D369" s="445"/>
      <c r="E369" s="445"/>
      <c r="F369" s="445"/>
      <c r="G369" s="445"/>
      <c r="H369" s="445"/>
      <c r="I369" s="445"/>
      <c r="J369" s="445"/>
      <c r="K369" s="1136"/>
      <c r="L369" s="1136"/>
      <c r="M369" s="445"/>
      <c r="N369" s="445"/>
      <c r="O369" s="445"/>
      <c r="P369" s="445"/>
    </row>
    <row r="370" spans="1:16">
      <c r="A370" s="445"/>
      <c r="B370" s="445"/>
      <c r="C370" s="445"/>
      <c r="D370" s="445"/>
      <c r="E370" s="445"/>
      <c r="F370" s="445"/>
      <c r="G370" s="445"/>
      <c r="H370" s="445"/>
      <c r="I370" s="445"/>
      <c r="J370" s="445"/>
      <c r="K370" s="1136"/>
      <c r="L370" s="1136"/>
      <c r="M370" s="445"/>
      <c r="N370" s="445"/>
      <c r="O370" s="445"/>
      <c r="P370" s="445"/>
    </row>
    <row r="371" spans="1:16">
      <c r="A371" s="445"/>
      <c r="B371" s="445"/>
      <c r="C371" s="445"/>
      <c r="D371" s="445"/>
      <c r="E371" s="445"/>
      <c r="F371" s="445"/>
      <c r="G371" s="445"/>
      <c r="H371" s="445"/>
      <c r="I371" s="445"/>
      <c r="J371" s="445"/>
      <c r="K371" s="1136"/>
      <c r="L371" s="1136"/>
      <c r="M371" s="445"/>
      <c r="N371" s="445"/>
      <c r="O371" s="445"/>
      <c r="P371" s="445"/>
    </row>
    <row r="372" spans="1:16">
      <c r="A372" s="445"/>
      <c r="B372" s="445"/>
      <c r="C372" s="445"/>
      <c r="D372" s="445"/>
      <c r="E372" s="445"/>
      <c r="F372" s="445"/>
      <c r="G372" s="445"/>
      <c r="H372" s="445"/>
      <c r="I372" s="445"/>
      <c r="J372" s="445"/>
      <c r="K372" s="1136"/>
      <c r="L372" s="1136"/>
      <c r="M372" s="445"/>
      <c r="N372" s="445"/>
      <c r="O372" s="445"/>
      <c r="P372" s="445"/>
    </row>
    <row r="373" spans="1:16">
      <c r="A373" s="445"/>
      <c r="B373" s="445"/>
      <c r="C373" s="445"/>
      <c r="D373" s="445"/>
      <c r="E373" s="445"/>
      <c r="F373" s="445"/>
      <c r="G373" s="445"/>
      <c r="H373" s="445"/>
      <c r="I373" s="445"/>
      <c r="J373" s="445"/>
      <c r="K373" s="1136"/>
      <c r="L373" s="1136"/>
      <c r="M373" s="445"/>
      <c r="N373" s="445"/>
      <c r="O373" s="445"/>
      <c r="P373" s="445"/>
    </row>
    <row r="374" spans="1:16">
      <c r="A374" s="445"/>
      <c r="B374" s="445"/>
      <c r="C374" s="445"/>
      <c r="D374" s="445"/>
      <c r="E374" s="445"/>
      <c r="F374" s="445"/>
      <c r="G374" s="445"/>
      <c r="H374" s="445"/>
      <c r="I374" s="445"/>
      <c r="J374" s="445"/>
      <c r="K374" s="1136"/>
      <c r="L374" s="1136"/>
      <c r="M374" s="445"/>
      <c r="N374" s="445"/>
      <c r="O374" s="445"/>
      <c r="P374" s="445"/>
    </row>
    <row r="375" spans="1:16">
      <c r="A375" s="445"/>
      <c r="B375" s="445"/>
      <c r="C375" s="445"/>
      <c r="D375" s="445"/>
      <c r="E375" s="445"/>
      <c r="F375" s="445"/>
      <c r="G375" s="445"/>
      <c r="H375" s="445"/>
      <c r="I375" s="445"/>
      <c r="J375" s="445"/>
      <c r="K375" s="1136"/>
      <c r="L375" s="1136"/>
      <c r="M375" s="445"/>
      <c r="N375" s="445"/>
      <c r="O375" s="445"/>
      <c r="P375" s="445"/>
    </row>
    <row r="376" spans="1:16">
      <c r="A376" s="445"/>
      <c r="B376" s="445"/>
      <c r="C376" s="445"/>
      <c r="D376" s="445"/>
      <c r="E376" s="445"/>
      <c r="F376" s="445"/>
      <c r="G376" s="445"/>
      <c r="H376" s="445"/>
      <c r="I376" s="445"/>
      <c r="J376" s="445"/>
      <c r="K376" s="1136"/>
      <c r="L376" s="1136"/>
      <c r="M376" s="445"/>
      <c r="N376" s="445"/>
      <c r="O376" s="445"/>
      <c r="P376" s="445"/>
    </row>
    <row r="377" spans="1:16">
      <c r="A377" s="445"/>
      <c r="B377" s="445"/>
      <c r="C377" s="445"/>
      <c r="D377" s="445"/>
      <c r="E377" s="445"/>
      <c r="F377" s="445"/>
      <c r="G377" s="445"/>
      <c r="H377" s="445"/>
      <c r="I377" s="445"/>
      <c r="J377" s="445"/>
      <c r="K377" s="1136"/>
      <c r="L377" s="1136"/>
      <c r="M377" s="445"/>
      <c r="N377" s="445"/>
      <c r="O377" s="445"/>
      <c r="P377" s="445"/>
    </row>
    <row r="378" spans="1:16">
      <c r="A378" s="445"/>
      <c r="B378" s="445"/>
      <c r="C378" s="445"/>
      <c r="D378" s="445"/>
      <c r="E378" s="445"/>
      <c r="F378" s="445"/>
      <c r="G378" s="445"/>
      <c r="H378" s="445"/>
      <c r="I378" s="445"/>
      <c r="J378" s="445"/>
      <c r="K378" s="1136"/>
      <c r="L378" s="1136"/>
      <c r="M378" s="445"/>
      <c r="N378" s="445"/>
      <c r="O378" s="445"/>
      <c r="P378" s="445"/>
    </row>
    <row r="379" spans="1:16">
      <c r="A379" s="445"/>
      <c r="B379" s="445"/>
      <c r="C379" s="445"/>
      <c r="D379" s="445"/>
      <c r="E379" s="445"/>
      <c r="F379" s="445"/>
      <c r="G379" s="445"/>
      <c r="H379" s="445"/>
      <c r="I379" s="445"/>
      <c r="J379" s="445"/>
      <c r="K379" s="1136"/>
      <c r="L379" s="1136"/>
      <c r="M379" s="445"/>
      <c r="N379" s="445"/>
      <c r="O379" s="445"/>
      <c r="P379" s="445"/>
    </row>
    <row r="380" spans="1:16">
      <c r="A380" s="445"/>
      <c r="B380" s="445"/>
      <c r="C380" s="445"/>
      <c r="D380" s="445"/>
      <c r="E380" s="445"/>
      <c r="F380" s="445"/>
      <c r="G380" s="445"/>
      <c r="H380" s="445"/>
      <c r="I380" s="445"/>
      <c r="J380" s="445"/>
      <c r="K380" s="1136"/>
      <c r="L380" s="1136"/>
      <c r="M380" s="445"/>
      <c r="N380" s="445"/>
      <c r="O380" s="445"/>
      <c r="P380" s="445"/>
    </row>
    <row r="381" spans="1:16">
      <c r="A381" s="445"/>
      <c r="B381" s="445"/>
      <c r="C381" s="445"/>
      <c r="D381" s="445"/>
      <c r="E381" s="445"/>
      <c r="F381" s="445"/>
      <c r="G381" s="445"/>
      <c r="H381" s="445"/>
      <c r="I381" s="445"/>
      <c r="J381" s="445"/>
      <c r="K381" s="1136"/>
      <c r="L381" s="1136"/>
      <c r="M381" s="445"/>
      <c r="N381" s="445"/>
      <c r="O381" s="445"/>
      <c r="P381" s="445"/>
    </row>
    <row r="382" spans="1:16">
      <c r="A382" s="445"/>
      <c r="B382" s="445"/>
      <c r="C382" s="445"/>
      <c r="D382" s="445"/>
      <c r="E382" s="445"/>
      <c r="F382" s="445"/>
      <c r="G382" s="445"/>
      <c r="H382" s="445"/>
      <c r="I382" s="445"/>
      <c r="J382" s="445"/>
      <c r="K382" s="1136"/>
      <c r="L382" s="1136"/>
      <c r="M382" s="445"/>
      <c r="N382" s="445"/>
      <c r="O382" s="445"/>
      <c r="P382" s="445"/>
    </row>
    <row r="383" spans="1:16">
      <c r="A383" s="445"/>
      <c r="B383" s="445"/>
      <c r="C383" s="445"/>
      <c r="D383" s="445"/>
      <c r="E383" s="445"/>
      <c r="F383" s="445"/>
      <c r="G383" s="445"/>
      <c r="H383" s="445"/>
      <c r="I383" s="445"/>
      <c r="J383" s="445"/>
      <c r="K383" s="1136"/>
      <c r="L383" s="1136"/>
      <c r="M383" s="445"/>
      <c r="N383" s="445"/>
      <c r="O383" s="445"/>
      <c r="P383" s="445"/>
    </row>
    <row r="384" spans="1:16">
      <c r="A384" s="445"/>
      <c r="B384" s="445"/>
      <c r="C384" s="445"/>
      <c r="D384" s="445"/>
      <c r="E384" s="445"/>
      <c r="F384" s="445"/>
      <c r="G384" s="445"/>
      <c r="H384" s="445"/>
      <c r="I384" s="445"/>
      <c r="J384" s="445"/>
      <c r="K384" s="1136"/>
      <c r="L384" s="1136"/>
      <c r="M384" s="445"/>
      <c r="N384" s="445"/>
      <c r="O384" s="445"/>
      <c r="P384" s="445"/>
    </row>
    <row r="385" spans="1:16">
      <c r="A385" s="445"/>
      <c r="B385" s="445"/>
      <c r="C385" s="445"/>
      <c r="D385" s="445"/>
      <c r="E385" s="445"/>
      <c r="F385" s="445"/>
      <c r="G385" s="445"/>
      <c r="H385" s="445"/>
      <c r="I385" s="445"/>
      <c r="J385" s="445"/>
      <c r="K385" s="1136"/>
      <c r="L385" s="1136"/>
      <c r="M385" s="445"/>
      <c r="N385" s="445"/>
      <c r="O385" s="445"/>
      <c r="P385" s="445"/>
    </row>
    <row r="386" spans="1:16">
      <c r="A386" s="445"/>
      <c r="B386" s="445"/>
      <c r="C386" s="445"/>
      <c r="D386" s="445"/>
      <c r="E386" s="445"/>
      <c r="F386" s="445"/>
      <c r="G386" s="445"/>
      <c r="H386" s="445"/>
      <c r="I386" s="445"/>
      <c r="J386" s="445"/>
      <c r="K386" s="1136"/>
      <c r="L386" s="1136"/>
      <c r="M386" s="445"/>
      <c r="N386" s="445"/>
      <c r="O386" s="445"/>
      <c r="P386" s="445"/>
    </row>
    <row r="387" spans="1:16">
      <c r="A387" s="445"/>
      <c r="B387" s="445"/>
      <c r="C387" s="445"/>
      <c r="D387" s="445"/>
      <c r="E387" s="445"/>
      <c r="F387" s="445"/>
      <c r="G387" s="445"/>
      <c r="H387" s="445"/>
      <c r="I387" s="445"/>
      <c r="J387" s="445"/>
      <c r="K387" s="1136"/>
      <c r="L387" s="1136"/>
      <c r="M387" s="445"/>
      <c r="N387" s="445"/>
      <c r="O387" s="445"/>
      <c r="P387" s="445"/>
    </row>
    <row r="388" spans="1:16">
      <c r="A388" s="445"/>
      <c r="B388" s="445"/>
      <c r="C388" s="445"/>
      <c r="D388" s="445"/>
      <c r="E388" s="445"/>
      <c r="F388" s="445"/>
      <c r="G388" s="445"/>
      <c r="H388" s="445"/>
      <c r="I388" s="445"/>
      <c r="J388" s="445"/>
      <c r="K388" s="1136"/>
      <c r="L388" s="1136"/>
      <c r="M388" s="445"/>
      <c r="N388" s="445"/>
      <c r="O388" s="445"/>
      <c r="P388" s="445"/>
    </row>
    <row r="389" spans="1:16">
      <c r="A389" s="445"/>
      <c r="B389" s="445"/>
      <c r="C389" s="445"/>
      <c r="D389" s="445"/>
      <c r="E389" s="445"/>
      <c r="F389" s="445"/>
      <c r="G389" s="445"/>
      <c r="H389" s="445"/>
      <c r="I389" s="445"/>
      <c r="J389" s="445"/>
      <c r="K389" s="1136"/>
      <c r="L389" s="1136"/>
      <c r="M389" s="445"/>
      <c r="N389" s="445"/>
      <c r="O389" s="445"/>
      <c r="P389" s="445"/>
    </row>
    <row r="390" spans="1:16">
      <c r="A390" s="445"/>
      <c r="B390" s="445"/>
      <c r="C390" s="445"/>
      <c r="D390" s="445"/>
      <c r="E390" s="445"/>
      <c r="F390" s="445"/>
      <c r="G390" s="445"/>
      <c r="H390" s="445"/>
      <c r="I390" s="445"/>
      <c r="J390" s="445"/>
      <c r="K390" s="1136"/>
      <c r="L390" s="1136"/>
      <c r="M390" s="445"/>
      <c r="N390" s="445"/>
      <c r="O390" s="445"/>
      <c r="P390" s="445"/>
    </row>
    <row r="391" spans="1:16">
      <c r="A391" s="445"/>
      <c r="B391" s="445"/>
      <c r="C391" s="445"/>
      <c r="D391" s="445"/>
      <c r="E391" s="445"/>
      <c r="F391" s="445"/>
      <c r="G391" s="445"/>
      <c r="H391" s="445"/>
      <c r="I391" s="445"/>
      <c r="J391" s="445"/>
      <c r="K391" s="1136"/>
      <c r="L391" s="1136"/>
      <c r="M391" s="445"/>
      <c r="N391" s="445"/>
      <c r="O391" s="445"/>
      <c r="P391" s="445"/>
    </row>
    <row r="392" spans="1:16">
      <c r="A392" s="445"/>
      <c r="B392" s="445"/>
      <c r="C392" s="445"/>
      <c r="D392" s="445"/>
      <c r="E392" s="445"/>
      <c r="F392" s="445"/>
      <c r="G392" s="445"/>
      <c r="H392" s="445"/>
      <c r="I392" s="445"/>
      <c r="J392" s="445"/>
      <c r="K392" s="1136"/>
      <c r="L392" s="1136"/>
      <c r="M392" s="445"/>
      <c r="N392" s="445"/>
      <c r="O392" s="445"/>
      <c r="P392" s="445"/>
    </row>
    <row r="393" spans="1:16">
      <c r="A393" s="445"/>
      <c r="B393" s="445"/>
      <c r="C393" s="445"/>
      <c r="D393" s="445"/>
      <c r="E393" s="445"/>
      <c r="F393" s="445"/>
      <c r="G393" s="445"/>
      <c r="H393" s="445"/>
      <c r="I393" s="445"/>
      <c r="J393" s="445"/>
      <c r="K393" s="1136"/>
      <c r="L393" s="1136"/>
      <c r="M393" s="445"/>
      <c r="N393" s="445"/>
      <c r="O393" s="445"/>
      <c r="P393" s="445"/>
    </row>
    <row r="394" spans="1:16">
      <c r="A394" s="445"/>
      <c r="B394" s="445"/>
      <c r="C394" s="445"/>
      <c r="D394" s="445"/>
      <c r="E394" s="445"/>
      <c r="F394" s="445"/>
      <c r="G394" s="445"/>
      <c r="H394" s="445"/>
      <c r="I394" s="445"/>
      <c r="J394" s="445"/>
      <c r="K394" s="1136"/>
      <c r="L394" s="1136"/>
      <c r="M394" s="445"/>
      <c r="N394" s="445"/>
      <c r="O394" s="445"/>
      <c r="P394" s="445"/>
    </row>
    <row r="395" spans="1:16">
      <c r="A395" s="445"/>
      <c r="B395" s="445"/>
      <c r="C395" s="445"/>
      <c r="D395" s="445"/>
      <c r="E395" s="445"/>
      <c r="F395" s="445"/>
      <c r="G395" s="445"/>
      <c r="H395" s="445"/>
      <c r="I395" s="445"/>
      <c r="J395" s="445"/>
      <c r="K395" s="1136"/>
      <c r="L395" s="1136"/>
      <c r="M395" s="445"/>
      <c r="N395" s="445"/>
      <c r="O395" s="445"/>
      <c r="P395" s="445"/>
    </row>
    <row r="396" spans="1:16">
      <c r="A396" s="445"/>
      <c r="B396" s="445"/>
      <c r="C396" s="445"/>
      <c r="D396" s="445"/>
      <c r="E396" s="445"/>
      <c r="F396" s="445"/>
      <c r="G396" s="445"/>
      <c r="H396" s="445"/>
      <c r="I396" s="445"/>
      <c r="J396" s="445"/>
      <c r="K396" s="1136"/>
      <c r="L396" s="1136"/>
      <c r="M396" s="445"/>
      <c r="N396" s="445"/>
      <c r="O396" s="445"/>
      <c r="P396" s="445"/>
    </row>
    <row r="397" spans="1:16">
      <c r="A397" s="445"/>
      <c r="B397" s="445"/>
      <c r="C397" s="445"/>
      <c r="D397" s="445"/>
      <c r="E397" s="445"/>
      <c r="F397" s="445"/>
      <c r="G397" s="445"/>
      <c r="H397" s="445"/>
      <c r="I397" s="445"/>
      <c r="J397" s="445"/>
      <c r="K397" s="1136"/>
      <c r="L397" s="1136"/>
      <c r="M397" s="445"/>
      <c r="N397" s="445"/>
      <c r="O397" s="445"/>
      <c r="P397" s="445"/>
    </row>
    <row r="398" spans="1:16">
      <c r="A398" s="445"/>
      <c r="B398" s="445"/>
      <c r="C398" s="445"/>
      <c r="D398" s="445"/>
      <c r="E398" s="445"/>
      <c r="F398" s="445"/>
      <c r="G398" s="445"/>
      <c r="H398" s="445"/>
      <c r="I398" s="445"/>
      <c r="J398" s="445"/>
      <c r="K398" s="1136"/>
      <c r="L398" s="1136"/>
      <c r="M398" s="445"/>
      <c r="N398" s="445"/>
      <c r="O398" s="445"/>
      <c r="P398" s="445"/>
    </row>
    <row r="399" spans="1:16">
      <c r="A399" s="445"/>
      <c r="B399" s="445"/>
      <c r="C399" s="445"/>
      <c r="D399" s="445"/>
      <c r="E399" s="445"/>
      <c r="F399" s="445"/>
      <c r="G399" s="445"/>
      <c r="H399" s="445"/>
      <c r="I399" s="445"/>
      <c r="J399" s="445"/>
      <c r="K399" s="1136"/>
      <c r="L399" s="1136"/>
      <c r="M399" s="445"/>
      <c r="N399" s="445"/>
      <c r="O399" s="445"/>
      <c r="P399" s="445"/>
    </row>
    <row r="400" spans="1:16">
      <c r="A400" s="445"/>
      <c r="B400" s="445"/>
      <c r="C400" s="445"/>
      <c r="D400" s="445"/>
      <c r="E400" s="445"/>
      <c r="F400" s="445"/>
      <c r="G400" s="445"/>
      <c r="H400" s="445"/>
      <c r="I400" s="445"/>
      <c r="J400" s="445"/>
      <c r="K400" s="1136"/>
      <c r="L400" s="1136"/>
      <c r="M400" s="445"/>
      <c r="N400" s="445"/>
      <c r="O400" s="445"/>
      <c r="P400" s="445"/>
    </row>
    <row r="401" spans="1:16">
      <c r="A401" s="445"/>
      <c r="B401" s="445"/>
      <c r="C401" s="445"/>
      <c r="D401" s="445"/>
      <c r="E401" s="445"/>
      <c r="F401" s="445"/>
      <c r="G401" s="445"/>
      <c r="H401" s="445"/>
      <c r="I401" s="445"/>
      <c r="J401" s="445"/>
      <c r="K401" s="1136"/>
      <c r="L401" s="1136"/>
      <c r="M401" s="445"/>
      <c r="N401" s="445"/>
      <c r="O401" s="445"/>
      <c r="P401" s="445"/>
    </row>
    <row r="402" spans="1:16">
      <c r="A402" s="445"/>
      <c r="B402" s="445"/>
      <c r="C402" s="445"/>
      <c r="D402" s="445"/>
      <c r="E402" s="445"/>
      <c r="F402" s="445"/>
      <c r="G402" s="445"/>
      <c r="H402" s="445"/>
      <c r="I402" s="445"/>
      <c r="J402" s="445"/>
      <c r="K402" s="1136"/>
      <c r="L402" s="1136"/>
      <c r="M402" s="445"/>
      <c r="N402" s="445"/>
      <c r="O402" s="445"/>
      <c r="P402" s="445"/>
    </row>
    <row r="403" spans="1:16">
      <c r="A403" s="445"/>
      <c r="B403" s="445"/>
      <c r="C403" s="445"/>
      <c r="D403" s="445"/>
      <c r="E403" s="445"/>
      <c r="F403" s="445"/>
      <c r="G403" s="445"/>
      <c r="H403" s="445"/>
      <c r="I403" s="445"/>
      <c r="J403" s="445"/>
      <c r="K403" s="1136"/>
      <c r="L403" s="1136"/>
      <c r="M403" s="445"/>
      <c r="N403" s="445"/>
      <c r="O403" s="445"/>
      <c r="P403" s="445"/>
    </row>
    <row r="404" spans="1:16">
      <c r="A404" s="445"/>
      <c r="B404" s="445"/>
      <c r="C404" s="445"/>
      <c r="D404" s="445"/>
      <c r="E404" s="445"/>
      <c r="F404" s="445"/>
      <c r="G404" s="445"/>
      <c r="H404" s="445"/>
      <c r="I404" s="445"/>
      <c r="J404" s="445"/>
      <c r="K404" s="1136"/>
      <c r="L404" s="1136"/>
      <c r="M404" s="445"/>
      <c r="N404" s="445"/>
      <c r="O404" s="445"/>
      <c r="P404" s="445"/>
    </row>
    <row r="405" spans="1:16">
      <c r="A405" s="445"/>
      <c r="B405" s="445"/>
      <c r="C405" s="445"/>
      <c r="D405" s="445"/>
      <c r="E405" s="445"/>
      <c r="F405" s="445"/>
      <c r="G405" s="445"/>
      <c r="H405" s="445"/>
      <c r="I405" s="445"/>
      <c r="J405" s="445"/>
      <c r="K405" s="1136"/>
      <c r="L405" s="1136"/>
      <c r="M405" s="445"/>
      <c r="N405" s="445"/>
      <c r="O405" s="445"/>
      <c r="P405" s="445"/>
    </row>
    <row r="406" spans="1:16">
      <c r="A406" s="445"/>
      <c r="B406" s="445"/>
      <c r="C406" s="445"/>
      <c r="D406" s="445"/>
      <c r="E406" s="445"/>
      <c r="F406" s="445"/>
      <c r="G406" s="445"/>
      <c r="H406" s="445"/>
      <c r="I406" s="445"/>
      <c r="J406" s="445"/>
      <c r="K406" s="1136"/>
      <c r="L406" s="1136"/>
      <c r="M406" s="445"/>
      <c r="N406" s="445"/>
      <c r="O406" s="445"/>
      <c r="P406" s="445"/>
    </row>
    <row r="407" spans="1:16">
      <c r="A407" s="445"/>
      <c r="B407" s="445"/>
      <c r="C407" s="445"/>
      <c r="D407" s="445"/>
      <c r="E407" s="445"/>
      <c r="F407" s="445"/>
      <c r="G407" s="445"/>
      <c r="H407" s="445"/>
      <c r="I407" s="445"/>
      <c r="J407" s="445"/>
      <c r="K407" s="1136"/>
      <c r="L407" s="1136"/>
      <c r="M407" s="445"/>
      <c r="N407" s="445"/>
      <c r="O407" s="445"/>
      <c r="P407" s="445"/>
    </row>
    <row r="408" spans="1:16">
      <c r="A408" s="445"/>
      <c r="B408" s="445"/>
      <c r="C408" s="445"/>
      <c r="D408" s="445"/>
      <c r="E408" s="445"/>
      <c r="F408" s="445"/>
      <c r="G408" s="445"/>
      <c r="H408" s="445"/>
      <c r="I408" s="445"/>
      <c r="J408" s="445"/>
      <c r="K408" s="1136"/>
      <c r="L408" s="1136"/>
      <c r="M408" s="445"/>
      <c r="N408" s="445"/>
      <c r="O408" s="445"/>
      <c r="P408" s="445"/>
    </row>
    <row r="409" spans="1:16">
      <c r="A409" s="445"/>
      <c r="B409" s="445"/>
      <c r="C409" s="445"/>
      <c r="D409" s="445"/>
      <c r="E409" s="445"/>
      <c r="F409" s="445"/>
      <c r="G409" s="445"/>
      <c r="H409" s="445"/>
      <c r="I409" s="445"/>
      <c r="J409" s="445"/>
      <c r="K409" s="1136"/>
      <c r="L409" s="1136"/>
      <c r="M409" s="445"/>
      <c r="N409" s="445"/>
      <c r="O409" s="445"/>
      <c r="P409" s="445"/>
    </row>
    <row r="410" spans="1:16">
      <c r="A410" s="445"/>
      <c r="B410" s="445"/>
      <c r="C410" s="445"/>
      <c r="D410" s="445"/>
      <c r="E410" s="445"/>
      <c r="F410" s="445"/>
      <c r="G410" s="445"/>
      <c r="H410" s="445"/>
      <c r="I410" s="445"/>
      <c r="J410" s="445"/>
      <c r="K410" s="1136"/>
      <c r="L410" s="1136"/>
      <c r="M410" s="445"/>
      <c r="N410" s="445"/>
      <c r="O410" s="445"/>
      <c r="P410" s="445"/>
    </row>
    <row r="411" spans="1:16">
      <c r="A411" s="445"/>
      <c r="B411" s="445"/>
      <c r="C411" s="445"/>
      <c r="D411" s="445"/>
      <c r="E411" s="445"/>
      <c r="F411" s="445"/>
      <c r="G411" s="445"/>
      <c r="H411" s="445"/>
      <c r="I411" s="445"/>
      <c r="J411" s="445"/>
      <c r="K411" s="1136"/>
      <c r="L411" s="1136"/>
      <c r="M411" s="445"/>
      <c r="N411" s="445"/>
      <c r="O411" s="445"/>
      <c r="P411" s="445"/>
    </row>
    <row r="412" spans="1:16">
      <c r="A412" s="445"/>
      <c r="B412" s="445"/>
      <c r="C412" s="445"/>
      <c r="D412" s="445"/>
      <c r="E412" s="445"/>
      <c r="F412" s="445"/>
      <c r="G412" s="445"/>
      <c r="H412" s="445"/>
      <c r="I412" s="445"/>
      <c r="J412" s="445"/>
      <c r="K412" s="1136"/>
      <c r="L412" s="1136"/>
      <c r="M412" s="445"/>
      <c r="N412" s="445"/>
      <c r="O412" s="445"/>
      <c r="P412" s="445"/>
    </row>
    <row r="413" spans="1:16">
      <c r="A413" s="445"/>
      <c r="B413" s="445"/>
      <c r="C413" s="445"/>
      <c r="D413" s="445"/>
      <c r="E413" s="445"/>
      <c r="F413" s="445"/>
      <c r="G413" s="445"/>
      <c r="H413" s="445"/>
      <c r="I413" s="445"/>
      <c r="J413" s="445"/>
      <c r="K413" s="1136"/>
      <c r="L413" s="1136"/>
      <c r="M413" s="445"/>
      <c r="N413" s="445"/>
      <c r="O413" s="445"/>
      <c r="P413" s="445"/>
    </row>
    <row r="414" spans="1:16">
      <c r="A414" s="445"/>
      <c r="B414" s="445"/>
      <c r="C414" s="445"/>
      <c r="D414" s="445"/>
      <c r="E414" s="445"/>
      <c r="F414" s="445"/>
      <c r="G414" s="445"/>
      <c r="H414" s="445"/>
      <c r="I414" s="445"/>
      <c r="J414" s="445"/>
      <c r="K414" s="1136"/>
      <c r="L414" s="1136"/>
      <c r="M414" s="445"/>
      <c r="N414" s="445"/>
      <c r="O414" s="445"/>
      <c r="P414" s="445"/>
    </row>
    <row r="415" spans="1:16">
      <c r="A415" s="445"/>
      <c r="B415" s="445"/>
      <c r="C415" s="445"/>
      <c r="D415" s="445"/>
      <c r="E415" s="445"/>
      <c r="F415" s="445"/>
      <c r="G415" s="445"/>
      <c r="H415" s="445"/>
      <c r="I415" s="445"/>
      <c r="J415" s="445"/>
      <c r="K415" s="1136"/>
      <c r="L415" s="1136"/>
      <c r="M415" s="445"/>
      <c r="N415" s="445"/>
      <c r="O415" s="445"/>
      <c r="P415" s="445"/>
    </row>
    <row r="416" spans="1:16">
      <c r="A416" s="445"/>
      <c r="B416" s="445"/>
      <c r="C416" s="445"/>
      <c r="D416" s="445"/>
      <c r="E416" s="445"/>
      <c r="F416" s="445"/>
      <c r="G416" s="445"/>
      <c r="H416" s="445"/>
      <c r="I416" s="445"/>
      <c r="J416" s="445"/>
      <c r="K416" s="1136"/>
      <c r="L416" s="1136"/>
      <c r="M416" s="445"/>
      <c r="N416" s="445"/>
      <c r="O416" s="445"/>
      <c r="P416" s="445"/>
    </row>
    <row r="417" spans="1:16">
      <c r="A417" s="445"/>
      <c r="B417" s="445"/>
      <c r="C417" s="445"/>
      <c r="D417" s="445"/>
      <c r="E417" s="445"/>
      <c r="F417" s="445"/>
      <c r="G417" s="445"/>
      <c r="H417" s="445"/>
      <c r="I417" s="445"/>
      <c r="J417" s="445"/>
      <c r="K417" s="1136"/>
      <c r="L417" s="1136"/>
      <c r="M417" s="445"/>
      <c r="N417" s="445"/>
      <c r="O417" s="445"/>
      <c r="P417" s="445"/>
    </row>
    <row r="418" spans="1:16">
      <c r="A418" s="445"/>
      <c r="B418" s="445"/>
      <c r="C418" s="445"/>
      <c r="D418" s="445"/>
      <c r="E418" s="445"/>
      <c r="F418" s="445"/>
      <c r="G418" s="445"/>
      <c r="H418" s="445"/>
      <c r="I418" s="445"/>
      <c r="J418" s="445"/>
      <c r="K418" s="1136"/>
      <c r="L418" s="1136"/>
      <c r="M418" s="445"/>
      <c r="N418" s="445"/>
      <c r="O418" s="445"/>
      <c r="P418" s="445"/>
    </row>
    <row r="419" spans="1:16">
      <c r="A419" s="445"/>
      <c r="B419" s="445"/>
      <c r="C419" s="445"/>
      <c r="D419" s="445"/>
      <c r="E419" s="445"/>
      <c r="F419" s="445"/>
      <c r="G419" s="445"/>
      <c r="H419" s="445"/>
      <c r="I419" s="445"/>
      <c r="J419" s="445"/>
      <c r="K419" s="1136"/>
      <c r="L419" s="1136"/>
      <c r="M419" s="445"/>
      <c r="N419" s="445"/>
      <c r="O419" s="445"/>
      <c r="P419" s="445"/>
    </row>
    <row r="420" spans="1:16">
      <c r="A420" s="445"/>
      <c r="B420" s="445"/>
      <c r="C420" s="445"/>
      <c r="D420" s="445"/>
      <c r="E420" s="445"/>
      <c r="F420" s="445"/>
      <c r="G420" s="445"/>
      <c r="H420" s="445"/>
      <c r="I420" s="445"/>
      <c r="J420" s="445"/>
      <c r="K420" s="1136"/>
      <c r="L420" s="1136"/>
      <c r="M420" s="445"/>
      <c r="N420" s="445"/>
      <c r="O420" s="445"/>
      <c r="P420" s="445"/>
    </row>
    <row r="421" spans="1:16">
      <c r="A421" s="445"/>
      <c r="B421" s="445"/>
      <c r="C421" s="445"/>
      <c r="D421" s="445"/>
      <c r="E421" s="445"/>
      <c r="F421" s="445"/>
      <c r="G421" s="445"/>
      <c r="H421" s="445"/>
      <c r="I421" s="445"/>
      <c r="J421" s="445"/>
      <c r="K421" s="1136"/>
      <c r="L421" s="1136"/>
      <c r="M421" s="445"/>
      <c r="N421" s="445"/>
      <c r="O421" s="445"/>
      <c r="P421" s="445"/>
    </row>
    <row r="422" spans="1:16">
      <c r="A422" s="445"/>
      <c r="B422" s="445"/>
      <c r="C422" s="445"/>
      <c r="D422" s="445"/>
      <c r="E422" s="445"/>
      <c r="F422" s="445"/>
      <c r="G422" s="445"/>
      <c r="H422" s="445"/>
      <c r="I422" s="445"/>
      <c r="J422" s="445"/>
      <c r="K422" s="1136"/>
      <c r="L422" s="1136"/>
      <c r="M422" s="445"/>
      <c r="N422" s="445"/>
      <c r="O422" s="445"/>
      <c r="P422" s="445"/>
    </row>
    <row r="423" spans="1:16">
      <c r="A423" s="445"/>
      <c r="B423" s="445"/>
      <c r="C423" s="445"/>
      <c r="D423" s="445"/>
      <c r="E423" s="445"/>
      <c r="F423" s="445"/>
      <c r="G423" s="445"/>
      <c r="H423" s="445"/>
      <c r="I423" s="445"/>
      <c r="J423" s="445"/>
      <c r="K423" s="1136"/>
      <c r="L423" s="1136"/>
      <c r="M423" s="445"/>
      <c r="N423" s="445"/>
      <c r="O423" s="445"/>
      <c r="P423" s="445"/>
    </row>
    <row r="424" spans="1:16">
      <c r="A424" s="445"/>
      <c r="B424" s="445"/>
      <c r="C424" s="445"/>
      <c r="D424" s="445"/>
      <c r="E424" s="445"/>
      <c r="F424" s="445"/>
      <c r="G424" s="445"/>
      <c r="H424" s="445"/>
      <c r="I424" s="445"/>
      <c r="J424" s="445"/>
      <c r="K424" s="1136"/>
      <c r="L424" s="1136"/>
      <c r="M424" s="445"/>
      <c r="N424" s="445"/>
      <c r="O424" s="445"/>
      <c r="P424" s="445"/>
    </row>
    <row r="425" spans="1:16">
      <c r="A425" s="445"/>
      <c r="B425" s="445"/>
      <c r="C425" s="445"/>
      <c r="D425" s="445"/>
      <c r="E425" s="445"/>
      <c r="F425" s="445"/>
      <c r="G425" s="445"/>
      <c r="H425" s="445"/>
      <c r="I425" s="445"/>
      <c r="J425" s="445"/>
      <c r="K425" s="1136"/>
      <c r="L425" s="1136"/>
      <c r="M425" s="445"/>
      <c r="N425" s="445"/>
      <c r="O425" s="445"/>
      <c r="P425" s="445"/>
    </row>
    <row r="426" spans="1:16">
      <c r="A426" s="445"/>
      <c r="B426" s="445"/>
      <c r="C426" s="445"/>
      <c r="D426" s="445"/>
      <c r="E426" s="445"/>
      <c r="F426" s="445"/>
      <c r="G426" s="445"/>
      <c r="H426" s="445"/>
      <c r="I426" s="445"/>
      <c r="J426" s="445"/>
      <c r="K426" s="1136"/>
      <c r="L426" s="1136"/>
      <c r="M426" s="445"/>
      <c r="N426" s="445"/>
      <c r="O426" s="445"/>
      <c r="P426" s="445"/>
    </row>
    <row r="427" spans="1:16">
      <c r="A427" s="445"/>
      <c r="B427" s="445"/>
      <c r="C427" s="445"/>
      <c r="D427" s="445"/>
      <c r="E427" s="445"/>
      <c r="F427" s="445"/>
      <c r="G427" s="445"/>
      <c r="H427" s="445"/>
      <c r="I427" s="445"/>
      <c r="J427" s="445"/>
      <c r="K427" s="1136"/>
      <c r="L427" s="1136"/>
      <c r="M427" s="445"/>
      <c r="N427" s="445"/>
      <c r="O427" s="445"/>
      <c r="P427" s="445"/>
    </row>
    <row r="428" spans="1:16">
      <c r="A428" s="445"/>
      <c r="B428" s="445"/>
      <c r="C428" s="445"/>
      <c r="D428" s="445"/>
      <c r="E428" s="445"/>
      <c r="F428" s="445"/>
      <c r="G428" s="445"/>
      <c r="H428" s="445"/>
      <c r="I428" s="445"/>
      <c r="J428" s="445"/>
      <c r="K428" s="1136"/>
      <c r="L428" s="1136"/>
      <c r="M428" s="445"/>
      <c r="N428" s="445"/>
      <c r="O428" s="445"/>
      <c r="P428" s="445"/>
    </row>
    <row r="429" spans="1:16">
      <c r="A429" s="445"/>
      <c r="B429" s="445"/>
      <c r="C429" s="445"/>
      <c r="D429" s="445"/>
      <c r="E429" s="445"/>
      <c r="F429" s="445"/>
      <c r="G429" s="445"/>
      <c r="H429" s="445"/>
      <c r="I429" s="445"/>
      <c r="J429" s="445"/>
      <c r="K429" s="1136"/>
      <c r="L429" s="1136"/>
      <c r="M429" s="445"/>
      <c r="N429" s="445"/>
      <c r="O429" s="445"/>
      <c r="P429" s="445"/>
    </row>
    <row r="430" spans="1:16">
      <c r="A430" s="445"/>
      <c r="B430" s="445"/>
      <c r="C430" s="445"/>
      <c r="D430" s="445"/>
      <c r="E430" s="445"/>
      <c r="F430" s="445"/>
      <c r="G430" s="445"/>
      <c r="H430" s="445"/>
      <c r="I430" s="445"/>
      <c r="J430" s="445"/>
      <c r="K430" s="1136"/>
      <c r="L430" s="1136"/>
      <c r="M430" s="445"/>
      <c r="N430" s="445"/>
      <c r="O430" s="445"/>
      <c r="P430" s="445"/>
    </row>
    <row r="431" spans="1:16">
      <c r="A431" s="445"/>
      <c r="B431" s="445"/>
      <c r="C431" s="445"/>
      <c r="D431" s="445"/>
      <c r="E431" s="445"/>
      <c r="F431" s="445"/>
      <c r="G431" s="445"/>
      <c r="H431" s="445"/>
      <c r="I431" s="445"/>
      <c r="J431" s="445"/>
      <c r="K431" s="1136"/>
      <c r="L431" s="1136"/>
      <c r="M431" s="445"/>
      <c r="N431" s="445"/>
      <c r="O431" s="445"/>
      <c r="P431" s="445"/>
    </row>
    <row r="432" spans="1:16">
      <c r="A432" s="445"/>
      <c r="B432" s="445"/>
      <c r="C432" s="445"/>
      <c r="D432" s="445"/>
      <c r="E432" s="445"/>
      <c r="F432" s="445"/>
      <c r="G432" s="445"/>
      <c r="H432" s="445"/>
      <c r="I432" s="445"/>
      <c r="J432" s="445"/>
      <c r="K432" s="1136"/>
      <c r="L432" s="1136"/>
      <c r="M432" s="445"/>
      <c r="N432" s="445"/>
      <c r="O432" s="445"/>
      <c r="P432" s="445"/>
    </row>
    <row r="433" spans="1:16">
      <c r="A433" s="445"/>
      <c r="B433" s="445"/>
      <c r="C433" s="445"/>
      <c r="D433" s="445"/>
      <c r="E433" s="445"/>
      <c r="F433" s="445"/>
      <c r="G433" s="445"/>
      <c r="H433" s="445"/>
      <c r="I433" s="445"/>
      <c r="J433" s="445"/>
      <c r="K433" s="1136"/>
      <c r="L433" s="1136"/>
      <c r="M433" s="445"/>
      <c r="N433" s="445"/>
      <c r="O433" s="445"/>
      <c r="P433" s="445"/>
    </row>
    <row r="434" spans="1:16">
      <c r="A434" s="445"/>
      <c r="B434" s="445"/>
      <c r="C434" s="445"/>
      <c r="D434" s="445"/>
      <c r="E434" s="445"/>
      <c r="F434" s="445"/>
      <c r="G434" s="445"/>
      <c r="H434" s="445"/>
      <c r="I434" s="445"/>
      <c r="J434" s="445"/>
      <c r="K434" s="1136"/>
      <c r="L434" s="1136"/>
      <c r="M434" s="445"/>
      <c r="N434" s="445"/>
      <c r="O434" s="445"/>
      <c r="P434" s="445"/>
    </row>
    <row r="435" spans="1:16">
      <c r="A435" s="445"/>
      <c r="B435" s="445"/>
      <c r="C435" s="445"/>
      <c r="D435" s="445"/>
      <c r="E435" s="445"/>
      <c r="F435" s="445"/>
      <c r="G435" s="445"/>
      <c r="H435" s="445"/>
      <c r="I435" s="445"/>
      <c r="J435" s="445"/>
      <c r="K435" s="1136"/>
      <c r="L435" s="1136"/>
      <c r="M435" s="445"/>
      <c r="N435" s="445"/>
      <c r="O435" s="445"/>
      <c r="P435" s="445"/>
    </row>
    <row r="436" spans="1:16">
      <c r="A436" s="445"/>
      <c r="B436" s="445"/>
      <c r="C436" s="445"/>
      <c r="D436" s="445"/>
      <c r="E436" s="445"/>
      <c r="F436" s="445"/>
      <c r="G436" s="445"/>
      <c r="H436" s="445"/>
      <c r="I436" s="445"/>
      <c r="J436" s="445"/>
      <c r="K436" s="1136"/>
      <c r="L436" s="1136"/>
      <c r="M436" s="445"/>
      <c r="N436" s="445"/>
      <c r="O436" s="445"/>
      <c r="P436" s="445"/>
    </row>
    <row r="437" spans="1:16">
      <c r="A437" s="445"/>
      <c r="B437" s="445"/>
      <c r="C437" s="445"/>
      <c r="D437" s="445"/>
      <c r="E437" s="445"/>
      <c r="F437" s="445"/>
      <c r="G437" s="445"/>
      <c r="H437" s="445"/>
      <c r="I437" s="445"/>
      <c r="J437" s="445"/>
      <c r="K437" s="1136"/>
      <c r="L437" s="1136"/>
      <c r="M437" s="445"/>
      <c r="N437" s="445"/>
      <c r="O437" s="445"/>
      <c r="P437" s="445"/>
    </row>
    <row r="438" spans="1:16">
      <c r="A438" s="445"/>
      <c r="B438" s="445"/>
      <c r="C438" s="445"/>
      <c r="D438" s="445"/>
      <c r="E438" s="445"/>
      <c r="F438" s="445"/>
      <c r="G438" s="445"/>
      <c r="H438" s="445"/>
      <c r="I438" s="445"/>
      <c r="J438" s="445"/>
      <c r="K438" s="1136"/>
      <c r="L438" s="1136"/>
      <c r="M438" s="445"/>
      <c r="N438" s="445"/>
      <c r="O438" s="445"/>
      <c r="P438" s="445"/>
    </row>
    <row r="439" spans="1:16">
      <c r="A439" s="445"/>
      <c r="B439" s="445"/>
      <c r="C439" s="445"/>
      <c r="D439" s="445"/>
      <c r="E439" s="445"/>
      <c r="F439" s="445"/>
      <c r="G439" s="445"/>
      <c r="H439" s="445"/>
      <c r="I439" s="445"/>
      <c r="J439" s="445"/>
      <c r="K439" s="1136"/>
      <c r="L439" s="1136"/>
      <c r="M439" s="445"/>
      <c r="N439" s="445"/>
      <c r="O439" s="445"/>
      <c r="P439" s="445"/>
    </row>
    <row r="440" spans="1:16">
      <c r="A440" s="445"/>
      <c r="B440" s="445"/>
      <c r="C440" s="445"/>
      <c r="D440" s="445"/>
      <c r="E440" s="445"/>
      <c r="F440" s="445"/>
      <c r="G440" s="445"/>
      <c r="H440" s="445"/>
      <c r="I440" s="445"/>
      <c r="J440" s="445"/>
      <c r="K440" s="1136"/>
      <c r="L440" s="1136"/>
      <c r="M440" s="445"/>
      <c r="N440" s="445"/>
      <c r="O440" s="445"/>
      <c r="P440" s="445"/>
    </row>
    <row r="441" spans="1:16">
      <c r="A441" s="445"/>
      <c r="B441" s="445"/>
      <c r="C441" s="445"/>
      <c r="D441" s="445"/>
      <c r="E441" s="445"/>
      <c r="F441" s="445"/>
      <c r="G441" s="445"/>
      <c r="H441" s="445"/>
      <c r="I441" s="445"/>
      <c r="J441" s="445"/>
      <c r="K441" s="1136"/>
      <c r="L441" s="1136"/>
      <c r="M441" s="445"/>
      <c r="N441" s="445"/>
      <c r="O441" s="445"/>
      <c r="P441" s="445"/>
    </row>
    <row r="442" spans="1:16">
      <c r="A442" s="445"/>
      <c r="B442" s="445"/>
      <c r="C442" s="445"/>
      <c r="D442" s="445"/>
      <c r="E442" s="445"/>
      <c r="F442" s="445"/>
      <c r="G442" s="445"/>
      <c r="H442" s="445"/>
      <c r="I442" s="445"/>
      <c r="J442" s="445"/>
      <c r="K442" s="1136"/>
      <c r="L442" s="1136"/>
      <c r="M442" s="445"/>
      <c r="N442" s="445"/>
      <c r="O442" s="445"/>
      <c r="P442" s="445"/>
    </row>
    <row r="443" spans="1:16">
      <c r="A443" s="445"/>
      <c r="B443" s="445"/>
      <c r="C443" s="445"/>
      <c r="D443" s="445"/>
      <c r="E443" s="445"/>
      <c r="F443" s="445"/>
      <c r="G443" s="445"/>
      <c r="H443" s="445"/>
      <c r="I443" s="445"/>
      <c r="J443" s="445"/>
      <c r="K443" s="1136"/>
      <c r="L443" s="1136"/>
      <c r="M443" s="445"/>
      <c r="N443" s="445"/>
      <c r="O443" s="445"/>
      <c r="P443" s="445"/>
    </row>
    <row r="444" spans="1:16">
      <c r="A444" s="445"/>
      <c r="B444" s="445"/>
      <c r="C444" s="445"/>
      <c r="D444" s="445"/>
      <c r="E444" s="445"/>
      <c r="F444" s="445"/>
      <c r="G444" s="445"/>
      <c r="H444" s="445"/>
      <c r="I444" s="445"/>
      <c r="J444" s="445"/>
      <c r="K444" s="1136"/>
      <c r="L444" s="1136"/>
      <c r="M444" s="445"/>
      <c r="N444" s="445"/>
      <c r="O444" s="445"/>
      <c r="P444" s="445"/>
    </row>
    <row r="445" spans="1:16">
      <c r="A445" s="445"/>
      <c r="B445" s="445"/>
      <c r="C445" s="445"/>
      <c r="D445" s="445"/>
      <c r="E445" s="445"/>
      <c r="F445" s="445"/>
      <c r="G445" s="445"/>
      <c r="H445" s="445"/>
      <c r="I445" s="445"/>
      <c r="J445" s="445"/>
      <c r="K445" s="1136"/>
      <c r="L445" s="1136"/>
      <c r="M445" s="445"/>
      <c r="N445" s="445"/>
      <c r="O445" s="445"/>
      <c r="P445" s="445"/>
    </row>
    <row r="446" spans="1:16">
      <c r="A446" s="445"/>
      <c r="B446" s="445"/>
      <c r="C446" s="445"/>
      <c r="D446" s="445"/>
      <c r="E446" s="445"/>
      <c r="F446" s="445"/>
      <c r="G446" s="445"/>
      <c r="H446" s="445"/>
      <c r="I446" s="445"/>
      <c r="J446" s="445"/>
      <c r="K446" s="1136"/>
      <c r="L446" s="1136"/>
      <c r="M446" s="445"/>
      <c r="N446" s="445"/>
      <c r="O446" s="445"/>
      <c r="P446" s="445"/>
    </row>
    <row r="447" spans="1:16">
      <c r="A447" s="445"/>
      <c r="B447" s="445"/>
      <c r="C447" s="445"/>
      <c r="D447" s="445"/>
      <c r="E447" s="445"/>
      <c r="F447" s="445"/>
      <c r="G447" s="445"/>
      <c r="H447" s="445"/>
      <c r="I447" s="445"/>
      <c r="J447" s="445"/>
      <c r="K447" s="1136"/>
      <c r="L447" s="1136"/>
      <c r="M447" s="445"/>
      <c r="N447" s="445"/>
      <c r="O447" s="445"/>
      <c r="P447" s="445"/>
    </row>
    <row r="448" spans="1:16">
      <c r="A448" s="445"/>
      <c r="B448" s="445"/>
      <c r="C448" s="445"/>
      <c r="D448" s="445"/>
      <c r="E448" s="445"/>
      <c r="F448" s="445"/>
      <c r="G448" s="445"/>
      <c r="H448" s="445"/>
      <c r="I448" s="445"/>
      <c r="J448" s="445"/>
      <c r="K448" s="1136"/>
      <c r="L448" s="1136"/>
      <c r="M448" s="445"/>
      <c r="N448" s="445"/>
      <c r="O448" s="445"/>
      <c r="P448" s="445"/>
    </row>
    <row r="449" spans="1:16">
      <c r="A449" s="445"/>
      <c r="B449" s="445"/>
      <c r="C449" s="445"/>
      <c r="D449" s="445"/>
      <c r="E449" s="445"/>
      <c r="F449" s="445"/>
      <c r="G449" s="445"/>
      <c r="H449" s="445"/>
      <c r="I449" s="445"/>
      <c r="J449" s="445"/>
      <c r="K449" s="1136"/>
      <c r="L449" s="1136"/>
      <c r="M449" s="445"/>
      <c r="N449" s="445"/>
      <c r="O449" s="445"/>
      <c r="P449" s="445"/>
    </row>
    <row r="450" spans="1:16">
      <c r="A450" s="445"/>
      <c r="B450" s="445"/>
      <c r="C450" s="445"/>
      <c r="D450" s="445"/>
      <c r="E450" s="445"/>
      <c r="F450" s="445"/>
      <c r="G450" s="445"/>
      <c r="H450" s="445"/>
      <c r="I450" s="445"/>
      <c r="J450" s="445"/>
      <c r="K450" s="1136"/>
      <c r="L450" s="1136"/>
      <c r="M450" s="445"/>
      <c r="N450" s="445"/>
      <c r="O450" s="445"/>
      <c r="P450" s="445"/>
    </row>
    <row r="451" spans="1:16">
      <c r="A451" s="445"/>
      <c r="B451" s="445"/>
      <c r="C451" s="445"/>
      <c r="D451" s="445"/>
      <c r="E451" s="445"/>
      <c r="F451" s="445"/>
      <c r="G451" s="445"/>
      <c r="H451" s="445"/>
      <c r="I451" s="445"/>
      <c r="J451" s="445"/>
      <c r="K451" s="1136"/>
      <c r="L451" s="1136"/>
      <c r="M451" s="445"/>
      <c r="N451" s="445"/>
      <c r="O451" s="445"/>
      <c r="P451" s="445"/>
    </row>
    <row r="452" spans="1:16">
      <c r="A452" s="445"/>
      <c r="B452" s="445"/>
      <c r="C452" s="445"/>
      <c r="D452" s="445"/>
      <c r="E452" s="445"/>
      <c r="F452" s="445"/>
      <c r="G452" s="445"/>
      <c r="H452" s="445"/>
      <c r="I452" s="445"/>
      <c r="J452" s="445"/>
      <c r="K452" s="1136"/>
      <c r="L452" s="1136"/>
      <c r="M452" s="445"/>
      <c r="N452" s="445"/>
      <c r="O452" s="445"/>
      <c r="P452" s="445"/>
    </row>
    <row r="453" spans="1:16">
      <c r="A453" s="445"/>
      <c r="B453" s="445"/>
      <c r="C453" s="445"/>
      <c r="D453" s="445"/>
      <c r="E453" s="445"/>
      <c r="F453" s="445"/>
      <c r="G453" s="445"/>
      <c r="H453" s="445"/>
      <c r="I453" s="445"/>
      <c r="J453" s="445"/>
      <c r="K453" s="1136"/>
      <c r="L453" s="1136"/>
      <c r="M453" s="445"/>
      <c r="N453" s="445"/>
      <c r="O453" s="445"/>
      <c r="P453" s="445"/>
    </row>
    <row r="454" spans="1:16">
      <c r="A454" s="445"/>
      <c r="B454" s="445"/>
      <c r="C454" s="445"/>
      <c r="D454" s="445"/>
      <c r="E454" s="445"/>
      <c r="F454" s="445"/>
      <c r="G454" s="445"/>
      <c r="H454" s="445"/>
      <c r="I454" s="445"/>
      <c r="J454" s="445"/>
      <c r="K454" s="1136"/>
      <c r="L454" s="1136"/>
      <c r="M454" s="445"/>
      <c r="N454" s="445"/>
      <c r="O454" s="445"/>
      <c r="P454" s="445"/>
    </row>
    <row r="455" spans="1:16">
      <c r="A455" s="445"/>
      <c r="B455" s="445"/>
      <c r="C455" s="445"/>
      <c r="D455" s="445"/>
      <c r="E455" s="445"/>
      <c r="F455" s="445"/>
      <c r="G455" s="445"/>
      <c r="H455" s="445"/>
      <c r="I455" s="445"/>
      <c r="J455" s="445"/>
      <c r="K455" s="1136"/>
      <c r="L455" s="1136"/>
      <c r="M455" s="445"/>
      <c r="N455" s="445"/>
      <c r="O455" s="445"/>
      <c r="P455" s="445"/>
    </row>
    <row r="456" spans="1:16">
      <c r="A456" s="445"/>
      <c r="B456" s="445"/>
      <c r="C456" s="445"/>
      <c r="D456" s="445"/>
      <c r="E456" s="445"/>
      <c r="F456" s="445"/>
      <c r="G456" s="445"/>
      <c r="H456" s="445"/>
      <c r="I456" s="445"/>
      <c r="J456" s="445"/>
      <c r="K456" s="1136"/>
      <c r="L456" s="1136"/>
      <c r="M456" s="445"/>
      <c r="N456" s="445"/>
      <c r="O456" s="445"/>
      <c r="P456" s="445"/>
    </row>
    <row r="457" spans="1:16">
      <c r="A457" s="445"/>
      <c r="B457" s="445"/>
      <c r="C457" s="445"/>
      <c r="D457" s="445"/>
      <c r="E457" s="445"/>
      <c r="F457" s="445"/>
      <c r="G457" s="445"/>
      <c r="H457" s="445"/>
      <c r="I457" s="445"/>
      <c r="J457" s="445"/>
      <c r="K457" s="1136"/>
      <c r="L457" s="1136"/>
      <c r="M457" s="445"/>
      <c r="N457" s="445"/>
      <c r="O457" s="445"/>
      <c r="P457" s="445"/>
    </row>
    <row r="458" spans="1:16">
      <c r="A458" s="445"/>
      <c r="B458" s="445"/>
      <c r="C458" s="445"/>
      <c r="D458" s="445"/>
      <c r="E458" s="445"/>
      <c r="F458" s="445"/>
      <c r="G458" s="445"/>
      <c r="H458" s="445"/>
      <c r="I458" s="445"/>
      <c r="J458" s="445"/>
      <c r="K458" s="1136"/>
      <c r="L458" s="1136"/>
      <c r="M458" s="445"/>
      <c r="N458" s="445"/>
      <c r="O458" s="445"/>
      <c r="P458" s="445"/>
    </row>
    <row r="459" spans="1:16">
      <c r="A459" s="445"/>
      <c r="B459" s="445"/>
      <c r="C459" s="445"/>
      <c r="D459" s="445"/>
      <c r="E459" s="445"/>
      <c r="F459" s="445"/>
      <c r="G459" s="445"/>
      <c r="H459" s="445"/>
      <c r="I459" s="445"/>
      <c r="J459" s="445"/>
      <c r="K459" s="1136"/>
      <c r="L459" s="1136"/>
      <c r="M459" s="445"/>
      <c r="N459" s="445"/>
      <c r="O459" s="445"/>
      <c r="P459" s="445"/>
    </row>
    <row r="460" spans="1:16">
      <c r="A460" s="445"/>
      <c r="B460" s="445"/>
      <c r="C460" s="445"/>
      <c r="D460" s="445"/>
      <c r="E460" s="445"/>
      <c r="F460" s="445"/>
      <c r="G460" s="445"/>
      <c r="H460" s="445"/>
      <c r="I460" s="445"/>
      <c r="J460" s="445"/>
      <c r="K460" s="1136"/>
      <c r="L460" s="1136"/>
      <c r="M460" s="445"/>
      <c r="N460" s="445"/>
      <c r="O460" s="445"/>
      <c r="P460" s="445"/>
    </row>
    <row r="461" spans="1:16">
      <c r="A461" s="445"/>
      <c r="B461" s="445"/>
      <c r="C461" s="445"/>
      <c r="D461" s="445"/>
      <c r="E461" s="445"/>
      <c r="F461" s="445"/>
      <c r="G461" s="445"/>
      <c r="H461" s="445"/>
      <c r="I461" s="445"/>
      <c r="J461" s="445"/>
      <c r="K461" s="1136"/>
      <c r="L461" s="1136"/>
      <c r="M461" s="445"/>
      <c r="N461" s="445"/>
      <c r="O461" s="445"/>
      <c r="P461" s="445"/>
    </row>
    <row r="462" spans="1:16">
      <c r="A462" s="445"/>
      <c r="B462" s="445"/>
      <c r="C462" s="445"/>
      <c r="D462" s="445"/>
      <c r="E462" s="445"/>
      <c r="F462" s="445"/>
      <c r="G462" s="445"/>
      <c r="H462" s="445"/>
      <c r="I462" s="445"/>
      <c r="J462" s="445"/>
      <c r="K462" s="1136"/>
      <c r="L462" s="1136"/>
      <c r="M462" s="445"/>
      <c r="N462" s="445"/>
      <c r="O462" s="445"/>
      <c r="P462" s="445"/>
    </row>
    <row r="463" spans="1:16">
      <c r="A463" s="445"/>
      <c r="B463" s="445"/>
      <c r="C463" s="445"/>
      <c r="D463" s="445"/>
      <c r="E463" s="445"/>
      <c r="F463" s="445"/>
      <c r="G463" s="445"/>
      <c r="H463" s="445"/>
      <c r="I463" s="445"/>
      <c r="J463" s="445"/>
      <c r="K463" s="1136"/>
      <c r="L463" s="1136"/>
      <c r="M463" s="445"/>
      <c r="N463" s="445"/>
      <c r="O463" s="445"/>
      <c r="P463" s="445"/>
    </row>
    <row r="464" spans="1:16">
      <c r="A464" s="445"/>
      <c r="B464" s="445"/>
      <c r="C464" s="445"/>
      <c r="D464" s="445"/>
      <c r="E464" s="445"/>
      <c r="F464" s="445"/>
      <c r="G464" s="445"/>
      <c r="H464" s="445"/>
      <c r="I464" s="445"/>
      <c r="J464" s="445"/>
      <c r="K464" s="1136"/>
      <c r="L464" s="1136"/>
      <c r="M464" s="445"/>
      <c r="N464" s="445"/>
      <c r="O464" s="445"/>
      <c r="P464" s="445"/>
    </row>
    <row r="465" spans="1:16">
      <c r="A465" s="445"/>
      <c r="B465" s="445"/>
      <c r="C465" s="445"/>
      <c r="D465" s="445"/>
      <c r="E465" s="445"/>
      <c r="F465" s="445"/>
      <c r="G465" s="445"/>
      <c r="H465" s="445"/>
      <c r="I465" s="445"/>
      <c r="J465" s="445"/>
      <c r="K465" s="1136"/>
      <c r="L465" s="1136"/>
      <c r="M465" s="445"/>
      <c r="N465" s="445"/>
      <c r="O465" s="445"/>
      <c r="P465" s="445"/>
    </row>
    <row r="466" spans="1:16">
      <c r="A466" s="445"/>
      <c r="B466" s="445"/>
      <c r="C466" s="445"/>
      <c r="D466" s="445"/>
      <c r="E466" s="445"/>
      <c r="F466" s="445"/>
      <c r="G466" s="445"/>
      <c r="H466" s="445"/>
      <c r="I466" s="445"/>
      <c r="J466" s="445"/>
      <c r="K466" s="1136"/>
      <c r="L466" s="1136"/>
      <c r="M466" s="445"/>
      <c r="N466" s="445"/>
      <c r="O466" s="445"/>
      <c r="P466" s="445"/>
    </row>
    <row r="467" spans="1:16">
      <c r="A467" s="445"/>
      <c r="B467" s="445"/>
      <c r="C467" s="445"/>
      <c r="D467" s="445"/>
      <c r="E467" s="445"/>
      <c r="F467" s="445"/>
      <c r="G467" s="445"/>
      <c r="H467" s="445"/>
      <c r="I467" s="445"/>
      <c r="J467" s="445"/>
      <c r="K467" s="1136"/>
      <c r="L467" s="1136"/>
      <c r="M467" s="445"/>
      <c r="N467" s="445"/>
      <c r="O467" s="445"/>
      <c r="P467" s="445"/>
    </row>
    <row r="468" spans="1:16">
      <c r="A468" s="445"/>
      <c r="B468" s="445"/>
      <c r="C468" s="445"/>
      <c r="D468" s="445"/>
      <c r="E468" s="445"/>
      <c r="F468" s="445"/>
      <c r="G468" s="445"/>
      <c r="H468" s="445"/>
      <c r="I468" s="445"/>
      <c r="J468" s="445"/>
      <c r="K468" s="1136"/>
      <c r="L468" s="1136"/>
      <c r="M468" s="445"/>
      <c r="N468" s="445"/>
      <c r="O468" s="445"/>
      <c r="P468" s="445"/>
    </row>
    <row r="469" spans="1:16">
      <c r="A469" s="445"/>
      <c r="B469" s="445"/>
      <c r="C469" s="445"/>
      <c r="D469" s="445"/>
      <c r="E469" s="445"/>
      <c r="F469" s="445"/>
      <c r="G469" s="445"/>
      <c r="H469" s="445"/>
      <c r="I469" s="445"/>
      <c r="J469" s="445"/>
      <c r="K469" s="1136"/>
      <c r="L469" s="1136"/>
      <c r="M469" s="445"/>
      <c r="N469" s="445"/>
      <c r="O469" s="445"/>
      <c r="P469" s="445"/>
    </row>
    <row r="470" spans="1:16">
      <c r="A470" s="445"/>
      <c r="B470" s="445"/>
      <c r="C470" s="445"/>
      <c r="D470" s="445"/>
      <c r="E470" s="445"/>
      <c r="F470" s="445"/>
      <c r="G470" s="445"/>
      <c r="H470" s="445"/>
      <c r="I470" s="445"/>
      <c r="J470" s="445"/>
      <c r="K470" s="1136"/>
      <c r="L470" s="1136"/>
      <c r="M470" s="445"/>
      <c r="N470" s="445"/>
      <c r="O470" s="445"/>
      <c r="P470" s="445"/>
    </row>
    <row r="471" spans="1:16">
      <c r="A471" s="445"/>
      <c r="B471" s="445"/>
      <c r="C471" s="445"/>
      <c r="D471" s="445"/>
      <c r="E471" s="445"/>
      <c r="F471" s="445"/>
      <c r="G471" s="445"/>
      <c r="H471" s="445"/>
      <c r="I471" s="445"/>
      <c r="J471" s="445"/>
      <c r="K471" s="1136"/>
      <c r="L471" s="1136"/>
      <c r="M471" s="445"/>
      <c r="N471" s="445"/>
      <c r="O471" s="445"/>
      <c r="P471" s="445"/>
    </row>
    <row r="472" spans="1:16">
      <c r="A472" s="445"/>
      <c r="B472" s="445"/>
      <c r="C472" s="445"/>
      <c r="D472" s="445"/>
      <c r="E472" s="445"/>
      <c r="F472" s="445"/>
      <c r="G472" s="445"/>
      <c r="H472" s="445"/>
      <c r="I472" s="445"/>
      <c r="J472" s="445"/>
      <c r="K472" s="1136"/>
      <c r="L472" s="1136"/>
      <c r="M472" s="445"/>
      <c r="N472" s="445"/>
      <c r="O472" s="445"/>
      <c r="P472" s="445"/>
    </row>
    <row r="473" spans="1:16">
      <c r="A473" s="445"/>
      <c r="B473" s="445"/>
      <c r="C473" s="445"/>
      <c r="D473" s="445"/>
      <c r="E473" s="445"/>
      <c r="F473" s="445"/>
      <c r="G473" s="445"/>
      <c r="H473" s="445"/>
      <c r="I473" s="445"/>
      <c r="J473" s="445"/>
      <c r="K473" s="1136"/>
      <c r="L473" s="1136"/>
      <c r="M473" s="445"/>
      <c r="N473" s="445"/>
      <c r="O473" s="445"/>
      <c r="P473" s="445"/>
    </row>
    <row r="474" spans="1:16">
      <c r="A474" s="445"/>
      <c r="B474" s="445"/>
      <c r="C474" s="445"/>
      <c r="D474" s="445"/>
      <c r="E474" s="445"/>
      <c r="F474" s="445"/>
      <c r="G474" s="445"/>
      <c r="H474" s="445"/>
      <c r="I474" s="445"/>
      <c r="J474" s="445"/>
      <c r="K474" s="1136"/>
      <c r="L474" s="1136"/>
      <c r="M474" s="445"/>
      <c r="N474" s="445"/>
      <c r="O474" s="445"/>
      <c r="P474" s="445"/>
    </row>
    <row r="475" spans="1:16">
      <c r="A475" s="445"/>
      <c r="B475" s="445"/>
      <c r="C475" s="445"/>
      <c r="D475" s="445"/>
      <c r="E475" s="445"/>
      <c r="F475" s="445"/>
      <c r="G475" s="445"/>
      <c r="H475" s="445"/>
      <c r="I475" s="445"/>
      <c r="J475" s="445"/>
      <c r="K475" s="1136"/>
      <c r="L475" s="1136"/>
      <c r="M475" s="445"/>
      <c r="N475" s="445"/>
      <c r="O475" s="445"/>
      <c r="P475" s="445"/>
    </row>
    <row r="476" spans="1:16">
      <c r="A476" s="445"/>
      <c r="B476" s="445"/>
      <c r="C476" s="445"/>
      <c r="D476" s="445"/>
      <c r="E476" s="445"/>
      <c r="F476" s="445"/>
      <c r="G476" s="445"/>
      <c r="H476" s="445"/>
      <c r="I476" s="445"/>
      <c r="J476" s="445"/>
      <c r="K476" s="1136"/>
      <c r="L476" s="1136"/>
      <c r="M476" s="445"/>
      <c r="N476" s="445"/>
      <c r="O476" s="445"/>
      <c r="P476" s="445"/>
    </row>
    <row r="477" spans="1:16">
      <c r="A477" s="445"/>
      <c r="B477" s="445"/>
      <c r="C477" s="445"/>
      <c r="D477" s="445"/>
      <c r="E477" s="445"/>
      <c r="F477" s="445"/>
      <c r="G477" s="445"/>
      <c r="H477" s="445"/>
      <c r="I477" s="445"/>
      <c r="J477" s="445"/>
      <c r="K477" s="1136"/>
      <c r="L477" s="1136"/>
      <c r="M477" s="445"/>
      <c r="N477" s="445"/>
      <c r="O477" s="445"/>
      <c r="P477" s="445"/>
    </row>
    <row r="478" spans="1:16">
      <c r="A478" s="445"/>
      <c r="B478" s="445"/>
      <c r="C478" s="445"/>
      <c r="D478" s="445"/>
      <c r="E478" s="445"/>
      <c r="F478" s="445"/>
      <c r="G478" s="445"/>
      <c r="H478" s="445"/>
      <c r="I478" s="445"/>
      <c r="J478" s="445"/>
      <c r="K478" s="1136"/>
      <c r="L478" s="1136"/>
      <c r="M478" s="445"/>
      <c r="N478" s="445"/>
      <c r="O478" s="445"/>
      <c r="P478" s="445"/>
    </row>
  </sheetData>
  <autoFilter ref="B1:B84" xr:uid="{00000000-0009-0000-0000-000040000000}"/>
  <mergeCells count="4">
    <mergeCell ref="A4:E4"/>
    <mergeCell ref="F4:J4"/>
    <mergeCell ref="K4:M4"/>
    <mergeCell ref="N4:P4"/>
  </mergeCells>
  <printOptions horizontalCentered="1"/>
  <pageMargins left="0.19685039370078741" right="0.19685039370078741" top="0.78740157480314965" bottom="0.78740157480314965" header="0.19685039370078741" footer="0.19685039370078741"/>
  <pageSetup paperSize="9" scale="62" fitToHeight="100" orientation="landscape" r:id="rId1"/>
  <headerFooter>
    <oddHeader>&amp;C&amp;"Arial,Negrita"&amp;20PROYECTO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002060"/>
    <pageSetUpPr fitToPage="1"/>
  </sheetPr>
  <dimension ref="A1:V478"/>
  <sheetViews>
    <sheetView view="pageBreakPreview" zoomScaleNormal="100" zoomScaleSheetLayoutView="100" workbookViewId="0">
      <selection activeCell="B8" sqref="B8"/>
    </sheetView>
  </sheetViews>
  <sheetFormatPr baseColWidth="10" defaultColWidth="11.42578125" defaultRowHeight="12"/>
  <cols>
    <col min="1" max="1" width="13.140625" style="285" customWidth="1"/>
    <col min="2" max="2" width="9.140625" style="285" customWidth="1"/>
    <col min="3" max="3" width="10.140625" style="285" customWidth="1"/>
    <col min="4" max="4" width="20.7109375" style="265" customWidth="1"/>
    <col min="5" max="5" width="10.7109375" style="265" customWidth="1"/>
    <col min="6" max="6" width="9" style="285" bestFit="1" customWidth="1"/>
    <col min="7" max="7" width="35.7109375" style="265" customWidth="1"/>
    <col min="8" max="8" width="20.7109375" style="265" customWidth="1"/>
    <col min="9" max="9" width="35.7109375" style="265" customWidth="1"/>
    <col min="10" max="10" width="20.7109375" style="445" customWidth="1"/>
    <col min="11" max="11" width="7.7109375" style="276" bestFit="1" customWidth="1"/>
    <col min="12" max="12" width="5.42578125" style="276" bestFit="1" customWidth="1"/>
    <col min="13" max="13" width="11.7109375" style="265" bestFit="1" customWidth="1"/>
    <col min="14" max="14" width="7.7109375" style="265" bestFit="1" customWidth="1"/>
    <col min="15" max="15" width="5.42578125" style="265" bestFit="1" customWidth="1"/>
    <col min="16" max="16" width="11.7109375" style="265" bestFit="1" customWidth="1"/>
    <col min="17" max="16384" width="11.42578125" style="265"/>
  </cols>
  <sheetData>
    <row r="1" spans="1:22" s="275" customFormat="1">
      <c r="A1" s="1133" t="s">
        <v>473</v>
      </c>
      <c r="B1" s="444"/>
      <c r="C1" s="444"/>
      <c r="F1" s="444"/>
      <c r="J1" s="449"/>
    </row>
    <row r="2" spans="1:22" s="264" customFormat="1">
      <c r="A2" s="352" t="s">
        <v>1655</v>
      </c>
      <c r="B2" s="282"/>
      <c r="C2" s="282"/>
      <c r="D2" s="69"/>
      <c r="E2" s="69"/>
      <c r="F2" s="282"/>
      <c r="G2" s="69"/>
      <c r="H2" s="69"/>
      <c r="I2" s="69"/>
      <c r="J2" s="448"/>
      <c r="K2" s="69"/>
      <c r="L2" s="69"/>
      <c r="M2" s="69"/>
      <c r="N2" s="69"/>
      <c r="O2" s="69"/>
      <c r="P2" s="69"/>
      <c r="Q2" s="69"/>
      <c r="R2" s="69"/>
      <c r="S2" s="69"/>
      <c r="T2" s="69"/>
      <c r="U2" s="69"/>
      <c r="V2" s="69"/>
    </row>
    <row r="3" spans="1:22" ht="12.75" thickBot="1">
      <c r="A3" s="1134" t="s">
        <v>5504</v>
      </c>
    </row>
    <row r="4" spans="1:22" s="277" customFormat="1" ht="12.75" thickBot="1">
      <c r="A4" s="2024" t="s">
        <v>131</v>
      </c>
      <c r="B4" s="2069"/>
      <c r="C4" s="2069"/>
      <c r="D4" s="2069"/>
      <c r="E4" s="2025"/>
      <c r="F4" s="2070" t="s">
        <v>132</v>
      </c>
      <c r="G4" s="2071"/>
      <c r="H4" s="2072"/>
      <c r="I4" s="2072"/>
      <c r="J4" s="2073"/>
      <c r="K4" s="2074" t="s">
        <v>1652</v>
      </c>
      <c r="L4" s="2075"/>
      <c r="M4" s="2076"/>
      <c r="N4" s="2074" t="s">
        <v>1651</v>
      </c>
      <c r="O4" s="2075"/>
      <c r="P4" s="2076"/>
    </row>
    <row r="5" spans="1:22" s="278" customFormat="1" ht="78" thickBot="1">
      <c r="A5" s="401" t="s">
        <v>94</v>
      </c>
      <c r="B5" s="139" t="s">
        <v>8</v>
      </c>
      <c r="C5" s="139" t="s">
        <v>91</v>
      </c>
      <c r="D5" s="402" t="s">
        <v>95</v>
      </c>
      <c r="E5" s="404" t="s">
        <v>115</v>
      </c>
      <c r="F5" s="401" t="s">
        <v>119</v>
      </c>
      <c r="G5" s="402" t="s">
        <v>120</v>
      </c>
      <c r="H5" s="402" t="s">
        <v>134</v>
      </c>
      <c r="I5" s="139" t="s">
        <v>135</v>
      </c>
      <c r="J5" s="399" t="s">
        <v>124</v>
      </c>
      <c r="K5" s="443" t="s">
        <v>121</v>
      </c>
      <c r="L5" s="140" t="s">
        <v>122</v>
      </c>
      <c r="M5" s="141" t="s">
        <v>123</v>
      </c>
      <c r="N5" s="443" t="s">
        <v>121</v>
      </c>
      <c r="O5" s="140" t="s">
        <v>122</v>
      </c>
      <c r="P5" s="141" t="s">
        <v>123</v>
      </c>
    </row>
    <row r="6" spans="1:22">
      <c r="A6" s="1533" t="s">
        <v>5109</v>
      </c>
      <c r="B6" s="1291" t="s">
        <v>1880</v>
      </c>
      <c r="C6" s="1291" t="s">
        <v>504</v>
      </c>
      <c r="D6" s="1534" t="s">
        <v>5244</v>
      </c>
      <c r="E6" s="1535">
        <v>6500</v>
      </c>
      <c r="F6" s="1291" t="s">
        <v>5503</v>
      </c>
      <c r="G6" s="1534" t="s">
        <v>5502</v>
      </c>
      <c r="H6" s="1534" t="s">
        <v>5140</v>
      </c>
      <c r="I6" s="1536" t="s">
        <v>4309</v>
      </c>
      <c r="J6" s="1537" t="s">
        <v>5007</v>
      </c>
      <c r="K6" s="1538">
        <v>1</v>
      </c>
      <c r="L6" s="1539">
        <v>12</v>
      </c>
      <c r="M6" s="1293">
        <f t="shared" ref="M6:M37" si="0">E6*L6</f>
        <v>78000</v>
      </c>
      <c r="N6" s="1538">
        <v>1</v>
      </c>
      <c r="O6" s="1539">
        <v>6</v>
      </c>
      <c r="P6" s="1293">
        <f t="shared" ref="P6:P37" si="1">E6*O6</f>
        <v>39000</v>
      </c>
    </row>
    <row r="7" spans="1:22" ht="72">
      <c r="A7" s="1540" t="s">
        <v>5109</v>
      </c>
      <c r="B7" s="1541" t="s">
        <v>1880</v>
      </c>
      <c r="C7" s="1541" t="s">
        <v>504</v>
      </c>
      <c r="D7" s="1418" t="s">
        <v>5501</v>
      </c>
      <c r="E7" s="1542">
        <v>7000</v>
      </c>
      <c r="F7" s="1541" t="s">
        <v>5500</v>
      </c>
      <c r="G7" s="1418" t="s">
        <v>5499</v>
      </c>
      <c r="H7" s="1418" t="s">
        <v>5498</v>
      </c>
      <c r="I7" s="1543" t="s">
        <v>1399</v>
      </c>
      <c r="J7" s="1544" t="s">
        <v>5497</v>
      </c>
      <c r="K7" s="1545">
        <v>1</v>
      </c>
      <c r="L7" s="1546">
        <v>12</v>
      </c>
      <c r="M7" s="1547">
        <f t="shared" si="0"/>
        <v>84000</v>
      </c>
      <c r="N7" s="1545">
        <v>1</v>
      </c>
      <c r="O7" s="1546">
        <v>6</v>
      </c>
      <c r="P7" s="1547">
        <f t="shared" si="1"/>
        <v>42000</v>
      </c>
    </row>
    <row r="8" spans="1:22" ht="24">
      <c r="A8" s="1540" t="s">
        <v>5109</v>
      </c>
      <c r="B8" s="1246" t="s">
        <v>1880</v>
      </c>
      <c r="C8" s="1246" t="s">
        <v>504</v>
      </c>
      <c r="D8" s="1200" t="s">
        <v>4619</v>
      </c>
      <c r="E8" s="1548">
        <v>4000</v>
      </c>
      <c r="F8" s="1246" t="s">
        <v>5496</v>
      </c>
      <c r="G8" s="1200" t="s">
        <v>5495</v>
      </c>
      <c r="H8" s="1200" t="s">
        <v>5494</v>
      </c>
      <c r="I8" s="1549" t="s">
        <v>4309</v>
      </c>
      <c r="J8" s="1550" t="s">
        <v>5493</v>
      </c>
      <c r="K8" s="1551">
        <v>1</v>
      </c>
      <c r="L8" s="1552">
        <v>12</v>
      </c>
      <c r="M8" s="1247">
        <f t="shared" si="0"/>
        <v>48000</v>
      </c>
      <c r="N8" s="1551">
        <v>1</v>
      </c>
      <c r="O8" s="1552">
        <v>6</v>
      </c>
      <c r="P8" s="1247">
        <f t="shared" si="1"/>
        <v>24000</v>
      </c>
    </row>
    <row r="9" spans="1:22" ht="24">
      <c r="A9" s="1540" t="s">
        <v>5109</v>
      </c>
      <c r="B9" s="1246" t="s">
        <v>1880</v>
      </c>
      <c r="C9" s="1246" t="s">
        <v>504</v>
      </c>
      <c r="D9" s="1200" t="s">
        <v>5215</v>
      </c>
      <c r="E9" s="1548">
        <v>3500</v>
      </c>
      <c r="F9" s="1246" t="s">
        <v>5219</v>
      </c>
      <c r="G9" s="1200" t="s">
        <v>5218</v>
      </c>
      <c r="H9" s="1200" t="s">
        <v>5217</v>
      </c>
      <c r="I9" s="1549" t="s">
        <v>1664</v>
      </c>
      <c r="J9" s="1550" t="s">
        <v>5216</v>
      </c>
      <c r="K9" s="1551">
        <v>1</v>
      </c>
      <c r="L9" s="1552">
        <v>5</v>
      </c>
      <c r="M9" s="1247">
        <f t="shared" si="0"/>
        <v>17500</v>
      </c>
      <c r="N9" s="1551">
        <v>1</v>
      </c>
      <c r="O9" s="1552">
        <v>6</v>
      </c>
      <c r="P9" s="1247">
        <f t="shared" si="1"/>
        <v>21000</v>
      </c>
    </row>
    <row r="10" spans="1:22" ht="24">
      <c r="A10" s="1540" t="s">
        <v>5109</v>
      </c>
      <c r="B10" s="1246" t="s">
        <v>1880</v>
      </c>
      <c r="C10" s="1246" t="s">
        <v>504</v>
      </c>
      <c r="D10" s="1200" t="s">
        <v>5215</v>
      </c>
      <c r="E10" s="1548">
        <v>3500</v>
      </c>
      <c r="F10" s="1246" t="s">
        <v>5214</v>
      </c>
      <c r="G10" s="1200" t="s">
        <v>5213</v>
      </c>
      <c r="H10" s="1200" t="s">
        <v>5212</v>
      </c>
      <c r="I10" s="1549" t="s">
        <v>1664</v>
      </c>
      <c r="J10" s="1550" t="s">
        <v>1827</v>
      </c>
      <c r="K10" s="1551">
        <v>1</v>
      </c>
      <c r="L10" s="1552">
        <v>5</v>
      </c>
      <c r="M10" s="1247">
        <f t="shared" si="0"/>
        <v>17500</v>
      </c>
      <c r="N10" s="1551">
        <v>1</v>
      </c>
      <c r="O10" s="1552">
        <v>6</v>
      </c>
      <c r="P10" s="1247">
        <f t="shared" si="1"/>
        <v>21000</v>
      </c>
    </row>
    <row r="11" spans="1:22" ht="36">
      <c r="A11" s="1540" t="s">
        <v>5109</v>
      </c>
      <c r="B11" s="1246" t="s">
        <v>1880</v>
      </c>
      <c r="C11" s="1246" t="s">
        <v>504</v>
      </c>
      <c r="D11" s="1200" t="s">
        <v>5474</v>
      </c>
      <c r="E11" s="1548">
        <v>6000</v>
      </c>
      <c r="F11" s="1246" t="s">
        <v>5492</v>
      </c>
      <c r="G11" s="1200" t="s">
        <v>5491</v>
      </c>
      <c r="H11" s="1200" t="s">
        <v>5140</v>
      </c>
      <c r="I11" s="1549" t="s">
        <v>4309</v>
      </c>
      <c r="J11" s="1550" t="s">
        <v>5007</v>
      </c>
      <c r="K11" s="1551">
        <v>1</v>
      </c>
      <c r="L11" s="1552">
        <v>12</v>
      </c>
      <c r="M11" s="1247">
        <f t="shared" si="0"/>
        <v>72000</v>
      </c>
      <c r="N11" s="1551">
        <v>1</v>
      </c>
      <c r="O11" s="1552">
        <v>6</v>
      </c>
      <c r="P11" s="1247">
        <f t="shared" si="1"/>
        <v>36000</v>
      </c>
    </row>
    <row r="12" spans="1:22" ht="24">
      <c r="A12" s="1540" t="s">
        <v>5109</v>
      </c>
      <c r="B12" s="1246" t="s">
        <v>1880</v>
      </c>
      <c r="C12" s="1246" t="s">
        <v>504</v>
      </c>
      <c r="D12" s="1200" t="s">
        <v>3605</v>
      </c>
      <c r="E12" s="1548">
        <v>7000</v>
      </c>
      <c r="F12" s="1246" t="s">
        <v>5490</v>
      </c>
      <c r="G12" s="1200" t="s">
        <v>5489</v>
      </c>
      <c r="H12" s="1200" t="s">
        <v>5190</v>
      </c>
      <c r="I12" s="1549" t="s">
        <v>5116</v>
      </c>
      <c r="J12" s="1550" t="s">
        <v>925</v>
      </c>
      <c r="K12" s="1551">
        <v>1</v>
      </c>
      <c r="L12" s="1552">
        <v>10</v>
      </c>
      <c r="M12" s="1247">
        <f t="shared" si="0"/>
        <v>70000</v>
      </c>
      <c r="N12" s="1551">
        <v>1</v>
      </c>
      <c r="O12" s="1552">
        <v>6</v>
      </c>
      <c r="P12" s="1247">
        <f t="shared" si="1"/>
        <v>42000</v>
      </c>
    </row>
    <row r="13" spans="1:22" ht="24">
      <c r="A13" s="1540" t="s">
        <v>5109</v>
      </c>
      <c r="B13" s="1246" t="s">
        <v>1880</v>
      </c>
      <c r="C13" s="1246" t="s">
        <v>504</v>
      </c>
      <c r="D13" s="1200" t="s">
        <v>3231</v>
      </c>
      <c r="E13" s="1548">
        <v>4500</v>
      </c>
      <c r="F13" s="1246" t="s">
        <v>5488</v>
      </c>
      <c r="G13" s="1200" t="s">
        <v>5487</v>
      </c>
      <c r="H13" s="1200" t="s">
        <v>1259</v>
      </c>
      <c r="I13" s="1549" t="s">
        <v>507</v>
      </c>
      <c r="J13" s="1550" t="s">
        <v>5486</v>
      </c>
      <c r="K13" s="1551">
        <v>1</v>
      </c>
      <c r="L13" s="1552">
        <v>12</v>
      </c>
      <c r="M13" s="1247">
        <f t="shared" si="0"/>
        <v>54000</v>
      </c>
      <c r="N13" s="1551">
        <v>1</v>
      </c>
      <c r="O13" s="1552">
        <v>6</v>
      </c>
      <c r="P13" s="1247">
        <f t="shared" si="1"/>
        <v>27000</v>
      </c>
    </row>
    <row r="14" spans="1:22" ht="24">
      <c r="A14" s="1540" t="s">
        <v>5109</v>
      </c>
      <c r="B14" s="1246" t="s">
        <v>1880</v>
      </c>
      <c r="C14" s="1246" t="s">
        <v>504</v>
      </c>
      <c r="D14" s="1200" t="s">
        <v>5139</v>
      </c>
      <c r="E14" s="1548">
        <v>6000</v>
      </c>
      <c r="F14" s="1246" t="s">
        <v>5485</v>
      </c>
      <c r="G14" s="1200" t="s">
        <v>5484</v>
      </c>
      <c r="H14" s="1200" t="s">
        <v>5483</v>
      </c>
      <c r="I14" s="1549" t="s">
        <v>1664</v>
      </c>
      <c r="J14" s="1550" t="s">
        <v>5482</v>
      </c>
      <c r="K14" s="1551">
        <v>1</v>
      </c>
      <c r="L14" s="1552">
        <v>0</v>
      </c>
      <c r="M14" s="1247">
        <f t="shared" si="0"/>
        <v>0</v>
      </c>
      <c r="N14" s="1551">
        <v>1</v>
      </c>
      <c r="O14" s="1552">
        <v>6</v>
      </c>
      <c r="P14" s="1247">
        <f t="shared" si="1"/>
        <v>36000</v>
      </c>
    </row>
    <row r="15" spans="1:22" ht="24">
      <c r="A15" s="1540" t="s">
        <v>5109</v>
      </c>
      <c r="B15" s="1246" t="s">
        <v>1880</v>
      </c>
      <c r="C15" s="1246" t="s">
        <v>504</v>
      </c>
      <c r="D15" s="1200" t="s">
        <v>5120</v>
      </c>
      <c r="E15" s="1548">
        <v>4500</v>
      </c>
      <c r="F15" s="1246" t="s">
        <v>5481</v>
      </c>
      <c r="G15" s="1200" t="s">
        <v>5480</v>
      </c>
      <c r="H15" s="1200" t="s">
        <v>5140</v>
      </c>
      <c r="I15" s="1549" t="s">
        <v>5116</v>
      </c>
      <c r="J15" s="1550" t="s">
        <v>5007</v>
      </c>
      <c r="K15" s="1551">
        <v>1</v>
      </c>
      <c r="L15" s="1552">
        <v>12</v>
      </c>
      <c r="M15" s="1247">
        <f t="shared" si="0"/>
        <v>54000</v>
      </c>
      <c r="N15" s="1551">
        <v>1</v>
      </c>
      <c r="O15" s="1552">
        <v>6</v>
      </c>
      <c r="P15" s="1247">
        <f t="shared" si="1"/>
        <v>27000</v>
      </c>
    </row>
    <row r="16" spans="1:22" ht="24">
      <c r="A16" s="1540" t="s">
        <v>5109</v>
      </c>
      <c r="B16" s="1246" t="s">
        <v>1880</v>
      </c>
      <c r="C16" s="1246" t="s">
        <v>504</v>
      </c>
      <c r="D16" s="1200" t="s">
        <v>5250</v>
      </c>
      <c r="E16" s="1548">
        <v>6000</v>
      </c>
      <c r="F16" s="1246" t="s">
        <v>5479</v>
      </c>
      <c r="G16" s="1200" t="s">
        <v>5478</v>
      </c>
      <c r="H16" s="1200" t="s">
        <v>5140</v>
      </c>
      <c r="I16" s="1549" t="s">
        <v>5116</v>
      </c>
      <c r="J16" s="1550" t="s">
        <v>5007</v>
      </c>
      <c r="K16" s="1551">
        <v>1</v>
      </c>
      <c r="L16" s="1552">
        <v>12</v>
      </c>
      <c r="M16" s="1247">
        <f t="shared" si="0"/>
        <v>72000</v>
      </c>
      <c r="N16" s="1551">
        <v>1</v>
      </c>
      <c r="O16" s="1552">
        <v>6</v>
      </c>
      <c r="P16" s="1247">
        <f t="shared" si="1"/>
        <v>36000</v>
      </c>
    </row>
    <row r="17" spans="1:16" ht="24">
      <c r="A17" s="1540" t="s">
        <v>5109</v>
      </c>
      <c r="B17" s="1246" t="s">
        <v>1880</v>
      </c>
      <c r="C17" s="1246" t="s">
        <v>504</v>
      </c>
      <c r="D17" s="1200" t="s">
        <v>5195</v>
      </c>
      <c r="E17" s="1548">
        <v>8000</v>
      </c>
      <c r="F17" s="1246" t="s">
        <v>5477</v>
      </c>
      <c r="G17" s="1200" t="s">
        <v>5476</v>
      </c>
      <c r="H17" s="1200" t="s">
        <v>5221</v>
      </c>
      <c r="I17" s="1549" t="s">
        <v>4309</v>
      </c>
      <c r="J17" s="1550" t="s">
        <v>5475</v>
      </c>
      <c r="K17" s="1551">
        <v>1</v>
      </c>
      <c r="L17" s="1552">
        <v>0</v>
      </c>
      <c r="M17" s="1247">
        <f t="shared" si="0"/>
        <v>0</v>
      </c>
      <c r="N17" s="1551">
        <v>1</v>
      </c>
      <c r="O17" s="1552">
        <v>6</v>
      </c>
      <c r="P17" s="1247">
        <f t="shared" si="1"/>
        <v>48000</v>
      </c>
    </row>
    <row r="18" spans="1:16" ht="36">
      <c r="A18" s="1540" t="s">
        <v>5109</v>
      </c>
      <c r="B18" s="1246" t="s">
        <v>1880</v>
      </c>
      <c r="C18" s="1246" t="s">
        <v>504</v>
      </c>
      <c r="D18" s="1200" t="s">
        <v>5474</v>
      </c>
      <c r="E18" s="1548">
        <v>6000</v>
      </c>
      <c r="F18" s="1246" t="s">
        <v>5473</v>
      </c>
      <c r="G18" s="1200" t="s">
        <v>5472</v>
      </c>
      <c r="H18" s="1200" t="s">
        <v>5471</v>
      </c>
      <c r="I18" s="1549" t="s">
        <v>4309</v>
      </c>
      <c r="J18" s="1550" t="s">
        <v>5470</v>
      </c>
      <c r="K18" s="1551">
        <v>1</v>
      </c>
      <c r="L18" s="1552">
        <v>12</v>
      </c>
      <c r="M18" s="1247">
        <f t="shared" si="0"/>
        <v>72000</v>
      </c>
      <c r="N18" s="1551">
        <v>1</v>
      </c>
      <c r="O18" s="1552">
        <v>6</v>
      </c>
      <c r="P18" s="1247">
        <f t="shared" si="1"/>
        <v>36000</v>
      </c>
    </row>
    <row r="19" spans="1:16" ht="24">
      <c r="A19" s="1540" t="s">
        <v>5109</v>
      </c>
      <c r="B19" s="1246" t="s">
        <v>1880</v>
      </c>
      <c r="C19" s="1246" t="s">
        <v>504</v>
      </c>
      <c r="D19" s="1200" t="s">
        <v>3231</v>
      </c>
      <c r="E19" s="1548">
        <v>4500</v>
      </c>
      <c r="F19" s="1246" t="s">
        <v>5469</v>
      </c>
      <c r="G19" s="1200" t="s">
        <v>5468</v>
      </c>
      <c r="H19" s="1200"/>
      <c r="I19" s="1549" t="s">
        <v>547</v>
      </c>
      <c r="J19" s="1550" t="s">
        <v>5467</v>
      </c>
      <c r="K19" s="1551">
        <v>1</v>
      </c>
      <c r="L19" s="1552">
        <v>12</v>
      </c>
      <c r="M19" s="1247">
        <f t="shared" si="0"/>
        <v>54000</v>
      </c>
      <c r="N19" s="1551">
        <v>1</v>
      </c>
      <c r="O19" s="1552">
        <v>6</v>
      </c>
      <c r="P19" s="1247">
        <f t="shared" si="1"/>
        <v>27000</v>
      </c>
    </row>
    <row r="20" spans="1:16" ht="24">
      <c r="A20" s="1540" t="s">
        <v>5109</v>
      </c>
      <c r="B20" s="1246" t="s">
        <v>1880</v>
      </c>
      <c r="C20" s="1246" t="s">
        <v>504</v>
      </c>
      <c r="D20" s="1200" t="s">
        <v>5120</v>
      </c>
      <c r="E20" s="1548">
        <v>4500</v>
      </c>
      <c r="F20" s="1246" t="s">
        <v>5466</v>
      </c>
      <c r="G20" s="1200" t="s">
        <v>5465</v>
      </c>
      <c r="H20" s="1200" t="s">
        <v>5140</v>
      </c>
      <c r="I20" s="1549" t="s">
        <v>507</v>
      </c>
      <c r="J20" s="1550" t="s">
        <v>5340</v>
      </c>
      <c r="K20" s="1551">
        <v>1</v>
      </c>
      <c r="L20" s="1552">
        <v>12</v>
      </c>
      <c r="M20" s="1247">
        <f t="shared" si="0"/>
        <v>54000</v>
      </c>
      <c r="N20" s="1551">
        <v>1</v>
      </c>
      <c r="O20" s="1552">
        <v>6</v>
      </c>
      <c r="P20" s="1247">
        <f t="shared" si="1"/>
        <v>27000</v>
      </c>
    </row>
    <row r="21" spans="1:16" ht="48">
      <c r="A21" s="1540" t="s">
        <v>5109</v>
      </c>
      <c r="B21" s="1246" t="s">
        <v>1880</v>
      </c>
      <c r="C21" s="1246" t="s">
        <v>504</v>
      </c>
      <c r="D21" s="1200" t="s">
        <v>3231</v>
      </c>
      <c r="E21" s="1548">
        <v>4500</v>
      </c>
      <c r="F21" s="1246" t="s">
        <v>5464</v>
      </c>
      <c r="G21" s="1200" t="s">
        <v>5463</v>
      </c>
      <c r="H21" s="1200" t="s">
        <v>5462</v>
      </c>
      <c r="I21" s="1549" t="s">
        <v>5116</v>
      </c>
      <c r="J21" s="1550" t="s">
        <v>5461</v>
      </c>
      <c r="K21" s="1551">
        <v>1</v>
      </c>
      <c r="L21" s="1552">
        <v>12</v>
      </c>
      <c r="M21" s="1247">
        <f t="shared" si="0"/>
        <v>54000</v>
      </c>
      <c r="N21" s="1551">
        <v>1</v>
      </c>
      <c r="O21" s="1552">
        <v>6</v>
      </c>
      <c r="P21" s="1247">
        <f t="shared" si="1"/>
        <v>27000</v>
      </c>
    </row>
    <row r="22" spans="1:16" ht="36">
      <c r="A22" s="1540" t="s">
        <v>5109</v>
      </c>
      <c r="B22" s="1246" t="s">
        <v>1880</v>
      </c>
      <c r="C22" s="1246" t="s">
        <v>504</v>
      </c>
      <c r="D22" s="1200" t="s">
        <v>5460</v>
      </c>
      <c r="E22" s="1548">
        <v>7000</v>
      </c>
      <c r="F22" s="1246" t="s">
        <v>5459</v>
      </c>
      <c r="G22" s="1200" t="s">
        <v>5458</v>
      </c>
      <c r="H22" s="1200" t="s">
        <v>5457</v>
      </c>
      <c r="I22" s="1549" t="s">
        <v>4309</v>
      </c>
      <c r="J22" s="1550" t="s">
        <v>5456</v>
      </c>
      <c r="K22" s="1551">
        <v>1</v>
      </c>
      <c r="L22" s="1552">
        <v>12</v>
      </c>
      <c r="M22" s="1247">
        <f t="shared" si="0"/>
        <v>84000</v>
      </c>
      <c r="N22" s="1551">
        <v>1</v>
      </c>
      <c r="O22" s="1552">
        <v>6</v>
      </c>
      <c r="P22" s="1247">
        <f t="shared" si="1"/>
        <v>42000</v>
      </c>
    </row>
    <row r="23" spans="1:16" ht="24">
      <c r="A23" s="1540" t="s">
        <v>5109</v>
      </c>
      <c r="B23" s="1246" t="s">
        <v>1880</v>
      </c>
      <c r="C23" s="1246" t="s">
        <v>504</v>
      </c>
      <c r="D23" s="1200" t="s">
        <v>5177</v>
      </c>
      <c r="E23" s="1548">
        <v>3500</v>
      </c>
      <c r="F23" s="1246" t="s">
        <v>5455</v>
      </c>
      <c r="G23" s="1200" t="s">
        <v>5454</v>
      </c>
      <c r="H23" s="1200" t="s">
        <v>5235</v>
      </c>
      <c r="I23" s="1549" t="s">
        <v>4309</v>
      </c>
      <c r="J23" s="1550" t="s">
        <v>5453</v>
      </c>
      <c r="K23" s="1551">
        <v>1</v>
      </c>
      <c r="L23" s="1552">
        <v>4</v>
      </c>
      <c r="M23" s="1247">
        <f t="shared" si="0"/>
        <v>14000</v>
      </c>
      <c r="N23" s="1551">
        <v>1</v>
      </c>
      <c r="O23" s="1552">
        <v>6</v>
      </c>
      <c r="P23" s="1247">
        <f t="shared" si="1"/>
        <v>21000</v>
      </c>
    </row>
    <row r="24" spans="1:16" ht="24">
      <c r="A24" s="1540" t="s">
        <v>5109</v>
      </c>
      <c r="B24" s="1246" t="s">
        <v>1880</v>
      </c>
      <c r="C24" s="1246" t="s">
        <v>504</v>
      </c>
      <c r="D24" s="1200" t="s">
        <v>5120</v>
      </c>
      <c r="E24" s="1548">
        <v>4500</v>
      </c>
      <c r="F24" s="1246" t="s">
        <v>5452</v>
      </c>
      <c r="G24" s="1200" t="s">
        <v>5451</v>
      </c>
      <c r="H24" s="1200" t="s">
        <v>5140</v>
      </c>
      <c r="I24" s="1549" t="s">
        <v>5116</v>
      </c>
      <c r="J24" s="1550" t="s">
        <v>5007</v>
      </c>
      <c r="K24" s="1551">
        <v>1</v>
      </c>
      <c r="L24" s="1552">
        <v>12</v>
      </c>
      <c r="M24" s="1247">
        <f t="shared" si="0"/>
        <v>54000</v>
      </c>
      <c r="N24" s="1551">
        <v>1</v>
      </c>
      <c r="O24" s="1552">
        <v>6</v>
      </c>
      <c r="P24" s="1247">
        <f t="shared" si="1"/>
        <v>27000</v>
      </c>
    </row>
    <row r="25" spans="1:16" ht="36">
      <c r="A25" s="1540" t="s">
        <v>5109</v>
      </c>
      <c r="B25" s="1246" t="s">
        <v>1880</v>
      </c>
      <c r="C25" s="1246" t="s">
        <v>504</v>
      </c>
      <c r="D25" s="1200" t="s">
        <v>5450</v>
      </c>
      <c r="E25" s="1548">
        <v>8000</v>
      </c>
      <c r="F25" s="1246" t="s">
        <v>5449</v>
      </c>
      <c r="G25" s="1200" t="s">
        <v>5448</v>
      </c>
      <c r="H25" s="1200" t="s">
        <v>5447</v>
      </c>
      <c r="I25" s="1549" t="s">
        <v>4309</v>
      </c>
      <c r="J25" s="1550" t="s">
        <v>1842</v>
      </c>
      <c r="K25" s="1551">
        <v>1</v>
      </c>
      <c r="L25" s="1552">
        <v>12</v>
      </c>
      <c r="M25" s="1247">
        <f t="shared" si="0"/>
        <v>96000</v>
      </c>
      <c r="N25" s="1551">
        <v>1</v>
      </c>
      <c r="O25" s="1552">
        <v>6</v>
      </c>
      <c r="P25" s="1247">
        <f t="shared" si="1"/>
        <v>48000</v>
      </c>
    </row>
    <row r="26" spans="1:16" ht="36">
      <c r="A26" s="1540" t="s">
        <v>5109</v>
      </c>
      <c r="B26" s="1246" t="s">
        <v>1880</v>
      </c>
      <c r="C26" s="1246" t="s">
        <v>504</v>
      </c>
      <c r="D26" s="1200" t="s">
        <v>5446</v>
      </c>
      <c r="E26" s="1548">
        <v>10000</v>
      </c>
      <c r="F26" s="1246" t="s">
        <v>5445</v>
      </c>
      <c r="G26" s="1200" t="s">
        <v>5444</v>
      </c>
      <c r="H26" s="1200" t="s">
        <v>5443</v>
      </c>
      <c r="I26" s="1549" t="s">
        <v>4309</v>
      </c>
      <c r="J26" s="1550" t="s">
        <v>2842</v>
      </c>
      <c r="K26" s="1551">
        <v>1</v>
      </c>
      <c r="L26" s="1552">
        <v>12</v>
      </c>
      <c r="M26" s="1247">
        <f t="shared" si="0"/>
        <v>120000</v>
      </c>
      <c r="N26" s="1551">
        <v>1</v>
      </c>
      <c r="O26" s="1552">
        <v>6</v>
      </c>
      <c r="P26" s="1247">
        <f t="shared" si="1"/>
        <v>60000</v>
      </c>
    </row>
    <row r="27" spans="1:16" ht="36">
      <c r="A27" s="1540" t="s">
        <v>5109</v>
      </c>
      <c r="B27" s="1246" t="s">
        <v>1880</v>
      </c>
      <c r="C27" s="1246" t="s">
        <v>504</v>
      </c>
      <c r="D27" s="1200" t="s">
        <v>5143</v>
      </c>
      <c r="E27" s="1548">
        <v>6000</v>
      </c>
      <c r="F27" s="1246" t="s">
        <v>5442</v>
      </c>
      <c r="G27" s="1200" t="s">
        <v>5441</v>
      </c>
      <c r="H27" s="1200" t="s">
        <v>5440</v>
      </c>
      <c r="I27" s="1549" t="s">
        <v>599</v>
      </c>
      <c r="J27" s="1550" t="s">
        <v>5439</v>
      </c>
      <c r="K27" s="1551">
        <v>1</v>
      </c>
      <c r="L27" s="1552">
        <v>12</v>
      </c>
      <c r="M27" s="1247">
        <f t="shared" si="0"/>
        <v>72000</v>
      </c>
      <c r="N27" s="1551">
        <v>1</v>
      </c>
      <c r="O27" s="1552">
        <v>6</v>
      </c>
      <c r="P27" s="1247">
        <f t="shared" si="1"/>
        <v>36000</v>
      </c>
    </row>
    <row r="28" spans="1:16" ht="24">
      <c r="A28" s="1540" t="s">
        <v>5109</v>
      </c>
      <c r="B28" s="1246" t="s">
        <v>1880</v>
      </c>
      <c r="C28" s="1246" t="s">
        <v>504</v>
      </c>
      <c r="D28" s="1200" t="s">
        <v>5189</v>
      </c>
      <c r="E28" s="1548">
        <v>4500</v>
      </c>
      <c r="F28" s="1246" t="s">
        <v>5438</v>
      </c>
      <c r="G28" s="1200" t="s">
        <v>5437</v>
      </c>
      <c r="H28" s="1200" t="s">
        <v>5436</v>
      </c>
      <c r="I28" s="1549" t="s">
        <v>5116</v>
      </c>
      <c r="J28" s="1550" t="s">
        <v>1210</v>
      </c>
      <c r="K28" s="1551">
        <v>1</v>
      </c>
      <c r="L28" s="1552">
        <v>7</v>
      </c>
      <c r="M28" s="1247">
        <f t="shared" si="0"/>
        <v>31500</v>
      </c>
      <c r="N28" s="1551">
        <v>1</v>
      </c>
      <c r="O28" s="1552">
        <v>6</v>
      </c>
      <c r="P28" s="1247">
        <f t="shared" si="1"/>
        <v>27000</v>
      </c>
    </row>
    <row r="29" spans="1:16" ht="36">
      <c r="A29" s="1540" t="s">
        <v>5109</v>
      </c>
      <c r="B29" s="1246" t="s">
        <v>1880</v>
      </c>
      <c r="C29" s="1246" t="s">
        <v>504</v>
      </c>
      <c r="D29" s="1200" t="s">
        <v>5435</v>
      </c>
      <c r="E29" s="1548">
        <v>7000</v>
      </c>
      <c r="F29" s="1246" t="s">
        <v>5434</v>
      </c>
      <c r="G29" s="1200" t="s">
        <v>5433</v>
      </c>
      <c r="H29" s="1200" t="s">
        <v>5140</v>
      </c>
      <c r="I29" s="1549" t="s">
        <v>4309</v>
      </c>
      <c r="J29" s="1550" t="s">
        <v>5007</v>
      </c>
      <c r="K29" s="1551">
        <v>1</v>
      </c>
      <c r="L29" s="1552">
        <v>12</v>
      </c>
      <c r="M29" s="1247">
        <f t="shared" si="0"/>
        <v>84000</v>
      </c>
      <c r="N29" s="1551">
        <v>1</v>
      </c>
      <c r="O29" s="1552">
        <v>6</v>
      </c>
      <c r="P29" s="1247">
        <f t="shared" si="1"/>
        <v>42000</v>
      </c>
    </row>
    <row r="30" spans="1:16" ht="36">
      <c r="A30" s="1540" t="s">
        <v>5109</v>
      </c>
      <c r="B30" s="1246" t="s">
        <v>1880</v>
      </c>
      <c r="C30" s="1246" t="s">
        <v>504</v>
      </c>
      <c r="D30" s="1200" t="s">
        <v>5432</v>
      </c>
      <c r="E30" s="1548">
        <v>4500</v>
      </c>
      <c r="F30" s="1246" t="s">
        <v>5431</v>
      </c>
      <c r="G30" s="1200" t="s">
        <v>5430</v>
      </c>
      <c r="H30" s="1200" t="s">
        <v>5429</v>
      </c>
      <c r="I30" s="1549"/>
      <c r="J30" s="1550" t="s">
        <v>5428</v>
      </c>
      <c r="K30" s="1551">
        <v>1</v>
      </c>
      <c r="L30" s="1552">
        <v>12</v>
      </c>
      <c r="M30" s="1247">
        <f t="shared" si="0"/>
        <v>54000</v>
      </c>
      <c r="N30" s="1551">
        <v>1</v>
      </c>
      <c r="O30" s="1552">
        <v>6</v>
      </c>
      <c r="P30" s="1247">
        <f t="shared" si="1"/>
        <v>27000</v>
      </c>
    </row>
    <row r="31" spans="1:16" ht="36">
      <c r="A31" s="1540" t="s">
        <v>5109</v>
      </c>
      <c r="B31" s="1246" t="s">
        <v>1880</v>
      </c>
      <c r="C31" s="1246" t="s">
        <v>504</v>
      </c>
      <c r="D31" s="1200" t="s">
        <v>5427</v>
      </c>
      <c r="E31" s="1548">
        <v>7000</v>
      </c>
      <c r="F31" s="1246" t="s">
        <v>5426</v>
      </c>
      <c r="G31" s="1200" t="s">
        <v>5425</v>
      </c>
      <c r="H31" s="1200" t="s">
        <v>5309</v>
      </c>
      <c r="I31" s="1549" t="s">
        <v>5116</v>
      </c>
      <c r="J31" s="1550" t="s">
        <v>925</v>
      </c>
      <c r="K31" s="1551">
        <v>1</v>
      </c>
      <c r="L31" s="1552">
        <v>12</v>
      </c>
      <c r="M31" s="1247">
        <f t="shared" si="0"/>
        <v>84000</v>
      </c>
      <c r="N31" s="1551">
        <v>1</v>
      </c>
      <c r="O31" s="1552">
        <v>6</v>
      </c>
      <c r="P31" s="1247">
        <f t="shared" si="1"/>
        <v>42000</v>
      </c>
    </row>
    <row r="32" spans="1:16" ht="24">
      <c r="A32" s="1540" t="s">
        <v>5109</v>
      </c>
      <c r="B32" s="1246" t="s">
        <v>1880</v>
      </c>
      <c r="C32" s="1246" t="s">
        <v>504</v>
      </c>
      <c r="D32" s="1200" t="s">
        <v>5424</v>
      </c>
      <c r="E32" s="1548">
        <v>8000</v>
      </c>
      <c r="F32" s="1246" t="s">
        <v>5423</v>
      </c>
      <c r="G32" s="1200" t="s">
        <v>5422</v>
      </c>
      <c r="H32" s="1200" t="s">
        <v>5421</v>
      </c>
      <c r="I32" s="1549" t="s">
        <v>5116</v>
      </c>
      <c r="J32" s="1550" t="s">
        <v>5420</v>
      </c>
      <c r="K32" s="1551">
        <v>1</v>
      </c>
      <c r="L32" s="1552">
        <v>12</v>
      </c>
      <c r="M32" s="1247">
        <f t="shared" si="0"/>
        <v>96000</v>
      </c>
      <c r="N32" s="1551">
        <v>1</v>
      </c>
      <c r="O32" s="1552">
        <v>6</v>
      </c>
      <c r="P32" s="1247">
        <f t="shared" si="1"/>
        <v>48000</v>
      </c>
    </row>
    <row r="33" spans="1:16" ht="60">
      <c r="A33" s="1540" t="s">
        <v>5109</v>
      </c>
      <c r="B33" s="1246" t="s">
        <v>1880</v>
      </c>
      <c r="C33" s="1246" t="s">
        <v>504</v>
      </c>
      <c r="D33" s="1200" t="s">
        <v>5419</v>
      </c>
      <c r="E33" s="1548">
        <v>4500</v>
      </c>
      <c r="F33" s="1246" t="s">
        <v>5418</v>
      </c>
      <c r="G33" s="1200" t="s">
        <v>5417</v>
      </c>
      <c r="H33" s="1200" t="s">
        <v>5029</v>
      </c>
      <c r="I33" s="1549" t="s">
        <v>4309</v>
      </c>
      <c r="J33" s="1550" t="s">
        <v>5416</v>
      </c>
      <c r="K33" s="1551">
        <v>1</v>
      </c>
      <c r="L33" s="1552">
        <v>12</v>
      </c>
      <c r="M33" s="1247">
        <f t="shared" si="0"/>
        <v>54000</v>
      </c>
      <c r="N33" s="1551">
        <v>1</v>
      </c>
      <c r="O33" s="1552">
        <v>6</v>
      </c>
      <c r="P33" s="1247">
        <f t="shared" si="1"/>
        <v>27000</v>
      </c>
    </row>
    <row r="34" spans="1:16" ht="24">
      <c r="A34" s="1540" t="s">
        <v>5109</v>
      </c>
      <c r="B34" s="1246" t="s">
        <v>1880</v>
      </c>
      <c r="C34" s="1246" t="s">
        <v>504</v>
      </c>
      <c r="D34" s="1200" t="s">
        <v>5154</v>
      </c>
      <c r="E34" s="1548">
        <v>8000</v>
      </c>
      <c r="F34" s="1246" t="s">
        <v>5415</v>
      </c>
      <c r="G34" s="1200" t="s">
        <v>5414</v>
      </c>
      <c r="H34" s="1200" t="s">
        <v>5190</v>
      </c>
      <c r="I34" s="1549" t="s">
        <v>4309</v>
      </c>
      <c r="J34" s="1550" t="s">
        <v>925</v>
      </c>
      <c r="K34" s="1551">
        <v>1</v>
      </c>
      <c r="L34" s="1552">
        <v>0</v>
      </c>
      <c r="M34" s="1247">
        <f t="shared" si="0"/>
        <v>0</v>
      </c>
      <c r="N34" s="1551">
        <v>1</v>
      </c>
      <c r="O34" s="1552">
        <v>6</v>
      </c>
      <c r="P34" s="1247">
        <f t="shared" si="1"/>
        <v>48000</v>
      </c>
    </row>
    <row r="35" spans="1:16" ht="24">
      <c r="A35" s="1540" t="s">
        <v>5109</v>
      </c>
      <c r="B35" s="1246" t="s">
        <v>1880</v>
      </c>
      <c r="C35" s="1246" t="s">
        <v>504</v>
      </c>
      <c r="D35" s="1200" t="s">
        <v>5413</v>
      </c>
      <c r="E35" s="1548">
        <v>6000</v>
      </c>
      <c r="F35" s="1246" t="s">
        <v>5412</v>
      </c>
      <c r="G35" s="1200" t="s">
        <v>5411</v>
      </c>
      <c r="H35" s="1200" t="s">
        <v>570</v>
      </c>
      <c r="I35" s="1549" t="s">
        <v>1455</v>
      </c>
      <c r="J35" s="1550" t="s">
        <v>5410</v>
      </c>
      <c r="K35" s="1551">
        <v>1</v>
      </c>
      <c r="L35" s="1552">
        <v>12</v>
      </c>
      <c r="M35" s="1247">
        <f t="shared" si="0"/>
        <v>72000</v>
      </c>
      <c r="N35" s="1551">
        <v>1</v>
      </c>
      <c r="O35" s="1552">
        <v>6</v>
      </c>
      <c r="P35" s="1247">
        <f t="shared" si="1"/>
        <v>36000</v>
      </c>
    </row>
    <row r="36" spans="1:16" ht="24">
      <c r="A36" s="1540" t="s">
        <v>5109</v>
      </c>
      <c r="B36" s="1246" t="s">
        <v>1880</v>
      </c>
      <c r="C36" s="1246" t="s">
        <v>504</v>
      </c>
      <c r="D36" s="1200" t="s">
        <v>5409</v>
      </c>
      <c r="E36" s="1548">
        <v>10000</v>
      </c>
      <c r="F36" s="1246" t="s">
        <v>5408</v>
      </c>
      <c r="G36" s="1200" t="s">
        <v>5407</v>
      </c>
      <c r="H36" s="1200" t="s">
        <v>5406</v>
      </c>
      <c r="I36" s="1549" t="s">
        <v>1399</v>
      </c>
      <c r="J36" s="1550" t="s">
        <v>1788</v>
      </c>
      <c r="K36" s="1551">
        <v>1</v>
      </c>
      <c r="L36" s="1552">
        <v>12</v>
      </c>
      <c r="M36" s="1247">
        <f t="shared" si="0"/>
        <v>120000</v>
      </c>
      <c r="N36" s="1551">
        <v>1</v>
      </c>
      <c r="O36" s="1552">
        <v>6</v>
      </c>
      <c r="P36" s="1247">
        <f t="shared" si="1"/>
        <v>60000</v>
      </c>
    </row>
    <row r="37" spans="1:16" ht="120">
      <c r="A37" s="1540" t="s">
        <v>5109</v>
      </c>
      <c r="B37" s="1246" t="s">
        <v>1880</v>
      </c>
      <c r="C37" s="1246" t="s">
        <v>504</v>
      </c>
      <c r="D37" s="1200" t="s">
        <v>5405</v>
      </c>
      <c r="E37" s="1548">
        <v>6000</v>
      </c>
      <c r="F37" s="1246" t="s">
        <v>5404</v>
      </c>
      <c r="G37" s="1200" t="s">
        <v>5403</v>
      </c>
      <c r="H37" s="1200" t="s">
        <v>5402</v>
      </c>
      <c r="I37" s="1549" t="s">
        <v>599</v>
      </c>
      <c r="J37" s="1550" t="s">
        <v>5401</v>
      </c>
      <c r="K37" s="1551">
        <v>1</v>
      </c>
      <c r="L37" s="1552">
        <v>12</v>
      </c>
      <c r="M37" s="1247">
        <f t="shared" si="0"/>
        <v>72000</v>
      </c>
      <c r="N37" s="1551">
        <v>1</v>
      </c>
      <c r="O37" s="1552">
        <v>6</v>
      </c>
      <c r="P37" s="1247">
        <f t="shared" si="1"/>
        <v>36000</v>
      </c>
    </row>
    <row r="38" spans="1:16" ht="24">
      <c r="A38" s="1540" t="s">
        <v>5109</v>
      </c>
      <c r="B38" s="1246" t="s">
        <v>1880</v>
      </c>
      <c r="C38" s="1246" t="s">
        <v>504</v>
      </c>
      <c r="D38" s="1200" t="s">
        <v>3231</v>
      </c>
      <c r="E38" s="1548">
        <v>3500</v>
      </c>
      <c r="F38" s="1246" t="s">
        <v>5211</v>
      </c>
      <c r="G38" s="1200" t="s">
        <v>5210</v>
      </c>
      <c r="H38" s="1200" t="s">
        <v>5209</v>
      </c>
      <c r="I38" s="1549" t="s">
        <v>5116</v>
      </c>
      <c r="J38" s="1550" t="s">
        <v>5208</v>
      </c>
      <c r="K38" s="1551">
        <v>1</v>
      </c>
      <c r="L38" s="1552">
        <v>5</v>
      </c>
      <c r="M38" s="1247">
        <f t="shared" ref="M38:M69" si="2">E38*L38</f>
        <v>17500</v>
      </c>
      <c r="N38" s="1551">
        <v>1</v>
      </c>
      <c r="O38" s="1552">
        <v>6</v>
      </c>
      <c r="P38" s="1247">
        <f t="shared" ref="P38:P69" si="3">E38*O38</f>
        <v>21000</v>
      </c>
    </row>
    <row r="39" spans="1:16" ht="24">
      <c r="A39" s="1540" t="s">
        <v>5109</v>
      </c>
      <c r="B39" s="1246" t="s">
        <v>1880</v>
      </c>
      <c r="C39" s="1246" t="s">
        <v>504</v>
      </c>
      <c r="D39" s="1200" t="s">
        <v>5400</v>
      </c>
      <c r="E39" s="1548">
        <v>8000</v>
      </c>
      <c r="F39" s="1246" t="s">
        <v>5399</v>
      </c>
      <c r="G39" s="1200" t="s">
        <v>5398</v>
      </c>
      <c r="H39" s="1200" t="s">
        <v>5397</v>
      </c>
      <c r="I39" s="1549" t="s">
        <v>5116</v>
      </c>
      <c r="J39" s="1550" t="s">
        <v>5396</v>
      </c>
      <c r="K39" s="1551">
        <v>1</v>
      </c>
      <c r="L39" s="1552">
        <v>12</v>
      </c>
      <c r="M39" s="1247">
        <f t="shared" si="2"/>
        <v>96000</v>
      </c>
      <c r="N39" s="1551">
        <v>1</v>
      </c>
      <c r="O39" s="1552">
        <v>6</v>
      </c>
      <c r="P39" s="1247">
        <f t="shared" si="3"/>
        <v>48000</v>
      </c>
    </row>
    <row r="40" spans="1:16" ht="36">
      <c r="A40" s="1540" t="s">
        <v>5109</v>
      </c>
      <c r="B40" s="1246" t="s">
        <v>1880</v>
      </c>
      <c r="C40" s="1246" t="s">
        <v>504</v>
      </c>
      <c r="D40" s="1200" t="s">
        <v>3018</v>
      </c>
      <c r="E40" s="1548">
        <v>6000</v>
      </c>
      <c r="F40" s="1246" t="s">
        <v>5395</v>
      </c>
      <c r="G40" s="1200" t="s">
        <v>5394</v>
      </c>
      <c r="H40" s="1200" t="s">
        <v>5393</v>
      </c>
      <c r="I40" s="1549" t="s">
        <v>4309</v>
      </c>
      <c r="J40" s="1550" t="s">
        <v>925</v>
      </c>
      <c r="K40" s="1551">
        <v>1</v>
      </c>
      <c r="L40" s="1552">
        <v>12</v>
      </c>
      <c r="M40" s="1247">
        <f t="shared" si="2"/>
        <v>72000</v>
      </c>
      <c r="N40" s="1551">
        <v>1</v>
      </c>
      <c r="O40" s="1552">
        <v>6</v>
      </c>
      <c r="P40" s="1247">
        <f t="shared" si="3"/>
        <v>36000</v>
      </c>
    </row>
    <row r="41" spans="1:16" ht="24">
      <c r="A41" s="1540" t="s">
        <v>5109</v>
      </c>
      <c r="B41" s="1246" t="s">
        <v>1880</v>
      </c>
      <c r="C41" s="1246" t="s">
        <v>504</v>
      </c>
      <c r="D41" s="1200" t="s">
        <v>5392</v>
      </c>
      <c r="E41" s="1548">
        <v>10000</v>
      </c>
      <c r="F41" s="1246" t="s">
        <v>5391</v>
      </c>
      <c r="G41" s="1200" t="s">
        <v>5390</v>
      </c>
      <c r="H41" s="1200" t="s">
        <v>5190</v>
      </c>
      <c r="I41" s="1549" t="s">
        <v>4309</v>
      </c>
      <c r="J41" s="1550" t="s">
        <v>925</v>
      </c>
      <c r="K41" s="1551">
        <v>1</v>
      </c>
      <c r="L41" s="1552">
        <v>12</v>
      </c>
      <c r="M41" s="1247">
        <f t="shared" si="2"/>
        <v>120000</v>
      </c>
      <c r="N41" s="1551">
        <v>1</v>
      </c>
      <c r="O41" s="1552">
        <v>6</v>
      </c>
      <c r="P41" s="1247">
        <f t="shared" si="3"/>
        <v>60000</v>
      </c>
    </row>
    <row r="42" spans="1:16" ht="36">
      <c r="A42" s="1540" t="s">
        <v>5109</v>
      </c>
      <c r="B42" s="1246" t="s">
        <v>1880</v>
      </c>
      <c r="C42" s="1246" t="s">
        <v>504</v>
      </c>
      <c r="D42" s="1200" t="s">
        <v>5151</v>
      </c>
      <c r="E42" s="1548">
        <v>3000</v>
      </c>
      <c r="F42" s="1246" t="s">
        <v>5389</v>
      </c>
      <c r="G42" s="1200" t="s">
        <v>5388</v>
      </c>
      <c r="H42" s="1200" t="s">
        <v>5133</v>
      </c>
      <c r="I42" s="1549" t="s">
        <v>507</v>
      </c>
      <c r="J42" s="1550" t="s">
        <v>5387</v>
      </c>
      <c r="K42" s="1551">
        <v>1</v>
      </c>
      <c r="L42" s="1552">
        <v>7</v>
      </c>
      <c r="M42" s="1247">
        <f t="shared" si="2"/>
        <v>21000</v>
      </c>
      <c r="N42" s="1551">
        <v>1</v>
      </c>
      <c r="O42" s="1552">
        <v>6</v>
      </c>
      <c r="P42" s="1247">
        <f t="shared" si="3"/>
        <v>18000</v>
      </c>
    </row>
    <row r="43" spans="1:16" ht="24">
      <c r="A43" s="1540" t="s">
        <v>5109</v>
      </c>
      <c r="B43" s="1246" t="s">
        <v>1880</v>
      </c>
      <c r="C43" s="1246" t="s">
        <v>504</v>
      </c>
      <c r="D43" s="1200" t="s">
        <v>3231</v>
      </c>
      <c r="E43" s="1548">
        <v>3500</v>
      </c>
      <c r="F43" s="1246" t="s">
        <v>5386</v>
      </c>
      <c r="G43" s="1200" t="s">
        <v>5385</v>
      </c>
      <c r="H43" s="1200" t="s">
        <v>1134</v>
      </c>
      <c r="I43" s="1549" t="s">
        <v>5116</v>
      </c>
      <c r="J43" s="1550" t="s">
        <v>1210</v>
      </c>
      <c r="K43" s="1551">
        <v>1</v>
      </c>
      <c r="L43" s="1552">
        <v>12</v>
      </c>
      <c r="M43" s="1247">
        <f t="shared" si="2"/>
        <v>42000</v>
      </c>
      <c r="N43" s="1551">
        <v>1</v>
      </c>
      <c r="O43" s="1552">
        <v>6</v>
      </c>
      <c r="P43" s="1247">
        <f t="shared" si="3"/>
        <v>21000</v>
      </c>
    </row>
    <row r="44" spans="1:16" ht="72">
      <c r="A44" s="1540" t="s">
        <v>5109</v>
      </c>
      <c r="B44" s="1246" t="s">
        <v>1880</v>
      </c>
      <c r="C44" s="1246" t="s">
        <v>504</v>
      </c>
      <c r="D44" s="1200" t="s">
        <v>5384</v>
      </c>
      <c r="E44" s="1548">
        <v>13000</v>
      </c>
      <c r="F44" s="1246" t="s">
        <v>5383</v>
      </c>
      <c r="G44" s="1200" t="s">
        <v>5382</v>
      </c>
      <c r="H44" s="1200" t="s">
        <v>5381</v>
      </c>
      <c r="I44" s="1549" t="s">
        <v>599</v>
      </c>
      <c r="J44" s="1550" t="s">
        <v>5380</v>
      </c>
      <c r="K44" s="1551">
        <v>1</v>
      </c>
      <c r="L44" s="1552">
        <v>0</v>
      </c>
      <c r="M44" s="1247">
        <f t="shared" si="2"/>
        <v>0</v>
      </c>
      <c r="N44" s="1551">
        <v>1</v>
      </c>
      <c r="O44" s="1552">
        <v>6</v>
      </c>
      <c r="P44" s="1247">
        <f t="shared" si="3"/>
        <v>78000</v>
      </c>
    </row>
    <row r="45" spans="1:16" ht="24">
      <c r="A45" s="1540" t="s">
        <v>5109</v>
      </c>
      <c r="B45" s="1246" t="s">
        <v>1880</v>
      </c>
      <c r="C45" s="1246" t="s">
        <v>504</v>
      </c>
      <c r="D45" s="1200" t="s">
        <v>5379</v>
      </c>
      <c r="E45" s="1548">
        <v>4500</v>
      </c>
      <c r="F45" s="1246" t="s">
        <v>5378</v>
      </c>
      <c r="G45" s="1200" t="s">
        <v>5377</v>
      </c>
      <c r="H45" s="1200" t="s">
        <v>1551</v>
      </c>
      <c r="I45" s="1549" t="s">
        <v>507</v>
      </c>
      <c r="J45" s="1550" t="s">
        <v>1551</v>
      </c>
      <c r="K45" s="1551">
        <v>1</v>
      </c>
      <c r="L45" s="1552">
        <v>12</v>
      </c>
      <c r="M45" s="1247">
        <f t="shared" si="2"/>
        <v>54000</v>
      </c>
      <c r="N45" s="1551">
        <v>1</v>
      </c>
      <c r="O45" s="1552">
        <v>6</v>
      </c>
      <c r="P45" s="1247">
        <f t="shared" si="3"/>
        <v>27000</v>
      </c>
    </row>
    <row r="46" spans="1:16" ht="24">
      <c r="A46" s="1540" t="s">
        <v>5109</v>
      </c>
      <c r="B46" s="1246" t="s">
        <v>1880</v>
      </c>
      <c r="C46" s="1246" t="s">
        <v>504</v>
      </c>
      <c r="D46" s="1200" t="s">
        <v>5376</v>
      </c>
      <c r="E46" s="1548">
        <v>10000</v>
      </c>
      <c r="F46" s="1246" t="s">
        <v>5375</v>
      </c>
      <c r="G46" s="1200" t="s">
        <v>5374</v>
      </c>
      <c r="H46" s="1200" t="s">
        <v>530</v>
      </c>
      <c r="I46" s="1549" t="s">
        <v>4309</v>
      </c>
      <c r="J46" s="1550" t="s">
        <v>5121</v>
      </c>
      <c r="K46" s="1551">
        <v>1</v>
      </c>
      <c r="L46" s="1552">
        <v>0</v>
      </c>
      <c r="M46" s="1247">
        <f t="shared" si="2"/>
        <v>0</v>
      </c>
      <c r="N46" s="1551">
        <v>1</v>
      </c>
      <c r="O46" s="1552">
        <v>6</v>
      </c>
      <c r="P46" s="1247">
        <f t="shared" si="3"/>
        <v>60000</v>
      </c>
    </row>
    <row r="47" spans="1:16" ht="24">
      <c r="A47" s="1540" t="s">
        <v>5109</v>
      </c>
      <c r="B47" s="1246" t="s">
        <v>1880</v>
      </c>
      <c r="C47" s="1246" t="s">
        <v>504</v>
      </c>
      <c r="D47" s="1200" t="s">
        <v>5132</v>
      </c>
      <c r="E47" s="1548">
        <v>15500</v>
      </c>
      <c r="F47" s="1246" t="s">
        <v>5373</v>
      </c>
      <c r="G47" s="1200" t="s">
        <v>5372</v>
      </c>
      <c r="H47" s="1200" t="s">
        <v>5371</v>
      </c>
      <c r="I47" s="1549" t="s">
        <v>4309</v>
      </c>
      <c r="J47" s="1550" t="s">
        <v>5370</v>
      </c>
      <c r="K47" s="1551">
        <v>1</v>
      </c>
      <c r="L47" s="1552">
        <v>0</v>
      </c>
      <c r="M47" s="1247">
        <f t="shared" si="2"/>
        <v>0</v>
      </c>
      <c r="N47" s="1551">
        <v>1</v>
      </c>
      <c r="O47" s="1552">
        <v>6</v>
      </c>
      <c r="P47" s="1247">
        <f t="shared" si="3"/>
        <v>93000</v>
      </c>
    </row>
    <row r="48" spans="1:16" ht="96">
      <c r="A48" s="1540" t="s">
        <v>5109</v>
      </c>
      <c r="B48" s="1246" t="s">
        <v>1880</v>
      </c>
      <c r="C48" s="1246" t="s">
        <v>504</v>
      </c>
      <c r="D48" s="1200" t="s">
        <v>5369</v>
      </c>
      <c r="E48" s="1548">
        <v>6000</v>
      </c>
      <c r="F48" s="1246" t="s">
        <v>5368</v>
      </c>
      <c r="G48" s="1200" t="s">
        <v>5367</v>
      </c>
      <c r="H48" s="1200" t="s">
        <v>5366</v>
      </c>
      <c r="I48" s="1549" t="s">
        <v>599</v>
      </c>
      <c r="J48" s="1550" t="s">
        <v>5365</v>
      </c>
      <c r="K48" s="1551">
        <v>1</v>
      </c>
      <c r="L48" s="1552">
        <v>12</v>
      </c>
      <c r="M48" s="1247">
        <f t="shared" si="2"/>
        <v>72000</v>
      </c>
      <c r="N48" s="1551">
        <v>1</v>
      </c>
      <c r="O48" s="1552">
        <v>6</v>
      </c>
      <c r="P48" s="1247">
        <f t="shared" si="3"/>
        <v>36000</v>
      </c>
    </row>
    <row r="49" spans="1:16" ht="48">
      <c r="A49" s="1540" t="s">
        <v>5109</v>
      </c>
      <c r="B49" s="1246" t="s">
        <v>1880</v>
      </c>
      <c r="C49" s="1246" t="s">
        <v>504</v>
      </c>
      <c r="D49" s="1200" t="s">
        <v>5364</v>
      </c>
      <c r="E49" s="1548">
        <v>8000</v>
      </c>
      <c r="F49" s="1246" t="s">
        <v>5363</v>
      </c>
      <c r="G49" s="1200" t="s">
        <v>5362</v>
      </c>
      <c r="H49" s="1200" t="s">
        <v>5361</v>
      </c>
      <c r="I49" s="1549" t="s">
        <v>599</v>
      </c>
      <c r="J49" s="1550" t="s">
        <v>5360</v>
      </c>
      <c r="K49" s="1551">
        <v>1</v>
      </c>
      <c r="L49" s="1552">
        <v>12</v>
      </c>
      <c r="M49" s="1247">
        <f t="shared" si="2"/>
        <v>96000</v>
      </c>
      <c r="N49" s="1551">
        <v>1</v>
      </c>
      <c r="O49" s="1552">
        <v>6</v>
      </c>
      <c r="P49" s="1247">
        <f t="shared" si="3"/>
        <v>48000</v>
      </c>
    </row>
    <row r="50" spans="1:16" ht="24">
      <c r="A50" s="1540" t="s">
        <v>5109</v>
      </c>
      <c r="B50" s="1246" t="s">
        <v>1880</v>
      </c>
      <c r="C50" s="1246" t="s">
        <v>504</v>
      </c>
      <c r="D50" s="1200" t="s">
        <v>5359</v>
      </c>
      <c r="E50" s="1548">
        <v>4500</v>
      </c>
      <c r="F50" s="1246" t="s">
        <v>5358</v>
      </c>
      <c r="G50" s="1200" t="s">
        <v>5357</v>
      </c>
      <c r="H50" s="1200" t="s">
        <v>5356</v>
      </c>
      <c r="I50" s="1549" t="s">
        <v>1664</v>
      </c>
      <c r="J50" s="1550" t="s">
        <v>5355</v>
      </c>
      <c r="K50" s="1551">
        <v>1</v>
      </c>
      <c r="L50" s="1552">
        <v>12</v>
      </c>
      <c r="M50" s="1247">
        <f t="shared" si="2"/>
        <v>54000</v>
      </c>
      <c r="N50" s="1551">
        <v>1</v>
      </c>
      <c r="O50" s="1552">
        <v>6</v>
      </c>
      <c r="P50" s="1247">
        <f t="shared" si="3"/>
        <v>27000</v>
      </c>
    </row>
    <row r="51" spans="1:16" ht="24">
      <c r="A51" s="1540" t="s">
        <v>5109</v>
      </c>
      <c r="B51" s="1246" t="s">
        <v>1880</v>
      </c>
      <c r="C51" s="1246" t="s">
        <v>504</v>
      </c>
      <c r="D51" s="1200" t="s">
        <v>5354</v>
      </c>
      <c r="E51" s="1548">
        <v>8000</v>
      </c>
      <c r="F51" s="1246" t="s">
        <v>5353</v>
      </c>
      <c r="G51" s="1200" t="s">
        <v>5352</v>
      </c>
      <c r="H51" s="1200" t="s">
        <v>5351</v>
      </c>
      <c r="I51" s="1549" t="s">
        <v>599</v>
      </c>
      <c r="J51" s="1550" t="s">
        <v>5350</v>
      </c>
      <c r="K51" s="1551">
        <v>1</v>
      </c>
      <c r="L51" s="1552">
        <v>12</v>
      </c>
      <c r="M51" s="1247">
        <f t="shared" si="2"/>
        <v>96000</v>
      </c>
      <c r="N51" s="1551">
        <v>1</v>
      </c>
      <c r="O51" s="1552">
        <v>6</v>
      </c>
      <c r="P51" s="1247">
        <f t="shared" si="3"/>
        <v>48000</v>
      </c>
    </row>
    <row r="52" spans="1:16" ht="24">
      <c r="A52" s="1540" t="s">
        <v>5109</v>
      </c>
      <c r="B52" s="1246" t="s">
        <v>1880</v>
      </c>
      <c r="C52" s="1246" t="s">
        <v>504</v>
      </c>
      <c r="D52" s="1200" t="s">
        <v>4802</v>
      </c>
      <c r="E52" s="1548">
        <v>6000</v>
      </c>
      <c r="F52" s="1246" t="s">
        <v>5349</v>
      </c>
      <c r="G52" s="1200" t="s">
        <v>5348</v>
      </c>
      <c r="H52" s="1200" t="s">
        <v>5347</v>
      </c>
      <c r="I52" s="1549" t="s">
        <v>4309</v>
      </c>
      <c r="J52" s="1550" t="s">
        <v>1788</v>
      </c>
      <c r="K52" s="1551">
        <v>1</v>
      </c>
      <c r="L52" s="1552">
        <v>12</v>
      </c>
      <c r="M52" s="1247">
        <f t="shared" si="2"/>
        <v>72000</v>
      </c>
      <c r="N52" s="1551">
        <v>1</v>
      </c>
      <c r="O52" s="1552">
        <v>6</v>
      </c>
      <c r="P52" s="1247">
        <f t="shared" si="3"/>
        <v>36000</v>
      </c>
    </row>
    <row r="53" spans="1:16" ht="48">
      <c r="A53" s="1540" t="s">
        <v>5109</v>
      </c>
      <c r="B53" s="1246" t="s">
        <v>1880</v>
      </c>
      <c r="C53" s="1246" t="s">
        <v>504</v>
      </c>
      <c r="D53" s="1200" t="s">
        <v>5346</v>
      </c>
      <c r="E53" s="1548">
        <v>7000</v>
      </c>
      <c r="F53" s="1246" t="s">
        <v>5207</v>
      </c>
      <c r="G53" s="1200" t="s">
        <v>5206</v>
      </c>
      <c r="H53" s="1200" t="s">
        <v>5345</v>
      </c>
      <c r="I53" s="1549" t="s">
        <v>599</v>
      </c>
      <c r="J53" s="1550" t="s">
        <v>5344</v>
      </c>
      <c r="K53" s="1551">
        <v>1</v>
      </c>
      <c r="L53" s="1552">
        <v>4</v>
      </c>
      <c r="M53" s="1247">
        <f t="shared" si="2"/>
        <v>28000</v>
      </c>
      <c r="N53" s="1551">
        <v>1</v>
      </c>
      <c r="O53" s="1552">
        <v>6</v>
      </c>
      <c r="P53" s="1247">
        <f t="shared" si="3"/>
        <v>42000</v>
      </c>
    </row>
    <row r="54" spans="1:16" ht="36">
      <c r="A54" s="1540" t="s">
        <v>5109</v>
      </c>
      <c r="B54" s="1246" t="s">
        <v>1880</v>
      </c>
      <c r="C54" s="1246" t="s">
        <v>504</v>
      </c>
      <c r="D54" s="1200" t="s">
        <v>5343</v>
      </c>
      <c r="E54" s="1548">
        <v>6000</v>
      </c>
      <c r="F54" s="1246" t="s">
        <v>5342</v>
      </c>
      <c r="G54" s="1200" t="s">
        <v>5341</v>
      </c>
      <c r="H54" s="1200" t="s">
        <v>5140</v>
      </c>
      <c r="I54" s="1549" t="s">
        <v>507</v>
      </c>
      <c r="J54" s="1550" t="s">
        <v>5340</v>
      </c>
      <c r="K54" s="1551">
        <v>1</v>
      </c>
      <c r="L54" s="1552">
        <v>12</v>
      </c>
      <c r="M54" s="1247">
        <f t="shared" si="2"/>
        <v>72000</v>
      </c>
      <c r="N54" s="1551">
        <v>1</v>
      </c>
      <c r="O54" s="1552">
        <v>6</v>
      </c>
      <c r="P54" s="1247">
        <f t="shared" si="3"/>
        <v>36000</v>
      </c>
    </row>
    <row r="55" spans="1:16" ht="24">
      <c r="A55" s="1540" t="s">
        <v>5109</v>
      </c>
      <c r="B55" s="1246" t="s">
        <v>1880</v>
      </c>
      <c r="C55" s="1246" t="s">
        <v>504</v>
      </c>
      <c r="D55" s="1200" t="s">
        <v>5250</v>
      </c>
      <c r="E55" s="1548">
        <v>6000</v>
      </c>
      <c r="F55" s="1246" t="s">
        <v>5339</v>
      </c>
      <c r="G55" s="1200" t="s">
        <v>5338</v>
      </c>
      <c r="H55" s="1200" t="s">
        <v>5140</v>
      </c>
      <c r="I55" s="1549" t="s">
        <v>4309</v>
      </c>
      <c r="J55" s="1550" t="s">
        <v>4998</v>
      </c>
      <c r="K55" s="1551">
        <v>1</v>
      </c>
      <c r="L55" s="1552">
        <v>12</v>
      </c>
      <c r="M55" s="1247">
        <f t="shared" si="2"/>
        <v>72000</v>
      </c>
      <c r="N55" s="1551">
        <v>1</v>
      </c>
      <c r="O55" s="1552">
        <v>6</v>
      </c>
      <c r="P55" s="1247">
        <f t="shared" si="3"/>
        <v>36000</v>
      </c>
    </row>
    <row r="56" spans="1:16" ht="36">
      <c r="A56" s="1540" t="s">
        <v>5109</v>
      </c>
      <c r="B56" s="1246" t="s">
        <v>1880</v>
      </c>
      <c r="C56" s="1246" t="s">
        <v>504</v>
      </c>
      <c r="D56" s="1200" t="s">
        <v>5337</v>
      </c>
      <c r="E56" s="1548">
        <v>7000</v>
      </c>
      <c r="F56" s="1246" t="s">
        <v>5336</v>
      </c>
      <c r="G56" s="1200" t="s">
        <v>5335</v>
      </c>
      <c r="H56" s="1200" t="s">
        <v>5190</v>
      </c>
      <c r="I56" s="1549" t="s">
        <v>4309</v>
      </c>
      <c r="J56" s="1550" t="s">
        <v>925</v>
      </c>
      <c r="K56" s="1551">
        <v>1</v>
      </c>
      <c r="L56" s="1552">
        <v>12</v>
      </c>
      <c r="M56" s="1247">
        <f t="shared" si="2"/>
        <v>84000</v>
      </c>
      <c r="N56" s="1551">
        <v>1</v>
      </c>
      <c r="O56" s="1552">
        <v>6</v>
      </c>
      <c r="P56" s="1247">
        <f t="shared" si="3"/>
        <v>42000</v>
      </c>
    </row>
    <row r="57" spans="1:16" ht="24">
      <c r="A57" s="1540" t="s">
        <v>5109</v>
      </c>
      <c r="B57" s="1246" t="s">
        <v>1880</v>
      </c>
      <c r="C57" s="1246" t="s">
        <v>504</v>
      </c>
      <c r="D57" s="1200" t="s">
        <v>3064</v>
      </c>
      <c r="E57" s="1548">
        <v>6000</v>
      </c>
      <c r="F57" s="1246" t="s">
        <v>5334</v>
      </c>
      <c r="G57" s="1200" t="s">
        <v>5333</v>
      </c>
      <c r="H57" s="1200" t="s">
        <v>991</v>
      </c>
      <c r="I57" s="1549" t="s">
        <v>5116</v>
      </c>
      <c r="J57" s="1550" t="s">
        <v>5332</v>
      </c>
      <c r="K57" s="1551">
        <v>1</v>
      </c>
      <c r="L57" s="1552">
        <v>5</v>
      </c>
      <c r="M57" s="1247">
        <f t="shared" si="2"/>
        <v>30000</v>
      </c>
      <c r="N57" s="1551">
        <v>1</v>
      </c>
      <c r="O57" s="1552">
        <v>6</v>
      </c>
      <c r="P57" s="1247">
        <f t="shared" si="3"/>
        <v>36000</v>
      </c>
    </row>
    <row r="58" spans="1:16" ht="36">
      <c r="A58" s="1540" t="s">
        <v>5109</v>
      </c>
      <c r="B58" s="1246" t="s">
        <v>1880</v>
      </c>
      <c r="C58" s="1246" t="s">
        <v>504</v>
      </c>
      <c r="D58" s="1200" t="s">
        <v>2919</v>
      </c>
      <c r="E58" s="1548">
        <v>6000</v>
      </c>
      <c r="F58" s="1246" t="s">
        <v>5331</v>
      </c>
      <c r="G58" s="1200" t="s">
        <v>5330</v>
      </c>
      <c r="H58" s="1200" t="s">
        <v>5329</v>
      </c>
      <c r="I58" s="1549" t="s">
        <v>4309</v>
      </c>
      <c r="J58" s="1550" t="s">
        <v>5259</v>
      </c>
      <c r="K58" s="1551">
        <v>1</v>
      </c>
      <c r="L58" s="1552">
        <v>2</v>
      </c>
      <c r="M58" s="1247">
        <f t="shared" si="2"/>
        <v>12000</v>
      </c>
      <c r="N58" s="1551">
        <v>1</v>
      </c>
      <c r="O58" s="1552">
        <v>6</v>
      </c>
      <c r="P58" s="1247">
        <f t="shared" si="3"/>
        <v>36000</v>
      </c>
    </row>
    <row r="59" spans="1:16" ht="36">
      <c r="A59" s="1540" t="s">
        <v>5109</v>
      </c>
      <c r="B59" s="1246" t="s">
        <v>1880</v>
      </c>
      <c r="C59" s="1246" t="s">
        <v>504</v>
      </c>
      <c r="D59" s="1200" t="s">
        <v>5328</v>
      </c>
      <c r="E59" s="1548">
        <v>7000</v>
      </c>
      <c r="F59" s="1246" t="s">
        <v>5327</v>
      </c>
      <c r="G59" s="1200" t="s">
        <v>5326</v>
      </c>
      <c r="H59" s="1200" t="s">
        <v>5252</v>
      </c>
      <c r="I59" s="1549" t="s">
        <v>4309</v>
      </c>
      <c r="J59" s="1550" t="s">
        <v>5251</v>
      </c>
      <c r="K59" s="1551">
        <v>1</v>
      </c>
      <c r="L59" s="1552">
        <v>12</v>
      </c>
      <c r="M59" s="1247">
        <f t="shared" si="2"/>
        <v>84000</v>
      </c>
      <c r="N59" s="1551">
        <v>1</v>
      </c>
      <c r="O59" s="1552">
        <v>6</v>
      </c>
      <c r="P59" s="1247">
        <f t="shared" si="3"/>
        <v>42000</v>
      </c>
    </row>
    <row r="60" spans="1:16" ht="36">
      <c r="A60" s="1540" t="s">
        <v>5109</v>
      </c>
      <c r="B60" s="1246" t="s">
        <v>1880</v>
      </c>
      <c r="C60" s="1246" t="s">
        <v>504</v>
      </c>
      <c r="D60" s="1200" t="s">
        <v>5325</v>
      </c>
      <c r="E60" s="1548">
        <v>7000</v>
      </c>
      <c r="F60" s="1246" t="s">
        <v>5324</v>
      </c>
      <c r="G60" s="1200" t="s">
        <v>5323</v>
      </c>
      <c r="H60" s="1200" t="s">
        <v>5322</v>
      </c>
      <c r="I60" s="1549" t="s">
        <v>599</v>
      </c>
      <c r="J60" s="1550" t="s">
        <v>5321</v>
      </c>
      <c r="K60" s="1551">
        <v>1</v>
      </c>
      <c r="L60" s="1552">
        <v>12</v>
      </c>
      <c r="M60" s="1247">
        <f t="shared" si="2"/>
        <v>84000</v>
      </c>
      <c r="N60" s="1551">
        <v>1</v>
      </c>
      <c r="O60" s="1552">
        <v>6</v>
      </c>
      <c r="P60" s="1247">
        <f t="shared" si="3"/>
        <v>42000</v>
      </c>
    </row>
    <row r="61" spans="1:16" ht="36">
      <c r="A61" s="1540" t="s">
        <v>5109</v>
      </c>
      <c r="B61" s="1246" t="s">
        <v>1880</v>
      </c>
      <c r="C61" s="1246" t="s">
        <v>504</v>
      </c>
      <c r="D61" s="1200" t="s">
        <v>5146</v>
      </c>
      <c r="E61" s="1548">
        <v>6000</v>
      </c>
      <c r="F61" s="1246" t="s">
        <v>5320</v>
      </c>
      <c r="G61" s="1200" t="s">
        <v>5319</v>
      </c>
      <c r="H61" s="1200" t="s">
        <v>795</v>
      </c>
      <c r="I61" s="1549" t="s">
        <v>5116</v>
      </c>
      <c r="J61" s="1550" t="s">
        <v>5318</v>
      </c>
      <c r="K61" s="1551">
        <v>1</v>
      </c>
      <c r="L61" s="1552">
        <v>0</v>
      </c>
      <c r="M61" s="1247">
        <f t="shared" si="2"/>
        <v>0</v>
      </c>
      <c r="N61" s="1551">
        <v>1</v>
      </c>
      <c r="O61" s="1552">
        <v>6</v>
      </c>
      <c r="P61" s="1247">
        <f t="shared" si="3"/>
        <v>36000</v>
      </c>
    </row>
    <row r="62" spans="1:16" ht="24">
      <c r="A62" s="1540" t="s">
        <v>5109</v>
      </c>
      <c r="B62" s="1246" t="s">
        <v>1880</v>
      </c>
      <c r="C62" s="1246" t="s">
        <v>504</v>
      </c>
      <c r="D62" s="1200" t="s">
        <v>5317</v>
      </c>
      <c r="E62" s="1548">
        <v>6000</v>
      </c>
      <c r="F62" s="1246" t="s">
        <v>5316</v>
      </c>
      <c r="G62" s="1200" t="s">
        <v>5315</v>
      </c>
      <c r="H62" s="1200" t="s">
        <v>530</v>
      </c>
      <c r="I62" s="1549" t="s">
        <v>4309</v>
      </c>
      <c r="J62" s="1550" t="s">
        <v>5169</v>
      </c>
      <c r="K62" s="1551">
        <v>1</v>
      </c>
      <c r="L62" s="1552">
        <v>12</v>
      </c>
      <c r="M62" s="1247">
        <f t="shared" si="2"/>
        <v>72000</v>
      </c>
      <c r="N62" s="1551">
        <v>1</v>
      </c>
      <c r="O62" s="1552">
        <v>6</v>
      </c>
      <c r="P62" s="1247">
        <f t="shared" si="3"/>
        <v>36000</v>
      </c>
    </row>
    <row r="63" spans="1:16" ht="24">
      <c r="A63" s="1540" t="s">
        <v>5109</v>
      </c>
      <c r="B63" s="1246" t="s">
        <v>1880</v>
      </c>
      <c r="C63" s="1246" t="s">
        <v>504</v>
      </c>
      <c r="D63" s="1200" t="s">
        <v>3231</v>
      </c>
      <c r="E63" s="1548">
        <v>4500</v>
      </c>
      <c r="F63" s="1246" t="s">
        <v>5314</v>
      </c>
      <c r="G63" s="1200" t="s">
        <v>5313</v>
      </c>
      <c r="H63" s="1200"/>
      <c r="I63" s="1549"/>
      <c r="J63" s="1550" t="s">
        <v>5312</v>
      </c>
      <c r="K63" s="1551">
        <v>1</v>
      </c>
      <c r="L63" s="1552">
        <v>12</v>
      </c>
      <c r="M63" s="1247">
        <f t="shared" si="2"/>
        <v>54000</v>
      </c>
      <c r="N63" s="1551">
        <v>1</v>
      </c>
      <c r="O63" s="1552">
        <v>6</v>
      </c>
      <c r="P63" s="1247">
        <f t="shared" si="3"/>
        <v>27000</v>
      </c>
    </row>
    <row r="64" spans="1:16" ht="24">
      <c r="A64" s="1540" t="s">
        <v>5109</v>
      </c>
      <c r="B64" s="1246" t="s">
        <v>1880</v>
      </c>
      <c r="C64" s="1246" t="s">
        <v>504</v>
      </c>
      <c r="D64" s="1200" t="s">
        <v>3231</v>
      </c>
      <c r="E64" s="1548">
        <v>4000</v>
      </c>
      <c r="F64" s="1246" t="s">
        <v>5311</v>
      </c>
      <c r="G64" s="1200" t="s">
        <v>5310</v>
      </c>
      <c r="H64" s="1200" t="s">
        <v>5309</v>
      </c>
      <c r="I64" s="1549" t="s">
        <v>4309</v>
      </c>
      <c r="J64" s="1550" t="s">
        <v>925</v>
      </c>
      <c r="K64" s="1551">
        <v>1</v>
      </c>
      <c r="L64" s="1552">
        <v>12</v>
      </c>
      <c r="M64" s="1247">
        <f t="shared" si="2"/>
        <v>48000</v>
      </c>
      <c r="N64" s="1551">
        <v>1</v>
      </c>
      <c r="O64" s="1552">
        <v>6</v>
      </c>
      <c r="P64" s="1247">
        <f t="shared" si="3"/>
        <v>24000</v>
      </c>
    </row>
    <row r="65" spans="1:16" ht="24">
      <c r="A65" s="1540" t="s">
        <v>5109</v>
      </c>
      <c r="B65" s="1246" t="s">
        <v>1880</v>
      </c>
      <c r="C65" s="1246" t="s">
        <v>504</v>
      </c>
      <c r="D65" s="1200" t="s">
        <v>5120</v>
      </c>
      <c r="E65" s="1548">
        <v>4500</v>
      </c>
      <c r="F65" s="1246" t="s">
        <v>5308</v>
      </c>
      <c r="G65" s="1200" t="s">
        <v>5307</v>
      </c>
      <c r="H65" s="1200" t="s">
        <v>5140</v>
      </c>
      <c r="I65" s="1549" t="s">
        <v>4309</v>
      </c>
      <c r="J65" s="1550" t="s">
        <v>5007</v>
      </c>
      <c r="K65" s="1551">
        <v>1</v>
      </c>
      <c r="L65" s="1552">
        <v>12</v>
      </c>
      <c r="M65" s="1247">
        <f t="shared" si="2"/>
        <v>54000</v>
      </c>
      <c r="N65" s="1551">
        <v>1</v>
      </c>
      <c r="O65" s="1552">
        <v>6</v>
      </c>
      <c r="P65" s="1247">
        <f t="shared" si="3"/>
        <v>27000</v>
      </c>
    </row>
    <row r="66" spans="1:16" ht="48">
      <c r="A66" s="1540" t="s">
        <v>5109</v>
      </c>
      <c r="B66" s="1246" t="s">
        <v>1880</v>
      </c>
      <c r="C66" s="1246" t="s">
        <v>504</v>
      </c>
      <c r="D66" s="1200" t="s">
        <v>5128</v>
      </c>
      <c r="E66" s="1548">
        <v>10000</v>
      </c>
      <c r="F66" s="1246" t="s">
        <v>5306</v>
      </c>
      <c r="G66" s="1200" t="s">
        <v>5305</v>
      </c>
      <c r="H66" s="1200" t="s">
        <v>5304</v>
      </c>
      <c r="I66" s="1549" t="s">
        <v>4309</v>
      </c>
      <c r="J66" s="1550" t="s">
        <v>1319</v>
      </c>
      <c r="K66" s="1551">
        <v>1</v>
      </c>
      <c r="L66" s="1552">
        <v>0</v>
      </c>
      <c r="M66" s="1247">
        <f t="shared" si="2"/>
        <v>0</v>
      </c>
      <c r="N66" s="1551">
        <v>1</v>
      </c>
      <c r="O66" s="1552">
        <v>6</v>
      </c>
      <c r="P66" s="1247">
        <f t="shared" si="3"/>
        <v>60000</v>
      </c>
    </row>
    <row r="67" spans="1:16" ht="24">
      <c r="A67" s="1540" t="s">
        <v>5109</v>
      </c>
      <c r="B67" s="1246" t="s">
        <v>1880</v>
      </c>
      <c r="C67" s="1246" t="s">
        <v>504</v>
      </c>
      <c r="D67" s="1200" t="s">
        <v>5303</v>
      </c>
      <c r="E67" s="1548">
        <v>6000</v>
      </c>
      <c r="F67" s="1246" t="s">
        <v>5162</v>
      </c>
      <c r="G67" s="1200" t="s">
        <v>5161</v>
      </c>
      <c r="H67" s="1200" t="s">
        <v>5160</v>
      </c>
      <c r="I67" s="1549" t="s">
        <v>4309</v>
      </c>
      <c r="J67" s="1550" t="s">
        <v>3935</v>
      </c>
      <c r="K67" s="1551">
        <v>1</v>
      </c>
      <c r="L67" s="1552">
        <v>3</v>
      </c>
      <c r="M67" s="1247">
        <f t="shared" si="2"/>
        <v>18000</v>
      </c>
      <c r="N67" s="1551">
        <v>1</v>
      </c>
      <c r="O67" s="1552">
        <v>6</v>
      </c>
      <c r="P67" s="1247">
        <f t="shared" si="3"/>
        <v>36000</v>
      </c>
    </row>
    <row r="68" spans="1:16" ht="24">
      <c r="A68" s="1540" t="s">
        <v>5109</v>
      </c>
      <c r="B68" s="1246" t="s">
        <v>1880</v>
      </c>
      <c r="C68" s="1246" t="s">
        <v>504</v>
      </c>
      <c r="D68" s="1200" t="s">
        <v>5302</v>
      </c>
      <c r="E68" s="1548">
        <v>10000</v>
      </c>
      <c r="F68" s="1246" t="s">
        <v>5301</v>
      </c>
      <c r="G68" s="1200" t="s">
        <v>5300</v>
      </c>
      <c r="H68" s="1200" t="s">
        <v>5299</v>
      </c>
      <c r="I68" s="1549" t="s">
        <v>4309</v>
      </c>
      <c r="J68" s="1550" t="s">
        <v>511</v>
      </c>
      <c r="K68" s="1551">
        <v>1</v>
      </c>
      <c r="L68" s="1552">
        <v>12</v>
      </c>
      <c r="M68" s="1247">
        <f t="shared" si="2"/>
        <v>120000</v>
      </c>
      <c r="N68" s="1551">
        <v>1</v>
      </c>
      <c r="O68" s="1552">
        <v>6</v>
      </c>
      <c r="P68" s="1247">
        <f t="shared" si="3"/>
        <v>60000</v>
      </c>
    </row>
    <row r="69" spans="1:16" ht="24">
      <c r="A69" s="1540" t="s">
        <v>5109</v>
      </c>
      <c r="B69" s="1246" t="s">
        <v>1880</v>
      </c>
      <c r="C69" s="1246" t="s">
        <v>504</v>
      </c>
      <c r="D69" s="1200" t="s">
        <v>5143</v>
      </c>
      <c r="E69" s="1548">
        <v>6000</v>
      </c>
      <c r="F69" s="1246" t="s">
        <v>5158</v>
      </c>
      <c r="G69" s="1200" t="s">
        <v>5157</v>
      </c>
      <c r="H69" s="1200" t="s">
        <v>5140</v>
      </c>
      <c r="I69" s="1549" t="s">
        <v>4309</v>
      </c>
      <c r="J69" s="1550" t="s">
        <v>2533</v>
      </c>
      <c r="K69" s="1551">
        <v>1</v>
      </c>
      <c r="L69" s="1552">
        <v>1</v>
      </c>
      <c r="M69" s="1247">
        <f t="shared" si="2"/>
        <v>6000</v>
      </c>
      <c r="N69" s="1551">
        <v>1</v>
      </c>
      <c r="O69" s="1552">
        <v>6</v>
      </c>
      <c r="P69" s="1247">
        <f t="shared" si="3"/>
        <v>36000</v>
      </c>
    </row>
    <row r="70" spans="1:16" ht="24">
      <c r="A70" s="1540" t="s">
        <v>5109</v>
      </c>
      <c r="B70" s="1246" t="s">
        <v>1880</v>
      </c>
      <c r="C70" s="1246" t="s">
        <v>504</v>
      </c>
      <c r="D70" s="1200" t="s">
        <v>5298</v>
      </c>
      <c r="E70" s="1548">
        <v>6000</v>
      </c>
      <c r="F70" s="1246" t="s">
        <v>5297</v>
      </c>
      <c r="G70" s="1200" t="s">
        <v>5296</v>
      </c>
      <c r="H70" s="1200" t="s">
        <v>5140</v>
      </c>
      <c r="I70" s="1549" t="s">
        <v>4309</v>
      </c>
      <c r="J70" s="1550" t="s">
        <v>2533</v>
      </c>
      <c r="K70" s="1551">
        <v>1</v>
      </c>
      <c r="L70" s="1552">
        <v>12</v>
      </c>
      <c r="M70" s="1247">
        <f t="shared" ref="M70:M101" si="4">E70*L70</f>
        <v>72000</v>
      </c>
      <c r="N70" s="1551">
        <v>1</v>
      </c>
      <c r="O70" s="1552">
        <v>6</v>
      </c>
      <c r="P70" s="1247">
        <f t="shared" ref="P70:P101" si="5">E70*O70</f>
        <v>36000</v>
      </c>
    </row>
    <row r="71" spans="1:16" ht="24">
      <c r="A71" s="1540" t="s">
        <v>5109</v>
      </c>
      <c r="B71" s="1246" t="s">
        <v>1880</v>
      </c>
      <c r="C71" s="1246" t="s">
        <v>504</v>
      </c>
      <c r="D71" s="1200" t="s">
        <v>5295</v>
      </c>
      <c r="E71" s="1548">
        <v>6000</v>
      </c>
      <c r="F71" s="1246" t="s">
        <v>5294</v>
      </c>
      <c r="G71" s="1200" t="s">
        <v>5293</v>
      </c>
      <c r="H71" s="1200" t="s">
        <v>5292</v>
      </c>
      <c r="I71" s="1549" t="s">
        <v>5116</v>
      </c>
      <c r="J71" s="1550" t="s">
        <v>928</v>
      </c>
      <c r="K71" s="1551">
        <v>1</v>
      </c>
      <c r="L71" s="1552">
        <v>8</v>
      </c>
      <c r="M71" s="1247">
        <f t="shared" si="4"/>
        <v>48000</v>
      </c>
      <c r="N71" s="1551">
        <v>1</v>
      </c>
      <c r="O71" s="1552">
        <v>6</v>
      </c>
      <c r="P71" s="1247">
        <f t="shared" si="5"/>
        <v>36000</v>
      </c>
    </row>
    <row r="72" spans="1:16" ht="24">
      <c r="A72" s="1540" t="s">
        <v>5109</v>
      </c>
      <c r="B72" s="1246" t="s">
        <v>1880</v>
      </c>
      <c r="C72" s="1246" t="s">
        <v>504</v>
      </c>
      <c r="D72" s="1200" t="s">
        <v>5136</v>
      </c>
      <c r="E72" s="1548">
        <v>4500</v>
      </c>
      <c r="F72" s="1246" t="s">
        <v>5291</v>
      </c>
      <c r="G72" s="1200" t="s">
        <v>5290</v>
      </c>
      <c r="H72" s="1200" t="s">
        <v>5190</v>
      </c>
      <c r="I72" s="1549" t="s">
        <v>4309</v>
      </c>
      <c r="J72" s="1550" t="s">
        <v>925</v>
      </c>
      <c r="K72" s="1551">
        <v>1</v>
      </c>
      <c r="L72" s="1552">
        <v>4</v>
      </c>
      <c r="M72" s="1247">
        <f t="shared" si="4"/>
        <v>18000</v>
      </c>
      <c r="N72" s="1551">
        <v>1</v>
      </c>
      <c r="O72" s="1552">
        <v>6</v>
      </c>
      <c r="P72" s="1247">
        <f t="shared" si="5"/>
        <v>27000</v>
      </c>
    </row>
    <row r="73" spans="1:16" ht="24">
      <c r="A73" s="1540" t="s">
        <v>5109</v>
      </c>
      <c r="B73" s="1246" t="s">
        <v>1880</v>
      </c>
      <c r="C73" s="1246" t="s">
        <v>504</v>
      </c>
      <c r="D73" s="1200" t="s">
        <v>5204</v>
      </c>
      <c r="E73" s="1548">
        <v>4500</v>
      </c>
      <c r="F73" s="1246" t="s">
        <v>5289</v>
      </c>
      <c r="G73" s="1200" t="s">
        <v>5288</v>
      </c>
      <c r="H73" s="1200" t="s">
        <v>1719</v>
      </c>
      <c r="I73" s="1549" t="s">
        <v>4309</v>
      </c>
      <c r="J73" s="1550" t="s">
        <v>1667</v>
      </c>
      <c r="K73" s="1551">
        <v>1</v>
      </c>
      <c r="L73" s="1552">
        <v>12</v>
      </c>
      <c r="M73" s="1247">
        <f t="shared" si="4"/>
        <v>54000</v>
      </c>
      <c r="N73" s="1551">
        <v>1</v>
      </c>
      <c r="O73" s="1552">
        <v>6</v>
      </c>
      <c r="P73" s="1247">
        <f t="shared" si="5"/>
        <v>27000</v>
      </c>
    </row>
    <row r="74" spans="1:16" ht="24">
      <c r="A74" s="1540" t="s">
        <v>5109</v>
      </c>
      <c r="B74" s="1246" t="s">
        <v>1880</v>
      </c>
      <c r="C74" s="1246" t="s">
        <v>504</v>
      </c>
      <c r="D74" s="1200" t="s">
        <v>3231</v>
      </c>
      <c r="E74" s="1548">
        <v>4500</v>
      </c>
      <c r="F74" s="1246" t="s">
        <v>5287</v>
      </c>
      <c r="G74" s="1200" t="s">
        <v>5286</v>
      </c>
      <c r="H74" s="1200" t="s">
        <v>1259</v>
      </c>
      <c r="I74" s="1549" t="s">
        <v>5116</v>
      </c>
      <c r="J74" s="1550" t="s">
        <v>1625</v>
      </c>
      <c r="K74" s="1551">
        <v>1</v>
      </c>
      <c r="L74" s="1552">
        <v>12</v>
      </c>
      <c r="M74" s="1247">
        <f t="shared" si="4"/>
        <v>54000</v>
      </c>
      <c r="N74" s="1551">
        <v>1</v>
      </c>
      <c r="O74" s="1552">
        <v>6</v>
      </c>
      <c r="P74" s="1247">
        <f t="shared" si="5"/>
        <v>27000</v>
      </c>
    </row>
    <row r="75" spans="1:16" ht="36">
      <c r="A75" s="1540" t="s">
        <v>5109</v>
      </c>
      <c r="B75" s="1246" t="s">
        <v>1880</v>
      </c>
      <c r="C75" s="1246" t="s">
        <v>504</v>
      </c>
      <c r="D75" s="1200" t="s">
        <v>5285</v>
      </c>
      <c r="E75" s="1548">
        <v>7000</v>
      </c>
      <c r="F75" s="1246" t="s">
        <v>5284</v>
      </c>
      <c r="G75" s="1200" t="s">
        <v>5283</v>
      </c>
      <c r="H75" s="1200" t="s">
        <v>5282</v>
      </c>
      <c r="I75" s="1549" t="s">
        <v>599</v>
      </c>
      <c r="J75" s="1550" t="s">
        <v>5281</v>
      </c>
      <c r="K75" s="1551">
        <v>1</v>
      </c>
      <c r="L75" s="1552">
        <v>12</v>
      </c>
      <c r="M75" s="1247">
        <f t="shared" si="4"/>
        <v>84000</v>
      </c>
      <c r="N75" s="1551">
        <v>1</v>
      </c>
      <c r="O75" s="1552">
        <v>6</v>
      </c>
      <c r="P75" s="1247">
        <f t="shared" si="5"/>
        <v>42000</v>
      </c>
    </row>
    <row r="76" spans="1:16" ht="36">
      <c r="A76" s="1540" t="s">
        <v>5109</v>
      </c>
      <c r="B76" s="1246" t="s">
        <v>1880</v>
      </c>
      <c r="C76" s="1246" t="s">
        <v>504</v>
      </c>
      <c r="D76" s="1200" t="s">
        <v>5280</v>
      </c>
      <c r="E76" s="1548">
        <v>8000</v>
      </c>
      <c r="F76" s="1246" t="s">
        <v>5279</v>
      </c>
      <c r="G76" s="1200" t="s">
        <v>5278</v>
      </c>
      <c r="H76" s="1200" t="s">
        <v>5277</v>
      </c>
      <c r="I76" s="1549" t="s">
        <v>1399</v>
      </c>
      <c r="J76" s="1550" t="s">
        <v>5276</v>
      </c>
      <c r="K76" s="1551">
        <v>1</v>
      </c>
      <c r="L76" s="1552">
        <v>12</v>
      </c>
      <c r="M76" s="1247">
        <f t="shared" si="4"/>
        <v>96000</v>
      </c>
      <c r="N76" s="1551">
        <v>1</v>
      </c>
      <c r="O76" s="1552">
        <v>6</v>
      </c>
      <c r="P76" s="1247">
        <f t="shared" si="5"/>
        <v>48000</v>
      </c>
    </row>
    <row r="77" spans="1:16" ht="24">
      <c r="A77" s="1540" t="s">
        <v>5109</v>
      </c>
      <c r="B77" s="1246" t="s">
        <v>1880</v>
      </c>
      <c r="C77" s="1246" t="s">
        <v>504</v>
      </c>
      <c r="D77" s="1200" t="s">
        <v>3231</v>
      </c>
      <c r="E77" s="1548">
        <v>3500</v>
      </c>
      <c r="F77" s="1246" t="s">
        <v>5203</v>
      </c>
      <c r="G77" s="1200" t="s">
        <v>5202</v>
      </c>
      <c r="H77" s="1200"/>
      <c r="I77" s="1549"/>
      <c r="J77" s="1550" t="s">
        <v>5180</v>
      </c>
      <c r="K77" s="1551">
        <v>1</v>
      </c>
      <c r="L77" s="1552">
        <v>5</v>
      </c>
      <c r="M77" s="1247">
        <f t="shared" si="4"/>
        <v>17500</v>
      </c>
      <c r="N77" s="1551">
        <v>1</v>
      </c>
      <c r="O77" s="1552">
        <v>6</v>
      </c>
      <c r="P77" s="1247">
        <f t="shared" si="5"/>
        <v>21000</v>
      </c>
    </row>
    <row r="78" spans="1:16" ht="24">
      <c r="A78" s="1540" t="s">
        <v>5109</v>
      </c>
      <c r="B78" s="1246" t="s">
        <v>1880</v>
      </c>
      <c r="C78" s="1246" t="s">
        <v>504</v>
      </c>
      <c r="D78" s="1200" t="s">
        <v>5275</v>
      </c>
      <c r="E78" s="1548">
        <v>4000</v>
      </c>
      <c r="F78" s="1246" t="s">
        <v>5274</v>
      </c>
      <c r="G78" s="1200" t="s">
        <v>5273</v>
      </c>
      <c r="H78" s="1200" t="s">
        <v>5272</v>
      </c>
      <c r="I78" s="1549" t="s">
        <v>1664</v>
      </c>
      <c r="J78" s="1550" t="s">
        <v>5271</v>
      </c>
      <c r="K78" s="1551">
        <v>1</v>
      </c>
      <c r="L78" s="1552">
        <v>12</v>
      </c>
      <c r="M78" s="1247">
        <f t="shared" si="4"/>
        <v>48000</v>
      </c>
      <c r="N78" s="1551">
        <v>1</v>
      </c>
      <c r="O78" s="1552">
        <v>6</v>
      </c>
      <c r="P78" s="1247">
        <f t="shared" si="5"/>
        <v>24000</v>
      </c>
    </row>
    <row r="79" spans="1:16" ht="24">
      <c r="A79" s="1540" t="s">
        <v>5109</v>
      </c>
      <c r="B79" s="1246" t="s">
        <v>1880</v>
      </c>
      <c r="C79" s="1246" t="s">
        <v>504</v>
      </c>
      <c r="D79" s="1200" t="s">
        <v>5258</v>
      </c>
      <c r="E79" s="1548">
        <v>6000</v>
      </c>
      <c r="F79" s="1246" t="s">
        <v>5270</v>
      </c>
      <c r="G79" s="1200" t="s">
        <v>5269</v>
      </c>
      <c r="H79" s="1200" t="s">
        <v>508</v>
      </c>
      <c r="I79" s="1549" t="s">
        <v>4309</v>
      </c>
      <c r="J79" s="1550" t="s">
        <v>511</v>
      </c>
      <c r="K79" s="1551">
        <v>1</v>
      </c>
      <c r="L79" s="1552">
        <v>12</v>
      </c>
      <c r="M79" s="1247">
        <f t="shared" si="4"/>
        <v>72000</v>
      </c>
      <c r="N79" s="1551">
        <v>1</v>
      </c>
      <c r="O79" s="1552">
        <v>6</v>
      </c>
      <c r="P79" s="1247">
        <f t="shared" si="5"/>
        <v>36000</v>
      </c>
    </row>
    <row r="80" spans="1:16" ht="24">
      <c r="A80" s="1540" t="s">
        <v>5109</v>
      </c>
      <c r="B80" s="1246" t="s">
        <v>1880</v>
      </c>
      <c r="C80" s="1246" t="s">
        <v>504</v>
      </c>
      <c r="D80" s="1200" t="s">
        <v>5268</v>
      </c>
      <c r="E80" s="1548">
        <v>3800</v>
      </c>
      <c r="F80" s="1246" t="s">
        <v>5267</v>
      </c>
      <c r="G80" s="1200" t="s">
        <v>5266</v>
      </c>
      <c r="H80" s="1200" t="s">
        <v>5235</v>
      </c>
      <c r="I80" s="1549" t="s">
        <v>5199</v>
      </c>
      <c r="J80" s="1550" t="s">
        <v>1901</v>
      </c>
      <c r="K80" s="1551">
        <v>1</v>
      </c>
      <c r="L80" s="1552">
        <v>12</v>
      </c>
      <c r="M80" s="1247">
        <f t="shared" si="4"/>
        <v>45600</v>
      </c>
      <c r="N80" s="1551">
        <v>1</v>
      </c>
      <c r="O80" s="1552">
        <v>6</v>
      </c>
      <c r="P80" s="1247">
        <f t="shared" si="5"/>
        <v>22800</v>
      </c>
    </row>
    <row r="81" spans="1:16" ht="24">
      <c r="A81" s="1540" t="s">
        <v>5109</v>
      </c>
      <c r="B81" s="1246" t="s">
        <v>1880</v>
      </c>
      <c r="C81" s="1246" t="s">
        <v>504</v>
      </c>
      <c r="D81" s="1200" t="s">
        <v>4612</v>
      </c>
      <c r="E81" s="1548">
        <v>6000</v>
      </c>
      <c r="F81" s="1246" t="s">
        <v>5265</v>
      </c>
      <c r="G81" s="1200" t="s">
        <v>5264</v>
      </c>
      <c r="H81" s="1200" t="s">
        <v>3578</v>
      </c>
      <c r="I81" s="1549" t="s">
        <v>4309</v>
      </c>
      <c r="J81" s="1550" t="s">
        <v>1779</v>
      </c>
      <c r="K81" s="1551">
        <v>1</v>
      </c>
      <c r="L81" s="1552">
        <v>0</v>
      </c>
      <c r="M81" s="1247">
        <f t="shared" si="4"/>
        <v>0</v>
      </c>
      <c r="N81" s="1551">
        <v>1</v>
      </c>
      <c r="O81" s="1552">
        <v>6</v>
      </c>
      <c r="P81" s="1247">
        <f t="shared" si="5"/>
        <v>36000</v>
      </c>
    </row>
    <row r="82" spans="1:16" ht="24">
      <c r="A82" s="1540" t="s">
        <v>5109</v>
      </c>
      <c r="B82" s="1246" t="s">
        <v>1880</v>
      </c>
      <c r="C82" s="1246" t="s">
        <v>504</v>
      </c>
      <c r="D82" s="1200" t="s">
        <v>5263</v>
      </c>
      <c r="E82" s="1548">
        <v>6000</v>
      </c>
      <c r="F82" s="1246" t="s">
        <v>5262</v>
      </c>
      <c r="G82" s="1200" t="s">
        <v>5261</v>
      </c>
      <c r="H82" s="1200" t="s">
        <v>5260</v>
      </c>
      <c r="I82" s="1549" t="s">
        <v>4309</v>
      </c>
      <c r="J82" s="1550" t="s">
        <v>5259</v>
      </c>
      <c r="K82" s="1551">
        <v>1</v>
      </c>
      <c r="L82" s="1552">
        <v>12</v>
      </c>
      <c r="M82" s="1247">
        <f t="shared" si="4"/>
        <v>72000</v>
      </c>
      <c r="N82" s="1551">
        <v>1</v>
      </c>
      <c r="O82" s="1552">
        <v>6</v>
      </c>
      <c r="P82" s="1247">
        <f t="shared" si="5"/>
        <v>36000</v>
      </c>
    </row>
    <row r="83" spans="1:16" ht="24">
      <c r="A83" s="1540" t="s">
        <v>5109</v>
      </c>
      <c r="B83" s="1246" t="s">
        <v>1880</v>
      </c>
      <c r="C83" s="1246" t="s">
        <v>504</v>
      </c>
      <c r="D83" s="1200" t="s">
        <v>5258</v>
      </c>
      <c r="E83" s="1548">
        <v>6000</v>
      </c>
      <c r="F83" s="1246" t="s">
        <v>5257</v>
      </c>
      <c r="G83" s="1200" t="s">
        <v>5256</v>
      </c>
      <c r="H83" s="1200" t="s">
        <v>5255</v>
      </c>
      <c r="I83" s="1549" t="s">
        <v>4309</v>
      </c>
      <c r="J83" s="1550" t="s">
        <v>511</v>
      </c>
      <c r="K83" s="1551">
        <v>1</v>
      </c>
      <c r="L83" s="1552">
        <v>10</v>
      </c>
      <c r="M83" s="1247">
        <f t="shared" si="4"/>
        <v>60000</v>
      </c>
      <c r="N83" s="1551">
        <v>1</v>
      </c>
      <c r="O83" s="1552">
        <v>6</v>
      </c>
      <c r="P83" s="1247">
        <f t="shared" si="5"/>
        <v>36000</v>
      </c>
    </row>
    <row r="84" spans="1:16" ht="36">
      <c r="A84" s="1540" t="s">
        <v>5109</v>
      </c>
      <c r="B84" s="1246" t="s">
        <v>1880</v>
      </c>
      <c r="C84" s="1246" t="s">
        <v>504</v>
      </c>
      <c r="D84" s="1200" t="s">
        <v>4612</v>
      </c>
      <c r="E84" s="1548">
        <v>6000</v>
      </c>
      <c r="F84" s="1246" t="s">
        <v>5254</v>
      </c>
      <c r="G84" s="1200" t="s">
        <v>5253</v>
      </c>
      <c r="H84" s="1200" t="s">
        <v>5252</v>
      </c>
      <c r="I84" s="1549" t="s">
        <v>4309</v>
      </c>
      <c r="J84" s="1550" t="s">
        <v>5251</v>
      </c>
      <c r="K84" s="1551">
        <v>1</v>
      </c>
      <c r="L84" s="1552">
        <v>12</v>
      </c>
      <c r="M84" s="1247">
        <f t="shared" si="4"/>
        <v>72000</v>
      </c>
      <c r="N84" s="1551">
        <v>1</v>
      </c>
      <c r="O84" s="1552">
        <v>6</v>
      </c>
      <c r="P84" s="1247">
        <f t="shared" si="5"/>
        <v>36000</v>
      </c>
    </row>
    <row r="85" spans="1:16" ht="24">
      <c r="A85" s="1540" t="s">
        <v>5109</v>
      </c>
      <c r="B85" s="1246" t="s">
        <v>1880</v>
      </c>
      <c r="C85" s="1246" t="s">
        <v>504</v>
      </c>
      <c r="D85" s="1200" t="s">
        <v>5250</v>
      </c>
      <c r="E85" s="1548">
        <v>6000</v>
      </c>
      <c r="F85" s="1246" t="s">
        <v>5249</v>
      </c>
      <c r="G85" s="1200" t="s">
        <v>5248</v>
      </c>
      <c r="H85" s="1200" t="s">
        <v>5140</v>
      </c>
      <c r="I85" s="1549" t="s">
        <v>4309</v>
      </c>
      <c r="J85" s="1550" t="s">
        <v>5007</v>
      </c>
      <c r="K85" s="1551">
        <v>1</v>
      </c>
      <c r="L85" s="1552">
        <v>12</v>
      </c>
      <c r="M85" s="1247">
        <f t="shared" si="4"/>
        <v>72000</v>
      </c>
      <c r="N85" s="1551">
        <v>1</v>
      </c>
      <c r="O85" s="1552">
        <v>6</v>
      </c>
      <c r="P85" s="1247">
        <f t="shared" si="5"/>
        <v>36000</v>
      </c>
    </row>
    <row r="86" spans="1:16" ht="24">
      <c r="A86" s="1540" t="s">
        <v>5109</v>
      </c>
      <c r="B86" s="1246" t="s">
        <v>1880</v>
      </c>
      <c r="C86" s="1246" t="s">
        <v>504</v>
      </c>
      <c r="D86" s="1200" t="s">
        <v>5247</v>
      </c>
      <c r="E86" s="1548">
        <v>7000</v>
      </c>
      <c r="F86" s="1246" t="s">
        <v>5246</v>
      </c>
      <c r="G86" s="1200" t="s">
        <v>5245</v>
      </c>
      <c r="H86" s="1200" t="s">
        <v>5190</v>
      </c>
      <c r="I86" s="1549" t="s">
        <v>4309</v>
      </c>
      <c r="J86" s="1550" t="s">
        <v>925</v>
      </c>
      <c r="K86" s="1551">
        <v>1</v>
      </c>
      <c r="L86" s="1552">
        <v>12</v>
      </c>
      <c r="M86" s="1247">
        <f t="shared" si="4"/>
        <v>84000</v>
      </c>
      <c r="N86" s="1551">
        <v>1</v>
      </c>
      <c r="O86" s="1552">
        <v>6</v>
      </c>
      <c r="P86" s="1247">
        <f t="shared" si="5"/>
        <v>42000</v>
      </c>
    </row>
    <row r="87" spans="1:16" ht="24">
      <c r="A87" s="1540" t="s">
        <v>5109</v>
      </c>
      <c r="B87" s="1246" t="s">
        <v>1880</v>
      </c>
      <c r="C87" s="1246" t="s">
        <v>504</v>
      </c>
      <c r="D87" s="1200" t="s">
        <v>5244</v>
      </c>
      <c r="E87" s="1548">
        <v>6500</v>
      </c>
      <c r="F87" s="1246" t="s">
        <v>5243</v>
      </c>
      <c r="G87" s="1200" t="s">
        <v>5242</v>
      </c>
      <c r="H87" s="1200" t="s">
        <v>5140</v>
      </c>
      <c r="I87" s="1549" t="s">
        <v>4309</v>
      </c>
      <c r="J87" s="1550" t="s">
        <v>5007</v>
      </c>
      <c r="K87" s="1551">
        <v>1</v>
      </c>
      <c r="L87" s="1552">
        <v>12</v>
      </c>
      <c r="M87" s="1247">
        <f t="shared" si="4"/>
        <v>78000</v>
      </c>
      <c r="N87" s="1551">
        <v>1</v>
      </c>
      <c r="O87" s="1552">
        <v>6</v>
      </c>
      <c r="P87" s="1247">
        <f t="shared" si="5"/>
        <v>39000</v>
      </c>
    </row>
    <row r="88" spans="1:16" ht="36">
      <c r="A88" s="1540" t="s">
        <v>5109</v>
      </c>
      <c r="B88" s="1246" t="s">
        <v>1880</v>
      </c>
      <c r="C88" s="1246" t="s">
        <v>504</v>
      </c>
      <c r="D88" s="1200" t="s">
        <v>5120</v>
      </c>
      <c r="E88" s="1548">
        <v>4500</v>
      </c>
      <c r="F88" s="1246" t="s">
        <v>5241</v>
      </c>
      <c r="G88" s="1200" t="s">
        <v>5240</v>
      </c>
      <c r="H88" s="1200" t="s">
        <v>5239</v>
      </c>
      <c r="I88" s="1549" t="s">
        <v>5116</v>
      </c>
      <c r="J88" s="1550" t="s">
        <v>4998</v>
      </c>
      <c r="K88" s="1551">
        <v>1</v>
      </c>
      <c r="L88" s="1552">
        <v>12</v>
      </c>
      <c r="M88" s="1247">
        <f t="shared" si="4"/>
        <v>54000</v>
      </c>
      <c r="N88" s="1551">
        <v>1</v>
      </c>
      <c r="O88" s="1552">
        <v>6</v>
      </c>
      <c r="P88" s="1247">
        <f t="shared" si="5"/>
        <v>27000</v>
      </c>
    </row>
    <row r="89" spans="1:16" ht="24">
      <c r="A89" s="1540" t="s">
        <v>5109</v>
      </c>
      <c r="B89" s="1246" t="s">
        <v>1880</v>
      </c>
      <c r="C89" s="1246" t="s">
        <v>504</v>
      </c>
      <c r="D89" s="1200" t="s">
        <v>5238</v>
      </c>
      <c r="E89" s="1548">
        <v>4500</v>
      </c>
      <c r="F89" s="1246" t="s">
        <v>5237</v>
      </c>
      <c r="G89" s="1200" t="s">
        <v>5236</v>
      </c>
      <c r="H89" s="1200" t="s">
        <v>5235</v>
      </c>
      <c r="I89" s="1549" t="s">
        <v>5199</v>
      </c>
      <c r="J89" s="1550" t="s">
        <v>1901</v>
      </c>
      <c r="K89" s="1551">
        <v>1</v>
      </c>
      <c r="L89" s="1552">
        <v>12</v>
      </c>
      <c r="M89" s="1247">
        <f t="shared" si="4"/>
        <v>54000</v>
      </c>
      <c r="N89" s="1551">
        <v>1</v>
      </c>
      <c r="O89" s="1552">
        <v>6</v>
      </c>
      <c r="P89" s="1247">
        <f t="shared" si="5"/>
        <v>27000</v>
      </c>
    </row>
    <row r="90" spans="1:16" ht="24">
      <c r="A90" s="1540" t="s">
        <v>5109</v>
      </c>
      <c r="B90" s="1246" t="s">
        <v>1880</v>
      </c>
      <c r="C90" s="1246" t="s">
        <v>504</v>
      </c>
      <c r="D90" s="1200" t="s">
        <v>3231</v>
      </c>
      <c r="E90" s="1548">
        <v>3500</v>
      </c>
      <c r="F90" s="1246" t="s">
        <v>5201</v>
      </c>
      <c r="G90" s="1200" t="s">
        <v>5200</v>
      </c>
      <c r="H90" s="1200" t="s">
        <v>1719</v>
      </c>
      <c r="I90" s="1549" t="s">
        <v>5199</v>
      </c>
      <c r="J90" s="1550" t="s">
        <v>1667</v>
      </c>
      <c r="K90" s="1551">
        <v>1</v>
      </c>
      <c r="L90" s="1552">
        <v>5</v>
      </c>
      <c r="M90" s="1247">
        <f t="shared" si="4"/>
        <v>17500</v>
      </c>
      <c r="N90" s="1551">
        <v>1</v>
      </c>
      <c r="O90" s="1552">
        <v>6</v>
      </c>
      <c r="P90" s="1247">
        <f t="shared" si="5"/>
        <v>21000</v>
      </c>
    </row>
    <row r="91" spans="1:16" ht="24">
      <c r="A91" s="1540" t="s">
        <v>5109</v>
      </c>
      <c r="B91" s="1246" t="s">
        <v>1880</v>
      </c>
      <c r="C91" s="1246" t="s">
        <v>504</v>
      </c>
      <c r="D91" s="1200" t="s">
        <v>5234</v>
      </c>
      <c r="E91" s="1548">
        <v>6000</v>
      </c>
      <c r="F91" s="1246" t="s">
        <v>5233</v>
      </c>
      <c r="G91" s="1200" t="s">
        <v>5232</v>
      </c>
      <c r="H91" s="1200" t="s">
        <v>5183</v>
      </c>
      <c r="I91" s="1549" t="s">
        <v>4309</v>
      </c>
      <c r="J91" s="1550" t="s">
        <v>1842</v>
      </c>
      <c r="K91" s="1551">
        <v>1</v>
      </c>
      <c r="L91" s="1552">
        <v>12</v>
      </c>
      <c r="M91" s="1247">
        <f t="shared" si="4"/>
        <v>72000</v>
      </c>
      <c r="N91" s="1551">
        <v>1</v>
      </c>
      <c r="O91" s="1552">
        <v>6</v>
      </c>
      <c r="P91" s="1247">
        <f t="shared" si="5"/>
        <v>36000</v>
      </c>
    </row>
    <row r="92" spans="1:16" ht="36">
      <c r="A92" s="1540" t="s">
        <v>5109</v>
      </c>
      <c r="B92" s="1246" t="s">
        <v>1880</v>
      </c>
      <c r="C92" s="1246" t="s">
        <v>504</v>
      </c>
      <c r="D92" s="1200" t="s">
        <v>5231</v>
      </c>
      <c r="E92" s="1548">
        <v>8000</v>
      </c>
      <c r="F92" s="1246" t="s">
        <v>5230</v>
      </c>
      <c r="G92" s="1200" t="s">
        <v>5229</v>
      </c>
      <c r="H92" s="1200" t="s">
        <v>5140</v>
      </c>
      <c r="I92" s="1549" t="s">
        <v>4309</v>
      </c>
      <c r="J92" s="1550" t="s">
        <v>5007</v>
      </c>
      <c r="K92" s="1551">
        <v>1</v>
      </c>
      <c r="L92" s="1552">
        <v>12</v>
      </c>
      <c r="M92" s="1247">
        <f t="shared" si="4"/>
        <v>96000</v>
      </c>
      <c r="N92" s="1551">
        <v>1</v>
      </c>
      <c r="O92" s="1552">
        <v>6</v>
      </c>
      <c r="P92" s="1247">
        <f t="shared" si="5"/>
        <v>48000</v>
      </c>
    </row>
    <row r="93" spans="1:16" ht="60">
      <c r="A93" s="1540" t="s">
        <v>5109</v>
      </c>
      <c r="B93" s="1246" t="s">
        <v>1880</v>
      </c>
      <c r="C93" s="1246" t="s">
        <v>504</v>
      </c>
      <c r="D93" s="1200" t="s">
        <v>5136</v>
      </c>
      <c r="E93" s="1548">
        <v>4500</v>
      </c>
      <c r="F93" s="1246" t="s">
        <v>5228</v>
      </c>
      <c r="G93" s="1200" t="s">
        <v>5227</v>
      </c>
      <c r="H93" s="1200" t="s">
        <v>5226</v>
      </c>
      <c r="I93" s="1549" t="s">
        <v>762</v>
      </c>
      <c r="J93" s="1550" t="s">
        <v>5225</v>
      </c>
      <c r="K93" s="1551">
        <v>1</v>
      </c>
      <c r="L93" s="1552">
        <v>12</v>
      </c>
      <c r="M93" s="1247">
        <f t="shared" si="4"/>
        <v>54000</v>
      </c>
      <c r="N93" s="1551">
        <v>1</v>
      </c>
      <c r="O93" s="1552">
        <v>6</v>
      </c>
      <c r="P93" s="1247">
        <f t="shared" si="5"/>
        <v>27000</v>
      </c>
    </row>
    <row r="94" spans="1:16" ht="48">
      <c r="A94" s="1540" t="s">
        <v>5109</v>
      </c>
      <c r="B94" s="1246" t="s">
        <v>1880</v>
      </c>
      <c r="C94" s="1246" t="s">
        <v>504</v>
      </c>
      <c r="D94" s="1200" t="s">
        <v>5224</v>
      </c>
      <c r="E94" s="1548">
        <v>10000</v>
      </c>
      <c r="F94" s="1246" t="s">
        <v>5223</v>
      </c>
      <c r="G94" s="1200" t="s">
        <v>5222</v>
      </c>
      <c r="H94" s="1200" t="s">
        <v>5221</v>
      </c>
      <c r="I94" s="1549" t="s">
        <v>4309</v>
      </c>
      <c r="J94" s="1550" t="s">
        <v>5220</v>
      </c>
      <c r="K94" s="1551">
        <v>1</v>
      </c>
      <c r="L94" s="1552">
        <v>12</v>
      </c>
      <c r="M94" s="1247">
        <f t="shared" si="4"/>
        <v>120000</v>
      </c>
      <c r="N94" s="1551">
        <v>1</v>
      </c>
      <c r="O94" s="1552">
        <v>6</v>
      </c>
      <c r="P94" s="1247">
        <f t="shared" si="5"/>
        <v>60000</v>
      </c>
    </row>
    <row r="95" spans="1:16" ht="24">
      <c r="A95" s="1540" t="s">
        <v>5109</v>
      </c>
      <c r="B95" s="1246" t="s">
        <v>1880</v>
      </c>
      <c r="C95" s="1246" t="s">
        <v>504</v>
      </c>
      <c r="D95" s="1200" t="s">
        <v>5215</v>
      </c>
      <c r="E95" s="1548">
        <v>3000</v>
      </c>
      <c r="F95" s="1246" t="s">
        <v>5219</v>
      </c>
      <c r="G95" s="1200" t="s">
        <v>5218</v>
      </c>
      <c r="H95" s="1200" t="s">
        <v>5217</v>
      </c>
      <c r="I95" s="1549" t="s">
        <v>1664</v>
      </c>
      <c r="J95" s="1550" t="s">
        <v>5216</v>
      </c>
      <c r="K95" s="1551">
        <v>1</v>
      </c>
      <c r="L95" s="1552">
        <v>7</v>
      </c>
      <c r="M95" s="1247">
        <f t="shared" si="4"/>
        <v>21000</v>
      </c>
      <c r="N95" s="1551"/>
      <c r="O95" s="1552">
        <v>0</v>
      </c>
      <c r="P95" s="1247">
        <f t="shared" si="5"/>
        <v>0</v>
      </c>
    </row>
    <row r="96" spans="1:16" ht="24">
      <c r="A96" s="1540" t="s">
        <v>5109</v>
      </c>
      <c r="B96" s="1246" t="s">
        <v>1880</v>
      </c>
      <c r="C96" s="1246" t="s">
        <v>504</v>
      </c>
      <c r="D96" s="1200" t="s">
        <v>5215</v>
      </c>
      <c r="E96" s="1548">
        <v>3000</v>
      </c>
      <c r="F96" s="1246" t="s">
        <v>5214</v>
      </c>
      <c r="G96" s="1200" t="s">
        <v>5213</v>
      </c>
      <c r="H96" s="1200" t="s">
        <v>5212</v>
      </c>
      <c r="I96" s="1549" t="s">
        <v>1664</v>
      </c>
      <c r="J96" s="1550" t="s">
        <v>1827</v>
      </c>
      <c r="K96" s="1551">
        <v>1</v>
      </c>
      <c r="L96" s="1552">
        <v>7</v>
      </c>
      <c r="M96" s="1247">
        <f t="shared" si="4"/>
        <v>21000</v>
      </c>
      <c r="N96" s="1551"/>
      <c r="O96" s="1552">
        <v>0</v>
      </c>
      <c r="P96" s="1247">
        <f t="shared" si="5"/>
        <v>0</v>
      </c>
    </row>
    <row r="97" spans="1:16" ht="24">
      <c r="A97" s="1540" t="s">
        <v>5109</v>
      </c>
      <c r="B97" s="1246" t="s">
        <v>1880</v>
      </c>
      <c r="C97" s="1246" t="s">
        <v>504</v>
      </c>
      <c r="D97" s="1200" t="s">
        <v>3231</v>
      </c>
      <c r="E97" s="1548">
        <v>3000</v>
      </c>
      <c r="F97" s="1246" t="s">
        <v>5211</v>
      </c>
      <c r="G97" s="1200" t="s">
        <v>5210</v>
      </c>
      <c r="H97" s="1200" t="s">
        <v>5209</v>
      </c>
      <c r="I97" s="1549" t="s">
        <v>5116</v>
      </c>
      <c r="J97" s="1550" t="s">
        <v>5208</v>
      </c>
      <c r="K97" s="1551">
        <v>1</v>
      </c>
      <c r="L97" s="1552">
        <v>7</v>
      </c>
      <c r="M97" s="1247">
        <f t="shared" si="4"/>
        <v>21000</v>
      </c>
      <c r="N97" s="1551"/>
      <c r="O97" s="1552">
        <v>0</v>
      </c>
      <c r="P97" s="1247">
        <f t="shared" si="5"/>
        <v>0</v>
      </c>
    </row>
    <row r="98" spans="1:16" ht="24">
      <c r="A98" s="1540" t="s">
        <v>5109</v>
      </c>
      <c r="B98" s="1246" t="s">
        <v>1880</v>
      </c>
      <c r="C98" s="1246" t="s">
        <v>504</v>
      </c>
      <c r="D98" s="1200" t="s">
        <v>5139</v>
      </c>
      <c r="E98" s="1548">
        <v>6000</v>
      </c>
      <c r="F98" s="1246" t="s">
        <v>5207</v>
      </c>
      <c r="G98" s="1200" t="s">
        <v>5206</v>
      </c>
      <c r="H98" s="1200" t="s">
        <v>5111</v>
      </c>
      <c r="I98" s="1549" t="s">
        <v>507</v>
      </c>
      <c r="J98" s="1550" t="s">
        <v>5205</v>
      </c>
      <c r="K98" s="1551">
        <v>1</v>
      </c>
      <c r="L98" s="1552">
        <v>7</v>
      </c>
      <c r="M98" s="1247">
        <f t="shared" si="4"/>
        <v>42000</v>
      </c>
      <c r="N98" s="1551"/>
      <c r="O98" s="1552">
        <v>0</v>
      </c>
      <c r="P98" s="1247">
        <f t="shared" si="5"/>
        <v>0</v>
      </c>
    </row>
    <row r="99" spans="1:16" ht="24">
      <c r="A99" s="1540" t="s">
        <v>5109</v>
      </c>
      <c r="B99" s="1246" t="s">
        <v>1880</v>
      </c>
      <c r="C99" s="1246" t="s">
        <v>504</v>
      </c>
      <c r="D99" s="1200" t="s">
        <v>5204</v>
      </c>
      <c r="E99" s="1548">
        <v>2600</v>
      </c>
      <c r="F99" s="1246" t="s">
        <v>5203</v>
      </c>
      <c r="G99" s="1200" t="s">
        <v>5202</v>
      </c>
      <c r="H99" s="1200"/>
      <c r="I99" s="1549"/>
      <c r="J99" s="1550" t="s">
        <v>5180</v>
      </c>
      <c r="K99" s="1551">
        <v>1</v>
      </c>
      <c r="L99" s="1552">
        <v>7</v>
      </c>
      <c r="M99" s="1247">
        <f t="shared" si="4"/>
        <v>18200</v>
      </c>
      <c r="N99" s="1551"/>
      <c r="O99" s="1552">
        <v>0</v>
      </c>
      <c r="P99" s="1247">
        <f t="shared" si="5"/>
        <v>0</v>
      </c>
    </row>
    <row r="100" spans="1:16" ht="24">
      <c r="A100" s="1540" t="s">
        <v>5109</v>
      </c>
      <c r="B100" s="1246" t="s">
        <v>1880</v>
      </c>
      <c r="C100" s="1246" t="s">
        <v>504</v>
      </c>
      <c r="D100" s="1200" t="s">
        <v>4619</v>
      </c>
      <c r="E100" s="1548">
        <v>3000</v>
      </c>
      <c r="F100" s="1246" t="s">
        <v>5201</v>
      </c>
      <c r="G100" s="1200" t="s">
        <v>5200</v>
      </c>
      <c r="H100" s="1200" t="s">
        <v>1719</v>
      </c>
      <c r="I100" s="1549" t="s">
        <v>5199</v>
      </c>
      <c r="J100" s="1550" t="s">
        <v>1667</v>
      </c>
      <c r="K100" s="1551">
        <v>1</v>
      </c>
      <c r="L100" s="1552">
        <v>7</v>
      </c>
      <c r="M100" s="1247">
        <f t="shared" si="4"/>
        <v>21000</v>
      </c>
      <c r="N100" s="1551"/>
      <c r="O100" s="1552">
        <v>0</v>
      </c>
      <c r="P100" s="1247">
        <f t="shared" si="5"/>
        <v>0</v>
      </c>
    </row>
    <row r="101" spans="1:16" ht="24">
      <c r="A101" s="1540" t="s">
        <v>5109</v>
      </c>
      <c r="B101" s="1246" t="s">
        <v>1880</v>
      </c>
      <c r="C101" s="1246" t="s">
        <v>504</v>
      </c>
      <c r="D101" s="1200" t="s">
        <v>5136</v>
      </c>
      <c r="E101" s="1548">
        <v>4500</v>
      </c>
      <c r="F101" s="1246" t="s">
        <v>5198</v>
      </c>
      <c r="G101" s="1200" t="s">
        <v>5197</v>
      </c>
      <c r="H101" s="1200" t="s">
        <v>3578</v>
      </c>
      <c r="I101" s="1549" t="s">
        <v>5116</v>
      </c>
      <c r="J101" s="1550" t="s">
        <v>5196</v>
      </c>
      <c r="K101" s="1551">
        <v>1</v>
      </c>
      <c r="L101" s="1552">
        <v>1</v>
      </c>
      <c r="M101" s="1247">
        <f t="shared" si="4"/>
        <v>4500</v>
      </c>
      <c r="N101" s="1551"/>
      <c r="O101" s="1552">
        <v>0</v>
      </c>
      <c r="P101" s="1247">
        <f t="shared" si="5"/>
        <v>0</v>
      </c>
    </row>
    <row r="102" spans="1:16" ht="24">
      <c r="A102" s="1540" t="s">
        <v>5109</v>
      </c>
      <c r="B102" s="1246" t="s">
        <v>1880</v>
      </c>
      <c r="C102" s="1246" t="s">
        <v>504</v>
      </c>
      <c r="D102" s="1200" t="s">
        <v>5195</v>
      </c>
      <c r="E102" s="1548">
        <v>8000</v>
      </c>
      <c r="F102" s="1246" t="s">
        <v>5194</v>
      </c>
      <c r="G102" s="1200" t="s">
        <v>5193</v>
      </c>
      <c r="H102" s="1200" t="s">
        <v>530</v>
      </c>
      <c r="I102" s="1549" t="s">
        <v>4309</v>
      </c>
      <c r="J102" s="1550" t="s">
        <v>5169</v>
      </c>
      <c r="K102" s="1551">
        <v>1</v>
      </c>
      <c r="L102" s="1552">
        <v>7</v>
      </c>
      <c r="M102" s="1247">
        <f t="shared" ref="M102:M128" si="6">E102*L102</f>
        <v>56000</v>
      </c>
      <c r="N102" s="1551"/>
      <c r="O102" s="1552">
        <v>0</v>
      </c>
      <c r="P102" s="1247">
        <f t="shared" ref="P102:P128" si="7">E102*O102</f>
        <v>0</v>
      </c>
    </row>
    <row r="103" spans="1:16" ht="24">
      <c r="A103" s="1540" t="s">
        <v>5109</v>
      </c>
      <c r="B103" s="1246" t="s">
        <v>1880</v>
      </c>
      <c r="C103" s="1246" t="s">
        <v>504</v>
      </c>
      <c r="D103" s="1200" t="s">
        <v>5136</v>
      </c>
      <c r="E103" s="1548">
        <v>4500</v>
      </c>
      <c r="F103" s="1246" t="s">
        <v>5192</v>
      </c>
      <c r="G103" s="1200" t="s">
        <v>5191</v>
      </c>
      <c r="H103" s="1200" t="s">
        <v>5190</v>
      </c>
      <c r="I103" s="1549" t="s">
        <v>762</v>
      </c>
      <c r="J103" s="1550" t="s">
        <v>925</v>
      </c>
      <c r="K103" s="1551">
        <v>1</v>
      </c>
      <c r="L103" s="1552">
        <v>2</v>
      </c>
      <c r="M103" s="1247">
        <f t="shared" si="6"/>
        <v>9000</v>
      </c>
      <c r="N103" s="1551"/>
      <c r="O103" s="1552">
        <v>0</v>
      </c>
      <c r="P103" s="1247">
        <f t="shared" si="7"/>
        <v>0</v>
      </c>
    </row>
    <row r="104" spans="1:16" ht="24">
      <c r="A104" s="1540" t="s">
        <v>5109</v>
      </c>
      <c r="B104" s="1246" t="s">
        <v>1880</v>
      </c>
      <c r="C104" s="1246" t="s">
        <v>504</v>
      </c>
      <c r="D104" s="1200" t="s">
        <v>5189</v>
      </c>
      <c r="E104" s="1548">
        <v>4500</v>
      </c>
      <c r="F104" s="1246" t="s">
        <v>5188</v>
      </c>
      <c r="G104" s="1200" t="s">
        <v>5187</v>
      </c>
      <c r="H104" s="1200" t="s">
        <v>845</v>
      </c>
      <c r="I104" s="1549" t="s">
        <v>507</v>
      </c>
      <c r="J104" s="1550" t="s">
        <v>994</v>
      </c>
      <c r="K104" s="1551">
        <v>1</v>
      </c>
      <c r="L104" s="1552">
        <v>4</v>
      </c>
      <c r="M104" s="1247">
        <f t="shared" si="6"/>
        <v>18000</v>
      </c>
      <c r="N104" s="1551"/>
      <c r="O104" s="1552">
        <v>0</v>
      </c>
      <c r="P104" s="1247">
        <f t="shared" si="7"/>
        <v>0</v>
      </c>
    </row>
    <row r="105" spans="1:16" ht="36">
      <c r="A105" s="1540" t="s">
        <v>5109</v>
      </c>
      <c r="B105" s="1246" t="s">
        <v>1880</v>
      </c>
      <c r="C105" s="1246" t="s">
        <v>504</v>
      </c>
      <c r="D105" s="1200" t="s">
        <v>5186</v>
      </c>
      <c r="E105" s="1548">
        <v>6500</v>
      </c>
      <c r="F105" s="1246" t="s">
        <v>5185</v>
      </c>
      <c r="G105" s="1200" t="s">
        <v>5184</v>
      </c>
      <c r="H105" s="1200" t="s">
        <v>5183</v>
      </c>
      <c r="I105" s="1549" t="s">
        <v>4309</v>
      </c>
      <c r="J105" s="1550" t="s">
        <v>5023</v>
      </c>
      <c r="K105" s="1551">
        <v>1</v>
      </c>
      <c r="L105" s="1552">
        <v>12</v>
      </c>
      <c r="M105" s="1247">
        <f t="shared" si="6"/>
        <v>78000</v>
      </c>
      <c r="N105" s="1551"/>
      <c r="O105" s="1552">
        <v>0</v>
      </c>
      <c r="P105" s="1247">
        <f t="shared" si="7"/>
        <v>0</v>
      </c>
    </row>
    <row r="106" spans="1:16" ht="24">
      <c r="A106" s="1540" t="s">
        <v>5109</v>
      </c>
      <c r="B106" s="1246" t="s">
        <v>1880</v>
      </c>
      <c r="C106" s="1246" t="s">
        <v>504</v>
      </c>
      <c r="D106" s="1200" t="s">
        <v>5136</v>
      </c>
      <c r="E106" s="1548">
        <v>4500</v>
      </c>
      <c r="F106" s="1246" t="s">
        <v>5182</v>
      </c>
      <c r="G106" s="1200" t="s">
        <v>5181</v>
      </c>
      <c r="H106" s="1200"/>
      <c r="I106" s="1549" t="s">
        <v>547</v>
      </c>
      <c r="J106" s="1550" t="s">
        <v>5180</v>
      </c>
      <c r="K106" s="1551">
        <v>1</v>
      </c>
      <c r="L106" s="1552">
        <v>4</v>
      </c>
      <c r="M106" s="1247">
        <f t="shared" si="6"/>
        <v>18000</v>
      </c>
      <c r="N106" s="1551"/>
      <c r="O106" s="1552">
        <v>0</v>
      </c>
      <c r="P106" s="1247">
        <f t="shared" si="7"/>
        <v>0</v>
      </c>
    </row>
    <row r="107" spans="1:16" ht="24">
      <c r="A107" s="1540" t="s">
        <v>5109</v>
      </c>
      <c r="B107" s="1246" t="s">
        <v>1880</v>
      </c>
      <c r="C107" s="1246" t="s">
        <v>504</v>
      </c>
      <c r="D107" s="1200" t="s">
        <v>5136</v>
      </c>
      <c r="E107" s="1548">
        <v>4500</v>
      </c>
      <c r="F107" s="1246" t="s">
        <v>5179</v>
      </c>
      <c r="G107" s="1200" t="s">
        <v>5178</v>
      </c>
      <c r="H107" s="1200" t="s">
        <v>1719</v>
      </c>
      <c r="I107" s="1549" t="s">
        <v>507</v>
      </c>
      <c r="J107" s="1550" t="s">
        <v>4323</v>
      </c>
      <c r="K107" s="1551">
        <v>1</v>
      </c>
      <c r="L107" s="1552">
        <v>10</v>
      </c>
      <c r="M107" s="1247">
        <f t="shared" si="6"/>
        <v>45000</v>
      </c>
      <c r="N107" s="1551"/>
      <c r="O107" s="1552">
        <v>0</v>
      </c>
      <c r="P107" s="1247">
        <f t="shared" si="7"/>
        <v>0</v>
      </c>
    </row>
    <row r="108" spans="1:16" ht="24">
      <c r="A108" s="1540" t="s">
        <v>5109</v>
      </c>
      <c r="B108" s="1246" t="s">
        <v>1880</v>
      </c>
      <c r="C108" s="1246" t="s">
        <v>504</v>
      </c>
      <c r="D108" s="1200" t="s">
        <v>5177</v>
      </c>
      <c r="E108" s="1548">
        <v>3000</v>
      </c>
      <c r="F108" s="1246" t="s">
        <v>5176</v>
      </c>
      <c r="G108" s="1200" t="s">
        <v>5175</v>
      </c>
      <c r="H108" s="1200" t="s">
        <v>5174</v>
      </c>
      <c r="I108" s="1549" t="s">
        <v>4309</v>
      </c>
      <c r="J108" s="1550" t="s">
        <v>5173</v>
      </c>
      <c r="K108" s="1551">
        <v>1</v>
      </c>
      <c r="L108" s="1552">
        <v>5</v>
      </c>
      <c r="M108" s="1247">
        <f t="shared" si="6"/>
        <v>15000</v>
      </c>
      <c r="N108" s="1551"/>
      <c r="O108" s="1552">
        <v>0</v>
      </c>
      <c r="P108" s="1247">
        <f t="shared" si="7"/>
        <v>0</v>
      </c>
    </row>
    <row r="109" spans="1:16" ht="24">
      <c r="A109" s="1540" t="s">
        <v>5109</v>
      </c>
      <c r="B109" s="1246" t="s">
        <v>1880</v>
      </c>
      <c r="C109" s="1246" t="s">
        <v>504</v>
      </c>
      <c r="D109" s="1200" t="s">
        <v>5172</v>
      </c>
      <c r="E109" s="1548">
        <v>6000</v>
      </c>
      <c r="F109" s="1246" t="s">
        <v>5171</v>
      </c>
      <c r="G109" s="1200" t="s">
        <v>5170</v>
      </c>
      <c r="H109" s="1200" t="s">
        <v>530</v>
      </c>
      <c r="I109" s="1549" t="s">
        <v>4309</v>
      </c>
      <c r="J109" s="1550" t="s">
        <v>5169</v>
      </c>
      <c r="K109" s="1551">
        <v>1</v>
      </c>
      <c r="L109" s="1552">
        <v>2</v>
      </c>
      <c r="M109" s="1247">
        <f t="shared" si="6"/>
        <v>12000</v>
      </c>
      <c r="N109" s="1551"/>
      <c r="O109" s="1552">
        <v>0</v>
      </c>
      <c r="P109" s="1247">
        <f t="shared" si="7"/>
        <v>0</v>
      </c>
    </row>
    <row r="110" spans="1:16" ht="24">
      <c r="A110" s="1540" t="s">
        <v>5109</v>
      </c>
      <c r="B110" s="1246" t="s">
        <v>1880</v>
      </c>
      <c r="C110" s="1246" t="s">
        <v>504</v>
      </c>
      <c r="D110" s="1200" t="s">
        <v>3064</v>
      </c>
      <c r="E110" s="1548">
        <v>6000</v>
      </c>
      <c r="F110" s="1246" t="s">
        <v>5168</v>
      </c>
      <c r="G110" s="1200" t="s">
        <v>5167</v>
      </c>
      <c r="H110" s="1200" t="s">
        <v>845</v>
      </c>
      <c r="I110" s="1549" t="s">
        <v>4309</v>
      </c>
      <c r="J110" s="1550" t="s">
        <v>5166</v>
      </c>
      <c r="K110" s="1551">
        <v>1</v>
      </c>
      <c r="L110" s="1552">
        <v>5</v>
      </c>
      <c r="M110" s="1247">
        <f t="shared" si="6"/>
        <v>30000</v>
      </c>
      <c r="N110" s="1551"/>
      <c r="O110" s="1552">
        <v>0</v>
      </c>
      <c r="P110" s="1247">
        <f t="shared" si="7"/>
        <v>0</v>
      </c>
    </row>
    <row r="111" spans="1:16" ht="24">
      <c r="A111" s="1540" t="s">
        <v>5109</v>
      </c>
      <c r="B111" s="1246" t="s">
        <v>1880</v>
      </c>
      <c r="C111" s="1246" t="s">
        <v>504</v>
      </c>
      <c r="D111" s="1200" t="s">
        <v>2919</v>
      </c>
      <c r="E111" s="1548">
        <v>6000</v>
      </c>
      <c r="F111" s="1246" t="s">
        <v>5165</v>
      </c>
      <c r="G111" s="1200" t="s">
        <v>5164</v>
      </c>
      <c r="H111" s="1200" t="s">
        <v>3578</v>
      </c>
      <c r="I111" s="1549" t="s">
        <v>4309</v>
      </c>
      <c r="J111" s="1550" t="s">
        <v>928</v>
      </c>
      <c r="K111" s="1551">
        <v>1</v>
      </c>
      <c r="L111" s="1552">
        <v>7</v>
      </c>
      <c r="M111" s="1247">
        <f t="shared" si="6"/>
        <v>42000</v>
      </c>
      <c r="N111" s="1551"/>
      <c r="O111" s="1552">
        <v>0</v>
      </c>
      <c r="P111" s="1247">
        <f t="shared" si="7"/>
        <v>0</v>
      </c>
    </row>
    <row r="112" spans="1:16" ht="24">
      <c r="A112" s="1540" t="s">
        <v>5109</v>
      </c>
      <c r="B112" s="1246" t="s">
        <v>1880</v>
      </c>
      <c r="C112" s="1246" t="s">
        <v>504</v>
      </c>
      <c r="D112" s="1200" t="s">
        <v>5163</v>
      </c>
      <c r="E112" s="1548">
        <v>4500</v>
      </c>
      <c r="F112" s="1246" t="s">
        <v>5162</v>
      </c>
      <c r="G112" s="1200" t="s">
        <v>5161</v>
      </c>
      <c r="H112" s="1200" t="s">
        <v>5160</v>
      </c>
      <c r="I112" s="1549" t="s">
        <v>4309</v>
      </c>
      <c r="J112" s="1550" t="s">
        <v>5159</v>
      </c>
      <c r="K112" s="1551">
        <v>1</v>
      </c>
      <c r="L112" s="1552">
        <v>9</v>
      </c>
      <c r="M112" s="1247">
        <f t="shared" si="6"/>
        <v>40500</v>
      </c>
      <c r="N112" s="1551"/>
      <c r="O112" s="1552">
        <v>0</v>
      </c>
      <c r="P112" s="1247">
        <f t="shared" si="7"/>
        <v>0</v>
      </c>
    </row>
    <row r="113" spans="1:16" ht="24">
      <c r="A113" s="1540" t="s">
        <v>5109</v>
      </c>
      <c r="B113" s="1246" t="s">
        <v>1880</v>
      </c>
      <c r="C113" s="1246" t="s">
        <v>504</v>
      </c>
      <c r="D113" s="1200" t="s">
        <v>5120</v>
      </c>
      <c r="E113" s="1548">
        <v>4500</v>
      </c>
      <c r="F113" s="1246" t="s">
        <v>5158</v>
      </c>
      <c r="G113" s="1200" t="s">
        <v>5157</v>
      </c>
      <c r="H113" s="1200" t="s">
        <v>5140</v>
      </c>
      <c r="I113" s="1549" t="s">
        <v>4309</v>
      </c>
      <c r="J113" s="1550" t="s">
        <v>5007</v>
      </c>
      <c r="K113" s="1551">
        <v>1</v>
      </c>
      <c r="L113" s="1552">
        <v>11</v>
      </c>
      <c r="M113" s="1247">
        <f t="shared" si="6"/>
        <v>49500</v>
      </c>
      <c r="N113" s="1551"/>
      <c r="O113" s="1552">
        <v>0</v>
      </c>
      <c r="P113" s="1247">
        <f t="shared" si="7"/>
        <v>0</v>
      </c>
    </row>
    <row r="114" spans="1:16" ht="24">
      <c r="A114" s="1540" t="s">
        <v>5109</v>
      </c>
      <c r="B114" s="1246" t="s">
        <v>1880</v>
      </c>
      <c r="C114" s="1246" t="s">
        <v>504</v>
      </c>
      <c r="D114" s="1200" t="s">
        <v>5136</v>
      </c>
      <c r="E114" s="1548">
        <v>4500</v>
      </c>
      <c r="F114" s="1246" t="s">
        <v>5156</v>
      </c>
      <c r="G114" s="1200" t="s">
        <v>5155</v>
      </c>
      <c r="H114" s="1200" t="s">
        <v>1719</v>
      </c>
      <c r="I114" s="1549" t="s">
        <v>4309</v>
      </c>
      <c r="J114" s="1550" t="s">
        <v>1625</v>
      </c>
      <c r="K114" s="1551">
        <v>1</v>
      </c>
      <c r="L114" s="1552">
        <v>3</v>
      </c>
      <c r="M114" s="1247">
        <f t="shared" si="6"/>
        <v>13500</v>
      </c>
      <c r="N114" s="1551"/>
      <c r="O114" s="1552">
        <v>0</v>
      </c>
      <c r="P114" s="1247">
        <f t="shared" si="7"/>
        <v>0</v>
      </c>
    </row>
    <row r="115" spans="1:16" ht="24">
      <c r="A115" s="1540" t="s">
        <v>5109</v>
      </c>
      <c r="B115" s="1246" t="s">
        <v>1880</v>
      </c>
      <c r="C115" s="1246" t="s">
        <v>504</v>
      </c>
      <c r="D115" s="1200" t="s">
        <v>4615</v>
      </c>
      <c r="E115" s="1548">
        <v>7000</v>
      </c>
      <c r="F115" s="1246" t="s">
        <v>5156</v>
      </c>
      <c r="G115" s="1200" t="s">
        <v>5155</v>
      </c>
      <c r="H115" s="1200" t="s">
        <v>1719</v>
      </c>
      <c r="I115" s="1549" t="s">
        <v>4309</v>
      </c>
      <c r="J115" s="1550" t="s">
        <v>1625</v>
      </c>
      <c r="K115" s="1551">
        <v>1</v>
      </c>
      <c r="L115" s="1552">
        <v>5</v>
      </c>
      <c r="M115" s="1247">
        <f t="shared" si="6"/>
        <v>35000</v>
      </c>
      <c r="N115" s="1551"/>
      <c r="O115" s="1552">
        <v>0</v>
      </c>
      <c r="P115" s="1247">
        <f t="shared" si="7"/>
        <v>0</v>
      </c>
    </row>
    <row r="116" spans="1:16" ht="24">
      <c r="A116" s="1540" t="s">
        <v>5109</v>
      </c>
      <c r="B116" s="1246" t="s">
        <v>1880</v>
      </c>
      <c r="C116" s="1246" t="s">
        <v>504</v>
      </c>
      <c r="D116" s="1200" t="s">
        <v>5154</v>
      </c>
      <c r="E116" s="1548">
        <v>8000</v>
      </c>
      <c r="F116" s="1246" t="s">
        <v>5153</v>
      </c>
      <c r="G116" s="1200" t="s">
        <v>5152</v>
      </c>
      <c r="H116" s="1200" t="s">
        <v>5140</v>
      </c>
      <c r="I116" s="1549" t="s">
        <v>4309</v>
      </c>
      <c r="J116" s="1550" t="s">
        <v>5007</v>
      </c>
      <c r="K116" s="1551">
        <v>1</v>
      </c>
      <c r="L116" s="1552">
        <v>10</v>
      </c>
      <c r="M116" s="1247">
        <f t="shared" si="6"/>
        <v>80000</v>
      </c>
      <c r="N116" s="1551"/>
      <c r="O116" s="1552">
        <v>0</v>
      </c>
      <c r="P116" s="1247">
        <f t="shared" si="7"/>
        <v>0</v>
      </c>
    </row>
    <row r="117" spans="1:16" ht="24">
      <c r="A117" s="1540" t="s">
        <v>5109</v>
      </c>
      <c r="B117" s="1246" t="s">
        <v>1880</v>
      </c>
      <c r="C117" s="1246" t="s">
        <v>504</v>
      </c>
      <c r="D117" s="1200" t="s">
        <v>5151</v>
      </c>
      <c r="E117" s="1548">
        <v>3000</v>
      </c>
      <c r="F117" s="1246" t="s">
        <v>5150</v>
      </c>
      <c r="G117" s="1200" t="s">
        <v>5149</v>
      </c>
      <c r="H117" s="1200"/>
      <c r="I117" s="1549"/>
      <c r="J117" s="1550" t="s">
        <v>619</v>
      </c>
      <c r="K117" s="1551">
        <v>1</v>
      </c>
      <c r="L117" s="1552">
        <v>2</v>
      </c>
      <c r="M117" s="1247">
        <f t="shared" si="6"/>
        <v>6000</v>
      </c>
      <c r="N117" s="1551"/>
      <c r="O117" s="1552">
        <v>0</v>
      </c>
      <c r="P117" s="1247">
        <f t="shared" si="7"/>
        <v>0</v>
      </c>
    </row>
    <row r="118" spans="1:16" ht="24">
      <c r="A118" s="1540" t="s">
        <v>5109</v>
      </c>
      <c r="B118" s="1246" t="s">
        <v>1880</v>
      </c>
      <c r="C118" s="1246" t="s">
        <v>504</v>
      </c>
      <c r="D118" s="1200" t="s">
        <v>4612</v>
      </c>
      <c r="E118" s="1548">
        <v>6000</v>
      </c>
      <c r="F118" s="1246" t="s">
        <v>5148</v>
      </c>
      <c r="G118" s="1200" t="s">
        <v>5147</v>
      </c>
      <c r="H118" s="1200" t="s">
        <v>3578</v>
      </c>
      <c r="I118" s="1549" t="s">
        <v>4309</v>
      </c>
      <c r="J118" s="1550" t="s">
        <v>1779</v>
      </c>
      <c r="K118" s="1551">
        <v>1</v>
      </c>
      <c r="L118" s="1552">
        <v>8</v>
      </c>
      <c r="M118" s="1247">
        <f t="shared" si="6"/>
        <v>48000</v>
      </c>
      <c r="N118" s="1551"/>
      <c r="O118" s="1552">
        <v>0</v>
      </c>
      <c r="P118" s="1247">
        <f t="shared" si="7"/>
        <v>0</v>
      </c>
    </row>
    <row r="119" spans="1:16" ht="24">
      <c r="A119" s="1540" t="s">
        <v>5109</v>
      </c>
      <c r="B119" s="1246" t="s">
        <v>1880</v>
      </c>
      <c r="C119" s="1246" t="s">
        <v>504</v>
      </c>
      <c r="D119" s="1200" t="s">
        <v>5146</v>
      </c>
      <c r="E119" s="1548">
        <v>6000</v>
      </c>
      <c r="F119" s="1246" t="s">
        <v>5145</v>
      </c>
      <c r="G119" s="1200" t="s">
        <v>5144</v>
      </c>
      <c r="H119" s="1200" t="s">
        <v>3578</v>
      </c>
      <c r="I119" s="1549" t="s">
        <v>4309</v>
      </c>
      <c r="J119" s="1550" t="s">
        <v>928</v>
      </c>
      <c r="K119" s="1551">
        <v>1</v>
      </c>
      <c r="L119" s="1552">
        <v>8</v>
      </c>
      <c r="M119" s="1247">
        <f t="shared" si="6"/>
        <v>48000</v>
      </c>
      <c r="N119" s="1551"/>
      <c r="O119" s="1552">
        <v>0</v>
      </c>
      <c r="P119" s="1247">
        <f t="shared" si="7"/>
        <v>0</v>
      </c>
    </row>
    <row r="120" spans="1:16" ht="24">
      <c r="A120" s="1540" t="s">
        <v>5109</v>
      </c>
      <c r="B120" s="1246" t="s">
        <v>1880</v>
      </c>
      <c r="C120" s="1246" t="s">
        <v>504</v>
      </c>
      <c r="D120" s="1200" t="s">
        <v>5143</v>
      </c>
      <c r="E120" s="1548">
        <v>6000</v>
      </c>
      <c r="F120" s="1246" t="s">
        <v>5142</v>
      </c>
      <c r="G120" s="1200" t="s">
        <v>5141</v>
      </c>
      <c r="H120" s="1200" t="s">
        <v>5140</v>
      </c>
      <c r="I120" s="1549" t="s">
        <v>4309</v>
      </c>
      <c r="J120" s="1550" t="s">
        <v>5007</v>
      </c>
      <c r="K120" s="1551">
        <v>1</v>
      </c>
      <c r="L120" s="1552">
        <v>10</v>
      </c>
      <c r="M120" s="1247">
        <f t="shared" si="6"/>
        <v>60000</v>
      </c>
      <c r="N120" s="1551"/>
      <c r="O120" s="1552">
        <v>0</v>
      </c>
      <c r="P120" s="1247">
        <f t="shared" si="7"/>
        <v>0</v>
      </c>
    </row>
    <row r="121" spans="1:16" ht="24">
      <c r="A121" s="1540" t="s">
        <v>5109</v>
      </c>
      <c r="B121" s="1246" t="s">
        <v>1880</v>
      </c>
      <c r="C121" s="1246" t="s">
        <v>504</v>
      </c>
      <c r="D121" s="1200" t="s">
        <v>5139</v>
      </c>
      <c r="E121" s="1548">
        <v>6000</v>
      </c>
      <c r="F121" s="1246" t="s">
        <v>5138</v>
      </c>
      <c r="G121" s="1200" t="s">
        <v>5137</v>
      </c>
      <c r="H121" s="1200" t="s">
        <v>1719</v>
      </c>
      <c r="I121" s="1549" t="s">
        <v>599</v>
      </c>
      <c r="J121" s="1550" t="s">
        <v>1817</v>
      </c>
      <c r="K121" s="1551">
        <v>1</v>
      </c>
      <c r="L121" s="1552">
        <v>4</v>
      </c>
      <c r="M121" s="1247">
        <f t="shared" si="6"/>
        <v>24000</v>
      </c>
      <c r="N121" s="1551">
        <v>1</v>
      </c>
      <c r="O121" s="1552">
        <v>1</v>
      </c>
      <c r="P121" s="1247">
        <f t="shared" si="7"/>
        <v>6000</v>
      </c>
    </row>
    <row r="122" spans="1:16" ht="24">
      <c r="A122" s="1540" t="s">
        <v>5109</v>
      </c>
      <c r="B122" s="1246" t="s">
        <v>1880</v>
      </c>
      <c r="C122" s="1246" t="s">
        <v>504</v>
      </c>
      <c r="D122" s="1200" t="s">
        <v>5136</v>
      </c>
      <c r="E122" s="1548">
        <v>4500</v>
      </c>
      <c r="F122" s="1246" t="s">
        <v>5135</v>
      </c>
      <c r="G122" s="1200" t="s">
        <v>5134</v>
      </c>
      <c r="H122" s="1200" t="s">
        <v>5133</v>
      </c>
      <c r="I122" s="1549" t="s">
        <v>4309</v>
      </c>
      <c r="J122" s="1550" t="s">
        <v>759</v>
      </c>
      <c r="K122" s="1551">
        <v>1</v>
      </c>
      <c r="L122" s="1552">
        <v>8</v>
      </c>
      <c r="M122" s="1247">
        <f t="shared" si="6"/>
        <v>36000</v>
      </c>
      <c r="N122" s="1551">
        <v>1</v>
      </c>
      <c r="O122" s="1552">
        <v>6</v>
      </c>
      <c r="P122" s="1247">
        <f t="shared" si="7"/>
        <v>27000</v>
      </c>
    </row>
    <row r="123" spans="1:16" ht="84">
      <c r="A123" s="1540" t="s">
        <v>5109</v>
      </c>
      <c r="B123" s="1246" t="s">
        <v>1880</v>
      </c>
      <c r="C123" s="1246" t="s">
        <v>504</v>
      </c>
      <c r="D123" s="1200" t="s">
        <v>5132</v>
      </c>
      <c r="E123" s="1548">
        <v>15500</v>
      </c>
      <c r="F123" s="1246" t="s">
        <v>5131</v>
      </c>
      <c r="G123" s="1200" t="s">
        <v>5130</v>
      </c>
      <c r="H123" s="1200" t="s">
        <v>5106</v>
      </c>
      <c r="I123" s="1549" t="s">
        <v>599</v>
      </c>
      <c r="J123" s="1550" t="s">
        <v>5129</v>
      </c>
      <c r="K123" s="1551">
        <v>1</v>
      </c>
      <c r="L123" s="1552">
        <v>12</v>
      </c>
      <c r="M123" s="1247">
        <f t="shared" si="6"/>
        <v>186000</v>
      </c>
      <c r="N123" s="1551">
        <v>1</v>
      </c>
      <c r="O123" s="1552">
        <v>1</v>
      </c>
      <c r="P123" s="1247">
        <f t="shared" si="7"/>
        <v>15500</v>
      </c>
    </row>
    <row r="124" spans="1:16" ht="48">
      <c r="A124" s="1540" t="s">
        <v>5109</v>
      </c>
      <c r="B124" s="1246" t="s">
        <v>1880</v>
      </c>
      <c r="C124" s="1246" t="s">
        <v>504</v>
      </c>
      <c r="D124" s="1200" t="s">
        <v>5128</v>
      </c>
      <c r="E124" s="1548">
        <v>10000</v>
      </c>
      <c r="F124" s="1246" t="s">
        <v>5127</v>
      </c>
      <c r="G124" s="1200" t="s">
        <v>5126</v>
      </c>
      <c r="H124" s="1200" t="s">
        <v>5111</v>
      </c>
      <c r="I124" s="1549" t="s">
        <v>599</v>
      </c>
      <c r="J124" s="1550" t="s">
        <v>5125</v>
      </c>
      <c r="K124" s="1551">
        <v>1</v>
      </c>
      <c r="L124" s="1552">
        <v>12</v>
      </c>
      <c r="M124" s="1247">
        <f t="shared" si="6"/>
        <v>120000</v>
      </c>
      <c r="N124" s="1551">
        <v>1</v>
      </c>
      <c r="O124" s="1552">
        <v>1</v>
      </c>
      <c r="P124" s="1247">
        <f t="shared" si="7"/>
        <v>10000</v>
      </c>
    </row>
    <row r="125" spans="1:16" ht="24">
      <c r="A125" s="1540" t="s">
        <v>5109</v>
      </c>
      <c r="B125" s="1246" t="s">
        <v>1880</v>
      </c>
      <c r="C125" s="1246" t="s">
        <v>504</v>
      </c>
      <c r="D125" s="1200" t="s">
        <v>5124</v>
      </c>
      <c r="E125" s="1548">
        <v>6000</v>
      </c>
      <c r="F125" s="1246" t="s">
        <v>5123</v>
      </c>
      <c r="G125" s="1200" t="s">
        <v>5122</v>
      </c>
      <c r="H125" s="1200" t="s">
        <v>530</v>
      </c>
      <c r="I125" s="1549" t="s">
        <v>5116</v>
      </c>
      <c r="J125" s="1550" t="s">
        <v>5121</v>
      </c>
      <c r="K125" s="1551">
        <v>1</v>
      </c>
      <c r="L125" s="1552">
        <v>12</v>
      </c>
      <c r="M125" s="1247">
        <f t="shared" si="6"/>
        <v>72000</v>
      </c>
      <c r="N125" s="1551">
        <v>1</v>
      </c>
      <c r="O125" s="1552">
        <v>3</v>
      </c>
      <c r="P125" s="1247">
        <f t="shared" si="7"/>
        <v>18000</v>
      </c>
    </row>
    <row r="126" spans="1:16" ht="24">
      <c r="A126" s="1540" t="s">
        <v>5109</v>
      </c>
      <c r="B126" s="1246" t="s">
        <v>1880</v>
      </c>
      <c r="C126" s="1246" t="s">
        <v>504</v>
      </c>
      <c r="D126" s="1200" t="s">
        <v>5120</v>
      </c>
      <c r="E126" s="1548">
        <v>4500</v>
      </c>
      <c r="F126" s="1246" t="s">
        <v>5119</v>
      </c>
      <c r="G126" s="1200" t="s">
        <v>5118</v>
      </c>
      <c r="H126" s="1200" t="s">
        <v>5117</v>
      </c>
      <c r="I126" s="1549" t="s">
        <v>5116</v>
      </c>
      <c r="J126" s="1550" t="s">
        <v>5115</v>
      </c>
      <c r="K126" s="1551">
        <v>1</v>
      </c>
      <c r="L126" s="1552">
        <v>1</v>
      </c>
      <c r="M126" s="1247">
        <f t="shared" si="6"/>
        <v>4500</v>
      </c>
      <c r="N126" s="1551">
        <v>1</v>
      </c>
      <c r="O126" s="1552">
        <v>6</v>
      </c>
      <c r="P126" s="1247">
        <f t="shared" si="7"/>
        <v>27000</v>
      </c>
    </row>
    <row r="127" spans="1:16" ht="72">
      <c r="A127" s="1540" t="s">
        <v>5109</v>
      </c>
      <c r="B127" s="1246" t="s">
        <v>1880</v>
      </c>
      <c r="C127" s="1246" t="s">
        <v>504</v>
      </c>
      <c r="D127" s="1200" t="s">
        <v>5114</v>
      </c>
      <c r="E127" s="1548">
        <v>10000</v>
      </c>
      <c r="F127" s="1246" t="s">
        <v>5113</v>
      </c>
      <c r="G127" s="1200" t="s">
        <v>5112</v>
      </c>
      <c r="H127" s="1200" t="s">
        <v>5111</v>
      </c>
      <c r="I127" s="1549" t="s">
        <v>599</v>
      </c>
      <c r="J127" s="1550" t="s">
        <v>5110</v>
      </c>
      <c r="K127" s="1551">
        <v>1</v>
      </c>
      <c r="L127" s="1552">
        <v>12</v>
      </c>
      <c r="M127" s="1247">
        <f t="shared" si="6"/>
        <v>120000</v>
      </c>
      <c r="N127" s="1551">
        <v>1</v>
      </c>
      <c r="O127" s="1552">
        <v>1</v>
      </c>
      <c r="P127" s="1247">
        <f t="shared" si="7"/>
        <v>10000</v>
      </c>
    </row>
    <row r="128" spans="1:16" ht="24.75" thickBot="1">
      <c r="A128" s="1540" t="s">
        <v>5109</v>
      </c>
      <c r="B128" s="1553" t="s">
        <v>1880</v>
      </c>
      <c r="C128" s="1553" t="s">
        <v>504</v>
      </c>
      <c r="D128" s="1554" t="s">
        <v>4860</v>
      </c>
      <c r="E128" s="1555">
        <v>13000</v>
      </c>
      <c r="F128" s="1553" t="s">
        <v>5108</v>
      </c>
      <c r="G128" s="1554" t="s">
        <v>5107</v>
      </c>
      <c r="H128" s="1554" t="s">
        <v>5106</v>
      </c>
      <c r="I128" s="1556" t="s">
        <v>599</v>
      </c>
      <c r="J128" s="1557" t="s">
        <v>5105</v>
      </c>
      <c r="K128" s="1558">
        <v>1</v>
      </c>
      <c r="L128" s="1559">
        <v>12</v>
      </c>
      <c r="M128" s="1560">
        <f t="shared" si="6"/>
        <v>156000</v>
      </c>
      <c r="N128" s="1558">
        <v>1</v>
      </c>
      <c r="O128" s="1559">
        <v>1</v>
      </c>
      <c r="P128" s="1560">
        <f t="shared" si="7"/>
        <v>13000</v>
      </c>
    </row>
    <row r="129" spans="1:16" s="1036" customFormat="1" ht="12.75" thickBot="1">
      <c r="A129" s="1209"/>
      <c r="B129" s="1230"/>
      <c r="C129" s="1230"/>
      <c r="D129" s="1305"/>
      <c r="E129" s="1561">
        <f>SUM(E6:E128)</f>
        <v>748900</v>
      </c>
      <c r="F129" s="1230"/>
      <c r="G129" s="1305"/>
      <c r="H129" s="1305"/>
      <c r="I129" s="1562"/>
      <c r="J129" s="1563"/>
      <c r="K129" s="1564"/>
      <c r="L129" s="1565"/>
      <c r="M129" s="1561">
        <f>SUM(M6:M128)</f>
        <v>6644300</v>
      </c>
      <c r="N129" s="1564"/>
      <c r="O129" s="1565"/>
      <c r="P129" s="1561">
        <f>SUM(P6:P128)</f>
        <v>3434300</v>
      </c>
    </row>
    <row r="130" spans="1:16" ht="24">
      <c r="A130" s="277" t="s">
        <v>449</v>
      </c>
      <c r="B130" s="277"/>
      <c r="C130" s="277"/>
      <c r="D130" s="445"/>
      <c r="E130" s="445"/>
      <c r="F130" s="277"/>
      <c r="G130" s="445"/>
      <c r="H130" s="445"/>
      <c r="I130" s="445"/>
      <c r="K130" s="1136"/>
      <c r="L130" s="1136"/>
      <c r="M130" s="445"/>
      <c r="N130" s="445"/>
      <c r="O130" s="445"/>
      <c r="P130" s="445"/>
    </row>
    <row r="131" spans="1:16">
      <c r="A131" s="277"/>
      <c r="B131" s="277"/>
      <c r="C131" s="277"/>
      <c r="D131" s="445"/>
      <c r="E131" s="445"/>
      <c r="F131" s="277"/>
      <c r="G131" s="445"/>
      <c r="H131" s="445"/>
      <c r="I131" s="445"/>
      <c r="K131" s="1136"/>
      <c r="L131" s="1136"/>
      <c r="M131" s="445"/>
      <c r="N131" s="445"/>
      <c r="O131" s="445"/>
      <c r="P131" s="445"/>
    </row>
    <row r="132" spans="1:16">
      <c r="A132" s="277"/>
      <c r="B132" s="277"/>
      <c r="C132" s="277"/>
      <c r="D132" s="445"/>
      <c r="E132" s="445"/>
      <c r="F132" s="277"/>
      <c r="G132" s="445"/>
      <c r="H132" s="445"/>
      <c r="I132" s="445"/>
      <c r="K132" s="1136"/>
      <c r="L132" s="1136"/>
      <c r="M132" s="445"/>
      <c r="N132" s="445"/>
      <c r="O132" s="445"/>
      <c r="P132" s="445"/>
    </row>
    <row r="133" spans="1:16">
      <c r="A133" s="277"/>
      <c r="B133" s="277"/>
      <c r="C133" s="277"/>
      <c r="D133" s="445"/>
      <c r="E133" s="445"/>
      <c r="F133" s="277"/>
      <c r="G133" s="445"/>
      <c r="H133" s="445"/>
      <c r="I133" s="445"/>
      <c r="K133" s="1136"/>
      <c r="L133" s="1136"/>
      <c r="M133" s="445"/>
      <c r="N133" s="445"/>
      <c r="O133" s="445"/>
      <c r="P133" s="445"/>
    </row>
    <row r="134" spans="1:16">
      <c r="A134" s="277"/>
      <c r="B134" s="277"/>
      <c r="C134" s="277"/>
      <c r="D134" s="445"/>
      <c r="E134" s="445"/>
      <c r="F134" s="277"/>
      <c r="G134" s="445"/>
      <c r="H134" s="445"/>
      <c r="I134" s="445"/>
      <c r="K134" s="1136"/>
      <c r="L134" s="1136"/>
      <c r="M134" s="445"/>
      <c r="N134" s="445"/>
      <c r="O134" s="445"/>
      <c r="P134" s="445"/>
    </row>
    <row r="135" spans="1:16">
      <c r="A135" s="277"/>
      <c r="B135" s="277"/>
      <c r="C135" s="277"/>
      <c r="D135" s="445"/>
      <c r="E135" s="445"/>
      <c r="F135" s="277"/>
      <c r="G135" s="445"/>
      <c r="H135" s="445"/>
      <c r="I135" s="445"/>
      <c r="K135" s="1136"/>
      <c r="L135" s="1136"/>
      <c r="M135" s="445"/>
      <c r="N135" s="445"/>
      <c r="O135" s="445"/>
      <c r="P135" s="445"/>
    </row>
    <row r="136" spans="1:16">
      <c r="A136" s="277"/>
      <c r="B136" s="277"/>
      <c r="C136" s="277"/>
      <c r="D136" s="445"/>
      <c r="E136" s="445"/>
      <c r="F136" s="277"/>
      <c r="G136" s="445"/>
      <c r="H136" s="445"/>
      <c r="I136" s="445"/>
      <c r="K136" s="1136"/>
      <c r="L136" s="1136"/>
      <c r="M136" s="445"/>
      <c r="N136" s="445"/>
      <c r="O136" s="445"/>
      <c r="P136" s="445"/>
    </row>
    <row r="137" spans="1:16">
      <c r="A137" s="277"/>
      <c r="B137" s="277"/>
      <c r="C137" s="277"/>
      <c r="D137" s="445"/>
      <c r="E137" s="445"/>
      <c r="F137" s="277"/>
      <c r="G137" s="445"/>
      <c r="H137" s="445"/>
      <c r="I137" s="445"/>
      <c r="K137" s="1136"/>
      <c r="L137" s="1136"/>
      <c r="M137" s="445"/>
      <c r="N137" s="445"/>
      <c r="O137" s="445"/>
      <c r="P137" s="445"/>
    </row>
    <row r="138" spans="1:16">
      <c r="A138" s="277"/>
      <c r="B138" s="277"/>
      <c r="C138" s="277"/>
      <c r="D138" s="445"/>
      <c r="E138" s="445"/>
      <c r="F138" s="277"/>
      <c r="G138" s="445"/>
      <c r="H138" s="445"/>
      <c r="I138" s="445"/>
      <c r="K138" s="1136"/>
      <c r="L138" s="1136"/>
      <c r="M138" s="445"/>
      <c r="N138" s="445"/>
      <c r="O138" s="445"/>
      <c r="P138" s="445"/>
    </row>
    <row r="139" spans="1:16">
      <c r="A139" s="277"/>
      <c r="B139" s="277"/>
      <c r="C139" s="277"/>
      <c r="D139" s="445"/>
      <c r="E139" s="445"/>
      <c r="F139" s="277"/>
      <c r="G139" s="445"/>
      <c r="H139" s="445"/>
      <c r="I139" s="445"/>
      <c r="K139" s="1136"/>
      <c r="L139" s="1136"/>
      <c r="M139" s="445"/>
      <c r="N139" s="445"/>
      <c r="O139" s="445"/>
      <c r="P139" s="445"/>
    </row>
    <row r="140" spans="1:16">
      <c r="A140" s="277"/>
      <c r="B140" s="277"/>
      <c r="C140" s="277"/>
      <c r="D140" s="445"/>
      <c r="E140" s="445"/>
      <c r="F140" s="277"/>
      <c r="G140" s="445"/>
      <c r="H140" s="445"/>
      <c r="I140" s="445"/>
      <c r="K140" s="1136"/>
      <c r="L140" s="1136"/>
      <c r="M140" s="445"/>
      <c r="N140" s="445"/>
      <c r="O140" s="445"/>
      <c r="P140" s="445"/>
    </row>
    <row r="141" spans="1:16">
      <c r="A141" s="277"/>
      <c r="B141" s="277"/>
      <c r="C141" s="277"/>
      <c r="D141" s="445"/>
      <c r="E141" s="445"/>
      <c r="F141" s="277"/>
      <c r="G141" s="445"/>
      <c r="H141" s="445"/>
      <c r="I141" s="445"/>
      <c r="K141" s="1136"/>
      <c r="L141" s="1136"/>
      <c r="M141" s="445"/>
      <c r="N141" s="445"/>
      <c r="O141" s="445"/>
      <c r="P141" s="445"/>
    </row>
    <row r="142" spans="1:16">
      <c r="A142" s="277"/>
      <c r="B142" s="277"/>
      <c r="C142" s="277"/>
      <c r="D142" s="445"/>
      <c r="E142" s="445"/>
      <c r="F142" s="277"/>
      <c r="G142" s="445"/>
      <c r="H142" s="445"/>
      <c r="I142" s="445"/>
      <c r="K142" s="1136"/>
      <c r="L142" s="1136"/>
      <c r="M142" s="445"/>
      <c r="N142" s="445"/>
      <c r="O142" s="445"/>
      <c r="P142" s="445"/>
    </row>
    <row r="143" spans="1:16">
      <c r="A143" s="277"/>
      <c r="B143" s="277"/>
      <c r="C143" s="277"/>
      <c r="D143" s="445"/>
      <c r="E143" s="445"/>
      <c r="F143" s="277"/>
      <c r="G143" s="445"/>
      <c r="H143" s="445"/>
      <c r="I143" s="445"/>
      <c r="K143" s="1136"/>
      <c r="L143" s="1136"/>
      <c r="M143" s="445"/>
      <c r="N143" s="445"/>
      <c r="O143" s="445"/>
      <c r="P143" s="445"/>
    </row>
    <row r="144" spans="1:16">
      <c r="A144" s="277"/>
      <c r="B144" s="277"/>
      <c r="C144" s="277"/>
      <c r="D144" s="445"/>
      <c r="E144" s="445"/>
      <c r="F144" s="277"/>
      <c r="G144" s="445"/>
      <c r="H144" s="445"/>
      <c r="I144" s="445"/>
      <c r="K144" s="1136"/>
      <c r="L144" s="1136"/>
      <c r="M144" s="445"/>
      <c r="N144" s="445"/>
      <c r="O144" s="445"/>
      <c r="P144" s="445"/>
    </row>
    <row r="145" spans="1:16">
      <c r="A145" s="277"/>
      <c r="B145" s="277"/>
      <c r="C145" s="277"/>
      <c r="D145" s="445"/>
      <c r="E145" s="445"/>
      <c r="F145" s="277"/>
      <c r="G145" s="445"/>
      <c r="H145" s="445"/>
      <c r="I145" s="445"/>
      <c r="K145" s="1136"/>
      <c r="L145" s="1136"/>
      <c r="M145" s="445"/>
      <c r="N145" s="445"/>
      <c r="O145" s="445"/>
      <c r="P145" s="445"/>
    </row>
    <row r="146" spans="1:16">
      <c r="A146" s="277"/>
      <c r="B146" s="277"/>
      <c r="C146" s="277"/>
      <c r="D146" s="445"/>
      <c r="E146" s="445"/>
      <c r="F146" s="277"/>
      <c r="G146" s="445"/>
      <c r="H146" s="445"/>
      <c r="I146" s="445"/>
      <c r="K146" s="1136"/>
      <c r="L146" s="1136"/>
      <c r="M146" s="445"/>
      <c r="N146" s="445"/>
      <c r="O146" s="445"/>
      <c r="P146" s="445"/>
    </row>
    <row r="147" spans="1:16">
      <c r="A147" s="277"/>
      <c r="B147" s="277"/>
      <c r="C147" s="277"/>
      <c r="D147" s="445"/>
      <c r="E147" s="445"/>
      <c r="F147" s="277"/>
      <c r="G147" s="445"/>
      <c r="H147" s="445"/>
      <c r="I147" s="445"/>
      <c r="K147" s="1136"/>
      <c r="L147" s="1136"/>
      <c r="M147" s="445"/>
      <c r="N147" s="445"/>
      <c r="O147" s="445"/>
      <c r="P147" s="445"/>
    </row>
    <row r="148" spans="1:16">
      <c r="A148" s="277"/>
      <c r="B148" s="277"/>
      <c r="C148" s="277"/>
      <c r="D148" s="445"/>
      <c r="E148" s="445"/>
      <c r="F148" s="277"/>
      <c r="G148" s="445"/>
      <c r="H148" s="445"/>
      <c r="I148" s="445"/>
      <c r="K148" s="1136"/>
      <c r="L148" s="1136"/>
      <c r="M148" s="445"/>
      <c r="N148" s="445"/>
      <c r="O148" s="445"/>
      <c r="P148" s="445"/>
    </row>
    <row r="149" spans="1:16">
      <c r="A149" s="277"/>
      <c r="B149" s="277"/>
      <c r="C149" s="277"/>
      <c r="D149" s="445"/>
      <c r="E149" s="445"/>
      <c r="F149" s="277"/>
      <c r="G149" s="445"/>
      <c r="H149" s="445"/>
      <c r="I149" s="445"/>
      <c r="K149" s="1136"/>
      <c r="L149" s="1136"/>
      <c r="M149" s="445"/>
      <c r="N149" s="445"/>
      <c r="O149" s="445"/>
      <c r="P149" s="445"/>
    </row>
    <row r="150" spans="1:16">
      <c r="A150" s="277"/>
      <c r="B150" s="277"/>
      <c r="C150" s="277"/>
      <c r="D150" s="445"/>
      <c r="E150" s="445"/>
      <c r="F150" s="277"/>
      <c r="G150" s="445"/>
      <c r="H150" s="445"/>
      <c r="I150" s="445"/>
      <c r="K150" s="1136"/>
      <c r="L150" s="1136"/>
      <c r="M150" s="445"/>
      <c r="N150" s="445"/>
      <c r="O150" s="445"/>
      <c r="P150" s="445"/>
    </row>
    <row r="151" spans="1:16">
      <c r="A151" s="277"/>
      <c r="B151" s="277"/>
      <c r="C151" s="277"/>
      <c r="D151" s="445"/>
      <c r="E151" s="445"/>
      <c r="F151" s="277"/>
      <c r="G151" s="445"/>
      <c r="H151" s="445"/>
      <c r="I151" s="445"/>
      <c r="K151" s="1136"/>
      <c r="L151" s="1136"/>
      <c r="M151" s="445"/>
      <c r="N151" s="445"/>
      <c r="O151" s="445"/>
      <c r="P151" s="445"/>
    </row>
    <row r="152" spans="1:16">
      <c r="A152" s="277"/>
      <c r="B152" s="277"/>
      <c r="C152" s="277"/>
      <c r="D152" s="445"/>
      <c r="E152" s="445"/>
      <c r="F152" s="277"/>
      <c r="G152" s="445"/>
      <c r="H152" s="445"/>
      <c r="I152" s="445"/>
      <c r="K152" s="1136"/>
      <c r="L152" s="1136"/>
      <c r="M152" s="445"/>
      <c r="N152" s="445"/>
      <c r="O152" s="445"/>
      <c r="P152" s="445"/>
    </row>
    <row r="153" spans="1:16">
      <c r="A153" s="277"/>
      <c r="B153" s="277"/>
      <c r="C153" s="277"/>
      <c r="D153" s="445"/>
      <c r="E153" s="445"/>
      <c r="F153" s="277"/>
      <c r="G153" s="445"/>
      <c r="H153" s="445"/>
      <c r="I153" s="445"/>
      <c r="K153" s="1136"/>
      <c r="L153" s="1136"/>
      <c r="M153" s="445"/>
      <c r="N153" s="445"/>
      <c r="O153" s="445"/>
      <c r="P153" s="445"/>
    </row>
    <row r="154" spans="1:16">
      <c r="A154" s="277"/>
      <c r="B154" s="277"/>
      <c r="C154" s="277"/>
      <c r="D154" s="445"/>
      <c r="E154" s="445"/>
      <c r="F154" s="277"/>
      <c r="G154" s="445"/>
      <c r="H154" s="445"/>
      <c r="I154" s="445"/>
      <c r="K154" s="1136"/>
      <c r="L154" s="1136"/>
      <c r="M154" s="445"/>
      <c r="N154" s="445"/>
      <c r="O154" s="445"/>
      <c r="P154" s="445"/>
    </row>
    <row r="155" spans="1:16">
      <c r="A155" s="277"/>
      <c r="B155" s="277"/>
      <c r="C155" s="277"/>
      <c r="D155" s="445"/>
      <c r="E155" s="445"/>
      <c r="F155" s="277"/>
      <c r="G155" s="445"/>
      <c r="H155" s="445"/>
      <c r="I155" s="445"/>
      <c r="K155" s="1136"/>
      <c r="L155" s="1136"/>
      <c r="M155" s="445"/>
      <c r="N155" s="445"/>
      <c r="O155" s="445"/>
      <c r="P155" s="445"/>
    </row>
    <row r="156" spans="1:16">
      <c r="A156" s="277"/>
      <c r="B156" s="277"/>
      <c r="C156" s="277"/>
      <c r="D156" s="445"/>
      <c r="E156" s="445"/>
      <c r="F156" s="277"/>
      <c r="G156" s="445"/>
      <c r="H156" s="445"/>
      <c r="I156" s="445"/>
      <c r="K156" s="1136"/>
      <c r="L156" s="1136"/>
      <c r="M156" s="445"/>
      <c r="N156" s="445"/>
      <c r="O156" s="445"/>
      <c r="P156" s="445"/>
    </row>
    <row r="157" spans="1:16">
      <c r="A157" s="277"/>
      <c r="B157" s="277"/>
      <c r="C157" s="277"/>
      <c r="D157" s="445"/>
      <c r="E157" s="445"/>
      <c r="F157" s="277"/>
      <c r="G157" s="445"/>
      <c r="H157" s="445"/>
      <c r="I157" s="445"/>
      <c r="K157" s="1136"/>
      <c r="L157" s="1136"/>
      <c r="M157" s="445"/>
      <c r="N157" s="445"/>
      <c r="O157" s="445"/>
      <c r="P157" s="445"/>
    </row>
    <row r="158" spans="1:16">
      <c r="A158" s="277"/>
      <c r="B158" s="277"/>
      <c r="C158" s="277"/>
      <c r="D158" s="445"/>
      <c r="E158" s="445"/>
      <c r="F158" s="277"/>
      <c r="G158" s="445"/>
      <c r="H158" s="445"/>
      <c r="I158" s="445"/>
      <c r="K158" s="1136"/>
      <c r="L158" s="1136"/>
      <c r="M158" s="445"/>
      <c r="N158" s="445"/>
      <c r="O158" s="445"/>
      <c r="P158" s="445"/>
    </row>
    <row r="159" spans="1:16">
      <c r="A159" s="277"/>
      <c r="B159" s="277"/>
      <c r="C159" s="277"/>
      <c r="D159" s="445"/>
      <c r="E159" s="445"/>
      <c r="F159" s="277"/>
      <c r="G159" s="445"/>
      <c r="H159" s="445"/>
      <c r="I159" s="445"/>
      <c r="K159" s="1136"/>
      <c r="L159" s="1136"/>
      <c r="M159" s="445"/>
      <c r="N159" s="445"/>
      <c r="O159" s="445"/>
      <c r="P159" s="445"/>
    </row>
    <row r="160" spans="1:16">
      <c r="A160" s="277"/>
      <c r="B160" s="277"/>
      <c r="C160" s="277"/>
      <c r="D160" s="445"/>
      <c r="E160" s="445"/>
      <c r="F160" s="277"/>
      <c r="G160" s="445"/>
      <c r="H160" s="445"/>
      <c r="I160" s="445"/>
      <c r="K160" s="1136"/>
      <c r="L160" s="1136"/>
      <c r="M160" s="445"/>
      <c r="N160" s="445"/>
      <c r="O160" s="445"/>
      <c r="P160" s="445"/>
    </row>
    <row r="161" spans="1:16">
      <c r="A161" s="277"/>
      <c r="B161" s="277"/>
      <c r="C161" s="277"/>
      <c r="D161" s="445"/>
      <c r="E161" s="445"/>
      <c r="F161" s="277"/>
      <c r="G161" s="445"/>
      <c r="H161" s="445"/>
      <c r="I161" s="445"/>
      <c r="K161" s="1136"/>
      <c r="L161" s="1136"/>
      <c r="M161" s="445"/>
      <c r="N161" s="445"/>
      <c r="O161" s="445"/>
      <c r="P161" s="445"/>
    </row>
    <row r="162" spans="1:16">
      <c r="A162" s="277"/>
      <c r="B162" s="277"/>
      <c r="C162" s="277"/>
      <c r="D162" s="445"/>
      <c r="E162" s="445"/>
      <c r="F162" s="277"/>
      <c r="G162" s="445"/>
      <c r="H162" s="445"/>
      <c r="I162" s="445"/>
      <c r="K162" s="1136"/>
      <c r="L162" s="1136"/>
      <c r="M162" s="445"/>
      <c r="N162" s="445"/>
      <c r="O162" s="445"/>
      <c r="P162" s="445"/>
    </row>
    <row r="163" spans="1:16">
      <c r="A163" s="277"/>
      <c r="B163" s="277"/>
      <c r="C163" s="277"/>
      <c r="D163" s="445"/>
      <c r="E163" s="445"/>
      <c r="F163" s="277"/>
      <c r="G163" s="445"/>
      <c r="H163" s="445"/>
      <c r="I163" s="445"/>
      <c r="K163" s="1136"/>
      <c r="L163" s="1136"/>
      <c r="M163" s="445"/>
      <c r="N163" s="445"/>
      <c r="O163" s="445"/>
      <c r="P163" s="445"/>
    </row>
    <row r="164" spans="1:16">
      <c r="A164" s="277"/>
      <c r="B164" s="277"/>
      <c r="C164" s="277"/>
      <c r="D164" s="445"/>
      <c r="E164" s="445"/>
      <c r="F164" s="277"/>
      <c r="G164" s="445"/>
      <c r="H164" s="445"/>
      <c r="I164" s="445"/>
      <c r="K164" s="1136"/>
      <c r="L164" s="1136"/>
      <c r="M164" s="445"/>
      <c r="N164" s="445"/>
      <c r="O164" s="445"/>
      <c r="P164" s="445"/>
    </row>
    <row r="165" spans="1:16">
      <c r="A165" s="277"/>
      <c r="B165" s="277"/>
      <c r="C165" s="277"/>
      <c r="D165" s="445"/>
      <c r="E165" s="445"/>
      <c r="F165" s="277"/>
      <c r="G165" s="445"/>
      <c r="H165" s="445"/>
      <c r="I165" s="445"/>
      <c r="K165" s="1136"/>
      <c r="L165" s="1136"/>
      <c r="M165" s="445"/>
      <c r="N165" s="445"/>
      <c r="O165" s="445"/>
      <c r="P165" s="445"/>
    </row>
    <row r="166" spans="1:16">
      <c r="A166" s="277"/>
      <c r="B166" s="277"/>
      <c r="C166" s="277"/>
      <c r="D166" s="445"/>
      <c r="E166" s="445"/>
      <c r="F166" s="277"/>
      <c r="G166" s="445"/>
      <c r="H166" s="445"/>
      <c r="I166" s="445"/>
      <c r="K166" s="1136"/>
      <c r="L166" s="1136"/>
      <c r="M166" s="445"/>
      <c r="N166" s="445"/>
      <c r="O166" s="445"/>
      <c r="P166" s="445"/>
    </row>
    <row r="167" spans="1:16">
      <c r="A167" s="277"/>
      <c r="B167" s="277"/>
      <c r="C167" s="277"/>
      <c r="D167" s="445"/>
      <c r="E167" s="445"/>
      <c r="F167" s="277"/>
      <c r="G167" s="445"/>
      <c r="H167" s="445"/>
      <c r="I167" s="445"/>
      <c r="K167" s="1136"/>
      <c r="L167" s="1136"/>
      <c r="M167" s="445"/>
      <c r="N167" s="445"/>
      <c r="O167" s="445"/>
      <c r="P167" s="445"/>
    </row>
    <row r="168" spans="1:16">
      <c r="A168" s="277"/>
      <c r="B168" s="277"/>
      <c r="C168" s="277"/>
      <c r="D168" s="445"/>
      <c r="E168" s="445"/>
      <c r="F168" s="277"/>
      <c r="G168" s="445"/>
      <c r="H168" s="445"/>
      <c r="I168" s="445"/>
      <c r="K168" s="1136"/>
      <c r="L168" s="1136"/>
      <c r="M168" s="445"/>
      <c r="N168" s="445"/>
      <c r="O168" s="445"/>
      <c r="P168" s="445"/>
    </row>
    <row r="169" spans="1:16">
      <c r="A169" s="277"/>
      <c r="B169" s="277"/>
      <c r="C169" s="277"/>
      <c r="D169" s="445"/>
      <c r="E169" s="445"/>
      <c r="F169" s="277"/>
      <c r="G169" s="445"/>
      <c r="H169" s="445"/>
      <c r="I169" s="445"/>
      <c r="K169" s="1136"/>
      <c r="L169" s="1136"/>
      <c r="M169" s="445"/>
      <c r="N169" s="445"/>
      <c r="O169" s="445"/>
      <c r="P169" s="445"/>
    </row>
    <row r="170" spans="1:16">
      <c r="A170" s="277"/>
      <c r="B170" s="277"/>
      <c r="C170" s="277"/>
      <c r="D170" s="445"/>
      <c r="E170" s="445"/>
      <c r="F170" s="277"/>
      <c r="G170" s="445"/>
      <c r="H170" s="445"/>
      <c r="I170" s="445"/>
      <c r="K170" s="1136"/>
      <c r="L170" s="1136"/>
      <c r="M170" s="445"/>
      <c r="N170" s="445"/>
      <c r="O170" s="445"/>
      <c r="P170" s="445"/>
    </row>
    <row r="171" spans="1:16">
      <c r="A171" s="277"/>
      <c r="B171" s="277"/>
      <c r="C171" s="277"/>
      <c r="D171" s="445"/>
      <c r="E171" s="445"/>
      <c r="F171" s="277"/>
      <c r="G171" s="445"/>
      <c r="H171" s="445"/>
      <c r="I171" s="445"/>
      <c r="K171" s="1136"/>
      <c r="L171" s="1136"/>
      <c r="M171" s="445"/>
      <c r="N171" s="445"/>
      <c r="O171" s="445"/>
      <c r="P171" s="445"/>
    </row>
    <row r="172" spans="1:16">
      <c r="A172" s="277"/>
      <c r="B172" s="277"/>
      <c r="C172" s="277"/>
      <c r="D172" s="445"/>
      <c r="E172" s="445"/>
      <c r="F172" s="277"/>
      <c r="G172" s="445"/>
      <c r="H172" s="445"/>
      <c r="I172" s="445"/>
      <c r="K172" s="1136"/>
      <c r="L172" s="1136"/>
      <c r="M172" s="445"/>
      <c r="N172" s="445"/>
      <c r="O172" s="445"/>
      <c r="P172" s="445"/>
    </row>
    <row r="173" spans="1:16">
      <c r="A173" s="277"/>
      <c r="B173" s="277"/>
      <c r="C173" s="277"/>
      <c r="D173" s="445"/>
      <c r="E173" s="445"/>
      <c r="F173" s="277"/>
      <c r="G173" s="445"/>
      <c r="H173" s="445"/>
      <c r="I173" s="445"/>
      <c r="K173" s="1136"/>
      <c r="L173" s="1136"/>
      <c r="M173" s="445"/>
      <c r="N173" s="445"/>
      <c r="O173" s="445"/>
      <c r="P173" s="445"/>
    </row>
    <row r="174" spans="1:16">
      <c r="A174" s="277"/>
      <c r="B174" s="277"/>
      <c r="C174" s="277"/>
      <c r="D174" s="445"/>
      <c r="E174" s="445"/>
      <c r="F174" s="277"/>
      <c r="G174" s="445"/>
      <c r="H174" s="445"/>
      <c r="I174" s="445"/>
      <c r="K174" s="1136"/>
      <c r="L174" s="1136"/>
      <c r="M174" s="445"/>
      <c r="N174" s="445"/>
      <c r="O174" s="445"/>
      <c r="P174" s="445"/>
    </row>
    <row r="175" spans="1:16">
      <c r="A175" s="277"/>
      <c r="B175" s="277"/>
      <c r="C175" s="277"/>
      <c r="D175" s="445"/>
      <c r="E175" s="445"/>
      <c r="F175" s="277"/>
      <c r="G175" s="445"/>
      <c r="H175" s="445"/>
      <c r="I175" s="445"/>
      <c r="K175" s="1136"/>
      <c r="L175" s="1136"/>
      <c r="M175" s="445"/>
      <c r="N175" s="445"/>
      <c r="O175" s="445"/>
      <c r="P175" s="445"/>
    </row>
    <row r="176" spans="1:16">
      <c r="A176" s="277"/>
      <c r="B176" s="277"/>
      <c r="C176" s="277"/>
      <c r="D176" s="445"/>
      <c r="E176" s="445"/>
      <c r="F176" s="277"/>
      <c r="G176" s="445"/>
      <c r="H176" s="445"/>
      <c r="I176" s="445"/>
      <c r="K176" s="1136"/>
      <c r="L176" s="1136"/>
      <c r="M176" s="445"/>
      <c r="N176" s="445"/>
      <c r="O176" s="445"/>
      <c r="P176" s="445"/>
    </row>
    <row r="177" spans="1:16">
      <c r="A177" s="277"/>
      <c r="B177" s="277"/>
      <c r="C177" s="277"/>
      <c r="D177" s="445"/>
      <c r="E177" s="445"/>
      <c r="F177" s="277"/>
      <c r="G177" s="445"/>
      <c r="H177" s="445"/>
      <c r="I177" s="445"/>
      <c r="K177" s="1136"/>
      <c r="L177" s="1136"/>
      <c r="M177" s="445"/>
      <c r="N177" s="445"/>
      <c r="O177" s="445"/>
      <c r="P177" s="445"/>
    </row>
    <row r="178" spans="1:16">
      <c r="A178" s="277"/>
      <c r="B178" s="277"/>
      <c r="C178" s="277"/>
      <c r="D178" s="445"/>
      <c r="E178" s="445"/>
      <c r="F178" s="277"/>
      <c r="G178" s="445"/>
      <c r="H178" s="445"/>
      <c r="I178" s="445"/>
      <c r="K178" s="1136"/>
      <c r="L178" s="1136"/>
      <c r="M178" s="445"/>
      <c r="N178" s="445"/>
      <c r="O178" s="445"/>
      <c r="P178" s="445"/>
    </row>
    <row r="179" spans="1:16">
      <c r="A179" s="277"/>
      <c r="B179" s="277"/>
      <c r="C179" s="277"/>
      <c r="D179" s="445"/>
      <c r="E179" s="445"/>
      <c r="F179" s="277"/>
      <c r="G179" s="445"/>
      <c r="H179" s="445"/>
      <c r="I179" s="445"/>
      <c r="K179" s="1136"/>
      <c r="L179" s="1136"/>
      <c r="M179" s="445"/>
      <c r="N179" s="445"/>
      <c r="O179" s="445"/>
      <c r="P179" s="445"/>
    </row>
    <row r="180" spans="1:16">
      <c r="A180" s="277"/>
      <c r="B180" s="277"/>
      <c r="C180" s="277"/>
      <c r="D180" s="445"/>
      <c r="E180" s="445"/>
      <c r="F180" s="277"/>
      <c r="G180" s="445"/>
      <c r="H180" s="445"/>
      <c r="I180" s="445"/>
      <c r="K180" s="1136"/>
      <c r="L180" s="1136"/>
      <c r="M180" s="445"/>
      <c r="N180" s="445"/>
      <c r="O180" s="445"/>
      <c r="P180" s="445"/>
    </row>
    <row r="181" spans="1:16">
      <c r="A181" s="277"/>
      <c r="B181" s="277"/>
      <c r="C181" s="277"/>
      <c r="D181" s="445"/>
      <c r="E181" s="445"/>
      <c r="F181" s="277"/>
      <c r="G181" s="445"/>
      <c r="H181" s="445"/>
      <c r="I181" s="445"/>
      <c r="K181" s="1136"/>
      <c r="L181" s="1136"/>
      <c r="M181" s="445"/>
      <c r="N181" s="445"/>
      <c r="O181" s="445"/>
      <c r="P181" s="445"/>
    </row>
    <row r="182" spans="1:16">
      <c r="A182" s="277"/>
      <c r="B182" s="277"/>
      <c r="C182" s="277"/>
      <c r="D182" s="445"/>
      <c r="E182" s="445"/>
      <c r="F182" s="277"/>
      <c r="G182" s="445"/>
      <c r="H182" s="445"/>
      <c r="I182" s="445"/>
      <c r="K182" s="1136"/>
      <c r="L182" s="1136"/>
      <c r="M182" s="445"/>
      <c r="N182" s="445"/>
      <c r="O182" s="445"/>
      <c r="P182" s="445"/>
    </row>
    <row r="183" spans="1:16">
      <c r="A183" s="277"/>
      <c r="B183" s="277"/>
      <c r="C183" s="277"/>
      <c r="D183" s="445"/>
      <c r="E183" s="445"/>
      <c r="F183" s="277"/>
      <c r="G183" s="445"/>
      <c r="H183" s="445"/>
      <c r="I183" s="445"/>
      <c r="K183" s="1136"/>
      <c r="L183" s="1136"/>
      <c r="M183" s="445"/>
      <c r="N183" s="445"/>
      <c r="O183" s="445"/>
      <c r="P183" s="445"/>
    </row>
    <row r="184" spans="1:16">
      <c r="A184" s="277"/>
      <c r="B184" s="277"/>
      <c r="C184" s="277"/>
      <c r="D184" s="445"/>
      <c r="E184" s="445"/>
      <c r="F184" s="277"/>
      <c r="G184" s="445"/>
      <c r="H184" s="445"/>
      <c r="I184" s="445"/>
      <c r="K184" s="1136"/>
      <c r="L184" s="1136"/>
      <c r="M184" s="445"/>
      <c r="N184" s="445"/>
      <c r="O184" s="445"/>
      <c r="P184" s="445"/>
    </row>
    <row r="185" spans="1:16">
      <c r="A185" s="277"/>
      <c r="B185" s="277"/>
      <c r="C185" s="277"/>
      <c r="D185" s="445"/>
      <c r="E185" s="445"/>
      <c r="F185" s="277"/>
      <c r="G185" s="445"/>
      <c r="H185" s="445"/>
      <c r="I185" s="445"/>
      <c r="K185" s="1136"/>
      <c r="L185" s="1136"/>
      <c r="M185" s="445"/>
      <c r="N185" s="445"/>
      <c r="O185" s="445"/>
      <c r="P185" s="445"/>
    </row>
    <row r="186" spans="1:16">
      <c r="A186" s="277"/>
      <c r="B186" s="277"/>
      <c r="C186" s="277"/>
      <c r="D186" s="445"/>
      <c r="E186" s="445"/>
      <c r="F186" s="277"/>
      <c r="G186" s="445"/>
      <c r="H186" s="445"/>
      <c r="I186" s="445"/>
      <c r="K186" s="1136"/>
      <c r="L186" s="1136"/>
      <c r="M186" s="445"/>
      <c r="N186" s="445"/>
      <c r="O186" s="445"/>
      <c r="P186" s="445"/>
    </row>
    <row r="187" spans="1:16">
      <c r="A187" s="277"/>
      <c r="B187" s="277"/>
      <c r="C187" s="277"/>
      <c r="D187" s="445"/>
      <c r="E187" s="445"/>
      <c r="F187" s="277"/>
      <c r="G187" s="445"/>
      <c r="H187" s="445"/>
      <c r="I187" s="445"/>
      <c r="K187" s="1136"/>
      <c r="L187" s="1136"/>
      <c r="M187" s="445"/>
      <c r="N187" s="445"/>
      <c r="O187" s="445"/>
      <c r="P187" s="445"/>
    </row>
    <row r="188" spans="1:16">
      <c r="A188" s="277"/>
      <c r="B188" s="277"/>
      <c r="C188" s="277"/>
      <c r="D188" s="445"/>
      <c r="E188" s="445"/>
      <c r="F188" s="277"/>
      <c r="G188" s="445"/>
      <c r="H188" s="445"/>
      <c r="I188" s="445"/>
      <c r="K188" s="1136"/>
      <c r="L188" s="1136"/>
      <c r="M188" s="445"/>
      <c r="N188" s="445"/>
      <c r="O188" s="445"/>
      <c r="P188" s="445"/>
    </row>
    <row r="189" spans="1:16">
      <c r="A189" s="277"/>
      <c r="B189" s="277"/>
      <c r="C189" s="277"/>
      <c r="D189" s="445"/>
      <c r="E189" s="445"/>
      <c r="F189" s="277"/>
      <c r="G189" s="445"/>
      <c r="H189" s="445"/>
      <c r="I189" s="445"/>
      <c r="K189" s="1136"/>
      <c r="L189" s="1136"/>
      <c r="M189" s="445"/>
      <c r="N189" s="445"/>
      <c r="O189" s="445"/>
      <c r="P189" s="445"/>
    </row>
    <row r="190" spans="1:16">
      <c r="A190" s="277"/>
      <c r="B190" s="277"/>
      <c r="C190" s="277"/>
      <c r="D190" s="445"/>
      <c r="E190" s="445"/>
      <c r="F190" s="277"/>
      <c r="G190" s="445"/>
      <c r="H190" s="445"/>
      <c r="I190" s="445"/>
      <c r="K190" s="1136"/>
      <c r="L190" s="1136"/>
      <c r="M190" s="445"/>
      <c r="N190" s="445"/>
      <c r="O190" s="445"/>
      <c r="P190" s="445"/>
    </row>
    <row r="191" spans="1:16">
      <c r="A191" s="277"/>
      <c r="B191" s="277"/>
      <c r="C191" s="277"/>
      <c r="D191" s="445"/>
      <c r="E191" s="445"/>
      <c r="F191" s="277"/>
      <c r="G191" s="445"/>
      <c r="H191" s="445"/>
      <c r="I191" s="445"/>
      <c r="K191" s="1136"/>
      <c r="L191" s="1136"/>
      <c r="M191" s="445"/>
      <c r="N191" s="445"/>
      <c r="O191" s="445"/>
      <c r="P191" s="445"/>
    </row>
    <row r="192" spans="1:16">
      <c r="A192" s="277"/>
      <c r="B192" s="277"/>
      <c r="C192" s="277"/>
      <c r="D192" s="445"/>
      <c r="E192" s="445"/>
      <c r="F192" s="277"/>
      <c r="G192" s="445"/>
      <c r="H192" s="445"/>
      <c r="I192" s="445"/>
      <c r="K192" s="1136"/>
      <c r="L192" s="1136"/>
      <c r="M192" s="445"/>
      <c r="N192" s="445"/>
      <c r="O192" s="445"/>
      <c r="P192" s="445"/>
    </row>
    <row r="193" spans="1:16">
      <c r="A193" s="277"/>
      <c r="B193" s="277"/>
      <c r="C193" s="277"/>
      <c r="D193" s="445"/>
      <c r="E193" s="445"/>
      <c r="F193" s="277"/>
      <c r="G193" s="445"/>
      <c r="H193" s="445"/>
      <c r="I193" s="445"/>
      <c r="K193" s="1136"/>
      <c r="L193" s="1136"/>
      <c r="M193" s="445"/>
      <c r="N193" s="445"/>
      <c r="O193" s="445"/>
      <c r="P193" s="445"/>
    </row>
    <row r="194" spans="1:16">
      <c r="A194" s="277"/>
      <c r="B194" s="277"/>
      <c r="C194" s="277"/>
      <c r="D194" s="445"/>
      <c r="E194" s="445"/>
      <c r="F194" s="277"/>
      <c r="G194" s="445"/>
      <c r="H194" s="445"/>
      <c r="I194" s="445"/>
      <c r="K194" s="1136"/>
      <c r="L194" s="1136"/>
      <c r="M194" s="445"/>
      <c r="N194" s="445"/>
      <c r="O194" s="445"/>
      <c r="P194" s="445"/>
    </row>
    <row r="195" spans="1:16">
      <c r="A195" s="277"/>
      <c r="B195" s="277"/>
      <c r="C195" s="277"/>
      <c r="D195" s="445"/>
      <c r="E195" s="445"/>
      <c r="F195" s="277"/>
      <c r="G195" s="445"/>
      <c r="H195" s="445"/>
      <c r="I195" s="445"/>
      <c r="K195" s="1136"/>
      <c r="L195" s="1136"/>
      <c r="M195" s="445"/>
      <c r="N195" s="445"/>
      <c r="O195" s="445"/>
      <c r="P195" s="445"/>
    </row>
    <row r="196" spans="1:16">
      <c r="A196" s="277"/>
      <c r="B196" s="277"/>
      <c r="C196" s="277"/>
      <c r="D196" s="445"/>
      <c r="E196" s="445"/>
      <c r="F196" s="277"/>
      <c r="G196" s="445"/>
      <c r="H196" s="445"/>
      <c r="I196" s="445"/>
      <c r="K196" s="1136"/>
      <c r="L196" s="1136"/>
      <c r="M196" s="445"/>
      <c r="N196" s="445"/>
      <c r="O196" s="445"/>
      <c r="P196" s="445"/>
    </row>
    <row r="197" spans="1:16">
      <c r="A197" s="277"/>
      <c r="B197" s="277"/>
      <c r="C197" s="277"/>
      <c r="D197" s="445"/>
      <c r="E197" s="445"/>
      <c r="F197" s="277"/>
      <c r="G197" s="445"/>
      <c r="H197" s="445"/>
      <c r="I197" s="445"/>
      <c r="K197" s="1136"/>
      <c r="L197" s="1136"/>
      <c r="M197" s="445"/>
      <c r="N197" s="445"/>
      <c r="O197" s="445"/>
      <c r="P197" s="445"/>
    </row>
    <row r="198" spans="1:16">
      <c r="A198" s="277"/>
      <c r="B198" s="277"/>
      <c r="C198" s="277"/>
      <c r="D198" s="445"/>
      <c r="E198" s="445"/>
      <c r="F198" s="277"/>
      <c r="G198" s="445"/>
      <c r="H198" s="445"/>
      <c r="I198" s="445"/>
      <c r="K198" s="1136"/>
      <c r="L198" s="1136"/>
      <c r="M198" s="445"/>
      <c r="N198" s="445"/>
      <c r="O198" s="445"/>
      <c r="P198" s="445"/>
    </row>
    <row r="199" spans="1:16">
      <c r="A199" s="277"/>
      <c r="B199" s="277"/>
      <c r="C199" s="277"/>
      <c r="D199" s="445"/>
      <c r="E199" s="445"/>
      <c r="F199" s="277"/>
      <c r="G199" s="445"/>
      <c r="H199" s="445"/>
      <c r="I199" s="445"/>
      <c r="K199" s="1136"/>
      <c r="L199" s="1136"/>
      <c r="M199" s="445"/>
      <c r="N199" s="445"/>
      <c r="O199" s="445"/>
      <c r="P199" s="445"/>
    </row>
    <row r="200" spans="1:16">
      <c r="A200" s="277"/>
      <c r="B200" s="277"/>
      <c r="C200" s="277"/>
      <c r="D200" s="445"/>
      <c r="E200" s="445"/>
      <c r="F200" s="277"/>
      <c r="G200" s="445"/>
      <c r="H200" s="445"/>
      <c r="I200" s="445"/>
      <c r="K200" s="1136"/>
      <c r="L200" s="1136"/>
      <c r="M200" s="445"/>
      <c r="N200" s="445"/>
      <c r="O200" s="445"/>
      <c r="P200" s="445"/>
    </row>
    <row r="201" spans="1:16">
      <c r="A201" s="277"/>
      <c r="B201" s="277"/>
      <c r="C201" s="277"/>
      <c r="D201" s="445"/>
      <c r="E201" s="445"/>
      <c r="F201" s="277"/>
      <c r="G201" s="445"/>
      <c r="H201" s="445"/>
      <c r="I201" s="445"/>
      <c r="K201" s="1136"/>
      <c r="L201" s="1136"/>
      <c r="M201" s="445"/>
      <c r="N201" s="445"/>
      <c r="O201" s="445"/>
      <c r="P201" s="445"/>
    </row>
    <row r="202" spans="1:16">
      <c r="A202" s="277"/>
      <c r="B202" s="277"/>
      <c r="C202" s="277"/>
      <c r="D202" s="445"/>
      <c r="E202" s="445"/>
      <c r="F202" s="277"/>
      <c r="G202" s="445"/>
      <c r="H202" s="445"/>
      <c r="I202" s="445"/>
      <c r="K202" s="1136"/>
      <c r="L202" s="1136"/>
      <c r="M202" s="445"/>
      <c r="N202" s="445"/>
      <c r="O202" s="445"/>
      <c r="P202" s="445"/>
    </row>
    <row r="203" spans="1:16">
      <c r="A203" s="277"/>
      <c r="B203" s="277"/>
      <c r="C203" s="277"/>
      <c r="D203" s="445"/>
      <c r="E203" s="445"/>
      <c r="F203" s="277"/>
      <c r="G203" s="445"/>
      <c r="H203" s="445"/>
      <c r="I203" s="445"/>
      <c r="K203" s="1136"/>
      <c r="L203" s="1136"/>
      <c r="M203" s="445"/>
      <c r="N203" s="445"/>
      <c r="O203" s="445"/>
      <c r="P203" s="445"/>
    </row>
    <row r="204" spans="1:16">
      <c r="A204" s="277"/>
      <c r="B204" s="277"/>
      <c r="C204" s="277"/>
      <c r="D204" s="445"/>
      <c r="E204" s="445"/>
      <c r="F204" s="277"/>
      <c r="G204" s="445"/>
      <c r="H204" s="445"/>
      <c r="I204" s="445"/>
      <c r="K204" s="1136"/>
      <c r="L204" s="1136"/>
      <c r="M204" s="445"/>
      <c r="N204" s="445"/>
      <c r="O204" s="445"/>
      <c r="P204" s="445"/>
    </row>
    <row r="205" spans="1:16">
      <c r="A205" s="277"/>
      <c r="B205" s="277"/>
      <c r="C205" s="277"/>
      <c r="D205" s="445"/>
      <c r="E205" s="445"/>
      <c r="F205" s="277"/>
      <c r="G205" s="445"/>
      <c r="H205" s="445"/>
      <c r="I205" s="445"/>
      <c r="K205" s="1136"/>
      <c r="L205" s="1136"/>
      <c r="M205" s="445"/>
      <c r="N205" s="445"/>
      <c r="O205" s="445"/>
      <c r="P205" s="445"/>
    </row>
    <row r="206" spans="1:16">
      <c r="A206" s="277"/>
      <c r="B206" s="277"/>
      <c r="C206" s="277"/>
      <c r="D206" s="445"/>
      <c r="E206" s="445"/>
      <c r="F206" s="277"/>
      <c r="G206" s="445"/>
      <c r="H206" s="445"/>
      <c r="I206" s="445"/>
      <c r="K206" s="1136"/>
      <c r="L206" s="1136"/>
      <c r="M206" s="445"/>
      <c r="N206" s="445"/>
      <c r="O206" s="445"/>
      <c r="P206" s="445"/>
    </row>
    <row r="207" spans="1:16">
      <c r="A207" s="277"/>
      <c r="B207" s="277"/>
      <c r="C207" s="277"/>
      <c r="D207" s="445"/>
      <c r="E207" s="445"/>
      <c r="F207" s="277"/>
      <c r="G207" s="445"/>
      <c r="H207" s="445"/>
      <c r="I207" s="445"/>
      <c r="K207" s="1136"/>
      <c r="L207" s="1136"/>
      <c r="M207" s="445"/>
      <c r="N207" s="445"/>
      <c r="O207" s="445"/>
      <c r="P207" s="445"/>
    </row>
    <row r="208" spans="1:16">
      <c r="A208" s="277"/>
      <c r="B208" s="277"/>
      <c r="C208" s="277"/>
      <c r="D208" s="445"/>
      <c r="E208" s="445"/>
      <c r="F208" s="277"/>
      <c r="G208" s="445"/>
      <c r="H208" s="445"/>
      <c r="I208" s="445"/>
      <c r="K208" s="1136"/>
      <c r="L208" s="1136"/>
      <c r="M208" s="445"/>
      <c r="N208" s="445"/>
      <c r="O208" s="445"/>
      <c r="P208" s="445"/>
    </row>
    <row r="209" spans="1:16">
      <c r="A209" s="277"/>
      <c r="B209" s="277"/>
      <c r="C209" s="277"/>
      <c r="D209" s="445"/>
      <c r="E209" s="445"/>
      <c r="F209" s="277"/>
      <c r="G209" s="445"/>
      <c r="H209" s="445"/>
      <c r="I209" s="445"/>
      <c r="K209" s="1136"/>
      <c r="L209" s="1136"/>
      <c r="M209" s="445"/>
      <c r="N209" s="445"/>
      <c r="O209" s="445"/>
      <c r="P209" s="445"/>
    </row>
    <row r="210" spans="1:16">
      <c r="A210" s="277"/>
      <c r="B210" s="277"/>
      <c r="C210" s="277"/>
      <c r="D210" s="445"/>
      <c r="E210" s="445"/>
      <c r="F210" s="277"/>
      <c r="G210" s="445"/>
      <c r="H210" s="445"/>
      <c r="I210" s="445"/>
      <c r="K210" s="1136"/>
      <c r="L210" s="1136"/>
      <c r="M210" s="445"/>
      <c r="N210" s="445"/>
      <c r="O210" s="445"/>
      <c r="P210" s="445"/>
    </row>
    <row r="211" spans="1:16">
      <c r="A211" s="277"/>
      <c r="B211" s="277"/>
      <c r="C211" s="277"/>
      <c r="D211" s="445"/>
      <c r="E211" s="445"/>
      <c r="F211" s="277"/>
      <c r="G211" s="445"/>
      <c r="H211" s="445"/>
      <c r="I211" s="445"/>
      <c r="K211" s="1136"/>
      <c r="L211" s="1136"/>
      <c r="M211" s="445"/>
      <c r="N211" s="445"/>
      <c r="O211" s="445"/>
      <c r="P211" s="445"/>
    </row>
    <row r="212" spans="1:16">
      <c r="A212" s="277"/>
      <c r="B212" s="277"/>
      <c r="C212" s="277"/>
      <c r="D212" s="445"/>
      <c r="E212" s="445"/>
      <c r="F212" s="277"/>
      <c r="G212" s="445"/>
      <c r="H212" s="445"/>
      <c r="I212" s="445"/>
      <c r="K212" s="1136"/>
      <c r="L212" s="1136"/>
      <c r="M212" s="445"/>
      <c r="N212" s="445"/>
      <c r="O212" s="445"/>
      <c r="P212" s="445"/>
    </row>
    <row r="213" spans="1:16">
      <c r="A213" s="277"/>
      <c r="B213" s="277"/>
      <c r="C213" s="277"/>
      <c r="D213" s="445"/>
      <c r="E213" s="445"/>
      <c r="F213" s="277"/>
      <c r="G213" s="445"/>
      <c r="H213" s="445"/>
      <c r="I213" s="445"/>
      <c r="K213" s="1136"/>
      <c r="L213" s="1136"/>
      <c r="M213" s="445"/>
      <c r="N213" s="445"/>
      <c r="O213" s="445"/>
      <c r="P213" s="445"/>
    </row>
    <row r="214" spans="1:16">
      <c r="A214" s="277"/>
      <c r="B214" s="277"/>
      <c r="C214" s="277"/>
      <c r="D214" s="445"/>
      <c r="E214" s="445"/>
      <c r="F214" s="277"/>
      <c r="G214" s="445"/>
      <c r="H214" s="445"/>
      <c r="I214" s="445"/>
      <c r="K214" s="1136"/>
      <c r="L214" s="1136"/>
      <c r="M214" s="445"/>
      <c r="N214" s="445"/>
      <c r="O214" s="445"/>
      <c r="P214" s="445"/>
    </row>
    <row r="215" spans="1:16">
      <c r="A215" s="277"/>
      <c r="B215" s="277"/>
      <c r="C215" s="277"/>
      <c r="D215" s="445"/>
      <c r="E215" s="445"/>
      <c r="F215" s="277"/>
      <c r="G215" s="445"/>
      <c r="H215" s="445"/>
      <c r="I215" s="445"/>
      <c r="K215" s="1136"/>
      <c r="L215" s="1136"/>
      <c r="M215" s="445"/>
      <c r="N215" s="445"/>
      <c r="O215" s="445"/>
      <c r="P215" s="445"/>
    </row>
    <row r="216" spans="1:16">
      <c r="A216" s="277"/>
      <c r="B216" s="277"/>
      <c r="C216" s="277"/>
      <c r="D216" s="445"/>
      <c r="E216" s="445"/>
      <c r="F216" s="277"/>
      <c r="G216" s="445"/>
      <c r="H216" s="445"/>
      <c r="I216" s="445"/>
      <c r="K216" s="1136"/>
      <c r="L216" s="1136"/>
      <c r="M216" s="445"/>
      <c r="N216" s="445"/>
      <c r="O216" s="445"/>
      <c r="P216" s="445"/>
    </row>
    <row r="217" spans="1:16">
      <c r="A217" s="277"/>
      <c r="B217" s="277"/>
      <c r="C217" s="277"/>
      <c r="D217" s="445"/>
      <c r="E217" s="445"/>
      <c r="F217" s="277"/>
      <c r="G217" s="445"/>
      <c r="H217" s="445"/>
      <c r="I217" s="445"/>
      <c r="K217" s="1136"/>
      <c r="L217" s="1136"/>
      <c r="M217" s="445"/>
      <c r="N217" s="445"/>
      <c r="O217" s="445"/>
      <c r="P217" s="445"/>
    </row>
    <row r="218" spans="1:16">
      <c r="A218" s="277"/>
      <c r="B218" s="277"/>
      <c r="C218" s="277"/>
      <c r="D218" s="445"/>
      <c r="E218" s="445"/>
      <c r="F218" s="277"/>
      <c r="G218" s="445"/>
      <c r="H218" s="445"/>
      <c r="I218" s="445"/>
      <c r="K218" s="1136"/>
      <c r="L218" s="1136"/>
      <c r="M218" s="445"/>
      <c r="N218" s="445"/>
      <c r="O218" s="445"/>
      <c r="P218" s="445"/>
    </row>
    <row r="219" spans="1:16">
      <c r="A219" s="277"/>
      <c r="B219" s="277"/>
      <c r="C219" s="277"/>
      <c r="D219" s="445"/>
      <c r="E219" s="445"/>
      <c r="F219" s="277"/>
      <c r="G219" s="445"/>
      <c r="H219" s="445"/>
      <c r="I219" s="445"/>
      <c r="K219" s="1136"/>
      <c r="L219" s="1136"/>
      <c r="M219" s="445"/>
      <c r="N219" s="445"/>
      <c r="O219" s="445"/>
      <c r="P219" s="445"/>
    </row>
    <row r="220" spans="1:16">
      <c r="A220" s="277"/>
      <c r="B220" s="277"/>
      <c r="C220" s="277"/>
      <c r="D220" s="445"/>
      <c r="E220" s="445"/>
      <c r="F220" s="277"/>
      <c r="G220" s="445"/>
      <c r="H220" s="445"/>
      <c r="I220" s="445"/>
      <c r="K220" s="1136"/>
      <c r="L220" s="1136"/>
      <c r="M220" s="445"/>
      <c r="N220" s="445"/>
      <c r="O220" s="445"/>
      <c r="P220" s="445"/>
    </row>
    <row r="221" spans="1:16">
      <c r="A221" s="277"/>
      <c r="B221" s="277"/>
      <c r="C221" s="277"/>
      <c r="D221" s="445"/>
      <c r="E221" s="445"/>
      <c r="F221" s="277"/>
      <c r="G221" s="445"/>
      <c r="H221" s="445"/>
      <c r="I221" s="445"/>
      <c r="K221" s="1136"/>
      <c r="L221" s="1136"/>
      <c r="M221" s="445"/>
      <c r="N221" s="445"/>
      <c r="O221" s="445"/>
      <c r="P221" s="445"/>
    </row>
    <row r="222" spans="1:16">
      <c r="A222" s="277"/>
      <c r="B222" s="277"/>
      <c r="C222" s="277"/>
      <c r="D222" s="445"/>
      <c r="E222" s="445"/>
      <c r="F222" s="277"/>
      <c r="G222" s="445"/>
      <c r="H222" s="445"/>
      <c r="I222" s="445"/>
      <c r="K222" s="1136"/>
      <c r="L222" s="1136"/>
      <c r="M222" s="445"/>
      <c r="N222" s="445"/>
      <c r="O222" s="445"/>
      <c r="P222" s="445"/>
    </row>
    <row r="223" spans="1:16">
      <c r="A223" s="277"/>
      <c r="B223" s="277"/>
      <c r="C223" s="277"/>
      <c r="D223" s="445"/>
      <c r="E223" s="445"/>
      <c r="F223" s="277"/>
      <c r="G223" s="445"/>
      <c r="H223" s="445"/>
      <c r="I223" s="445"/>
      <c r="K223" s="1136"/>
      <c r="L223" s="1136"/>
      <c r="M223" s="445"/>
      <c r="N223" s="445"/>
      <c r="O223" s="445"/>
      <c r="P223" s="445"/>
    </row>
    <row r="224" spans="1:16">
      <c r="A224" s="277"/>
      <c r="B224" s="277"/>
      <c r="C224" s="277"/>
      <c r="D224" s="445"/>
      <c r="E224" s="445"/>
      <c r="F224" s="277"/>
      <c r="G224" s="445"/>
      <c r="H224" s="445"/>
      <c r="I224" s="445"/>
      <c r="K224" s="1136"/>
      <c r="L224" s="1136"/>
      <c r="M224" s="445"/>
      <c r="N224" s="445"/>
      <c r="O224" s="445"/>
      <c r="P224" s="445"/>
    </row>
    <row r="225" spans="1:16">
      <c r="A225" s="277"/>
      <c r="B225" s="277"/>
      <c r="C225" s="277"/>
      <c r="D225" s="445"/>
      <c r="E225" s="445"/>
      <c r="F225" s="277"/>
      <c r="G225" s="445"/>
      <c r="H225" s="445"/>
      <c r="I225" s="445"/>
      <c r="K225" s="1136"/>
      <c r="L225" s="1136"/>
      <c r="M225" s="445"/>
      <c r="N225" s="445"/>
      <c r="O225" s="445"/>
      <c r="P225" s="445"/>
    </row>
    <row r="226" spans="1:16">
      <c r="A226" s="277"/>
      <c r="B226" s="277"/>
      <c r="C226" s="277"/>
      <c r="D226" s="445"/>
      <c r="E226" s="445"/>
      <c r="F226" s="277"/>
      <c r="G226" s="445"/>
      <c r="H226" s="445"/>
      <c r="I226" s="445"/>
      <c r="K226" s="1136"/>
      <c r="L226" s="1136"/>
      <c r="M226" s="445"/>
      <c r="N226" s="445"/>
      <c r="O226" s="445"/>
      <c r="P226" s="445"/>
    </row>
    <row r="227" spans="1:16">
      <c r="A227" s="277"/>
      <c r="B227" s="277"/>
      <c r="C227" s="277"/>
      <c r="D227" s="445"/>
      <c r="E227" s="445"/>
      <c r="F227" s="277"/>
      <c r="G227" s="445"/>
      <c r="H227" s="445"/>
      <c r="I227" s="445"/>
      <c r="K227" s="1136"/>
      <c r="L227" s="1136"/>
      <c r="M227" s="445"/>
      <c r="N227" s="445"/>
      <c r="O227" s="445"/>
      <c r="P227" s="445"/>
    </row>
    <row r="228" spans="1:16">
      <c r="A228" s="277"/>
      <c r="B228" s="277"/>
      <c r="C228" s="277"/>
      <c r="D228" s="445"/>
      <c r="E228" s="445"/>
      <c r="F228" s="277"/>
      <c r="G228" s="445"/>
      <c r="H228" s="445"/>
      <c r="I228" s="445"/>
      <c r="K228" s="1136"/>
      <c r="L228" s="1136"/>
      <c r="M228" s="445"/>
      <c r="N228" s="445"/>
      <c r="O228" s="445"/>
      <c r="P228" s="445"/>
    </row>
    <row r="229" spans="1:16">
      <c r="A229" s="277"/>
      <c r="B229" s="277"/>
      <c r="C229" s="277"/>
      <c r="D229" s="445"/>
      <c r="E229" s="445"/>
      <c r="F229" s="277"/>
      <c r="G229" s="445"/>
      <c r="H229" s="445"/>
      <c r="I229" s="445"/>
      <c r="K229" s="1136"/>
      <c r="L229" s="1136"/>
      <c r="M229" s="445"/>
      <c r="N229" s="445"/>
      <c r="O229" s="445"/>
      <c r="P229" s="445"/>
    </row>
    <row r="230" spans="1:16">
      <c r="A230" s="277"/>
      <c r="B230" s="277"/>
      <c r="C230" s="277"/>
      <c r="D230" s="445"/>
      <c r="E230" s="445"/>
      <c r="F230" s="277"/>
      <c r="G230" s="445"/>
      <c r="H230" s="445"/>
      <c r="I230" s="445"/>
      <c r="K230" s="1136"/>
      <c r="L230" s="1136"/>
      <c r="M230" s="445"/>
      <c r="N230" s="445"/>
      <c r="O230" s="445"/>
      <c r="P230" s="445"/>
    </row>
    <row r="231" spans="1:16">
      <c r="A231" s="277"/>
      <c r="B231" s="277"/>
      <c r="C231" s="277"/>
      <c r="D231" s="445"/>
      <c r="E231" s="445"/>
      <c r="F231" s="277"/>
      <c r="G231" s="445"/>
      <c r="H231" s="445"/>
      <c r="I231" s="445"/>
      <c r="K231" s="1136"/>
      <c r="L231" s="1136"/>
      <c r="M231" s="445"/>
      <c r="N231" s="445"/>
      <c r="O231" s="445"/>
      <c r="P231" s="445"/>
    </row>
    <row r="232" spans="1:16">
      <c r="A232" s="277"/>
      <c r="B232" s="277"/>
      <c r="C232" s="277"/>
      <c r="D232" s="445"/>
      <c r="E232" s="445"/>
      <c r="F232" s="277"/>
      <c r="G232" s="445"/>
      <c r="H232" s="445"/>
      <c r="I232" s="445"/>
      <c r="K232" s="1136"/>
      <c r="L232" s="1136"/>
      <c r="M232" s="445"/>
      <c r="N232" s="445"/>
      <c r="O232" s="445"/>
      <c r="P232" s="445"/>
    </row>
    <row r="233" spans="1:16">
      <c r="A233" s="277"/>
      <c r="B233" s="277"/>
      <c r="C233" s="277"/>
      <c r="D233" s="445"/>
      <c r="E233" s="445"/>
      <c r="F233" s="277"/>
      <c r="G233" s="445"/>
      <c r="H233" s="445"/>
      <c r="I233" s="445"/>
      <c r="K233" s="1136"/>
      <c r="L233" s="1136"/>
      <c r="M233" s="445"/>
      <c r="N233" s="445"/>
      <c r="O233" s="445"/>
      <c r="P233" s="445"/>
    </row>
    <row r="234" spans="1:16">
      <c r="A234" s="277"/>
      <c r="B234" s="277"/>
      <c r="C234" s="277"/>
      <c r="D234" s="445"/>
      <c r="E234" s="445"/>
      <c r="F234" s="277"/>
      <c r="G234" s="445"/>
      <c r="H234" s="445"/>
      <c r="I234" s="445"/>
      <c r="K234" s="1136"/>
      <c r="L234" s="1136"/>
      <c r="M234" s="445"/>
      <c r="N234" s="445"/>
      <c r="O234" s="445"/>
      <c r="P234" s="445"/>
    </row>
    <row r="235" spans="1:16">
      <c r="A235" s="277"/>
      <c r="B235" s="277"/>
      <c r="C235" s="277"/>
      <c r="D235" s="445"/>
      <c r="E235" s="445"/>
      <c r="F235" s="277"/>
      <c r="G235" s="445"/>
      <c r="H235" s="445"/>
      <c r="I235" s="445"/>
      <c r="K235" s="1136"/>
      <c r="L235" s="1136"/>
      <c r="M235" s="445"/>
      <c r="N235" s="445"/>
      <c r="O235" s="445"/>
      <c r="P235" s="445"/>
    </row>
    <row r="236" spans="1:16">
      <c r="A236" s="277"/>
      <c r="B236" s="277"/>
      <c r="C236" s="277"/>
      <c r="D236" s="445"/>
      <c r="E236" s="445"/>
      <c r="F236" s="277"/>
      <c r="G236" s="445"/>
      <c r="H236" s="445"/>
      <c r="I236" s="445"/>
      <c r="K236" s="1136"/>
      <c r="L236" s="1136"/>
      <c r="M236" s="445"/>
      <c r="N236" s="445"/>
      <c r="O236" s="445"/>
      <c r="P236" s="445"/>
    </row>
    <row r="237" spans="1:16">
      <c r="A237" s="277"/>
      <c r="B237" s="277"/>
      <c r="C237" s="277"/>
      <c r="D237" s="445"/>
      <c r="E237" s="445"/>
      <c r="F237" s="277"/>
      <c r="G237" s="445"/>
      <c r="H237" s="445"/>
      <c r="I237" s="445"/>
      <c r="K237" s="1136"/>
      <c r="L237" s="1136"/>
      <c r="M237" s="445"/>
      <c r="N237" s="445"/>
      <c r="O237" s="445"/>
      <c r="P237" s="445"/>
    </row>
    <row r="238" spans="1:16">
      <c r="A238" s="277"/>
      <c r="B238" s="277"/>
      <c r="C238" s="277"/>
      <c r="D238" s="445"/>
      <c r="E238" s="445"/>
      <c r="F238" s="277"/>
      <c r="G238" s="445"/>
      <c r="H238" s="445"/>
      <c r="I238" s="445"/>
      <c r="K238" s="1136"/>
      <c r="L238" s="1136"/>
      <c r="M238" s="445"/>
      <c r="N238" s="445"/>
      <c r="O238" s="445"/>
      <c r="P238" s="445"/>
    </row>
    <row r="239" spans="1:16">
      <c r="A239" s="277"/>
      <c r="B239" s="277"/>
      <c r="C239" s="277"/>
      <c r="D239" s="445"/>
      <c r="E239" s="445"/>
      <c r="F239" s="277"/>
      <c r="G239" s="445"/>
      <c r="H239" s="445"/>
      <c r="I239" s="445"/>
      <c r="K239" s="1136"/>
      <c r="L239" s="1136"/>
      <c r="M239" s="445"/>
      <c r="N239" s="445"/>
      <c r="O239" s="445"/>
      <c r="P239" s="445"/>
    </row>
    <row r="240" spans="1:16">
      <c r="A240" s="277"/>
      <c r="B240" s="277"/>
      <c r="C240" s="277"/>
      <c r="D240" s="445"/>
      <c r="E240" s="445"/>
      <c r="F240" s="277"/>
      <c r="G240" s="445"/>
      <c r="H240" s="445"/>
      <c r="I240" s="445"/>
      <c r="K240" s="1136"/>
      <c r="L240" s="1136"/>
      <c r="M240" s="445"/>
      <c r="N240" s="445"/>
      <c r="O240" s="445"/>
      <c r="P240" s="445"/>
    </row>
    <row r="241" spans="1:16">
      <c r="A241" s="277"/>
      <c r="B241" s="277"/>
      <c r="C241" s="277"/>
      <c r="D241" s="445"/>
      <c r="E241" s="445"/>
      <c r="F241" s="277"/>
      <c r="G241" s="445"/>
      <c r="H241" s="445"/>
      <c r="I241" s="445"/>
      <c r="K241" s="1136"/>
      <c r="L241" s="1136"/>
      <c r="M241" s="445"/>
      <c r="N241" s="445"/>
      <c r="O241" s="445"/>
      <c r="P241" s="445"/>
    </row>
    <row r="242" spans="1:16">
      <c r="A242" s="277"/>
      <c r="B242" s="277"/>
      <c r="C242" s="277"/>
      <c r="D242" s="445"/>
      <c r="E242" s="445"/>
      <c r="F242" s="277"/>
      <c r="G242" s="445"/>
      <c r="H242" s="445"/>
      <c r="I242" s="445"/>
      <c r="K242" s="1136"/>
      <c r="L242" s="1136"/>
      <c r="M242" s="445"/>
      <c r="N242" s="445"/>
      <c r="O242" s="445"/>
      <c r="P242" s="445"/>
    </row>
    <row r="243" spans="1:16">
      <c r="A243" s="277"/>
      <c r="B243" s="277"/>
      <c r="C243" s="277"/>
      <c r="D243" s="445"/>
      <c r="E243" s="445"/>
      <c r="F243" s="277"/>
      <c r="G243" s="445"/>
      <c r="H243" s="445"/>
      <c r="I243" s="445"/>
      <c r="K243" s="1136"/>
      <c r="L243" s="1136"/>
      <c r="M243" s="445"/>
      <c r="N243" s="445"/>
      <c r="O243" s="445"/>
      <c r="P243" s="445"/>
    </row>
    <row r="244" spans="1:16">
      <c r="A244" s="277"/>
      <c r="B244" s="277"/>
      <c r="C244" s="277"/>
      <c r="D244" s="445"/>
      <c r="E244" s="445"/>
      <c r="F244" s="277"/>
      <c r="G244" s="445"/>
      <c r="H244" s="445"/>
      <c r="I244" s="445"/>
      <c r="K244" s="1136"/>
      <c r="L244" s="1136"/>
      <c r="M244" s="445"/>
      <c r="N244" s="445"/>
      <c r="O244" s="445"/>
      <c r="P244" s="445"/>
    </row>
    <row r="245" spans="1:16">
      <c r="A245" s="277"/>
      <c r="B245" s="277"/>
      <c r="C245" s="277"/>
      <c r="D245" s="445"/>
      <c r="E245" s="445"/>
      <c r="F245" s="277"/>
      <c r="G245" s="445"/>
      <c r="H245" s="445"/>
      <c r="I245" s="445"/>
      <c r="K245" s="1136"/>
      <c r="L245" s="1136"/>
      <c r="M245" s="445"/>
      <c r="N245" s="445"/>
      <c r="O245" s="445"/>
      <c r="P245" s="445"/>
    </row>
    <row r="246" spans="1:16">
      <c r="A246" s="277"/>
      <c r="B246" s="277"/>
      <c r="C246" s="277"/>
      <c r="D246" s="445"/>
      <c r="E246" s="445"/>
      <c r="F246" s="277"/>
      <c r="G246" s="445"/>
      <c r="H246" s="445"/>
      <c r="I246" s="445"/>
      <c r="K246" s="1136"/>
      <c r="L246" s="1136"/>
      <c r="M246" s="445"/>
      <c r="N246" s="445"/>
      <c r="O246" s="445"/>
      <c r="P246" s="445"/>
    </row>
    <row r="247" spans="1:16">
      <c r="A247" s="277"/>
      <c r="B247" s="277"/>
      <c r="C247" s="277"/>
      <c r="D247" s="445"/>
      <c r="E247" s="445"/>
      <c r="F247" s="277"/>
      <c r="G247" s="445"/>
      <c r="H247" s="445"/>
      <c r="I247" s="445"/>
      <c r="K247" s="1136"/>
      <c r="L247" s="1136"/>
      <c r="M247" s="445"/>
      <c r="N247" s="445"/>
      <c r="O247" s="445"/>
      <c r="P247" s="445"/>
    </row>
    <row r="248" spans="1:16">
      <c r="A248" s="277"/>
      <c r="B248" s="277"/>
      <c r="C248" s="277"/>
      <c r="D248" s="445"/>
      <c r="E248" s="445"/>
      <c r="F248" s="277"/>
      <c r="G248" s="445"/>
      <c r="H248" s="445"/>
      <c r="I248" s="445"/>
      <c r="K248" s="1136"/>
      <c r="L248" s="1136"/>
      <c r="M248" s="445"/>
      <c r="N248" s="445"/>
      <c r="O248" s="445"/>
      <c r="P248" s="445"/>
    </row>
    <row r="249" spans="1:16">
      <c r="A249" s="277"/>
      <c r="B249" s="277"/>
      <c r="C249" s="277"/>
      <c r="D249" s="445"/>
      <c r="E249" s="445"/>
      <c r="F249" s="277"/>
      <c r="G249" s="445"/>
      <c r="H249" s="445"/>
      <c r="I249" s="445"/>
      <c r="K249" s="1136"/>
      <c r="L249" s="1136"/>
      <c r="M249" s="445"/>
      <c r="N249" s="445"/>
      <c r="O249" s="445"/>
      <c r="P249" s="445"/>
    </row>
    <row r="250" spans="1:16">
      <c r="A250" s="277"/>
      <c r="B250" s="277"/>
      <c r="C250" s="277"/>
      <c r="D250" s="445"/>
      <c r="E250" s="445"/>
      <c r="F250" s="277"/>
      <c r="G250" s="445"/>
      <c r="H250" s="445"/>
      <c r="I250" s="445"/>
      <c r="K250" s="1136"/>
      <c r="L250" s="1136"/>
      <c r="M250" s="445"/>
      <c r="N250" s="445"/>
      <c r="O250" s="445"/>
      <c r="P250" s="445"/>
    </row>
    <row r="251" spans="1:16">
      <c r="A251" s="277"/>
      <c r="B251" s="277"/>
      <c r="C251" s="277"/>
      <c r="D251" s="445"/>
      <c r="E251" s="445"/>
      <c r="F251" s="277"/>
      <c r="G251" s="445"/>
      <c r="H251" s="445"/>
      <c r="I251" s="445"/>
      <c r="K251" s="1136"/>
      <c r="L251" s="1136"/>
      <c r="M251" s="445"/>
      <c r="N251" s="445"/>
      <c r="O251" s="445"/>
      <c r="P251" s="445"/>
    </row>
    <row r="252" spans="1:16">
      <c r="A252" s="277"/>
      <c r="B252" s="277"/>
      <c r="C252" s="277"/>
      <c r="D252" s="445"/>
      <c r="E252" s="445"/>
      <c r="F252" s="277"/>
      <c r="G252" s="445"/>
      <c r="H252" s="445"/>
      <c r="I252" s="445"/>
      <c r="K252" s="1136"/>
      <c r="L252" s="1136"/>
      <c r="M252" s="445"/>
      <c r="N252" s="445"/>
      <c r="O252" s="445"/>
      <c r="P252" s="445"/>
    </row>
    <row r="253" spans="1:16">
      <c r="A253" s="277"/>
      <c r="B253" s="277"/>
      <c r="C253" s="277"/>
      <c r="D253" s="445"/>
      <c r="E253" s="445"/>
      <c r="F253" s="277"/>
      <c r="G253" s="445"/>
      <c r="H253" s="445"/>
      <c r="I253" s="445"/>
      <c r="K253" s="1136"/>
      <c r="L253" s="1136"/>
      <c r="M253" s="445"/>
      <c r="N253" s="445"/>
      <c r="O253" s="445"/>
      <c r="P253" s="445"/>
    </row>
    <row r="254" spans="1:16">
      <c r="A254" s="277"/>
      <c r="B254" s="277"/>
      <c r="C254" s="277"/>
      <c r="D254" s="445"/>
      <c r="E254" s="445"/>
      <c r="F254" s="277"/>
      <c r="G254" s="445"/>
      <c r="H254" s="445"/>
      <c r="I254" s="445"/>
      <c r="K254" s="1136"/>
      <c r="L254" s="1136"/>
      <c r="M254" s="445"/>
      <c r="N254" s="445"/>
      <c r="O254" s="445"/>
      <c r="P254" s="445"/>
    </row>
    <row r="255" spans="1:16">
      <c r="A255" s="277"/>
      <c r="B255" s="277"/>
      <c r="C255" s="277"/>
      <c r="D255" s="445"/>
      <c r="E255" s="445"/>
      <c r="F255" s="277"/>
      <c r="G255" s="445"/>
      <c r="H255" s="445"/>
      <c r="I255" s="445"/>
      <c r="K255" s="1136"/>
      <c r="L255" s="1136"/>
      <c r="M255" s="445"/>
      <c r="N255" s="445"/>
      <c r="O255" s="445"/>
      <c r="P255" s="445"/>
    </row>
    <row r="256" spans="1:16">
      <c r="A256" s="277"/>
      <c r="B256" s="277"/>
      <c r="C256" s="277"/>
      <c r="D256" s="445"/>
      <c r="E256" s="445"/>
      <c r="F256" s="277"/>
      <c r="G256" s="445"/>
      <c r="H256" s="445"/>
      <c r="I256" s="445"/>
      <c r="K256" s="1136"/>
      <c r="L256" s="1136"/>
      <c r="M256" s="445"/>
      <c r="N256" s="445"/>
      <c r="O256" s="445"/>
      <c r="P256" s="445"/>
    </row>
    <row r="257" spans="1:16">
      <c r="A257" s="277"/>
      <c r="B257" s="277"/>
      <c r="C257" s="277"/>
      <c r="D257" s="445"/>
      <c r="E257" s="445"/>
      <c r="F257" s="277"/>
      <c r="G257" s="445"/>
      <c r="H257" s="445"/>
      <c r="I257" s="445"/>
      <c r="K257" s="1136"/>
      <c r="L257" s="1136"/>
      <c r="M257" s="445"/>
      <c r="N257" s="445"/>
      <c r="O257" s="445"/>
      <c r="P257" s="445"/>
    </row>
    <row r="258" spans="1:16">
      <c r="A258" s="277"/>
      <c r="B258" s="277"/>
      <c r="C258" s="277"/>
      <c r="D258" s="445"/>
      <c r="E258" s="445"/>
      <c r="F258" s="277"/>
      <c r="G258" s="445"/>
      <c r="H258" s="445"/>
      <c r="I258" s="445"/>
      <c r="K258" s="1136"/>
      <c r="L258" s="1136"/>
      <c r="M258" s="445"/>
      <c r="N258" s="445"/>
      <c r="O258" s="445"/>
      <c r="P258" s="445"/>
    </row>
    <row r="259" spans="1:16">
      <c r="A259" s="277"/>
      <c r="B259" s="277"/>
      <c r="C259" s="277"/>
      <c r="D259" s="445"/>
      <c r="E259" s="445"/>
      <c r="F259" s="277"/>
      <c r="G259" s="445"/>
      <c r="H259" s="445"/>
      <c r="I259" s="445"/>
      <c r="K259" s="1136"/>
      <c r="L259" s="1136"/>
      <c r="M259" s="445"/>
      <c r="N259" s="445"/>
      <c r="O259" s="445"/>
      <c r="P259" s="445"/>
    </row>
    <row r="260" spans="1:16">
      <c r="A260" s="277"/>
      <c r="B260" s="277"/>
      <c r="C260" s="277"/>
      <c r="D260" s="445"/>
      <c r="E260" s="445"/>
      <c r="F260" s="277"/>
      <c r="G260" s="445"/>
      <c r="H260" s="445"/>
      <c r="I260" s="445"/>
      <c r="K260" s="1136"/>
      <c r="L260" s="1136"/>
      <c r="M260" s="445"/>
      <c r="N260" s="445"/>
      <c r="O260" s="445"/>
      <c r="P260" s="445"/>
    </row>
    <row r="261" spans="1:16">
      <c r="A261" s="277"/>
      <c r="B261" s="277"/>
      <c r="C261" s="277"/>
      <c r="D261" s="445"/>
      <c r="E261" s="445"/>
      <c r="F261" s="277"/>
      <c r="G261" s="445"/>
      <c r="H261" s="445"/>
      <c r="I261" s="445"/>
      <c r="K261" s="1136"/>
      <c r="L261" s="1136"/>
      <c r="M261" s="445"/>
      <c r="N261" s="445"/>
      <c r="O261" s="445"/>
      <c r="P261" s="445"/>
    </row>
    <row r="262" spans="1:16">
      <c r="A262" s="277"/>
      <c r="B262" s="277"/>
      <c r="C262" s="277"/>
      <c r="D262" s="445"/>
      <c r="E262" s="445"/>
      <c r="F262" s="277"/>
      <c r="G262" s="445"/>
      <c r="H262" s="445"/>
      <c r="I262" s="445"/>
      <c r="K262" s="1136"/>
      <c r="L262" s="1136"/>
      <c r="M262" s="445"/>
      <c r="N262" s="445"/>
      <c r="O262" s="445"/>
      <c r="P262" s="445"/>
    </row>
    <row r="263" spans="1:16">
      <c r="A263" s="277"/>
      <c r="B263" s="277"/>
      <c r="C263" s="277"/>
      <c r="D263" s="445"/>
      <c r="E263" s="445"/>
      <c r="F263" s="277"/>
      <c r="G263" s="445"/>
      <c r="H263" s="445"/>
      <c r="I263" s="445"/>
      <c r="K263" s="1136"/>
      <c r="L263" s="1136"/>
      <c r="M263" s="445"/>
      <c r="N263" s="445"/>
      <c r="O263" s="445"/>
      <c r="P263" s="445"/>
    </row>
    <row r="264" spans="1:16">
      <c r="A264" s="277"/>
      <c r="B264" s="277"/>
      <c r="C264" s="277"/>
      <c r="D264" s="445"/>
      <c r="E264" s="445"/>
      <c r="F264" s="277"/>
      <c r="G264" s="445"/>
      <c r="H264" s="445"/>
      <c r="I264" s="445"/>
      <c r="K264" s="1136"/>
      <c r="L264" s="1136"/>
      <c r="M264" s="445"/>
      <c r="N264" s="445"/>
      <c r="O264" s="445"/>
      <c r="P264" s="445"/>
    </row>
    <row r="265" spans="1:16">
      <c r="A265" s="277"/>
      <c r="B265" s="277"/>
      <c r="C265" s="277"/>
      <c r="D265" s="445"/>
      <c r="E265" s="445"/>
      <c r="F265" s="277"/>
      <c r="G265" s="445"/>
      <c r="H265" s="445"/>
      <c r="I265" s="445"/>
      <c r="K265" s="1136"/>
      <c r="L265" s="1136"/>
      <c r="M265" s="445"/>
      <c r="N265" s="445"/>
      <c r="O265" s="445"/>
      <c r="P265" s="445"/>
    </row>
    <row r="266" spans="1:16">
      <c r="A266" s="277"/>
      <c r="B266" s="277"/>
      <c r="C266" s="277"/>
      <c r="D266" s="445"/>
      <c r="E266" s="445"/>
      <c r="F266" s="277"/>
      <c r="G266" s="445"/>
      <c r="H266" s="445"/>
      <c r="I266" s="445"/>
      <c r="K266" s="1136"/>
      <c r="L266" s="1136"/>
      <c r="M266" s="445"/>
      <c r="N266" s="445"/>
      <c r="O266" s="445"/>
      <c r="P266" s="445"/>
    </row>
    <row r="267" spans="1:16">
      <c r="A267" s="277"/>
      <c r="B267" s="277"/>
      <c r="C267" s="277"/>
      <c r="D267" s="445"/>
      <c r="E267" s="445"/>
      <c r="F267" s="277"/>
      <c r="G267" s="445"/>
      <c r="H267" s="445"/>
      <c r="I267" s="445"/>
      <c r="K267" s="1136"/>
      <c r="L267" s="1136"/>
      <c r="M267" s="445"/>
      <c r="N267" s="445"/>
      <c r="O267" s="445"/>
      <c r="P267" s="445"/>
    </row>
    <row r="268" spans="1:16">
      <c r="A268" s="277"/>
      <c r="B268" s="277"/>
      <c r="C268" s="277"/>
      <c r="D268" s="445"/>
      <c r="E268" s="445"/>
      <c r="F268" s="277"/>
      <c r="G268" s="445"/>
      <c r="H268" s="445"/>
      <c r="I268" s="445"/>
      <c r="K268" s="1136"/>
      <c r="L268" s="1136"/>
      <c r="M268" s="445"/>
      <c r="N268" s="445"/>
      <c r="O268" s="445"/>
      <c r="P268" s="445"/>
    </row>
    <row r="269" spans="1:16">
      <c r="A269" s="277"/>
      <c r="B269" s="277"/>
      <c r="C269" s="277"/>
      <c r="D269" s="445"/>
      <c r="E269" s="445"/>
      <c r="F269" s="277"/>
      <c r="G269" s="445"/>
      <c r="H269" s="445"/>
      <c r="I269" s="445"/>
      <c r="K269" s="1136"/>
      <c r="L269" s="1136"/>
      <c r="M269" s="445"/>
      <c r="N269" s="445"/>
      <c r="O269" s="445"/>
      <c r="P269" s="445"/>
    </row>
    <row r="270" spans="1:16">
      <c r="A270" s="277"/>
      <c r="B270" s="277"/>
      <c r="C270" s="277"/>
      <c r="D270" s="445"/>
      <c r="E270" s="445"/>
      <c r="F270" s="277"/>
      <c r="G270" s="445"/>
      <c r="H270" s="445"/>
      <c r="I270" s="445"/>
      <c r="K270" s="1136"/>
      <c r="L270" s="1136"/>
      <c r="M270" s="445"/>
      <c r="N270" s="445"/>
      <c r="O270" s="445"/>
      <c r="P270" s="445"/>
    </row>
    <row r="271" spans="1:16">
      <c r="A271" s="277"/>
      <c r="B271" s="277"/>
      <c r="C271" s="277"/>
      <c r="D271" s="445"/>
      <c r="E271" s="445"/>
      <c r="F271" s="277"/>
      <c r="G271" s="445"/>
      <c r="H271" s="445"/>
      <c r="I271" s="445"/>
      <c r="K271" s="1136"/>
      <c r="L271" s="1136"/>
      <c r="M271" s="445"/>
      <c r="N271" s="445"/>
      <c r="O271" s="445"/>
      <c r="P271" s="445"/>
    </row>
    <row r="272" spans="1:16">
      <c r="A272" s="277"/>
      <c r="B272" s="277"/>
      <c r="C272" s="277"/>
      <c r="D272" s="445"/>
      <c r="E272" s="445"/>
      <c r="F272" s="277"/>
      <c r="G272" s="445"/>
      <c r="H272" s="445"/>
      <c r="I272" s="445"/>
      <c r="K272" s="1136"/>
      <c r="L272" s="1136"/>
      <c r="M272" s="445"/>
      <c r="N272" s="445"/>
      <c r="O272" s="445"/>
      <c r="P272" s="445"/>
    </row>
    <row r="273" spans="1:16">
      <c r="A273" s="277"/>
      <c r="B273" s="277"/>
      <c r="C273" s="277"/>
      <c r="D273" s="445"/>
      <c r="E273" s="445"/>
      <c r="F273" s="277"/>
      <c r="G273" s="445"/>
      <c r="H273" s="445"/>
      <c r="I273" s="445"/>
      <c r="K273" s="1136"/>
      <c r="L273" s="1136"/>
      <c r="M273" s="445"/>
      <c r="N273" s="445"/>
      <c r="O273" s="445"/>
      <c r="P273" s="445"/>
    </row>
    <row r="274" spans="1:16">
      <c r="A274" s="277"/>
      <c r="B274" s="277"/>
      <c r="C274" s="277"/>
      <c r="D274" s="445"/>
      <c r="E274" s="445"/>
      <c r="F274" s="277"/>
      <c r="G274" s="445"/>
      <c r="H274" s="445"/>
      <c r="I274" s="445"/>
      <c r="K274" s="1136"/>
      <c r="L274" s="1136"/>
      <c r="M274" s="445"/>
      <c r="N274" s="445"/>
      <c r="O274" s="445"/>
      <c r="P274" s="445"/>
    </row>
    <row r="275" spans="1:16">
      <c r="A275" s="277"/>
      <c r="B275" s="277"/>
      <c r="C275" s="277"/>
      <c r="D275" s="445"/>
      <c r="E275" s="445"/>
      <c r="F275" s="277"/>
      <c r="G275" s="445"/>
      <c r="H275" s="445"/>
      <c r="I275" s="445"/>
      <c r="K275" s="1136"/>
      <c r="L275" s="1136"/>
      <c r="M275" s="445"/>
      <c r="N275" s="445"/>
      <c r="O275" s="445"/>
      <c r="P275" s="445"/>
    </row>
    <row r="276" spans="1:16">
      <c r="A276" s="277"/>
      <c r="B276" s="277"/>
      <c r="C276" s="277"/>
      <c r="D276" s="445"/>
      <c r="E276" s="445"/>
      <c r="F276" s="277"/>
      <c r="G276" s="445"/>
      <c r="H276" s="445"/>
      <c r="I276" s="445"/>
      <c r="K276" s="1136"/>
      <c r="L276" s="1136"/>
      <c r="M276" s="445"/>
      <c r="N276" s="445"/>
      <c r="O276" s="445"/>
      <c r="P276" s="445"/>
    </row>
    <row r="277" spans="1:16">
      <c r="A277" s="277"/>
      <c r="B277" s="277"/>
      <c r="C277" s="277"/>
      <c r="D277" s="445"/>
      <c r="E277" s="445"/>
      <c r="F277" s="277"/>
      <c r="G277" s="445"/>
      <c r="H277" s="445"/>
      <c r="I277" s="445"/>
      <c r="K277" s="1136"/>
      <c r="L277" s="1136"/>
      <c r="M277" s="445"/>
      <c r="N277" s="445"/>
      <c r="O277" s="445"/>
      <c r="P277" s="445"/>
    </row>
    <row r="278" spans="1:16">
      <c r="A278" s="277"/>
      <c r="B278" s="277"/>
      <c r="C278" s="277"/>
      <c r="D278" s="445"/>
      <c r="E278" s="445"/>
      <c r="F278" s="277"/>
      <c r="G278" s="445"/>
      <c r="H278" s="445"/>
      <c r="I278" s="445"/>
      <c r="K278" s="1136"/>
      <c r="L278" s="1136"/>
      <c r="M278" s="445"/>
      <c r="N278" s="445"/>
      <c r="O278" s="445"/>
      <c r="P278" s="445"/>
    </row>
    <row r="279" spans="1:16">
      <c r="A279" s="277"/>
      <c r="B279" s="277"/>
      <c r="C279" s="277"/>
      <c r="D279" s="445"/>
      <c r="E279" s="445"/>
      <c r="F279" s="277"/>
      <c r="G279" s="445"/>
      <c r="H279" s="445"/>
      <c r="I279" s="445"/>
      <c r="K279" s="1136"/>
      <c r="L279" s="1136"/>
      <c r="M279" s="445"/>
      <c r="N279" s="445"/>
      <c r="O279" s="445"/>
      <c r="P279" s="445"/>
    </row>
    <row r="280" spans="1:16">
      <c r="A280" s="277"/>
      <c r="B280" s="277"/>
      <c r="C280" s="277"/>
      <c r="D280" s="445"/>
      <c r="E280" s="445"/>
      <c r="F280" s="277"/>
      <c r="G280" s="445"/>
      <c r="H280" s="445"/>
      <c r="I280" s="445"/>
      <c r="K280" s="1136"/>
      <c r="L280" s="1136"/>
      <c r="M280" s="445"/>
      <c r="N280" s="445"/>
      <c r="O280" s="445"/>
      <c r="P280" s="445"/>
    </row>
    <row r="281" spans="1:16">
      <c r="A281" s="277"/>
      <c r="B281" s="277"/>
      <c r="C281" s="277"/>
      <c r="D281" s="445"/>
      <c r="E281" s="445"/>
      <c r="F281" s="277"/>
      <c r="G281" s="445"/>
      <c r="H281" s="445"/>
      <c r="I281" s="445"/>
      <c r="K281" s="1136"/>
      <c r="L281" s="1136"/>
      <c r="M281" s="445"/>
      <c r="N281" s="445"/>
      <c r="O281" s="445"/>
      <c r="P281" s="445"/>
    </row>
    <row r="282" spans="1:16">
      <c r="A282" s="277"/>
      <c r="B282" s="277"/>
      <c r="C282" s="277"/>
      <c r="D282" s="445"/>
      <c r="E282" s="445"/>
      <c r="F282" s="277"/>
      <c r="G282" s="445"/>
      <c r="H282" s="445"/>
      <c r="I282" s="445"/>
      <c r="K282" s="1136"/>
      <c r="L282" s="1136"/>
      <c r="M282" s="445"/>
      <c r="N282" s="445"/>
      <c r="O282" s="445"/>
      <c r="P282" s="445"/>
    </row>
    <row r="283" spans="1:16">
      <c r="A283" s="277"/>
      <c r="B283" s="277"/>
      <c r="C283" s="277"/>
      <c r="D283" s="445"/>
      <c r="E283" s="445"/>
      <c r="F283" s="277"/>
      <c r="G283" s="445"/>
      <c r="H283" s="445"/>
      <c r="I283" s="445"/>
      <c r="K283" s="1136"/>
      <c r="L283" s="1136"/>
      <c r="M283" s="445"/>
      <c r="N283" s="445"/>
      <c r="O283" s="445"/>
      <c r="P283" s="445"/>
    </row>
    <row r="284" spans="1:16">
      <c r="A284" s="277"/>
      <c r="B284" s="277"/>
      <c r="C284" s="277"/>
      <c r="D284" s="445"/>
      <c r="E284" s="445"/>
      <c r="F284" s="277"/>
      <c r="G284" s="445"/>
      <c r="H284" s="445"/>
      <c r="I284" s="445"/>
      <c r="K284" s="1136"/>
      <c r="L284" s="1136"/>
      <c r="M284" s="445"/>
      <c r="N284" s="445"/>
      <c r="O284" s="445"/>
      <c r="P284" s="445"/>
    </row>
    <row r="285" spans="1:16">
      <c r="A285" s="277"/>
      <c r="B285" s="277"/>
      <c r="C285" s="277"/>
      <c r="D285" s="445"/>
      <c r="E285" s="445"/>
      <c r="F285" s="277"/>
      <c r="G285" s="445"/>
      <c r="H285" s="445"/>
      <c r="I285" s="445"/>
      <c r="K285" s="1136"/>
      <c r="L285" s="1136"/>
      <c r="M285" s="445"/>
      <c r="N285" s="445"/>
      <c r="O285" s="445"/>
      <c r="P285" s="445"/>
    </row>
    <row r="286" spans="1:16">
      <c r="A286" s="277"/>
      <c r="B286" s="277"/>
      <c r="C286" s="277"/>
      <c r="D286" s="445"/>
      <c r="E286" s="445"/>
      <c r="F286" s="277"/>
      <c r="G286" s="445"/>
      <c r="H286" s="445"/>
      <c r="I286" s="445"/>
      <c r="K286" s="1136"/>
      <c r="L286" s="1136"/>
      <c r="M286" s="445"/>
      <c r="N286" s="445"/>
      <c r="O286" s="445"/>
      <c r="P286" s="445"/>
    </row>
    <row r="287" spans="1:16">
      <c r="A287" s="277"/>
      <c r="B287" s="277"/>
      <c r="C287" s="277"/>
      <c r="D287" s="445"/>
      <c r="E287" s="445"/>
      <c r="F287" s="277"/>
      <c r="G287" s="445"/>
      <c r="H287" s="445"/>
      <c r="I287" s="445"/>
      <c r="K287" s="1136"/>
      <c r="L287" s="1136"/>
      <c r="M287" s="445"/>
      <c r="N287" s="445"/>
      <c r="O287" s="445"/>
      <c r="P287" s="445"/>
    </row>
    <row r="288" spans="1:16">
      <c r="A288" s="277"/>
      <c r="B288" s="277"/>
      <c r="C288" s="277"/>
      <c r="D288" s="445"/>
      <c r="E288" s="445"/>
      <c r="F288" s="277"/>
      <c r="G288" s="445"/>
      <c r="H288" s="445"/>
      <c r="I288" s="445"/>
      <c r="K288" s="1136"/>
      <c r="L288" s="1136"/>
      <c r="M288" s="445"/>
      <c r="N288" s="445"/>
      <c r="O288" s="445"/>
      <c r="P288" s="445"/>
    </row>
    <row r="289" spans="1:16">
      <c r="A289" s="277"/>
      <c r="B289" s="277"/>
      <c r="C289" s="277"/>
      <c r="D289" s="445"/>
      <c r="E289" s="445"/>
      <c r="F289" s="277"/>
      <c r="G289" s="445"/>
      <c r="H289" s="445"/>
      <c r="I289" s="445"/>
      <c r="K289" s="1136"/>
      <c r="L289" s="1136"/>
      <c r="M289" s="445"/>
      <c r="N289" s="445"/>
      <c r="O289" s="445"/>
      <c r="P289" s="445"/>
    </row>
    <row r="290" spans="1:16">
      <c r="A290" s="277"/>
      <c r="B290" s="277"/>
      <c r="C290" s="277"/>
      <c r="D290" s="445"/>
      <c r="E290" s="445"/>
      <c r="F290" s="277"/>
      <c r="G290" s="445"/>
      <c r="H290" s="445"/>
      <c r="I290" s="445"/>
      <c r="K290" s="1136"/>
      <c r="L290" s="1136"/>
      <c r="M290" s="445"/>
      <c r="N290" s="445"/>
      <c r="O290" s="445"/>
      <c r="P290" s="445"/>
    </row>
    <row r="291" spans="1:16">
      <c r="A291" s="277"/>
      <c r="B291" s="277"/>
      <c r="C291" s="277"/>
      <c r="D291" s="445"/>
      <c r="E291" s="445"/>
      <c r="F291" s="277"/>
      <c r="G291" s="445"/>
      <c r="H291" s="445"/>
      <c r="I291" s="445"/>
      <c r="K291" s="1136"/>
      <c r="L291" s="1136"/>
      <c r="M291" s="445"/>
      <c r="N291" s="445"/>
      <c r="O291" s="445"/>
      <c r="P291" s="445"/>
    </row>
    <row r="292" spans="1:16">
      <c r="A292" s="277"/>
      <c r="B292" s="277"/>
      <c r="C292" s="277"/>
      <c r="D292" s="445"/>
      <c r="E292" s="445"/>
      <c r="F292" s="277"/>
      <c r="G292" s="445"/>
      <c r="H292" s="445"/>
      <c r="I292" s="445"/>
      <c r="K292" s="1136"/>
      <c r="L292" s="1136"/>
      <c r="M292" s="445"/>
      <c r="N292" s="445"/>
      <c r="O292" s="445"/>
      <c r="P292" s="445"/>
    </row>
    <row r="293" spans="1:16">
      <c r="A293" s="277"/>
      <c r="B293" s="277"/>
      <c r="C293" s="277"/>
      <c r="D293" s="445"/>
      <c r="E293" s="445"/>
      <c r="F293" s="277"/>
      <c r="G293" s="445"/>
      <c r="H293" s="445"/>
      <c r="I293" s="445"/>
      <c r="K293" s="1136"/>
      <c r="L293" s="1136"/>
      <c r="M293" s="445"/>
      <c r="N293" s="445"/>
      <c r="O293" s="445"/>
      <c r="P293" s="445"/>
    </row>
    <row r="294" spans="1:16">
      <c r="A294" s="277"/>
      <c r="B294" s="277"/>
      <c r="C294" s="277"/>
      <c r="D294" s="445"/>
      <c r="E294" s="445"/>
      <c r="F294" s="277"/>
      <c r="G294" s="445"/>
      <c r="H294" s="445"/>
      <c r="I294" s="445"/>
      <c r="K294" s="1136"/>
      <c r="L294" s="1136"/>
      <c r="M294" s="445"/>
      <c r="N294" s="445"/>
      <c r="O294" s="445"/>
      <c r="P294" s="445"/>
    </row>
    <row r="295" spans="1:16">
      <c r="A295" s="277"/>
      <c r="B295" s="277"/>
      <c r="C295" s="277"/>
      <c r="D295" s="445"/>
      <c r="E295" s="445"/>
      <c r="F295" s="277"/>
      <c r="G295" s="445"/>
      <c r="H295" s="445"/>
      <c r="I295" s="445"/>
      <c r="K295" s="1136"/>
      <c r="L295" s="1136"/>
      <c r="M295" s="445"/>
      <c r="N295" s="445"/>
      <c r="O295" s="445"/>
      <c r="P295" s="445"/>
    </row>
    <row r="296" spans="1:16">
      <c r="A296" s="277"/>
      <c r="B296" s="277"/>
      <c r="C296" s="277"/>
      <c r="D296" s="445"/>
      <c r="E296" s="445"/>
      <c r="F296" s="277"/>
      <c r="G296" s="445"/>
      <c r="H296" s="445"/>
      <c r="I296" s="445"/>
      <c r="K296" s="1136"/>
      <c r="L296" s="1136"/>
      <c r="M296" s="445"/>
      <c r="N296" s="445"/>
      <c r="O296" s="445"/>
      <c r="P296" s="445"/>
    </row>
    <row r="297" spans="1:16">
      <c r="A297" s="277"/>
      <c r="B297" s="277"/>
      <c r="C297" s="277"/>
      <c r="D297" s="445"/>
      <c r="E297" s="445"/>
      <c r="F297" s="277"/>
      <c r="G297" s="445"/>
      <c r="H297" s="445"/>
      <c r="I297" s="445"/>
      <c r="K297" s="1136"/>
      <c r="L297" s="1136"/>
      <c r="M297" s="445"/>
      <c r="N297" s="445"/>
      <c r="O297" s="445"/>
      <c r="P297" s="445"/>
    </row>
    <row r="298" spans="1:16">
      <c r="A298" s="277"/>
      <c r="B298" s="277"/>
      <c r="C298" s="277"/>
      <c r="D298" s="445"/>
      <c r="E298" s="445"/>
      <c r="F298" s="277"/>
      <c r="G298" s="445"/>
      <c r="H298" s="445"/>
      <c r="I298" s="445"/>
      <c r="K298" s="1136"/>
      <c r="L298" s="1136"/>
      <c r="M298" s="445"/>
      <c r="N298" s="445"/>
      <c r="O298" s="445"/>
      <c r="P298" s="445"/>
    </row>
    <row r="299" spans="1:16">
      <c r="A299" s="277"/>
      <c r="B299" s="277"/>
      <c r="C299" s="277"/>
      <c r="D299" s="445"/>
      <c r="E299" s="445"/>
      <c r="F299" s="277"/>
      <c r="G299" s="445"/>
      <c r="H299" s="445"/>
      <c r="I299" s="445"/>
      <c r="K299" s="1136"/>
      <c r="L299" s="1136"/>
      <c r="M299" s="445"/>
      <c r="N299" s="445"/>
      <c r="O299" s="445"/>
      <c r="P299" s="445"/>
    </row>
    <row r="300" spans="1:16">
      <c r="A300" s="277"/>
      <c r="B300" s="277"/>
      <c r="C300" s="277"/>
      <c r="D300" s="445"/>
      <c r="E300" s="445"/>
      <c r="F300" s="277"/>
      <c r="G300" s="445"/>
      <c r="H300" s="445"/>
      <c r="I300" s="445"/>
      <c r="K300" s="1136"/>
      <c r="L300" s="1136"/>
      <c r="M300" s="445"/>
      <c r="N300" s="445"/>
      <c r="O300" s="445"/>
      <c r="P300" s="445"/>
    </row>
    <row r="301" spans="1:16">
      <c r="A301" s="277"/>
      <c r="B301" s="277"/>
      <c r="C301" s="277"/>
      <c r="D301" s="445"/>
      <c r="E301" s="445"/>
      <c r="F301" s="277"/>
      <c r="G301" s="445"/>
      <c r="H301" s="445"/>
      <c r="I301" s="445"/>
      <c r="K301" s="1136"/>
      <c r="L301" s="1136"/>
      <c r="M301" s="445"/>
      <c r="N301" s="445"/>
      <c r="O301" s="445"/>
      <c r="P301" s="445"/>
    </row>
    <row r="302" spans="1:16">
      <c r="A302" s="277"/>
      <c r="B302" s="277"/>
      <c r="C302" s="277"/>
      <c r="D302" s="445"/>
      <c r="E302" s="445"/>
      <c r="F302" s="277"/>
      <c r="G302" s="445"/>
      <c r="H302" s="445"/>
      <c r="I302" s="445"/>
      <c r="K302" s="1136"/>
      <c r="L302" s="1136"/>
      <c r="M302" s="445"/>
      <c r="N302" s="445"/>
      <c r="O302" s="445"/>
      <c r="P302" s="445"/>
    </row>
    <row r="303" spans="1:16">
      <c r="A303" s="277"/>
      <c r="B303" s="277"/>
      <c r="C303" s="277"/>
      <c r="D303" s="445"/>
      <c r="E303" s="445"/>
      <c r="F303" s="277"/>
      <c r="G303" s="445"/>
      <c r="H303" s="445"/>
      <c r="I303" s="445"/>
      <c r="K303" s="1136"/>
      <c r="L303" s="1136"/>
      <c r="M303" s="445"/>
      <c r="N303" s="445"/>
      <c r="O303" s="445"/>
      <c r="P303" s="445"/>
    </row>
    <row r="304" spans="1:16">
      <c r="A304" s="277"/>
      <c r="B304" s="277"/>
      <c r="C304" s="277"/>
      <c r="D304" s="445"/>
      <c r="E304" s="445"/>
      <c r="F304" s="277"/>
      <c r="G304" s="445"/>
      <c r="H304" s="445"/>
      <c r="I304" s="445"/>
      <c r="K304" s="1136"/>
      <c r="L304" s="1136"/>
      <c r="M304" s="445"/>
      <c r="N304" s="445"/>
      <c r="O304" s="445"/>
      <c r="P304" s="445"/>
    </row>
    <row r="305" spans="1:16">
      <c r="A305" s="277"/>
      <c r="B305" s="277"/>
      <c r="C305" s="277"/>
      <c r="D305" s="445"/>
      <c r="E305" s="445"/>
      <c r="F305" s="277"/>
      <c r="G305" s="445"/>
      <c r="H305" s="445"/>
      <c r="I305" s="445"/>
      <c r="K305" s="1136"/>
      <c r="L305" s="1136"/>
      <c r="M305" s="445"/>
      <c r="N305" s="445"/>
      <c r="O305" s="445"/>
      <c r="P305" s="445"/>
    </row>
    <row r="306" spans="1:16">
      <c r="A306" s="277"/>
      <c r="B306" s="277"/>
      <c r="C306" s="277"/>
      <c r="D306" s="445"/>
      <c r="E306" s="445"/>
      <c r="F306" s="277"/>
      <c r="G306" s="445"/>
      <c r="H306" s="445"/>
      <c r="I306" s="445"/>
      <c r="K306" s="1136"/>
      <c r="L306" s="1136"/>
      <c r="M306" s="445"/>
      <c r="N306" s="445"/>
      <c r="O306" s="445"/>
      <c r="P306" s="445"/>
    </row>
    <row r="307" spans="1:16">
      <c r="A307" s="277"/>
      <c r="B307" s="277"/>
      <c r="C307" s="277"/>
      <c r="D307" s="445"/>
      <c r="E307" s="445"/>
      <c r="F307" s="277"/>
      <c r="G307" s="445"/>
      <c r="H307" s="445"/>
      <c r="I307" s="445"/>
      <c r="K307" s="1136"/>
      <c r="L307" s="1136"/>
      <c r="M307" s="445"/>
      <c r="N307" s="445"/>
      <c r="O307" s="445"/>
      <c r="P307" s="445"/>
    </row>
    <row r="308" spans="1:16">
      <c r="A308" s="277"/>
      <c r="B308" s="277"/>
      <c r="C308" s="277"/>
      <c r="D308" s="445"/>
      <c r="E308" s="445"/>
      <c r="F308" s="277"/>
      <c r="G308" s="445"/>
      <c r="H308" s="445"/>
      <c r="I308" s="445"/>
      <c r="K308" s="1136"/>
      <c r="L308" s="1136"/>
      <c r="M308" s="445"/>
      <c r="N308" s="445"/>
      <c r="O308" s="445"/>
      <c r="P308" s="445"/>
    </row>
    <row r="309" spans="1:16">
      <c r="A309" s="277"/>
      <c r="B309" s="277"/>
      <c r="C309" s="277"/>
      <c r="D309" s="445"/>
      <c r="E309" s="445"/>
      <c r="F309" s="277"/>
      <c r="G309" s="445"/>
      <c r="H309" s="445"/>
      <c r="I309" s="445"/>
      <c r="K309" s="1136"/>
      <c r="L309" s="1136"/>
      <c r="M309" s="445"/>
      <c r="N309" s="445"/>
      <c r="O309" s="445"/>
      <c r="P309" s="445"/>
    </row>
    <row r="310" spans="1:16">
      <c r="A310" s="277"/>
      <c r="B310" s="277"/>
      <c r="C310" s="277"/>
      <c r="D310" s="445"/>
      <c r="E310" s="445"/>
      <c r="F310" s="277"/>
      <c r="G310" s="445"/>
      <c r="H310" s="445"/>
      <c r="I310" s="445"/>
      <c r="K310" s="1136"/>
      <c r="L310" s="1136"/>
      <c r="M310" s="445"/>
      <c r="N310" s="445"/>
      <c r="O310" s="445"/>
      <c r="P310" s="445"/>
    </row>
    <row r="311" spans="1:16">
      <c r="A311" s="277"/>
      <c r="B311" s="277"/>
      <c r="C311" s="277"/>
      <c r="D311" s="445"/>
      <c r="E311" s="445"/>
      <c r="F311" s="277"/>
      <c r="G311" s="445"/>
      <c r="H311" s="445"/>
      <c r="I311" s="445"/>
      <c r="K311" s="1136"/>
      <c r="L311" s="1136"/>
      <c r="M311" s="445"/>
      <c r="N311" s="445"/>
      <c r="O311" s="445"/>
      <c r="P311" s="445"/>
    </row>
    <row r="312" spans="1:16">
      <c r="A312" s="277"/>
      <c r="B312" s="277"/>
      <c r="C312" s="277"/>
      <c r="D312" s="445"/>
      <c r="E312" s="445"/>
      <c r="F312" s="277"/>
      <c r="G312" s="445"/>
      <c r="H312" s="445"/>
      <c r="I312" s="445"/>
      <c r="K312" s="1136"/>
      <c r="L312" s="1136"/>
      <c r="M312" s="445"/>
      <c r="N312" s="445"/>
      <c r="O312" s="445"/>
      <c r="P312" s="445"/>
    </row>
    <row r="313" spans="1:16">
      <c r="A313" s="277"/>
      <c r="B313" s="277"/>
      <c r="C313" s="277"/>
      <c r="D313" s="445"/>
      <c r="E313" s="445"/>
      <c r="F313" s="277"/>
      <c r="G313" s="445"/>
      <c r="H313" s="445"/>
      <c r="I313" s="445"/>
      <c r="K313" s="1136"/>
      <c r="L313" s="1136"/>
      <c r="M313" s="445"/>
      <c r="N313" s="445"/>
      <c r="O313" s="445"/>
      <c r="P313" s="445"/>
    </row>
    <row r="314" spans="1:16">
      <c r="A314" s="277"/>
      <c r="B314" s="277"/>
      <c r="C314" s="277"/>
      <c r="D314" s="445"/>
      <c r="E314" s="445"/>
      <c r="F314" s="277"/>
      <c r="G314" s="445"/>
      <c r="H314" s="445"/>
      <c r="I314" s="445"/>
      <c r="K314" s="1136"/>
      <c r="L314" s="1136"/>
      <c r="M314" s="445"/>
      <c r="N314" s="445"/>
      <c r="O314" s="445"/>
      <c r="P314" s="445"/>
    </row>
    <row r="315" spans="1:16">
      <c r="A315" s="277"/>
      <c r="B315" s="277"/>
      <c r="C315" s="277"/>
      <c r="D315" s="445"/>
      <c r="E315" s="445"/>
      <c r="F315" s="277"/>
      <c r="G315" s="445"/>
      <c r="H315" s="445"/>
      <c r="I315" s="445"/>
      <c r="K315" s="1136"/>
      <c r="L315" s="1136"/>
      <c r="M315" s="445"/>
      <c r="N315" s="445"/>
      <c r="O315" s="445"/>
      <c r="P315" s="445"/>
    </row>
    <row r="316" spans="1:16">
      <c r="A316" s="277"/>
      <c r="B316" s="277"/>
      <c r="C316" s="277"/>
      <c r="D316" s="445"/>
      <c r="E316" s="445"/>
      <c r="F316" s="277"/>
      <c r="G316" s="445"/>
      <c r="H316" s="445"/>
      <c r="I316" s="445"/>
      <c r="K316" s="1136"/>
      <c r="L316" s="1136"/>
      <c r="M316" s="445"/>
      <c r="N316" s="445"/>
      <c r="O316" s="445"/>
      <c r="P316" s="445"/>
    </row>
    <row r="317" spans="1:16">
      <c r="A317" s="277"/>
      <c r="B317" s="277"/>
      <c r="C317" s="277"/>
      <c r="D317" s="445"/>
      <c r="E317" s="445"/>
      <c r="F317" s="277"/>
      <c r="G317" s="445"/>
      <c r="H317" s="445"/>
      <c r="I317" s="445"/>
      <c r="K317" s="1136"/>
      <c r="L317" s="1136"/>
      <c r="M317" s="445"/>
      <c r="N317" s="445"/>
      <c r="O317" s="445"/>
      <c r="P317" s="445"/>
    </row>
    <row r="318" spans="1:16">
      <c r="A318" s="277"/>
      <c r="B318" s="277"/>
      <c r="C318" s="277"/>
      <c r="D318" s="445"/>
      <c r="E318" s="445"/>
      <c r="F318" s="277"/>
      <c r="G318" s="445"/>
      <c r="H318" s="445"/>
      <c r="I318" s="445"/>
      <c r="K318" s="1136"/>
      <c r="L318" s="1136"/>
      <c r="M318" s="445"/>
      <c r="N318" s="445"/>
      <c r="O318" s="445"/>
      <c r="P318" s="445"/>
    </row>
    <row r="319" spans="1:16">
      <c r="A319" s="277"/>
      <c r="B319" s="277"/>
      <c r="C319" s="277"/>
      <c r="D319" s="445"/>
      <c r="E319" s="445"/>
      <c r="F319" s="277"/>
      <c r="G319" s="445"/>
      <c r="H319" s="445"/>
      <c r="I319" s="445"/>
      <c r="K319" s="1136"/>
      <c r="L319" s="1136"/>
      <c r="M319" s="445"/>
      <c r="N319" s="445"/>
      <c r="O319" s="445"/>
      <c r="P319" s="445"/>
    </row>
    <row r="320" spans="1:16">
      <c r="A320" s="277"/>
      <c r="B320" s="277"/>
      <c r="C320" s="277"/>
      <c r="D320" s="445"/>
      <c r="E320" s="445"/>
      <c r="F320" s="277"/>
      <c r="G320" s="445"/>
      <c r="H320" s="445"/>
      <c r="I320" s="445"/>
      <c r="K320" s="1136"/>
      <c r="L320" s="1136"/>
      <c r="M320" s="445"/>
      <c r="N320" s="445"/>
      <c r="O320" s="445"/>
      <c r="P320" s="445"/>
    </row>
    <row r="321" spans="1:16">
      <c r="A321" s="277"/>
      <c r="B321" s="277"/>
      <c r="C321" s="277"/>
      <c r="D321" s="445"/>
      <c r="E321" s="445"/>
      <c r="F321" s="277"/>
      <c r="G321" s="445"/>
      <c r="H321" s="445"/>
      <c r="I321" s="445"/>
      <c r="K321" s="1136"/>
      <c r="L321" s="1136"/>
      <c r="M321" s="445"/>
      <c r="N321" s="445"/>
      <c r="O321" s="445"/>
      <c r="P321" s="445"/>
    </row>
    <row r="322" spans="1:16">
      <c r="A322" s="277"/>
      <c r="B322" s="277"/>
      <c r="C322" s="277"/>
      <c r="D322" s="445"/>
      <c r="E322" s="445"/>
      <c r="F322" s="277"/>
      <c r="G322" s="445"/>
      <c r="H322" s="445"/>
      <c r="I322" s="445"/>
      <c r="K322" s="1136"/>
      <c r="L322" s="1136"/>
      <c r="M322" s="445"/>
      <c r="N322" s="445"/>
      <c r="O322" s="445"/>
      <c r="P322" s="445"/>
    </row>
    <row r="323" spans="1:16">
      <c r="A323" s="277"/>
      <c r="B323" s="277"/>
      <c r="C323" s="277"/>
      <c r="D323" s="445"/>
      <c r="E323" s="445"/>
      <c r="F323" s="277"/>
      <c r="G323" s="445"/>
      <c r="H323" s="445"/>
      <c r="I323" s="445"/>
      <c r="K323" s="1136"/>
      <c r="L323" s="1136"/>
      <c r="M323" s="445"/>
      <c r="N323" s="445"/>
      <c r="O323" s="445"/>
      <c r="P323" s="445"/>
    </row>
    <row r="324" spans="1:16">
      <c r="A324" s="277"/>
      <c r="B324" s="277"/>
      <c r="C324" s="277"/>
      <c r="D324" s="445"/>
      <c r="E324" s="445"/>
      <c r="F324" s="277"/>
      <c r="G324" s="445"/>
      <c r="H324" s="445"/>
      <c r="I324" s="445"/>
      <c r="K324" s="1136"/>
      <c r="L324" s="1136"/>
      <c r="M324" s="445"/>
      <c r="N324" s="445"/>
      <c r="O324" s="445"/>
      <c r="P324" s="445"/>
    </row>
    <row r="325" spans="1:16">
      <c r="A325" s="277"/>
      <c r="B325" s="277"/>
      <c r="C325" s="277"/>
      <c r="D325" s="445"/>
      <c r="E325" s="445"/>
      <c r="F325" s="277"/>
      <c r="G325" s="445"/>
      <c r="H325" s="445"/>
      <c r="I325" s="445"/>
      <c r="K325" s="1136"/>
      <c r="L325" s="1136"/>
      <c r="M325" s="445"/>
      <c r="N325" s="445"/>
      <c r="O325" s="445"/>
      <c r="P325" s="445"/>
    </row>
    <row r="326" spans="1:16">
      <c r="A326" s="277"/>
      <c r="B326" s="277"/>
      <c r="C326" s="277"/>
      <c r="D326" s="445"/>
      <c r="E326" s="445"/>
      <c r="F326" s="277"/>
      <c r="G326" s="445"/>
      <c r="H326" s="445"/>
      <c r="I326" s="445"/>
      <c r="K326" s="1136"/>
      <c r="L326" s="1136"/>
      <c r="M326" s="445"/>
      <c r="N326" s="445"/>
      <c r="O326" s="445"/>
      <c r="P326" s="445"/>
    </row>
    <row r="327" spans="1:16">
      <c r="A327" s="277"/>
      <c r="B327" s="277"/>
      <c r="C327" s="277"/>
      <c r="D327" s="445"/>
      <c r="E327" s="445"/>
      <c r="F327" s="277"/>
      <c r="G327" s="445"/>
      <c r="H327" s="445"/>
      <c r="I327" s="445"/>
      <c r="K327" s="1136"/>
      <c r="L327" s="1136"/>
      <c r="M327" s="445"/>
      <c r="N327" s="445"/>
      <c r="O327" s="445"/>
      <c r="P327" s="445"/>
    </row>
    <row r="328" spans="1:16">
      <c r="A328" s="277"/>
      <c r="B328" s="277"/>
      <c r="C328" s="277"/>
      <c r="D328" s="445"/>
      <c r="E328" s="445"/>
      <c r="F328" s="277"/>
      <c r="G328" s="445"/>
      <c r="H328" s="445"/>
      <c r="I328" s="445"/>
      <c r="K328" s="1136"/>
      <c r="L328" s="1136"/>
      <c r="M328" s="445"/>
      <c r="N328" s="445"/>
      <c r="O328" s="445"/>
      <c r="P328" s="445"/>
    </row>
    <row r="329" spans="1:16">
      <c r="A329" s="277"/>
      <c r="B329" s="277"/>
      <c r="C329" s="277"/>
      <c r="D329" s="445"/>
      <c r="E329" s="445"/>
      <c r="F329" s="277"/>
      <c r="G329" s="445"/>
      <c r="H329" s="445"/>
      <c r="I329" s="445"/>
      <c r="K329" s="1136"/>
      <c r="L329" s="1136"/>
      <c r="M329" s="445"/>
      <c r="N329" s="445"/>
      <c r="O329" s="445"/>
      <c r="P329" s="445"/>
    </row>
    <row r="330" spans="1:16">
      <c r="A330" s="277"/>
      <c r="B330" s="277"/>
      <c r="C330" s="277"/>
      <c r="D330" s="445"/>
      <c r="E330" s="445"/>
      <c r="F330" s="277"/>
      <c r="G330" s="445"/>
      <c r="H330" s="445"/>
      <c r="I330" s="445"/>
      <c r="K330" s="1136"/>
      <c r="L330" s="1136"/>
      <c r="M330" s="445"/>
      <c r="N330" s="445"/>
      <c r="O330" s="445"/>
      <c r="P330" s="445"/>
    </row>
    <row r="331" spans="1:16">
      <c r="A331" s="277"/>
      <c r="B331" s="277"/>
      <c r="C331" s="277"/>
      <c r="D331" s="445"/>
      <c r="E331" s="445"/>
      <c r="F331" s="277"/>
      <c r="G331" s="445"/>
      <c r="H331" s="445"/>
      <c r="I331" s="445"/>
      <c r="K331" s="1136"/>
      <c r="L331" s="1136"/>
      <c r="M331" s="445"/>
      <c r="N331" s="445"/>
      <c r="O331" s="445"/>
      <c r="P331" s="445"/>
    </row>
    <row r="332" spans="1:16">
      <c r="A332" s="277"/>
      <c r="B332" s="277"/>
      <c r="C332" s="277"/>
      <c r="D332" s="445"/>
      <c r="E332" s="445"/>
      <c r="F332" s="277"/>
      <c r="G332" s="445"/>
      <c r="H332" s="445"/>
      <c r="I332" s="445"/>
      <c r="K332" s="1136"/>
      <c r="L332" s="1136"/>
      <c r="M332" s="445"/>
      <c r="N332" s="445"/>
      <c r="O332" s="445"/>
      <c r="P332" s="445"/>
    </row>
    <row r="333" spans="1:16">
      <c r="A333" s="277"/>
      <c r="B333" s="277"/>
      <c r="C333" s="277"/>
      <c r="D333" s="445"/>
      <c r="E333" s="445"/>
      <c r="F333" s="277"/>
      <c r="G333" s="445"/>
      <c r="H333" s="445"/>
      <c r="I333" s="445"/>
      <c r="K333" s="1136"/>
      <c r="L333" s="1136"/>
      <c r="M333" s="445"/>
      <c r="N333" s="445"/>
      <c r="O333" s="445"/>
      <c r="P333" s="445"/>
    </row>
    <row r="334" spans="1:16">
      <c r="A334" s="277"/>
      <c r="B334" s="277"/>
      <c r="C334" s="277"/>
      <c r="D334" s="445"/>
      <c r="E334" s="445"/>
      <c r="F334" s="277"/>
      <c r="G334" s="445"/>
      <c r="H334" s="445"/>
      <c r="I334" s="445"/>
      <c r="K334" s="1136"/>
      <c r="L334" s="1136"/>
      <c r="M334" s="445"/>
      <c r="N334" s="445"/>
      <c r="O334" s="445"/>
      <c r="P334" s="445"/>
    </row>
    <row r="335" spans="1:16">
      <c r="A335" s="277"/>
      <c r="B335" s="277"/>
      <c r="C335" s="277"/>
      <c r="D335" s="445"/>
      <c r="E335" s="445"/>
      <c r="F335" s="277"/>
      <c r="G335" s="445"/>
      <c r="H335" s="445"/>
      <c r="I335" s="445"/>
      <c r="K335" s="1136"/>
      <c r="L335" s="1136"/>
      <c r="M335" s="445"/>
      <c r="N335" s="445"/>
      <c r="O335" s="445"/>
      <c r="P335" s="445"/>
    </row>
    <row r="336" spans="1:16">
      <c r="A336" s="277"/>
      <c r="B336" s="277"/>
      <c r="C336" s="277"/>
      <c r="D336" s="445"/>
      <c r="E336" s="445"/>
      <c r="F336" s="277"/>
      <c r="G336" s="445"/>
      <c r="H336" s="445"/>
      <c r="I336" s="445"/>
      <c r="K336" s="1136"/>
      <c r="L336" s="1136"/>
      <c r="M336" s="445"/>
      <c r="N336" s="445"/>
      <c r="O336" s="445"/>
      <c r="P336" s="445"/>
    </row>
    <row r="337" spans="1:16">
      <c r="A337" s="277"/>
      <c r="B337" s="277"/>
      <c r="C337" s="277"/>
      <c r="D337" s="445"/>
      <c r="E337" s="445"/>
      <c r="F337" s="277"/>
      <c r="G337" s="445"/>
      <c r="H337" s="445"/>
      <c r="I337" s="445"/>
      <c r="K337" s="1136"/>
      <c r="L337" s="1136"/>
      <c r="M337" s="445"/>
      <c r="N337" s="445"/>
      <c r="O337" s="445"/>
      <c r="P337" s="445"/>
    </row>
    <row r="338" spans="1:16">
      <c r="A338" s="277"/>
      <c r="B338" s="277"/>
      <c r="C338" s="277"/>
      <c r="D338" s="445"/>
      <c r="E338" s="445"/>
      <c r="F338" s="277"/>
      <c r="G338" s="445"/>
      <c r="H338" s="445"/>
      <c r="I338" s="445"/>
      <c r="K338" s="1136"/>
      <c r="L338" s="1136"/>
      <c r="M338" s="445"/>
      <c r="N338" s="445"/>
      <c r="O338" s="445"/>
      <c r="P338" s="445"/>
    </row>
    <row r="339" spans="1:16">
      <c r="A339" s="277"/>
      <c r="B339" s="277"/>
      <c r="C339" s="277"/>
      <c r="D339" s="445"/>
      <c r="E339" s="445"/>
      <c r="F339" s="277"/>
      <c r="G339" s="445"/>
      <c r="H339" s="445"/>
      <c r="I339" s="445"/>
      <c r="K339" s="1136"/>
      <c r="L339" s="1136"/>
      <c r="M339" s="445"/>
      <c r="N339" s="445"/>
      <c r="O339" s="445"/>
      <c r="P339" s="445"/>
    </row>
    <row r="340" spans="1:16">
      <c r="A340" s="277"/>
      <c r="B340" s="277"/>
      <c r="C340" s="277"/>
      <c r="D340" s="445"/>
      <c r="E340" s="445"/>
      <c r="F340" s="277"/>
      <c r="G340" s="445"/>
      <c r="H340" s="445"/>
      <c r="I340" s="445"/>
      <c r="K340" s="1136"/>
      <c r="L340" s="1136"/>
      <c r="M340" s="445"/>
      <c r="N340" s="445"/>
      <c r="O340" s="445"/>
      <c r="P340" s="445"/>
    </row>
    <row r="341" spans="1:16">
      <c r="A341" s="277"/>
      <c r="B341" s="277"/>
      <c r="C341" s="277"/>
      <c r="D341" s="445"/>
      <c r="E341" s="445"/>
      <c r="F341" s="277"/>
      <c r="G341" s="445"/>
      <c r="H341" s="445"/>
      <c r="I341" s="445"/>
      <c r="K341" s="1136"/>
      <c r="L341" s="1136"/>
      <c r="M341" s="445"/>
      <c r="N341" s="445"/>
      <c r="O341" s="445"/>
      <c r="P341" s="445"/>
    </row>
    <row r="342" spans="1:16">
      <c r="A342" s="277"/>
      <c r="B342" s="277"/>
      <c r="C342" s="277"/>
      <c r="D342" s="445"/>
      <c r="E342" s="445"/>
      <c r="F342" s="277"/>
      <c r="G342" s="445"/>
      <c r="H342" s="445"/>
      <c r="I342" s="445"/>
      <c r="K342" s="1136"/>
      <c r="L342" s="1136"/>
      <c r="M342" s="445"/>
      <c r="N342" s="445"/>
      <c r="O342" s="445"/>
      <c r="P342" s="445"/>
    </row>
    <row r="343" spans="1:16">
      <c r="A343" s="277"/>
      <c r="B343" s="277"/>
      <c r="C343" s="277"/>
      <c r="D343" s="445"/>
      <c r="E343" s="445"/>
      <c r="F343" s="277"/>
      <c r="G343" s="445"/>
      <c r="H343" s="445"/>
      <c r="I343" s="445"/>
      <c r="K343" s="1136"/>
      <c r="L343" s="1136"/>
      <c r="M343" s="445"/>
      <c r="N343" s="445"/>
      <c r="O343" s="445"/>
      <c r="P343" s="445"/>
    </row>
    <row r="344" spans="1:16">
      <c r="A344" s="277"/>
      <c r="B344" s="277"/>
      <c r="C344" s="277"/>
      <c r="D344" s="445"/>
      <c r="E344" s="445"/>
      <c r="F344" s="277"/>
      <c r="G344" s="445"/>
      <c r="H344" s="445"/>
      <c r="I344" s="445"/>
      <c r="K344" s="1136"/>
      <c r="L344" s="1136"/>
      <c r="M344" s="445"/>
      <c r="N344" s="445"/>
      <c r="O344" s="445"/>
      <c r="P344" s="445"/>
    </row>
    <row r="345" spans="1:16">
      <c r="A345" s="277"/>
      <c r="B345" s="277"/>
      <c r="C345" s="277"/>
      <c r="D345" s="445"/>
      <c r="E345" s="445"/>
      <c r="F345" s="277"/>
      <c r="G345" s="445"/>
      <c r="H345" s="445"/>
      <c r="I345" s="445"/>
      <c r="K345" s="1136"/>
      <c r="L345" s="1136"/>
      <c r="M345" s="445"/>
      <c r="N345" s="445"/>
      <c r="O345" s="445"/>
      <c r="P345" s="445"/>
    </row>
    <row r="346" spans="1:16">
      <c r="A346" s="277"/>
      <c r="B346" s="277"/>
      <c r="C346" s="277"/>
      <c r="D346" s="445"/>
      <c r="E346" s="445"/>
      <c r="F346" s="277"/>
      <c r="G346" s="445"/>
      <c r="H346" s="445"/>
      <c r="I346" s="445"/>
      <c r="K346" s="1136"/>
      <c r="L346" s="1136"/>
      <c r="M346" s="445"/>
      <c r="N346" s="445"/>
      <c r="O346" s="445"/>
      <c r="P346" s="445"/>
    </row>
    <row r="347" spans="1:16">
      <c r="A347" s="277"/>
      <c r="B347" s="277"/>
      <c r="C347" s="277"/>
      <c r="D347" s="445"/>
      <c r="E347" s="445"/>
      <c r="F347" s="277"/>
      <c r="G347" s="445"/>
      <c r="H347" s="445"/>
      <c r="I347" s="445"/>
      <c r="K347" s="1136"/>
      <c r="L347" s="1136"/>
      <c r="M347" s="445"/>
      <c r="N347" s="445"/>
      <c r="O347" s="445"/>
      <c r="P347" s="445"/>
    </row>
    <row r="348" spans="1:16">
      <c r="A348" s="277"/>
      <c r="B348" s="277"/>
      <c r="C348" s="277"/>
      <c r="D348" s="445"/>
      <c r="E348" s="445"/>
      <c r="F348" s="277"/>
      <c r="G348" s="445"/>
      <c r="H348" s="445"/>
      <c r="I348" s="445"/>
      <c r="K348" s="1136"/>
      <c r="L348" s="1136"/>
      <c r="M348" s="445"/>
      <c r="N348" s="445"/>
      <c r="O348" s="445"/>
      <c r="P348" s="445"/>
    </row>
    <row r="349" spans="1:16">
      <c r="A349" s="277"/>
      <c r="B349" s="277"/>
      <c r="C349" s="277"/>
      <c r="D349" s="445"/>
      <c r="E349" s="445"/>
      <c r="F349" s="277"/>
      <c r="G349" s="445"/>
      <c r="H349" s="445"/>
      <c r="I349" s="445"/>
      <c r="K349" s="1136"/>
      <c r="L349" s="1136"/>
      <c r="M349" s="445"/>
      <c r="N349" s="445"/>
      <c r="O349" s="445"/>
      <c r="P349" s="445"/>
    </row>
    <row r="350" spans="1:16">
      <c r="A350" s="277"/>
      <c r="B350" s="277"/>
      <c r="C350" s="277"/>
      <c r="D350" s="445"/>
      <c r="E350" s="445"/>
      <c r="F350" s="277"/>
      <c r="G350" s="445"/>
      <c r="H350" s="445"/>
      <c r="I350" s="445"/>
      <c r="K350" s="1136"/>
      <c r="L350" s="1136"/>
      <c r="M350" s="445"/>
      <c r="N350" s="445"/>
      <c r="O350" s="445"/>
      <c r="P350" s="445"/>
    </row>
    <row r="351" spans="1:16">
      <c r="A351" s="277"/>
      <c r="B351" s="277"/>
      <c r="C351" s="277"/>
      <c r="D351" s="445"/>
      <c r="E351" s="445"/>
      <c r="F351" s="277"/>
      <c r="G351" s="445"/>
      <c r="H351" s="445"/>
      <c r="I351" s="445"/>
      <c r="K351" s="1136"/>
      <c r="L351" s="1136"/>
      <c r="M351" s="445"/>
      <c r="N351" s="445"/>
      <c r="O351" s="445"/>
      <c r="P351" s="445"/>
    </row>
    <row r="352" spans="1:16">
      <c r="A352" s="277"/>
      <c r="B352" s="277"/>
      <c r="C352" s="277"/>
      <c r="D352" s="445"/>
      <c r="E352" s="445"/>
      <c r="F352" s="277"/>
      <c r="G352" s="445"/>
      <c r="H352" s="445"/>
      <c r="I352" s="445"/>
      <c r="K352" s="1136"/>
      <c r="L352" s="1136"/>
      <c r="M352" s="445"/>
      <c r="N352" s="445"/>
      <c r="O352" s="445"/>
      <c r="P352" s="445"/>
    </row>
    <row r="353" spans="1:16">
      <c r="A353" s="277"/>
      <c r="B353" s="277"/>
      <c r="C353" s="277"/>
      <c r="D353" s="445"/>
      <c r="E353" s="445"/>
      <c r="F353" s="277"/>
      <c r="G353" s="445"/>
      <c r="H353" s="445"/>
      <c r="I353" s="445"/>
      <c r="K353" s="1136"/>
      <c r="L353" s="1136"/>
      <c r="M353" s="445"/>
      <c r="N353" s="445"/>
      <c r="O353" s="445"/>
      <c r="P353" s="445"/>
    </row>
    <row r="354" spans="1:16">
      <c r="A354" s="277"/>
      <c r="B354" s="277"/>
      <c r="C354" s="277"/>
      <c r="D354" s="445"/>
      <c r="E354" s="445"/>
      <c r="F354" s="277"/>
      <c r="G354" s="445"/>
      <c r="H354" s="445"/>
      <c r="I354" s="445"/>
      <c r="K354" s="1136"/>
      <c r="L354" s="1136"/>
      <c r="M354" s="445"/>
      <c r="N354" s="445"/>
      <c r="O354" s="445"/>
      <c r="P354" s="445"/>
    </row>
    <row r="355" spans="1:16">
      <c r="A355" s="277"/>
      <c r="B355" s="277"/>
      <c r="C355" s="277"/>
      <c r="D355" s="445"/>
      <c r="E355" s="445"/>
      <c r="F355" s="277"/>
      <c r="G355" s="445"/>
      <c r="H355" s="445"/>
      <c r="I355" s="445"/>
      <c r="K355" s="1136"/>
      <c r="L355" s="1136"/>
      <c r="M355" s="445"/>
      <c r="N355" s="445"/>
      <c r="O355" s="445"/>
      <c r="P355" s="445"/>
    </row>
    <row r="356" spans="1:16">
      <c r="A356" s="277"/>
      <c r="B356" s="277"/>
      <c r="C356" s="277"/>
      <c r="D356" s="445"/>
      <c r="E356" s="445"/>
      <c r="F356" s="277"/>
      <c r="G356" s="445"/>
      <c r="H356" s="445"/>
      <c r="I356" s="445"/>
      <c r="K356" s="1136"/>
      <c r="L356" s="1136"/>
      <c r="M356" s="445"/>
      <c r="N356" s="445"/>
      <c r="O356" s="445"/>
      <c r="P356" s="445"/>
    </row>
    <row r="357" spans="1:16">
      <c r="A357" s="277"/>
      <c r="B357" s="277"/>
      <c r="C357" s="277"/>
      <c r="D357" s="445"/>
      <c r="E357" s="445"/>
      <c r="F357" s="277"/>
      <c r="G357" s="445"/>
      <c r="H357" s="445"/>
      <c r="I357" s="445"/>
      <c r="K357" s="1136"/>
      <c r="L357" s="1136"/>
      <c r="M357" s="445"/>
      <c r="N357" s="445"/>
      <c r="O357" s="445"/>
      <c r="P357" s="445"/>
    </row>
    <row r="358" spans="1:16">
      <c r="A358" s="277"/>
      <c r="B358" s="277"/>
      <c r="C358" s="277"/>
      <c r="D358" s="445"/>
      <c r="E358" s="445"/>
      <c r="F358" s="277"/>
      <c r="G358" s="445"/>
      <c r="H358" s="445"/>
      <c r="I358" s="445"/>
      <c r="K358" s="1136"/>
      <c r="L358" s="1136"/>
      <c r="M358" s="445"/>
      <c r="N358" s="445"/>
      <c r="O358" s="445"/>
      <c r="P358" s="445"/>
    </row>
    <row r="359" spans="1:16">
      <c r="A359" s="277"/>
      <c r="B359" s="277"/>
      <c r="C359" s="277"/>
      <c r="D359" s="445"/>
      <c r="E359" s="445"/>
      <c r="F359" s="277"/>
      <c r="G359" s="445"/>
      <c r="H359" s="445"/>
      <c r="I359" s="445"/>
      <c r="K359" s="1136"/>
      <c r="L359" s="1136"/>
      <c r="M359" s="445"/>
      <c r="N359" s="445"/>
      <c r="O359" s="445"/>
      <c r="P359" s="445"/>
    </row>
    <row r="360" spans="1:16">
      <c r="A360" s="277"/>
      <c r="B360" s="277"/>
      <c r="C360" s="277"/>
      <c r="D360" s="445"/>
      <c r="E360" s="445"/>
      <c r="F360" s="277"/>
      <c r="G360" s="445"/>
      <c r="H360" s="445"/>
      <c r="I360" s="445"/>
      <c r="K360" s="1136"/>
      <c r="L360" s="1136"/>
      <c r="M360" s="445"/>
      <c r="N360" s="445"/>
      <c r="O360" s="445"/>
      <c r="P360" s="445"/>
    </row>
    <row r="361" spans="1:16">
      <c r="A361" s="277"/>
      <c r="B361" s="277"/>
      <c r="C361" s="277"/>
      <c r="D361" s="445"/>
      <c r="E361" s="445"/>
      <c r="F361" s="277"/>
      <c r="G361" s="445"/>
      <c r="H361" s="445"/>
      <c r="I361" s="445"/>
      <c r="K361" s="1136"/>
      <c r="L361" s="1136"/>
      <c r="M361" s="445"/>
      <c r="N361" s="445"/>
      <c r="O361" s="445"/>
      <c r="P361" s="445"/>
    </row>
    <row r="362" spans="1:16">
      <c r="A362" s="277"/>
      <c r="B362" s="277"/>
      <c r="C362" s="277"/>
      <c r="D362" s="445"/>
      <c r="E362" s="445"/>
      <c r="F362" s="277"/>
      <c r="G362" s="445"/>
      <c r="H362" s="445"/>
      <c r="I362" s="445"/>
      <c r="K362" s="1136"/>
      <c r="L362" s="1136"/>
      <c r="M362" s="445"/>
      <c r="N362" s="445"/>
      <c r="O362" s="445"/>
      <c r="P362" s="445"/>
    </row>
    <row r="363" spans="1:16">
      <c r="A363" s="277"/>
      <c r="B363" s="277"/>
      <c r="C363" s="277"/>
      <c r="D363" s="445"/>
      <c r="E363" s="445"/>
      <c r="F363" s="277"/>
      <c r="G363" s="445"/>
      <c r="H363" s="445"/>
      <c r="I363" s="445"/>
      <c r="K363" s="1136"/>
      <c r="L363" s="1136"/>
      <c r="M363" s="445"/>
      <c r="N363" s="445"/>
      <c r="O363" s="445"/>
      <c r="P363" s="445"/>
    </row>
    <row r="364" spans="1:16">
      <c r="A364" s="277"/>
      <c r="B364" s="277"/>
      <c r="C364" s="277"/>
      <c r="D364" s="445"/>
      <c r="E364" s="445"/>
      <c r="F364" s="277"/>
      <c r="G364" s="445"/>
      <c r="H364" s="445"/>
      <c r="I364" s="445"/>
      <c r="K364" s="1136"/>
      <c r="L364" s="1136"/>
      <c r="M364" s="445"/>
      <c r="N364" s="445"/>
      <c r="O364" s="445"/>
      <c r="P364" s="445"/>
    </row>
    <row r="365" spans="1:16">
      <c r="A365" s="277"/>
      <c r="B365" s="277"/>
      <c r="C365" s="277"/>
      <c r="D365" s="445"/>
      <c r="E365" s="445"/>
      <c r="F365" s="277"/>
      <c r="G365" s="445"/>
      <c r="H365" s="445"/>
      <c r="I365" s="445"/>
      <c r="K365" s="1136"/>
      <c r="L365" s="1136"/>
      <c r="M365" s="445"/>
      <c r="N365" s="445"/>
      <c r="O365" s="445"/>
      <c r="P365" s="445"/>
    </row>
    <row r="366" spans="1:16">
      <c r="A366" s="277"/>
      <c r="B366" s="277"/>
      <c r="C366" s="277"/>
      <c r="D366" s="445"/>
      <c r="E366" s="445"/>
      <c r="F366" s="277"/>
      <c r="G366" s="445"/>
      <c r="H366" s="445"/>
      <c r="I366" s="445"/>
      <c r="K366" s="1136"/>
      <c r="L366" s="1136"/>
      <c r="M366" s="445"/>
      <c r="N366" s="445"/>
      <c r="O366" s="445"/>
      <c r="P366" s="445"/>
    </row>
    <row r="367" spans="1:16">
      <c r="A367" s="277"/>
      <c r="B367" s="277"/>
      <c r="C367" s="277"/>
      <c r="D367" s="445"/>
      <c r="E367" s="445"/>
      <c r="F367" s="277"/>
      <c r="G367" s="445"/>
      <c r="H367" s="445"/>
      <c r="I367" s="445"/>
      <c r="K367" s="1136"/>
      <c r="L367" s="1136"/>
      <c r="M367" s="445"/>
      <c r="N367" s="445"/>
      <c r="O367" s="445"/>
      <c r="P367" s="445"/>
    </row>
    <row r="368" spans="1:16">
      <c r="A368" s="277"/>
      <c r="B368" s="277"/>
      <c r="C368" s="277"/>
      <c r="D368" s="445"/>
      <c r="E368" s="445"/>
      <c r="F368" s="277"/>
      <c r="G368" s="445"/>
      <c r="H368" s="445"/>
      <c r="I368" s="445"/>
      <c r="K368" s="1136"/>
      <c r="L368" s="1136"/>
      <c r="M368" s="445"/>
      <c r="N368" s="445"/>
      <c r="O368" s="445"/>
      <c r="P368" s="445"/>
    </row>
    <row r="369" spans="1:16">
      <c r="A369" s="277"/>
      <c r="B369" s="277"/>
      <c r="C369" s="277"/>
      <c r="D369" s="445"/>
      <c r="E369" s="445"/>
      <c r="F369" s="277"/>
      <c r="G369" s="445"/>
      <c r="H369" s="445"/>
      <c r="I369" s="445"/>
      <c r="K369" s="1136"/>
      <c r="L369" s="1136"/>
      <c r="M369" s="445"/>
      <c r="N369" s="445"/>
      <c r="O369" s="445"/>
      <c r="P369" s="445"/>
    </row>
    <row r="370" spans="1:16">
      <c r="A370" s="277"/>
      <c r="B370" s="277"/>
      <c r="C370" s="277"/>
      <c r="D370" s="445"/>
      <c r="E370" s="445"/>
      <c r="F370" s="277"/>
      <c r="G370" s="445"/>
      <c r="H370" s="445"/>
      <c r="I370" s="445"/>
      <c r="K370" s="1136"/>
      <c r="L370" s="1136"/>
      <c r="M370" s="445"/>
      <c r="N370" s="445"/>
      <c r="O370" s="445"/>
      <c r="P370" s="445"/>
    </row>
    <row r="371" spans="1:16">
      <c r="A371" s="277"/>
      <c r="B371" s="277"/>
      <c r="C371" s="277"/>
      <c r="D371" s="445"/>
      <c r="E371" s="445"/>
      <c r="F371" s="277"/>
      <c r="G371" s="445"/>
      <c r="H371" s="445"/>
      <c r="I371" s="445"/>
      <c r="K371" s="1136"/>
      <c r="L371" s="1136"/>
      <c r="M371" s="445"/>
      <c r="N371" s="445"/>
      <c r="O371" s="445"/>
      <c r="P371" s="445"/>
    </row>
    <row r="372" spans="1:16">
      <c r="A372" s="277"/>
      <c r="B372" s="277"/>
      <c r="C372" s="277"/>
      <c r="D372" s="445"/>
      <c r="E372" s="445"/>
      <c r="F372" s="277"/>
      <c r="G372" s="445"/>
      <c r="H372" s="445"/>
      <c r="I372" s="445"/>
      <c r="K372" s="1136"/>
      <c r="L372" s="1136"/>
      <c r="M372" s="445"/>
      <c r="N372" s="445"/>
      <c r="O372" s="445"/>
      <c r="P372" s="445"/>
    </row>
    <row r="373" spans="1:16">
      <c r="A373" s="277"/>
      <c r="B373" s="277"/>
      <c r="C373" s="277"/>
      <c r="D373" s="445"/>
      <c r="E373" s="445"/>
      <c r="F373" s="277"/>
      <c r="G373" s="445"/>
      <c r="H373" s="445"/>
      <c r="I373" s="445"/>
      <c r="K373" s="1136"/>
      <c r="L373" s="1136"/>
      <c r="M373" s="445"/>
      <c r="N373" s="445"/>
      <c r="O373" s="445"/>
      <c r="P373" s="445"/>
    </row>
    <row r="374" spans="1:16">
      <c r="A374" s="277"/>
      <c r="B374" s="277"/>
      <c r="C374" s="277"/>
      <c r="D374" s="445"/>
      <c r="E374" s="445"/>
      <c r="F374" s="277"/>
      <c r="G374" s="445"/>
      <c r="H374" s="445"/>
      <c r="I374" s="445"/>
      <c r="K374" s="1136"/>
      <c r="L374" s="1136"/>
      <c r="M374" s="445"/>
      <c r="N374" s="445"/>
      <c r="O374" s="445"/>
      <c r="P374" s="445"/>
    </row>
    <row r="375" spans="1:16">
      <c r="A375" s="277"/>
      <c r="B375" s="277"/>
      <c r="C375" s="277"/>
      <c r="D375" s="445"/>
      <c r="E375" s="445"/>
      <c r="F375" s="277"/>
      <c r="G375" s="445"/>
      <c r="H375" s="445"/>
      <c r="I375" s="445"/>
      <c r="K375" s="1136"/>
      <c r="L375" s="1136"/>
      <c r="M375" s="445"/>
      <c r="N375" s="445"/>
      <c r="O375" s="445"/>
      <c r="P375" s="445"/>
    </row>
    <row r="376" spans="1:16">
      <c r="A376" s="277"/>
      <c r="B376" s="277"/>
      <c r="C376" s="277"/>
      <c r="D376" s="445"/>
      <c r="E376" s="445"/>
      <c r="F376" s="277"/>
      <c r="G376" s="445"/>
      <c r="H376" s="445"/>
      <c r="I376" s="445"/>
      <c r="K376" s="1136"/>
      <c r="L376" s="1136"/>
      <c r="M376" s="445"/>
      <c r="N376" s="445"/>
      <c r="O376" s="445"/>
      <c r="P376" s="445"/>
    </row>
    <row r="377" spans="1:16">
      <c r="A377" s="277"/>
      <c r="B377" s="277"/>
      <c r="C377" s="277"/>
      <c r="D377" s="445"/>
      <c r="E377" s="445"/>
      <c r="F377" s="277"/>
      <c r="G377" s="445"/>
      <c r="H377" s="445"/>
      <c r="I377" s="445"/>
      <c r="K377" s="1136"/>
      <c r="L377" s="1136"/>
      <c r="M377" s="445"/>
      <c r="N377" s="445"/>
      <c r="O377" s="445"/>
      <c r="P377" s="445"/>
    </row>
    <row r="378" spans="1:16">
      <c r="A378" s="277"/>
      <c r="B378" s="277"/>
      <c r="C378" s="277"/>
      <c r="D378" s="445"/>
      <c r="E378" s="445"/>
      <c r="F378" s="277"/>
      <c r="G378" s="445"/>
      <c r="H378" s="445"/>
      <c r="I378" s="445"/>
      <c r="K378" s="1136"/>
      <c r="L378" s="1136"/>
      <c r="M378" s="445"/>
      <c r="N378" s="445"/>
      <c r="O378" s="445"/>
      <c r="P378" s="445"/>
    </row>
    <row r="379" spans="1:16">
      <c r="A379" s="277"/>
      <c r="B379" s="277"/>
      <c r="C379" s="277"/>
      <c r="D379" s="445"/>
      <c r="E379" s="445"/>
      <c r="F379" s="277"/>
      <c r="G379" s="445"/>
      <c r="H379" s="445"/>
      <c r="I379" s="445"/>
      <c r="K379" s="1136"/>
      <c r="L379" s="1136"/>
      <c r="M379" s="445"/>
      <c r="N379" s="445"/>
      <c r="O379" s="445"/>
      <c r="P379" s="445"/>
    </row>
    <row r="380" spans="1:16">
      <c r="A380" s="277"/>
      <c r="B380" s="277"/>
      <c r="C380" s="277"/>
      <c r="D380" s="445"/>
      <c r="E380" s="445"/>
      <c r="F380" s="277"/>
      <c r="G380" s="445"/>
      <c r="H380" s="445"/>
      <c r="I380" s="445"/>
      <c r="K380" s="1136"/>
      <c r="L380" s="1136"/>
      <c r="M380" s="445"/>
      <c r="N380" s="445"/>
      <c r="O380" s="445"/>
      <c r="P380" s="445"/>
    </row>
    <row r="381" spans="1:16">
      <c r="A381" s="277"/>
      <c r="B381" s="277"/>
      <c r="C381" s="277"/>
      <c r="D381" s="445"/>
      <c r="E381" s="445"/>
      <c r="F381" s="277"/>
      <c r="G381" s="445"/>
      <c r="H381" s="445"/>
      <c r="I381" s="445"/>
      <c r="K381" s="1136"/>
      <c r="L381" s="1136"/>
      <c r="M381" s="445"/>
      <c r="N381" s="445"/>
      <c r="O381" s="445"/>
      <c r="P381" s="445"/>
    </row>
    <row r="382" spans="1:16">
      <c r="A382" s="277"/>
      <c r="B382" s="277"/>
      <c r="C382" s="277"/>
      <c r="D382" s="445"/>
      <c r="E382" s="445"/>
      <c r="F382" s="277"/>
      <c r="G382" s="445"/>
      <c r="H382" s="445"/>
      <c r="I382" s="445"/>
      <c r="K382" s="1136"/>
      <c r="L382" s="1136"/>
      <c r="M382" s="445"/>
      <c r="N382" s="445"/>
      <c r="O382" s="445"/>
      <c r="P382" s="445"/>
    </row>
    <row r="383" spans="1:16">
      <c r="A383" s="277"/>
      <c r="B383" s="277"/>
      <c r="C383" s="277"/>
      <c r="D383" s="445"/>
      <c r="E383" s="445"/>
      <c r="F383" s="277"/>
      <c r="G383" s="445"/>
      <c r="H383" s="445"/>
      <c r="I383" s="445"/>
      <c r="K383" s="1136"/>
      <c r="L383" s="1136"/>
      <c r="M383" s="445"/>
      <c r="N383" s="445"/>
      <c r="O383" s="445"/>
      <c r="P383" s="445"/>
    </row>
    <row r="384" spans="1:16">
      <c r="A384" s="277"/>
      <c r="B384" s="277"/>
      <c r="C384" s="277"/>
      <c r="D384" s="445"/>
      <c r="E384" s="445"/>
      <c r="F384" s="277"/>
      <c r="G384" s="445"/>
      <c r="H384" s="445"/>
      <c r="I384" s="445"/>
      <c r="K384" s="1136"/>
      <c r="L384" s="1136"/>
      <c r="M384" s="445"/>
      <c r="N384" s="445"/>
      <c r="O384" s="445"/>
      <c r="P384" s="445"/>
    </row>
    <row r="385" spans="1:16">
      <c r="A385" s="277"/>
      <c r="B385" s="277"/>
      <c r="C385" s="277"/>
      <c r="D385" s="445"/>
      <c r="E385" s="445"/>
      <c r="F385" s="277"/>
      <c r="G385" s="445"/>
      <c r="H385" s="445"/>
      <c r="I385" s="445"/>
      <c r="K385" s="1136"/>
      <c r="L385" s="1136"/>
      <c r="M385" s="445"/>
      <c r="N385" s="445"/>
      <c r="O385" s="445"/>
      <c r="P385" s="445"/>
    </row>
    <row r="386" spans="1:16">
      <c r="A386" s="277"/>
      <c r="B386" s="277"/>
      <c r="C386" s="277"/>
      <c r="D386" s="445"/>
      <c r="E386" s="445"/>
      <c r="F386" s="277"/>
      <c r="G386" s="445"/>
      <c r="H386" s="445"/>
      <c r="I386" s="445"/>
      <c r="K386" s="1136"/>
      <c r="L386" s="1136"/>
      <c r="M386" s="445"/>
      <c r="N386" s="445"/>
      <c r="O386" s="445"/>
      <c r="P386" s="445"/>
    </row>
    <row r="387" spans="1:16">
      <c r="A387" s="277"/>
      <c r="B387" s="277"/>
      <c r="C387" s="277"/>
      <c r="D387" s="445"/>
      <c r="E387" s="445"/>
      <c r="F387" s="277"/>
      <c r="G387" s="445"/>
      <c r="H387" s="445"/>
      <c r="I387" s="445"/>
      <c r="K387" s="1136"/>
      <c r="L387" s="1136"/>
      <c r="M387" s="445"/>
      <c r="N387" s="445"/>
      <c r="O387" s="445"/>
      <c r="P387" s="445"/>
    </row>
    <row r="388" spans="1:16">
      <c r="A388" s="277"/>
      <c r="B388" s="277"/>
      <c r="C388" s="277"/>
      <c r="D388" s="445"/>
      <c r="E388" s="445"/>
      <c r="F388" s="277"/>
      <c r="G388" s="445"/>
      <c r="H388" s="445"/>
      <c r="I388" s="445"/>
      <c r="K388" s="1136"/>
      <c r="L388" s="1136"/>
      <c r="M388" s="445"/>
      <c r="N388" s="445"/>
      <c r="O388" s="445"/>
      <c r="P388" s="445"/>
    </row>
    <row r="389" spans="1:16">
      <c r="A389" s="277"/>
      <c r="B389" s="277"/>
      <c r="C389" s="277"/>
      <c r="D389" s="445"/>
      <c r="E389" s="445"/>
      <c r="F389" s="277"/>
      <c r="G389" s="445"/>
      <c r="H389" s="445"/>
      <c r="I389" s="445"/>
      <c r="K389" s="1136"/>
      <c r="L389" s="1136"/>
      <c r="M389" s="445"/>
      <c r="N389" s="445"/>
      <c r="O389" s="445"/>
      <c r="P389" s="445"/>
    </row>
    <row r="390" spans="1:16">
      <c r="A390" s="277"/>
      <c r="B390" s="277"/>
      <c r="C390" s="277"/>
      <c r="D390" s="445"/>
      <c r="E390" s="445"/>
      <c r="F390" s="277"/>
      <c r="G390" s="445"/>
      <c r="H390" s="445"/>
      <c r="I390" s="445"/>
      <c r="K390" s="1136"/>
      <c r="L390" s="1136"/>
      <c r="M390" s="445"/>
      <c r="N390" s="445"/>
      <c r="O390" s="445"/>
      <c r="P390" s="445"/>
    </row>
    <row r="391" spans="1:16">
      <c r="A391" s="277"/>
      <c r="B391" s="277"/>
      <c r="C391" s="277"/>
      <c r="D391" s="445"/>
      <c r="E391" s="445"/>
      <c r="F391" s="277"/>
      <c r="G391" s="445"/>
      <c r="H391" s="445"/>
      <c r="I391" s="445"/>
      <c r="K391" s="1136"/>
      <c r="L391" s="1136"/>
      <c r="M391" s="445"/>
      <c r="N391" s="445"/>
      <c r="O391" s="445"/>
      <c r="P391" s="445"/>
    </row>
    <row r="392" spans="1:16">
      <c r="A392" s="277"/>
      <c r="B392" s="277"/>
      <c r="C392" s="277"/>
      <c r="D392" s="445"/>
      <c r="E392" s="445"/>
      <c r="F392" s="277"/>
      <c r="G392" s="445"/>
      <c r="H392" s="445"/>
      <c r="I392" s="445"/>
      <c r="K392" s="1136"/>
      <c r="L392" s="1136"/>
      <c r="M392" s="445"/>
      <c r="N392" s="445"/>
      <c r="O392" s="445"/>
      <c r="P392" s="445"/>
    </row>
    <row r="393" spans="1:16">
      <c r="A393" s="277"/>
      <c r="B393" s="277"/>
      <c r="C393" s="277"/>
      <c r="D393" s="445"/>
      <c r="E393" s="445"/>
      <c r="F393" s="277"/>
      <c r="G393" s="445"/>
      <c r="H393" s="445"/>
      <c r="I393" s="445"/>
      <c r="K393" s="1136"/>
      <c r="L393" s="1136"/>
      <c r="M393" s="445"/>
      <c r="N393" s="445"/>
      <c r="O393" s="445"/>
      <c r="P393" s="445"/>
    </row>
    <row r="394" spans="1:16">
      <c r="A394" s="277"/>
      <c r="B394" s="277"/>
      <c r="C394" s="277"/>
      <c r="D394" s="445"/>
      <c r="E394" s="445"/>
      <c r="F394" s="277"/>
      <c r="G394" s="445"/>
      <c r="H394" s="445"/>
      <c r="I394" s="445"/>
      <c r="K394" s="1136"/>
      <c r="L394" s="1136"/>
      <c r="M394" s="445"/>
      <c r="N394" s="445"/>
      <c r="O394" s="445"/>
      <c r="P394" s="445"/>
    </row>
    <row r="395" spans="1:16">
      <c r="A395" s="277"/>
      <c r="B395" s="277"/>
      <c r="C395" s="277"/>
      <c r="D395" s="445"/>
      <c r="E395" s="445"/>
      <c r="F395" s="277"/>
      <c r="G395" s="445"/>
      <c r="H395" s="445"/>
      <c r="I395" s="445"/>
      <c r="K395" s="1136"/>
      <c r="L395" s="1136"/>
      <c r="M395" s="445"/>
      <c r="N395" s="445"/>
      <c r="O395" s="445"/>
      <c r="P395" s="445"/>
    </row>
    <row r="396" spans="1:16">
      <c r="A396" s="277"/>
      <c r="B396" s="277"/>
      <c r="C396" s="277"/>
      <c r="D396" s="445"/>
      <c r="E396" s="445"/>
      <c r="F396" s="277"/>
      <c r="G396" s="445"/>
      <c r="H396" s="445"/>
      <c r="I396" s="445"/>
      <c r="K396" s="1136"/>
      <c r="L396" s="1136"/>
      <c r="M396" s="445"/>
      <c r="N396" s="445"/>
      <c r="O396" s="445"/>
      <c r="P396" s="445"/>
    </row>
    <row r="397" spans="1:16">
      <c r="A397" s="277"/>
      <c r="B397" s="277"/>
      <c r="C397" s="277"/>
      <c r="D397" s="445"/>
      <c r="E397" s="445"/>
      <c r="F397" s="277"/>
      <c r="G397" s="445"/>
      <c r="H397" s="445"/>
      <c r="I397" s="445"/>
      <c r="K397" s="1136"/>
      <c r="L397" s="1136"/>
      <c r="M397" s="445"/>
      <c r="N397" s="445"/>
      <c r="O397" s="445"/>
      <c r="P397" s="445"/>
    </row>
    <row r="398" spans="1:16">
      <c r="A398" s="277"/>
      <c r="B398" s="277"/>
      <c r="C398" s="277"/>
      <c r="D398" s="445"/>
      <c r="E398" s="445"/>
      <c r="F398" s="277"/>
      <c r="G398" s="445"/>
      <c r="H398" s="445"/>
      <c r="I398" s="445"/>
      <c r="K398" s="1136"/>
      <c r="L398" s="1136"/>
      <c r="M398" s="445"/>
      <c r="N398" s="445"/>
      <c r="O398" s="445"/>
      <c r="P398" s="445"/>
    </row>
    <row r="399" spans="1:16">
      <c r="A399" s="277"/>
      <c r="B399" s="277"/>
      <c r="C399" s="277"/>
      <c r="D399" s="445"/>
      <c r="E399" s="445"/>
      <c r="F399" s="277"/>
      <c r="G399" s="445"/>
      <c r="H399" s="445"/>
      <c r="I399" s="445"/>
      <c r="K399" s="1136"/>
      <c r="L399" s="1136"/>
      <c r="M399" s="445"/>
      <c r="N399" s="445"/>
      <c r="O399" s="445"/>
      <c r="P399" s="445"/>
    </row>
    <row r="400" spans="1:16">
      <c r="A400" s="277"/>
      <c r="B400" s="277"/>
      <c r="C400" s="277"/>
      <c r="D400" s="445"/>
      <c r="E400" s="445"/>
      <c r="F400" s="277"/>
      <c r="G400" s="445"/>
      <c r="H400" s="445"/>
      <c r="I400" s="445"/>
      <c r="K400" s="1136"/>
      <c r="L400" s="1136"/>
      <c r="M400" s="445"/>
      <c r="N400" s="445"/>
      <c r="O400" s="445"/>
      <c r="P400" s="445"/>
    </row>
    <row r="401" spans="1:16">
      <c r="A401" s="277"/>
      <c r="B401" s="277"/>
      <c r="C401" s="277"/>
      <c r="D401" s="445"/>
      <c r="E401" s="445"/>
      <c r="F401" s="277"/>
      <c r="G401" s="445"/>
      <c r="H401" s="445"/>
      <c r="I401" s="445"/>
      <c r="K401" s="1136"/>
      <c r="L401" s="1136"/>
      <c r="M401" s="445"/>
      <c r="N401" s="445"/>
      <c r="O401" s="445"/>
      <c r="P401" s="445"/>
    </row>
    <row r="402" spans="1:16">
      <c r="A402" s="277"/>
      <c r="B402" s="277"/>
      <c r="C402" s="277"/>
      <c r="D402" s="445"/>
      <c r="E402" s="445"/>
      <c r="F402" s="277"/>
      <c r="G402" s="445"/>
      <c r="H402" s="445"/>
      <c r="I402" s="445"/>
      <c r="K402" s="1136"/>
      <c r="L402" s="1136"/>
      <c r="M402" s="445"/>
      <c r="N402" s="445"/>
      <c r="O402" s="445"/>
      <c r="P402" s="445"/>
    </row>
    <row r="403" spans="1:16">
      <c r="A403" s="277"/>
      <c r="B403" s="277"/>
      <c r="C403" s="277"/>
      <c r="D403" s="445"/>
      <c r="E403" s="445"/>
      <c r="F403" s="277"/>
      <c r="G403" s="445"/>
      <c r="H403" s="445"/>
      <c r="I403" s="445"/>
      <c r="K403" s="1136"/>
      <c r="L403" s="1136"/>
      <c r="M403" s="445"/>
      <c r="N403" s="445"/>
      <c r="O403" s="445"/>
      <c r="P403" s="445"/>
    </row>
    <row r="404" spans="1:16">
      <c r="A404" s="277"/>
      <c r="B404" s="277"/>
      <c r="C404" s="277"/>
      <c r="D404" s="445"/>
      <c r="E404" s="445"/>
      <c r="F404" s="277"/>
      <c r="G404" s="445"/>
      <c r="H404" s="445"/>
      <c r="I404" s="445"/>
      <c r="K404" s="1136"/>
      <c r="L404" s="1136"/>
      <c r="M404" s="445"/>
      <c r="N404" s="445"/>
      <c r="O404" s="445"/>
      <c r="P404" s="445"/>
    </row>
    <row r="405" spans="1:16">
      <c r="A405" s="277"/>
      <c r="B405" s="277"/>
      <c r="C405" s="277"/>
      <c r="D405" s="445"/>
      <c r="E405" s="445"/>
      <c r="F405" s="277"/>
      <c r="G405" s="445"/>
      <c r="H405" s="445"/>
      <c r="I405" s="445"/>
      <c r="K405" s="1136"/>
      <c r="L405" s="1136"/>
      <c r="M405" s="445"/>
      <c r="N405" s="445"/>
      <c r="O405" s="445"/>
      <c r="P405" s="445"/>
    </row>
    <row r="406" spans="1:16">
      <c r="A406" s="277"/>
      <c r="B406" s="277"/>
      <c r="C406" s="277"/>
      <c r="D406" s="445"/>
      <c r="E406" s="445"/>
      <c r="F406" s="277"/>
      <c r="G406" s="445"/>
      <c r="H406" s="445"/>
      <c r="I406" s="445"/>
      <c r="K406" s="1136"/>
      <c r="L406" s="1136"/>
      <c r="M406" s="445"/>
      <c r="N406" s="445"/>
      <c r="O406" s="445"/>
      <c r="P406" s="445"/>
    </row>
    <row r="407" spans="1:16">
      <c r="A407" s="277"/>
      <c r="B407" s="277"/>
      <c r="C407" s="277"/>
      <c r="D407" s="445"/>
      <c r="E407" s="445"/>
      <c r="F407" s="277"/>
      <c r="G407" s="445"/>
      <c r="H407" s="445"/>
      <c r="I407" s="445"/>
      <c r="K407" s="1136"/>
      <c r="L407" s="1136"/>
      <c r="M407" s="445"/>
      <c r="N407" s="445"/>
      <c r="O407" s="445"/>
      <c r="P407" s="445"/>
    </row>
    <row r="408" spans="1:16">
      <c r="A408" s="277"/>
      <c r="B408" s="277"/>
      <c r="C408" s="277"/>
      <c r="D408" s="445"/>
      <c r="E408" s="445"/>
      <c r="F408" s="277"/>
      <c r="G408" s="445"/>
      <c r="H408" s="445"/>
      <c r="I408" s="445"/>
      <c r="K408" s="1136"/>
      <c r="L408" s="1136"/>
      <c r="M408" s="445"/>
      <c r="N408" s="445"/>
      <c r="O408" s="445"/>
      <c r="P408" s="445"/>
    </row>
    <row r="409" spans="1:16">
      <c r="A409" s="277"/>
      <c r="B409" s="277"/>
      <c r="C409" s="277"/>
      <c r="D409" s="445"/>
      <c r="E409" s="445"/>
      <c r="F409" s="277"/>
      <c r="G409" s="445"/>
      <c r="H409" s="445"/>
      <c r="I409" s="445"/>
      <c r="K409" s="1136"/>
      <c r="L409" s="1136"/>
      <c r="M409" s="445"/>
      <c r="N409" s="445"/>
      <c r="O409" s="445"/>
      <c r="P409" s="445"/>
    </row>
    <row r="410" spans="1:16">
      <c r="A410" s="277"/>
      <c r="B410" s="277"/>
      <c r="C410" s="277"/>
      <c r="D410" s="445"/>
      <c r="E410" s="445"/>
      <c r="F410" s="277"/>
      <c r="G410" s="445"/>
      <c r="H410" s="445"/>
      <c r="I410" s="445"/>
      <c r="K410" s="1136"/>
      <c r="L410" s="1136"/>
      <c r="M410" s="445"/>
      <c r="N410" s="445"/>
      <c r="O410" s="445"/>
      <c r="P410" s="445"/>
    </row>
    <row r="411" spans="1:16">
      <c r="A411" s="277"/>
      <c r="B411" s="277"/>
      <c r="C411" s="277"/>
      <c r="D411" s="445"/>
      <c r="E411" s="445"/>
      <c r="F411" s="277"/>
      <c r="G411" s="445"/>
      <c r="H411" s="445"/>
      <c r="I411" s="445"/>
      <c r="K411" s="1136"/>
      <c r="L411" s="1136"/>
      <c r="M411" s="445"/>
      <c r="N411" s="445"/>
      <c r="O411" s="445"/>
      <c r="P411" s="445"/>
    </row>
    <row r="412" spans="1:16">
      <c r="A412" s="277"/>
      <c r="B412" s="277"/>
      <c r="C412" s="277"/>
      <c r="D412" s="445"/>
      <c r="E412" s="445"/>
      <c r="F412" s="277"/>
      <c r="G412" s="445"/>
      <c r="H412" s="445"/>
      <c r="I412" s="445"/>
      <c r="K412" s="1136"/>
      <c r="L412" s="1136"/>
      <c r="M412" s="445"/>
      <c r="N412" s="445"/>
      <c r="O412" s="445"/>
      <c r="P412" s="445"/>
    </row>
    <row r="413" spans="1:16">
      <c r="A413" s="277"/>
      <c r="B413" s="277"/>
      <c r="C413" s="277"/>
      <c r="D413" s="445"/>
      <c r="E413" s="445"/>
      <c r="F413" s="277"/>
      <c r="G413" s="445"/>
      <c r="H413" s="445"/>
      <c r="I413" s="445"/>
      <c r="K413" s="1136"/>
      <c r="L413" s="1136"/>
      <c r="M413" s="445"/>
      <c r="N413" s="445"/>
      <c r="O413" s="445"/>
      <c r="P413" s="445"/>
    </row>
    <row r="414" spans="1:16">
      <c r="A414" s="277"/>
      <c r="B414" s="277"/>
      <c r="C414" s="277"/>
      <c r="D414" s="445"/>
      <c r="E414" s="445"/>
      <c r="F414" s="277"/>
      <c r="G414" s="445"/>
      <c r="H414" s="445"/>
      <c r="I414" s="445"/>
      <c r="K414" s="1136"/>
      <c r="L414" s="1136"/>
      <c r="M414" s="445"/>
      <c r="N414" s="445"/>
      <c r="O414" s="445"/>
      <c r="P414" s="445"/>
    </row>
    <row r="415" spans="1:16">
      <c r="A415" s="277"/>
      <c r="B415" s="277"/>
      <c r="C415" s="277"/>
      <c r="D415" s="445"/>
      <c r="E415" s="445"/>
      <c r="F415" s="277"/>
      <c r="G415" s="445"/>
      <c r="H415" s="445"/>
      <c r="I415" s="445"/>
      <c r="K415" s="1136"/>
      <c r="L415" s="1136"/>
      <c r="M415" s="445"/>
      <c r="N415" s="445"/>
      <c r="O415" s="445"/>
      <c r="P415" s="445"/>
    </row>
    <row r="416" spans="1:16">
      <c r="A416" s="277"/>
      <c r="B416" s="277"/>
      <c r="C416" s="277"/>
      <c r="D416" s="445"/>
      <c r="E416" s="445"/>
      <c r="F416" s="277"/>
      <c r="G416" s="445"/>
      <c r="H416" s="445"/>
      <c r="I416" s="445"/>
      <c r="K416" s="1136"/>
      <c r="L416" s="1136"/>
      <c r="M416" s="445"/>
      <c r="N416" s="445"/>
      <c r="O416" s="445"/>
      <c r="P416" s="445"/>
    </row>
    <row r="417" spans="1:16">
      <c r="A417" s="277"/>
      <c r="B417" s="277"/>
      <c r="C417" s="277"/>
      <c r="D417" s="445"/>
      <c r="E417" s="445"/>
      <c r="F417" s="277"/>
      <c r="G417" s="445"/>
      <c r="H417" s="445"/>
      <c r="I417" s="445"/>
      <c r="K417" s="1136"/>
      <c r="L417" s="1136"/>
      <c r="M417" s="445"/>
      <c r="N417" s="445"/>
      <c r="O417" s="445"/>
      <c r="P417" s="445"/>
    </row>
    <row r="418" spans="1:16">
      <c r="A418" s="277"/>
      <c r="B418" s="277"/>
      <c r="C418" s="277"/>
      <c r="D418" s="445"/>
      <c r="E418" s="445"/>
      <c r="F418" s="277"/>
      <c r="G418" s="445"/>
      <c r="H418" s="445"/>
      <c r="I418" s="445"/>
      <c r="K418" s="1136"/>
      <c r="L418" s="1136"/>
      <c r="M418" s="445"/>
      <c r="N418" s="445"/>
      <c r="O418" s="445"/>
      <c r="P418" s="445"/>
    </row>
    <row r="419" spans="1:16">
      <c r="A419" s="277"/>
      <c r="B419" s="277"/>
      <c r="C419" s="277"/>
      <c r="D419" s="445"/>
      <c r="E419" s="445"/>
      <c r="F419" s="277"/>
      <c r="G419" s="445"/>
      <c r="H419" s="445"/>
      <c r="I419" s="445"/>
      <c r="K419" s="1136"/>
      <c r="L419" s="1136"/>
      <c r="M419" s="445"/>
      <c r="N419" s="445"/>
      <c r="O419" s="445"/>
      <c r="P419" s="445"/>
    </row>
    <row r="420" spans="1:16">
      <c r="A420" s="277"/>
      <c r="B420" s="277"/>
      <c r="C420" s="277"/>
      <c r="D420" s="445"/>
      <c r="E420" s="445"/>
      <c r="F420" s="277"/>
      <c r="G420" s="445"/>
      <c r="H420" s="445"/>
      <c r="I420" s="445"/>
      <c r="K420" s="1136"/>
      <c r="L420" s="1136"/>
      <c r="M420" s="445"/>
      <c r="N420" s="445"/>
      <c r="O420" s="445"/>
      <c r="P420" s="445"/>
    </row>
    <row r="421" spans="1:16">
      <c r="A421" s="277"/>
      <c r="B421" s="277"/>
      <c r="C421" s="277"/>
      <c r="D421" s="445"/>
      <c r="E421" s="445"/>
      <c r="F421" s="277"/>
      <c r="G421" s="445"/>
      <c r="H421" s="445"/>
      <c r="I421" s="445"/>
      <c r="K421" s="1136"/>
      <c r="L421" s="1136"/>
      <c r="M421" s="445"/>
      <c r="N421" s="445"/>
      <c r="O421" s="445"/>
      <c r="P421" s="445"/>
    </row>
    <row r="422" spans="1:16">
      <c r="A422" s="277"/>
      <c r="B422" s="277"/>
      <c r="C422" s="277"/>
      <c r="D422" s="445"/>
      <c r="E422" s="445"/>
      <c r="F422" s="277"/>
      <c r="G422" s="445"/>
      <c r="H422" s="445"/>
      <c r="I422" s="445"/>
      <c r="K422" s="1136"/>
      <c r="L422" s="1136"/>
      <c r="M422" s="445"/>
      <c r="N422" s="445"/>
      <c r="O422" s="445"/>
      <c r="P422" s="445"/>
    </row>
    <row r="423" spans="1:16">
      <c r="A423" s="277"/>
      <c r="B423" s="277"/>
      <c r="C423" s="277"/>
      <c r="D423" s="445"/>
      <c r="E423" s="445"/>
      <c r="F423" s="277"/>
      <c r="G423" s="445"/>
      <c r="H423" s="445"/>
      <c r="I423" s="445"/>
      <c r="K423" s="1136"/>
      <c r="L423" s="1136"/>
      <c r="M423" s="445"/>
      <c r="N423" s="445"/>
      <c r="O423" s="445"/>
      <c r="P423" s="445"/>
    </row>
    <row r="424" spans="1:16">
      <c r="A424" s="277"/>
      <c r="B424" s="277"/>
      <c r="C424" s="277"/>
      <c r="D424" s="445"/>
      <c r="E424" s="445"/>
      <c r="F424" s="277"/>
      <c r="G424" s="445"/>
      <c r="H424" s="445"/>
      <c r="I424" s="445"/>
      <c r="K424" s="1136"/>
      <c r="L424" s="1136"/>
      <c r="M424" s="445"/>
      <c r="N424" s="445"/>
      <c r="O424" s="445"/>
      <c r="P424" s="445"/>
    </row>
    <row r="425" spans="1:16">
      <c r="A425" s="277"/>
      <c r="B425" s="277"/>
      <c r="C425" s="277"/>
      <c r="D425" s="445"/>
      <c r="E425" s="445"/>
      <c r="F425" s="277"/>
      <c r="G425" s="445"/>
      <c r="H425" s="445"/>
      <c r="I425" s="445"/>
      <c r="K425" s="1136"/>
      <c r="L425" s="1136"/>
      <c r="M425" s="445"/>
      <c r="N425" s="445"/>
      <c r="O425" s="445"/>
      <c r="P425" s="445"/>
    </row>
    <row r="426" spans="1:16">
      <c r="A426" s="277"/>
      <c r="B426" s="277"/>
      <c r="C426" s="277"/>
      <c r="D426" s="445"/>
      <c r="E426" s="445"/>
      <c r="F426" s="277"/>
      <c r="G426" s="445"/>
      <c r="H426" s="445"/>
      <c r="I426" s="445"/>
      <c r="K426" s="1136"/>
      <c r="L426" s="1136"/>
      <c r="M426" s="445"/>
      <c r="N426" s="445"/>
      <c r="O426" s="445"/>
      <c r="P426" s="445"/>
    </row>
    <row r="427" spans="1:16">
      <c r="A427" s="277"/>
      <c r="B427" s="277"/>
      <c r="C427" s="277"/>
      <c r="D427" s="445"/>
      <c r="E427" s="445"/>
      <c r="F427" s="277"/>
      <c r="G427" s="445"/>
      <c r="H427" s="445"/>
      <c r="I427" s="445"/>
      <c r="K427" s="1136"/>
      <c r="L427" s="1136"/>
      <c r="M427" s="445"/>
      <c r="N427" s="445"/>
      <c r="O427" s="445"/>
      <c r="P427" s="445"/>
    </row>
    <row r="428" spans="1:16">
      <c r="A428" s="277"/>
      <c r="B428" s="277"/>
      <c r="C428" s="277"/>
      <c r="D428" s="445"/>
      <c r="E428" s="445"/>
      <c r="F428" s="277"/>
      <c r="G428" s="445"/>
      <c r="H428" s="445"/>
      <c r="I428" s="445"/>
      <c r="K428" s="1136"/>
      <c r="L428" s="1136"/>
      <c r="M428" s="445"/>
      <c r="N428" s="445"/>
      <c r="O428" s="445"/>
      <c r="P428" s="445"/>
    </row>
    <row r="429" spans="1:16">
      <c r="A429" s="277"/>
      <c r="B429" s="277"/>
      <c r="C429" s="277"/>
      <c r="D429" s="445"/>
      <c r="E429" s="445"/>
      <c r="F429" s="277"/>
      <c r="G429" s="445"/>
      <c r="H429" s="445"/>
      <c r="I429" s="445"/>
      <c r="K429" s="1136"/>
      <c r="L429" s="1136"/>
      <c r="M429" s="445"/>
      <c r="N429" s="445"/>
      <c r="O429" s="445"/>
      <c r="P429" s="445"/>
    </row>
    <row r="430" spans="1:16">
      <c r="A430" s="277"/>
      <c r="B430" s="277"/>
      <c r="C430" s="277"/>
      <c r="D430" s="445"/>
      <c r="E430" s="445"/>
      <c r="F430" s="277"/>
      <c r="G430" s="445"/>
      <c r="H430" s="445"/>
      <c r="I430" s="445"/>
      <c r="K430" s="1136"/>
      <c r="L430" s="1136"/>
      <c r="M430" s="445"/>
      <c r="N430" s="445"/>
      <c r="O430" s="445"/>
      <c r="P430" s="445"/>
    </row>
    <row r="431" spans="1:16">
      <c r="A431" s="277"/>
      <c r="B431" s="277"/>
      <c r="C431" s="277"/>
      <c r="D431" s="445"/>
      <c r="E431" s="445"/>
      <c r="F431" s="277"/>
      <c r="G431" s="445"/>
      <c r="H431" s="445"/>
      <c r="I431" s="445"/>
      <c r="K431" s="1136"/>
      <c r="L431" s="1136"/>
      <c r="M431" s="445"/>
      <c r="N431" s="445"/>
      <c r="O431" s="445"/>
      <c r="P431" s="445"/>
    </row>
    <row r="432" spans="1:16">
      <c r="A432" s="277"/>
      <c r="B432" s="277"/>
      <c r="C432" s="277"/>
      <c r="D432" s="445"/>
      <c r="E432" s="445"/>
      <c r="F432" s="277"/>
      <c r="G432" s="445"/>
      <c r="H432" s="445"/>
      <c r="I432" s="445"/>
      <c r="K432" s="1136"/>
      <c r="L432" s="1136"/>
      <c r="M432" s="445"/>
      <c r="N432" s="445"/>
      <c r="O432" s="445"/>
      <c r="P432" s="445"/>
    </row>
    <row r="433" spans="1:16">
      <c r="A433" s="277"/>
      <c r="B433" s="277"/>
      <c r="C433" s="277"/>
      <c r="D433" s="445"/>
      <c r="E433" s="445"/>
      <c r="F433" s="277"/>
      <c r="G433" s="445"/>
      <c r="H433" s="445"/>
      <c r="I433" s="445"/>
      <c r="K433" s="1136"/>
      <c r="L433" s="1136"/>
      <c r="M433" s="445"/>
      <c r="N433" s="445"/>
      <c r="O433" s="445"/>
      <c r="P433" s="445"/>
    </row>
    <row r="434" spans="1:16">
      <c r="A434" s="277"/>
      <c r="B434" s="277"/>
      <c r="C434" s="277"/>
      <c r="D434" s="445"/>
      <c r="E434" s="445"/>
      <c r="F434" s="277"/>
      <c r="G434" s="445"/>
      <c r="H434" s="445"/>
      <c r="I434" s="445"/>
      <c r="K434" s="1136"/>
      <c r="L434" s="1136"/>
      <c r="M434" s="445"/>
      <c r="N434" s="445"/>
      <c r="O434" s="445"/>
      <c r="P434" s="445"/>
    </row>
    <row r="435" spans="1:16">
      <c r="A435" s="277"/>
      <c r="B435" s="277"/>
      <c r="C435" s="277"/>
      <c r="D435" s="445"/>
      <c r="E435" s="445"/>
      <c r="F435" s="277"/>
      <c r="G435" s="445"/>
      <c r="H435" s="445"/>
      <c r="I435" s="445"/>
      <c r="K435" s="1136"/>
      <c r="L435" s="1136"/>
      <c r="M435" s="445"/>
      <c r="N435" s="445"/>
      <c r="O435" s="445"/>
      <c r="P435" s="445"/>
    </row>
    <row r="436" spans="1:16">
      <c r="A436" s="277"/>
      <c r="B436" s="277"/>
      <c r="C436" s="277"/>
      <c r="D436" s="445"/>
      <c r="E436" s="445"/>
      <c r="F436" s="277"/>
      <c r="G436" s="445"/>
      <c r="H436" s="445"/>
      <c r="I436" s="445"/>
      <c r="K436" s="1136"/>
      <c r="L436" s="1136"/>
      <c r="M436" s="445"/>
      <c r="N436" s="445"/>
      <c r="O436" s="445"/>
      <c r="P436" s="445"/>
    </row>
    <row r="437" spans="1:16">
      <c r="A437" s="277"/>
      <c r="B437" s="277"/>
      <c r="C437" s="277"/>
      <c r="D437" s="445"/>
      <c r="E437" s="445"/>
      <c r="F437" s="277"/>
      <c r="G437" s="445"/>
      <c r="H437" s="445"/>
      <c r="I437" s="445"/>
      <c r="K437" s="1136"/>
      <c r="L437" s="1136"/>
      <c r="M437" s="445"/>
      <c r="N437" s="445"/>
      <c r="O437" s="445"/>
      <c r="P437" s="445"/>
    </row>
    <row r="438" spans="1:16">
      <c r="A438" s="277"/>
      <c r="B438" s="277"/>
      <c r="C438" s="277"/>
      <c r="D438" s="445"/>
      <c r="E438" s="445"/>
      <c r="F438" s="277"/>
      <c r="G438" s="445"/>
      <c r="H438" s="445"/>
      <c r="I438" s="445"/>
      <c r="K438" s="1136"/>
      <c r="L438" s="1136"/>
      <c r="M438" s="445"/>
      <c r="N438" s="445"/>
      <c r="O438" s="445"/>
      <c r="P438" s="445"/>
    </row>
    <row r="439" spans="1:16">
      <c r="A439" s="277"/>
      <c r="B439" s="277"/>
      <c r="C439" s="277"/>
      <c r="D439" s="445"/>
      <c r="E439" s="445"/>
      <c r="F439" s="277"/>
      <c r="G439" s="445"/>
      <c r="H439" s="445"/>
      <c r="I439" s="445"/>
      <c r="K439" s="1136"/>
      <c r="L439" s="1136"/>
      <c r="M439" s="445"/>
      <c r="N439" s="445"/>
      <c r="O439" s="445"/>
      <c r="P439" s="445"/>
    </row>
    <row r="440" spans="1:16">
      <c r="A440" s="277"/>
      <c r="B440" s="277"/>
      <c r="C440" s="277"/>
      <c r="D440" s="445"/>
      <c r="E440" s="445"/>
      <c r="F440" s="277"/>
      <c r="G440" s="445"/>
      <c r="H440" s="445"/>
      <c r="I440" s="445"/>
      <c r="K440" s="1136"/>
      <c r="L440" s="1136"/>
      <c r="M440" s="445"/>
      <c r="N440" s="445"/>
      <c r="O440" s="445"/>
      <c r="P440" s="445"/>
    </row>
    <row r="441" spans="1:16">
      <c r="A441" s="277"/>
      <c r="B441" s="277"/>
      <c r="C441" s="277"/>
      <c r="D441" s="445"/>
      <c r="E441" s="445"/>
      <c r="F441" s="277"/>
      <c r="G441" s="445"/>
      <c r="H441" s="445"/>
      <c r="I441" s="445"/>
      <c r="K441" s="1136"/>
      <c r="L441" s="1136"/>
      <c r="M441" s="445"/>
      <c r="N441" s="445"/>
      <c r="O441" s="445"/>
      <c r="P441" s="445"/>
    </row>
    <row r="442" spans="1:16">
      <c r="A442" s="277"/>
      <c r="B442" s="277"/>
      <c r="C442" s="277"/>
      <c r="D442" s="445"/>
      <c r="E442" s="445"/>
      <c r="F442" s="277"/>
      <c r="G442" s="445"/>
      <c r="H442" s="445"/>
      <c r="I442" s="445"/>
      <c r="K442" s="1136"/>
      <c r="L442" s="1136"/>
      <c r="M442" s="445"/>
      <c r="N442" s="445"/>
      <c r="O442" s="445"/>
      <c r="P442" s="445"/>
    </row>
    <row r="443" spans="1:16">
      <c r="A443" s="277"/>
      <c r="B443" s="277"/>
      <c r="C443" s="277"/>
      <c r="D443" s="445"/>
      <c r="E443" s="445"/>
      <c r="F443" s="277"/>
      <c r="G443" s="445"/>
      <c r="H443" s="445"/>
      <c r="I443" s="445"/>
      <c r="K443" s="1136"/>
      <c r="L443" s="1136"/>
      <c r="M443" s="445"/>
      <c r="N443" s="445"/>
      <c r="O443" s="445"/>
      <c r="P443" s="445"/>
    </row>
    <row r="444" spans="1:16">
      <c r="A444" s="277"/>
      <c r="B444" s="277"/>
      <c r="C444" s="277"/>
      <c r="D444" s="445"/>
      <c r="E444" s="445"/>
      <c r="F444" s="277"/>
      <c r="G444" s="445"/>
      <c r="H444" s="445"/>
      <c r="I444" s="445"/>
      <c r="K444" s="1136"/>
      <c r="L444" s="1136"/>
      <c r="M444" s="445"/>
      <c r="N444" s="445"/>
      <c r="O444" s="445"/>
      <c r="P444" s="445"/>
    </row>
    <row r="445" spans="1:16">
      <c r="A445" s="277"/>
      <c r="B445" s="277"/>
      <c r="C445" s="277"/>
      <c r="D445" s="445"/>
      <c r="E445" s="445"/>
      <c r="F445" s="277"/>
      <c r="G445" s="445"/>
      <c r="H445" s="445"/>
      <c r="I445" s="445"/>
      <c r="K445" s="1136"/>
      <c r="L445" s="1136"/>
      <c r="M445" s="445"/>
      <c r="N445" s="445"/>
      <c r="O445" s="445"/>
      <c r="P445" s="445"/>
    </row>
    <row r="446" spans="1:16">
      <c r="A446" s="277"/>
      <c r="B446" s="277"/>
      <c r="C446" s="277"/>
      <c r="D446" s="445"/>
      <c r="E446" s="445"/>
      <c r="F446" s="277"/>
      <c r="G446" s="445"/>
      <c r="H446" s="445"/>
      <c r="I446" s="445"/>
      <c r="K446" s="1136"/>
      <c r="L446" s="1136"/>
      <c r="M446" s="445"/>
      <c r="N446" s="445"/>
      <c r="O446" s="445"/>
      <c r="P446" s="445"/>
    </row>
    <row r="447" spans="1:16">
      <c r="A447" s="277"/>
      <c r="B447" s="277"/>
      <c r="C447" s="277"/>
      <c r="D447" s="445"/>
      <c r="E447" s="445"/>
      <c r="F447" s="277"/>
      <c r="G447" s="445"/>
      <c r="H447" s="445"/>
      <c r="I447" s="445"/>
      <c r="K447" s="1136"/>
      <c r="L447" s="1136"/>
      <c r="M447" s="445"/>
      <c r="N447" s="445"/>
      <c r="O447" s="445"/>
      <c r="P447" s="445"/>
    </row>
    <row r="448" spans="1:16">
      <c r="A448" s="277"/>
      <c r="B448" s="277"/>
      <c r="C448" s="277"/>
      <c r="D448" s="445"/>
      <c r="E448" s="445"/>
      <c r="F448" s="277"/>
      <c r="G448" s="445"/>
      <c r="H448" s="445"/>
      <c r="I448" s="445"/>
      <c r="K448" s="1136"/>
      <c r="L448" s="1136"/>
      <c r="M448" s="445"/>
      <c r="N448" s="445"/>
      <c r="O448" s="445"/>
      <c r="P448" s="445"/>
    </row>
    <row r="449" spans="1:16">
      <c r="A449" s="277"/>
      <c r="B449" s="277"/>
      <c r="C449" s="277"/>
      <c r="D449" s="445"/>
      <c r="E449" s="445"/>
      <c r="F449" s="277"/>
      <c r="G449" s="445"/>
      <c r="H449" s="445"/>
      <c r="I449" s="445"/>
      <c r="K449" s="1136"/>
      <c r="L449" s="1136"/>
      <c r="M449" s="445"/>
      <c r="N449" s="445"/>
      <c r="O449" s="445"/>
      <c r="P449" s="445"/>
    </row>
    <row r="450" spans="1:16">
      <c r="A450" s="277"/>
      <c r="B450" s="277"/>
      <c r="C450" s="277"/>
      <c r="D450" s="445"/>
      <c r="E450" s="445"/>
      <c r="F450" s="277"/>
      <c r="G450" s="445"/>
      <c r="H450" s="445"/>
      <c r="I450" s="445"/>
      <c r="K450" s="1136"/>
      <c r="L450" s="1136"/>
      <c r="M450" s="445"/>
      <c r="N450" s="445"/>
      <c r="O450" s="445"/>
      <c r="P450" s="445"/>
    </row>
    <row r="451" spans="1:16">
      <c r="A451" s="277"/>
      <c r="B451" s="277"/>
      <c r="C451" s="277"/>
      <c r="D451" s="445"/>
      <c r="E451" s="445"/>
      <c r="F451" s="277"/>
      <c r="G451" s="445"/>
      <c r="H451" s="445"/>
      <c r="I451" s="445"/>
      <c r="K451" s="1136"/>
      <c r="L451" s="1136"/>
      <c r="M451" s="445"/>
      <c r="N451" s="445"/>
      <c r="O451" s="445"/>
      <c r="P451" s="445"/>
    </row>
    <row r="452" spans="1:16">
      <c r="A452" s="277"/>
      <c r="B452" s="277"/>
      <c r="C452" s="277"/>
      <c r="D452" s="445"/>
      <c r="E452" s="445"/>
      <c r="F452" s="277"/>
      <c r="G452" s="445"/>
      <c r="H452" s="445"/>
      <c r="I452" s="445"/>
      <c r="K452" s="1136"/>
      <c r="L452" s="1136"/>
      <c r="M452" s="445"/>
      <c r="N452" s="445"/>
      <c r="O452" s="445"/>
      <c r="P452" s="445"/>
    </row>
    <row r="453" spans="1:16">
      <c r="A453" s="277"/>
      <c r="B453" s="277"/>
      <c r="C453" s="277"/>
      <c r="D453" s="445"/>
      <c r="E453" s="445"/>
      <c r="F453" s="277"/>
      <c r="G453" s="445"/>
      <c r="H453" s="445"/>
      <c r="I453" s="445"/>
      <c r="K453" s="1136"/>
      <c r="L453" s="1136"/>
      <c r="M453" s="445"/>
      <c r="N453" s="445"/>
      <c r="O453" s="445"/>
      <c r="P453" s="445"/>
    </row>
    <row r="454" spans="1:16">
      <c r="A454" s="277"/>
      <c r="B454" s="277"/>
      <c r="C454" s="277"/>
      <c r="D454" s="445"/>
      <c r="E454" s="445"/>
      <c r="F454" s="277"/>
      <c r="G454" s="445"/>
      <c r="H454" s="445"/>
      <c r="I454" s="445"/>
      <c r="K454" s="1136"/>
      <c r="L454" s="1136"/>
      <c r="M454" s="445"/>
      <c r="N454" s="445"/>
      <c r="O454" s="445"/>
      <c r="P454" s="445"/>
    </row>
    <row r="455" spans="1:16">
      <c r="A455" s="277"/>
      <c r="B455" s="277"/>
      <c r="C455" s="277"/>
      <c r="D455" s="445"/>
      <c r="E455" s="445"/>
      <c r="F455" s="277"/>
      <c r="G455" s="445"/>
      <c r="H455" s="445"/>
      <c r="I455" s="445"/>
      <c r="K455" s="1136"/>
      <c r="L455" s="1136"/>
      <c r="M455" s="445"/>
      <c r="N455" s="445"/>
      <c r="O455" s="445"/>
      <c r="P455" s="445"/>
    </row>
    <row r="456" spans="1:16">
      <c r="A456" s="277"/>
      <c r="B456" s="277"/>
      <c r="C456" s="277"/>
      <c r="D456" s="445"/>
      <c r="E456" s="445"/>
      <c r="F456" s="277"/>
      <c r="G456" s="445"/>
      <c r="H456" s="445"/>
      <c r="I456" s="445"/>
      <c r="K456" s="1136"/>
      <c r="L456" s="1136"/>
      <c r="M456" s="445"/>
      <c r="N456" s="445"/>
      <c r="O456" s="445"/>
      <c r="P456" s="445"/>
    </row>
    <row r="457" spans="1:16">
      <c r="A457" s="277"/>
      <c r="B457" s="277"/>
      <c r="C457" s="277"/>
      <c r="D457" s="445"/>
      <c r="E457" s="445"/>
      <c r="F457" s="277"/>
      <c r="G457" s="445"/>
      <c r="H457" s="445"/>
      <c r="I457" s="445"/>
      <c r="K457" s="1136"/>
      <c r="L457" s="1136"/>
      <c r="M457" s="445"/>
      <c r="N457" s="445"/>
      <c r="O457" s="445"/>
      <c r="P457" s="445"/>
    </row>
    <row r="458" spans="1:16">
      <c r="A458" s="277"/>
      <c r="B458" s="277"/>
      <c r="C458" s="277"/>
      <c r="D458" s="445"/>
      <c r="E458" s="445"/>
      <c r="F458" s="277"/>
      <c r="G458" s="445"/>
      <c r="H458" s="445"/>
      <c r="I458" s="445"/>
      <c r="K458" s="1136"/>
      <c r="L458" s="1136"/>
      <c r="M458" s="445"/>
      <c r="N458" s="445"/>
      <c r="O458" s="445"/>
      <c r="P458" s="445"/>
    </row>
    <row r="459" spans="1:16">
      <c r="A459" s="277"/>
      <c r="B459" s="277"/>
      <c r="C459" s="277"/>
      <c r="D459" s="445"/>
      <c r="E459" s="445"/>
      <c r="F459" s="277"/>
      <c r="G459" s="445"/>
      <c r="H459" s="445"/>
      <c r="I459" s="445"/>
      <c r="K459" s="1136"/>
      <c r="L459" s="1136"/>
      <c r="M459" s="445"/>
      <c r="N459" s="445"/>
      <c r="O459" s="445"/>
      <c r="P459" s="445"/>
    </row>
    <row r="460" spans="1:16">
      <c r="A460" s="277"/>
      <c r="B460" s="277"/>
      <c r="C460" s="277"/>
      <c r="D460" s="445"/>
      <c r="E460" s="445"/>
      <c r="F460" s="277"/>
      <c r="G460" s="445"/>
      <c r="H460" s="445"/>
      <c r="I460" s="445"/>
      <c r="K460" s="1136"/>
      <c r="L460" s="1136"/>
      <c r="M460" s="445"/>
      <c r="N460" s="445"/>
      <c r="O460" s="445"/>
      <c r="P460" s="445"/>
    </row>
    <row r="461" spans="1:16">
      <c r="A461" s="277"/>
      <c r="B461" s="277"/>
      <c r="C461" s="277"/>
      <c r="D461" s="445"/>
      <c r="E461" s="445"/>
      <c r="F461" s="277"/>
      <c r="G461" s="445"/>
      <c r="H461" s="445"/>
      <c r="I461" s="445"/>
      <c r="K461" s="1136"/>
      <c r="L461" s="1136"/>
      <c r="M461" s="445"/>
      <c r="N461" s="445"/>
      <c r="O461" s="445"/>
      <c r="P461" s="445"/>
    </row>
    <row r="462" spans="1:16">
      <c r="A462" s="277"/>
      <c r="B462" s="277"/>
      <c r="C462" s="277"/>
      <c r="D462" s="445"/>
      <c r="E462" s="445"/>
      <c r="F462" s="277"/>
      <c r="G462" s="445"/>
      <c r="H462" s="445"/>
      <c r="I462" s="445"/>
      <c r="K462" s="1136"/>
      <c r="L462" s="1136"/>
      <c r="M462" s="445"/>
      <c r="N462" s="445"/>
      <c r="O462" s="445"/>
      <c r="P462" s="445"/>
    </row>
    <row r="463" spans="1:16">
      <c r="A463" s="277"/>
      <c r="B463" s="277"/>
      <c r="C463" s="277"/>
      <c r="D463" s="445"/>
      <c r="E463" s="445"/>
      <c r="F463" s="277"/>
      <c r="G463" s="445"/>
      <c r="H463" s="445"/>
      <c r="I463" s="445"/>
      <c r="K463" s="1136"/>
      <c r="L463" s="1136"/>
      <c r="M463" s="445"/>
      <c r="N463" s="445"/>
      <c r="O463" s="445"/>
      <c r="P463" s="445"/>
    </row>
    <row r="464" spans="1:16">
      <c r="A464" s="277"/>
      <c r="B464" s="277"/>
      <c r="C464" s="277"/>
      <c r="D464" s="445"/>
      <c r="E464" s="445"/>
      <c r="F464" s="277"/>
      <c r="G464" s="445"/>
      <c r="H464" s="445"/>
      <c r="I464" s="445"/>
      <c r="K464" s="1136"/>
      <c r="L464" s="1136"/>
      <c r="M464" s="445"/>
      <c r="N464" s="445"/>
      <c r="O464" s="445"/>
      <c r="P464" s="445"/>
    </row>
    <row r="465" spans="1:16">
      <c r="A465" s="277"/>
      <c r="B465" s="277"/>
      <c r="C465" s="277"/>
      <c r="D465" s="445"/>
      <c r="E465" s="445"/>
      <c r="F465" s="277"/>
      <c r="G465" s="445"/>
      <c r="H465" s="445"/>
      <c r="I465" s="445"/>
      <c r="K465" s="1136"/>
      <c r="L465" s="1136"/>
      <c r="M465" s="445"/>
      <c r="N465" s="445"/>
      <c r="O465" s="445"/>
      <c r="P465" s="445"/>
    </row>
    <row r="466" spans="1:16">
      <c r="A466" s="277"/>
      <c r="B466" s="277"/>
      <c r="C466" s="277"/>
      <c r="D466" s="445"/>
      <c r="E466" s="445"/>
      <c r="F466" s="277"/>
      <c r="G466" s="445"/>
      <c r="H466" s="445"/>
      <c r="I466" s="445"/>
      <c r="K466" s="1136"/>
      <c r="L466" s="1136"/>
      <c r="M466" s="445"/>
      <c r="N466" s="445"/>
      <c r="O466" s="445"/>
      <c r="P466" s="445"/>
    </row>
    <row r="467" spans="1:16">
      <c r="A467" s="277"/>
      <c r="B467" s="277"/>
      <c r="C467" s="277"/>
      <c r="D467" s="445"/>
      <c r="E467" s="445"/>
      <c r="F467" s="277"/>
      <c r="G467" s="445"/>
      <c r="H467" s="445"/>
      <c r="I467" s="445"/>
      <c r="K467" s="1136"/>
      <c r="L467" s="1136"/>
      <c r="M467" s="445"/>
      <c r="N467" s="445"/>
      <c r="O467" s="445"/>
      <c r="P467" s="445"/>
    </row>
    <row r="468" spans="1:16">
      <c r="A468" s="277"/>
      <c r="B468" s="277"/>
      <c r="C468" s="277"/>
      <c r="D468" s="445"/>
      <c r="E468" s="445"/>
      <c r="F468" s="277"/>
      <c r="G468" s="445"/>
      <c r="H468" s="445"/>
      <c r="I468" s="445"/>
      <c r="K468" s="1136"/>
      <c r="L468" s="1136"/>
      <c r="M468" s="445"/>
      <c r="N468" s="445"/>
      <c r="O468" s="445"/>
      <c r="P468" s="445"/>
    </row>
    <row r="469" spans="1:16">
      <c r="A469" s="277"/>
      <c r="B469" s="277"/>
      <c r="C469" s="277"/>
      <c r="D469" s="445"/>
      <c r="E469" s="445"/>
      <c r="F469" s="277"/>
      <c r="G469" s="445"/>
      <c r="H469" s="445"/>
      <c r="I469" s="445"/>
      <c r="K469" s="1136"/>
      <c r="L469" s="1136"/>
      <c r="M469" s="445"/>
      <c r="N469" s="445"/>
      <c r="O469" s="445"/>
      <c r="P469" s="445"/>
    </row>
    <row r="470" spans="1:16">
      <c r="A470" s="277"/>
      <c r="B470" s="277"/>
      <c r="C470" s="277"/>
      <c r="D470" s="445"/>
      <c r="E470" s="445"/>
      <c r="F470" s="277"/>
      <c r="G470" s="445"/>
      <c r="H470" s="445"/>
      <c r="I470" s="445"/>
      <c r="K470" s="1136"/>
      <c r="L470" s="1136"/>
      <c r="M470" s="445"/>
      <c r="N470" s="445"/>
      <c r="O470" s="445"/>
      <c r="P470" s="445"/>
    </row>
    <row r="471" spans="1:16">
      <c r="A471" s="277"/>
      <c r="B471" s="277"/>
      <c r="C471" s="277"/>
      <c r="D471" s="445"/>
      <c r="E471" s="445"/>
      <c r="F471" s="277"/>
      <c r="G471" s="445"/>
      <c r="H471" s="445"/>
      <c r="I471" s="445"/>
      <c r="K471" s="1136"/>
      <c r="L471" s="1136"/>
      <c r="M471" s="445"/>
      <c r="N471" s="445"/>
      <c r="O471" s="445"/>
      <c r="P471" s="445"/>
    </row>
    <row r="472" spans="1:16">
      <c r="A472" s="277"/>
      <c r="B472" s="277"/>
      <c r="C472" s="277"/>
      <c r="D472" s="445"/>
      <c r="E472" s="445"/>
      <c r="F472" s="277"/>
      <c r="G472" s="445"/>
      <c r="H472" s="445"/>
      <c r="I472" s="445"/>
      <c r="K472" s="1136"/>
      <c r="L472" s="1136"/>
      <c r="M472" s="445"/>
      <c r="N472" s="445"/>
      <c r="O472" s="445"/>
      <c r="P472" s="445"/>
    </row>
    <row r="473" spans="1:16">
      <c r="A473" s="277"/>
      <c r="B473" s="277"/>
      <c r="C473" s="277"/>
      <c r="D473" s="445"/>
      <c r="E473" s="445"/>
      <c r="F473" s="277"/>
      <c r="G473" s="445"/>
      <c r="H473" s="445"/>
      <c r="I473" s="445"/>
      <c r="K473" s="1136"/>
      <c r="L473" s="1136"/>
      <c r="M473" s="445"/>
      <c r="N473" s="445"/>
      <c r="O473" s="445"/>
      <c r="P473" s="445"/>
    </row>
    <row r="474" spans="1:16">
      <c r="A474" s="277"/>
      <c r="B474" s="277"/>
      <c r="C474" s="277"/>
      <c r="D474" s="445"/>
      <c r="E474" s="445"/>
      <c r="F474" s="277"/>
      <c r="G474" s="445"/>
      <c r="H474" s="445"/>
      <c r="I474" s="445"/>
      <c r="K474" s="1136"/>
      <c r="L474" s="1136"/>
      <c r="M474" s="445"/>
      <c r="N474" s="445"/>
      <c r="O474" s="445"/>
      <c r="P474" s="445"/>
    </row>
    <row r="475" spans="1:16">
      <c r="A475" s="277"/>
      <c r="B475" s="277"/>
      <c r="C475" s="277"/>
      <c r="D475" s="445"/>
      <c r="E475" s="445"/>
      <c r="F475" s="277"/>
      <c r="G475" s="445"/>
      <c r="H475" s="445"/>
      <c r="I475" s="445"/>
      <c r="K475" s="1136"/>
      <c r="L475" s="1136"/>
      <c r="M475" s="445"/>
      <c r="N475" s="445"/>
      <c r="O475" s="445"/>
      <c r="P475" s="445"/>
    </row>
    <row r="476" spans="1:16">
      <c r="A476" s="277"/>
      <c r="B476" s="277"/>
      <c r="C476" s="277"/>
      <c r="D476" s="445"/>
      <c r="E476" s="445"/>
      <c r="F476" s="277"/>
      <c r="G476" s="445"/>
      <c r="H476" s="445"/>
      <c r="I476" s="445"/>
      <c r="K476" s="1136"/>
      <c r="L476" s="1136"/>
      <c r="M476" s="445"/>
      <c r="N476" s="445"/>
      <c r="O476" s="445"/>
      <c r="P476" s="445"/>
    </row>
    <row r="477" spans="1:16">
      <c r="A477" s="277"/>
      <c r="B477" s="277"/>
      <c r="C477" s="277"/>
      <c r="D477" s="445"/>
      <c r="E477" s="445"/>
      <c r="F477" s="277"/>
      <c r="G477" s="445"/>
      <c r="H477" s="445"/>
      <c r="I477" s="445"/>
      <c r="K477" s="1136"/>
      <c r="L477" s="1136"/>
      <c r="M477" s="445"/>
      <c r="N477" s="445"/>
      <c r="O477" s="445"/>
      <c r="P477" s="445"/>
    </row>
    <row r="478" spans="1:16">
      <c r="A478" s="277"/>
      <c r="B478" s="277"/>
      <c r="C478" s="277"/>
      <c r="D478" s="445"/>
      <c r="E478" s="445"/>
      <c r="F478" s="277"/>
      <c r="G478" s="445"/>
      <c r="H478" s="445"/>
      <c r="I478" s="445"/>
      <c r="K478" s="1136"/>
      <c r="L478" s="1136"/>
      <c r="M478" s="445"/>
      <c r="N478" s="445"/>
      <c r="O478" s="445"/>
      <c r="P478" s="445"/>
    </row>
  </sheetData>
  <mergeCells count="4">
    <mergeCell ref="A4:E4"/>
    <mergeCell ref="F4:J4"/>
    <mergeCell ref="K4:M4"/>
    <mergeCell ref="N4:P4"/>
  </mergeCells>
  <printOptions horizontalCentered="1"/>
  <pageMargins left="0.19685039370078741" right="0.19685039370078741" top="0.78740157480314965" bottom="0.78740157480314965" header="0.19685039370078741" footer="0.19685039370078741"/>
  <pageSetup paperSize="9" scale="62" fitToHeight="100" orientation="landscape" r:id="rId1"/>
  <headerFooter>
    <oddHeader>&amp;C&amp;"Arial,Negrita"&amp;20PROYECTO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002060"/>
    <pageSetUpPr fitToPage="1"/>
  </sheetPr>
  <dimension ref="A1:U506"/>
  <sheetViews>
    <sheetView view="pageBreakPreview" zoomScaleNormal="100" zoomScaleSheetLayoutView="100" workbookViewId="0">
      <selection activeCell="B8" sqref="B8"/>
    </sheetView>
  </sheetViews>
  <sheetFormatPr baseColWidth="10" defaultColWidth="11.42578125" defaultRowHeight="12"/>
  <cols>
    <col min="1" max="1" width="13.140625" style="265" customWidth="1"/>
    <col min="2" max="2" width="9.140625" style="265" customWidth="1"/>
    <col min="3" max="3" width="10.140625" style="265" customWidth="1"/>
    <col min="4" max="4" width="20.7109375" style="265" customWidth="1"/>
    <col min="5" max="5" width="10.7109375" style="265" customWidth="1"/>
    <col min="6" max="6" width="9.42578125" style="265" bestFit="1" customWidth="1"/>
    <col min="7" max="7" width="35.7109375" style="265" customWidth="1"/>
    <col min="8" max="8" width="20.7109375" style="265" customWidth="1"/>
    <col min="9" max="9" width="35.7109375" style="265" customWidth="1"/>
    <col min="10" max="10" width="20.7109375" style="265" customWidth="1"/>
    <col min="11" max="11" width="7.7109375" style="276" bestFit="1" customWidth="1"/>
    <col min="12" max="12" width="5.42578125" style="276" bestFit="1" customWidth="1"/>
    <col min="13" max="13" width="12.28515625" style="265" bestFit="1" customWidth="1"/>
    <col min="14" max="14" width="7.7109375" style="265" bestFit="1" customWidth="1"/>
    <col min="15" max="15" width="5.42578125" style="265" bestFit="1" customWidth="1"/>
    <col min="16" max="16" width="11.28515625" style="265" bestFit="1" customWidth="1"/>
    <col min="17" max="16384" width="11.42578125" style="265"/>
  </cols>
  <sheetData>
    <row r="1" spans="1:21" s="275" customFormat="1">
      <c r="A1" s="275" t="s">
        <v>473</v>
      </c>
    </row>
    <row r="2" spans="1:21" s="264" customFormat="1">
      <c r="A2" s="69" t="s">
        <v>1655</v>
      </c>
      <c r="B2" s="69"/>
      <c r="C2" s="69"/>
      <c r="D2" s="69"/>
      <c r="E2" s="69"/>
      <c r="F2" s="69"/>
      <c r="G2" s="69"/>
      <c r="H2" s="69"/>
      <c r="I2" s="69"/>
      <c r="J2" s="69"/>
      <c r="K2" s="69"/>
      <c r="L2" s="69"/>
      <c r="M2" s="69"/>
      <c r="N2" s="69"/>
      <c r="O2" s="69"/>
      <c r="P2" s="69"/>
      <c r="Q2" s="69"/>
      <c r="R2" s="69"/>
      <c r="S2" s="69"/>
      <c r="T2" s="69"/>
      <c r="U2" s="69"/>
    </row>
    <row r="3" spans="1:21" ht="12.75" thickBot="1">
      <c r="A3" s="742" t="s">
        <v>6864</v>
      </c>
    </row>
    <row r="4" spans="1:21" s="277" customFormat="1" ht="12.75" thickBot="1">
      <c r="A4" s="2024" t="s">
        <v>131</v>
      </c>
      <c r="B4" s="2069"/>
      <c r="C4" s="2069"/>
      <c r="D4" s="2069"/>
      <c r="E4" s="2025"/>
      <c r="F4" s="2070" t="s">
        <v>132</v>
      </c>
      <c r="G4" s="2071"/>
      <c r="H4" s="2072"/>
      <c r="I4" s="2072"/>
      <c r="J4" s="2073"/>
      <c r="K4" s="2074" t="s">
        <v>1652</v>
      </c>
      <c r="L4" s="2075"/>
      <c r="M4" s="2076"/>
      <c r="N4" s="2074" t="s">
        <v>1651</v>
      </c>
      <c r="O4" s="2075"/>
      <c r="P4" s="2076"/>
    </row>
    <row r="5" spans="1:21" s="278" customFormat="1" ht="78" thickBot="1">
      <c r="A5" s="401" t="s">
        <v>94</v>
      </c>
      <c r="B5" s="139" t="s">
        <v>8</v>
      </c>
      <c r="C5" s="139" t="s">
        <v>91</v>
      </c>
      <c r="D5" s="402" t="s">
        <v>95</v>
      </c>
      <c r="E5" s="404" t="s">
        <v>115</v>
      </c>
      <c r="F5" s="401" t="s">
        <v>119</v>
      </c>
      <c r="G5" s="402" t="s">
        <v>120</v>
      </c>
      <c r="H5" s="402" t="s">
        <v>134</v>
      </c>
      <c r="I5" s="139" t="s">
        <v>135</v>
      </c>
      <c r="J5" s="399" t="s">
        <v>124</v>
      </c>
      <c r="K5" s="443" t="s">
        <v>121</v>
      </c>
      <c r="L5" s="140" t="s">
        <v>122</v>
      </c>
      <c r="M5" s="141" t="s">
        <v>123</v>
      </c>
      <c r="N5" s="443" t="s">
        <v>121</v>
      </c>
      <c r="O5" s="140" t="s">
        <v>122</v>
      </c>
      <c r="P5" s="141" t="s">
        <v>123</v>
      </c>
    </row>
    <row r="6" spans="1:21" ht="24.75" thickBot="1">
      <c r="A6" s="1572" t="s">
        <v>5510</v>
      </c>
      <c r="B6" s="1573" t="s">
        <v>1880</v>
      </c>
      <c r="C6" s="1573" t="s">
        <v>504</v>
      </c>
      <c r="D6" s="1574" t="s">
        <v>5594</v>
      </c>
      <c r="E6" s="1575">
        <v>4000</v>
      </c>
      <c r="F6" s="1576" t="s">
        <v>6863</v>
      </c>
      <c r="G6" s="1577" t="s">
        <v>6862</v>
      </c>
      <c r="H6" s="1577" t="s">
        <v>6661</v>
      </c>
      <c r="I6" s="1578" t="s">
        <v>5506</v>
      </c>
      <c r="J6" s="1537" t="s">
        <v>6661</v>
      </c>
      <c r="K6" s="1579">
        <v>2</v>
      </c>
      <c r="L6" s="1580">
        <v>6</v>
      </c>
      <c r="M6" s="1575">
        <v>24000</v>
      </c>
      <c r="N6" s="1579">
        <v>2</v>
      </c>
      <c r="O6" s="1580">
        <v>6</v>
      </c>
      <c r="P6" s="1575">
        <v>12000</v>
      </c>
    </row>
    <row r="7" spans="1:21" ht="24">
      <c r="A7" s="1540" t="s">
        <v>5510</v>
      </c>
      <c r="B7" s="1234" t="s">
        <v>1880</v>
      </c>
      <c r="C7" s="1541" t="s">
        <v>504</v>
      </c>
      <c r="D7" s="1418" t="s">
        <v>6861</v>
      </c>
      <c r="E7" s="1547">
        <v>6000</v>
      </c>
      <c r="F7" s="1543" t="s">
        <v>6860</v>
      </c>
      <c r="G7" s="1566" t="s">
        <v>6859</v>
      </c>
      <c r="H7" s="1566" t="s">
        <v>6858</v>
      </c>
      <c r="I7" s="1567" t="s">
        <v>5506</v>
      </c>
      <c r="J7" s="1544" t="s">
        <v>6857</v>
      </c>
      <c r="K7" s="1568">
        <v>2</v>
      </c>
      <c r="L7" s="1569">
        <v>6</v>
      </c>
      <c r="M7" s="1547">
        <v>35517.509999999995</v>
      </c>
      <c r="N7" s="1568">
        <v>2</v>
      </c>
      <c r="O7" s="1569">
        <v>6</v>
      </c>
      <c r="P7" s="1547">
        <v>17891.239999999998</v>
      </c>
    </row>
    <row r="8" spans="1:21" ht="60">
      <c r="A8" s="1245" t="s">
        <v>5510</v>
      </c>
      <c r="B8" s="1246" t="s">
        <v>1880</v>
      </c>
      <c r="C8" s="1246" t="s">
        <v>504</v>
      </c>
      <c r="D8" s="1200" t="s">
        <v>6856</v>
      </c>
      <c r="E8" s="1247">
        <v>5000</v>
      </c>
      <c r="F8" s="1549" t="s">
        <v>6855</v>
      </c>
      <c r="G8" s="1503" t="s">
        <v>6854</v>
      </c>
      <c r="H8" s="1503" t="s">
        <v>6853</v>
      </c>
      <c r="I8" s="1570" t="s">
        <v>5516</v>
      </c>
      <c r="J8" s="1550" t="s">
        <v>6852</v>
      </c>
      <c r="K8" s="1571">
        <v>2</v>
      </c>
      <c r="L8" s="1273">
        <v>4</v>
      </c>
      <c r="M8" s="1247">
        <v>18317.7</v>
      </c>
      <c r="N8" s="1571">
        <v>2</v>
      </c>
      <c r="O8" s="1273">
        <v>6</v>
      </c>
      <c r="P8" s="1247">
        <v>14905.380000000001</v>
      </c>
    </row>
    <row r="9" spans="1:21" ht="24">
      <c r="A9" s="1245" t="s">
        <v>5510</v>
      </c>
      <c r="B9" s="1246" t="s">
        <v>1880</v>
      </c>
      <c r="C9" s="1246" t="s">
        <v>504</v>
      </c>
      <c r="D9" s="1200" t="s">
        <v>6851</v>
      </c>
      <c r="E9" s="1247">
        <v>7000</v>
      </c>
      <c r="F9" s="1549" t="s">
        <v>6850</v>
      </c>
      <c r="G9" s="1503" t="s">
        <v>6849</v>
      </c>
      <c r="H9" s="1503" t="s">
        <v>1719</v>
      </c>
      <c r="I9" s="1570" t="s">
        <v>5506</v>
      </c>
      <c r="J9" s="1550" t="s">
        <v>5844</v>
      </c>
      <c r="K9" s="1571">
        <v>2</v>
      </c>
      <c r="L9" s="1273">
        <v>6</v>
      </c>
      <c r="M9" s="1247">
        <v>41644.080000000002</v>
      </c>
      <c r="N9" s="1571">
        <v>2</v>
      </c>
      <c r="O9" s="1273">
        <v>6</v>
      </c>
      <c r="P9" s="1247">
        <v>20785.544999999998</v>
      </c>
    </row>
    <row r="10" spans="1:21">
      <c r="A10" s="1245" t="s">
        <v>5510</v>
      </c>
      <c r="B10" s="1246" t="s">
        <v>1880</v>
      </c>
      <c r="C10" s="1246" t="s">
        <v>504</v>
      </c>
      <c r="D10" s="1200" t="s">
        <v>622</v>
      </c>
      <c r="E10" s="1247">
        <v>2500</v>
      </c>
      <c r="F10" s="1549" t="s">
        <v>6848</v>
      </c>
      <c r="G10" s="1503" t="s">
        <v>6847</v>
      </c>
      <c r="H10" s="1503"/>
      <c r="I10" s="1570"/>
      <c r="J10" s="1550"/>
      <c r="K10" s="1571">
        <v>1</v>
      </c>
      <c r="L10" s="1273">
        <v>1</v>
      </c>
      <c r="M10" s="1247">
        <v>2333.33</v>
      </c>
      <c r="N10" s="1571">
        <v>0</v>
      </c>
      <c r="O10" s="1273">
        <v>0</v>
      </c>
      <c r="P10" s="1247">
        <v>0</v>
      </c>
    </row>
    <row r="11" spans="1:21" ht="36">
      <c r="A11" s="1245" t="s">
        <v>5510</v>
      </c>
      <c r="B11" s="1246" t="s">
        <v>1880</v>
      </c>
      <c r="C11" s="1246" t="s">
        <v>504</v>
      </c>
      <c r="D11" s="1200" t="s">
        <v>6846</v>
      </c>
      <c r="E11" s="1247">
        <v>2000</v>
      </c>
      <c r="F11" s="1549" t="s">
        <v>6845</v>
      </c>
      <c r="G11" s="1503" t="s">
        <v>6844</v>
      </c>
      <c r="H11" s="1503" t="s">
        <v>619</v>
      </c>
      <c r="I11" s="1570" t="s">
        <v>619</v>
      </c>
      <c r="J11" s="1550" t="s">
        <v>6843</v>
      </c>
      <c r="K11" s="1571">
        <v>2</v>
      </c>
      <c r="L11" s="1273">
        <v>6</v>
      </c>
      <c r="M11" s="1247">
        <v>12000</v>
      </c>
      <c r="N11" s="1571">
        <v>2</v>
      </c>
      <c r="O11" s="1273">
        <v>6</v>
      </c>
      <c r="P11" s="1247">
        <v>6000</v>
      </c>
    </row>
    <row r="12" spans="1:21" ht="24">
      <c r="A12" s="1245" t="s">
        <v>5510</v>
      </c>
      <c r="B12" s="1246" t="s">
        <v>1880</v>
      </c>
      <c r="C12" s="1246" t="s">
        <v>504</v>
      </c>
      <c r="D12" s="1200" t="s">
        <v>604</v>
      </c>
      <c r="E12" s="1247">
        <v>2000</v>
      </c>
      <c r="F12" s="1549" t="s">
        <v>6842</v>
      </c>
      <c r="G12" s="1503" t="s">
        <v>6841</v>
      </c>
      <c r="H12" s="1503" t="s">
        <v>4323</v>
      </c>
      <c r="I12" s="1570" t="s">
        <v>5516</v>
      </c>
      <c r="J12" s="1550" t="s">
        <v>543</v>
      </c>
      <c r="K12" s="1571">
        <v>1</v>
      </c>
      <c r="L12" s="1273">
        <v>1</v>
      </c>
      <c r="M12" s="1247">
        <v>3333.33</v>
      </c>
      <c r="N12" s="1571">
        <v>0</v>
      </c>
      <c r="O12" s="1273">
        <v>0</v>
      </c>
      <c r="P12" s="1247">
        <v>0</v>
      </c>
    </row>
    <row r="13" spans="1:21">
      <c r="A13" s="1245" t="s">
        <v>5510</v>
      </c>
      <c r="B13" s="1246" t="s">
        <v>1880</v>
      </c>
      <c r="C13" s="1246" t="s">
        <v>504</v>
      </c>
      <c r="D13" s="1200" t="s">
        <v>5546</v>
      </c>
      <c r="E13" s="1247">
        <v>2000</v>
      </c>
      <c r="F13" s="1549" t="s">
        <v>6840</v>
      </c>
      <c r="G13" s="1503" t="s">
        <v>6839</v>
      </c>
      <c r="H13" s="1503" t="s">
        <v>619</v>
      </c>
      <c r="I13" s="1570" t="s">
        <v>619</v>
      </c>
      <c r="J13" s="1550" t="s">
        <v>619</v>
      </c>
      <c r="K13" s="1571">
        <v>2</v>
      </c>
      <c r="L13" s="1273">
        <v>6</v>
      </c>
      <c r="M13" s="1247">
        <v>12000</v>
      </c>
      <c r="N13" s="1571">
        <v>2</v>
      </c>
      <c r="O13" s="1273">
        <v>6</v>
      </c>
      <c r="P13" s="1247">
        <v>6000</v>
      </c>
    </row>
    <row r="14" spans="1:21" ht="24">
      <c r="A14" s="1245" t="s">
        <v>5510</v>
      </c>
      <c r="B14" s="1246" t="s">
        <v>1880</v>
      </c>
      <c r="C14" s="1246" t="s">
        <v>504</v>
      </c>
      <c r="D14" s="1200" t="s">
        <v>6838</v>
      </c>
      <c r="E14" s="1247">
        <v>6000</v>
      </c>
      <c r="F14" s="1549" t="s">
        <v>6837</v>
      </c>
      <c r="G14" s="1503" t="s">
        <v>6836</v>
      </c>
      <c r="H14" s="1503" t="s">
        <v>6835</v>
      </c>
      <c r="I14" s="1570" t="s">
        <v>5506</v>
      </c>
      <c r="J14" s="1550" t="s">
        <v>6096</v>
      </c>
      <c r="K14" s="1571">
        <v>2</v>
      </c>
      <c r="L14" s="1273">
        <v>6</v>
      </c>
      <c r="M14" s="1247">
        <v>35995</v>
      </c>
      <c r="N14" s="1571">
        <v>2</v>
      </c>
      <c r="O14" s="1273">
        <v>6</v>
      </c>
      <c r="P14" s="1247">
        <v>17988.54</v>
      </c>
    </row>
    <row r="15" spans="1:21" ht="24">
      <c r="A15" s="1245" t="s">
        <v>5510</v>
      </c>
      <c r="B15" s="1246" t="s">
        <v>1880</v>
      </c>
      <c r="C15" s="1246" t="s">
        <v>504</v>
      </c>
      <c r="D15" s="1200" t="s">
        <v>604</v>
      </c>
      <c r="E15" s="1247">
        <v>3500</v>
      </c>
      <c r="F15" s="1549" t="s">
        <v>6834</v>
      </c>
      <c r="G15" s="1503" t="s">
        <v>6833</v>
      </c>
      <c r="H15" s="1503" t="s">
        <v>6832</v>
      </c>
      <c r="I15" s="1570" t="s">
        <v>499</v>
      </c>
      <c r="J15" s="1550" t="s">
        <v>5697</v>
      </c>
      <c r="K15" s="1571">
        <v>2</v>
      </c>
      <c r="L15" s="1273">
        <v>6</v>
      </c>
      <c r="M15" s="1247">
        <v>20918.07</v>
      </c>
      <c r="N15" s="1571">
        <v>2</v>
      </c>
      <c r="O15" s="1273">
        <v>6</v>
      </c>
      <c r="P15" s="1247">
        <v>10500</v>
      </c>
    </row>
    <row r="16" spans="1:21" ht="24">
      <c r="A16" s="1245" t="s">
        <v>5510</v>
      </c>
      <c r="B16" s="1246" t="s">
        <v>1880</v>
      </c>
      <c r="C16" s="1246" t="s">
        <v>504</v>
      </c>
      <c r="D16" s="1200" t="s">
        <v>1688</v>
      </c>
      <c r="E16" s="1247">
        <v>2500</v>
      </c>
      <c r="F16" s="1549" t="s">
        <v>6831</v>
      </c>
      <c r="G16" s="1503" t="s">
        <v>6830</v>
      </c>
      <c r="H16" s="1503" t="s">
        <v>6829</v>
      </c>
      <c r="I16" s="1570" t="s">
        <v>5506</v>
      </c>
      <c r="J16" s="1550" t="s">
        <v>6828</v>
      </c>
      <c r="K16" s="1571">
        <v>2</v>
      </c>
      <c r="L16" s="1273">
        <v>6</v>
      </c>
      <c r="M16" s="1247">
        <v>14916.67</v>
      </c>
      <c r="N16" s="1571">
        <v>2</v>
      </c>
      <c r="O16" s="1273">
        <v>6</v>
      </c>
      <c r="P16" s="1247">
        <v>7500</v>
      </c>
    </row>
    <row r="17" spans="1:16" ht="24">
      <c r="A17" s="1245" t="s">
        <v>5510</v>
      </c>
      <c r="B17" s="1246" t="s">
        <v>1880</v>
      </c>
      <c r="C17" s="1246" t="s">
        <v>504</v>
      </c>
      <c r="D17" s="1200" t="s">
        <v>6827</v>
      </c>
      <c r="E17" s="1247">
        <v>3000</v>
      </c>
      <c r="F17" s="1549" t="s">
        <v>6826</v>
      </c>
      <c r="G17" s="1503" t="s">
        <v>6825</v>
      </c>
      <c r="H17" s="1503"/>
      <c r="I17" s="1570"/>
      <c r="J17" s="1550"/>
      <c r="K17" s="1571">
        <v>1</v>
      </c>
      <c r="L17" s="1273">
        <v>1</v>
      </c>
      <c r="M17" s="1247">
        <v>4300</v>
      </c>
      <c r="N17" s="1571">
        <v>2</v>
      </c>
      <c r="O17" s="1273">
        <v>6</v>
      </c>
      <c r="P17" s="1247">
        <v>8977.2950000000001</v>
      </c>
    </row>
    <row r="18" spans="1:16" ht="24">
      <c r="A18" s="1245" t="s">
        <v>5510</v>
      </c>
      <c r="B18" s="1246" t="s">
        <v>1880</v>
      </c>
      <c r="C18" s="1246" t="s">
        <v>504</v>
      </c>
      <c r="D18" s="1200" t="s">
        <v>5584</v>
      </c>
      <c r="E18" s="1247">
        <v>10000</v>
      </c>
      <c r="F18" s="1549" t="s">
        <v>6824</v>
      </c>
      <c r="G18" s="1503" t="s">
        <v>6823</v>
      </c>
      <c r="H18" s="1503" t="s">
        <v>6822</v>
      </c>
      <c r="I18" s="1570" t="s">
        <v>5506</v>
      </c>
      <c r="J18" s="1550" t="s">
        <v>1585</v>
      </c>
      <c r="K18" s="1571">
        <v>2</v>
      </c>
      <c r="L18" s="1273">
        <v>6</v>
      </c>
      <c r="M18" s="1247">
        <v>48952</v>
      </c>
      <c r="N18" s="1571">
        <v>2</v>
      </c>
      <c r="O18" s="1273">
        <v>6</v>
      </c>
      <c r="P18" s="1247">
        <v>30000</v>
      </c>
    </row>
    <row r="19" spans="1:16">
      <c r="A19" s="1245" t="s">
        <v>5510</v>
      </c>
      <c r="B19" s="1246" t="s">
        <v>1880</v>
      </c>
      <c r="C19" s="1246" t="s">
        <v>504</v>
      </c>
      <c r="D19" s="1200" t="s">
        <v>511</v>
      </c>
      <c r="E19" s="1247">
        <v>6000</v>
      </c>
      <c r="F19" s="1549" t="s">
        <v>6821</v>
      </c>
      <c r="G19" s="1503" t="s">
        <v>6820</v>
      </c>
      <c r="H19" s="1503" t="s">
        <v>508</v>
      </c>
      <c r="I19" s="1570" t="s">
        <v>5506</v>
      </c>
      <c r="J19" s="1550" t="s">
        <v>508</v>
      </c>
      <c r="K19" s="1571">
        <v>2</v>
      </c>
      <c r="L19" s="1273">
        <v>6</v>
      </c>
      <c r="M19" s="1247">
        <v>35162.449999999997</v>
      </c>
      <c r="N19" s="1571">
        <v>2</v>
      </c>
      <c r="O19" s="1273">
        <v>6</v>
      </c>
      <c r="P19" s="1247">
        <v>15575.695</v>
      </c>
    </row>
    <row r="20" spans="1:16" ht="24">
      <c r="A20" s="1245" t="s">
        <v>5510</v>
      </c>
      <c r="B20" s="1246" t="s">
        <v>1880</v>
      </c>
      <c r="C20" s="1246" t="s">
        <v>504</v>
      </c>
      <c r="D20" s="1200" t="s">
        <v>5607</v>
      </c>
      <c r="E20" s="1247">
        <v>11000</v>
      </c>
      <c r="F20" s="1549" t="s">
        <v>6819</v>
      </c>
      <c r="G20" s="1503" t="s">
        <v>6818</v>
      </c>
      <c r="H20" s="1503" t="s">
        <v>511</v>
      </c>
      <c r="I20" s="1570" t="s">
        <v>5506</v>
      </c>
      <c r="J20" s="1550" t="s">
        <v>508</v>
      </c>
      <c r="K20" s="1571">
        <v>2</v>
      </c>
      <c r="L20" s="1273">
        <v>6</v>
      </c>
      <c r="M20" s="1247">
        <v>66000</v>
      </c>
      <c r="N20" s="1571">
        <v>2</v>
      </c>
      <c r="O20" s="1273">
        <v>6</v>
      </c>
      <c r="P20" s="1247">
        <v>33733.334999999999</v>
      </c>
    </row>
    <row r="21" spans="1:16" ht="24">
      <c r="A21" s="1245" t="s">
        <v>5510</v>
      </c>
      <c r="B21" s="1246" t="s">
        <v>1880</v>
      </c>
      <c r="C21" s="1246" t="s">
        <v>504</v>
      </c>
      <c r="D21" s="1200" t="s">
        <v>1784</v>
      </c>
      <c r="E21" s="1247">
        <v>4000</v>
      </c>
      <c r="F21" s="1549" t="s">
        <v>6817</v>
      </c>
      <c r="G21" s="1503" t="s">
        <v>6816</v>
      </c>
      <c r="H21" s="1503" t="s">
        <v>6815</v>
      </c>
      <c r="I21" s="1570" t="s">
        <v>5506</v>
      </c>
      <c r="J21" s="1550" t="s">
        <v>6815</v>
      </c>
      <c r="K21" s="1571">
        <v>2</v>
      </c>
      <c r="L21" s="1273">
        <v>6</v>
      </c>
      <c r="M21" s="1247">
        <v>23355.239999999998</v>
      </c>
      <c r="N21" s="1571">
        <v>1</v>
      </c>
      <c r="O21" s="1273">
        <v>1</v>
      </c>
      <c r="P21" s="1247">
        <v>1880.9649999999999</v>
      </c>
    </row>
    <row r="22" spans="1:16">
      <c r="A22" s="1245" t="s">
        <v>5510</v>
      </c>
      <c r="B22" s="1246" t="s">
        <v>1880</v>
      </c>
      <c r="C22" s="1246" t="s">
        <v>504</v>
      </c>
      <c r="D22" s="1200" t="s">
        <v>5901</v>
      </c>
      <c r="E22" s="1247">
        <v>7500</v>
      </c>
      <c r="F22" s="1549" t="s">
        <v>6814</v>
      </c>
      <c r="G22" s="1503" t="s">
        <v>6813</v>
      </c>
      <c r="H22" s="1503" t="s">
        <v>1842</v>
      </c>
      <c r="I22" s="1570" t="s">
        <v>5506</v>
      </c>
      <c r="J22" s="1550" t="s">
        <v>526</v>
      </c>
      <c r="K22" s="1571">
        <v>2</v>
      </c>
      <c r="L22" s="1273">
        <v>6</v>
      </c>
      <c r="M22" s="1247">
        <v>49463.13</v>
      </c>
      <c r="N22" s="1571">
        <v>2</v>
      </c>
      <c r="O22" s="1273">
        <v>6</v>
      </c>
      <c r="P22" s="1247">
        <v>26995.31</v>
      </c>
    </row>
    <row r="23" spans="1:16" ht="24">
      <c r="A23" s="1245" t="s">
        <v>5510</v>
      </c>
      <c r="B23" s="1246" t="s">
        <v>1880</v>
      </c>
      <c r="C23" s="1246" t="s">
        <v>504</v>
      </c>
      <c r="D23" s="1200" t="s">
        <v>6613</v>
      </c>
      <c r="E23" s="1247">
        <v>2500</v>
      </c>
      <c r="F23" s="1549" t="s">
        <v>6812</v>
      </c>
      <c r="G23" s="1503" t="s">
        <v>6811</v>
      </c>
      <c r="H23" s="1503" t="s">
        <v>5209</v>
      </c>
      <c r="I23" s="1570" t="s">
        <v>5525</v>
      </c>
      <c r="J23" s="1550" t="s">
        <v>5209</v>
      </c>
      <c r="K23" s="1571">
        <v>1</v>
      </c>
      <c r="L23" s="1273">
        <v>3</v>
      </c>
      <c r="M23" s="1247">
        <v>7541.66</v>
      </c>
      <c r="N23" s="1571">
        <v>0</v>
      </c>
      <c r="O23" s="1273">
        <v>0</v>
      </c>
      <c r="P23" s="1247">
        <v>0</v>
      </c>
    </row>
    <row r="24" spans="1:16">
      <c r="A24" s="1245" t="s">
        <v>5510</v>
      </c>
      <c r="B24" s="1246" t="s">
        <v>1880</v>
      </c>
      <c r="C24" s="1246" t="s">
        <v>504</v>
      </c>
      <c r="D24" s="1200" t="s">
        <v>5594</v>
      </c>
      <c r="E24" s="1247">
        <v>6000</v>
      </c>
      <c r="F24" s="1549" t="s">
        <v>6810</v>
      </c>
      <c r="G24" s="1503" t="s">
        <v>6809</v>
      </c>
      <c r="H24" s="1503" t="s">
        <v>1842</v>
      </c>
      <c r="I24" s="1570" t="s">
        <v>5506</v>
      </c>
      <c r="J24" s="1550" t="s">
        <v>526</v>
      </c>
      <c r="K24" s="1571">
        <v>2</v>
      </c>
      <c r="L24" s="1273">
        <v>6</v>
      </c>
      <c r="M24" s="1247">
        <v>35703.74</v>
      </c>
      <c r="N24" s="1571">
        <v>2</v>
      </c>
      <c r="O24" s="1273">
        <v>6</v>
      </c>
      <c r="P24" s="1247">
        <v>17991.46</v>
      </c>
    </row>
    <row r="25" spans="1:16" ht="36">
      <c r="A25" s="1245" t="s">
        <v>5510</v>
      </c>
      <c r="B25" s="1246" t="s">
        <v>1880</v>
      </c>
      <c r="C25" s="1246" t="s">
        <v>504</v>
      </c>
      <c r="D25" s="1200" t="s">
        <v>6808</v>
      </c>
      <c r="E25" s="1247">
        <v>4500</v>
      </c>
      <c r="F25" s="1549" t="s">
        <v>6807</v>
      </c>
      <c r="G25" s="1503" t="s">
        <v>6806</v>
      </c>
      <c r="H25" s="1503" t="s">
        <v>5632</v>
      </c>
      <c r="I25" s="1570" t="s">
        <v>507</v>
      </c>
      <c r="J25" s="1550" t="s">
        <v>5299</v>
      </c>
      <c r="K25" s="1571">
        <v>1</v>
      </c>
      <c r="L25" s="1273">
        <v>3</v>
      </c>
      <c r="M25" s="1247">
        <v>13929.380000000001</v>
      </c>
      <c r="N25" s="1571">
        <v>2</v>
      </c>
      <c r="O25" s="1273">
        <v>6</v>
      </c>
      <c r="P25" s="1247">
        <v>13398.434999999999</v>
      </c>
    </row>
    <row r="26" spans="1:16" ht="24">
      <c r="A26" s="1245" t="s">
        <v>5510</v>
      </c>
      <c r="B26" s="1246" t="s">
        <v>1880</v>
      </c>
      <c r="C26" s="1246" t="s">
        <v>504</v>
      </c>
      <c r="D26" s="1200" t="s">
        <v>6805</v>
      </c>
      <c r="E26" s="1247">
        <v>4000</v>
      </c>
      <c r="F26" s="1549" t="s">
        <v>6804</v>
      </c>
      <c r="G26" s="1503" t="s">
        <v>6803</v>
      </c>
      <c r="H26" s="1503" t="s">
        <v>5140</v>
      </c>
      <c r="I26" s="1570" t="s">
        <v>507</v>
      </c>
      <c r="J26" s="1550" t="s">
        <v>5140</v>
      </c>
      <c r="K26" s="1571">
        <v>2</v>
      </c>
      <c r="L26" s="1273">
        <v>6</v>
      </c>
      <c r="M26" s="1247">
        <v>23884.16</v>
      </c>
      <c r="N26" s="1571">
        <v>2</v>
      </c>
      <c r="O26" s="1273">
        <v>6</v>
      </c>
      <c r="P26" s="1247">
        <v>11962.5</v>
      </c>
    </row>
    <row r="27" spans="1:16" ht="24">
      <c r="A27" s="1245" t="s">
        <v>5510</v>
      </c>
      <c r="B27" s="1246" t="s">
        <v>1880</v>
      </c>
      <c r="C27" s="1246" t="s">
        <v>504</v>
      </c>
      <c r="D27" s="1200" t="s">
        <v>604</v>
      </c>
      <c r="E27" s="1247">
        <v>3000</v>
      </c>
      <c r="F27" s="1549" t="s">
        <v>6802</v>
      </c>
      <c r="G27" s="1503" t="s">
        <v>6801</v>
      </c>
      <c r="H27" s="1503" t="s">
        <v>6800</v>
      </c>
      <c r="I27" s="1570" t="s">
        <v>499</v>
      </c>
      <c r="J27" s="1550" t="s">
        <v>5029</v>
      </c>
      <c r="K27" s="1571">
        <v>2</v>
      </c>
      <c r="L27" s="1273">
        <v>6</v>
      </c>
      <c r="M27" s="1247">
        <v>20987.360000000001</v>
      </c>
      <c r="N27" s="1571">
        <v>2</v>
      </c>
      <c r="O27" s="1273">
        <v>6</v>
      </c>
      <c r="P27" s="1247">
        <v>10495.26</v>
      </c>
    </row>
    <row r="28" spans="1:16" ht="24">
      <c r="A28" s="1245" t="s">
        <v>5510</v>
      </c>
      <c r="B28" s="1246" t="s">
        <v>1880</v>
      </c>
      <c r="C28" s="1246" t="s">
        <v>504</v>
      </c>
      <c r="D28" s="1200" t="s">
        <v>604</v>
      </c>
      <c r="E28" s="1247">
        <v>3500</v>
      </c>
      <c r="F28" s="1549" t="s">
        <v>6802</v>
      </c>
      <c r="G28" s="1503" t="s">
        <v>6801</v>
      </c>
      <c r="H28" s="1503" t="s">
        <v>6800</v>
      </c>
      <c r="I28" s="1570" t="s">
        <v>499</v>
      </c>
      <c r="J28" s="1550" t="s">
        <v>5029</v>
      </c>
      <c r="K28" s="1571">
        <v>2</v>
      </c>
      <c r="L28" s="1273">
        <v>6</v>
      </c>
      <c r="M28" s="1247">
        <v>20987.360000000001</v>
      </c>
      <c r="N28" s="1571">
        <v>2</v>
      </c>
      <c r="O28" s="1273">
        <v>6</v>
      </c>
      <c r="P28" s="1247">
        <v>10495.26</v>
      </c>
    </row>
    <row r="29" spans="1:16" ht="24">
      <c r="A29" s="1245" t="s">
        <v>5510</v>
      </c>
      <c r="B29" s="1246" t="s">
        <v>1880</v>
      </c>
      <c r="C29" s="1246" t="s">
        <v>504</v>
      </c>
      <c r="D29" s="1200" t="s">
        <v>604</v>
      </c>
      <c r="E29" s="1247">
        <v>900</v>
      </c>
      <c r="F29" s="1549" t="s">
        <v>6799</v>
      </c>
      <c r="G29" s="1503" t="s">
        <v>6798</v>
      </c>
      <c r="H29" s="1503" t="s">
        <v>519</v>
      </c>
      <c r="I29" s="1570" t="s">
        <v>499</v>
      </c>
      <c r="J29" s="1550" t="s">
        <v>519</v>
      </c>
      <c r="K29" s="1571">
        <v>2</v>
      </c>
      <c r="L29" s="1273">
        <v>6</v>
      </c>
      <c r="M29" s="1247">
        <v>5400</v>
      </c>
      <c r="N29" s="1571">
        <v>2</v>
      </c>
      <c r="O29" s="1273">
        <v>6</v>
      </c>
      <c r="P29" s="1247">
        <v>2700</v>
      </c>
    </row>
    <row r="30" spans="1:16" ht="24">
      <c r="A30" s="1245" t="s">
        <v>5510</v>
      </c>
      <c r="B30" s="1246" t="s">
        <v>1880</v>
      </c>
      <c r="C30" s="1246" t="s">
        <v>504</v>
      </c>
      <c r="D30" s="1200" t="s">
        <v>6797</v>
      </c>
      <c r="E30" s="1247">
        <v>2500</v>
      </c>
      <c r="F30" s="1549" t="s">
        <v>6796</v>
      </c>
      <c r="G30" s="1503" t="s">
        <v>6795</v>
      </c>
      <c r="H30" s="1503" t="s">
        <v>1719</v>
      </c>
      <c r="I30" s="1570" t="s">
        <v>5506</v>
      </c>
      <c r="J30" s="1550" t="s">
        <v>5844</v>
      </c>
      <c r="K30" s="1571">
        <v>2</v>
      </c>
      <c r="L30" s="1273">
        <v>6</v>
      </c>
      <c r="M30" s="1247">
        <v>15000</v>
      </c>
      <c r="N30" s="1571">
        <v>2</v>
      </c>
      <c r="O30" s="1273">
        <v>5</v>
      </c>
      <c r="P30" s="1247">
        <v>6250</v>
      </c>
    </row>
    <row r="31" spans="1:16" ht="24">
      <c r="A31" s="1245" t="s">
        <v>5510</v>
      </c>
      <c r="B31" s="1246" t="s">
        <v>1880</v>
      </c>
      <c r="C31" s="1246" t="s">
        <v>504</v>
      </c>
      <c r="D31" s="1200" t="s">
        <v>5892</v>
      </c>
      <c r="E31" s="1247">
        <v>6000</v>
      </c>
      <c r="F31" s="1549" t="s">
        <v>6794</v>
      </c>
      <c r="G31" s="1503" t="s">
        <v>6793</v>
      </c>
      <c r="H31" s="1503" t="s">
        <v>6575</v>
      </c>
      <c r="I31" s="1570" t="s">
        <v>5516</v>
      </c>
      <c r="J31" s="1550" t="s">
        <v>6575</v>
      </c>
      <c r="K31" s="1571">
        <v>1</v>
      </c>
      <c r="L31" s="1273">
        <v>2</v>
      </c>
      <c r="M31" s="1247">
        <v>12547.5</v>
      </c>
      <c r="N31" s="1571">
        <v>0</v>
      </c>
      <c r="O31" s="1273">
        <v>0</v>
      </c>
      <c r="P31" s="1247">
        <v>0</v>
      </c>
    </row>
    <row r="32" spans="1:16" ht="24">
      <c r="A32" s="1245" t="s">
        <v>5510</v>
      </c>
      <c r="B32" s="1246" t="s">
        <v>1880</v>
      </c>
      <c r="C32" s="1246" t="s">
        <v>504</v>
      </c>
      <c r="D32" s="1200" t="s">
        <v>6405</v>
      </c>
      <c r="E32" s="1247">
        <v>7500</v>
      </c>
      <c r="F32" s="1549" t="s">
        <v>5185</v>
      </c>
      <c r="G32" s="1503" t="s">
        <v>5184</v>
      </c>
      <c r="H32" s="1503" t="s">
        <v>1842</v>
      </c>
      <c r="I32" s="1570" t="s">
        <v>5516</v>
      </c>
      <c r="J32" s="1550" t="s">
        <v>1842</v>
      </c>
      <c r="K32" s="1571">
        <v>1</v>
      </c>
      <c r="L32" s="1273">
        <v>1</v>
      </c>
      <c r="M32" s="1247">
        <v>5500</v>
      </c>
      <c r="N32" s="1571">
        <v>2</v>
      </c>
      <c r="O32" s="1273">
        <v>6</v>
      </c>
      <c r="P32" s="1247">
        <v>22500</v>
      </c>
    </row>
    <row r="33" spans="1:16" ht="36">
      <c r="A33" s="1245" t="s">
        <v>5510</v>
      </c>
      <c r="B33" s="1246" t="s">
        <v>1880</v>
      </c>
      <c r="C33" s="1246" t="s">
        <v>504</v>
      </c>
      <c r="D33" s="1200" t="s">
        <v>6792</v>
      </c>
      <c r="E33" s="1247">
        <v>6000</v>
      </c>
      <c r="F33" s="1549" t="s">
        <v>6791</v>
      </c>
      <c r="G33" s="1503" t="s">
        <v>6790</v>
      </c>
      <c r="H33" s="1503" t="s">
        <v>5166</v>
      </c>
      <c r="I33" s="1570" t="s">
        <v>5506</v>
      </c>
      <c r="J33" s="1550" t="s">
        <v>1815</v>
      </c>
      <c r="K33" s="1571">
        <v>2</v>
      </c>
      <c r="L33" s="1273">
        <v>6</v>
      </c>
      <c r="M33" s="1247">
        <v>35990.83</v>
      </c>
      <c r="N33" s="1571">
        <v>2</v>
      </c>
      <c r="O33" s="1273">
        <v>6</v>
      </c>
      <c r="P33" s="1247">
        <v>18000</v>
      </c>
    </row>
    <row r="34" spans="1:16">
      <c r="A34" s="1245" t="s">
        <v>5510</v>
      </c>
      <c r="B34" s="1246" t="s">
        <v>1880</v>
      </c>
      <c r="C34" s="1246" t="s">
        <v>504</v>
      </c>
      <c r="D34" s="1200" t="s">
        <v>6789</v>
      </c>
      <c r="E34" s="1247">
        <v>3500</v>
      </c>
      <c r="F34" s="1549" t="s">
        <v>6788</v>
      </c>
      <c r="G34" s="1503" t="s">
        <v>6787</v>
      </c>
      <c r="H34" s="1503" t="s">
        <v>3019</v>
      </c>
      <c r="I34" s="1570" t="s">
        <v>5516</v>
      </c>
      <c r="J34" s="1550" t="s">
        <v>543</v>
      </c>
      <c r="K34" s="1571">
        <v>1</v>
      </c>
      <c r="L34" s="1273">
        <v>1</v>
      </c>
      <c r="M34" s="1247">
        <v>4550</v>
      </c>
      <c r="N34" s="1571">
        <v>0</v>
      </c>
      <c r="O34" s="1273">
        <v>0</v>
      </c>
      <c r="P34" s="1247">
        <v>0</v>
      </c>
    </row>
    <row r="35" spans="1:16" ht="24">
      <c r="A35" s="1245" t="s">
        <v>5510</v>
      </c>
      <c r="B35" s="1246" t="s">
        <v>1880</v>
      </c>
      <c r="C35" s="1246" t="s">
        <v>504</v>
      </c>
      <c r="D35" s="1200" t="s">
        <v>6382</v>
      </c>
      <c r="E35" s="1247">
        <v>4300</v>
      </c>
      <c r="F35" s="1549" t="s">
        <v>1493</v>
      </c>
      <c r="G35" s="1503" t="s">
        <v>6786</v>
      </c>
      <c r="H35" s="1503" t="s">
        <v>1571</v>
      </c>
      <c r="I35" s="1570" t="s">
        <v>5516</v>
      </c>
      <c r="J35" s="1550" t="s">
        <v>519</v>
      </c>
      <c r="K35" s="1571">
        <v>2</v>
      </c>
      <c r="L35" s="1273">
        <v>4</v>
      </c>
      <c r="M35" s="1247">
        <v>16053.33</v>
      </c>
      <c r="N35" s="1571">
        <v>0</v>
      </c>
      <c r="O35" s="1273">
        <v>0</v>
      </c>
      <c r="P35" s="1247">
        <v>0</v>
      </c>
    </row>
    <row r="36" spans="1:16" ht="36">
      <c r="A36" s="1245" t="s">
        <v>5510</v>
      </c>
      <c r="B36" s="1246" t="s">
        <v>1880</v>
      </c>
      <c r="C36" s="1246" t="s">
        <v>504</v>
      </c>
      <c r="D36" s="1200" t="s">
        <v>5581</v>
      </c>
      <c r="E36" s="1247">
        <v>6000</v>
      </c>
      <c r="F36" s="1549" t="s">
        <v>6785</v>
      </c>
      <c r="G36" s="1503" t="s">
        <v>6784</v>
      </c>
      <c r="H36" s="1503" t="s">
        <v>704</v>
      </c>
      <c r="I36" s="1570" t="s">
        <v>5516</v>
      </c>
      <c r="J36" s="1550" t="s">
        <v>704</v>
      </c>
      <c r="K36" s="1571">
        <v>1</v>
      </c>
      <c r="L36" s="1273">
        <v>3</v>
      </c>
      <c r="M36" s="1247">
        <v>18000</v>
      </c>
      <c r="N36" s="1571">
        <v>2</v>
      </c>
      <c r="O36" s="1273">
        <v>6</v>
      </c>
      <c r="P36" s="1247">
        <v>17916.45</v>
      </c>
    </row>
    <row r="37" spans="1:16">
      <c r="A37" s="1245" t="s">
        <v>5510</v>
      </c>
      <c r="B37" s="1246" t="s">
        <v>1880</v>
      </c>
      <c r="C37" s="1246" t="s">
        <v>504</v>
      </c>
      <c r="D37" s="1200" t="s">
        <v>622</v>
      </c>
      <c r="E37" s="1247">
        <v>2000</v>
      </c>
      <c r="F37" s="1549" t="s">
        <v>6783</v>
      </c>
      <c r="G37" s="1503" t="s">
        <v>6782</v>
      </c>
      <c r="H37" s="1503" t="s">
        <v>619</v>
      </c>
      <c r="I37" s="1570" t="s">
        <v>619</v>
      </c>
      <c r="J37" s="1550" t="s">
        <v>619</v>
      </c>
      <c r="K37" s="1571">
        <v>2</v>
      </c>
      <c r="L37" s="1273">
        <v>6</v>
      </c>
      <c r="M37" s="1247">
        <v>12000</v>
      </c>
      <c r="N37" s="1571">
        <v>2</v>
      </c>
      <c r="O37" s="1273">
        <v>6</v>
      </c>
      <c r="P37" s="1247">
        <v>6000</v>
      </c>
    </row>
    <row r="38" spans="1:16">
      <c r="A38" s="1245" t="s">
        <v>5510</v>
      </c>
      <c r="B38" s="1246" t="s">
        <v>1880</v>
      </c>
      <c r="C38" s="1246" t="s">
        <v>504</v>
      </c>
      <c r="D38" s="1200" t="s">
        <v>5531</v>
      </c>
      <c r="E38" s="1247">
        <v>4500</v>
      </c>
      <c r="F38" s="1549" t="s">
        <v>6781</v>
      </c>
      <c r="G38" s="1503" t="s">
        <v>6780</v>
      </c>
      <c r="H38" s="1503" t="s">
        <v>5220</v>
      </c>
      <c r="I38" s="1570" t="s">
        <v>5506</v>
      </c>
      <c r="J38" s="1550" t="s">
        <v>5220</v>
      </c>
      <c r="K38" s="1571">
        <v>2</v>
      </c>
      <c r="L38" s="1273">
        <v>6</v>
      </c>
      <c r="M38" s="1247">
        <v>27016.559999999998</v>
      </c>
      <c r="N38" s="1571">
        <v>2</v>
      </c>
      <c r="O38" s="1273">
        <v>6</v>
      </c>
      <c r="P38" s="1247">
        <v>13477.184999999999</v>
      </c>
    </row>
    <row r="39" spans="1:16" ht="24">
      <c r="A39" s="1245" t="s">
        <v>5510</v>
      </c>
      <c r="B39" s="1246" t="s">
        <v>1880</v>
      </c>
      <c r="C39" s="1246" t="s">
        <v>504</v>
      </c>
      <c r="D39" s="1200" t="s">
        <v>5772</v>
      </c>
      <c r="E39" s="1247">
        <v>4000</v>
      </c>
      <c r="F39" s="1549" t="s">
        <v>6779</v>
      </c>
      <c r="G39" s="1503" t="s">
        <v>6778</v>
      </c>
      <c r="H39" s="1503" t="s">
        <v>1625</v>
      </c>
      <c r="I39" s="1570" t="s">
        <v>5506</v>
      </c>
      <c r="J39" s="1550" t="s">
        <v>1625</v>
      </c>
      <c r="K39" s="1571">
        <v>2</v>
      </c>
      <c r="L39" s="1273">
        <v>6</v>
      </c>
      <c r="M39" s="1247">
        <v>23874</v>
      </c>
      <c r="N39" s="1571">
        <v>2</v>
      </c>
      <c r="O39" s="1273">
        <v>6</v>
      </c>
      <c r="P39" s="1247">
        <v>12000</v>
      </c>
    </row>
    <row r="40" spans="1:16" ht="60">
      <c r="A40" s="1245" t="s">
        <v>5510</v>
      </c>
      <c r="B40" s="1246" t="s">
        <v>1880</v>
      </c>
      <c r="C40" s="1246" t="s">
        <v>504</v>
      </c>
      <c r="D40" s="1200" t="s">
        <v>6777</v>
      </c>
      <c r="E40" s="1247">
        <v>7000</v>
      </c>
      <c r="F40" s="1549" t="s">
        <v>6776</v>
      </c>
      <c r="G40" s="1503" t="s">
        <v>6775</v>
      </c>
      <c r="H40" s="1503" t="s">
        <v>590</v>
      </c>
      <c r="I40" s="1570" t="s">
        <v>5506</v>
      </c>
      <c r="J40" s="1550" t="s">
        <v>590</v>
      </c>
      <c r="K40" s="1571">
        <v>2</v>
      </c>
      <c r="L40" s="1273">
        <v>6</v>
      </c>
      <c r="M40" s="1247">
        <v>41989.31</v>
      </c>
      <c r="N40" s="1571">
        <v>2</v>
      </c>
      <c r="O40" s="1273">
        <v>6</v>
      </c>
      <c r="P40" s="1247">
        <v>21000</v>
      </c>
    </row>
    <row r="41" spans="1:16">
      <c r="A41" s="1245" t="s">
        <v>5510</v>
      </c>
      <c r="B41" s="1246" t="s">
        <v>1880</v>
      </c>
      <c r="C41" s="1246" t="s">
        <v>504</v>
      </c>
      <c r="D41" s="1200" t="s">
        <v>6774</v>
      </c>
      <c r="E41" s="1247">
        <v>6000</v>
      </c>
      <c r="F41" s="1549" t="s">
        <v>6773</v>
      </c>
      <c r="G41" s="1503" t="s">
        <v>6772</v>
      </c>
      <c r="H41" s="1503" t="s">
        <v>1792</v>
      </c>
      <c r="I41" s="1570" t="s">
        <v>5506</v>
      </c>
      <c r="J41" s="1550" t="s">
        <v>519</v>
      </c>
      <c r="K41" s="1571">
        <v>2</v>
      </c>
      <c r="L41" s="1273">
        <v>6</v>
      </c>
      <c r="M41" s="1247">
        <v>32944.57</v>
      </c>
      <c r="N41" s="1571">
        <v>2</v>
      </c>
      <c r="O41" s="1273">
        <v>6</v>
      </c>
      <c r="P41" s="1247">
        <v>18000</v>
      </c>
    </row>
    <row r="42" spans="1:16" ht="24">
      <c r="A42" s="1245" t="s">
        <v>5510</v>
      </c>
      <c r="B42" s="1246" t="s">
        <v>1880</v>
      </c>
      <c r="C42" s="1246" t="s">
        <v>504</v>
      </c>
      <c r="D42" s="1200" t="s">
        <v>6771</v>
      </c>
      <c r="E42" s="1247">
        <v>4000</v>
      </c>
      <c r="F42" s="1549" t="s">
        <v>6770</v>
      </c>
      <c r="G42" s="1503" t="s">
        <v>6769</v>
      </c>
      <c r="H42" s="1503" t="s">
        <v>5029</v>
      </c>
      <c r="I42" s="1570" t="s">
        <v>499</v>
      </c>
      <c r="J42" s="1550" t="s">
        <v>6768</v>
      </c>
      <c r="K42" s="1571">
        <v>2</v>
      </c>
      <c r="L42" s="1273">
        <v>6</v>
      </c>
      <c r="M42" s="1247">
        <v>24000</v>
      </c>
      <c r="N42" s="1571">
        <v>2</v>
      </c>
      <c r="O42" s="1273">
        <v>6</v>
      </c>
      <c r="P42" s="1247">
        <v>12000</v>
      </c>
    </row>
    <row r="43" spans="1:16" ht="48">
      <c r="A43" s="1245" t="s">
        <v>5510</v>
      </c>
      <c r="B43" s="1246" t="s">
        <v>1880</v>
      </c>
      <c r="C43" s="1246" t="s">
        <v>504</v>
      </c>
      <c r="D43" s="1200" t="s">
        <v>6767</v>
      </c>
      <c r="E43" s="1247">
        <v>4000</v>
      </c>
      <c r="F43" s="1549" t="s">
        <v>6764</v>
      </c>
      <c r="G43" s="1503" t="s">
        <v>6766</v>
      </c>
      <c r="H43" s="1503" t="s">
        <v>5183</v>
      </c>
      <c r="I43" s="1570" t="s">
        <v>5506</v>
      </c>
      <c r="J43" s="1550" t="s">
        <v>526</v>
      </c>
      <c r="K43" s="1571">
        <v>2</v>
      </c>
      <c r="L43" s="1273">
        <v>6</v>
      </c>
      <c r="M43" s="1247">
        <v>24350</v>
      </c>
      <c r="N43" s="1571">
        <v>2</v>
      </c>
      <c r="O43" s="1273">
        <v>6</v>
      </c>
      <c r="P43" s="1247">
        <v>13350</v>
      </c>
    </row>
    <row r="44" spans="1:16" ht="36">
      <c r="A44" s="1245" t="s">
        <v>5510</v>
      </c>
      <c r="B44" s="1246" t="s">
        <v>1880</v>
      </c>
      <c r="C44" s="1246" t="s">
        <v>504</v>
      </c>
      <c r="D44" s="1200" t="s">
        <v>6765</v>
      </c>
      <c r="E44" s="1247">
        <v>2500</v>
      </c>
      <c r="F44" s="1549" t="s">
        <v>6764</v>
      </c>
      <c r="G44" s="1503" t="s">
        <v>6763</v>
      </c>
      <c r="H44" s="1503" t="s">
        <v>5183</v>
      </c>
      <c r="I44" s="1570" t="s">
        <v>5506</v>
      </c>
      <c r="J44" s="1550" t="s">
        <v>526</v>
      </c>
      <c r="K44" s="1571">
        <v>2</v>
      </c>
      <c r="L44" s="1273">
        <v>6</v>
      </c>
      <c r="M44" s="1247">
        <v>24350</v>
      </c>
      <c r="N44" s="1571">
        <v>2</v>
      </c>
      <c r="O44" s="1273">
        <v>6</v>
      </c>
      <c r="P44" s="1247">
        <v>13350</v>
      </c>
    </row>
    <row r="45" spans="1:16" ht="24">
      <c r="A45" s="1245" t="s">
        <v>5510</v>
      </c>
      <c r="B45" s="1246" t="s">
        <v>1880</v>
      </c>
      <c r="C45" s="1246" t="s">
        <v>504</v>
      </c>
      <c r="D45" s="1200" t="s">
        <v>5772</v>
      </c>
      <c r="E45" s="1247">
        <v>4000</v>
      </c>
      <c r="F45" s="1549" t="s">
        <v>6762</v>
      </c>
      <c r="G45" s="1503" t="s">
        <v>6761</v>
      </c>
      <c r="H45" s="1503" t="s">
        <v>1788</v>
      </c>
      <c r="I45" s="1570" t="s">
        <v>5506</v>
      </c>
      <c r="J45" s="1550" t="s">
        <v>519</v>
      </c>
      <c r="K45" s="1571">
        <v>2</v>
      </c>
      <c r="L45" s="1273">
        <v>6</v>
      </c>
      <c r="M45" s="1247">
        <v>24000</v>
      </c>
      <c r="N45" s="1571">
        <v>2</v>
      </c>
      <c r="O45" s="1273">
        <v>6</v>
      </c>
      <c r="P45" s="1247">
        <v>12000</v>
      </c>
    </row>
    <row r="46" spans="1:16" ht="36">
      <c r="A46" s="1245" t="s">
        <v>5510</v>
      </c>
      <c r="B46" s="1246" t="s">
        <v>1880</v>
      </c>
      <c r="C46" s="1246" t="s">
        <v>504</v>
      </c>
      <c r="D46" s="1200" t="s">
        <v>5581</v>
      </c>
      <c r="E46" s="1247">
        <v>6000</v>
      </c>
      <c r="F46" s="1549" t="s">
        <v>6760</v>
      </c>
      <c r="G46" s="1503" t="s">
        <v>6759</v>
      </c>
      <c r="H46" s="1503" t="s">
        <v>1842</v>
      </c>
      <c r="I46" s="1570" t="s">
        <v>5516</v>
      </c>
      <c r="J46" s="1550" t="s">
        <v>1842</v>
      </c>
      <c r="K46" s="1571">
        <v>1</v>
      </c>
      <c r="L46" s="1273">
        <v>3</v>
      </c>
      <c r="M46" s="1247">
        <v>17600</v>
      </c>
      <c r="N46" s="1571">
        <v>0</v>
      </c>
      <c r="O46" s="1273">
        <v>0</v>
      </c>
      <c r="P46" s="1247">
        <v>0</v>
      </c>
    </row>
    <row r="47" spans="1:16" ht="24">
      <c r="A47" s="1245" t="s">
        <v>5510</v>
      </c>
      <c r="B47" s="1246" t="s">
        <v>1880</v>
      </c>
      <c r="C47" s="1246" t="s">
        <v>504</v>
      </c>
      <c r="D47" s="1200" t="s">
        <v>6758</v>
      </c>
      <c r="E47" s="1247">
        <v>3500</v>
      </c>
      <c r="F47" s="1549" t="s">
        <v>6756</v>
      </c>
      <c r="G47" s="1503" t="s">
        <v>6755</v>
      </c>
      <c r="H47" s="1503" t="s">
        <v>704</v>
      </c>
      <c r="I47" s="1570" t="s">
        <v>5506</v>
      </c>
      <c r="J47" s="1550" t="s">
        <v>759</v>
      </c>
      <c r="K47" s="1571">
        <v>2</v>
      </c>
      <c r="L47" s="1273">
        <v>6</v>
      </c>
      <c r="M47" s="1247">
        <v>29669.79</v>
      </c>
      <c r="N47" s="1571">
        <v>0</v>
      </c>
      <c r="O47" s="1273">
        <v>0</v>
      </c>
      <c r="P47" s="1247">
        <v>0</v>
      </c>
    </row>
    <row r="48" spans="1:16" ht="36">
      <c r="A48" s="1245" t="s">
        <v>5510</v>
      </c>
      <c r="B48" s="1246" t="s">
        <v>1880</v>
      </c>
      <c r="C48" s="1246" t="s">
        <v>504</v>
      </c>
      <c r="D48" s="1200" t="s">
        <v>6757</v>
      </c>
      <c r="E48" s="1247">
        <v>5000</v>
      </c>
      <c r="F48" s="1549" t="s">
        <v>6756</v>
      </c>
      <c r="G48" s="1503" t="s">
        <v>6755</v>
      </c>
      <c r="H48" s="1503" t="s">
        <v>704</v>
      </c>
      <c r="I48" s="1570" t="s">
        <v>5506</v>
      </c>
      <c r="J48" s="1550" t="s">
        <v>759</v>
      </c>
      <c r="K48" s="1571">
        <v>2</v>
      </c>
      <c r="L48" s="1273">
        <v>6</v>
      </c>
      <c r="M48" s="1247">
        <v>29669.79</v>
      </c>
      <c r="N48" s="1571">
        <v>0</v>
      </c>
      <c r="O48" s="1273">
        <v>0</v>
      </c>
      <c r="P48" s="1247">
        <v>0</v>
      </c>
    </row>
    <row r="49" spans="1:16" ht="36">
      <c r="A49" s="1245" t="s">
        <v>5510</v>
      </c>
      <c r="B49" s="1246" t="s">
        <v>1880</v>
      </c>
      <c r="C49" s="1246" t="s">
        <v>504</v>
      </c>
      <c r="D49" s="1200" t="s">
        <v>6754</v>
      </c>
      <c r="E49" s="1247">
        <v>6000</v>
      </c>
      <c r="F49" s="1549" t="s">
        <v>6753</v>
      </c>
      <c r="G49" s="1503" t="s">
        <v>6752</v>
      </c>
      <c r="H49" s="1503" t="s">
        <v>6751</v>
      </c>
      <c r="I49" s="1570" t="s">
        <v>507</v>
      </c>
      <c r="J49" s="1550" t="s">
        <v>6751</v>
      </c>
      <c r="K49" s="1571">
        <v>1</v>
      </c>
      <c r="L49" s="1273">
        <v>3</v>
      </c>
      <c r="M49" s="1247">
        <v>17971.25</v>
      </c>
      <c r="N49" s="1571">
        <v>0</v>
      </c>
      <c r="O49" s="1273">
        <v>0</v>
      </c>
      <c r="P49" s="1247">
        <v>0</v>
      </c>
    </row>
    <row r="50" spans="1:16">
      <c r="A50" s="1245" t="s">
        <v>5510</v>
      </c>
      <c r="B50" s="1246" t="s">
        <v>1880</v>
      </c>
      <c r="C50" s="1246" t="s">
        <v>504</v>
      </c>
      <c r="D50" s="1200" t="s">
        <v>622</v>
      </c>
      <c r="E50" s="1247">
        <v>2000</v>
      </c>
      <c r="F50" s="1549" t="s">
        <v>6750</v>
      </c>
      <c r="G50" s="1503" t="s">
        <v>6749</v>
      </c>
      <c r="H50" s="1503" t="s">
        <v>619</v>
      </c>
      <c r="I50" s="1570" t="s">
        <v>619</v>
      </c>
      <c r="J50" s="1550" t="s">
        <v>619</v>
      </c>
      <c r="K50" s="1571">
        <v>2</v>
      </c>
      <c r="L50" s="1273">
        <v>6</v>
      </c>
      <c r="M50" s="1247">
        <v>12000</v>
      </c>
      <c r="N50" s="1571">
        <v>2</v>
      </c>
      <c r="O50" s="1273">
        <v>6</v>
      </c>
      <c r="P50" s="1247">
        <v>6000</v>
      </c>
    </row>
    <row r="51" spans="1:16" ht="24">
      <c r="A51" s="1245" t="s">
        <v>5510</v>
      </c>
      <c r="B51" s="1246" t="s">
        <v>1880</v>
      </c>
      <c r="C51" s="1246" t="s">
        <v>504</v>
      </c>
      <c r="D51" s="1200" t="s">
        <v>6748</v>
      </c>
      <c r="E51" s="1247">
        <v>3000</v>
      </c>
      <c r="F51" s="1549" t="s">
        <v>6747</v>
      </c>
      <c r="G51" s="1503" t="s">
        <v>6746</v>
      </c>
      <c r="H51" s="1503" t="s">
        <v>5272</v>
      </c>
      <c r="I51" s="1570" t="s">
        <v>499</v>
      </c>
      <c r="J51" s="1550" t="s">
        <v>5272</v>
      </c>
      <c r="K51" s="1571">
        <v>2</v>
      </c>
      <c r="L51" s="1273">
        <v>6</v>
      </c>
      <c r="M51" s="1247">
        <v>17851.27</v>
      </c>
      <c r="N51" s="1571">
        <v>2</v>
      </c>
      <c r="O51" s="1273">
        <v>6</v>
      </c>
      <c r="P51" s="1247">
        <v>8976.36</v>
      </c>
    </row>
    <row r="52" spans="1:16">
      <c r="A52" s="1245" t="s">
        <v>5510</v>
      </c>
      <c r="B52" s="1246" t="s">
        <v>1880</v>
      </c>
      <c r="C52" s="1246" t="s">
        <v>504</v>
      </c>
      <c r="D52" s="1200" t="s">
        <v>511</v>
      </c>
      <c r="E52" s="1247">
        <v>6500</v>
      </c>
      <c r="F52" s="1549" t="s">
        <v>6745</v>
      </c>
      <c r="G52" s="1503" t="s">
        <v>6744</v>
      </c>
      <c r="H52" s="1503" t="s">
        <v>511</v>
      </c>
      <c r="I52" s="1570" t="s">
        <v>5506</v>
      </c>
      <c r="J52" s="1550" t="s">
        <v>508</v>
      </c>
      <c r="K52" s="1571">
        <v>2</v>
      </c>
      <c r="L52" s="1273">
        <v>6</v>
      </c>
      <c r="M52" s="1247">
        <v>38995.03</v>
      </c>
      <c r="N52" s="1571">
        <v>2</v>
      </c>
      <c r="O52" s="1273">
        <v>6</v>
      </c>
      <c r="P52" s="1247">
        <v>19483.75</v>
      </c>
    </row>
    <row r="53" spans="1:16">
      <c r="A53" s="1245" t="s">
        <v>5510</v>
      </c>
      <c r="B53" s="1246" t="s">
        <v>1880</v>
      </c>
      <c r="C53" s="1246" t="s">
        <v>504</v>
      </c>
      <c r="D53" s="1200" t="s">
        <v>5756</v>
      </c>
      <c r="E53" s="1247">
        <v>4000</v>
      </c>
      <c r="F53" s="1549" t="s">
        <v>6743</v>
      </c>
      <c r="G53" s="1503" t="s">
        <v>6742</v>
      </c>
      <c r="H53" s="1503" t="s">
        <v>6741</v>
      </c>
      <c r="I53" s="1570" t="s">
        <v>5506</v>
      </c>
      <c r="J53" s="1550" t="s">
        <v>6741</v>
      </c>
      <c r="K53" s="1571">
        <v>2</v>
      </c>
      <c r="L53" s="1273">
        <v>6</v>
      </c>
      <c r="M53" s="1247">
        <v>24000</v>
      </c>
      <c r="N53" s="1571">
        <v>2</v>
      </c>
      <c r="O53" s="1273">
        <v>6</v>
      </c>
      <c r="P53" s="1247">
        <v>12000</v>
      </c>
    </row>
    <row r="54" spans="1:16">
      <c r="A54" s="1245" t="s">
        <v>5510</v>
      </c>
      <c r="B54" s="1246" t="s">
        <v>1880</v>
      </c>
      <c r="C54" s="1246" t="s">
        <v>504</v>
      </c>
      <c r="D54" s="1200" t="s">
        <v>6740</v>
      </c>
      <c r="E54" s="1247">
        <v>2500</v>
      </c>
      <c r="F54" s="1549" t="s">
        <v>6739</v>
      </c>
      <c r="G54" s="1503" t="s">
        <v>6738</v>
      </c>
      <c r="H54" s="1503" t="s">
        <v>619</v>
      </c>
      <c r="I54" s="1570" t="s">
        <v>619</v>
      </c>
      <c r="J54" s="1550" t="s">
        <v>619</v>
      </c>
      <c r="K54" s="1571">
        <v>2</v>
      </c>
      <c r="L54" s="1273">
        <v>6</v>
      </c>
      <c r="M54" s="1247">
        <v>14989.58</v>
      </c>
      <c r="N54" s="1571">
        <v>2</v>
      </c>
      <c r="O54" s="1273">
        <v>6</v>
      </c>
      <c r="P54" s="1247">
        <v>7472.92</v>
      </c>
    </row>
    <row r="55" spans="1:16" ht="24">
      <c r="A55" s="1245" t="s">
        <v>5510</v>
      </c>
      <c r="B55" s="1246" t="s">
        <v>1880</v>
      </c>
      <c r="C55" s="1246" t="s">
        <v>504</v>
      </c>
      <c r="D55" s="1200" t="s">
        <v>6737</v>
      </c>
      <c r="E55" s="1247">
        <v>4000</v>
      </c>
      <c r="F55" s="1549" t="s">
        <v>6736</v>
      </c>
      <c r="G55" s="1503" t="s">
        <v>6735</v>
      </c>
      <c r="H55" s="1503" t="s">
        <v>759</v>
      </c>
      <c r="I55" s="1570" t="s">
        <v>5506</v>
      </c>
      <c r="J55" s="1550" t="s">
        <v>759</v>
      </c>
      <c r="K55" s="1571">
        <v>2</v>
      </c>
      <c r="L55" s="1273">
        <v>5</v>
      </c>
      <c r="M55" s="1247">
        <v>19416.39</v>
      </c>
      <c r="N55" s="1571">
        <v>2</v>
      </c>
      <c r="O55" s="1273">
        <v>6</v>
      </c>
      <c r="P55" s="1247">
        <v>12000</v>
      </c>
    </row>
    <row r="56" spans="1:16">
      <c r="A56" s="1245" t="s">
        <v>5510</v>
      </c>
      <c r="B56" s="1246" t="s">
        <v>1880</v>
      </c>
      <c r="C56" s="1246" t="s">
        <v>504</v>
      </c>
      <c r="D56" s="1200" t="s">
        <v>6734</v>
      </c>
      <c r="E56" s="1247">
        <v>1100</v>
      </c>
      <c r="F56" s="1549" t="s">
        <v>6733</v>
      </c>
      <c r="G56" s="1503" t="s">
        <v>6732</v>
      </c>
      <c r="H56" s="1503" t="s">
        <v>6731</v>
      </c>
      <c r="I56" s="1570" t="s">
        <v>547</v>
      </c>
      <c r="J56" s="1550" t="s">
        <v>547</v>
      </c>
      <c r="K56" s="1571">
        <v>2</v>
      </c>
      <c r="L56" s="1273">
        <v>6</v>
      </c>
      <c r="M56" s="1247">
        <v>6600</v>
      </c>
      <c r="N56" s="1571">
        <v>2</v>
      </c>
      <c r="O56" s="1273">
        <v>6</v>
      </c>
      <c r="P56" s="1247">
        <v>3300</v>
      </c>
    </row>
    <row r="57" spans="1:16" ht="24">
      <c r="A57" s="1245" t="s">
        <v>5510</v>
      </c>
      <c r="B57" s="1246" t="s">
        <v>1880</v>
      </c>
      <c r="C57" s="1246" t="s">
        <v>504</v>
      </c>
      <c r="D57" s="1200" t="s">
        <v>6730</v>
      </c>
      <c r="E57" s="1247">
        <v>7000</v>
      </c>
      <c r="F57" s="1549" t="s">
        <v>6729</v>
      </c>
      <c r="G57" s="1503" t="s">
        <v>6728</v>
      </c>
      <c r="H57" s="1503" t="s">
        <v>6727</v>
      </c>
      <c r="I57" s="1570" t="s">
        <v>507</v>
      </c>
      <c r="J57" s="1550" t="s">
        <v>6727</v>
      </c>
      <c r="K57" s="1571">
        <v>2</v>
      </c>
      <c r="L57" s="1273">
        <v>6</v>
      </c>
      <c r="M57" s="1247">
        <v>41947.98</v>
      </c>
      <c r="N57" s="1571">
        <v>2</v>
      </c>
      <c r="O57" s="1273">
        <v>6</v>
      </c>
      <c r="P57" s="1247">
        <v>20995.870000000003</v>
      </c>
    </row>
    <row r="58" spans="1:16" ht="36">
      <c r="A58" s="1245" t="s">
        <v>5510</v>
      </c>
      <c r="B58" s="1246" t="s">
        <v>1880</v>
      </c>
      <c r="C58" s="1246" t="s">
        <v>504</v>
      </c>
      <c r="D58" s="1200" t="s">
        <v>6726</v>
      </c>
      <c r="E58" s="1247">
        <v>7500</v>
      </c>
      <c r="F58" s="1549" t="s">
        <v>6725</v>
      </c>
      <c r="G58" s="1503" t="s">
        <v>6724</v>
      </c>
      <c r="H58" s="1503" t="s">
        <v>925</v>
      </c>
      <c r="I58" s="1570" t="s">
        <v>5506</v>
      </c>
      <c r="J58" s="1550" t="s">
        <v>515</v>
      </c>
      <c r="K58" s="1571">
        <v>2</v>
      </c>
      <c r="L58" s="1273">
        <v>6</v>
      </c>
      <c r="M58" s="1247">
        <v>44883.869999999995</v>
      </c>
      <c r="N58" s="1571">
        <v>2</v>
      </c>
      <c r="O58" s="1273">
        <v>6</v>
      </c>
      <c r="P58" s="1247">
        <v>22479.43</v>
      </c>
    </row>
    <row r="59" spans="1:16">
      <c r="A59" s="1245" t="s">
        <v>5510</v>
      </c>
      <c r="B59" s="1246" t="s">
        <v>1880</v>
      </c>
      <c r="C59" s="1246" t="s">
        <v>504</v>
      </c>
      <c r="D59" s="1200" t="s">
        <v>6492</v>
      </c>
      <c r="E59" s="1247">
        <v>5000</v>
      </c>
      <c r="F59" s="1549" t="s">
        <v>6723</v>
      </c>
      <c r="G59" s="1503" t="s">
        <v>6722</v>
      </c>
      <c r="H59" s="1503" t="s">
        <v>6286</v>
      </c>
      <c r="I59" s="1570" t="s">
        <v>5506</v>
      </c>
      <c r="J59" s="1550" t="s">
        <v>519</v>
      </c>
      <c r="K59" s="1571">
        <v>1</v>
      </c>
      <c r="L59" s="1273">
        <v>3</v>
      </c>
      <c r="M59" s="1247">
        <v>15154.52</v>
      </c>
      <c r="N59" s="1571">
        <v>0</v>
      </c>
      <c r="O59" s="1273">
        <v>0</v>
      </c>
      <c r="P59" s="1247">
        <v>0</v>
      </c>
    </row>
    <row r="60" spans="1:16" ht="24">
      <c r="A60" s="1245" t="s">
        <v>5510</v>
      </c>
      <c r="B60" s="1246" t="s">
        <v>1880</v>
      </c>
      <c r="C60" s="1246" t="s">
        <v>504</v>
      </c>
      <c r="D60" s="1200" t="s">
        <v>6457</v>
      </c>
      <c r="E60" s="1247">
        <v>6000</v>
      </c>
      <c r="F60" s="1549" t="s">
        <v>6721</v>
      </c>
      <c r="G60" s="1503" t="s">
        <v>6720</v>
      </c>
      <c r="H60" s="1503" t="s">
        <v>5023</v>
      </c>
      <c r="I60" s="1570" t="s">
        <v>507</v>
      </c>
      <c r="J60" s="1550" t="s">
        <v>526</v>
      </c>
      <c r="K60" s="1571">
        <v>2</v>
      </c>
      <c r="L60" s="1273">
        <v>4</v>
      </c>
      <c r="M60" s="1247">
        <v>20200</v>
      </c>
      <c r="N60" s="1571">
        <v>2</v>
      </c>
      <c r="O60" s="1273">
        <v>6</v>
      </c>
      <c r="P60" s="1247">
        <v>18000</v>
      </c>
    </row>
    <row r="61" spans="1:16" ht="36">
      <c r="A61" s="1245" t="s">
        <v>5510</v>
      </c>
      <c r="B61" s="1246" t="s">
        <v>1880</v>
      </c>
      <c r="C61" s="1246" t="s">
        <v>504</v>
      </c>
      <c r="D61" s="1200" t="s">
        <v>6719</v>
      </c>
      <c r="E61" s="1247">
        <v>5000</v>
      </c>
      <c r="F61" s="1549" t="s">
        <v>6718</v>
      </c>
      <c r="G61" s="1503" t="s">
        <v>6717</v>
      </c>
      <c r="H61" s="1503" t="s">
        <v>6716</v>
      </c>
      <c r="I61" s="1570" t="s">
        <v>5506</v>
      </c>
      <c r="J61" s="1550" t="s">
        <v>6716</v>
      </c>
      <c r="K61" s="1571">
        <v>2</v>
      </c>
      <c r="L61" s="1273">
        <v>6</v>
      </c>
      <c r="M61" s="1247">
        <v>30247.919999999998</v>
      </c>
      <c r="N61" s="1571">
        <v>2</v>
      </c>
      <c r="O61" s="1273">
        <v>6</v>
      </c>
      <c r="P61" s="1247">
        <v>14969.79</v>
      </c>
    </row>
    <row r="62" spans="1:16" ht="36">
      <c r="A62" s="1245" t="s">
        <v>5510</v>
      </c>
      <c r="B62" s="1246" t="s">
        <v>1880</v>
      </c>
      <c r="C62" s="1246" t="s">
        <v>504</v>
      </c>
      <c r="D62" s="1200" t="s">
        <v>5950</v>
      </c>
      <c r="E62" s="1247">
        <v>6000</v>
      </c>
      <c r="F62" s="1549" t="s">
        <v>6715</v>
      </c>
      <c r="G62" s="1503" t="s">
        <v>6714</v>
      </c>
      <c r="H62" s="1503" t="s">
        <v>5183</v>
      </c>
      <c r="I62" s="1570" t="s">
        <v>5506</v>
      </c>
      <c r="J62" s="1550" t="s">
        <v>526</v>
      </c>
      <c r="K62" s="1571">
        <v>2</v>
      </c>
      <c r="L62" s="1273">
        <v>6</v>
      </c>
      <c r="M62" s="1247">
        <v>36000</v>
      </c>
      <c r="N62" s="1571">
        <v>0</v>
      </c>
      <c r="O62" s="1273">
        <v>0</v>
      </c>
      <c r="P62" s="1247">
        <v>0</v>
      </c>
    </row>
    <row r="63" spans="1:16" ht="60">
      <c r="A63" s="1245" t="s">
        <v>5510</v>
      </c>
      <c r="B63" s="1246" t="s">
        <v>1880</v>
      </c>
      <c r="C63" s="1246" t="s">
        <v>504</v>
      </c>
      <c r="D63" s="1200" t="s">
        <v>6713</v>
      </c>
      <c r="E63" s="1247">
        <v>5000</v>
      </c>
      <c r="F63" s="1549" t="s">
        <v>6712</v>
      </c>
      <c r="G63" s="1503" t="s">
        <v>6711</v>
      </c>
      <c r="H63" s="1503" t="s">
        <v>1784</v>
      </c>
      <c r="I63" s="1570" t="s">
        <v>499</v>
      </c>
      <c r="J63" s="1550" t="s">
        <v>6710</v>
      </c>
      <c r="K63" s="1571">
        <v>2</v>
      </c>
      <c r="L63" s="1273">
        <v>4</v>
      </c>
      <c r="M63" s="1247">
        <v>17156.949999999997</v>
      </c>
      <c r="N63" s="1571">
        <v>0</v>
      </c>
      <c r="O63" s="1273">
        <v>0</v>
      </c>
      <c r="P63" s="1247">
        <v>0</v>
      </c>
    </row>
    <row r="64" spans="1:16" ht="24">
      <c r="A64" s="1245" t="s">
        <v>5510</v>
      </c>
      <c r="B64" s="1246" t="s">
        <v>1880</v>
      </c>
      <c r="C64" s="1246" t="s">
        <v>504</v>
      </c>
      <c r="D64" s="1200" t="s">
        <v>6709</v>
      </c>
      <c r="E64" s="1247">
        <v>6800</v>
      </c>
      <c r="F64" s="1549" t="s">
        <v>1451</v>
      </c>
      <c r="G64" s="1503" t="s">
        <v>6708</v>
      </c>
      <c r="H64" s="1503"/>
      <c r="I64" s="1570"/>
      <c r="J64" s="1550"/>
      <c r="K64" s="1571">
        <v>1</v>
      </c>
      <c r="L64" s="1273">
        <v>2</v>
      </c>
      <c r="M64" s="1247">
        <v>9746.67</v>
      </c>
      <c r="N64" s="1571">
        <v>0</v>
      </c>
      <c r="O64" s="1273">
        <v>0</v>
      </c>
      <c r="P64" s="1247">
        <v>0</v>
      </c>
    </row>
    <row r="65" spans="1:16" ht="24">
      <c r="A65" s="1245" t="s">
        <v>5510</v>
      </c>
      <c r="B65" s="1246" t="s">
        <v>1880</v>
      </c>
      <c r="C65" s="1246" t="s">
        <v>504</v>
      </c>
      <c r="D65" s="1200" t="s">
        <v>1034</v>
      </c>
      <c r="E65" s="1247">
        <v>7000</v>
      </c>
      <c r="F65" s="1549" t="s">
        <v>6707</v>
      </c>
      <c r="G65" s="1503" t="s">
        <v>6706</v>
      </c>
      <c r="H65" s="1503" t="s">
        <v>6566</v>
      </c>
      <c r="I65" s="1570" t="s">
        <v>5506</v>
      </c>
      <c r="J65" s="1550" t="s">
        <v>5844</v>
      </c>
      <c r="K65" s="1571">
        <v>2</v>
      </c>
      <c r="L65" s="1273">
        <v>6</v>
      </c>
      <c r="M65" s="1247">
        <v>42000</v>
      </c>
      <c r="N65" s="1571">
        <v>0</v>
      </c>
      <c r="O65" s="1273">
        <v>0</v>
      </c>
      <c r="P65" s="1247">
        <v>0</v>
      </c>
    </row>
    <row r="66" spans="1:16" ht="60">
      <c r="A66" s="1245" t="s">
        <v>5510</v>
      </c>
      <c r="B66" s="1246" t="s">
        <v>1880</v>
      </c>
      <c r="C66" s="1246" t="s">
        <v>504</v>
      </c>
      <c r="D66" s="1200" t="s">
        <v>6705</v>
      </c>
      <c r="E66" s="1247">
        <v>4500</v>
      </c>
      <c r="F66" s="1549" t="s">
        <v>6704</v>
      </c>
      <c r="G66" s="1503" t="s">
        <v>6703</v>
      </c>
      <c r="H66" s="1503" t="s">
        <v>3019</v>
      </c>
      <c r="I66" s="1570" t="s">
        <v>5516</v>
      </c>
      <c r="J66" s="1550" t="s">
        <v>543</v>
      </c>
      <c r="K66" s="1571">
        <v>1</v>
      </c>
      <c r="L66" s="1273">
        <v>3</v>
      </c>
      <c r="M66" s="1247">
        <v>13500</v>
      </c>
      <c r="N66" s="1571">
        <v>0</v>
      </c>
      <c r="O66" s="1273">
        <v>0</v>
      </c>
      <c r="P66" s="1247">
        <v>0</v>
      </c>
    </row>
    <row r="67" spans="1:16" ht="24">
      <c r="A67" s="1245" t="s">
        <v>5510</v>
      </c>
      <c r="B67" s="1246" t="s">
        <v>1880</v>
      </c>
      <c r="C67" s="1246" t="s">
        <v>504</v>
      </c>
      <c r="D67" s="1200" t="s">
        <v>604</v>
      </c>
      <c r="E67" s="1247">
        <v>3900</v>
      </c>
      <c r="F67" s="1549" t="s">
        <v>5485</v>
      </c>
      <c r="G67" s="1503" t="s">
        <v>5484</v>
      </c>
      <c r="H67" s="1503" t="s">
        <v>6702</v>
      </c>
      <c r="I67" s="1570" t="s">
        <v>5525</v>
      </c>
      <c r="J67" s="1550" t="s">
        <v>6702</v>
      </c>
      <c r="K67" s="1571">
        <v>1</v>
      </c>
      <c r="L67" s="1273">
        <v>2</v>
      </c>
      <c r="M67" s="1247">
        <v>6500</v>
      </c>
      <c r="N67" s="1571">
        <v>1</v>
      </c>
      <c r="O67" s="1273">
        <v>1</v>
      </c>
      <c r="P67" s="1247">
        <v>1950</v>
      </c>
    </row>
    <row r="68" spans="1:16">
      <c r="A68" s="1245" t="s">
        <v>5510</v>
      </c>
      <c r="B68" s="1246" t="s">
        <v>1880</v>
      </c>
      <c r="C68" s="1246" t="s">
        <v>504</v>
      </c>
      <c r="D68" s="1200" t="s">
        <v>6701</v>
      </c>
      <c r="E68" s="1247">
        <v>9000</v>
      </c>
      <c r="F68" s="1549" t="s">
        <v>6700</v>
      </c>
      <c r="G68" s="1503" t="s">
        <v>6699</v>
      </c>
      <c r="H68" s="1503" t="s">
        <v>1571</v>
      </c>
      <c r="I68" s="1570" t="s">
        <v>5506</v>
      </c>
      <c r="J68" s="1550" t="s">
        <v>519</v>
      </c>
      <c r="K68" s="1571">
        <v>1</v>
      </c>
      <c r="L68" s="1273">
        <v>2</v>
      </c>
      <c r="M68" s="1247">
        <v>18000</v>
      </c>
      <c r="N68" s="1571">
        <v>0</v>
      </c>
      <c r="O68" s="1273">
        <v>0</v>
      </c>
      <c r="P68" s="1247">
        <v>0</v>
      </c>
    </row>
    <row r="69" spans="1:16" ht="24">
      <c r="A69" s="1245" t="s">
        <v>5510</v>
      </c>
      <c r="B69" s="1246" t="s">
        <v>1880</v>
      </c>
      <c r="C69" s="1246" t="s">
        <v>504</v>
      </c>
      <c r="D69" s="1200" t="s">
        <v>6698</v>
      </c>
      <c r="E69" s="1247">
        <v>2300</v>
      </c>
      <c r="F69" s="1549" t="s">
        <v>6697</v>
      </c>
      <c r="G69" s="1503" t="s">
        <v>6696</v>
      </c>
      <c r="H69" s="1503" t="s">
        <v>6327</v>
      </c>
      <c r="I69" s="1570" t="s">
        <v>5516</v>
      </c>
      <c r="J69" s="1550" t="s">
        <v>6327</v>
      </c>
      <c r="K69" s="1571">
        <v>1</v>
      </c>
      <c r="L69" s="1273">
        <v>1</v>
      </c>
      <c r="M69" s="1247">
        <v>1686.67</v>
      </c>
      <c r="N69" s="1571">
        <v>2</v>
      </c>
      <c r="O69" s="1273">
        <v>6</v>
      </c>
      <c r="P69" s="1247">
        <v>6900</v>
      </c>
    </row>
    <row r="70" spans="1:16" ht="60">
      <c r="A70" s="1245" t="s">
        <v>5510</v>
      </c>
      <c r="B70" s="1246" t="s">
        <v>1880</v>
      </c>
      <c r="C70" s="1246" t="s">
        <v>504</v>
      </c>
      <c r="D70" s="1200" t="s">
        <v>6695</v>
      </c>
      <c r="E70" s="1247">
        <v>6000</v>
      </c>
      <c r="F70" s="1549" t="s">
        <v>6694</v>
      </c>
      <c r="G70" s="1503" t="s">
        <v>6693</v>
      </c>
      <c r="H70" s="1503" t="s">
        <v>1585</v>
      </c>
      <c r="I70" s="1570" t="s">
        <v>5506</v>
      </c>
      <c r="J70" s="1550" t="s">
        <v>1585</v>
      </c>
      <c r="K70" s="1571">
        <v>2</v>
      </c>
      <c r="L70" s="1273">
        <v>6</v>
      </c>
      <c r="M70" s="1247">
        <v>36000</v>
      </c>
      <c r="N70" s="1571">
        <v>2</v>
      </c>
      <c r="O70" s="1273">
        <v>6</v>
      </c>
      <c r="P70" s="1247">
        <v>18000</v>
      </c>
    </row>
    <row r="71" spans="1:16" ht="24">
      <c r="A71" s="1245" t="s">
        <v>5510</v>
      </c>
      <c r="B71" s="1246" t="s">
        <v>1880</v>
      </c>
      <c r="C71" s="1246" t="s">
        <v>504</v>
      </c>
      <c r="D71" s="1200" t="s">
        <v>5546</v>
      </c>
      <c r="E71" s="1247">
        <v>900</v>
      </c>
      <c r="F71" s="1549" t="s">
        <v>6692</v>
      </c>
      <c r="G71" s="1503" t="s">
        <v>6691</v>
      </c>
      <c r="H71" s="1503" t="s">
        <v>1913</v>
      </c>
      <c r="I71" s="1570" t="s">
        <v>5506</v>
      </c>
      <c r="J71" s="1550" t="s">
        <v>1913</v>
      </c>
      <c r="K71" s="1571">
        <v>2</v>
      </c>
      <c r="L71" s="1273">
        <v>6</v>
      </c>
      <c r="M71" s="1247">
        <v>5400</v>
      </c>
      <c r="N71" s="1571">
        <v>2</v>
      </c>
      <c r="O71" s="1273">
        <v>6</v>
      </c>
      <c r="P71" s="1247">
        <v>2700</v>
      </c>
    </row>
    <row r="72" spans="1:16" ht="36">
      <c r="A72" s="1245" t="s">
        <v>5510</v>
      </c>
      <c r="B72" s="1246" t="s">
        <v>1880</v>
      </c>
      <c r="C72" s="1246" t="s">
        <v>504</v>
      </c>
      <c r="D72" s="1200" t="s">
        <v>1688</v>
      </c>
      <c r="E72" s="1247">
        <v>2500</v>
      </c>
      <c r="F72" s="1549" t="s">
        <v>6690</v>
      </c>
      <c r="G72" s="1503" t="s">
        <v>6689</v>
      </c>
      <c r="H72" s="1503" t="s">
        <v>5318</v>
      </c>
      <c r="I72" s="1570" t="s">
        <v>5506</v>
      </c>
      <c r="J72" s="1550" t="s">
        <v>5318</v>
      </c>
      <c r="K72" s="1571">
        <v>2</v>
      </c>
      <c r="L72" s="1273">
        <v>6</v>
      </c>
      <c r="M72" s="1247">
        <v>15000</v>
      </c>
      <c r="N72" s="1571">
        <v>2</v>
      </c>
      <c r="O72" s="1273">
        <v>6</v>
      </c>
      <c r="P72" s="1247">
        <v>7500</v>
      </c>
    </row>
    <row r="73" spans="1:16">
      <c r="A73" s="1245" t="s">
        <v>5510</v>
      </c>
      <c r="B73" s="1246" t="s">
        <v>1880</v>
      </c>
      <c r="C73" s="1246" t="s">
        <v>504</v>
      </c>
      <c r="D73" s="1200" t="s">
        <v>6179</v>
      </c>
      <c r="E73" s="1247">
        <v>2000</v>
      </c>
      <c r="F73" s="1549" t="s">
        <v>6688</v>
      </c>
      <c r="G73" s="1503" t="s">
        <v>6687</v>
      </c>
      <c r="H73" s="1503" t="s">
        <v>5521</v>
      </c>
      <c r="I73" s="1570" t="s">
        <v>499</v>
      </c>
      <c r="J73" s="1550" t="s">
        <v>5521</v>
      </c>
      <c r="K73" s="1571">
        <v>2</v>
      </c>
      <c r="L73" s="1273">
        <v>6</v>
      </c>
      <c r="M73" s="1247">
        <v>12000</v>
      </c>
      <c r="N73" s="1571">
        <v>2</v>
      </c>
      <c r="O73" s="1273">
        <v>6</v>
      </c>
      <c r="P73" s="1247">
        <v>6000</v>
      </c>
    </row>
    <row r="74" spans="1:16" ht="24">
      <c r="A74" s="1245" t="s">
        <v>5510</v>
      </c>
      <c r="B74" s="1246" t="s">
        <v>1880</v>
      </c>
      <c r="C74" s="1246" t="s">
        <v>504</v>
      </c>
      <c r="D74" s="1200" t="s">
        <v>5756</v>
      </c>
      <c r="E74" s="1247">
        <v>3500</v>
      </c>
      <c r="F74" s="1549" t="s">
        <v>6686</v>
      </c>
      <c r="G74" s="1503" t="s">
        <v>6685</v>
      </c>
      <c r="H74" s="1503" t="s">
        <v>6684</v>
      </c>
      <c r="I74" s="1570" t="s">
        <v>5506</v>
      </c>
      <c r="J74" s="1550" t="s">
        <v>6683</v>
      </c>
      <c r="K74" s="1571">
        <v>2</v>
      </c>
      <c r="L74" s="1273">
        <v>6</v>
      </c>
      <c r="M74" s="1247">
        <v>21000</v>
      </c>
      <c r="N74" s="1571">
        <v>2</v>
      </c>
      <c r="O74" s="1273">
        <v>6</v>
      </c>
      <c r="P74" s="1247">
        <v>10500</v>
      </c>
    </row>
    <row r="75" spans="1:16">
      <c r="A75" s="1245" t="s">
        <v>5510</v>
      </c>
      <c r="B75" s="1246" t="s">
        <v>1880</v>
      </c>
      <c r="C75" s="1246" t="s">
        <v>504</v>
      </c>
      <c r="D75" s="1200" t="s">
        <v>6682</v>
      </c>
      <c r="E75" s="1247">
        <v>4000</v>
      </c>
      <c r="F75" s="1549" t="s">
        <v>6681</v>
      </c>
      <c r="G75" s="1503" t="s">
        <v>6680</v>
      </c>
      <c r="H75" s="1503" t="s">
        <v>6679</v>
      </c>
      <c r="I75" s="1570" t="s">
        <v>5525</v>
      </c>
      <c r="J75" s="1550" t="s">
        <v>6678</v>
      </c>
      <c r="K75" s="1571">
        <v>2</v>
      </c>
      <c r="L75" s="1273">
        <v>6</v>
      </c>
      <c r="M75" s="1247">
        <v>23913.05</v>
      </c>
      <c r="N75" s="1571">
        <v>0</v>
      </c>
      <c r="O75" s="1273">
        <v>0</v>
      </c>
      <c r="P75" s="1247">
        <v>0</v>
      </c>
    </row>
    <row r="76" spans="1:16" ht="24">
      <c r="A76" s="1245" t="s">
        <v>5510</v>
      </c>
      <c r="B76" s="1246" t="s">
        <v>1880</v>
      </c>
      <c r="C76" s="1246" t="s">
        <v>504</v>
      </c>
      <c r="D76" s="1200" t="s">
        <v>6677</v>
      </c>
      <c r="E76" s="1247">
        <v>9000</v>
      </c>
      <c r="F76" s="1549" t="s">
        <v>6676</v>
      </c>
      <c r="G76" s="1503" t="s">
        <v>6675</v>
      </c>
      <c r="H76" s="1503" t="s">
        <v>6674</v>
      </c>
      <c r="I76" s="1570" t="s">
        <v>507</v>
      </c>
      <c r="J76" s="1550" t="s">
        <v>6674</v>
      </c>
      <c r="K76" s="1571">
        <v>2</v>
      </c>
      <c r="L76" s="1273">
        <v>6</v>
      </c>
      <c r="M76" s="1247">
        <v>54000</v>
      </c>
      <c r="N76" s="1571">
        <v>2</v>
      </c>
      <c r="O76" s="1273">
        <v>6</v>
      </c>
      <c r="P76" s="1247">
        <v>27000</v>
      </c>
    </row>
    <row r="77" spans="1:16">
      <c r="A77" s="1245" t="s">
        <v>5510</v>
      </c>
      <c r="B77" s="1246" t="s">
        <v>1880</v>
      </c>
      <c r="C77" s="1246" t="s">
        <v>504</v>
      </c>
      <c r="D77" s="1200" t="s">
        <v>5531</v>
      </c>
      <c r="E77" s="1247">
        <v>4500</v>
      </c>
      <c r="F77" s="1549" t="s">
        <v>6673</v>
      </c>
      <c r="G77" s="1503" t="s">
        <v>6672</v>
      </c>
      <c r="H77" s="1503" t="s">
        <v>1842</v>
      </c>
      <c r="I77" s="1570" t="s">
        <v>5506</v>
      </c>
      <c r="J77" s="1550" t="s">
        <v>526</v>
      </c>
      <c r="K77" s="1571">
        <v>2</v>
      </c>
      <c r="L77" s="1273">
        <v>6</v>
      </c>
      <c r="M77" s="1247">
        <v>27000</v>
      </c>
      <c r="N77" s="1571">
        <v>2</v>
      </c>
      <c r="O77" s="1273">
        <v>6</v>
      </c>
      <c r="P77" s="1247">
        <v>13494.06</v>
      </c>
    </row>
    <row r="78" spans="1:16" ht="24">
      <c r="A78" s="1245" t="s">
        <v>5510</v>
      </c>
      <c r="B78" s="1246" t="s">
        <v>1880</v>
      </c>
      <c r="C78" s="1246" t="s">
        <v>504</v>
      </c>
      <c r="D78" s="1200" t="s">
        <v>5859</v>
      </c>
      <c r="E78" s="1247">
        <v>4000</v>
      </c>
      <c r="F78" s="1549" t="s">
        <v>6671</v>
      </c>
      <c r="G78" s="1503" t="s">
        <v>6670</v>
      </c>
      <c r="H78" s="1503" t="s">
        <v>6669</v>
      </c>
      <c r="I78" s="1570" t="s">
        <v>499</v>
      </c>
      <c r="J78" s="1550" t="s">
        <v>6669</v>
      </c>
      <c r="K78" s="1571">
        <v>2</v>
      </c>
      <c r="L78" s="1273">
        <v>6</v>
      </c>
      <c r="M78" s="1247">
        <v>22635.24</v>
      </c>
      <c r="N78" s="1571">
        <v>2</v>
      </c>
      <c r="O78" s="1273">
        <v>6</v>
      </c>
      <c r="P78" s="1247">
        <v>11436.23</v>
      </c>
    </row>
    <row r="79" spans="1:16" ht="48">
      <c r="A79" s="1245" t="s">
        <v>5510</v>
      </c>
      <c r="B79" s="1246" t="s">
        <v>1880</v>
      </c>
      <c r="C79" s="1246" t="s">
        <v>504</v>
      </c>
      <c r="D79" s="1200" t="s">
        <v>5617</v>
      </c>
      <c r="E79" s="1247">
        <v>4500</v>
      </c>
      <c r="F79" s="1549" t="s">
        <v>6668</v>
      </c>
      <c r="G79" s="1503" t="s">
        <v>6667</v>
      </c>
      <c r="H79" s="1503" t="s">
        <v>526</v>
      </c>
      <c r="I79" s="1570" t="s">
        <v>5516</v>
      </c>
      <c r="J79" s="1550" t="s">
        <v>526</v>
      </c>
      <c r="K79" s="1571">
        <v>1</v>
      </c>
      <c r="L79" s="1273">
        <v>3</v>
      </c>
      <c r="M79" s="1247">
        <v>13050</v>
      </c>
      <c r="N79" s="1571">
        <v>0</v>
      </c>
      <c r="O79" s="1273">
        <v>0</v>
      </c>
      <c r="P79" s="1247">
        <v>0</v>
      </c>
    </row>
    <row r="80" spans="1:16" ht="24">
      <c r="A80" s="1245" t="s">
        <v>5510</v>
      </c>
      <c r="B80" s="1246" t="s">
        <v>1880</v>
      </c>
      <c r="C80" s="1246" t="s">
        <v>504</v>
      </c>
      <c r="D80" s="1200" t="s">
        <v>5779</v>
      </c>
      <c r="E80" s="1247">
        <v>5000</v>
      </c>
      <c r="F80" s="1549" t="s">
        <v>6666</v>
      </c>
      <c r="G80" s="1503" t="s">
        <v>6665</v>
      </c>
      <c r="H80" s="1503" t="s">
        <v>6664</v>
      </c>
      <c r="I80" s="1570" t="s">
        <v>5516</v>
      </c>
      <c r="J80" s="1550" t="s">
        <v>6664</v>
      </c>
      <c r="K80" s="1571">
        <v>1</v>
      </c>
      <c r="L80" s="1273">
        <v>1</v>
      </c>
      <c r="M80" s="1247">
        <v>3000</v>
      </c>
      <c r="N80" s="1571">
        <v>0</v>
      </c>
      <c r="O80" s="1273">
        <v>0</v>
      </c>
      <c r="P80" s="1247">
        <v>0</v>
      </c>
    </row>
    <row r="81" spans="1:16" ht="36">
      <c r="A81" s="1245" t="s">
        <v>5510</v>
      </c>
      <c r="B81" s="1246" t="s">
        <v>1880</v>
      </c>
      <c r="C81" s="1246" t="s">
        <v>504</v>
      </c>
      <c r="D81" s="1200" t="s">
        <v>5950</v>
      </c>
      <c r="E81" s="1247">
        <v>4500</v>
      </c>
      <c r="F81" s="1549" t="s">
        <v>6663</v>
      </c>
      <c r="G81" s="1503" t="s">
        <v>6662</v>
      </c>
      <c r="H81" s="1503" t="s">
        <v>6661</v>
      </c>
      <c r="I81" s="1570" t="s">
        <v>5506</v>
      </c>
      <c r="J81" s="1550" t="s">
        <v>6661</v>
      </c>
      <c r="K81" s="1571">
        <v>2</v>
      </c>
      <c r="L81" s="1273">
        <v>6</v>
      </c>
      <c r="M81" s="1247">
        <v>27000</v>
      </c>
      <c r="N81" s="1571">
        <v>2</v>
      </c>
      <c r="O81" s="1273">
        <v>6</v>
      </c>
      <c r="P81" s="1247">
        <v>13500</v>
      </c>
    </row>
    <row r="82" spans="1:16" ht="36">
      <c r="A82" s="1245" t="s">
        <v>5510</v>
      </c>
      <c r="B82" s="1246" t="s">
        <v>1880</v>
      </c>
      <c r="C82" s="1246" t="s">
        <v>504</v>
      </c>
      <c r="D82" s="1200" t="s">
        <v>6660</v>
      </c>
      <c r="E82" s="1247">
        <v>3000</v>
      </c>
      <c r="F82" s="1549" t="s">
        <v>6659</v>
      </c>
      <c r="G82" s="1503" t="s">
        <v>6658</v>
      </c>
      <c r="H82" s="1503" t="s">
        <v>1788</v>
      </c>
      <c r="I82" s="1570" t="s">
        <v>5506</v>
      </c>
      <c r="J82" s="1550" t="s">
        <v>519</v>
      </c>
      <c r="K82" s="1571">
        <v>2</v>
      </c>
      <c r="L82" s="1273">
        <v>6</v>
      </c>
      <c r="M82" s="1247">
        <v>17954.38</v>
      </c>
      <c r="N82" s="1571">
        <v>0</v>
      </c>
      <c r="O82" s="1273">
        <v>0</v>
      </c>
      <c r="P82" s="1247">
        <v>0</v>
      </c>
    </row>
    <row r="83" spans="1:16">
      <c r="A83" s="1245" t="s">
        <v>5510</v>
      </c>
      <c r="B83" s="1246" t="s">
        <v>1880</v>
      </c>
      <c r="C83" s="1246" t="s">
        <v>504</v>
      </c>
      <c r="D83" s="1200" t="s">
        <v>5594</v>
      </c>
      <c r="E83" s="1247">
        <v>4000</v>
      </c>
      <c r="F83" s="1549" t="s">
        <v>6657</v>
      </c>
      <c r="G83" s="1503" t="s">
        <v>6656</v>
      </c>
      <c r="H83" s="1503" t="s">
        <v>6655</v>
      </c>
      <c r="I83" s="1570" t="s">
        <v>5506</v>
      </c>
      <c r="J83" s="1550" t="s">
        <v>526</v>
      </c>
      <c r="K83" s="1571">
        <v>2</v>
      </c>
      <c r="L83" s="1273">
        <v>6</v>
      </c>
      <c r="M83" s="1247">
        <v>24000</v>
      </c>
      <c r="N83" s="1571">
        <v>2</v>
      </c>
      <c r="O83" s="1273">
        <v>6</v>
      </c>
      <c r="P83" s="1247">
        <v>12000</v>
      </c>
    </row>
    <row r="84" spans="1:16">
      <c r="A84" s="1245" t="s">
        <v>5510</v>
      </c>
      <c r="B84" s="1246" t="s">
        <v>1880</v>
      </c>
      <c r="C84" s="1246" t="s">
        <v>504</v>
      </c>
      <c r="D84" s="1200" t="s">
        <v>819</v>
      </c>
      <c r="E84" s="1247">
        <v>14500</v>
      </c>
      <c r="F84" s="1549" t="s">
        <v>6654</v>
      </c>
      <c r="G84" s="1503" t="s">
        <v>6653</v>
      </c>
      <c r="H84" s="1503" t="s">
        <v>511</v>
      </c>
      <c r="I84" s="1570" t="s">
        <v>5506</v>
      </c>
      <c r="J84" s="1550" t="s">
        <v>508</v>
      </c>
      <c r="K84" s="1571">
        <v>2</v>
      </c>
      <c r="L84" s="1273">
        <v>6</v>
      </c>
      <c r="M84" s="1247">
        <v>93600</v>
      </c>
      <c r="N84" s="1571">
        <v>2</v>
      </c>
      <c r="O84" s="1273">
        <v>6</v>
      </c>
      <c r="P84" s="1247">
        <v>46020</v>
      </c>
    </row>
    <row r="85" spans="1:16">
      <c r="A85" s="1245" t="s">
        <v>5510</v>
      </c>
      <c r="B85" s="1246" t="s">
        <v>1880</v>
      </c>
      <c r="C85" s="1246" t="s">
        <v>504</v>
      </c>
      <c r="D85" s="1200" t="s">
        <v>5594</v>
      </c>
      <c r="E85" s="1247">
        <v>4200</v>
      </c>
      <c r="F85" s="1549" t="s">
        <v>6652</v>
      </c>
      <c r="G85" s="1503" t="s">
        <v>6651</v>
      </c>
      <c r="H85" s="1503" t="s">
        <v>759</v>
      </c>
      <c r="I85" s="1570" t="s">
        <v>5506</v>
      </c>
      <c r="J85" s="1550" t="s">
        <v>759</v>
      </c>
      <c r="K85" s="1571">
        <v>2</v>
      </c>
      <c r="L85" s="1273">
        <v>6</v>
      </c>
      <c r="M85" s="1247">
        <v>25200</v>
      </c>
      <c r="N85" s="1571">
        <v>2</v>
      </c>
      <c r="O85" s="1273">
        <v>6</v>
      </c>
      <c r="P85" s="1247">
        <v>12600</v>
      </c>
    </row>
    <row r="86" spans="1:16">
      <c r="A86" s="1245" t="s">
        <v>5510</v>
      </c>
      <c r="B86" s="1246" t="s">
        <v>1880</v>
      </c>
      <c r="C86" s="1246" t="s">
        <v>504</v>
      </c>
      <c r="D86" s="1200" t="s">
        <v>6650</v>
      </c>
      <c r="E86" s="1247">
        <v>3000</v>
      </c>
      <c r="F86" s="1549" t="s">
        <v>6649</v>
      </c>
      <c r="G86" s="1503" t="s">
        <v>6648</v>
      </c>
      <c r="H86" s="1503" t="s">
        <v>4244</v>
      </c>
      <c r="I86" s="1570" t="s">
        <v>547</v>
      </c>
      <c r="J86" s="1550" t="s">
        <v>547</v>
      </c>
      <c r="K86" s="1571">
        <v>2</v>
      </c>
      <c r="L86" s="1273">
        <v>5</v>
      </c>
      <c r="M86" s="1247">
        <v>14997.71</v>
      </c>
      <c r="N86" s="1571">
        <v>2</v>
      </c>
      <c r="O86" s="1273">
        <v>6</v>
      </c>
      <c r="P86" s="1247">
        <v>11100</v>
      </c>
    </row>
    <row r="87" spans="1:16">
      <c r="A87" s="1245" t="s">
        <v>5510</v>
      </c>
      <c r="B87" s="1246" t="s">
        <v>1880</v>
      </c>
      <c r="C87" s="1246" t="s">
        <v>504</v>
      </c>
      <c r="D87" s="1200" t="s">
        <v>6650</v>
      </c>
      <c r="E87" s="1247">
        <v>3700</v>
      </c>
      <c r="F87" s="1549" t="s">
        <v>6649</v>
      </c>
      <c r="G87" s="1503" t="s">
        <v>6648</v>
      </c>
      <c r="H87" s="1503" t="s">
        <v>4244</v>
      </c>
      <c r="I87" s="1570"/>
      <c r="J87" s="1550"/>
      <c r="K87" s="1571">
        <v>1</v>
      </c>
      <c r="L87" s="1273">
        <v>1</v>
      </c>
      <c r="M87" s="1247">
        <v>3793.33</v>
      </c>
      <c r="N87" s="1571">
        <v>0</v>
      </c>
      <c r="O87" s="1273">
        <v>0</v>
      </c>
      <c r="P87" s="1247">
        <v>0</v>
      </c>
    </row>
    <row r="88" spans="1:16" ht="36">
      <c r="A88" s="1245" t="s">
        <v>5510</v>
      </c>
      <c r="B88" s="1246" t="s">
        <v>1880</v>
      </c>
      <c r="C88" s="1246" t="s">
        <v>504</v>
      </c>
      <c r="D88" s="1200" t="s">
        <v>6647</v>
      </c>
      <c r="E88" s="1247">
        <v>3000</v>
      </c>
      <c r="F88" s="1549" t="s">
        <v>6646</v>
      </c>
      <c r="G88" s="1503" t="s">
        <v>6645</v>
      </c>
      <c r="H88" s="1503" t="s">
        <v>6644</v>
      </c>
      <c r="I88" s="1570" t="s">
        <v>573</v>
      </c>
      <c r="J88" s="1550" t="s">
        <v>605</v>
      </c>
      <c r="K88" s="1571">
        <v>2</v>
      </c>
      <c r="L88" s="1273">
        <v>6</v>
      </c>
      <c r="M88" s="1247">
        <v>17955</v>
      </c>
      <c r="N88" s="1571">
        <v>2</v>
      </c>
      <c r="O88" s="1273">
        <v>6</v>
      </c>
      <c r="P88" s="1247">
        <v>8871.5750000000007</v>
      </c>
    </row>
    <row r="89" spans="1:16">
      <c r="A89" s="1245" t="s">
        <v>5510</v>
      </c>
      <c r="B89" s="1246" t="s">
        <v>1880</v>
      </c>
      <c r="C89" s="1246" t="s">
        <v>504</v>
      </c>
      <c r="D89" s="1200" t="s">
        <v>511</v>
      </c>
      <c r="E89" s="1247">
        <v>5000</v>
      </c>
      <c r="F89" s="1549" t="s">
        <v>6643</v>
      </c>
      <c r="G89" s="1503" t="s">
        <v>6642</v>
      </c>
      <c r="H89" s="1503" t="s">
        <v>511</v>
      </c>
      <c r="I89" s="1570" t="s">
        <v>507</v>
      </c>
      <c r="J89" s="1550" t="s">
        <v>5549</v>
      </c>
      <c r="K89" s="1571">
        <v>1</v>
      </c>
      <c r="L89" s="1273">
        <v>2</v>
      </c>
      <c r="M89" s="1247">
        <v>10319.439999999999</v>
      </c>
      <c r="N89" s="1571">
        <v>2</v>
      </c>
      <c r="O89" s="1273">
        <v>6</v>
      </c>
      <c r="P89" s="1247">
        <v>14993.92</v>
      </c>
    </row>
    <row r="90" spans="1:16">
      <c r="A90" s="1245" t="s">
        <v>5510</v>
      </c>
      <c r="B90" s="1246" t="s">
        <v>1880</v>
      </c>
      <c r="C90" s="1246" t="s">
        <v>504</v>
      </c>
      <c r="D90" s="1200" t="s">
        <v>503</v>
      </c>
      <c r="E90" s="1247">
        <v>3000</v>
      </c>
      <c r="F90" s="1549" t="s">
        <v>6641</v>
      </c>
      <c r="G90" s="1503" t="s">
        <v>6640</v>
      </c>
      <c r="H90" s="1503" t="s">
        <v>500</v>
      </c>
      <c r="I90" s="1570" t="s">
        <v>5506</v>
      </c>
      <c r="J90" s="1550" t="s">
        <v>500</v>
      </c>
      <c r="K90" s="1571">
        <v>2</v>
      </c>
      <c r="L90" s="1273">
        <v>6</v>
      </c>
      <c r="M90" s="1247">
        <v>18000</v>
      </c>
      <c r="N90" s="1571">
        <v>2</v>
      </c>
      <c r="O90" s="1273">
        <v>6</v>
      </c>
      <c r="P90" s="1247">
        <v>8998.8549999999996</v>
      </c>
    </row>
    <row r="91" spans="1:16" ht="24">
      <c r="A91" s="1245" t="s">
        <v>5510</v>
      </c>
      <c r="B91" s="1246" t="s">
        <v>1880</v>
      </c>
      <c r="C91" s="1246" t="s">
        <v>504</v>
      </c>
      <c r="D91" s="1200" t="s">
        <v>511</v>
      </c>
      <c r="E91" s="1247">
        <v>7000</v>
      </c>
      <c r="F91" s="1549" t="s">
        <v>6639</v>
      </c>
      <c r="G91" s="1503" t="s">
        <v>6638</v>
      </c>
      <c r="H91" s="1503" t="s">
        <v>5632</v>
      </c>
      <c r="I91" s="1570" t="s">
        <v>5516</v>
      </c>
      <c r="J91" s="1550" t="s">
        <v>5299</v>
      </c>
      <c r="K91" s="1571">
        <v>1</v>
      </c>
      <c r="L91" s="1273">
        <v>3</v>
      </c>
      <c r="M91" s="1247">
        <v>20705.43</v>
      </c>
      <c r="N91" s="1571">
        <v>0</v>
      </c>
      <c r="O91" s="1273">
        <v>0</v>
      </c>
      <c r="P91" s="1247">
        <v>0</v>
      </c>
    </row>
    <row r="92" spans="1:16">
      <c r="A92" s="1245" t="s">
        <v>5510</v>
      </c>
      <c r="B92" s="1246" t="s">
        <v>1880</v>
      </c>
      <c r="C92" s="1246" t="s">
        <v>504</v>
      </c>
      <c r="D92" s="1200" t="s">
        <v>5594</v>
      </c>
      <c r="E92" s="1247">
        <v>4500</v>
      </c>
      <c r="F92" s="1549" t="s">
        <v>6637</v>
      </c>
      <c r="G92" s="1503" t="s">
        <v>6636</v>
      </c>
      <c r="H92" s="1503" t="s">
        <v>5541</v>
      </c>
      <c r="I92" s="1570" t="s">
        <v>5506</v>
      </c>
      <c r="J92" s="1550" t="s">
        <v>5541</v>
      </c>
      <c r="K92" s="1571">
        <v>2</v>
      </c>
      <c r="L92" s="1273">
        <v>6</v>
      </c>
      <c r="M92" s="1247">
        <v>27000</v>
      </c>
      <c r="N92" s="1571">
        <v>2</v>
      </c>
      <c r="O92" s="1273">
        <v>6</v>
      </c>
      <c r="P92" s="1247">
        <v>13500</v>
      </c>
    </row>
    <row r="93" spans="1:16" ht="24">
      <c r="A93" s="1245" t="s">
        <v>5510</v>
      </c>
      <c r="B93" s="1246" t="s">
        <v>1880</v>
      </c>
      <c r="C93" s="1246" t="s">
        <v>504</v>
      </c>
      <c r="D93" s="1200" t="s">
        <v>1910</v>
      </c>
      <c r="E93" s="1247">
        <v>1700</v>
      </c>
      <c r="F93" s="1549" t="s">
        <v>6635</v>
      </c>
      <c r="G93" s="1503" t="s">
        <v>6634</v>
      </c>
      <c r="H93" s="1503" t="s">
        <v>6633</v>
      </c>
      <c r="I93" s="1570" t="s">
        <v>507</v>
      </c>
      <c r="J93" s="1550" t="s">
        <v>6633</v>
      </c>
      <c r="K93" s="1571">
        <v>1</v>
      </c>
      <c r="L93" s="1273">
        <v>3</v>
      </c>
      <c r="M93" s="1247">
        <v>5100</v>
      </c>
      <c r="N93" s="1571">
        <v>0</v>
      </c>
      <c r="O93" s="1273">
        <v>0</v>
      </c>
      <c r="P93" s="1247">
        <v>0</v>
      </c>
    </row>
    <row r="94" spans="1:16" ht="36">
      <c r="A94" s="1245" t="s">
        <v>5510</v>
      </c>
      <c r="B94" s="1246" t="s">
        <v>1880</v>
      </c>
      <c r="C94" s="1246" t="s">
        <v>504</v>
      </c>
      <c r="D94" s="1200" t="s">
        <v>6632</v>
      </c>
      <c r="E94" s="1247">
        <v>3500</v>
      </c>
      <c r="F94" s="1549" t="s">
        <v>6629</v>
      </c>
      <c r="G94" s="1503" t="s">
        <v>6628</v>
      </c>
      <c r="H94" s="1503" t="s">
        <v>6631</v>
      </c>
      <c r="I94" s="1570" t="s">
        <v>499</v>
      </c>
      <c r="J94" s="1550" t="s">
        <v>6630</v>
      </c>
      <c r="K94" s="1571">
        <v>1</v>
      </c>
      <c r="L94" s="1273">
        <v>3</v>
      </c>
      <c r="M94" s="1247">
        <v>10492.95</v>
      </c>
      <c r="N94" s="1571">
        <v>2</v>
      </c>
      <c r="O94" s="1273">
        <v>6</v>
      </c>
      <c r="P94" s="1247">
        <v>12000</v>
      </c>
    </row>
    <row r="95" spans="1:16">
      <c r="A95" s="1245" t="s">
        <v>5510</v>
      </c>
      <c r="B95" s="1246" t="s">
        <v>1880</v>
      </c>
      <c r="C95" s="1246" t="s">
        <v>504</v>
      </c>
      <c r="D95" s="1200" t="s">
        <v>1829</v>
      </c>
      <c r="E95" s="1247">
        <v>4000</v>
      </c>
      <c r="F95" s="1549" t="s">
        <v>6629</v>
      </c>
      <c r="G95" s="1503" t="s">
        <v>6628</v>
      </c>
      <c r="H95" s="1503"/>
      <c r="I95" s="1570"/>
      <c r="J95" s="1550"/>
      <c r="K95" s="1571">
        <v>1</v>
      </c>
      <c r="L95" s="1273">
        <v>3</v>
      </c>
      <c r="M95" s="1247">
        <v>12591.66</v>
      </c>
      <c r="N95" s="1571">
        <v>0</v>
      </c>
      <c r="O95" s="1273">
        <v>0</v>
      </c>
      <c r="P95" s="1247">
        <v>0</v>
      </c>
    </row>
    <row r="96" spans="1:16" ht="24">
      <c r="A96" s="1245" t="s">
        <v>5510</v>
      </c>
      <c r="B96" s="1246" t="s">
        <v>1880</v>
      </c>
      <c r="C96" s="1246" t="s">
        <v>504</v>
      </c>
      <c r="D96" s="1200" t="s">
        <v>6627</v>
      </c>
      <c r="E96" s="1247">
        <v>5500</v>
      </c>
      <c r="F96" s="1549" t="s">
        <v>6626</v>
      </c>
      <c r="G96" s="1503" t="s">
        <v>6625</v>
      </c>
      <c r="H96" s="1503" t="s">
        <v>543</v>
      </c>
      <c r="I96" s="1570" t="s">
        <v>5506</v>
      </c>
      <c r="J96" s="1550" t="s">
        <v>5844</v>
      </c>
      <c r="K96" s="1571">
        <v>2</v>
      </c>
      <c r="L96" s="1273">
        <v>6</v>
      </c>
      <c r="M96" s="1247">
        <v>35993.33</v>
      </c>
      <c r="N96" s="1571">
        <v>2</v>
      </c>
      <c r="O96" s="1273">
        <v>6</v>
      </c>
      <c r="P96" s="1247">
        <v>18000</v>
      </c>
    </row>
    <row r="97" spans="1:16">
      <c r="A97" s="1245" t="s">
        <v>5510</v>
      </c>
      <c r="B97" s="1246" t="s">
        <v>1880</v>
      </c>
      <c r="C97" s="1246" t="s">
        <v>504</v>
      </c>
      <c r="D97" s="1200" t="s">
        <v>5756</v>
      </c>
      <c r="E97" s="1247">
        <v>4000</v>
      </c>
      <c r="F97" s="1549" t="s">
        <v>6624</v>
      </c>
      <c r="G97" s="1503" t="s">
        <v>6623</v>
      </c>
      <c r="H97" s="1503" t="s">
        <v>1792</v>
      </c>
      <c r="I97" s="1570" t="s">
        <v>5506</v>
      </c>
      <c r="J97" s="1550" t="s">
        <v>519</v>
      </c>
      <c r="K97" s="1571">
        <v>2</v>
      </c>
      <c r="L97" s="1273">
        <v>6</v>
      </c>
      <c r="M97" s="1247">
        <v>24000</v>
      </c>
      <c r="N97" s="1571">
        <v>2</v>
      </c>
      <c r="O97" s="1273">
        <v>6</v>
      </c>
      <c r="P97" s="1247">
        <v>12000</v>
      </c>
    </row>
    <row r="98" spans="1:16" ht="36">
      <c r="A98" s="1245" t="s">
        <v>5510</v>
      </c>
      <c r="B98" s="1246" t="s">
        <v>1880</v>
      </c>
      <c r="C98" s="1246" t="s">
        <v>504</v>
      </c>
      <c r="D98" s="1200" t="s">
        <v>1910</v>
      </c>
      <c r="E98" s="1247">
        <v>2500</v>
      </c>
      <c r="F98" s="1549" t="s">
        <v>6622</v>
      </c>
      <c r="G98" s="1503" t="s">
        <v>6621</v>
      </c>
      <c r="H98" s="1503" t="s">
        <v>6620</v>
      </c>
      <c r="I98" s="1570" t="s">
        <v>5506</v>
      </c>
      <c r="J98" s="1550" t="s">
        <v>6619</v>
      </c>
      <c r="K98" s="1571">
        <v>2</v>
      </c>
      <c r="L98" s="1273">
        <v>6</v>
      </c>
      <c r="M98" s="1247">
        <v>15000</v>
      </c>
      <c r="N98" s="1571">
        <v>2</v>
      </c>
      <c r="O98" s="1273">
        <v>6</v>
      </c>
      <c r="P98" s="1247">
        <v>7500</v>
      </c>
    </row>
    <row r="99" spans="1:16">
      <c r="A99" s="1245" t="s">
        <v>5510</v>
      </c>
      <c r="B99" s="1246" t="s">
        <v>1880</v>
      </c>
      <c r="C99" s="1246" t="s">
        <v>504</v>
      </c>
      <c r="D99" s="1200" t="s">
        <v>5784</v>
      </c>
      <c r="E99" s="1247">
        <v>3000</v>
      </c>
      <c r="F99" s="1549" t="s">
        <v>6618</v>
      </c>
      <c r="G99" s="1503" t="s">
        <v>6617</v>
      </c>
      <c r="H99" s="1503"/>
      <c r="I99" s="1570"/>
      <c r="J99" s="1550"/>
      <c r="K99" s="1571">
        <v>1</v>
      </c>
      <c r="L99" s="1273">
        <v>1</v>
      </c>
      <c r="M99" s="1247">
        <v>3900</v>
      </c>
      <c r="N99" s="1571">
        <v>0</v>
      </c>
      <c r="O99" s="1273">
        <v>0</v>
      </c>
      <c r="P99" s="1247">
        <v>0</v>
      </c>
    </row>
    <row r="100" spans="1:16" ht="36">
      <c r="A100" s="1245" t="s">
        <v>5510</v>
      </c>
      <c r="B100" s="1246" t="s">
        <v>1880</v>
      </c>
      <c r="C100" s="1246" t="s">
        <v>504</v>
      </c>
      <c r="D100" s="1200" t="s">
        <v>6616</v>
      </c>
      <c r="E100" s="1247">
        <v>2000</v>
      </c>
      <c r="F100" s="1549" t="s">
        <v>6615</v>
      </c>
      <c r="G100" s="1503" t="s">
        <v>6614</v>
      </c>
      <c r="H100" s="1503" t="s">
        <v>5173</v>
      </c>
      <c r="I100" s="1570"/>
      <c r="J100" s="1550" t="s">
        <v>1100</v>
      </c>
      <c r="K100" s="1571">
        <v>1</v>
      </c>
      <c r="L100" s="1273">
        <v>2</v>
      </c>
      <c r="M100" s="1247">
        <v>4459.03</v>
      </c>
      <c r="N100" s="1571">
        <v>2</v>
      </c>
      <c r="O100" s="1273">
        <v>6</v>
      </c>
      <c r="P100" s="1247">
        <v>5981.9449999999997</v>
      </c>
    </row>
    <row r="101" spans="1:16">
      <c r="A101" s="1245" t="s">
        <v>5510</v>
      </c>
      <c r="B101" s="1246" t="s">
        <v>1880</v>
      </c>
      <c r="C101" s="1246" t="s">
        <v>504</v>
      </c>
      <c r="D101" s="1200" t="s">
        <v>6613</v>
      </c>
      <c r="E101" s="1247">
        <v>2500</v>
      </c>
      <c r="F101" s="1549" t="s">
        <v>6612</v>
      </c>
      <c r="G101" s="1503" t="s">
        <v>6611</v>
      </c>
      <c r="H101" s="1503" t="s">
        <v>619</v>
      </c>
      <c r="I101" s="1570" t="s">
        <v>619</v>
      </c>
      <c r="J101" s="1550" t="s">
        <v>619</v>
      </c>
      <c r="K101" s="1571">
        <v>2</v>
      </c>
      <c r="L101" s="1273">
        <v>6</v>
      </c>
      <c r="M101" s="1247">
        <v>15000</v>
      </c>
      <c r="N101" s="1571">
        <v>2</v>
      </c>
      <c r="O101" s="1273">
        <v>6</v>
      </c>
      <c r="P101" s="1247">
        <v>7500</v>
      </c>
    </row>
    <row r="102" spans="1:16">
      <c r="A102" s="1245" t="s">
        <v>5510</v>
      </c>
      <c r="B102" s="1246" t="s">
        <v>1880</v>
      </c>
      <c r="C102" s="1246" t="s">
        <v>504</v>
      </c>
      <c r="D102" s="1200" t="s">
        <v>622</v>
      </c>
      <c r="E102" s="1247">
        <v>2000</v>
      </c>
      <c r="F102" s="1549" t="s">
        <v>6610</v>
      </c>
      <c r="G102" s="1503" t="s">
        <v>6609</v>
      </c>
      <c r="H102" s="1503" t="s">
        <v>619</v>
      </c>
      <c r="I102" s="1570" t="s">
        <v>619</v>
      </c>
      <c r="J102" s="1550" t="s">
        <v>619</v>
      </c>
      <c r="K102" s="1571">
        <v>2</v>
      </c>
      <c r="L102" s="1273">
        <v>6</v>
      </c>
      <c r="M102" s="1247">
        <v>11996.39</v>
      </c>
      <c r="N102" s="1571">
        <v>2</v>
      </c>
      <c r="O102" s="1273">
        <v>6</v>
      </c>
      <c r="P102" s="1247">
        <v>6000</v>
      </c>
    </row>
    <row r="103" spans="1:16">
      <c r="A103" s="1245" t="s">
        <v>5510</v>
      </c>
      <c r="B103" s="1246" t="s">
        <v>1880</v>
      </c>
      <c r="C103" s="1246" t="s">
        <v>504</v>
      </c>
      <c r="D103" s="1200" t="s">
        <v>4339</v>
      </c>
      <c r="E103" s="1247">
        <v>10000</v>
      </c>
      <c r="F103" s="1549" t="s">
        <v>6608</v>
      </c>
      <c r="G103" s="1503" t="s">
        <v>6607</v>
      </c>
      <c r="H103" s="1503" t="s">
        <v>6606</v>
      </c>
      <c r="I103" s="1570" t="s">
        <v>5506</v>
      </c>
      <c r="J103" s="1550" t="s">
        <v>5788</v>
      </c>
      <c r="K103" s="1571">
        <v>2</v>
      </c>
      <c r="L103" s="1273">
        <v>6</v>
      </c>
      <c r="M103" s="1247">
        <v>60000</v>
      </c>
      <c r="N103" s="1571">
        <v>2</v>
      </c>
      <c r="O103" s="1273">
        <v>6</v>
      </c>
      <c r="P103" s="1247">
        <v>30000</v>
      </c>
    </row>
    <row r="104" spans="1:16" ht="36">
      <c r="A104" s="1245" t="s">
        <v>5510</v>
      </c>
      <c r="B104" s="1246" t="s">
        <v>1880</v>
      </c>
      <c r="C104" s="1246" t="s">
        <v>504</v>
      </c>
      <c r="D104" s="1200" t="s">
        <v>6605</v>
      </c>
      <c r="E104" s="1247">
        <v>3000</v>
      </c>
      <c r="F104" s="1549" t="s">
        <v>6604</v>
      </c>
      <c r="G104" s="1503" t="s">
        <v>6603</v>
      </c>
      <c r="H104" s="1503" t="s">
        <v>6602</v>
      </c>
      <c r="I104" s="1570" t="s">
        <v>5525</v>
      </c>
      <c r="J104" s="1550" t="s">
        <v>6602</v>
      </c>
      <c r="K104" s="1571">
        <v>2</v>
      </c>
      <c r="L104" s="1273">
        <v>4</v>
      </c>
      <c r="M104" s="1247">
        <v>13600</v>
      </c>
      <c r="N104" s="1571">
        <v>2</v>
      </c>
      <c r="O104" s="1273">
        <v>6</v>
      </c>
      <c r="P104" s="1247">
        <v>8998.6450000000004</v>
      </c>
    </row>
    <row r="105" spans="1:16" ht="36">
      <c r="A105" s="1245" t="s">
        <v>5510</v>
      </c>
      <c r="B105" s="1246" t="s">
        <v>1880</v>
      </c>
      <c r="C105" s="1246" t="s">
        <v>504</v>
      </c>
      <c r="D105" s="1200" t="s">
        <v>6601</v>
      </c>
      <c r="E105" s="1247">
        <v>4500</v>
      </c>
      <c r="F105" s="1549" t="s">
        <v>6600</v>
      </c>
      <c r="G105" s="1503" t="s">
        <v>6599</v>
      </c>
      <c r="H105" s="1503" t="s">
        <v>6598</v>
      </c>
      <c r="I105" s="1570" t="s">
        <v>507</v>
      </c>
      <c r="J105" s="1550" t="s">
        <v>6597</v>
      </c>
      <c r="K105" s="1571">
        <v>1</v>
      </c>
      <c r="L105" s="1273">
        <v>2</v>
      </c>
      <c r="M105" s="1247">
        <v>15434.380000000001</v>
      </c>
      <c r="N105" s="1571">
        <v>0</v>
      </c>
      <c r="O105" s="1273">
        <v>0</v>
      </c>
      <c r="P105" s="1247">
        <v>0</v>
      </c>
    </row>
    <row r="106" spans="1:16" ht="36">
      <c r="A106" s="1245" t="s">
        <v>5510</v>
      </c>
      <c r="B106" s="1246" t="s">
        <v>1880</v>
      </c>
      <c r="C106" s="1246" t="s">
        <v>504</v>
      </c>
      <c r="D106" s="1200" t="s">
        <v>5978</v>
      </c>
      <c r="E106" s="1247">
        <v>3500</v>
      </c>
      <c r="F106" s="1549" t="s">
        <v>6596</v>
      </c>
      <c r="G106" s="1503" t="s">
        <v>6595</v>
      </c>
      <c r="H106" s="1503" t="s">
        <v>6594</v>
      </c>
      <c r="I106" s="1570"/>
      <c r="J106" s="1550" t="s">
        <v>6594</v>
      </c>
      <c r="K106" s="1571">
        <v>1</v>
      </c>
      <c r="L106" s="1273">
        <v>2</v>
      </c>
      <c r="M106" s="1247">
        <v>7816.67</v>
      </c>
      <c r="N106" s="1571">
        <v>2</v>
      </c>
      <c r="O106" s="1273">
        <v>6</v>
      </c>
      <c r="P106" s="1247">
        <v>10500</v>
      </c>
    </row>
    <row r="107" spans="1:16" ht="48">
      <c r="A107" s="1245" t="s">
        <v>5510</v>
      </c>
      <c r="B107" s="1246" t="s">
        <v>1880</v>
      </c>
      <c r="C107" s="1246" t="s">
        <v>504</v>
      </c>
      <c r="D107" s="1200" t="s">
        <v>5623</v>
      </c>
      <c r="E107" s="1247">
        <v>4500</v>
      </c>
      <c r="F107" s="1549" t="s">
        <v>6593</v>
      </c>
      <c r="G107" s="1503" t="s">
        <v>6592</v>
      </c>
      <c r="H107" s="1503" t="s">
        <v>1842</v>
      </c>
      <c r="I107" s="1570" t="s">
        <v>5516</v>
      </c>
      <c r="J107" s="1550" t="s">
        <v>526</v>
      </c>
      <c r="K107" s="1571">
        <v>1</v>
      </c>
      <c r="L107" s="1273">
        <v>2</v>
      </c>
      <c r="M107" s="1247">
        <v>8550</v>
      </c>
      <c r="N107" s="1571">
        <v>2</v>
      </c>
      <c r="O107" s="1273">
        <v>6</v>
      </c>
      <c r="P107" s="1247">
        <v>13497.655000000001</v>
      </c>
    </row>
    <row r="108" spans="1:16" ht="24">
      <c r="A108" s="1245" t="s">
        <v>5510</v>
      </c>
      <c r="B108" s="1246" t="s">
        <v>1880</v>
      </c>
      <c r="C108" s="1246" t="s">
        <v>504</v>
      </c>
      <c r="D108" s="1200" t="s">
        <v>6591</v>
      </c>
      <c r="E108" s="1247">
        <v>2800</v>
      </c>
      <c r="F108" s="1549" t="s">
        <v>6590</v>
      </c>
      <c r="G108" s="1503" t="s">
        <v>6589</v>
      </c>
      <c r="H108" s="1503" t="s">
        <v>6588</v>
      </c>
      <c r="I108" s="1570" t="s">
        <v>5506</v>
      </c>
      <c r="J108" s="1550" t="s">
        <v>2859</v>
      </c>
      <c r="K108" s="1571">
        <v>2</v>
      </c>
      <c r="L108" s="1273">
        <v>6</v>
      </c>
      <c r="M108" s="1247">
        <v>16800</v>
      </c>
      <c r="N108" s="1571">
        <v>2</v>
      </c>
      <c r="O108" s="1273">
        <v>6</v>
      </c>
      <c r="P108" s="1247">
        <v>8400</v>
      </c>
    </row>
    <row r="109" spans="1:16" ht="48">
      <c r="A109" s="1245" t="s">
        <v>5510</v>
      </c>
      <c r="B109" s="1246" t="s">
        <v>1880</v>
      </c>
      <c r="C109" s="1246" t="s">
        <v>504</v>
      </c>
      <c r="D109" s="1200" t="s">
        <v>6189</v>
      </c>
      <c r="E109" s="1247">
        <v>4000</v>
      </c>
      <c r="F109" s="1549" t="s">
        <v>6587</v>
      </c>
      <c r="G109" s="1503" t="s">
        <v>6586</v>
      </c>
      <c r="H109" s="1503" t="s">
        <v>925</v>
      </c>
      <c r="I109" s="1570" t="s">
        <v>5506</v>
      </c>
      <c r="J109" s="1550" t="s">
        <v>515</v>
      </c>
      <c r="K109" s="1571">
        <v>2</v>
      </c>
      <c r="L109" s="1273">
        <v>6</v>
      </c>
      <c r="M109" s="1247">
        <v>23964.44</v>
      </c>
      <c r="N109" s="1571">
        <v>2</v>
      </c>
      <c r="O109" s="1273">
        <v>6</v>
      </c>
      <c r="P109" s="1247">
        <v>11978.19</v>
      </c>
    </row>
    <row r="110" spans="1:16" ht="36">
      <c r="A110" s="1245" t="s">
        <v>5510</v>
      </c>
      <c r="B110" s="1246" t="s">
        <v>1880</v>
      </c>
      <c r="C110" s="1246" t="s">
        <v>504</v>
      </c>
      <c r="D110" s="1200" t="s">
        <v>6520</v>
      </c>
      <c r="E110" s="1247">
        <v>2000</v>
      </c>
      <c r="F110" s="1549" t="s">
        <v>6585</v>
      </c>
      <c r="G110" s="1503" t="s">
        <v>6584</v>
      </c>
      <c r="H110" s="1503" t="s">
        <v>6583</v>
      </c>
      <c r="I110" s="1570" t="s">
        <v>507</v>
      </c>
      <c r="J110" s="1550" t="s">
        <v>6582</v>
      </c>
      <c r="K110" s="1571">
        <v>2</v>
      </c>
      <c r="L110" s="1273">
        <v>6</v>
      </c>
      <c r="M110" s="1247">
        <v>12000</v>
      </c>
      <c r="N110" s="1571">
        <v>2</v>
      </c>
      <c r="O110" s="1273">
        <v>6</v>
      </c>
      <c r="P110" s="1247">
        <v>6000</v>
      </c>
    </row>
    <row r="111" spans="1:16" ht="24">
      <c r="A111" s="1245" t="s">
        <v>5510</v>
      </c>
      <c r="B111" s="1246" t="s">
        <v>1880</v>
      </c>
      <c r="C111" s="1246" t="s">
        <v>504</v>
      </c>
      <c r="D111" s="1200" t="s">
        <v>6581</v>
      </c>
      <c r="E111" s="1247">
        <v>4000</v>
      </c>
      <c r="F111" s="1549" t="s">
        <v>6580</v>
      </c>
      <c r="G111" s="1503" t="s">
        <v>6579</v>
      </c>
      <c r="H111" s="1503" t="s">
        <v>6578</v>
      </c>
      <c r="I111" s="1570" t="s">
        <v>507</v>
      </c>
      <c r="J111" s="1550" t="s">
        <v>6578</v>
      </c>
      <c r="K111" s="1571">
        <v>2</v>
      </c>
      <c r="L111" s="1273">
        <v>6</v>
      </c>
      <c r="M111" s="1247">
        <v>24000</v>
      </c>
      <c r="N111" s="1571">
        <v>2</v>
      </c>
      <c r="O111" s="1273">
        <v>6</v>
      </c>
      <c r="P111" s="1247">
        <v>12000</v>
      </c>
    </row>
    <row r="112" spans="1:16" ht="36">
      <c r="A112" s="1245" t="s">
        <v>5510</v>
      </c>
      <c r="B112" s="1246" t="s">
        <v>1880</v>
      </c>
      <c r="C112" s="1246" t="s">
        <v>504</v>
      </c>
      <c r="D112" s="1200" t="s">
        <v>5581</v>
      </c>
      <c r="E112" s="1247">
        <v>4500</v>
      </c>
      <c r="F112" s="1549" t="s">
        <v>6577</v>
      </c>
      <c r="G112" s="1503" t="s">
        <v>6576</v>
      </c>
      <c r="H112" s="1503" t="s">
        <v>6575</v>
      </c>
      <c r="I112" s="1570" t="s">
        <v>5516</v>
      </c>
      <c r="J112" s="1550" t="s">
        <v>6575</v>
      </c>
      <c r="K112" s="1571">
        <v>1</v>
      </c>
      <c r="L112" s="1273">
        <v>1</v>
      </c>
      <c r="M112" s="1247">
        <v>6300</v>
      </c>
      <c r="N112" s="1571">
        <v>2</v>
      </c>
      <c r="O112" s="1273">
        <v>6</v>
      </c>
      <c r="P112" s="1247">
        <v>13500</v>
      </c>
    </row>
    <row r="113" spans="1:16">
      <c r="A113" s="1245" t="s">
        <v>5510</v>
      </c>
      <c r="B113" s="1246" t="s">
        <v>1880</v>
      </c>
      <c r="C113" s="1246" t="s">
        <v>504</v>
      </c>
      <c r="D113" s="1200" t="s">
        <v>5594</v>
      </c>
      <c r="E113" s="1247">
        <v>4000</v>
      </c>
      <c r="F113" s="1549" t="s">
        <v>6574</v>
      </c>
      <c r="G113" s="1503" t="s">
        <v>6573</v>
      </c>
      <c r="H113" s="1503" t="s">
        <v>5220</v>
      </c>
      <c r="I113" s="1570" t="s">
        <v>5506</v>
      </c>
      <c r="J113" s="1550" t="s">
        <v>5220</v>
      </c>
      <c r="K113" s="1571">
        <v>2</v>
      </c>
      <c r="L113" s="1273">
        <v>6</v>
      </c>
      <c r="M113" s="1247">
        <v>24000</v>
      </c>
      <c r="N113" s="1571">
        <v>2</v>
      </c>
      <c r="O113" s="1273">
        <v>6</v>
      </c>
      <c r="P113" s="1247">
        <v>12000</v>
      </c>
    </row>
    <row r="114" spans="1:16">
      <c r="A114" s="1245" t="s">
        <v>5510</v>
      </c>
      <c r="B114" s="1246" t="s">
        <v>1880</v>
      </c>
      <c r="C114" s="1246" t="s">
        <v>504</v>
      </c>
      <c r="D114" s="1200" t="s">
        <v>6256</v>
      </c>
      <c r="E114" s="1247">
        <v>12000</v>
      </c>
      <c r="F114" s="1549" t="s">
        <v>6572</v>
      </c>
      <c r="G114" s="1503" t="s">
        <v>6571</v>
      </c>
      <c r="H114" s="1503" t="s">
        <v>519</v>
      </c>
      <c r="I114" s="1570" t="s">
        <v>5506</v>
      </c>
      <c r="J114" s="1550" t="s">
        <v>519</v>
      </c>
      <c r="K114" s="1571">
        <v>2</v>
      </c>
      <c r="L114" s="1273">
        <v>6</v>
      </c>
      <c r="M114" s="1247">
        <v>72000</v>
      </c>
      <c r="N114" s="1571">
        <v>2</v>
      </c>
      <c r="O114" s="1273">
        <v>6</v>
      </c>
      <c r="P114" s="1247">
        <v>36000</v>
      </c>
    </row>
    <row r="115" spans="1:16" ht="24">
      <c r="A115" s="1245" t="s">
        <v>5510</v>
      </c>
      <c r="B115" s="1246" t="s">
        <v>1880</v>
      </c>
      <c r="C115" s="1246" t="s">
        <v>504</v>
      </c>
      <c r="D115" s="1200" t="s">
        <v>5584</v>
      </c>
      <c r="E115" s="1247">
        <v>10000</v>
      </c>
      <c r="F115" s="1549" t="s">
        <v>6570</v>
      </c>
      <c r="G115" s="1503" t="s">
        <v>6569</v>
      </c>
      <c r="H115" s="1503" t="s">
        <v>534</v>
      </c>
      <c r="I115" s="1570" t="s">
        <v>507</v>
      </c>
      <c r="J115" s="1550" t="s">
        <v>1585</v>
      </c>
      <c r="K115" s="1571">
        <v>2</v>
      </c>
      <c r="L115" s="1273">
        <v>6</v>
      </c>
      <c r="M115" s="1247">
        <v>43428</v>
      </c>
      <c r="N115" s="1571">
        <v>2</v>
      </c>
      <c r="O115" s="1273">
        <v>6</v>
      </c>
      <c r="P115" s="1247">
        <v>21714</v>
      </c>
    </row>
    <row r="116" spans="1:16" ht="24">
      <c r="A116" s="1245" t="s">
        <v>5510</v>
      </c>
      <c r="B116" s="1246" t="s">
        <v>1880</v>
      </c>
      <c r="C116" s="1246" t="s">
        <v>504</v>
      </c>
      <c r="D116" s="1200" t="s">
        <v>1688</v>
      </c>
      <c r="E116" s="1247">
        <v>3000</v>
      </c>
      <c r="F116" s="1549" t="s">
        <v>6568</v>
      </c>
      <c r="G116" s="1503" t="s">
        <v>6567</v>
      </c>
      <c r="H116" s="1503" t="s">
        <v>6566</v>
      </c>
      <c r="I116" s="1570" t="s">
        <v>5506</v>
      </c>
      <c r="J116" s="1550" t="s">
        <v>5844</v>
      </c>
      <c r="K116" s="1571">
        <v>2</v>
      </c>
      <c r="L116" s="1273">
        <v>6</v>
      </c>
      <c r="M116" s="1247">
        <v>17959.38</v>
      </c>
      <c r="N116" s="1571">
        <v>2</v>
      </c>
      <c r="O116" s="1273">
        <v>6</v>
      </c>
      <c r="P116" s="1247">
        <v>9000</v>
      </c>
    </row>
    <row r="117" spans="1:16" ht="24">
      <c r="A117" s="1245" t="s">
        <v>5510</v>
      </c>
      <c r="B117" s="1246" t="s">
        <v>1880</v>
      </c>
      <c r="C117" s="1246" t="s">
        <v>504</v>
      </c>
      <c r="D117" s="1200" t="s">
        <v>5772</v>
      </c>
      <c r="E117" s="1247">
        <v>4000</v>
      </c>
      <c r="F117" s="1549" t="s">
        <v>6565</v>
      </c>
      <c r="G117" s="1503" t="s">
        <v>6564</v>
      </c>
      <c r="H117" s="1503" t="s">
        <v>1719</v>
      </c>
      <c r="I117" s="1570" t="s">
        <v>5506</v>
      </c>
      <c r="J117" s="1550" t="s">
        <v>5844</v>
      </c>
      <c r="K117" s="1571">
        <v>2</v>
      </c>
      <c r="L117" s="1273">
        <v>6</v>
      </c>
      <c r="M117" s="1247">
        <v>24000</v>
      </c>
      <c r="N117" s="1571">
        <v>2</v>
      </c>
      <c r="O117" s="1273">
        <v>6</v>
      </c>
      <c r="P117" s="1247">
        <v>12000</v>
      </c>
    </row>
    <row r="118" spans="1:16" ht="24">
      <c r="A118" s="1245" t="s">
        <v>5510</v>
      </c>
      <c r="B118" s="1246" t="s">
        <v>1880</v>
      </c>
      <c r="C118" s="1246" t="s">
        <v>504</v>
      </c>
      <c r="D118" s="1200" t="s">
        <v>5779</v>
      </c>
      <c r="E118" s="1247">
        <v>4500</v>
      </c>
      <c r="F118" s="1549" t="s">
        <v>6563</v>
      </c>
      <c r="G118" s="1503" t="s">
        <v>6562</v>
      </c>
      <c r="H118" s="1503" t="s">
        <v>3019</v>
      </c>
      <c r="I118" s="1570" t="s">
        <v>507</v>
      </c>
      <c r="J118" s="1550" t="s">
        <v>543</v>
      </c>
      <c r="K118" s="1571">
        <v>2</v>
      </c>
      <c r="L118" s="1273">
        <v>4</v>
      </c>
      <c r="M118" s="1247">
        <v>16650</v>
      </c>
      <c r="N118" s="1571">
        <v>0</v>
      </c>
      <c r="O118" s="1273">
        <v>0</v>
      </c>
      <c r="P118" s="1247">
        <v>0</v>
      </c>
    </row>
    <row r="119" spans="1:16" ht="24">
      <c r="A119" s="1245" t="s">
        <v>5510</v>
      </c>
      <c r="B119" s="1246" t="s">
        <v>1880</v>
      </c>
      <c r="C119" s="1246" t="s">
        <v>504</v>
      </c>
      <c r="D119" s="1200" t="s">
        <v>582</v>
      </c>
      <c r="E119" s="1247">
        <v>3000</v>
      </c>
      <c r="F119" s="1549" t="s">
        <v>6561</v>
      </c>
      <c r="G119" s="1503" t="s">
        <v>6560</v>
      </c>
      <c r="H119" s="1503" t="s">
        <v>5355</v>
      </c>
      <c r="I119" s="1570" t="s">
        <v>573</v>
      </c>
      <c r="J119" s="1550" t="s">
        <v>5355</v>
      </c>
      <c r="K119" s="1571">
        <v>1</v>
      </c>
      <c r="L119" s="1273">
        <v>3</v>
      </c>
      <c r="M119" s="1247">
        <v>8968.130000000001</v>
      </c>
      <c r="N119" s="1571">
        <v>0</v>
      </c>
      <c r="O119" s="1273">
        <v>0</v>
      </c>
      <c r="P119" s="1247">
        <v>0</v>
      </c>
    </row>
    <row r="120" spans="1:16" ht="24">
      <c r="A120" s="1245" t="s">
        <v>5510</v>
      </c>
      <c r="B120" s="1246" t="s">
        <v>1880</v>
      </c>
      <c r="C120" s="1246" t="s">
        <v>504</v>
      </c>
      <c r="D120" s="1200" t="s">
        <v>6559</v>
      </c>
      <c r="E120" s="1247">
        <v>3200</v>
      </c>
      <c r="F120" s="1549" t="s">
        <v>6558</v>
      </c>
      <c r="G120" s="1503" t="s">
        <v>6557</v>
      </c>
      <c r="H120" s="1503" t="s">
        <v>3500</v>
      </c>
      <c r="I120" s="1570" t="s">
        <v>499</v>
      </c>
      <c r="J120" s="1550" t="s">
        <v>6556</v>
      </c>
      <c r="K120" s="1571">
        <v>2</v>
      </c>
      <c r="L120" s="1273">
        <v>6</v>
      </c>
      <c r="M120" s="1247">
        <v>19189.559999999998</v>
      </c>
      <c r="N120" s="1571">
        <v>2</v>
      </c>
      <c r="O120" s="1273">
        <v>6</v>
      </c>
      <c r="P120" s="1247">
        <v>9596.89</v>
      </c>
    </row>
    <row r="121" spans="1:16">
      <c r="A121" s="1245" t="s">
        <v>5510</v>
      </c>
      <c r="B121" s="1246" t="s">
        <v>1880</v>
      </c>
      <c r="C121" s="1246" t="s">
        <v>504</v>
      </c>
      <c r="D121" s="1200" t="s">
        <v>5878</v>
      </c>
      <c r="E121" s="1247">
        <v>3000</v>
      </c>
      <c r="F121" s="1549" t="s">
        <v>6555</v>
      </c>
      <c r="G121" s="1503" t="s">
        <v>6554</v>
      </c>
      <c r="H121" s="1503" t="s">
        <v>5767</v>
      </c>
      <c r="I121" s="1570" t="s">
        <v>507</v>
      </c>
      <c r="J121" s="1550" t="s">
        <v>5767</v>
      </c>
      <c r="K121" s="1571">
        <v>2</v>
      </c>
      <c r="L121" s="1273">
        <v>6</v>
      </c>
      <c r="M121" s="1247">
        <v>17973.13</v>
      </c>
      <c r="N121" s="1571">
        <v>2</v>
      </c>
      <c r="O121" s="1273">
        <v>6</v>
      </c>
      <c r="P121" s="1247">
        <v>9000</v>
      </c>
    </row>
    <row r="122" spans="1:16" ht="24">
      <c r="A122" s="1245" t="s">
        <v>5510</v>
      </c>
      <c r="B122" s="1246" t="s">
        <v>1880</v>
      </c>
      <c r="C122" s="1246" t="s">
        <v>504</v>
      </c>
      <c r="D122" s="1200" t="s">
        <v>6553</v>
      </c>
      <c r="E122" s="1247">
        <v>6000</v>
      </c>
      <c r="F122" s="1549" t="s">
        <v>6552</v>
      </c>
      <c r="G122" s="1503" t="s">
        <v>6551</v>
      </c>
      <c r="H122" s="1503"/>
      <c r="I122" s="1570"/>
      <c r="J122" s="1550"/>
      <c r="K122" s="1571">
        <v>2</v>
      </c>
      <c r="L122" s="1273">
        <v>4</v>
      </c>
      <c r="M122" s="1247">
        <v>21600</v>
      </c>
      <c r="N122" s="1571">
        <v>2</v>
      </c>
      <c r="O122" s="1273">
        <v>6</v>
      </c>
      <c r="P122" s="1247">
        <v>18000</v>
      </c>
    </row>
    <row r="123" spans="1:16">
      <c r="A123" s="1245" t="s">
        <v>5510</v>
      </c>
      <c r="B123" s="1246" t="s">
        <v>1880</v>
      </c>
      <c r="C123" s="1246" t="s">
        <v>504</v>
      </c>
      <c r="D123" s="1200" t="s">
        <v>4339</v>
      </c>
      <c r="E123" s="1247">
        <v>12000</v>
      </c>
      <c r="F123" s="1549" t="s">
        <v>6550</v>
      </c>
      <c r="G123" s="1503" t="s">
        <v>6549</v>
      </c>
      <c r="H123" s="1503" t="s">
        <v>1842</v>
      </c>
      <c r="I123" s="1570" t="s">
        <v>5506</v>
      </c>
      <c r="J123" s="1550" t="s">
        <v>526</v>
      </c>
      <c r="K123" s="1571">
        <v>2</v>
      </c>
      <c r="L123" s="1273">
        <v>6</v>
      </c>
      <c r="M123" s="1247">
        <v>72000</v>
      </c>
      <c r="N123" s="1571">
        <v>2</v>
      </c>
      <c r="O123" s="1273">
        <v>6</v>
      </c>
      <c r="P123" s="1247">
        <v>36000</v>
      </c>
    </row>
    <row r="124" spans="1:16">
      <c r="A124" s="1245" t="s">
        <v>5510</v>
      </c>
      <c r="B124" s="1246" t="s">
        <v>1880</v>
      </c>
      <c r="C124" s="1246" t="s">
        <v>504</v>
      </c>
      <c r="D124" s="1200" t="s">
        <v>5791</v>
      </c>
      <c r="E124" s="1247">
        <v>6200</v>
      </c>
      <c r="F124" s="1549" t="s">
        <v>6547</v>
      </c>
      <c r="G124" s="1503" t="s">
        <v>6546</v>
      </c>
      <c r="H124" s="1503" t="s">
        <v>6548</v>
      </c>
      <c r="I124" s="1570" t="s">
        <v>5506</v>
      </c>
      <c r="J124" s="1550" t="s">
        <v>5788</v>
      </c>
      <c r="K124" s="1571">
        <v>1</v>
      </c>
      <c r="L124" s="1273">
        <v>3</v>
      </c>
      <c r="M124" s="1247">
        <v>20443.64</v>
      </c>
      <c r="N124" s="1571">
        <v>2</v>
      </c>
      <c r="O124" s="1273">
        <v>6</v>
      </c>
      <c r="P124" s="1247">
        <v>22500</v>
      </c>
    </row>
    <row r="125" spans="1:16" ht="48">
      <c r="A125" s="1245" t="s">
        <v>5510</v>
      </c>
      <c r="B125" s="1246" t="s">
        <v>1880</v>
      </c>
      <c r="C125" s="1246" t="s">
        <v>504</v>
      </c>
      <c r="D125" s="1200" t="s">
        <v>5617</v>
      </c>
      <c r="E125" s="1247">
        <v>7500</v>
      </c>
      <c r="F125" s="1549" t="s">
        <v>6547</v>
      </c>
      <c r="G125" s="1503" t="s">
        <v>6546</v>
      </c>
      <c r="H125" s="1503" t="s">
        <v>6548</v>
      </c>
      <c r="I125" s="1570" t="s">
        <v>5506</v>
      </c>
      <c r="J125" s="1550" t="s">
        <v>5788</v>
      </c>
      <c r="K125" s="1571">
        <v>1</v>
      </c>
      <c r="L125" s="1273">
        <v>3</v>
      </c>
      <c r="M125" s="1247">
        <v>20250</v>
      </c>
      <c r="N125" s="1571">
        <v>0</v>
      </c>
      <c r="O125" s="1273">
        <v>0</v>
      </c>
      <c r="P125" s="1247">
        <v>0</v>
      </c>
    </row>
    <row r="126" spans="1:16" ht="48">
      <c r="A126" s="1245" t="s">
        <v>5510</v>
      </c>
      <c r="B126" s="1246" t="s">
        <v>1880</v>
      </c>
      <c r="C126" s="1246" t="s">
        <v>504</v>
      </c>
      <c r="D126" s="1200" t="s">
        <v>5617</v>
      </c>
      <c r="E126" s="1247">
        <v>7500</v>
      </c>
      <c r="F126" s="1549" t="s">
        <v>6547</v>
      </c>
      <c r="G126" s="1503" t="s">
        <v>6546</v>
      </c>
      <c r="H126" s="1503" t="s">
        <v>6545</v>
      </c>
      <c r="I126" s="1570" t="s">
        <v>5516</v>
      </c>
      <c r="J126" s="1550" t="s">
        <v>6545</v>
      </c>
      <c r="K126" s="1571">
        <v>1</v>
      </c>
      <c r="L126" s="1273">
        <v>3</v>
      </c>
      <c r="M126" s="1247">
        <v>20250</v>
      </c>
      <c r="N126" s="1571">
        <v>2</v>
      </c>
      <c r="O126" s="1273">
        <v>6</v>
      </c>
      <c r="P126" s="1247">
        <v>22500</v>
      </c>
    </row>
    <row r="127" spans="1:16" ht="24">
      <c r="A127" s="1245" t="s">
        <v>5510</v>
      </c>
      <c r="B127" s="1246" t="s">
        <v>1880</v>
      </c>
      <c r="C127" s="1246" t="s">
        <v>504</v>
      </c>
      <c r="D127" s="1200" t="s">
        <v>5772</v>
      </c>
      <c r="E127" s="1247">
        <v>3500</v>
      </c>
      <c r="F127" s="1549" t="s">
        <v>6544</v>
      </c>
      <c r="G127" s="1503" t="s">
        <v>6543</v>
      </c>
      <c r="H127" s="1503" t="s">
        <v>1788</v>
      </c>
      <c r="I127" s="1570" t="s">
        <v>5506</v>
      </c>
      <c r="J127" s="1550" t="s">
        <v>519</v>
      </c>
      <c r="K127" s="1571">
        <v>2</v>
      </c>
      <c r="L127" s="1273">
        <v>6</v>
      </c>
      <c r="M127" s="1247">
        <v>21000</v>
      </c>
      <c r="N127" s="1571">
        <v>2</v>
      </c>
      <c r="O127" s="1273">
        <v>6</v>
      </c>
      <c r="P127" s="1247">
        <v>10500</v>
      </c>
    </row>
    <row r="128" spans="1:16" ht="24">
      <c r="A128" s="1245" t="s">
        <v>5510</v>
      </c>
      <c r="B128" s="1246" t="s">
        <v>1880</v>
      </c>
      <c r="C128" s="1246" t="s">
        <v>504</v>
      </c>
      <c r="D128" s="1200" t="s">
        <v>6542</v>
      </c>
      <c r="E128" s="1247">
        <v>5000</v>
      </c>
      <c r="F128" s="1549" t="s">
        <v>6541</v>
      </c>
      <c r="G128" s="1503" t="s">
        <v>6540</v>
      </c>
      <c r="H128" s="1503" t="s">
        <v>1788</v>
      </c>
      <c r="I128" s="1570" t="s">
        <v>5506</v>
      </c>
      <c r="J128" s="1550" t="s">
        <v>519</v>
      </c>
      <c r="K128" s="1571">
        <v>2</v>
      </c>
      <c r="L128" s="1273">
        <v>6</v>
      </c>
      <c r="M128" s="1247">
        <v>30000</v>
      </c>
      <c r="N128" s="1571">
        <v>2</v>
      </c>
      <c r="O128" s="1273">
        <v>6</v>
      </c>
      <c r="P128" s="1247">
        <v>14995.14</v>
      </c>
    </row>
    <row r="129" spans="1:16">
      <c r="A129" s="1245" t="s">
        <v>5510</v>
      </c>
      <c r="B129" s="1246" t="s">
        <v>1880</v>
      </c>
      <c r="C129" s="1246" t="s">
        <v>504</v>
      </c>
      <c r="D129" s="1200" t="s">
        <v>5584</v>
      </c>
      <c r="E129" s="1247">
        <v>10000</v>
      </c>
      <c r="F129" s="1549" t="s">
        <v>6539</v>
      </c>
      <c r="G129" s="1503" t="s">
        <v>6538</v>
      </c>
      <c r="H129" s="1503" t="s">
        <v>759</v>
      </c>
      <c r="I129" s="1570" t="s">
        <v>5506</v>
      </c>
      <c r="J129" s="1550" t="s">
        <v>759</v>
      </c>
      <c r="K129" s="1571">
        <v>2</v>
      </c>
      <c r="L129" s="1273">
        <v>6</v>
      </c>
      <c r="M129" s="1247">
        <v>60000</v>
      </c>
      <c r="N129" s="1571">
        <v>2</v>
      </c>
      <c r="O129" s="1273">
        <v>6</v>
      </c>
      <c r="P129" s="1247">
        <v>30000</v>
      </c>
    </row>
    <row r="130" spans="1:16" ht="24">
      <c r="A130" s="1245" t="s">
        <v>5510</v>
      </c>
      <c r="B130" s="1246" t="s">
        <v>1880</v>
      </c>
      <c r="C130" s="1246" t="s">
        <v>504</v>
      </c>
      <c r="D130" s="1200" t="s">
        <v>6537</v>
      </c>
      <c r="E130" s="1247">
        <v>2500</v>
      </c>
      <c r="F130" s="1549" t="s">
        <v>6536</v>
      </c>
      <c r="G130" s="1503" t="s">
        <v>6535</v>
      </c>
      <c r="H130" s="1503" t="s">
        <v>6534</v>
      </c>
      <c r="I130" s="1570" t="s">
        <v>499</v>
      </c>
      <c r="J130" s="1550" t="s">
        <v>6533</v>
      </c>
      <c r="K130" s="1571">
        <v>2</v>
      </c>
      <c r="L130" s="1273">
        <v>6</v>
      </c>
      <c r="M130" s="1247">
        <v>15000</v>
      </c>
      <c r="N130" s="1571">
        <v>2</v>
      </c>
      <c r="O130" s="1273">
        <v>6</v>
      </c>
      <c r="P130" s="1247">
        <v>7500</v>
      </c>
    </row>
    <row r="131" spans="1:16" ht="36">
      <c r="A131" s="1245" t="s">
        <v>5510</v>
      </c>
      <c r="B131" s="1246" t="s">
        <v>1880</v>
      </c>
      <c r="C131" s="1246" t="s">
        <v>504</v>
      </c>
      <c r="D131" s="1200" t="s">
        <v>604</v>
      </c>
      <c r="E131" s="1247">
        <v>3500</v>
      </c>
      <c r="F131" s="1549" t="s">
        <v>6532</v>
      </c>
      <c r="G131" s="1503" t="s">
        <v>6531</v>
      </c>
      <c r="H131" s="1503" t="s">
        <v>6474</v>
      </c>
      <c r="I131" s="1570" t="s">
        <v>507</v>
      </c>
      <c r="J131" s="1550" t="s">
        <v>6474</v>
      </c>
      <c r="K131" s="1571">
        <v>2</v>
      </c>
      <c r="L131" s="1273">
        <v>6</v>
      </c>
      <c r="M131" s="1247">
        <v>20897.89</v>
      </c>
      <c r="N131" s="1571">
        <v>0</v>
      </c>
      <c r="O131" s="1273">
        <v>0</v>
      </c>
      <c r="P131" s="1247">
        <v>0</v>
      </c>
    </row>
    <row r="132" spans="1:16" ht="36">
      <c r="A132" s="1245" t="s">
        <v>5510</v>
      </c>
      <c r="B132" s="1246" t="s">
        <v>1880</v>
      </c>
      <c r="C132" s="1246" t="s">
        <v>504</v>
      </c>
      <c r="D132" s="1200" t="s">
        <v>6530</v>
      </c>
      <c r="E132" s="1247">
        <v>3500</v>
      </c>
      <c r="F132" s="1549" t="s">
        <v>6529</v>
      </c>
      <c r="G132" s="1503" t="s">
        <v>6528</v>
      </c>
      <c r="H132" s="1503" t="s">
        <v>1499</v>
      </c>
      <c r="I132" s="1570" t="s">
        <v>507</v>
      </c>
      <c r="J132" s="1550" t="s">
        <v>1499</v>
      </c>
      <c r="K132" s="1571">
        <v>1</v>
      </c>
      <c r="L132" s="1273">
        <v>2</v>
      </c>
      <c r="M132" s="1247">
        <v>7813.27</v>
      </c>
      <c r="N132" s="1571">
        <v>0</v>
      </c>
      <c r="O132" s="1273">
        <v>0</v>
      </c>
      <c r="P132" s="1247">
        <v>0</v>
      </c>
    </row>
    <row r="133" spans="1:16" ht="24">
      <c r="A133" s="1245" t="s">
        <v>5510</v>
      </c>
      <c r="B133" s="1246" t="s">
        <v>1880</v>
      </c>
      <c r="C133" s="1246" t="s">
        <v>504</v>
      </c>
      <c r="D133" s="1200" t="s">
        <v>6527</v>
      </c>
      <c r="E133" s="1247">
        <v>3200</v>
      </c>
      <c r="F133" s="1549" t="s">
        <v>6526</v>
      </c>
      <c r="G133" s="1503" t="s">
        <v>6525</v>
      </c>
      <c r="H133" s="1503" t="s">
        <v>619</v>
      </c>
      <c r="I133" s="1570" t="s">
        <v>619</v>
      </c>
      <c r="J133" s="1550" t="s">
        <v>619</v>
      </c>
      <c r="K133" s="1571">
        <v>2</v>
      </c>
      <c r="L133" s="1273">
        <v>6</v>
      </c>
      <c r="M133" s="1247">
        <v>18842.68</v>
      </c>
      <c r="N133" s="1571">
        <v>2</v>
      </c>
      <c r="O133" s="1273">
        <v>6</v>
      </c>
      <c r="P133" s="1247">
        <v>9598.7799999999988</v>
      </c>
    </row>
    <row r="134" spans="1:16" ht="24">
      <c r="A134" s="1245" t="s">
        <v>5510</v>
      </c>
      <c r="B134" s="1246" t="s">
        <v>1880</v>
      </c>
      <c r="C134" s="1246" t="s">
        <v>504</v>
      </c>
      <c r="D134" s="1200" t="s">
        <v>5559</v>
      </c>
      <c r="E134" s="1247">
        <v>2000</v>
      </c>
      <c r="F134" s="1549" t="s">
        <v>6524</v>
      </c>
      <c r="G134" s="1503" t="s">
        <v>6523</v>
      </c>
      <c r="H134" s="1503" t="s">
        <v>6522</v>
      </c>
      <c r="I134" s="1570" t="s">
        <v>499</v>
      </c>
      <c r="J134" s="1550" t="s">
        <v>6521</v>
      </c>
      <c r="K134" s="1571">
        <v>2</v>
      </c>
      <c r="L134" s="1273">
        <v>6</v>
      </c>
      <c r="M134" s="1247">
        <v>12000</v>
      </c>
      <c r="N134" s="1571">
        <v>2</v>
      </c>
      <c r="O134" s="1273">
        <v>6</v>
      </c>
      <c r="P134" s="1247">
        <v>6000</v>
      </c>
    </row>
    <row r="135" spans="1:16" ht="24">
      <c r="A135" s="1245" t="s">
        <v>5510</v>
      </c>
      <c r="B135" s="1246" t="s">
        <v>1880</v>
      </c>
      <c r="C135" s="1246" t="s">
        <v>504</v>
      </c>
      <c r="D135" s="1200" t="s">
        <v>6520</v>
      </c>
      <c r="E135" s="1247">
        <v>3000</v>
      </c>
      <c r="F135" s="1549" t="s">
        <v>6519</v>
      </c>
      <c r="G135" s="1503" t="s">
        <v>6518</v>
      </c>
      <c r="H135" s="1503" t="s">
        <v>526</v>
      </c>
      <c r="I135" s="1570" t="s">
        <v>5525</v>
      </c>
      <c r="J135" s="1550" t="s">
        <v>526</v>
      </c>
      <c r="K135" s="1571">
        <v>2</v>
      </c>
      <c r="L135" s="1273">
        <v>4</v>
      </c>
      <c r="M135" s="1247">
        <v>12047.07</v>
      </c>
      <c r="N135" s="1571">
        <v>0</v>
      </c>
      <c r="O135" s="1273">
        <v>0</v>
      </c>
      <c r="P135" s="1247">
        <v>0</v>
      </c>
    </row>
    <row r="136" spans="1:16" ht="36">
      <c r="A136" s="1245" t="s">
        <v>5510</v>
      </c>
      <c r="B136" s="1246" t="s">
        <v>1880</v>
      </c>
      <c r="C136" s="1246" t="s">
        <v>504</v>
      </c>
      <c r="D136" s="1200" t="s">
        <v>5950</v>
      </c>
      <c r="E136" s="1247">
        <v>6000</v>
      </c>
      <c r="F136" s="1549" t="s">
        <v>6519</v>
      </c>
      <c r="G136" s="1503" t="s">
        <v>6518</v>
      </c>
      <c r="H136" s="1503" t="s">
        <v>526</v>
      </c>
      <c r="I136" s="1570" t="s">
        <v>5525</v>
      </c>
      <c r="J136" s="1550" t="s">
        <v>526</v>
      </c>
      <c r="K136" s="1571">
        <v>1</v>
      </c>
      <c r="L136" s="1273">
        <v>2</v>
      </c>
      <c r="M136" s="1247">
        <v>12400</v>
      </c>
      <c r="N136" s="1571">
        <v>0</v>
      </c>
      <c r="O136" s="1273">
        <v>0</v>
      </c>
      <c r="P136" s="1247">
        <v>0</v>
      </c>
    </row>
    <row r="137" spans="1:16">
      <c r="A137" s="1245" t="s">
        <v>5510</v>
      </c>
      <c r="B137" s="1246" t="s">
        <v>1880</v>
      </c>
      <c r="C137" s="1246" t="s">
        <v>504</v>
      </c>
      <c r="D137" s="1200" t="s">
        <v>5756</v>
      </c>
      <c r="E137" s="1247">
        <v>3500</v>
      </c>
      <c r="F137" s="1549" t="s">
        <v>6517</v>
      </c>
      <c r="G137" s="1503" t="s">
        <v>6516</v>
      </c>
      <c r="H137" s="1503" t="s">
        <v>1788</v>
      </c>
      <c r="I137" s="1570" t="s">
        <v>5506</v>
      </c>
      <c r="J137" s="1550" t="s">
        <v>519</v>
      </c>
      <c r="K137" s="1571">
        <v>2</v>
      </c>
      <c r="L137" s="1273">
        <v>6</v>
      </c>
      <c r="M137" s="1247">
        <v>21000</v>
      </c>
      <c r="N137" s="1571">
        <v>2</v>
      </c>
      <c r="O137" s="1273">
        <v>6</v>
      </c>
      <c r="P137" s="1247">
        <v>10500</v>
      </c>
    </row>
    <row r="138" spans="1:16" ht="36">
      <c r="A138" s="1245" t="s">
        <v>5510</v>
      </c>
      <c r="B138" s="1246" t="s">
        <v>1880</v>
      </c>
      <c r="C138" s="1246" t="s">
        <v>504</v>
      </c>
      <c r="D138" s="1200" t="s">
        <v>5581</v>
      </c>
      <c r="E138" s="1247">
        <v>4500</v>
      </c>
      <c r="F138" s="1549" t="s">
        <v>6515</v>
      </c>
      <c r="G138" s="1503" t="s">
        <v>6514</v>
      </c>
      <c r="H138" s="1503"/>
      <c r="I138" s="1570"/>
      <c r="J138" s="1550"/>
      <c r="K138" s="1571">
        <v>1</v>
      </c>
      <c r="L138" s="1273">
        <v>1</v>
      </c>
      <c r="M138" s="1247">
        <v>1050</v>
      </c>
      <c r="N138" s="1571">
        <v>0</v>
      </c>
      <c r="O138" s="1273">
        <v>0</v>
      </c>
      <c r="P138" s="1247">
        <v>0</v>
      </c>
    </row>
    <row r="139" spans="1:16" ht="36">
      <c r="A139" s="1245" t="s">
        <v>5510</v>
      </c>
      <c r="B139" s="1246" t="s">
        <v>1880</v>
      </c>
      <c r="C139" s="1246" t="s">
        <v>504</v>
      </c>
      <c r="D139" s="1200" t="s">
        <v>5581</v>
      </c>
      <c r="E139" s="1247">
        <v>6000</v>
      </c>
      <c r="F139" s="1549" t="s">
        <v>6513</v>
      </c>
      <c r="G139" s="1503" t="s">
        <v>6512</v>
      </c>
      <c r="H139" s="1503" t="s">
        <v>1779</v>
      </c>
      <c r="I139" s="1570" t="s">
        <v>5516</v>
      </c>
      <c r="J139" s="1550" t="s">
        <v>1779</v>
      </c>
      <c r="K139" s="1571">
        <v>1</v>
      </c>
      <c r="L139" s="1273">
        <v>1</v>
      </c>
      <c r="M139" s="1247">
        <v>6600</v>
      </c>
      <c r="N139" s="1571">
        <v>1</v>
      </c>
      <c r="O139" s="1273">
        <v>1</v>
      </c>
      <c r="P139" s="1247">
        <v>2993.96</v>
      </c>
    </row>
    <row r="140" spans="1:16" ht="24">
      <c r="A140" s="1245" t="s">
        <v>5510</v>
      </c>
      <c r="B140" s="1246" t="s">
        <v>1880</v>
      </c>
      <c r="C140" s="1246" t="s">
        <v>504</v>
      </c>
      <c r="D140" s="1200" t="s">
        <v>6511</v>
      </c>
      <c r="E140" s="1247">
        <v>3500</v>
      </c>
      <c r="F140" s="1549" t="s">
        <v>6510</v>
      </c>
      <c r="G140" s="1503" t="s">
        <v>6509</v>
      </c>
      <c r="H140" s="1503" t="s">
        <v>6508</v>
      </c>
      <c r="I140" s="1570" t="s">
        <v>499</v>
      </c>
      <c r="J140" s="1550" t="s">
        <v>5029</v>
      </c>
      <c r="K140" s="1571">
        <v>1</v>
      </c>
      <c r="L140" s="1273">
        <v>3</v>
      </c>
      <c r="M140" s="1247">
        <v>10616.67</v>
      </c>
      <c r="N140" s="1571"/>
      <c r="O140" s="1273">
        <v>0</v>
      </c>
      <c r="P140" s="1247">
        <v>0</v>
      </c>
    </row>
    <row r="141" spans="1:16" ht="48">
      <c r="A141" s="1245" t="s">
        <v>5510</v>
      </c>
      <c r="B141" s="1246" t="s">
        <v>1880</v>
      </c>
      <c r="C141" s="1246" t="s">
        <v>504</v>
      </c>
      <c r="D141" s="1200" t="s">
        <v>6507</v>
      </c>
      <c r="E141" s="1247">
        <v>4000</v>
      </c>
      <c r="F141" s="1549" t="s">
        <v>6506</v>
      </c>
      <c r="G141" s="1503" t="s">
        <v>6505</v>
      </c>
      <c r="H141" s="1503" t="s">
        <v>1842</v>
      </c>
      <c r="I141" s="1570" t="s">
        <v>5506</v>
      </c>
      <c r="J141" s="1550" t="s">
        <v>526</v>
      </c>
      <c r="K141" s="1571">
        <v>2</v>
      </c>
      <c r="L141" s="1273">
        <v>6</v>
      </c>
      <c r="M141" s="1247">
        <v>23941.66</v>
      </c>
      <c r="N141" s="1571">
        <v>2</v>
      </c>
      <c r="O141" s="1273">
        <v>6</v>
      </c>
      <c r="P141" s="1247">
        <v>12000</v>
      </c>
    </row>
    <row r="142" spans="1:16">
      <c r="A142" s="1245" t="s">
        <v>5510</v>
      </c>
      <c r="B142" s="1246" t="s">
        <v>1880</v>
      </c>
      <c r="C142" s="1246" t="s">
        <v>504</v>
      </c>
      <c r="D142" s="1200" t="s">
        <v>5642</v>
      </c>
      <c r="E142" s="1247">
        <v>4500</v>
      </c>
      <c r="F142" s="1549" t="s">
        <v>6504</v>
      </c>
      <c r="G142" s="1503" t="s">
        <v>6503</v>
      </c>
      <c r="H142" s="1503"/>
      <c r="I142" s="1570"/>
      <c r="J142" s="1550"/>
      <c r="K142" s="1571">
        <v>1</v>
      </c>
      <c r="L142" s="1273">
        <v>1</v>
      </c>
      <c r="M142" s="1247">
        <v>4350</v>
      </c>
      <c r="N142" s="1571">
        <v>0</v>
      </c>
      <c r="O142" s="1273">
        <v>0</v>
      </c>
      <c r="P142" s="1247">
        <v>0</v>
      </c>
    </row>
    <row r="143" spans="1:16" ht="24">
      <c r="A143" s="1245" t="s">
        <v>5510</v>
      </c>
      <c r="B143" s="1246" t="s">
        <v>1880</v>
      </c>
      <c r="C143" s="1246" t="s">
        <v>504</v>
      </c>
      <c r="D143" s="1200" t="s">
        <v>6502</v>
      </c>
      <c r="E143" s="1247">
        <v>4500</v>
      </c>
      <c r="F143" s="1549" t="s">
        <v>6501</v>
      </c>
      <c r="G143" s="1503" t="s">
        <v>6500</v>
      </c>
      <c r="H143" s="1503" t="s">
        <v>6286</v>
      </c>
      <c r="I143" s="1570" t="s">
        <v>5506</v>
      </c>
      <c r="J143" s="1550" t="s">
        <v>519</v>
      </c>
      <c r="K143" s="1571">
        <v>2</v>
      </c>
      <c r="L143" s="1273">
        <v>6</v>
      </c>
      <c r="M143" s="1247">
        <v>36000</v>
      </c>
      <c r="N143" s="1571">
        <v>2</v>
      </c>
      <c r="O143" s="1273">
        <v>6</v>
      </c>
      <c r="P143" s="1247">
        <v>18000</v>
      </c>
    </row>
    <row r="144" spans="1:16" ht="24">
      <c r="A144" s="1245" t="s">
        <v>5510</v>
      </c>
      <c r="B144" s="1246" t="s">
        <v>1880</v>
      </c>
      <c r="C144" s="1246" t="s">
        <v>504</v>
      </c>
      <c r="D144" s="1200" t="s">
        <v>6502</v>
      </c>
      <c r="E144" s="1247">
        <v>6000</v>
      </c>
      <c r="F144" s="1549" t="s">
        <v>6501</v>
      </c>
      <c r="G144" s="1503" t="s">
        <v>6500</v>
      </c>
      <c r="H144" s="1503" t="s">
        <v>6286</v>
      </c>
      <c r="I144" s="1570" t="s">
        <v>5506</v>
      </c>
      <c r="J144" s="1550" t="s">
        <v>519</v>
      </c>
      <c r="K144" s="1571">
        <v>2</v>
      </c>
      <c r="L144" s="1273">
        <v>6</v>
      </c>
      <c r="M144" s="1247">
        <v>36000</v>
      </c>
      <c r="N144" s="1571">
        <v>2</v>
      </c>
      <c r="O144" s="1273">
        <v>6</v>
      </c>
      <c r="P144" s="1247">
        <v>18000</v>
      </c>
    </row>
    <row r="145" spans="1:16" ht="24">
      <c r="A145" s="1245" t="s">
        <v>5510</v>
      </c>
      <c r="B145" s="1246" t="s">
        <v>1880</v>
      </c>
      <c r="C145" s="1246" t="s">
        <v>504</v>
      </c>
      <c r="D145" s="1200" t="s">
        <v>5559</v>
      </c>
      <c r="E145" s="1247">
        <v>2000</v>
      </c>
      <c r="F145" s="1549" t="s">
        <v>6499</v>
      </c>
      <c r="G145" s="1503" t="s">
        <v>6498</v>
      </c>
      <c r="H145" s="1503" t="s">
        <v>6497</v>
      </c>
      <c r="I145" s="1570" t="s">
        <v>507</v>
      </c>
      <c r="J145" s="1550" t="s">
        <v>5767</v>
      </c>
      <c r="K145" s="1571">
        <v>2</v>
      </c>
      <c r="L145" s="1273">
        <v>6</v>
      </c>
      <c r="M145" s="1247">
        <v>12000</v>
      </c>
      <c r="N145" s="1571">
        <v>2</v>
      </c>
      <c r="O145" s="1273">
        <v>6</v>
      </c>
      <c r="P145" s="1247">
        <v>6000</v>
      </c>
    </row>
    <row r="146" spans="1:16" ht="24">
      <c r="A146" s="1245" t="s">
        <v>5510</v>
      </c>
      <c r="B146" s="1246" t="s">
        <v>1880</v>
      </c>
      <c r="C146" s="1246" t="s">
        <v>504</v>
      </c>
      <c r="D146" s="1200" t="s">
        <v>5584</v>
      </c>
      <c r="E146" s="1247">
        <v>10000</v>
      </c>
      <c r="F146" s="1549" t="s">
        <v>6496</v>
      </c>
      <c r="G146" s="1503" t="s">
        <v>6495</v>
      </c>
      <c r="H146" s="1503" t="s">
        <v>534</v>
      </c>
      <c r="I146" s="1570" t="s">
        <v>5506</v>
      </c>
      <c r="J146" s="1550" t="s">
        <v>1585</v>
      </c>
      <c r="K146" s="1571">
        <v>2</v>
      </c>
      <c r="L146" s="1273">
        <v>6</v>
      </c>
      <c r="M146" s="1247">
        <v>43428</v>
      </c>
      <c r="N146" s="1571">
        <v>2</v>
      </c>
      <c r="O146" s="1273">
        <v>6</v>
      </c>
      <c r="P146" s="1247">
        <v>21714</v>
      </c>
    </row>
    <row r="147" spans="1:16" ht="24">
      <c r="A147" s="1245" t="s">
        <v>5510</v>
      </c>
      <c r="B147" s="1246" t="s">
        <v>1880</v>
      </c>
      <c r="C147" s="1246" t="s">
        <v>504</v>
      </c>
      <c r="D147" s="1200" t="s">
        <v>604</v>
      </c>
      <c r="E147" s="1247">
        <v>4000</v>
      </c>
      <c r="F147" s="1549" t="s">
        <v>6494</v>
      </c>
      <c r="G147" s="1503" t="s">
        <v>6493</v>
      </c>
      <c r="H147" s="1503" t="s">
        <v>534</v>
      </c>
      <c r="I147" s="1570" t="s">
        <v>507</v>
      </c>
      <c r="J147" s="1550" t="s">
        <v>534</v>
      </c>
      <c r="K147" s="1571">
        <v>2</v>
      </c>
      <c r="L147" s="1273">
        <v>6</v>
      </c>
      <c r="M147" s="1247">
        <v>23991.67</v>
      </c>
      <c r="N147" s="1571">
        <v>2</v>
      </c>
      <c r="O147" s="1273">
        <v>6</v>
      </c>
      <c r="P147" s="1247">
        <v>11997.915000000001</v>
      </c>
    </row>
    <row r="148" spans="1:16">
      <c r="A148" s="1245" t="s">
        <v>5510</v>
      </c>
      <c r="B148" s="1246" t="s">
        <v>1880</v>
      </c>
      <c r="C148" s="1246" t="s">
        <v>504</v>
      </c>
      <c r="D148" s="1200" t="s">
        <v>6492</v>
      </c>
      <c r="E148" s="1247">
        <v>5000</v>
      </c>
      <c r="F148" s="1549" t="s">
        <v>6491</v>
      </c>
      <c r="G148" s="1503" t="s">
        <v>6490</v>
      </c>
      <c r="H148" s="1503" t="s">
        <v>1792</v>
      </c>
      <c r="I148" s="1570" t="s">
        <v>5516</v>
      </c>
      <c r="J148" s="1550" t="s">
        <v>519</v>
      </c>
      <c r="K148" s="1571">
        <v>1</v>
      </c>
      <c r="L148" s="1273">
        <v>2</v>
      </c>
      <c r="M148" s="1247">
        <v>12333.33</v>
      </c>
      <c r="N148" s="1571">
        <v>2</v>
      </c>
      <c r="O148" s="1273">
        <v>6</v>
      </c>
      <c r="P148" s="1247">
        <v>15000</v>
      </c>
    </row>
    <row r="149" spans="1:16" ht="24">
      <c r="A149" s="1245" t="s">
        <v>5510</v>
      </c>
      <c r="B149" s="1246" t="s">
        <v>1880</v>
      </c>
      <c r="C149" s="1246" t="s">
        <v>504</v>
      </c>
      <c r="D149" s="1200" t="s">
        <v>6489</v>
      </c>
      <c r="E149" s="1247">
        <v>2000</v>
      </c>
      <c r="F149" s="1549" t="s">
        <v>6488</v>
      </c>
      <c r="G149" s="1503" t="s">
        <v>6487</v>
      </c>
      <c r="H149" s="1503" t="s">
        <v>1719</v>
      </c>
      <c r="I149" s="1570" t="s">
        <v>5506</v>
      </c>
      <c r="J149" s="1550" t="s">
        <v>5844</v>
      </c>
      <c r="K149" s="1571">
        <v>2</v>
      </c>
      <c r="L149" s="1273">
        <v>6</v>
      </c>
      <c r="M149" s="1247">
        <v>12000</v>
      </c>
      <c r="N149" s="1571">
        <v>2</v>
      </c>
      <c r="O149" s="1273">
        <v>6</v>
      </c>
      <c r="P149" s="1247">
        <v>6000</v>
      </c>
    </row>
    <row r="150" spans="1:16" ht="24">
      <c r="A150" s="1245" t="s">
        <v>5510</v>
      </c>
      <c r="B150" s="1246" t="s">
        <v>1880</v>
      </c>
      <c r="C150" s="1246" t="s">
        <v>504</v>
      </c>
      <c r="D150" s="1200" t="s">
        <v>6486</v>
      </c>
      <c r="E150" s="1247">
        <v>5000</v>
      </c>
      <c r="F150" s="1549" t="s">
        <v>6485</v>
      </c>
      <c r="G150" s="1503" t="s">
        <v>6484</v>
      </c>
      <c r="H150" s="1503" t="s">
        <v>534</v>
      </c>
      <c r="I150" s="1570" t="s">
        <v>499</v>
      </c>
      <c r="J150" s="1550" t="s">
        <v>534</v>
      </c>
      <c r="K150" s="1571">
        <v>2</v>
      </c>
      <c r="L150" s="1273">
        <v>6</v>
      </c>
      <c r="M150" s="1247">
        <v>29112.569999999996</v>
      </c>
      <c r="N150" s="1571">
        <v>2</v>
      </c>
      <c r="O150" s="1273">
        <v>6</v>
      </c>
      <c r="P150" s="1247">
        <v>14799.32</v>
      </c>
    </row>
    <row r="151" spans="1:16">
      <c r="A151" s="1245" t="s">
        <v>5510</v>
      </c>
      <c r="B151" s="1246" t="s">
        <v>1880</v>
      </c>
      <c r="C151" s="1246" t="s">
        <v>504</v>
      </c>
      <c r="D151" s="1200" t="s">
        <v>1105</v>
      </c>
      <c r="E151" s="1247">
        <v>3000</v>
      </c>
      <c r="F151" s="1549" t="s">
        <v>6483</v>
      </c>
      <c r="G151" s="1503" t="s">
        <v>6482</v>
      </c>
      <c r="H151" s="1503"/>
      <c r="I151" s="1570"/>
      <c r="J151" s="1550"/>
      <c r="K151" s="1571">
        <v>1</v>
      </c>
      <c r="L151" s="1273">
        <v>3</v>
      </c>
      <c r="M151" s="1247">
        <v>9000</v>
      </c>
      <c r="N151" s="1571">
        <v>0</v>
      </c>
      <c r="O151" s="1273">
        <v>0</v>
      </c>
      <c r="P151" s="1247">
        <v>0</v>
      </c>
    </row>
    <row r="152" spans="1:16">
      <c r="A152" s="1245" t="s">
        <v>5510</v>
      </c>
      <c r="B152" s="1246" t="s">
        <v>1880</v>
      </c>
      <c r="C152" s="1246" t="s">
        <v>504</v>
      </c>
      <c r="D152" s="1200" t="s">
        <v>4339</v>
      </c>
      <c r="E152" s="1247">
        <v>10000</v>
      </c>
      <c r="F152" s="1549" t="s">
        <v>6481</v>
      </c>
      <c r="G152" s="1503" t="s">
        <v>6480</v>
      </c>
      <c r="H152" s="1503" t="s">
        <v>534</v>
      </c>
      <c r="I152" s="1570" t="s">
        <v>5506</v>
      </c>
      <c r="J152" s="1550" t="s">
        <v>534</v>
      </c>
      <c r="K152" s="1571">
        <v>2</v>
      </c>
      <c r="L152" s="1273">
        <v>6</v>
      </c>
      <c r="M152" s="1247">
        <v>43428</v>
      </c>
      <c r="N152" s="1571">
        <v>2</v>
      </c>
      <c r="O152" s="1273">
        <v>6</v>
      </c>
      <c r="P152" s="1247">
        <v>21714</v>
      </c>
    </row>
    <row r="153" spans="1:16">
      <c r="A153" s="1245" t="s">
        <v>5510</v>
      </c>
      <c r="B153" s="1246" t="s">
        <v>1880</v>
      </c>
      <c r="C153" s="1246" t="s">
        <v>504</v>
      </c>
      <c r="D153" s="1200" t="s">
        <v>1319</v>
      </c>
      <c r="E153" s="1247">
        <v>6000</v>
      </c>
      <c r="F153" s="1549" t="s">
        <v>6479</v>
      </c>
      <c r="G153" s="1503" t="s">
        <v>6478</v>
      </c>
      <c r="H153" s="1503" t="s">
        <v>1319</v>
      </c>
      <c r="I153" s="1570" t="s">
        <v>5506</v>
      </c>
      <c r="J153" s="1550" t="s">
        <v>508</v>
      </c>
      <c r="K153" s="1571">
        <v>2</v>
      </c>
      <c r="L153" s="1273">
        <v>6</v>
      </c>
      <c r="M153" s="1247">
        <v>35788.75</v>
      </c>
      <c r="N153" s="1571">
        <v>2</v>
      </c>
      <c r="O153" s="1273">
        <v>6</v>
      </c>
      <c r="P153" s="1247">
        <v>18000</v>
      </c>
    </row>
    <row r="154" spans="1:16" ht="36">
      <c r="A154" s="1245" t="s">
        <v>5510</v>
      </c>
      <c r="B154" s="1246" t="s">
        <v>1880</v>
      </c>
      <c r="C154" s="1246" t="s">
        <v>504</v>
      </c>
      <c r="D154" s="1200" t="s">
        <v>6477</v>
      </c>
      <c r="E154" s="1247">
        <v>1200</v>
      </c>
      <c r="F154" s="1549" t="s">
        <v>6476</v>
      </c>
      <c r="G154" s="1503" t="s">
        <v>6475</v>
      </c>
      <c r="H154" s="1503" t="s">
        <v>6474</v>
      </c>
      <c r="I154" s="1570" t="s">
        <v>547</v>
      </c>
      <c r="J154" s="1550" t="s">
        <v>6474</v>
      </c>
      <c r="K154" s="1571">
        <v>1</v>
      </c>
      <c r="L154" s="1273">
        <v>3</v>
      </c>
      <c r="M154" s="1247">
        <v>3600</v>
      </c>
      <c r="N154" s="1571">
        <v>1</v>
      </c>
      <c r="O154" s="1273">
        <v>2</v>
      </c>
      <c r="P154" s="1247">
        <v>876.67000000000007</v>
      </c>
    </row>
    <row r="155" spans="1:16">
      <c r="A155" s="1245" t="s">
        <v>5510</v>
      </c>
      <c r="B155" s="1246" t="s">
        <v>1880</v>
      </c>
      <c r="C155" s="1246" t="s">
        <v>504</v>
      </c>
      <c r="D155" s="1200" t="s">
        <v>5531</v>
      </c>
      <c r="E155" s="1247">
        <v>4500</v>
      </c>
      <c r="F155" s="1549" t="s">
        <v>6473</v>
      </c>
      <c r="G155" s="1503" t="s">
        <v>6472</v>
      </c>
      <c r="H155" s="1503" t="s">
        <v>925</v>
      </c>
      <c r="I155" s="1570" t="s">
        <v>5506</v>
      </c>
      <c r="J155" s="1550" t="s">
        <v>515</v>
      </c>
      <c r="K155" s="1571">
        <v>2</v>
      </c>
      <c r="L155" s="1273">
        <v>6</v>
      </c>
      <c r="M155" s="1247">
        <v>27000</v>
      </c>
      <c r="N155" s="1571">
        <v>2</v>
      </c>
      <c r="O155" s="1273">
        <v>6</v>
      </c>
      <c r="P155" s="1247">
        <v>13500</v>
      </c>
    </row>
    <row r="156" spans="1:16">
      <c r="A156" s="1245" t="s">
        <v>5510</v>
      </c>
      <c r="B156" s="1246" t="s">
        <v>1880</v>
      </c>
      <c r="C156" s="1246" t="s">
        <v>504</v>
      </c>
      <c r="D156" s="1200" t="s">
        <v>622</v>
      </c>
      <c r="E156" s="1247">
        <v>2000</v>
      </c>
      <c r="F156" s="1549" t="s">
        <v>6471</v>
      </c>
      <c r="G156" s="1503" t="s">
        <v>6470</v>
      </c>
      <c r="H156" s="1503" t="s">
        <v>619</v>
      </c>
      <c r="I156" s="1570" t="s">
        <v>619</v>
      </c>
      <c r="J156" s="1550" t="s">
        <v>619</v>
      </c>
      <c r="K156" s="1571">
        <v>2</v>
      </c>
      <c r="L156" s="1273">
        <v>6</v>
      </c>
      <c r="M156" s="1247">
        <v>12000</v>
      </c>
      <c r="N156" s="1571">
        <v>2</v>
      </c>
      <c r="O156" s="1273">
        <v>6</v>
      </c>
      <c r="P156" s="1247">
        <v>6000</v>
      </c>
    </row>
    <row r="157" spans="1:16">
      <c r="A157" s="1245" t="s">
        <v>5510</v>
      </c>
      <c r="B157" s="1246" t="s">
        <v>1880</v>
      </c>
      <c r="C157" s="1246" t="s">
        <v>504</v>
      </c>
      <c r="D157" s="1200" t="s">
        <v>5594</v>
      </c>
      <c r="E157" s="1247">
        <v>4500</v>
      </c>
      <c r="F157" s="1549" t="s">
        <v>6469</v>
      </c>
      <c r="G157" s="1503" t="s">
        <v>6468</v>
      </c>
      <c r="H157" s="1503" t="s">
        <v>1842</v>
      </c>
      <c r="I157" s="1570" t="s">
        <v>5506</v>
      </c>
      <c r="J157" s="1550" t="s">
        <v>526</v>
      </c>
      <c r="K157" s="1571">
        <v>2</v>
      </c>
      <c r="L157" s="1273">
        <v>6</v>
      </c>
      <c r="M157" s="1247">
        <v>27000</v>
      </c>
      <c r="N157" s="1571">
        <v>2</v>
      </c>
      <c r="O157" s="1273">
        <v>6</v>
      </c>
      <c r="P157" s="1247">
        <v>13500</v>
      </c>
    </row>
    <row r="158" spans="1:16">
      <c r="A158" s="1245" t="s">
        <v>5510</v>
      </c>
      <c r="B158" s="1246" t="s">
        <v>1880</v>
      </c>
      <c r="C158" s="1246" t="s">
        <v>504</v>
      </c>
      <c r="D158" s="1200" t="s">
        <v>1105</v>
      </c>
      <c r="E158" s="1247">
        <v>850</v>
      </c>
      <c r="F158" s="1549" t="s">
        <v>6467</v>
      </c>
      <c r="G158" s="1503" t="s">
        <v>6466</v>
      </c>
      <c r="H158" s="1503" t="s">
        <v>619</v>
      </c>
      <c r="I158" s="1570" t="s">
        <v>619</v>
      </c>
      <c r="J158" s="1550" t="s">
        <v>619</v>
      </c>
      <c r="K158" s="1571">
        <v>2</v>
      </c>
      <c r="L158" s="1273">
        <v>6</v>
      </c>
      <c r="M158" s="1247">
        <v>5099.3500000000004</v>
      </c>
      <c r="N158" s="1571">
        <v>2</v>
      </c>
      <c r="O158" s="1273">
        <v>6</v>
      </c>
      <c r="P158" s="1247">
        <v>2549.645</v>
      </c>
    </row>
    <row r="159" spans="1:16" ht="24">
      <c r="A159" s="1245" t="s">
        <v>5510</v>
      </c>
      <c r="B159" s="1246" t="s">
        <v>1880</v>
      </c>
      <c r="C159" s="1246" t="s">
        <v>504</v>
      </c>
      <c r="D159" s="1200" t="s">
        <v>5584</v>
      </c>
      <c r="E159" s="1247">
        <v>10000</v>
      </c>
      <c r="F159" s="1549" t="s">
        <v>6465</v>
      </c>
      <c r="G159" s="1503" t="s">
        <v>6464</v>
      </c>
      <c r="H159" s="1503" t="s">
        <v>534</v>
      </c>
      <c r="I159" s="1570" t="s">
        <v>5506</v>
      </c>
      <c r="J159" s="1550" t="s">
        <v>5734</v>
      </c>
      <c r="K159" s="1571">
        <v>2</v>
      </c>
      <c r="L159" s="1273">
        <v>6</v>
      </c>
      <c r="M159" s="1247">
        <v>52140</v>
      </c>
      <c r="N159" s="1571">
        <v>2</v>
      </c>
      <c r="O159" s="1273">
        <v>6</v>
      </c>
      <c r="P159" s="1247">
        <v>26070</v>
      </c>
    </row>
    <row r="160" spans="1:16" ht="24">
      <c r="A160" s="1245" t="s">
        <v>5510</v>
      </c>
      <c r="B160" s="1246" t="s">
        <v>1880</v>
      </c>
      <c r="C160" s="1246" t="s">
        <v>504</v>
      </c>
      <c r="D160" s="1200" t="s">
        <v>6463</v>
      </c>
      <c r="E160" s="1247">
        <v>4500</v>
      </c>
      <c r="F160" s="1549" t="s">
        <v>6462</v>
      </c>
      <c r="G160" s="1503" t="s">
        <v>6461</v>
      </c>
      <c r="H160" s="1503" t="s">
        <v>6460</v>
      </c>
      <c r="I160" s="1570" t="s">
        <v>5506</v>
      </c>
      <c r="J160" s="1550" t="s">
        <v>6460</v>
      </c>
      <c r="K160" s="1571">
        <v>2</v>
      </c>
      <c r="L160" s="1273">
        <v>6</v>
      </c>
      <c r="M160" s="1247">
        <v>25785.920000000002</v>
      </c>
      <c r="N160" s="1571">
        <v>0</v>
      </c>
      <c r="O160" s="1273">
        <v>0</v>
      </c>
      <c r="P160" s="1247">
        <v>0</v>
      </c>
    </row>
    <row r="161" spans="1:16">
      <c r="A161" s="1245" t="s">
        <v>5510</v>
      </c>
      <c r="B161" s="1246" t="s">
        <v>1880</v>
      </c>
      <c r="C161" s="1246" t="s">
        <v>504</v>
      </c>
      <c r="D161" s="1200" t="s">
        <v>1688</v>
      </c>
      <c r="E161" s="1247">
        <v>3000</v>
      </c>
      <c r="F161" s="1549" t="s">
        <v>6459</v>
      </c>
      <c r="G161" s="1503" t="s">
        <v>6458</v>
      </c>
      <c r="H161" s="1503" t="s">
        <v>619</v>
      </c>
      <c r="I161" s="1570" t="s">
        <v>619</v>
      </c>
      <c r="J161" s="1550" t="s">
        <v>619</v>
      </c>
      <c r="K161" s="1571">
        <v>2</v>
      </c>
      <c r="L161" s="1273">
        <v>6</v>
      </c>
      <c r="M161" s="1247">
        <v>17962.93</v>
      </c>
      <c r="N161" s="1571">
        <v>2</v>
      </c>
      <c r="O161" s="1273">
        <v>6</v>
      </c>
      <c r="P161" s="1247">
        <v>8997.2900000000009</v>
      </c>
    </row>
    <row r="162" spans="1:16" ht="24">
      <c r="A162" s="1245" t="s">
        <v>5510</v>
      </c>
      <c r="B162" s="1246" t="s">
        <v>1880</v>
      </c>
      <c r="C162" s="1246" t="s">
        <v>504</v>
      </c>
      <c r="D162" s="1200" t="s">
        <v>6457</v>
      </c>
      <c r="E162" s="1247">
        <v>6200</v>
      </c>
      <c r="F162" s="1549" t="s">
        <v>6456</v>
      </c>
      <c r="G162" s="1503" t="s">
        <v>6455</v>
      </c>
      <c r="H162" s="1503" t="s">
        <v>1842</v>
      </c>
      <c r="I162" s="1570" t="s">
        <v>5516</v>
      </c>
      <c r="J162" s="1550" t="s">
        <v>1842</v>
      </c>
      <c r="K162" s="1571">
        <v>1</v>
      </c>
      <c r="L162" s="1273">
        <v>1</v>
      </c>
      <c r="M162" s="1247">
        <v>2480</v>
      </c>
      <c r="N162" s="1571">
        <v>0</v>
      </c>
      <c r="O162" s="1273">
        <v>0</v>
      </c>
      <c r="P162" s="1247">
        <v>0</v>
      </c>
    </row>
    <row r="163" spans="1:16" ht="24">
      <c r="A163" s="1245" t="s">
        <v>5510</v>
      </c>
      <c r="B163" s="1246" t="s">
        <v>1880</v>
      </c>
      <c r="C163" s="1246" t="s">
        <v>504</v>
      </c>
      <c r="D163" s="1200" t="s">
        <v>622</v>
      </c>
      <c r="E163" s="1247">
        <v>2000</v>
      </c>
      <c r="F163" s="1549" t="s">
        <v>6454</v>
      </c>
      <c r="G163" s="1503" t="s">
        <v>6453</v>
      </c>
      <c r="H163" s="1503" t="s">
        <v>5299</v>
      </c>
      <c r="I163" s="1570" t="s">
        <v>547</v>
      </c>
      <c r="J163" s="1550" t="s">
        <v>5299</v>
      </c>
      <c r="K163" s="1571">
        <v>2</v>
      </c>
      <c r="L163" s="1273">
        <v>6</v>
      </c>
      <c r="M163" s="1247">
        <v>12000</v>
      </c>
      <c r="N163" s="1571">
        <v>2</v>
      </c>
      <c r="O163" s="1273">
        <v>6</v>
      </c>
      <c r="P163" s="1247">
        <v>6000</v>
      </c>
    </row>
    <row r="164" spans="1:16" ht="24">
      <c r="A164" s="1245" t="s">
        <v>5510</v>
      </c>
      <c r="B164" s="1246" t="s">
        <v>1880</v>
      </c>
      <c r="C164" s="1246" t="s">
        <v>504</v>
      </c>
      <c r="D164" s="1200" t="s">
        <v>6452</v>
      </c>
      <c r="E164" s="1247">
        <v>4500</v>
      </c>
      <c r="F164" s="1549" t="s">
        <v>6451</v>
      </c>
      <c r="G164" s="1503" t="s">
        <v>6450</v>
      </c>
      <c r="H164" s="1503" t="s">
        <v>5926</v>
      </c>
      <c r="I164" s="1570" t="s">
        <v>5506</v>
      </c>
      <c r="J164" s="1550" t="s">
        <v>530</v>
      </c>
      <c r="K164" s="1571">
        <v>2</v>
      </c>
      <c r="L164" s="1273">
        <v>6</v>
      </c>
      <c r="M164" s="1247">
        <v>27000</v>
      </c>
      <c r="N164" s="1571">
        <v>2</v>
      </c>
      <c r="O164" s="1273">
        <v>6</v>
      </c>
      <c r="P164" s="1247">
        <v>13500</v>
      </c>
    </row>
    <row r="165" spans="1:16" ht="24">
      <c r="A165" s="1245" t="s">
        <v>5510</v>
      </c>
      <c r="B165" s="1246" t="s">
        <v>1880</v>
      </c>
      <c r="C165" s="1246" t="s">
        <v>504</v>
      </c>
      <c r="D165" s="1200" t="s">
        <v>1688</v>
      </c>
      <c r="E165" s="1247">
        <v>3000</v>
      </c>
      <c r="F165" s="1549" t="s">
        <v>6449</v>
      </c>
      <c r="G165" s="1503" t="s">
        <v>6448</v>
      </c>
      <c r="H165" s="1503" t="s">
        <v>6447</v>
      </c>
      <c r="I165" s="1570" t="s">
        <v>5525</v>
      </c>
      <c r="J165" s="1550" t="s">
        <v>5199</v>
      </c>
      <c r="K165" s="1571">
        <v>2</v>
      </c>
      <c r="L165" s="1273">
        <v>6</v>
      </c>
      <c r="M165" s="1247">
        <v>17991.46</v>
      </c>
      <c r="N165" s="1571">
        <v>2</v>
      </c>
      <c r="O165" s="1273">
        <v>6</v>
      </c>
      <c r="P165" s="1247">
        <v>9000</v>
      </c>
    </row>
    <row r="166" spans="1:16" ht="36">
      <c r="A166" s="1245" t="s">
        <v>5510</v>
      </c>
      <c r="B166" s="1246" t="s">
        <v>1880</v>
      </c>
      <c r="C166" s="1246" t="s">
        <v>504</v>
      </c>
      <c r="D166" s="1200" t="s">
        <v>6446</v>
      </c>
      <c r="E166" s="1247">
        <v>8000</v>
      </c>
      <c r="F166" s="1549" t="s">
        <v>6445</v>
      </c>
      <c r="G166" s="1503" t="s">
        <v>6444</v>
      </c>
      <c r="H166" s="1503" t="s">
        <v>6443</v>
      </c>
      <c r="I166" s="1570" t="s">
        <v>5506</v>
      </c>
      <c r="J166" s="1550" t="s">
        <v>6443</v>
      </c>
      <c r="K166" s="1571">
        <v>2</v>
      </c>
      <c r="L166" s="1273">
        <v>6</v>
      </c>
      <c r="M166" s="1247">
        <v>48000</v>
      </c>
      <c r="N166" s="1571">
        <v>2</v>
      </c>
      <c r="O166" s="1273">
        <v>6</v>
      </c>
      <c r="P166" s="1247">
        <v>24000</v>
      </c>
    </row>
    <row r="167" spans="1:16" ht="24">
      <c r="A167" s="1245" t="s">
        <v>5510</v>
      </c>
      <c r="B167" s="1246" t="s">
        <v>1880</v>
      </c>
      <c r="C167" s="1246" t="s">
        <v>504</v>
      </c>
      <c r="D167" s="1200" t="s">
        <v>6442</v>
      </c>
      <c r="E167" s="1247">
        <v>5500</v>
      </c>
      <c r="F167" s="1549" t="s">
        <v>6441</v>
      </c>
      <c r="G167" s="1503" t="s">
        <v>6440</v>
      </c>
      <c r="H167" s="1503" t="s">
        <v>5029</v>
      </c>
      <c r="I167" s="1570" t="s">
        <v>499</v>
      </c>
      <c r="J167" s="1550" t="s">
        <v>5029</v>
      </c>
      <c r="K167" s="1571">
        <v>2</v>
      </c>
      <c r="L167" s="1273">
        <v>6</v>
      </c>
      <c r="M167" s="1247">
        <v>32540.58</v>
      </c>
      <c r="N167" s="1571">
        <v>2</v>
      </c>
      <c r="O167" s="1273">
        <v>6</v>
      </c>
      <c r="P167" s="1247">
        <v>16251.184999999999</v>
      </c>
    </row>
    <row r="168" spans="1:16" ht="36">
      <c r="A168" s="1245" t="s">
        <v>5510</v>
      </c>
      <c r="B168" s="1246" t="s">
        <v>1880</v>
      </c>
      <c r="C168" s="1246" t="s">
        <v>504</v>
      </c>
      <c r="D168" s="1200" t="s">
        <v>6439</v>
      </c>
      <c r="E168" s="1247">
        <v>7000</v>
      </c>
      <c r="F168" s="1549" t="s">
        <v>6438</v>
      </c>
      <c r="G168" s="1503" t="s">
        <v>6437</v>
      </c>
      <c r="H168" s="1503" t="s">
        <v>1779</v>
      </c>
      <c r="I168" s="1570" t="s">
        <v>5525</v>
      </c>
      <c r="J168" s="1550" t="s">
        <v>590</v>
      </c>
      <c r="K168" s="1571">
        <v>2</v>
      </c>
      <c r="L168" s="1273">
        <v>4</v>
      </c>
      <c r="M168" s="1247">
        <v>25184.93</v>
      </c>
      <c r="N168" s="1571">
        <v>2</v>
      </c>
      <c r="O168" s="1273">
        <v>6</v>
      </c>
      <c r="P168" s="1247">
        <v>20933.644999999997</v>
      </c>
    </row>
    <row r="169" spans="1:16">
      <c r="A169" s="1245" t="s">
        <v>5510</v>
      </c>
      <c r="B169" s="1246" t="s">
        <v>1880</v>
      </c>
      <c r="C169" s="1246" t="s">
        <v>504</v>
      </c>
      <c r="D169" s="1200" t="s">
        <v>5594</v>
      </c>
      <c r="E169" s="1247">
        <v>4500</v>
      </c>
      <c r="F169" s="1549" t="s">
        <v>6436</v>
      </c>
      <c r="G169" s="1503" t="s">
        <v>6435</v>
      </c>
      <c r="H169" s="1503" t="s">
        <v>5926</v>
      </c>
      <c r="I169" s="1570" t="s">
        <v>5506</v>
      </c>
      <c r="J169" s="1550" t="s">
        <v>530</v>
      </c>
      <c r="K169" s="1571">
        <v>2</v>
      </c>
      <c r="L169" s="1273">
        <v>6</v>
      </c>
      <c r="M169" s="1247">
        <v>27000</v>
      </c>
      <c r="N169" s="1571">
        <v>2</v>
      </c>
      <c r="O169" s="1273">
        <v>6</v>
      </c>
      <c r="P169" s="1247">
        <v>13500</v>
      </c>
    </row>
    <row r="170" spans="1:16" ht="48">
      <c r="A170" s="1245" t="s">
        <v>5510</v>
      </c>
      <c r="B170" s="1246" t="s">
        <v>1880</v>
      </c>
      <c r="C170" s="1246" t="s">
        <v>504</v>
      </c>
      <c r="D170" s="1200" t="s">
        <v>6434</v>
      </c>
      <c r="E170" s="1247">
        <v>9000</v>
      </c>
      <c r="F170" s="1549" t="s">
        <v>6433</v>
      </c>
      <c r="G170" s="1503" t="s">
        <v>6432</v>
      </c>
      <c r="H170" s="1503" t="s">
        <v>6431</v>
      </c>
      <c r="I170" s="1570" t="s">
        <v>5506</v>
      </c>
      <c r="J170" s="1550" t="s">
        <v>2454</v>
      </c>
      <c r="K170" s="1571">
        <v>2</v>
      </c>
      <c r="L170" s="1273">
        <v>6</v>
      </c>
      <c r="M170" s="1247">
        <v>25785.920000000002</v>
      </c>
      <c r="N170" s="1571">
        <v>0</v>
      </c>
      <c r="O170" s="1273">
        <v>0</v>
      </c>
      <c r="P170" s="1247">
        <v>0</v>
      </c>
    </row>
    <row r="171" spans="1:16" ht="24">
      <c r="A171" s="1245" t="s">
        <v>5510</v>
      </c>
      <c r="B171" s="1246" t="s">
        <v>1880</v>
      </c>
      <c r="C171" s="1246" t="s">
        <v>504</v>
      </c>
      <c r="D171" s="1200" t="s">
        <v>5753</v>
      </c>
      <c r="E171" s="1247">
        <v>3500</v>
      </c>
      <c r="F171" s="1549" t="s">
        <v>6430</v>
      </c>
      <c r="G171" s="1503" t="s">
        <v>6429</v>
      </c>
      <c r="H171" s="1503" t="s">
        <v>1319</v>
      </c>
      <c r="I171" s="1570" t="s">
        <v>5516</v>
      </c>
      <c r="J171" s="1550" t="s">
        <v>5549</v>
      </c>
      <c r="K171" s="1571">
        <v>1</v>
      </c>
      <c r="L171" s="1273">
        <v>1</v>
      </c>
      <c r="M171" s="1247">
        <v>3383.33</v>
      </c>
      <c r="N171" s="1571">
        <v>0</v>
      </c>
      <c r="O171" s="1273">
        <v>0</v>
      </c>
      <c r="P171" s="1247">
        <v>0</v>
      </c>
    </row>
    <row r="172" spans="1:16" ht="24">
      <c r="A172" s="1245" t="s">
        <v>5510</v>
      </c>
      <c r="B172" s="1246" t="s">
        <v>1880</v>
      </c>
      <c r="C172" s="1246" t="s">
        <v>504</v>
      </c>
      <c r="D172" s="1200" t="s">
        <v>6428</v>
      </c>
      <c r="E172" s="1247">
        <v>4500</v>
      </c>
      <c r="F172" s="1549" t="s">
        <v>6427</v>
      </c>
      <c r="G172" s="1503" t="s">
        <v>6426</v>
      </c>
      <c r="H172" s="1503" t="s">
        <v>888</v>
      </c>
      <c r="I172" s="1570" t="s">
        <v>573</v>
      </c>
      <c r="J172" s="1550" t="s">
        <v>888</v>
      </c>
      <c r="K172" s="1571">
        <v>2</v>
      </c>
      <c r="L172" s="1273">
        <v>6</v>
      </c>
      <c r="M172" s="1247">
        <v>25320.620000000003</v>
      </c>
      <c r="N172" s="1571">
        <v>2</v>
      </c>
      <c r="O172" s="1273">
        <v>5</v>
      </c>
      <c r="P172" s="1247">
        <v>0</v>
      </c>
    </row>
    <row r="173" spans="1:16" ht="24">
      <c r="A173" s="1245" t="s">
        <v>5510</v>
      </c>
      <c r="B173" s="1246" t="s">
        <v>1880</v>
      </c>
      <c r="C173" s="1246" t="s">
        <v>504</v>
      </c>
      <c r="D173" s="1200" t="s">
        <v>5772</v>
      </c>
      <c r="E173" s="1247">
        <v>4000</v>
      </c>
      <c r="F173" s="1549" t="s">
        <v>6425</v>
      </c>
      <c r="G173" s="1503" t="s">
        <v>6424</v>
      </c>
      <c r="H173" s="1503" t="s">
        <v>1788</v>
      </c>
      <c r="I173" s="1570" t="s">
        <v>5506</v>
      </c>
      <c r="J173" s="1550" t="s">
        <v>519</v>
      </c>
      <c r="K173" s="1571">
        <v>2</v>
      </c>
      <c r="L173" s="1273">
        <v>6</v>
      </c>
      <c r="M173" s="1247">
        <v>23733.339999999997</v>
      </c>
      <c r="N173" s="1571">
        <v>2</v>
      </c>
      <c r="O173" s="1273">
        <v>6</v>
      </c>
      <c r="P173" s="1247">
        <v>11929.17</v>
      </c>
    </row>
    <row r="174" spans="1:16">
      <c r="A174" s="1245" t="s">
        <v>5510</v>
      </c>
      <c r="B174" s="1246" t="s">
        <v>1880</v>
      </c>
      <c r="C174" s="1246" t="s">
        <v>504</v>
      </c>
      <c r="D174" s="1200" t="s">
        <v>511</v>
      </c>
      <c r="E174" s="1247">
        <v>6000</v>
      </c>
      <c r="F174" s="1549" t="s">
        <v>6423</v>
      </c>
      <c r="G174" s="1503" t="s">
        <v>6422</v>
      </c>
      <c r="H174" s="1503" t="s">
        <v>511</v>
      </c>
      <c r="I174" s="1570" t="s">
        <v>5506</v>
      </c>
      <c r="J174" s="1550" t="s">
        <v>508</v>
      </c>
      <c r="K174" s="1571">
        <v>2</v>
      </c>
      <c r="L174" s="1273">
        <v>6</v>
      </c>
      <c r="M174" s="1247">
        <v>35973.33</v>
      </c>
      <c r="N174" s="1571">
        <v>2</v>
      </c>
      <c r="O174" s="1273">
        <v>6</v>
      </c>
      <c r="P174" s="1247">
        <v>18000</v>
      </c>
    </row>
    <row r="175" spans="1:16" ht="36">
      <c r="A175" s="1245" t="s">
        <v>5510</v>
      </c>
      <c r="B175" s="1246" t="s">
        <v>1880</v>
      </c>
      <c r="C175" s="1246" t="s">
        <v>504</v>
      </c>
      <c r="D175" s="1200" t="s">
        <v>6421</v>
      </c>
      <c r="E175" s="1247">
        <v>5000</v>
      </c>
      <c r="F175" s="1549" t="s">
        <v>6420</v>
      </c>
      <c r="G175" s="1503" t="s">
        <v>6419</v>
      </c>
      <c r="H175" s="1503" t="s">
        <v>6418</v>
      </c>
      <c r="I175" s="1570" t="s">
        <v>5506</v>
      </c>
      <c r="J175" s="1550" t="s">
        <v>5429</v>
      </c>
      <c r="K175" s="1571">
        <v>2</v>
      </c>
      <c r="L175" s="1273">
        <v>6</v>
      </c>
      <c r="M175" s="1247">
        <v>29937.5</v>
      </c>
      <c r="N175" s="1571">
        <v>1</v>
      </c>
      <c r="O175" s="1273">
        <v>2</v>
      </c>
      <c r="P175" s="1247">
        <v>4913.7150000000001</v>
      </c>
    </row>
    <row r="176" spans="1:16" ht="36">
      <c r="A176" s="1245" t="s">
        <v>5510</v>
      </c>
      <c r="B176" s="1246" t="s">
        <v>1880</v>
      </c>
      <c r="C176" s="1246" t="s">
        <v>504</v>
      </c>
      <c r="D176" s="1200" t="s">
        <v>5950</v>
      </c>
      <c r="E176" s="1247">
        <v>4500</v>
      </c>
      <c r="F176" s="1549" t="s">
        <v>6417</v>
      </c>
      <c r="G176" s="1503" t="s">
        <v>6416</v>
      </c>
      <c r="H176" s="1503" t="s">
        <v>759</v>
      </c>
      <c r="I176" s="1570" t="s">
        <v>5506</v>
      </c>
      <c r="J176" s="1550" t="s">
        <v>759</v>
      </c>
      <c r="K176" s="1571">
        <v>2</v>
      </c>
      <c r="L176" s="1273">
        <v>6</v>
      </c>
      <c r="M176" s="1247">
        <v>26996.25</v>
      </c>
      <c r="N176" s="1571">
        <v>2</v>
      </c>
      <c r="O176" s="1273">
        <v>6</v>
      </c>
      <c r="P176" s="1247">
        <v>13499.22</v>
      </c>
    </row>
    <row r="177" spans="1:16" ht="24">
      <c r="A177" s="1245" t="s">
        <v>5510</v>
      </c>
      <c r="B177" s="1246" t="s">
        <v>1880</v>
      </c>
      <c r="C177" s="1246" t="s">
        <v>504</v>
      </c>
      <c r="D177" s="1200" t="s">
        <v>6415</v>
      </c>
      <c r="E177" s="1247">
        <v>4000</v>
      </c>
      <c r="F177" s="1549" t="s">
        <v>6414</v>
      </c>
      <c r="G177" s="1503" t="s">
        <v>6413</v>
      </c>
      <c r="H177" s="1503" t="s">
        <v>3578</v>
      </c>
      <c r="I177" s="1570" t="s">
        <v>547</v>
      </c>
      <c r="J177" s="1550" t="s">
        <v>6412</v>
      </c>
      <c r="K177" s="1571">
        <v>2</v>
      </c>
      <c r="L177" s="1273">
        <v>6</v>
      </c>
      <c r="M177" s="1247">
        <v>35737.479999999996</v>
      </c>
      <c r="N177" s="1571">
        <v>0</v>
      </c>
      <c r="O177" s="1273">
        <v>0</v>
      </c>
      <c r="P177" s="1247">
        <v>0</v>
      </c>
    </row>
    <row r="178" spans="1:16" ht="24">
      <c r="A178" s="1245" t="s">
        <v>5510</v>
      </c>
      <c r="B178" s="1246" t="s">
        <v>1880</v>
      </c>
      <c r="C178" s="1246" t="s">
        <v>504</v>
      </c>
      <c r="D178" s="1200" t="s">
        <v>604</v>
      </c>
      <c r="E178" s="1247">
        <v>4500</v>
      </c>
      <c r="F178" s="1549" t="s">
        <v>6410</v>
      </c>
      <c r="G178" s="1503" t="s">
        <v>6411</v>
      </c>
      <c r="H178" s="1503" t="s">
        <v>503</v>
      </c>
      <c r="I178" s="1570" t="s">
        <v>573</v>
      </c>
      <c r="J178" s="1550" t="s">
        <v>500</v>
      </c>
      <c r="K178" s="1571">
        <v>2</v>
      </c>
      <c r="L178" s="1273">
        <v>4</v>
      </c>
      <c r="M178" s="1247">
        <v>16638.760000000002</v>
      </c>
      <c r="N178" s="1571">
        <v>2</v>
      </c>
      <c r="O178" s="1273">
        <v>6</v>
      </c>
      <c r="P178" s="1247">
        <v>13495.779999999999</v>
      </c>
    </row>
    <row r="179" spans="1:16" ht="24">
      <c r="A179" s="1245" t="s">
        <v>5510</v>
      </c>
      <c r="B179" s="1246" t="s">
        <v>1880</v>
      </c>
      <c r="C179" s="1246" t="s">
        <v>504</v>
      </c>
      <c r="D179" s="1200" t="s">
        <v>1784</v>
      </c>
      <c r="E179" s="1247">
        <v>3500</v>
      </c>
      <c r="F179" s="1549" t="s">
        <v>6410</v>
      </c>
      <c r="G179" s="1503" t="s">
        <v>6409</v>
      </c>
      <c r="H179" s="1503" t="s">
        <v>500</v>
      </c>
      <c r="I179" s="1570" t="s">
        <v>5506</v>
      </c>
      <c r="J179" s="1550" t="s">
        <v>500</v>
      </c>
      <c r="K179" s="1571">
        <v>2</v>
      </c>
      <c r="L179" s="1273">
        <v>6</v>
      </c>
      <c r="M179" s="1247">
        <v>21538.760000000002</v>
      </c>
      <c r="N179" s="1571">
        <v>2</v>
      </c>
      <c r="O179" s="1273">
        <v>6</v>
      </c>
      <c r="P179" s="1247">
        <v>13495.779999999999</v>
      </c>
    </row>
    <row r="180" spans="1:16" ht="24">
      <c r="A180" s="1245" t="s">
        <v>5510</v>
      </c>
      <c r="B180" s="1246" t="s">
        <v>1880</v>
      </c>
      <c r="C180" s="1246" t="s">
        <v>504</v>
      </c>
      <c r="D180" s="1200" t="s">
        <v>6408</v>
      </c>
      <c r="E180" s="1247">
        <v>4500</v>
      </c>
      <c r="F180" s="1549" t="s">
        <v>6407</v>
      </c>
      <c r="G180" s="1503" t="s">
        <v>6406</v>
      </c>
      <c r="H180" s="1503" t="s">
        <v>511</v>
      </c>
      <c r="I180" s="1570" t="s">
        <v>5506</v>
      </c>
      <c r="J180" s="1550" t="s">
        <v>508</v>
      </c>
      <c r="K180" s="1571">
        <v>2</v>
      </c>
      <c r="L180" s="1273">
        <v>6</v>
      </c>
      <c r="M180" s="1247">
        <v>27000</v>
      </c>
      <c r="N180" s="1571">
        <v>0</v>
      </c>
      <c r="O180" s="1273">
        <v>0</v>
      </c>
      <c r="P180" s="1247">
        <v>0</v>
      </c>
    </row>
    <row r="181" spans="1:16" ht="24">
      <c r="A181" s="1245" t="s">
        <v>5510</v>
      </c>
      <c r="B181" s="1246" t="s">
        <v>1880</v>
      </c>
      <c r="C181" s="1246" t="s">
        <v>504</v>
      </c>
      <c r="D181" s="1200" t="s">
        <v>6405</v>
      </c>
      <c r="E181" s="1247">
        <v>4500</v>
      </c>
      <c r="F181" s="1549" t="s">
        <v>6404</v>
      </c>
      <c r="G181" s="1503" t="s">
        <v>6403</v>
      </c>
      <c r="H181" s="1503" t="s">
        <v>515</v>
      </c>
      <c r="I181" s="1570" t="s">
        <v>5506</v>
      </c>
      <c r="J181" s="1550" t="s">
        <v>515</v>
      </c>
      <c r="K181" s="1571">
        <v>2</v>
      </c>
      <c r="L181" s="1273">
        <v>6</v>
      </c>
      <c r="M181" s="1247">
        <v>27000</v>
      </c>
      <c r="N181" s="1571">
        <v>2</v>
      </c>
      <c r="O181" s="1273">
        <v>6</v>
      </c>
      <c r="P181" s="1247">
        <v>13491.56</v>
      </c>
    </row>
    <row r="182" spans="1:16">
      <c r="A182" s="1245" t="s">
        <v>5510</v>
      </c>
      <c r="B182" s="1246" t="s">
        <v>1880</v>
      </c>
      <c r="C182" s="1246" t="s">
        <v>504</v>
      </c>
      <c r="D182" s="1200" t="s">
        <v>5531</v>
      </c>
      <c r="E182" s="1247">
        <v>4000</v>
      </c>
      <c r="F182" s="1549" t="s">
        <v>6402</v>
      </c>
      <c r="G182" s="1503" t="s">
        <v>6401</v>
      </c>
      <c r="H182" s="1503" t="s">
        <v>1842</v>
      </c>
      <c r="I182" s="1570" t="s">
        <v>5506</v>
      </c>
      <c r="J182" s="1550" t="s">
        <v>526</v>
      </c>
      <c r="K182" s="1571">
        <v>2</v>
      </c>
      <c r="L182" s="1273">
        <v>6</v>
      </c>
      <c r="M182" s="1247">
        <v>24000</v>
      </c>
      <c r="N182" s="1571">
        <v>2</v>
      </c>
      <c r="O182" s="1273">
        <v>6</v>
      </c>
      <c r="P182" s="1247">
        <v>12000</v>
      </c>
    </row>
    <row r="183" spans="1:16" ht="24">
      <c r="A183" s="1245" t="s">
        <v>5510</v>
      </c>
      <c r="B183" s="1246" t="s">
        <v>1880</v>
      </c>
      <c r="C183" s="1246" t="s">
        <v>504</v>
      </c>
      <c r="D183" s="1200" t="s">
        <v>604</v>
      </c>
      <c r="E183" s="1247">
        <v>1800</v>
      </c>
      <c r="F183" s="1549" t="s">
        <v>6400</v>
      </c>
      <c r="G183" s="1503" t="s">
        <v>6399</v>
      </c>
      <c r="H183" s="1503" t="s">
        <v>500</v>
      </c>
      <c r="I183" s="1570" t="s">
        <v>573</v>
      </c>
      <c r="J183" s="1550" t="s">
        <v>500</v>
      </c>
      <c r="K183" s="1571">
        <v>1</v>
      </c>
      <c r="L183" s="1273">
        <v>2</v>
      </c>
      <c r="M183" s="1247">
        <v>2880</v>
      </c>
      <c r="N183" s="1571">
        <v>0</v>
      </c>
      <c r="O183" s="1273">
        <v>0</v>
      </c>
      <c r="P183" s="1247">
        <v>0</v>
      </c>
    </row>
    <row r="184" spans="1:16" ht="36">
      <c r="A184" s="1245" t="s">
        <v>5510</v>
      </c>
      <c r="B184" s="1246" t="s">
        <v>1880</v>
      </c>
      <c r="C184" s="1246" t="s">
        <v>504</v>
      </c>
      <c r="D184" s="1200" t="s">
        <v>6398</v>
      </c>
      <c r="E184" s="1247">
        <v>6000</v>
      </c>
      <c r="F184" s="1549" t="s">
        <v>6397</v>
      </c>
      <c r="G184" s="1503" t="s">
        <v>6396</v>
      </c>
      <c r="H184" s="1503" t="s">
        <v>534</v>
      </c>
      <c r="I184" s="1570" t="s">
        <v>5516</v>
      </c>
      <c r="J184" s="1550" t="s">
        <v>534</v>
      </c>
      <c r="K184" s="1571">
        <v>1</v>
      </c>
      <c r="L184" s="1273">
        <v>2</v>
      </c>
      <c r="M184" s="1247">
        <v>10800</v>
      </c>
      <c r="N184" s="1571">
        <v>2</v>
      </c>
      <c r="O184" s="1273">
        <v>6</v>
      </c>
      <c r="P184" s="1247">
        <v>18000</v>
      </c>
    </row>
    <row r="185" spans="1:16" ht="48">
      <c r="A185" s="1245" t="s">
        <v>5510</v>
      </c>
      <c r="B185" s="1246" t="s">
        <v>1880</v>
      </c>
      <c r="C185" s="1246" t="s">
        <v>504</v>
      </c>
      <c r="D185" s="1200" t="s">
        <v>5594</v>
      </c>
      <c r="E185" s="1247">
        <v>3000</v>
      </c>
      <c r="F185" s="1549" t="s">
        <v>6395</v>
      </c>
      <c r="G185" s="1503" t="s">
        <v>6394</v>
      </c>
      <c r="H185" s="1503" t="s">
        <v>5767</v>
      </c>
      <c r="I185" s="1570" t="s">
        <v>507</v>
      </c>
      <c r="J185" s="1550" t="s">
        <v>6393</v>
      </c>
      <c r="K185" s="1571">
        <v>2</v>
      </c>
      <c r="L185" s="1273">
        <v>6</v>
      </c>
      <c r="M185" s="1247">
        <v>17800</v>
      </c>
      <c r="N185" s="1571">
        <v>2</v>
      </c>
      <c r="O185" s="1273">
        <v>6</v>
      </c>
      <c r="P185" s="1247">
        <v>8900</v>
      </c>
    </row>
    <row r="186" spans="1:16" ht="36">
      <c r="A186" s="1245" t="s">
        <v>5510</v>
      </c>
      <c r="B186" s="1246" t="s">
        <v>1880</v>
      </c>
      <c r="C186" s="1246" t="s">
        <v>504</v>
      </c>
      <c r="D186" s="1200" t="s">
        <v>6392</v>
      </c>
      <c r="E186" s="1247">
        <v>5000</v>
      </c>
      <c r="F186" s="1549" t="s">
        <v>6391</v>
      </c>
      <c r="G186" s="1503" t="s">
        <v>6390</v>
      </c>
      <c r="H186" s="1503" t="s">
        <v>925</v>
      </c>
      <c r="I186" s="1570" t="s">
        <v>5516</v>
      </c>
      <c r="J186" s="1550" t="s">
        <v>515</v>
      </c>
      <c r="K186" s="1571">
        <v>2</v>
      </c>
      <c r="L186" s="1273">
        <v>4</v>
      </c>
      <c r="M186" s="1247">
        <v>19666.669999999998</v>
      </c>
      <c r="N186" s="1571">
        <v>2</v>
      </c>
      <c r="O186" s="1273">
        <v>6</v>
      </c>
      <c r="P186" s="1247">
        <v>14894.79</v>
      </c>
    </row>
    <row r="187" spans="1:16" ht="36">
      <c r="A187" s="1245" t="s">
        <v>5510</v>
      </c>
      <c r="B187" s="1246" t="s">
        <v>1880</v>
      </c>
      <c r="C187" s="1246" t="s">
        <v>504</v>
      </c>
      <c r="D187" s="1200" t="s">
        <v>6389</v>
      </c>
      <c r="E187" s="1247">
        <v>9000</v>
      </c>
      <c r="F187" s="1549" t="s">
        <v>6388</v>
      </c>
      <c r="G187" s="1503" t="s">
        <v>6387</v>
      </c>
      <c r="H187" s="1503" t="s">
        <v>925</v>
      </c>
      <c r="I187" s="1570" t="s">
        <v>5506</v>
      </c>
      <c r="J187" s="1550" t="s">
        <v>515</v>
      </c>
      <c r="K187" s="1571">
        <v>2</v>
      </c>
      <c r="L187" s="1273">
        <v>6</v>
      </c>
      <c r="M187" s="1247">
        <v>53991.87</v>
      </c>
      <c r="N187" s="1571">
        <v>2</v>
      </c>
      <c r="O187" s="1273">
        <v>5</v>
      </c>
      <c r="P187" s="1247">
        <v>22496.25</v>
      </c>
    </row>
    <row r="188" spans="1:16" ht="36">
      <c r="A188" s="1245" t="s">
        <v>5510</v>
      </c>
      <c r="B188" s="1246" t="s">
        <v>1880</v>
      </c>
      <c r="C188" s="1246" t="s">
        <v>504</v>
      </c>
      <c r="D188" s="1200" t="s">
        <v>5581</v>
      </c>
      <c r="E188" s="1247">
        <v>6000</v>
      </c>
      <c r="F188" s="1549" t="s">
        <v>6386</v>
      </c>
      <c r="G188" s="1503" t="s">
        <v>6385</v>
      </c>
      <c r="H188" s="1503" t="s">
        <v>534</v>
      </c>
      <c r="I188" s="1570" t="s">
        <v>5516</v>
      </c>
      <c r="J188" s="1550" t="s">
        <v>534</v>
      </c>
      <c r="K188" s="1571">
        <v>1</v>
      </c>
      <c r="L188" s="1273">
        <v>1</v>
      </c>
      <c r="M188" s="1247">
        <v>8000</v>
      </c>
      <c r="N188" s="1571">
        <v>0</v>
      </c>
      <c r="O188" s="1273">
        <v>0</v>
      </c>
      <c r="P188" s="1247">
        <v>0</v>
      </c>
    </row>
    <row r="189" spans="1:16" ht="24">
      <c r="A189" s="1245" t="s">
        <v>5510</v>
      </c>
      <c r="B189" s="1246" t="s">
        <v>1880</v>
      </c>
      <c r="C189" s="1246" t="s">
        <v>504</v>
      </c>
      <c r="D189" s="1200" t="s">
        <v>1688</v>
      </c>
      <c r="E189" s="1247">
        <v>2500</v>
      </c>
      <c r="F189" s="1549" t="s">
        <v>6384</v>
      </c>
      <c r="G189" s="1503" t="s">
        <v>6383</v>
      </c>
      <c r="H189" s="1503" t="s">
        <v>3836</v>
      </c>
      <c r="I189" s="1570" t="s">
        <v>499</v>
      </c>
      <c r="J189" s="1550" t="s">
        <v>519</v>
      </c>
      <c r="K189" s="1571">
        <v>2</v>
      </c>
      <c r="L189" s="1273">
        <v>6</v>
      </c>
      <c r="M189" s="1247">
        <v>15000</v>
      </c>
      <c r="N189" s="1571">
        <v>2</v>
      </c>
      <c r="O189" s="1273">
        <v>4</v>
      </c>
      <c r="P189" s="1247">
        <v>5000</v>
      </c>
    </row>
    <row r="190" spans="1:16" ht="24">
      <c r="A190" s="1245" t="s">
        <v>5510</v>
      </c>
      <c r="B190" s="1246" t="s">
        <v>1880</v>
      </c>
      <c r="C190" s="1246" t="s">
        <v>504</v>
      </c>
      <c r="D190" s="1200" t="s">
        <v>6382</v>
      </c>
      <c r="E190" s="1247">
        <v>4000</v>
      </c>
      <c r="F190" s="1549" t="s">
        <v>6381</v>
      </c>
      <c r="G190" s="1503" t="s">
        <v>6380</v>
      </c>
      <c r="H190" s="1503" t="s">
        <v>3019</v>
      </c>
      <c r="I190" s="1570" t="s">
        <v>507</v>
      </c>
      <c r="J190" s="1550" t="s">
        <v>543</v>
      </c>
      <c r="K190" s="1571">
        <v>2</v>
      </c>
      <c r="L190" s="1273">
        <v>4</v>
      </c>
      <c r="M190" s="1247">
        <v>14933.33</v>
      </c>
      <c r="N190" s="1571">
        <v>2</v>
      </c>
      <c r="O190" s="1273">
        <v>6</v>
      </c>
      <c r="P190" s="1247">
        <v>11786.529999999999</v>
      </c>
    </row>
    <row r="191" spans="1:16" ht="24">
      <c r="A191" s="1245" t="s">
        <v>5510</v>
      </c>
      <c r="B191" s="1246" t="s">
        <v>1880</v>
      </c>
      <c r="C191" s="1246" t="s">
        <v>504</v>
      </c>
      <c r="D191" s="1200" t="s">
        <v>5546</v>
      </c>
      <c r="E191" s="1247">
        <v>2000</v>
      </c>
      <c r="F191" s="1549" t="s">
        <v>6379</v>
      </c>
      <c r="G191" s="1503" t="s">
        <v>6378</v>
      </c>
      <c r="H191" s="1503" t="s">
        <v>6377</v>
      </c>
      <c r="I191" s="1570" t="s">
        <v>573</v>
      </c>
      <c r="J191" s="1550" t="s">
        <v>6376</v>
      </c>
      <c r="K191" s="1571">
        <v>2</v>
      </c>
      <c r="L191" s="1273">
        <v>5</v>
      </c>
      <c r="M191" s="1247">
        <v>10000</v>
      </c>
      <c r="N191" s="1571">
        <v>2</v>
      </c>
      <c r="O191" s="1273">
        <v>6</v>
      </c>
      <c r="P191" s="1247">
        <v>6000</v>
      </c>
    </row>
    <row r="192" spans="1:16">
      <c r="A192" s="1245" t="s">
        <v>5510</v>
      </c>
      <c r="B192" s="1246" t="s">
        <v>1880</v>
      </c>
      <c r="C192" s="1246" t="s">
        <v>504</v>
      </c>
      <c r="D192" s="1200" t="s">
        <v>622</v>
      </c>
      <c r="E192" s="1247">
        <v>2000</v>
      </c>
      <c r="F192" s="1549" t="s">
        <v>6375</v>
      </c>
      <c r="G192" s="1503" t="s">
        <v>6374</v>
      </c>
      <c r="H192" s="1503" t="s">
        <v>619</v>
      </c>
      <c r="I192" s="1570" t="s">
        <v>619</v>
      </c>
      <c r="J192" s="1550" t="s">
        <v>619</v>
      </c>
      <c r="K192" s="1571">
        <v>2</v>
      </c>
      <c r="L192" s="1273">
        <v>6</v>
      </c>
      <c r="M192" s="1247">
        <v>12000</v>
      </c>
      <c r="N192" s="1571">
        <v>2</v>
      </c>
      <c r="O192" s="1273">
        <v>6</v>
      </c>
      <c r="P192" s="1247">
        <v>6000</v>
      </c>
    </row>
    <row r="193" spans="1:16" ht="24">
      <c r="A193" s="1245" t="s">
        <v>5510</v>
      </c>
      <c r="B193" s="1246" t="s">
        <v>1880</v>
      </c>
      <c r="C193" s="1246" t="s">
        <v>504</v>
      </c>
      <c r="D193" s="1200" t="s">
        <v>1688</v>
      </c>
      <c r="E193" s="1247">
        <v>2500</v>
      </c>
      <c r="F193" s="1549" t="s">
        <v>6373</v>
      </c>
      <c r="G193" s="1503" t="s">
        <v>6372</v>
      </c>
      <c r="H193" s="1503" t="s">
        <v>5844</v>
      </c>
      <c r="I193" s="1570" t="s">
        <v>5506</v>
      </c>
      <c r="J193" s="1550" t="s">
        <v>5776</v>
      </c>
      <c r="K193" s="1571">
        <v>2</v>
      </c>
      <c r="L193" s="1273">
        <v>6</v>
      </c>
      <c r="M193" s="1247">
        <v>15000</v>
      </c>
      <c r="N193" s="1571">
        <v>2</v>
      </c>
      <c r="O193" s="1273">
        <v>6</v>
      </c>
      <c r="P193" s="1247">
        <v>7500</v>
      </c>
    </row>
    <row r="194" spans="1:16" ht="24">
      <c r="A194" s="1245" t="s">
        <v>5510</v>
      </c>
      <c r="B194" s="1246" t="s">
        <v>1880</v>
      </c>
      <c r="C194" s="1246" t="s">
        <v>504</v>
      </c>
      <c r="D194" s="1200" t="s">
        <v>604</v>
      </c>
      <c r="E194" s="1247">
        <v>3000</v>
      </c>
      <c r="F194" s="1549" t="s">
        <v>6371</v>
      </c>
      <c r="G194" s="1503" t="s">
        <v>6370</v>
      </c>
      <c r="H194" s="1503" t="s">
        <v>6369</v>
      </c>
      <c r="I194" s="1570" t="s">
        <v>573</v>
      </c>
      <c r="J194" s="1550" t="s">
        <v>6369</v>
      </c>
      <c r="K194" s="1571">
        <v>1</v>
      </c>
      <c r="L194" s="1273">
        <v>1</v>
      </c>
      <c r="M194" s="1247">
        <v>2200</v>
      </c>
      <c r="N194" s="1571">
        <v>2</v>
      </c>
      <c r="O194" s="1273">
        <v>6</v>
      </c>
      <c r="P194" s="1247">
        <v>9000</v>
      </c>
    </row>
    <row r="195" spans="1:16" ht="24">
      <c r="A195" s="1245" t="s">
        <v>5510</v>
      </c>
      <c r="B195" s="1246" t="s">
        <v>1880</v>
      </c>
      <c r="C195" s="1246" t="s">
        <v>504</v>
      </c>
      <c r="D195" s="1200" t="s">
        <v>604</v>
      </c>
      <c r="E195" s="1247">
        <v>3500</v>
      </c>
      <c r="F195" s="1549" t="s">
        <v>6368</v>
      </c>
      <c r="G195" s="1503" t="s">
        <v>6367</v>
      </c>
      <c r="H195" s="1503" t="s">
        <v>5844</v>
      </c>
      <c r="I195" s="1570" t="s">
        <v>5506</v>
      </c>
      <c r="J195" s="1550" t="s">
        <v>5844</v>
      </c>
      <c r="K195" s="1571">
        <v>2</v>
      </c>
      <c r="L195" s="1273">
        <v>6</v>
      </c>
      <c r="M195" s="1247">
        <v>21000</v>
      </c>
      <c r="N195" s="1571">
        <v>0</v>
      </c>
      <c r="O195" s="1273">
        <v>0</v>
      </c>
      <c r="P195" s="1247">
        <v>0</v>
      </c>
    </row>
    <row r="196" spans="1:16">
      <c r="A196" s="1245" t="s">
        <v>5510</v>
      </c>
      <c r="B196" s="1246" t="s">
        <v>1880</v>
      </c>
      <c r="C196" s="1246" t="s">
        <v>504</v>
      </c>
      <c r="D196" s="1200" t="s">
        <v>5531</v>
      </c>
      <c r="E196" s="1247">
        <v>4500</v>
      </c>
      <c r="F196" s="1549" t="s">
        <v>6366</v>
      </c>
      <c r="G196" s="1503" t="s">
        <v>6365</v>
      </c>
      <c r="H196" s="1503" t="s">
        <v>4337</v>
      </c>
      <c r="I196" s="1570" t="s">
        <v>5506</v>
      </c>
      <c r="J196" s="1550" t="s">
        <v>6364</v>
      </c>
      <c r="K196" s="1571">
        <v>2</v>
      </c>
      <c r="L196" s="1273">
        <v>6</v>
      </c>
      <c r="M196" s="1247">
        <v>26990.63</v>
      </c>
      <c r="N196" s="1571">
        <v>2</v>
      </c>
      <c r="O196" s="1273">
        <v>6</v>
      </c>
      <c r="P196" s="1247">
        <v>13500</v>
      </c>
    </row>
    <row r="197" spans="1:16" ht="24">
      <c r="A197" s="1245" t="s">
        <v>5510</v>
      </c>
      <c r="B197" s="1246" t="s">
        <v>1880</v>
      </c>
      <c r="C197" s="1246" t="s">
        <v>504</v>
      </c>
      <c r="D197" s="1200" t="s">
        <v>582</v>
      </c>
      <c r="E197" s="1247">
        <v>1900</v>
      </c>
      <c r="F197" s="1549" t="s">
        <v>6363</v>
      </c>
      <c r="G197" s="1503" t="s">
        <v>6362</v>
      </c>
      <c r="H197" s="1503" t="s">
        <v>500</v>
      </c>
      <c r="I197" s="1570" t="s">
        <v>573</v>
      </c>
      <c r="J197" s="1550" t="s">
        <v>500</v>
      </c>
      <c r="K197" s="1571">
        <v>1</v>
      </c>
      <c r="L197" s="1273">
        <v>3</v>
      </c>
      <c r="M197" s="1247">
        <v>5700</v>
      </c>
      <c r="N197" s="1571">
        <v>0</v>
      </c>
      <c r="O197" s="1273">
        <v>0</v>
      </c>
      <c r="P197" s="1247">
        <v>0</v>
      </c>
    </row>
    <row r="198" spans="1:16" ht="24">
      <c r="A198" s="1245" t="s">
        <v>5510</v>
      </c>
      <c r="B198" s="1246" t="s">
        <v>1880</v>
      </c>
      <c r="C198" s="1246" t="s">
        <v>504</v>
      </c>
      <c r="D198" s="1200" t="s">
        <v>6361</v>
      </c>
      <c r="E198" s="1247">
        <v>4500</v>
      </c>
      <c r="F198" s="1549" t="s">
        <v>6360</v>
      </c>
      <c r="G198" s="1503" t="s">
        <v>6359</v>
      </c>
      <c r="H198" s="1503" t="s">
        <v>1842</v>
      </c>
      <c r="I198" s="1570" t="s">
        <v>5506</v>
      </c>
      <c r="J198" s="1550" t="s">
        <v>526</v>
      </c>
      <c r="K198" s="1571">
        <v>2</v>
      </c>
      <c r="L198" s="1273">
        <v>6</v>
      </c>
      <c r="M198" s="1247">
        <v>60000</v>
      </c>
      <c r="N198" s="1571">
        <v>1</v>
      </c>
      <c r="O198" s="1273">
        <v>3</v>
      </c>
      <c r="P198" s="1247">
        <v>15000</v>
      </c>
    </row>
    <row r="199" spans="1:16" ht="24">
      <c r="A199" s="1245" t="s">
        <v>5510</v>
      </c>
      <c r="B199" s="1246" t="s">
        <v>1880</v>
      </c>
      <c r="C199" s="1246" t="s">
        <v>504</v>
      </c>
      <c r="D199" s="1200" t="s">
        <v>6358</v>
      </c>
      <c r="E199" s="1247">
        <v>3500</v>
      </c>
      <c r="F199" s="1549" t="s">
        <v>6357</v>
      </c>
      <c r="G199" s="1503" t="s">
        <v>6356</v>
      </c>
      <c r="H199" s="1503" t="s">
        <v>6355</v>
      </c>
      <c r="I199" s="1570" t="s">
        <v>5525</v>
      </c>
      <c r="J199" s="1550" t="s">
        <v>6355</v>
      </c>
      <c r="K199" s="1571">
        <v>1</v>
      </c>
      <c r="L199" s="1273">
        <v>2</v>
      </c>
      <c r="M199" s="1247">
        <v>7362.85</v>
      </c>
      <c r="N199" s="1571">
        <v>2</v>
      </c>
      <c r="O199" s="1273">
        <v>6</v>
      </c>
      <c r="P199" s="1247">
        <v>10169.305</v>
      </c>
    </row>
    <row r="200" spans="1:16">
      <c r="A200" s="1245" t="s">
        <v>5510</v>
      </c>
      <c r="B200" s="1246" t="s">
        <v>1880</v>
      </c>
      <c r="C200" s="1246" t="s">
        <v>504</v>
      </c>
      <c r="D200" s="1200" t="s">
        <v>4339</v>
      </c>
      <c r="E200" s="1247">
        <v>11000</v>
      </c>
      <c r="F200" s="1549" t="s">
        <v>6354</v>
      </c>
      <c r="G200" s="1503" t="s">
        <v>6353</v>
      </c>
      <c r="H200" s="1503" t="s">
        <v>534</v>
      </c>
      <c r="I200" s="1570"/>
      <c r="J200" s="1550" t="s">
        <v>534</v>
      </c>
      <c r="K200" s="1571">
        <v>0</v>
      </c>
      <c r="L200" s="1273">
        <v>0</v>
      </c>
      <c r="M200" s="1247">
        <v>0</v>
      </c>
      <c r="N200" s="1571">
        <v>2</v>
      </c>
      <c r="O200" s="1273">
        <v>4</v>
      </c>
      <c r="P200" s="1247">
        <v>14476</v>
      </c>
    </row>
    <row r="201" spans="1:16">
      <c r="A201" s="1245" t="s">
        <v>5510</v>
      </c>
      <c r="B201" s="1246" t="s">
        <v>1880</v>
      </c>
      <c r="C201" s="1246" t="s">
        <v>504</v>
      </c>
      <c r="D201" s="1200" t="s">
        <v>4339</v>
      </c>
      <c r="E201" s="1247">
        <v>10000</v>
      </c>
      <c r="F201" s="1549" t="s">
        <v>6352</v>
      </c>
      <c r="G201" s="1503" t="s">
        <v>6351</v>
      </c>
      <c r="H201" s="1503" t="s">
        <v>5183</v>
      </c>
      <c r="I201" s="1570" t="s">
        <v>5506</v>
      </c>
      <c r="J201" s="1550" t="s">
        <v>526</v>
      </c>
      <c r="K201" s="1571">
        <v>2</v>
      </c>
      <c r="L201" s="1273">
        <v>6</v>
      </c>
      <c r="M201" s="1247">
        <v>60000</v>
      </c>
      <c r="N201" s="1571">
        <v>2</v>
      </c>
      <c r="O201" s="1273">
        <v>6</v>
      </c>
      <c r="P201" s="1247">
        <v>30000</v>
      </c>
    </row>
    <row r="202" spans="1:16" ht="36">
      <c r="A202" s="1245" t="s">
        <v>5510</v>
      </c>
      <c r="B202" s="1246" t="s">
        <v>1880</v>
      </c>
      <c r="C202" s="1246" t="s">
        <v>504</v>
      </c>
      <c r="D202" s="1200" t="s">
        <v>6350</v>
      </c>
      <c r="E202" s="1247">
        <v>5000</v>
      </c>
      <c r="F202" s="1549" t="s">
        <v>6347</v>
      </c>
      <c r="G202" s="1503" t="s">
        <v>6349</v>
      </c>
      <c r="H202" s="1503" t="s">
        <v>6345</v>
      </c>
      <c r="I202" s="1570" t="s">
        <v>5506</v>
      </c>
      <c r="J202" s="1550" t="s">
        <v>6345</v>
      </c>
      <c r="K202" s="1571">
        <v>2</v>
      </c>
      <c r="L202" s="1273">
        <v>6</v>
      </c>
      <c r="M202" s="1247">
        <v>29457</v>
      </c>
      <c r="N202" s="1571">
        <v>2</v>
      </c>
      <c r="O202" s="1273">
        <v>6</v>
      </c>
      <c r="P202" s="1247">
        <v>14991.84</v>
      </c>
    </row>
    <row r="203" spans="1:16" ht="36">
      <c r="A203" s="1245" t="s">
        <v>5510</v>
      </c>
      <c r="B203" s="1246" t="s">
        <v>1880</v>
      </c>
      <c r="C203" s="1246" t="s">
        <v>504</v>
      </c>
      <c r="D203" s="1200" t="s">
        <v>6348</v>
      </c>
      <c r="E203" s="1247">
        <v>2650</v>
      </c>
      <c r="F203" s="1549" t="s">
        <v>6347</v>
      </c>
      <c r="G203" s="1503" t="s">
        <v>6346</v>
      </c>
      <c r="H203" s="1503" t="s">
        <v>6345</v>
      </c>
      <c r="I203" s="1570" t="s">
        <v>5506</v>
      </c>
      <c r="J203" s="1550" t="s">
        <v>6345</v>
      </c>
      <c r="K203" s="1571">
        <v>2</v>
      </c>
      <c r="L203" s="1273">
        <v>6</v>
      </c>
      <c r="M203" s="1247">
        <v>29457</v>
      </c>
      <c r="N203" s="1571">
        <v>2</v>
      </c>
      <c r="O203" s="1273">
        <v>6</v>
      </c>
      <c r="P203" s="1247">
        <v>14991.84</v>
      </c>
    </row>
    <row r="204" spans="1:16">
      <c r="A204" s="1245" t="s">
        <v>5510</v>
      </c>
      <c r="B204" s="1246" t="s">
        <v>1880</v>
      </c>
      <c r="C204" s="1246" t="s">
        <v>504</v>
      </c>
      <c r="D204" s="1200" t="s">
        <v>5791</v>
      </c>
      <c r="E204" s="1247">
        <v>6200</v>
      </c>
      <c r="F204" s="1549" t="s">
        <v>6344</v>
      </c>
      <c r="G204" s="1503" t="s">
        <v>6343</v>
      </c>
      <c r="H204" s="1503" t="s">
        <v>1842</v>
      </c>
      <c r="I204" s="1570" t="s">
        <v>5506</v>
      </c>
      <c r="J204" s="1550" t="s">
        <v>526</v>
      </c>
      <c r="K204" s="1571">
        <v>2</v>
      </c>
      <c r="L204" s="1273">
        <v>6</v>
      </c>
      <c r="M204" s="1247">
        <v>37189.660000000003</v>
      </c>
      <c r="N204" s="1571">
        <v>2</v>
      </c>
      <c r="O204" s="1273">
        <v>6</v>
      </c>
      <c r="P204" s="1247">
        <v>18600</v>
      </c>
    </row>
    <row r="205" spans="1:16" ht="24">
      <c r="A205" s="1245" t="s">
        <v>5510</v>
      </c>
      <c r="B205" s="1246" t="s">
        <v>1880</v>
      </c>
      <c r="C205" s="1246" t="s">
        <v>504</v>
      </c>
      <c r="D205" s="1200" t="s">
        <v>6342</v>
      </c>
      <c r="E205" s="1247">
        <v>4500</v>
      </c>
      <c r="F205" s="1549" t="s">
        <v>6341</v>
      </c>
      <c r="G205" s="1503" t="s">
        <v>6340</v>
      </c>
      <c r="H205" s="1503" t="s">
        <v>6339</v>
      </c>
      <c r="I205" s="1570" t="s">
        <v>5516</v>
      </c>
      <c r="J205" s="1550" t="s">
        <v>2879</v>
      </c>
      <c r="K205" s="1571">
        <v>2</v>
      </c>
      <c r="L205" s="1273">
        <v>5</v>
      </c>
      <c r="M205" s="1247">
        <v>21894.69</v>
      </c>
      <c r="N205" s="1571">
        <v>2</v>
      </c>
      <c r="O205" s="1273">
        <v>6</v>
      </c>
      <c r="P205" s="1247">
        <v>13410.93</v>
      </c>
    </row>
    <row r="206" spans="1:16">
      <c r="A206" s="1245" t="s">
        <v>5510</v>
      </c>
      <c r="B206" s="1246" t="s">
        <v>1880</v>
      </c>
      <c r="C206" s="1246" t="s">
        <v>504</v>
      </c>
      <c r="D206" s="1200" t="s">
        <v>5756</v>
      </c>
      <c r="E206" s="1247">
        <v>3500</v>
      </c>
      <c r="F206" s="1549" t="s">
        <v>6338</v>
      </c>
      <c r="G206" s="1503" t="s">
        <v>6337</v>
      </c>
      <c r="H206" s="1503" t="s">
        <v>925</v>
      </c>
      <c r="I206" s="1570" t="s">
        <v>5506</v>
      </c>
      <c r="J206" s="1550" t="s">
        <v>515</v>
      </c>
      <c r="K206" s="1571">
        <v>2</v>
      </c>
      <c r="L206" s="1273">
        <v>6</v>
      </c>
      <c r="M206" s="1247">
        <v>21000</v>
      </c>
      <c r="N206" s="1571">
        <v>2</v>
      </c>
      <c r="O206" s="1273">
        <v>6</v>
      </c>
      <c r="P206" s="1247">
        <v>10500</v>
      </c>
    </row>
    <row r="207" spans="1:16" ht="24">
      <c r="A207" s="1245" t="s">
        <v>5510</v>
      </c>
      <c r="B207" s="1246" t="s">
        <v>1880</v>
      </c>
      <c r="C207" s="1246" t="s">
        <v>504</v>
      </c>
      <c r="D207" s="1200" t="s">
        <v>5772</v>
      </c>
      <c r="E207" s="1247">
        <v>4000</v>
      </c>
      <c r="F207" s="1549" t="s">
        <v>6336</v>
      </c>
      <c r="G207" s="1503" t="s">
        <v>6335</v>
      </c>
      <c r="H207" s="1503" t="s">
        <v>1571</v>
      </c>
      <c r="I207" s="1570" t="s">
        <v>5516</v>
      </c>
      <c r="J207" s="1550" t="s">
        <v>519</v>
      </c>
      <c r="K207" s="1571">
        <v>2</v>
      </c>
      <c r="L207" s="1273">
        <v>5</v>
      </c>
      <c r="M207" s="1247">
        <v>20000</v>
      </c>
      <c r="N207" s="1571">
        <v>2</v>
      </c>
      <c r="O207" s="1273">
        <v>6</v>
      </c>
      <c r="P207" s="1247">
        <v>11998.470000000001</v>
      </c>
    </row>
    <row r="208" spans="1:16" ht="24">
      <c r="A208" s="1245" t="s">
        <v>5510</v>
      </c>
      <c r="B208" s="1246" t="s">
        <v>1880</v>
      </c>
      <c r="C208" s="1246" t="s">
        <v>504</v>
      </c>
      <c r="D208" s="1200" t="s">
        <v>5892</v>
      </c>
      <c r="E208" s="1247">
        <v>6000</v>
      </c>
      <c r="F208" s="1549" t="s">
        <v>6333</v>
      </c>
      <c r="G208" s="1503" t="s">
        <v>6332</v>
      </c>
      <c r="H208" s="1503" t="s">
        <v>5007</v>
      </c>
      <c r="I208" s="1570" t="s">
        <v>5506</v>
      </c>
      <c r="J208" s="1550" t="s">
        <v>5140</v>
      </c>
      <c r="K208" s="1571">
        <v>1</v>
      </c>
      <c r="L208" s="1273">
        <v>2</v>
      </c>
      <c r="M208" s="1247">
        <v>11975.42</v>
      </c>
      <c r="N208" s="1571">
        <v>0</v>
      </c>
      <c r="O208" s="1273">
        <v>0</v>
      </c>
      <c r="P208" s="1247">
        <v>0</v>
      </c>
    </row>
    <row r="209" spans="1:16" ht="36">
      <c r="A209" s="1245" t="s">
        <v>5510</v>
      </c>
      <c r="B209" s="1246" t="s">
        <v>1880</v>
      </c>
      <c r="C209" s="1246" t="s">
        <v>504</v>
      </c>
      <c r="D209" s="1200" t="s">
        <v>6334</v>
      </c>
      <c r="E209" s="1247">
        <v>9000</v>
      </c>
      <c r="F209" s="1549" t="s">
        <v>6333</v>
      </c>
      <c r="G209" s="1503" t="s">
        <v>6332</v>
      </c>
      <c r="H209" s="1503" t="s">
        <v>5007</v>
      </c>
      <c r="I209" s="1570" t="s">
        <v>5506</v>
      </c>
      <c r="J209" s="1550" t="s">
        <v>5140</v>
      </c>
      <c r="K209" s="1571">
        <v>2</v>
      </c>
      <c r="L209" s="1273">
        <v>4</v>
      </c>
      <c r="M209" s="1247">
        <v>36906.259999999995</v>
      </c>
      <c r="N209" s="1571">
        <v>2</v>
      </c>
      <c r="O209" s="1273">
        <v>6</v>
      </c>
      <c r="P209" s="1247">
        <v>26839.995000000003</v>
      </c>
    </row>
    <row r="210" spans="1:16" ht="24">
      <c r="A210" s="1245" t="s">
        <v>5510</v>
      </c>
      <c r="B210" s="1246" t="s">
        <v>1880</v>
      </c>
      <c r="C210" s="1246" t="s">
        <v>504</v>
      </c>
      <c r="D210" s="1200" t="s">
        <v>6331</v>
      </c>
      <c r="E210" s="1247">
        <v>2300</v>
      </c>
      <c r="F210" s="1549" t="s">
        <v>6329</v>
      </c>
      <c r="G210" s="1503" t="s">
        <v>6328</v>
      </c>
      <c r="H210" s="1503" t="s">
        <v>6330</v>
      </c>
      <c r="I210" s="1570" t="s">
        <v>507</v>
      </c>
      <c r="J210" s="1550" t="s">
        <v>6330</v>
      </c>
      <c r="K210" s="1571">
        <v>2</v>
      </c>
      <c r="L210" s="1273">
        <v>4</v>
      </c>
      <c r="M210" s="1247">
        <v>9120.93</v>
      </c>
      <c r="N210" s="1571">
        <v>0</v>
      </c>
      <c r="O210" s="1273">
        <v>0</v>
      </c>
      <c r="P210" s="1247">
        <v>0</v>
      </c>
    </row>
    <row r="211" spans="1:16" ht="24">
      <c r="A211" s="1245" t="s">
        <v>5510</v>
      </c>
      <c r="B211" s="1246" t="s">
        <v>1880</v>
      </c>
      <c r="C211" s="1246" t="s">
        <v>504</v>
      </c>
      <c r="D211" s="1200" t="s">
        <v>6331</v>
      </c>
      <c r="E211" s="1247">
        <v>2300</v>
      </c>
      <c r="F211" s="1549" t="s">
        <v>6329</v>
      </c>
      <c r="G211" s="1503" t="s">
        <v>6328</v>
      </c>
      <c r="H211" s="1503" t="s">
        <v>6330</v>
      </c>
      <c r="I211" s="1570" t="s">
        <v>507</v>
      </c>
      <c r="J211" s="1550" t="s">
        <v>6330</v>
      </c>
      <c r="K211" s="1571">
        <v>1</v>
      </c>
      <c r="L211" s="1273">
        <v>2</v>
      </c>
      <c r="M211" s="1247">
        <v>7500</v>
      </c>
      <c r="N211" s="1571">
        <v>2</v>
      </c>
      <c r="O211" s="1273">
        <v>6</v>
      </c>
      <c r="P211" s="1247">
        <v>13489.369999999999</v>
      </c>
    </row>
    <row r="212" spans="1:16" ht="36">
      <c r="A212" s="1245" t="s">
        <v>5510</v>
      </c>
      <c r="B212" s="1246" t="s">
        <v>1880</v>
      </c>
      <c r="C212" s="1246" t="s">
        <v>504</v>
      </c>
      <c r="D212" s="1200" t="s">
        <v>5581</v>
      </c>
      <c r="E212" s="1247">
        <v>4500</v>
      </c>
      <c r="F212" s="1549" t="s">
        <v>6329</v>
      </c>
      <c r="G212" s="1503" t="s">
        <v>6328</v>
      </c>
      <c r="H212" s="1503" t="s">
        <v>6327</v>
      </c>
      <c r="I212" s="1570" t="s">
        <v>507</v>
      </c>
      <c r="J212" s="1550" t="s">
        <v>6327</v>
      </c>
      <c r="K212" s="1571">
        <v>1</v>
      </c>
      <c r="L212" s="1273">
        <v>2</v>
      </c>
      <c r="M212" s="1247">
        <v>7500</v>
      </c>
      <c r="N212" s="1571">
        <v>2</v>
      </c>
      <c r="O212" s="1273">
        <v>6</v>
      </c>
      <c r="P212" s="1247">
        <v>13489.369999999999</v>
      </c>
    </row>
    <row r="213" spans="1:16">
      <c r="A213" s="1245" t="s">
        <v>5510</v>
      </c>
      <c r="B213" s="1246" t="s">
        <v>1880</v>
      </c>
      <c r="C213" s="1246" t="s">
        <v>504</v>
      </c>
      <c r="D213" s="1200" t="s">
        <v>6326</v>
      </c>
      <c r="E213" s="1247">
        <v>6000</v>
      </c>
      <c r="F213" s="1549" t="s">
        <v>6325</v>
      </c>
      <c r="G213" s="1503" t="s">
        <v>6324</v>
      </c>
      <c r="H213" s="1503" t="s">
        <v>759</v>
      </c>
      <c r="I213" s="1570" t="s">
        <v>5506</v>
      </c>
      <c r="J213" s="1550" t="s">
        <v>759</v>
      </c>
      <c r="K213" s="1571">
        <v>2</v>
      </c>
      <c r="L213" s="1273">
        <v>6</v>
      </c>
      <c r="M213" s="1247">
        <v>36000</v>
      </c>
      <c r="N213" s="1571">
        <v>2</v>
      </c>
      <c r="O213" s="1273">
        <v>6</v>
      </c>
      <c r="P213" s="1247">
        <v>17997.71</v>
      </c>
    </row>
    <row r="214" spans="1:16">
      <c r="A214" s="1245" t="s">
        <v>5510</v>
      </c>
      <c r="B214" s="1246" t="s">
        <v>1880</v>
      </c>
      <c r="C214" s="1246" t="s">
        <v>504</v>
      </c>
      <c r="D214" s="1200" t="s">
        <v>503</v>
      </c>
      <c r="E214" s="1247">
        <v>4000</v>
      </c>
      <c r="F214" s="1549" t="s">
        <v>6323</v>
      </c>
      <c r="G214" s="1503" t="s">
        <v>6322</v>
      </c>
      <c r="H214" s="1503" t="s">
        <v>6321</v>
      </c>
      <c r="I214" s="1570" t="s">
        <v>507</v>
      </c>
      <c r="J214" s="1550" t="s">
        <v>6321</v>
      </c>
      <c r="K214" s="1571">
        <v>2</v>
      </c>
      <c r="L214" s="1273">
        <v>6</v>
      </c>
      <c r="M214" s="1247">
        <v>24000</v>
      </c>
      <c r="N214" s="1571">
        <v>2</v>
      </c>
      <c r="O214" s="1273">
        <v>6</v>
      </c>
      <c r="P214" s="1247">
        <v>11987.5</v>
      </c>
    </row>
    <row r="215" spans="1:16">
      <c r="A215" s="1245" t="s">
        <v>5510</v>
      </c>
      <c r="B215" s="1246" t="s">
        <v>1880</v>
      </c>
      <c r="C215" s="1246" t="s">
        <v>504</v>
      </c>
      <c r="D215" s="1200" t="s">
        <v>5546</v>
      </c>
      <c r="E215" s="1247">
        <v>3500</v>
      </c>
      <c r="F215" s="1549" t="s">
        <v>6320</v>
      </c>
      <c r="G215" s="1503" t="s">
        <v>6319</v>
      </c>
      <c r="H215" s="1503" t="s">
        <v>6318</v>
      </c>
      <c r="I215" s="1570"/>
      <c r="J215" s="1550" t="s">
        <v>6318</v>
      </c>
      <c r="K215" s="1571">
        <v>1</v>
      </c>
      <c r="L215" s="1273">
        <v>1</v>
      </c>
      <c r="M215" s="1247">
        <v>1750</v>
      </c>
      <c r="N215" s="1571">
        <v>0</v>
      </c>
      <c r="O215" s="1273">
        <v>0</v>
      </c>
      <c r="P215" s="1247">
        <v>0</v>
      </c>
    </row>
    <row r="216" spans="1:16" ht="36">
      <c r="A216" s="1245" t="s">
        <v>5510</v>
      </c>
      <c r="B216" s="1246" t="s">
        <v>1880</v>
      </c>
      <c r="C216" s="1246" t="s">
        <v>504</v>
      </c>
      <c r="D216" s="1200" t="s">
        <v>6317</v>
      </c>
      <c r="E216" s="1247">
        <v>5000</v>
      </c>
      <c r="F216" s="1549" t="s">
        <v>6316</v>
      </c>
      <c r="G216" s="1503" t="s">
        <v>6315</v>
      </c>
      <c r="H216" s="1503" t="s">
        <v>6314</v>
      </c>
      <c r="I216" s="1570" t="s">
        <v>499</v>
      </c>
      <c r="J216" s="1550" t="s">
        <v>6313</v>
      </c>
      <c r="K216" s="1571">
        <v>2</v>
      </c>
      <c r="L216" s="1273">
        <v>6</v>
      </c>
      <c r="M216" s="1247">
        <v>29995.489999999998</v>
      </c>
      <c r="N216" s="1571">
        <v>2</v>
      </c>
      <c r="O216" s="1273">
        <v>6</v>
      </c>
      <c r="P216" s="1247">
        <v>14992.01</v>
      </c>
    </row>
    <row r="217" spans="1:16" ht="24">
      <c r="A217" s="1245" t="s">
        <v>5510</v>
      </c>
      <c r="B217" s="1246" t="s">
        <v>1880</v>
      </c>
      <c r="C217" s="1246" t="s">
        <v>504</v>
      </c>
      <c r="D217" s="1200" t="s">
        <v>6312</v>
      </c>
      <c r="E217" s="1247">
        <v>6000</v>
      </c>
      <c r="F217" s="1549" t="s">
        <v>6311</v>
      </c>
      <c r="G217" s="1503" t="s">
        <v>6310</v>
      </c>
      <c r="H217" s="1503" t="s">
        <v>1319</v>
      </c>
      <c r="I217" s="1570" t="s">
        <v>5516</v>
      </c>
      <c r="J217" s="1550" t="s">
        <v>5549</v>
      </c>
      <c r="K217" s="1571">
        <v>2</v>
      </c>
      <c r="L217" s="1273">
        <v>6</v>
      </c>
      <c r="M217" s="1247">
        <v>35712.9</v>
      </c>
      <c r="N217" s="1571">
        <v>2</v>
      </c>
      <c r="O217" s="1273">
        <v>6</v>
      </c>
      <c r="P217" s="1247">
        <v>17980.21</v>
      </c>
    </row>
    <row r="218" spans="1:16" ht="36">
      <c r="A218" s="1245" t="s">
        <v>5510</v>
      </c>
      <c r="B218" s="1246" t="s">
        <v>1880</v>
      </c>
      <c r="C218" s="1246" t="s">
        <v>504</v>
      </c>
      <c r="D218" s="1200" t="s">
        <v>6309</v>
      </c>
      <c r="E218" s="1247">
        <v>3500</v>
      </c>
      <c r="F218" s="1549" t="s">
        <v>6308</v>
      </c>
      <c r="G218" s="1503" t="s">
        <v>6307</v>
      </c>
      <c r="H218" s="1503"/>
      <c r="I218" s="1570"/>
      <c r="J218" s="1550"/>
      <c r="K218" s="1571">
        <v>1</v>
      </c>
      <c r="L218" s="1273">
        <v>2</v>
      </c>
      <c r="M218" s="1247">
        <v>7784.34</v>
      </c>
      <c r="N218" s="1571">
        <v>0</v>
      </c>
      <c r="O218" s="1273">
        <v>0</v>
      </c>
      <c r="P218" s="1247">
        <v>0</v>
      </c>
    </row>
    <row r="219" spans="1:16">
      <c r="A219" s="1245" t="s">
        <v>5510</v>
      </c>
      <c r="B219" s="1246" t="s">
        <v>1880</v>
      </c>
      <c r="C219" s="1246" t="s">
        <v>504</v>
      </c>
      <c r="D219" s="1200" t="s">
        <v>6306</v>
      </c>
      <c r="E219" s="1247">
        <v>1800</v>
      </c>
      <c r="F219" s="1549" t="s">
        <v>6305</v>
      </c>
      <c r="G219" s="1503" t="s">
        <v>6304</v>
      </c>
      <c r="H219" s="1503" t="s">
        <v>619</v>
      </c>
      <c r="I219" s="1570" t="s">
        <v>619</v>
      </c>
      <c r="J219" s="1550" t="s">
        <v>619</v>
      </c>
      <c r="K219" s="1571">
        <v>2</v>
      </c>
      <c r="L219" s="1273">
        <v>6</v>
      </c>
      <c r="M219" s="1247">
        <v>10800</v>
      </c>
      <c r="N219" s="1571">
        <v>2</v>
      </c>
      <c r="O219" s="1273">
        <v>6</v>
      </c>
      <c r="P219" s="1247">
        <v>5400</v>
      </c>
    </row>
    <row r="220" spans="1:16" ht="72">
      <c r="A220" s="1245" t="s">
        <v>5510</v>
      </c>
      <c r="B220" s="1246" t="s">
        <v>1880</v>
      </c>
      <c r="C220" s="1246" t="s">
        <v>504</v>
      </c>
      <c r="D220" s="1200" t="s">
        <v>6303</v>
      </c>
      <c r="E220" s="1247">
        <v>7000</v>
      </c>
      <c r="F220" s="1549" t="s">
        <v>6302</v>
      </c>
      <c r="G220" s="1503" t="s">
        <v>6301</v>
      </c>
      <c r="H220" s="1503" t="s">
        <v>511</v>
      </c>
      <c r="I220" s="1570" t="s">
        <v>5516</v>
      </c>
      <c r="J220" s="1550" t="s">
        <v>5549</v>
      </c>
      <c r="K220" s="1571">
        <v>2</v>
      </c>
      <c r="L220" s="1273">
        <v>5</v>
      </c>
      <c r="M220" s="1247">
        <v>34066.67</v>
      </c>
      <c r="N220" s="1571">
        <v>2</v>
      </c>
      <c r="O220" s="1273">
        <v>6</v>
      </c>
      <c r="P220" s="1247">
        <v>20994.41</v>
      </c>
    </row>
    <row r="221" spans="1:16" ht="24">
      <c r="A221" s="1245" t="s">
        <v>5510</v>
      </c>
      <c r="B221" s="1246" t="s">
        <v>1880</v>
      </c>
      <c r="C221" s="1246" t="s">
        <v>504</v>
      </c>
      <c r="D221" s="1200" t="s">
        <v>6300</v>
      </c>
      <c r="E221" s="1247">
        <v>4000</v>
      </c>
      <c r="F221" s="1549" t="s">
        <v>6299</v>
      </c>
      <c r="G221" s="1503" t="s">
        <v>6298</v>
      </c>
      <c r="H221" s="1503" t="s">
        <v>6297</v>
      </c>
      <c r="I221" s="1570" t="s">
        <v>5525</v>
      </c>
      <c r="J221" s="1550" t="s">
        <v>6296</v>
      </c>
      <c r="K221" s="1571">
        <v>2</v>
      </c>
      <c r="L221" s="1273">
        <v>4</v>
      </c>
      <c r="M221" s="1247">
        <v>14933.33</v>
      </c>
      <c r="N221" s="1571">
        <v>0</v>
      </c>
      <c r="O221" s="1273">
        <v>0</v>
      </c>
      <c r="P221" s="1247">
        <v>0</v>
      </c>
    </row>
    <row r="222" spans="1:16">
      <c r="A222" s="1245" t="s">
        <v>5510</v>
      </c>
      <c r="B222" s="1246" t="s">
        <v>1880</v>
      </c>
      <c r="C222" s="1246" t="s">
        <v>504</v>
      </c>
      <c r="D222" s="1200" t="s">
        <v>6295</v>
      </c>
      <c r="E222" s="1247">
        <v>2500</v>
      </c>
      <c r="F222" s="1549" t="s">
        <v>6294</v>
      </c>
      <c r="G222" s="1503" t="s">
        <v>6293</v>
      </c>
      <c r="H222" s="1503" t="s">
        <v>543</v>
      </c>
      <c r="I222" s="1570" t="s">
        <v>5516</v>
      </c>
      <c r="J222" s="1550" t="s">
        <v>543</v>
      </c>
      <c r="K222" s="1571">
        <v>1</v>
      </c>
      <c r="L222" s="1273">
        <v>1</v>
      </c>
      <c r="M222" s="1247">
        <v>1833.33</v>
      </c>
      <c r="N222" s="1571">
        <v>0</v>
      </c>
      <c r="O222" s="1273">
        <v>0</v>
      </c>
      <c r="P222" s="1247">
        <v>0</v>
      </c>
    </row>
    <row r="223" spans="1:16">
      <c r="A223" s="1245" t="s">
        <v>5510</v>
      </c>
      <c r="B223" s="1246" t="s">
        <v>1880</v>
      </c>
      <c r="C223" s="1246" t="s">
        <v>504</v>
      </c>
      <c r="D223" s="1200" t="s">
        <v>1708</v>
      </c>
      <c r="E223" s="1247">
        <v>3500</v>
      </c>
      <c r="F223" s="1549" t="s">
        <v>6292</v>
      </c>
      <c r="G223" s="1503" t="s">
        <v>6291</v>
      </c>
      <c r="H223" s="1503" t="s">
        <v>1571</v>
      </c>
      <c r="I223" s="1570" t="s">
        <v>5516</v>
      </c>
      <c r="J223" s="1550" t="s">
        <v>519</v>
      </c>
      <c r="K223" s="1571">
        <v>1</v>
      </c>
      <c r="L223" s="1273">
        <v>2</v>
      </c>
      <c r="M223" s="1247">
        <v>7335.41</v>
      </c>
      <c r="N223" s="1571">
        <v>2</v>
      </c>
      <c r="O223" s="1273">
        <v>6</v>
      </c>
      <c r="P223" s="1247">
        <v>10497.81</v>
      </c>
    </row>
    <row r="224" spans="1:16" ht="24">
      <c r="A224" s="1245" t="s">
        <v>5510</v>
      </c>
      <c r="B224" s="1246" t="s">
        <v>1880</v>
      </c>
      <c r="C224" s="1246" t="s">
        <v>504</v>
      </c>
      <c r="D224" s="1200" t="s">
        <v>849</v>
      </c>
      <c r="E224" s="1247">
        <v>6000</v>
      </c>
      <c r="F224" s="1549" t="s">
        <v>6290</v>
      </c>
      <c r="G224" s="1503" t="s">
        <v>6289</v>
      </c>
      <c r="H224" s="1503" t="s">
        <v>1134</v>
      </c>
      <c r="I224" s="1570" t="s">
        <v>5516</v>
      </c>
      <c r="J224" s="1550" t="s">
        <v>1134</v>
      </c>
      <c r="K224" s="1571">
        <v>2</v>
      </c>
      <c r="L224" s="1273">
        <v>6</v>
      </c>
      <c r="M224" s="1247">
        <v>36837.919999999998</v>
      </c>
      <c r="N224" s="1571">
        <v>0</v>
      </c>
      <c r="O224" s="1273">
        <v>0</v>
      </c>
      <c r="P224" s="1247">
        <v>0</v>
      </c>
    </row>
    <row r="225" spans="1:16">
      <c r="A225" s="1245" t="s">
        <v>5510</v>
      </c>
      <c r="B225" s="1246" t="s">
        <v>1880</v>
      </c>
      <c r="C225" s="1246" t="s">
        <v>504</v>
      </c>
      <c r="D225" s="1200" t="s">
        <v>5642</v>
      </c>
      <c r="E225" s="1247">
        <v>4500</v>
      </c>
      <c r="F225" s="1549" t="s">
        <v>6288</v>
      </c>
      <c r="G225" s="1503" t="s">
        <v>6287</v>
      </c>
      <c r="H225" s="1503" t="s">
        <v>6286</v>
      </c>
      <c r="I225" s="1570" t="s">
        <v>5506</v>
      </c>
      <c r="J225" s="1550" t="s">
        <v>519</v>
      </c>
      <c r="K225" s="1571">
        <v>2</v>
      </c>
      <c r="L225" s="1273">
        <v>6</v>
      </c>
      <c r="M225" s="1247">
        <v>26850</v>
      </c>
      <c r="N225" s="1571">
        <v>2</v>
      </c>
      <c r="O225" s="1273">
        <v>6</v>
      </c>
      <c r="P225" s="1247">
        <v>13500</v>
      </c>
    </row>
    <row r="226" spans="1:16" ht="36">
      <c r="A226" s="1245" t="s">
        <v>5510</v>
      </c>
      <c r="B226" s="1246" t="s">
        <v>1880</v>
      </c>
      <c r="C226" s="1246" t="s">
        <v>504</v>
      </c>
      <c r="D226" s="1200" t="s">
        <v>6285</v>
      </c>
      <c r="E226" s="1247">
        <v>4500</v>
      </c>
      <c r="F226" s="1549" t="s">
        <v>6284</v>
      </c>
      <c r="G226" s="1503" t="s">
        <v>6283</v>
      </c>
      <c r="H226" s="1503" t="s">
        <v>5220</v>
      </c>
      <c r="I226" s="1570" t="s">
        <v>5506</v>
      </c>
      <c r="J226" s="1550" t="s">
        <v>5220</v>
      </c>
      <c r="K226" s="1571">
        <v>2</v>
      </c>
      <c r="L226" s="1273">
        <v>6</v>
      </c>
      <c r="M226" s="1247">
        <v>27000</v>
      </c>
      <c r="N226" s="1571">
        <v>2</v>
      </c>
      <c r="O226" s="1273">
        <v>6</v>
      </c>
      <c r="P226" s="1247">
        <v>13500</v>
      </c>
    </row>
    <row r="227" spans="1:16">
      <c r="A227" s="1245" t="s">
        <v>5510</v>
      </c>
      <c r="B227" s="1246" t="s">
        <v>1880</v>
      </c>
      <c r="C227" s="1246" t="s">
        <v>504</v>
      </c>
      <c r="D227" s="1200" t="s">
        <v>5584</v>
      </c>
      <c r="E227" s="1247">
        <v>10000</v>
      </c>
      <c r="F227" s="1549" t="s">
        <v>6282</v>
      </c>
      <c r="G227" s="1503" t="s">
        <v>6281</v>
      </c>
      <c r="H227" s="1503" t="s">
        <v>2479</v>
      </c>
      <c r="I227" s="1570" t="s">
        <v>5506</v>
      </c>
      <c r="J227" s="1550" t="s">
        <v>2479</v>
      </c>
      <c r="K227" s="1571">
        <v>2</v>
      </c>
      <c r="L227" s="1273">
        <v>6</v>
      </c>
      <c r="M227" s="1247">
        <v>60000</v>
      </c>
      <c r="N227" s="1571">
        <v>2</v>
      </c>
      <c r="O227" s="1273">
        <v>6</v>
      </c>
      <c r="P227" s="1247">
        <v>30000</v>
      </c>
    </row>
    <row r="228" spans="1:16" ht="24">
      <c r="A228" s="1245" t="s">
        <v>5510</v>
      </c>
      <c r="B228" s="1246" t="s">
        <v>1880</v>
      </c>
      <c r="C228" s="1246" t="s">
        <v>504</v>
      </c>
      <c r="D228" s="1200" t="s">
        <v>604</v>
      </c>
      <c r="E228" s="1247">
        <v>3000</v>
      </c>
      <c r="F228" s="1549" t="s">
        <v>6278</v>
      </c>
      <c r="G228" s="1503" t="s">
        <v>6280</v>
      </c>
      <c r="H228" s="1503" t="s">
        <v>6276</v>
      </c>
      <c r="I228" s="1570" t="s">
        <v>5506</v>
      </c>
      <c r="J228" s="1550" t="s">
        <v>5966</v>
      </c>
      <c r="K228" s="1571">
        <v>2</v>
      </c>
      <c r="L228" s="1273">
        <v>4</v>
      </c>
      <c r="M228" s="1247">
        <v>15980.279999999999</v>
      </c>
      <c r="N228" s="1571">
        <v>0</v>
      </c>
      <c r="O228" s="1273">
        <v>0</v>
      </c>
      <c r="P228" s="1247">
        <v>0</v>
      </c>
    </row>
    <row r="229" spans="1:16" ht="24">
      <c r="A229" s="1245" t="s">
        <v>5510</v>
      </c>
      <c r="B229" s="1246" t="s">
        <v>1880</v>
      </c>
      <c r="C229" s="1246" t="s">
        <v>504</v>
      </c>
      <c r="D229" s="1200" t="s">
        <v>6279</v>
      </c>
      <c r="E229" s="1247">
        <v>4000</v>
      </c>
      <c r="F229" s="1549" t="s">
        <v>6278</v>
      </c>
      <c r="G229" s="1503" t="s">
        <v>6277</v>
      </c>
      <c r="H229" s="1503" t="s">
        <v>6276</v>
      </c>
      <c r="I229" s="1570" t="s">
        <v>5506</v>
      </c>
      <c r="J229" s="1550" t="s">
        <v>5966</v>
      </c>
      <c r="K229" s="1571">
        <v>1</v>
      </c>
      <c r="L229" s="1273">
        <v>2</v>
      </c>
      <c r="M229" s="1247">
        <v>10800</v>
      </c>
      <c r="N229" s="1571">
        <v>2</v>
      </c>
      <c r="O229" s="1273">
        <v>6</v>
      </c>
      <c r="P229" s="1247">
        <v>17991.46</v>
      </c>
    </row>
    <row r="230" spans="1:16" ht="24">
      <c r="A230" s="1245" t="s">
        <v>5510</v>
      </c>
      <c r="B230" s="1246" t="s">
        <v>1880</v>
      </c>
      <c r="C230" s="1246" t="s">
        <v>504</v>
      </c>
      <c r="D230" s="1200" t="s">
        <v>1910</v>
      </c>
      <c r="E230" s="1247">
        <v>2000</v>
      </c>
      <c r="F230" s="1549" t="s">
        <v>6275</v>
      </c>
      <c r="G230" s="1503" t="s">
        <v>6274</v>
      </c>
      <c r="H230" s="1503" t="s">
        <v>543</v>
      </c>
      <c r="I230" s="1570" t="s">
        <v>507</v>
      </c>
      <c r="J230" s="1550" t="s">
        <v>5844</v>
      </c>
      <c r="K230" s="1571">
        <v>2</v>
      </c>
      <c r="L230" s="1273">
        <v>6</v>
      </c>
      <c r="M230" s="1247">
        <v>12000</v>
      </c>
      <c r="N230" s="1571">
        <v>2</v>
      </c>
      <c r="O230" s="1273">
        <v>6</v>
      </c>
      <c r="P230" s="1247">
        <v>6000</v>
      </c>
    </row>
    <row r="231" spans="1:16">
      <c r="A231" s="1245" t="s">
        <v>5510</v>
      </c>
      <c r="B231" s="1246" t="s">
        <v>1880</v>
      </c>
      <c r="C231" s="1246" t="s">
        <v>504</v>
      </c>
      <c r="D231" s="1200" t="s">
        <v>511</v>
      </c>
      <c r="E231" s="1247">
        <v>6000</v>
      </c>
      <c r="F231" s="1549" t="s">
        <v>6273</v>
      </c>
      <c r="G231" s="1503" t="s">
        <v>6272</v>
      </c>
      <c r="H231" s="1503" t="s">
        <v>511</v>
      </c>
      <c r="I231" s="1570" t="s">
        <v>5506</v>
      </c>
      <c r="J231" s="1550" t="s">
        <v>508</v>
      </c>
      <c r="K231" s="1571">
        <v>2</v>
      </c>
      <c r="L231" s="1273">
        <v>6</v>
      </c>
      <c r="M231" s="1247">
        <v>35977.089999999997</v>
      </c>
      <c r="N231" s="1571">
        <v>2</v>
      </c>
      <c r="O231" s="1273">
        <v>6</v>
      </c>
      <c r="P231" s="1247">
        <v>17961.875</v>
      </c>
    </row>
    <row r="232" spans="1:16" ht="24">
      <c r="A232" s="1245" t="s">
        <v>5510</v>
      </c>
      <c r="B232" s="1246" t="s">
        <v>1880</v>
      </c>
      <c r="C232" s="1246" t="s">
        <v>504</v>
      </c>
      <c r="D232" s="1200" t="s">
        <v>604</v>
      </c>
      <c r="E232" s="1247">
        <v>4000</v>
      </c>
      <c r="F232" s="1549" t="s">
        <v>6271</v>
      </c>
      <c r="G232" s="1503" t="s">
        <v>6270</v>
      </c>
      <c r="H232" s="1503" t="s">
        <v>500</v>
      </c>
      <c r="I232" s="1570" t="s">
        <v>499</v>
      </c>
      <c r="J232" s="1550" t="s">
        <v>500</v>
      </c>
      <c r="K232" s="1571">
        <v>2</v>
      </c>
      <c r="L232" s="1273">
        <v>6</v>
      </c>
      <c r="M232" s="1247">
        <v>24000</v>
      </c>
      <c r="N232" s="1571">
        <v>2</v>
      </c>
      <c r="O232" s="1273">
        <v>6</v>
      </c>
      <c r="P232" s="1247">
        <v>12000</v>
      </c>
    </row>
    <row r="233" spans="1:16">
      <c r="A233" s="1245" t="s">
        <v>5510</v>
      </c>
      <c r="B233" s="1246" t="s">
        <v>1880</v>
      </c>
      <c r="C233" s="1246" t="s">
        <v>504</v>
      </c>
      <c r="D233" s="1200" t="s">
        <v>511</v>
      </c>
      <c r="E233" s="1247">
        <v>5000</v>
      </c>
      <c r="F233" s="1549" t="s">
        <v>6269</v>
      </c>
      <c r="G233" s="1503" t="s">
        <v>6268</v>
      </c>
      <c r="H233" s="1503" t="s">
        <v>1319</v>
      </c>
      <c r="I233" s="1570" t="s">
        <v>5506</v>
      </c>
      <c r="J233" s="1550" t="s">
        <v>508</v>
      </c>
      <c r="K233" s="1571">
        <v>1</v>
      </c>
      <c r="L233" s="1273">
        <v>1</v>
      </c>
      <c r="M233" s="1247">
        <v>4993.75</v>
      </c>
      <c r="N233" s="1571">
        <v>0</v>
      </c>
      <c r="O233" s="1273">
        <v>0</v>
      </c>
      <c r="P233" s="1247">
        <v>0</v>
      </c>
    </row>
    <row r="234" spans="1:16">
      <c r="A234" s="1245" t="s">
        <v>5510</v>
      </c>
      <c r="B234" s="1246" t="s">
        <v>1880</v>
      </c>
      <c r="C234" s="1246" t="s">
        <v>504</v>
      </c>
      <c r="D234" s="1200" t="s">
        <v>6267</v>
      </c>
      <c r="E234" s="1247">
        <v>6500</v>
      </c>
      <c r="F234" s="1549" t="s">
        <v>6266</v>
      </c>
      <c r="G234" s="1503" t="s">
        <v>6265</v>
      </c>
      <c r="H234" s="1503" t="s">
        <v>519</v>
      </c>
      <c r="I234" s="1570" t="s">
        <v>5506</v>
      </c>
      <c r="J234" s="1550" t="s">
        <v>519</v>
      </c>
      <c r="K234" s="1571">
        <v>2</v>
      </c>
      <c r="L234" s="1273">
        <v>6</v>
      </c>
      <c r="M234" s="1247">
        <v>38966.14</v>
      </c>
      <c r="N234" s="1571">
        <v>2</v>
      </c>
      <c r="O234" s="1273">
        <v>6</v>
      </c>
      <c r="P234" s="1247">
        <v>19437.934999999998</v>
      </c>
    </row>
    <row r="235" spans="1:16" ht="36">
      <c r="A235" s="1245" t="s">
        <v>5510</v>
      </c>
      <c r="B235" s="1246" t="s">
        <v>1880</v>
      </c>
      <c r="C235" s="1246" t="s">
        <v>504</v>
      </c>
      <c r="D235" s="1200" t="s">
        <v>5680</v>
      </c>
      <c r="E235" s="1247">
        <v>4000</v>
      </c>
      <c r="F235" s="1549" t="s">
        <v>6264</v>
      </c>
      <c r="G235" s="1503" t="s">
        <v>6263</v>
      </c>
      <c r="H235" s="1503" t="s">
        <v>5183</v>
      </c>
      <c r="I235" s="1570" t="s">
        <v>5506</v>
      </c>
      <c r="J235" s="1550" t="s">
        <v>526</v>
      </c>
      <c r="K235" s="1571">
        <v>1</v>
      </c>
      <c r="L235" s="1273">
        <v>1</v>
      </c>
      <c r="M235" s="1247">
        <v>3954.72</v>
      </c>
      <c r="N235" s="1571">
        <v>0</v>
      </c>
      <c r="O235" s="1273">
        <v>0</v>
      </c>
      <c r="P235" s="1247">
        <v>0</v>
      </c>
    </row>
    <row r="236" spans="1:16">
      <c r="A236" s="1245" t="s">
        <v>5510</v>
      </c>
      <c r="B236" s="1246" t="s">
        <v>1880</v>
      </c>
      <c r="C236" s="1246" t="s">
        <v>504</v>
      </c>
      <c r="D236" s="1200" t="s">
        <v>6262</v>
      </c>
      <c r="E236" s="1247">
        <v>3500</v>
      </c>
      <c r="F236" s="1549" t="s">
        <v>6261</v>
      </c>
      <c r="G236" s="1503" t="s">
        <v>6260</v>
      </c>
      <c r="H236" s="1503" t="s">
        <v>5926</v>
      </c>
      <c r="I236" s="1570" t="s">
        <v>5506</v>
      </c>
      <c r="J236" s="1550" t="s">
        <v>530</v>
      </c>
      <c r="K236" s="1571">
        <v>2</v>
      </c>
      <c r="L236" s="1273">
        <v>6</v>
      </c>
      <c r="M236" s="1247">
        <v>21000</v>
      </c>
      <c r="N236" s="1571">
        <v>2</v>
      </c>
      <c r="O236" s="1273">
        <v>6</v>
      </c>
      <c r="P236" s="1247">
        <v>10479</v>
      </c>
    </row>
    <row r="237" spans="1:16" ht="24">
      <c r="A237" s="1245" t="s">
        <v>5510</v>
      </c>
      <c r="B237" s="1246" t="s">
        <v>1880</v>
      </c>
      <c r="C237" s="1246" t="s">
        <v>504</v>
      </c>
      <c r="D237" s="1200" t="s">
        <v>5594</v>
      </c>
      <c r="E237" s="1247">
        <v>4500</v>
      </c>
      <c r="F237" s="1549" t="s">
        <v>6259</v>
      </c>
      <c r="G237" s="1503" t="s">
        <v>6258</v>
      </c>
      <c r="H237" s="1503" t="s">
        <v>6257</v>
      </c>
      <c r="I237" s="1570" t="s">
        <v>5506</v>
      </c>
      <c r="J237" s="1550" t="s">
        <v>5844</v>
      </c>
      <c r="K237" s="1571">
        <v>2</v>
      </c>
      <c r="L237" s="1273">
        <v>6</v>
      </c>
      <c r="M237" s="1247">
        <v>27000</v>
      </c>
      <c r="N237" s="1571">
        <v>2</v>
      </c>
      <c r="O237" s="1273">
        <v>6</v>
      </c>
      <c r="P237" s="1247">
        <v>13500</v>
      </c>
    </row>
    <row r="238" spans="1:16">
      <c r="A238" s="1245" t="s">
        <v>5510</v>
      </c>
      <c r="B238" s="1246" t="s">
        <v>1880</v>
      </c>
      <c r="C238" s="1246" t="s">
        <v>504</v>
      </c>
      <c r="D238" s="1200" t="s">
        <v>6256</v>
      </c>
      <c r="E238" s="1247">
        <v>11000</v>
      </c>
      <c r="F238" s="1549" t="s">
        <v>6255</v>
      </c>
      <c r="G238" s="1503" t="s">
        <v>6254</v>
      </c>
      <c r="H238" s="1503" t="s">
        <v>511</v>
      </c>
      <c r="I238" s="1570" t="s">
        <v>5506</v>
      </c>
      <c r="J238" s="1550" t="s">
        <v>508</v>
      </c>
      <c r="K238" s="1571">
        <v>2</v>
      </c>
      <c r="L238" s="1273">
        <v>6</v>
      </c>
      <c r="M238" s="1247">
        <v>66000</v>
      </c>
      <c r="N238" s="1571">
        <v>2</v>
      </c>
      <c r="O238" s="1273">
        <v>5</v>
      </c>
      <c r="P238" s="1247">
        <v>27500</v>
      </c>
    </row>
    <row r="239" spans="1:16" ht="24">
      <c r="A239" s="1245" t="s">
        <v>5510</v>
      </c>
      <c r="B239" s="1246" t="s">
        <v>1880</v>
      </c>
      <c r="C239" s="1246" t="s">
        <v>504</v>
      </c>
      <c r="D239" s="1200" t="s">
        <v>6253</v>
      </c>
      <c r="E239" s="1247">
        <v>6000</v>
      </c>
      <c r="F239" s="1549" t="s">
        <v>6252</v>
      </c>
      <c r="G239" s="1503" t="s">
        <v>6251</v>
      </c>
      <c r="H239" s="1503" t="s">
        <v>925</v>
      </c>
      <c r="I239" s="1570" t="s">
        <v>5506</v>
      </c>
      <c r="J239" s="1550" t="s">
        <v>515</v>
      </c>
      <c r="K239" s="1571">
        <v>2</v>
      </c>
      <c r="L239" s="1273">
        <v>6</v>
      </c>
      <c r="M239" s="1247">
        <v>35991.25</v>
      </c>
      <c r="N239" s="1571">
        <v>2</v>
      </c>
      <c r="O239" s="1273">
        <v>6</v>
      </c>
      <c r="P239" s="1247">
        <v>18000</v>
      </c>
    </row>
    <row r="240" spans="1:16">
      <c r="A240" s="1245" t="s">
        <v>5510</v>
      </c>
      <c r="B240" s="1246" t="s">
        <v>1880</v>
      </c>
      <c r="C240" s="1246" t="s">
        <v>504</v>
      </c>
      <c r="D240" s="1200" t="s">
        <v>5546</v>
      </c>
      <c r="E240" s="1247">
        <v>3000</v>
      </c>
      <c r="F240" s="1549" t="s">
        <v>6250</v>
      </c>
      <c r="G240" s="1503" t="s">
        <v>6249</v>
      </c>
      <c r="H240" s="1503" t="s">
        <v>619</v>
      </c>
      <c r="I240" s="1570" t="s">
        <v>619</v>
      </c>
      <c r="J240" s="1550" t="s">
        <v>619</v>
      </c>
      <c r="K240" s="1571">
        <v>2</v>
      </c>
      <c r="L240" s="1273">
        <v>6</v>
      </c>
      <c r="M240" s="1247">
        <v>17891.669999999998</v>
      </c>
      <c r="N240" s="1571">
        <v>2</v>
      </c>
      <c r="O240" s="1273">
        <v>6</v>
      </c>
      <c r="P240" s="1247">
        <v>8996.1450000000004</v>
      </c>
    </row>
    <row r="241" spans="1:16" ht="24">
      <c r="A241" s="1245" t="s">
        <v>5510</v>
      </c>
      <c r="B241" s="1246" t="s">
        <v>1880</v>
      </c>
      <c r="C241" s="1246" t="s">
        <v>504</v>
      </c>
      <c r="D241" s="1200" t="s">
        <v>6248</v>
      </c>
      <c r="E241" s="1247">
        <v>3900</v>
      </c>
      <c r="F241" s="1549" t="s">
        <v>6247</v>
      </c>
      <c r="G241" s="1503" t="s">
        <v>6246</v>
      </c>
      <c r="H241" s="1503" t="s">
        <v>1788</v>
      </c>
      <c r="I241" s="1570" t="s">
        <v>5506</v>
      </c>
      <c r="J241" s="1550" t="s">
        <v>519</v>
      </c>
      <c r="K241" s="1571">
        <v>2</v>
      </c>
      <c r="L241" s="1273">
        <v>6</v>
      </c>
      <c r="M241" s="1247">
        <v>23383.75</v>
      </c>
      <c r="N241" s="1571">
        <v>1</v>
      </c>
      <c r="O241" s="1273">
        <v>1</v>
      </c>
      <c r="P241" s="1247">
        <v>1950</v>
      </c>
    </row>
    <row r="242" spans="1:16" ht="48">
      <c r="A242" s="1245" t="s">
        <v>5510</v>
      </c>
      <c r="B242" s="1246" t="s">
        <v>1880</v>
      </c>
      <c r="C242" s="1246" t="s">
        <v>504</v>
      </c>
      <c r="D242" s="1200" t="s">
        <v>6245</v>
      </c>
      <c r="E242" s="1247">
        <v>7000</v>
      </c>
      <c r="F242" s="1549" t="s">
        <v>6244</v>
      </c>
      <c r="G242" s="1503" t="s">
        <v>6243</v>
      </c>
      <c r="H242" s="1503" t="s">
        <v>6242</v>
      </c>
      <c r="I242" s="1570" t="s">
        <v>507</v>
      </c>
      <c r="J242" s="1550" t="s">
        <v>6242</v>
      </c>
      <c r="K242" s="1571">
        <v>1</v>
      </c>
      <c r="L242" s="1273">
        <v>1</v>
      </c>
      <c r="M242" s="1247">
        <v>6300</v>
      </c>
      <c r="N242" s="1571">
        <v>0</v>
      </c>
      <c r="O242" s="1273">
        <v>0</v>
      </c>
      <c r="P242" s="1247">
        <v>0</v>
      </c>
    </row>
    <row r="243" spans="1:16">
      <c r="A243" s="1245" t="s">
        <v>5510</v>
      </c>
      <c r="B243" s="1246" t="s">
        <v>1880</v>
      </c>
      <c r="C243" s="1246" t="s">
        <v>504</v>
      </c>
      <c r="D243" s="1200" t="s">
        <v>511</v>
      </c>
      <c r="E243" s="1247">
        <v>7000</v>
      </c>
      <c r="F243" s="1549" t="s">
        <v>6241</v>
      </c>
      <c r="G243" s="1503" t="s">
        <v>6240</v>
      </c>
      <c r="H243" s="1503" t="s">
        <v>511</v>
      </c>
      <c r="I243" s="1570" t="s">
        <v>5506</v>
      </c>
      <c r="J243" s="1550" t="s">
        <v>508</v>
      </c>
      <c r="K243" s="1571">
        <v>1</v>
      </c>
      <c r="L243" s="1273">
        <v>2</v>
      </c>
      <c r="M243" s="1247">
        <v>8365.49</v>
      </c>
      <c r="N243" s="1571">
        <v>0</v>
      </c>
      <c r="O243" s="1273">
        <v>0</v>
      </c>
      <c r="P243" s="1247">
        <v>0</v>
      </c>
    </row>
    <row r="244" spans="1:16" ht="24">
      <c r="A244" s="1245" t="s">
        <v>5510</v>
      </c>
      <c r="B244" s="1246" t="s">
        <v>1880</v>
      </c>
      <c r="C244" s="1246" t="s">
        <v>504</v>
      </c>
      <c r="D244" s="1200" t="s">
        <v>582</v>
      </c>
      <c r="E244" s="1247">
        <v>3500</v>
      </c>
      <c r="F244" s="1549" t="s">
        <v>6239</v>
      </c>
      <c r="G244" s="1503" t="s">
        <v>6238</v>
      </c>
      <c r="H244" s="1503" t="s">
        <v>6237</v>
      </c>
      <c r="I244" s="1570" t="s">
        <v>499</v>
      </c>
      <c r="J244" s="1550" t="s">
        <v>6237</v>
      </c>
      <c r="K244" s="1571">
        <v>2</v>
      </c>
      <c r="L244" s="1273">
        <v>6</v>
      </c>
      <c r="M244" s="1247">
        <v>20883.330000000002</v>
      </c>
      <c r="N244" s="1571">
        <v>2</v>
      </c>
      <c r="O244" s="1273">
        <v>6</v>
      </c>
      <c r="P244" s="1247">
        <v>10414.790000000001</v>
      </c>
    </row>
    <row r="245" spans="1:16" ht="36">
      <c r="A245" s="1245" t="s">
        <v>5510</v>
      </c>
      <c r="B245" s="1246" t="s">
        <v>1880</v>
      </c>
      <c r="C245" s="1246" t="s">
        <v>504</v>
      </c>
      <c r="D245" s="1200" t="s">
        <v>5594</v>
      </c>
      <c r="E245" s="1247">
        <v>3000</v>
      </c>
      <c r="F245" s="1549" t="s">
        <v>6236</v>
      </c>
      <c r="G245" s="1503" t="s">
        <v>6235</v>
      </c>
      <c r="H245" s="1503" t="s">
        <v>5318</v>
      </c>
      <c r="I245" s="1570" t="s">
        <v>5506</v>
      </c>
      <c r="J245" s="1550" t="s">
        <v>5318</v>
      </c>
      <c r="K245" s="1571">
        <v>2</v>
      </c>
      <c r="L245" s="1273">
        <v>6</v>
      </c>
      <c r="M245" s="1247">
        <v>18000</v>
      </c>
      <c r="N245" s="1571">
        <v>2</v>
      </c>
      <c r="O245" s="1273">
        <v>6</v>
      </c>
      <c r="P245" s="1247">
        <v>9000</v>
      </c>
    </row>
    <row r="246" spans="1:16" ht="36">
      <c r="A246" s="1245" t="s">
        <v>5510</v>
      </c>
      <c r="B246" s="1246" t="s">
        <v>1880</v>
      </c>
      <c r="C246" s="1246" t="s">
        <v>504</v>
      </c>
      <c r="D246" s="1200" t="s">
        <v>5680</v>
      </c>
      <c r="E246" s="1247">
        <v>4000</v>
      </c>
      <c r="F246" s="1549" t="s">
        <v>6234</v>
      </c>
      <c r="G246" s="1503" t="s">
        <v>6233</v>
      </c>
      <c r="H246" s="1503" t="s">
        <v>4982</v>
      </c>
      <c r="I246" s="1570" t="s">
        <v>5506</v>
      </c>
      <c r="J246" s="1550" t="s">
        <v>526</v>
      </c>
      <c r="K246" s="1571">
        <v>2</v>
      </c>
      <c r="L246" s="1273">
        <v>4</v>
      </c>
      <c r="M246" s="1247">
        <v>13147.77</v>
      </c>
      <c r="N246" s="1571">
        <v>0</v>
      </c>
      <c r="O246" s="1273">
        <v>0</v>
      </c>
      <c r="P246" s="1247">
        <v>0</v>
      </c>
    </row>
    <row r="247" spans="1:16" ht="36">
      <c r="A247" s="1245" t="s">
        <v>5510</v>
      </c>
      <c r="B247" s="1246" t="s">
        <v>1880</v>
      </c>
      <c r="C247" s="1246" t="s">
        <v>504</v>
      </c>
      <c r="D247" s="1200" t="s">
        <v>5680</v>
      </c>
      <c r="E247" s="1247">
        <v>5000</v>
      </c>
      <c r="F247" s="1549" t="s">
        <v>6234</v>
      </c>
      <c r="G247" s="1503" t="s">
        <v>6233</v>
      </c>
      <c r="H247" s="1503" t="s">
        <v>4982</v>
      </c>
      <c r="I247" s="1570" t="s">
        <v>5506</v>
      </c>
      <c r="J247" s="1550" t="s">
        <v>526</v>
      </c>
      <c r="K247" s="1571">
        <v>1</v>
      </c>
      <c r="L247" s="1273">
        <v>2</v>
      </c>
      <c r="M247" s="1247">
        <v>10000</v>
      </c>
      <c r="N247" s="1571">
        <v>2</v>
      </c>
      <c r="O247" s="1273">
        <v>6</v>
      </c>
      <c r="P247" s="1247">
        <v>14997.05</v>
      </c>
    </row>
    <row r="248" spans="1:16" ht="48">
      <c r="A248" s="1245" t="s">
        <v>5510</v>
      </c>
      <c r="B248" s="1246" t="s">
        <v>1880</v>
      </c>
      <c r="C248" s="1246" t="s">
        <v>504</v>
      </c>
      <c r="D248" s="1200" t="s">
        <v>5682</v>
      </c>
      <c r="E248" s="1247">
        <v>5000</v>
      </c>
      <c r="F248" s="1549" t="s">
        <v>6234</v>
      </c>
      <c r="G248" s="1503" t="s">
        <v>6233</v>
      </c>
      <c r="H248" s="1503" t="s">
        <v>526</v>
      </c>
      <c r="I248" s="1570" t="s">
        <v>5516</v>
      </c>
      <c r="J248" s="1550" t="s">
        <v>526</v>
      </c>
      <c r="K248" s="1571">
        <v>1</v>
      </c>
      <c r="L248" s="1273">
        <v>3</v>
      </c>
      <c r="M248" s="1247">
        <v>13500</v>
      </c>
      <c r="N248" s="1571">
        <v>2</v>
      </c>
      <c r="O248" s="1273">
        <v>6</v>
      </c>
      <c r="P248" s="1247">
        <v>14997.05</v>
      </c>
    </row>
    <row r="249" spans="1:16" ht="36">
      <c r="A249" s="1245" t="s">
        <v>5510</v>
      </c>
      <c r="B249" s="1246" t="s">
        <v>1880</v>
      </c>
      <c r="C249" s="1246" t="s">
        <v>504</v>
      </c>
      <c r="D249" s="1200" t="s">
        <v>6232</v>
      </c>
      <c r="E249" s="1247">
        <v>3000</v>
      </c>
      <c r="F249" s="1549" t="s">
        <v>6231</v>
      </c>
      <c r="G249" s="1503" t="s">
        <v>6230</v>
      </c>
      <c r="H249" s="1503" t="s">
        <v>1885</v>
      </c>
      <c r="I249" s="1570" t="s">
        <v>499</v>
      </c>
      <c r="J249" s="1550" t="s">
        <v>5029</v>
      </c>
      <c r="K249" s="1571">
        <v>2</v>
      </c>
      <c r="L249" s="1273">
        <v>6</v>
      </c>
      <c r="M249" s="1247">
        <v>17974.159999999996</v>
      </c>
      <c r="N249" s="1571">
        <v>2</v>
      </c>
      <c r="O249" s="1273">
        <v>6</v>
      </c>
      <c r="P249" s="1247">
        <v>8987.7099999999991</v>
      </c>
    </row>
    <row r="250" spans="1:16" ht="24">
      <c r="A250" s="1245" t="s">
        <v>5510</v>
      </c>
      <c r="B250" s="1246" t="s">
        <v>1880</v>
      </c>
      <c r="C250" s="1246" t="s">
        <v>504</v>
      </c>
      <c r="D250" s="1200" t="s">
        <v>1688</v>
      </c>
      <c r="E250" s="1247">
        <v>3000</v>
      </c>
      <c r="F250" s="1549" t="s">
        <v>6229</v>
      </c>
      <c r="G250" s="1503" t="s">
        <v>6228</v>
      </c>
      <c r="H250" s="1503" t="s">
        <v>6227</v>
      </c>
      <c r="I250" s="1570" t="s">
        <v>499</v>
      </c>
      <c r="J250" s="1550" t="s">
        <v>5235</v>
      </c>
      <c r="K250" s="1571">
        <v>2</v>
      </c>
      <c r="L250" s="1273">
        <v>6</v>
      </c>
      <c r="M250" s="1247">
        <v>18000</v>
      </c>
      <c r="N250" s="1571">
        <v>2</v>
      </c>
      <c r="O250" s="1273">
        <v>6</v>
      </c>
      <c r="P250" s="1247">
        <v>9000</v>
      </c>
    </row>
    <row r="251" spans="1:16" ht="24">
      <c r="A251" s="1245" t="s">
        <v>5510</v>
      </c>
      <c r="B251" s="1246" t="s">
        <v>1880</v>
      </c>
      <c r="C251" s="1246" t="s">
        <v>504</v>
      </c>
      <c r="D251" s="1200" t="s">
        <v>5590</v>
      </c>
      <c r="E251" s="1247">
        <v>3500</v>
      </c>
      <c r="F251" s="1549" t="s">
        <v>6226</v>
      </c>
      <c r="G251" s="1503" t="s">
        <v>6225</v>
      </c>
      <c r="H251" s="1503" t="s">
        <v>1788</v>
      </c>
      <c r="I251" s="1570" t="s">
        <v>5506</v>
      </c>
      <c r="J251" s="1550" t="s">
        <v>519</v>
      </c>
      <c r="K251" s="1571">
        <v>2</v>
      </c>
      <c r="L251" s="1273">
        <v>6</v>
      </c>
      <c r="M251" s="1247">
        <v>20943.84</v>
      </c>
      <c r="N251" s="1571">
        <v>0</v>
      </c>
      <c r="O251" s="1273">
        <v>0</v>
      </c>
      <c r="P251" s="1247">
        <v>0</v>
      </c>
    </row>
    <row r="252" spans="1:16" ht="48">
      <c r="A252" s="1245" t="s">
        <v>5510</v>
      </c>
      <c r="B252" s="1246" t="s">
        <v>1880</v>
      </c>
      <c r="C252" s="1246" t="s">
        <v>504</v>
      </c>
      <c r="D252" s="1200" t="s">
        <v>6224</v>
      </c>
      <c r="E252" s="1247">
        <v>7000</v>
      </c>
      <c r="F252" s="1549" t="s">
        <v>6223</v>
      </c>
      <c r="G252" s="1503" t="s">
        <v>6222</v>
      </c>
      <c r="H252" s="1503"/>
      <c r="I252" s="1570"/>
      <c r="J252" s="1550"/>
      <c r="K252" s="1571">
        <v>2</v>
      </c>
      <c r="L252" s="1273">
        <v>4</v>
      </c>
      <c r="M252" s="1247">
        <v>25190.28</v>
      </c>
      <c r="N252" s="1571">
        <v>2</v>
      </c>
      <c r="O252" s="1273">
        <v>6</v>
      </c>
      <c r="P252" s="1247">
        <v>21000</v>
      </c>
    </row>
    <row r="253" spans="1:16" ht="24">
      <c r="A253" s="1245" t="s">
        <v>5510</v>
      </c>
      <c r="B253" s="1246" t="s">
        <v>1880</v>
      </c>
      <c r="C253" s="1246" t="s">
        <v>504</v>
      </c>
      <c r="D253" s="1200" t="s">
        <v>6221</v>
      </c>
      <c r="E253" s="1247">
        <v>7000</v>
      </c>
      <c r="F253" s="1549" t="s">
        <v>6220</v>
      </c>
      <c r="G253" s="1503" t="s">
        <v>6219</v>
      </c>
      <c r="H253" s="1503"/>
      <c r="I253" s="1570"/>
      <c r="J253" s="1550"/>
      <c r="K253" s="1571">
        <v>2</v>
      </c>
      <c r="L253" s="1273">
        <v>4</v>
      </c>
      <c r="M253" s="1247">
        <v>30791.25</v>
      </c>
      <c r="N253" s="1571">
        <v>2</v>
      </c>
      <c r="O253" s="1273">
        <v>6</v>
      </c>
      <c r="P253" s="1247">
        <v>21000</v>
      </c>
    </row>
    <row r="254" spans="1:16" ht="24">
      <c r="A254" s="1245" t="s">
        <v>5510</v>
      </c>
      <c r="B254" s="1246" t="s">
        <v>1880</v>
      </c>
      <c r="C254" s="1246" t="s">
        <v>504</v>
      </c>
      <c r="D254" s="1200" t="s">
        <v>6218</v>
      </c>
      <c r="E254" s="1247">
        <v>4000</v>
      </c>
      <c r="F254" s="1549" t="s">
        <v>6217</v>
      </c>
      <c r="G254" s="1503" t="s">
        <v>6216</v>
      </c>
      <c r="H254" s="1503" t="s">
        <v>2615</v>
      </c>
      <c r="I254" s="1570" t="s">
        <v>499</v>
      </c>
      <c r="J254" s="1550" t="s">
        <v>6215</v>
      </c>
      <c r="K254" s="1571">
        <v>2</v>
      </c>
      <c r="L254" s="1273">
        <v>6</v>
      </c>
      <c r="M254" s="1247">
        <v>24000</v>
      </c>
      <c r="N254" s="1571">
        <v>2</v>
      </c>
      <c r="O254" s="1273">
        <v>6</v>
      </c>
      <c r="P254" s="1247">
        <v>12000</v>
      </c>
    </row>
    <row r="255" spans="1:16" ht="24">
      <c r="A255" s="1245" t="s">
        <v>5510</v>
      </c>
      <c r="B255" s="1246" t="s">
        <v>1880</v>
      </c>
      <c r="C255" s="1246" t="s">
        <v>504</v>
      </c>
      <c r="D255" s="1200" t="s">
        <v>503</v>
      </c>
      <c r="E255" s="1247">
        <v>3000</v>
      </c>
      <c r="F255" s="1549" t="s">
        <v>6214</v>
      </c>
      <c r="G255" s="1503" t="s">
        <v>6213</v>
      </c>
      <c r="H255" s="1503" t="s">
        <v>6212</v>
      </c>
      <c r="I255" s="1570" t="s">
        <v>5506</v>
      </c>
      <c r="J255" s="1550" t="s">
        <v>6211</v>
      </c>
      <c r="K255" s="1571">
        <v>2</v>
      </c>
      <c r="L255" s="1273">
        <v>6</v>
      </c>
      <c r="M255" s="1247">
        <v>14954.089999999998</v>
      </c>
      <c r="N255" s="1571">
        <v>2</v>
      </c>
      <c r="O255" s="1273">
        <v>6</v>
      </c>
      <c r="P255" s="1247">
        <v>8991.1450000000004</v>
      </c>
    </row>
    <row r="256" spans="1:16" ht="24">
      <c r="A256" s="1245" t="s">
        <v>5510</v>
      </c>
      <c r="B256" s="1246" t="s">
        <v>1880</v>
      </c>
      <c r="C256" s="1246" t="s">
        <v>504</v>
      </c>
      <c r="D256" s="1200" t="s">
        <v>6210</v>
      </c>
      <c r="E256" s="1247">
        <v>2000</v>
      </c>
      <c r="F256" s="1549" t="s">
        <v>6209</v>
      </c>
      <c r="G256" s="1503" t="s">
        <v>6208</v>
      </c>
      <c r="H256" s="1503" t="s">
        <v>3836</v>
      </c>
      <c r="I256" s="1570" t="s">
        <v>499</v>
      </c>
      <c r="J256" s="1550" t="s">
        <v>519</v>
      </c>
      <c r="K256" s="1571">
        <v>2</v>
      </c>
      <c r="L256" s="1273">
        <v>6</v>
      </c>
      <c r="M256" s="1247">
        <v>12000</v>
      </c>
      <c r="N256" s="1571">
        <v>2</v>
      </c>
      <c r="O256" s="1273">
        <v>6</v>
      </c>
      <c r="P256" s="1247">
        <v>6000</v>
      </c>
    </row>
    <row r="257" spans="1:16" ht="24">
      <c r="A257" s="1245" t="s">
        <v>5510</v>
      </c>
      <c r="B257" s="1246" t="s">
        <v>1880</v>
      </c>
      <c r="C257" s="1246" t="s">
        <v>504</v>
      </c>
      <c r="D257" s="1200" t="s">
        <v>728</v>
      </c>
      <c r="E257" s="1247">
        <v>7000</v>
      </c>
      <c r="F257" s="1549" t="s">
        <v>6207</v>
      </c>
      <c r="G257" s="1503" t="s">
        <v>6206</v>
      </c>
      <c r="H257" s="1503" t="s">
        <v>534</v>
      </c>
      <c r="I257" s="1570" t="s">
        <v>5516</v>
      </c>
      <c r="J257" s="1550" t="s">
        <v>534</v>
      </c>
      <c r="K257" s="1571">
        <v>1</v>
      </c>
      <c r="L257" s="1273">
        <v>2</v>
      </c>
      <c r="M257" s="1247">
        <v>11666.67</v>
      </c>
      <c r="N257" s="1571">
        <v>2</v>
      </c>
      <c r="O257" s="1273">
        <v>6</v>
      </c>
      <c r="P257" s="1247">
        <v>21000</v>
      </c>
    </row>
    <row r="258" spans="1:16" ht="36">
      <c r="A258" s="1245" t="s">
        <v>5510</v>
      </c>
      <c r="B258" s="1246" t="s">
        <v>1880</v>
      </c>
      <c r="C258" s="1246" t="s">
        <v>504</v>
      </c>
      <c r="D258" s="1200" t="s">
        <v>6205</v>
      </c>
      <c r="E258" s="1247">
        <v>4000</v>
      </c>
      <c r="F258" s="1549" t="s">
        <v>6204</v>
      </c>
      <c r="G258" s="1503" t="s">
        <v>6203</v>
      </c>
      <c r="H258" s="1503" t="s">
        <v>5662</v>
      </c>
      <c r="I258" s="1570" t="s">
        <v>507</v>
      </c>
      <c r="J258" s="1550" t="s">
        <v>5662</v>
      </c>
      <c r="K258" s="1571">
        <v>2</v>
      </c>
      <c r="L258" s="1273">
        <v>6</v>
      </c>
      <c r="M258" s="1247">
        <v>23937.22</v>
      </c>
      <c r="N258" s="1571">
        <v>2</v>
      </c>
      <c r="O258" s="1273">
        <v>6</v>
      </c>
      <c r="P258" s="1247">
        <v>11977.355</v>
      </c>
    </row>
    <row r="259" spans="1:16">
      <c r="A259" s="1245" t="s">
        <v>5510</v>
      </c>
      <c r="B259" s="1246" t="s">
        <v>1880</v>
      </c>
      <c r="C259" s="1246" t="s">
        <v>504</v>
      </c>
      <c r="D259" s="1200" t="s">
        <v>622</v>
      </c>
      <c r="E259" s="1247">
        <v>2000</v>
      </c>
      <c r="F259" s="1549" t="s">
        <v>6202</v>
      </c>
      <c r="G259" s="1503" t="s">
        <v>6201</v>
      </c>
      <c r="H259" s="1503" t="s">
        <v>619</v>
      </c>
      <c r="I259" s="1570" t="s">
        <v>619</v>
      </c>
      <c r="J259" s="1550" t="s">
        <v>619</v>
      </c>
      <c r="K259" s="1571">
        <v>2</v>
      </c>
      <c r="L259" s="1273">
        <v>6</v>
      </c>
      <c r="M259" s="1247">
        <v>12000</v>
      </c>
      <c r="N259" s="1571">
        <v>2</v>
      </c>
      <c r="O259" s="1273">
        <v>6</v>
      </c>
      <c r="P259" s="1247">
        <v>6000</v>
      </c>
    </row>
    <row r="260" spans="1:16" ht="36">
      <c r="A260" s="1245" t="s">
        <v>5510</v>
      </c>
      <c r="B260" s="1246" t="s">
        <v>1880</v>
      </c>
      <c r="C260" s="1246" t="s">
        <v>504</v>
      </c>
      <c r="D260" s="1200" t="s">
        <v>6200</v>
      </c>
      <c r="E260" s="1247">
        <v>3500</v>
      </c>
      <c r="F260" s="1549" t="s">
        <v>6199</v>
      </c>
      <c r="G260" s="1503" t="s">
        <v>6198</v>
      </c>
      <c r="H260" s="1503" t="s">
        <v>3381</v>
      </c>
      <c r="I260" s="1570" t="s">
        <v>499</v>
      </c>
      <c r="J260" s="1550" t="s">
        <v>6033</v>
      </c>
      <c r="K260" s="1571">
        <v>2</v>
      </c>
      <c r="L260" s="1273">
        <v>6</v>
      </c>
      <c r="M260" s="1247">
        <v>21000</v>
      </c>
      <c r="N260" s="1571">
        <v>2</v>
      </c>
      <c r="O260" s="1273">
        <v>6</v>
      </c>
      <c r="P260" s="1247">
        <v>10500</v>
      </c>
    </row>
    <row r="261" spans="1:16">
      <c r="A261" s="1245" t="s">
        <v>5510</v>
      </c>
      <c r="B261" s="1246" t="s">
        <v>1880</v>
      </c>
      <c r="C261" s="1246" t="s">
        <v>504</v>
      </c>
      <c r="D261" s="1200" t="s">
        <v>5756</v>
      </c>
      <c r="E261" s="1247">
        <v>4000</v>
      </c>
      <c r="F261" s="1549" t="s">
        <v>6197</v>
      </c>
      <c r="G261" s="1503" t="s">
        <v>6196</v>
      </c>
      <c r="H261" s="1503" t="s">
        <v>1788</v>
      </c>
      <c r="I261" s="1570" t="s">
        <v>5506</v>
      </c>
      <c r="J261" s="1550" t="s">
        <v>519</v>
      </c>
      <c r="K261" s="1571">
        <v>2</v>
      </c>
      <c r="L261" s="1273">
        <v>6</v>
      </c>
      <c r="M261" s="1247">
        <v>24000</v>
      </c>
      <c r="N261" s="1571">
        <v>2</v>
      </c>
      <c r="O261" s="1273">
        <v>6</v>
      </c>
      <c r="P261" s="1247">
        <v>12000</v>
      </c>
    </row>
    <row r="262" spans="1:16" ht="24">
      <c r="A262" s="1245" t="s">
        <v>5510</v>
      </c>
      <c r="B262" s="1246" t="s">
        <v>1880</v>
      </c>
      <c r="C262" s="1246" t="s">
        <v>504</v>
      </c>
      <c r="D262" s="1200" t="s">
        <v>2308</v>
      </c>
      <c r="E262" s="1247">
        <v>3500</v>
      </c>
      <c r="F262" s="1549" t="s">
        <v>6195</v>
      </c>
      <c r="G262" s="1503" t="s">
        <v>6194</v>
      </c>
      <c r="H262" s="1503" t="s">
        <v>619</v>
      </c>
      <c r="I262" s="1570" t="s">
        <v>619</v>
      </c>
      <c r="J262" s="1550" t="s">
        <v>619</v>
      </c>
      <c r="K262" s="1571">
        <v>2</v>
      </c>
      <c r="L262" s="1273">
        <v>6</v>
      </c>
      <c r="M262" s="1247">
        <v>20868.97</v>
      </c>
      <c r="N262" s="1571">
        <v>2</v>
      </c>
      <c r="O262" s="1273">
        <v>6</v>
      </c>
      <c r="P262" s="1247">
        <v>10484.684999999999</v>
      </c>
    </row>
    <row r="263" spans="1:16" ht="24">
      <c r="A263" s="1245" t="s">
        <v>5510</v>
      </c>
      <c r="B263" s="1246" t="s">
        <v>1880</v>
      </c>
      <c r="C263" s="1246" t="s">
        <v>504</v>
      </c>
      <c r="D263" s="1200" t="s">
        <v>6193</v>
      </c>
      <c r="E263" s="1247">
        <v>4500</v>
      </c>
      <c r="F263" s="1549" t="s">
        <v>6192</v>
      </c>
      <c r="G263" s="1503" t="s">
        <v>6191</v>
      </c>
      <c r="H263" s="1503" t="s">
        <v>1499</v>
      </c>
      <c r="I263" s="1570" t="s">
        <v>5525</v>
      </c>
      <c r="J263" s="1550" t="s">
        <v>1499</v>
      </c>
      <c r="K263" s="1571">
        <v>2</v>
      </c>
      <c r="L263" s="1273">
        <v>6</v>
      </c>
      <c r="M263" s="1247">
        <v>27000</v>
      </c>
      <c r="N263" s="1571">
        <v>2</v>
      </c>
      <c r="O263" s="1273">
        <v>6</v>
      </c>
      <c r="P263" s="1247">
        <v>13500</v>
      </c>
    </row>
    <row r="264" spans="1:16" ht="48">
      <c r="A264" s="1245" t="s">
        <v>5510</v>
      </c>
      <c r="B264" s="1246" t="s">
        <v>1880</v>
      </c>
      <c r="C264" s="1246" t="s">
        <v>504</v>
      </c>
      <c r="D264" s="1200" t="s">
        <v>6189</v>
      </c>
      <c r="E264" s="1247">
        <v>2500</v>
      </c>
      <c r="F264" s="1549" t="s">
        <v>6188</v>
      </c>
      <c r="G264" s="1503" t="s">
        <v>6190</v>
      </c>
      <c r="H264" s="1503" t="s">
        <v>1842</v>
      </c>
      <c r="I264" s="1570" t="s">
        <v>5506</v>
      </c>
      <c r="J264" s="1550" t="s">
        <v>526</v>
      </c>
      <c r="K264" s="1571">
        <v>2</v>
      </c>
      <c r="L264" s="1273">
        <v>4</v>
      </c>
      <c r="M264" s="1247">
        <v>8247.74</v>
      </c>
      <c r="N264" s="1571">
        <v>0</v>
      </c>
      <c r="O264" s="1273">
        <v>0</v>
      </c>
      <c r="P264" s="1247">
        <v>0</v>
      </c>
    </row>
    <row r="265" spans="1:16" ht="48">
      <c r="A265" s="1245" t="s">
        <v>5510</v>
      </c>
      <c r="B265" s="1246" t="s">
        <v>1880</v>
      </c>
      <c r="C265" s="1246" t="s">
        <v>504</v>
      </c>
      <c r="D265" s="1200" t="s">
        <v>6189</v>
      </c>
      <c r="E265" s="1247">
        <v>4000</v>
      </c>
      <c r="F265" s="1549" t="s">
        <v>6188</v>
      </c>
      <c r="G265" s="1503" t="s">
        <v>6190</v>
      </c>
      <c r="H265" s="1503" t="s">
        <v>1842</v>
      </c>
      <c r="I265" s="1570" t="s">
        <v>5506</v>
      </c>
      <c r="J265" s="1550" t="s">
        <v>526</v>
      </c>
      <c r="K265" s="1571">
        <v>1</v>
      </c>
      <c r="L265" s="1273">
        <v>3</v>
      </c>
      <c r="M265" s="1247">
        <v>10796.39</v>
      </c>
      <c r="N265" s="1571">
        <v>2</v>
      </c>
      <c r="O265" s="1273">
        <v>6</v>
      </c>
      <c r="P265" s="1247">
        <v>12000</v>
      </c>
    </row>
    <row r="266" spans="1:16" ht="48">
      <c r="A266" s="1245" t="s">
        <v>5510</v>
      </c>
      <c r="B266" s="1246" t="s">
        <v>1880</v>
      </c>
      <c r="C266" s="1246" t="s">
        <v>504</v>
      </c>
      <c r="D266" s="1200" t="s">
        <v>6189</v>
      </c>
      <c r="E266" s="1247">
        <v>4000</v>
      </c>
      <c r="F266" s="1549" t="s">
        <v>6188</v>
      </c>
      <c r="G266" s="1503" t="s">
        <v>6187</v>
      </c>
      <c r="H266" s="1503" t="s">
        <v>526</v>
      </c>
      <c r="I266" s="1570" t="s">
        <v>5516</v>
      </c>
      <c r="J266" s="1550" t="s">
        <v>526</v>
      </c>
      <c r="K266" s="1571">
        <v>1</v>
      </c>
      <c r="L266" s="1273">
        <v>3</v>
      </c>
      <c r="M266" s="1247">
        <v>10796.39</v>
      </c>
      <c r="N266" s="1571">
        <v>2</v>
      </c>
      <c r="O266" s="1273">
        <v>6</v>
      </c>
      <c r="P266" s="1247">
        <v>12000</v>
      </c>
    </row>
    <row r="267" spans="1:16">
      <c r="A267" s="1245" t="s">
        <v>5510</v>
      </c>
      <c r="B267" s="1246" t="s">
        <v>1880</v>
      </c>
      <c r="C267" s="1246" t="s">
        <v>504</v>
      </c>
      <c r="D267" s="1200" t="s">
        <v>4339</v>
      </c>
      <c r="E267" s="1247">
        <v>12000</v>
      </c>
      <c r="F267" s="1549" t="s">
        <v>5373</v>
      </c>
      <c r="G267" s="1503" t="s">
        <v>5372</v>
      </c>
      <c r="H267" s="1503" t="s">
        <v>6186</v>
      </c>
      <c r="I267" s="1570" t="s">
        <v>5506</v>
      </c>
      <c r="J267" s="1550" t="s">
        <v>6185</v>
      </c>
      <c r="K267" s="1571">
        <v>2</v>
      </c>
      <c r="L267" s="1273">
        <v>5</v>
      </c>
      <c r="M267" s="1247">
        <v>51200</v>
      </c>
      <c r="N267" s="1571">
        <v>0</v>
      </c>
      <c r="O267" s="1273">
        <v>0</v>
      </c>
      <c r="P267" s="1247">
        <v>0</v>
      </c>
    </row>
    <row r="268" spans="1:16" ht="24">
      <c r="A268" s="1245" t="s">
        <v>5510</v>
      </c>
      <c r="B268" s="1246" t="s">
        <v>1880</v>
      </c>
      <c r="C268" s="1246" t="s">
        <v>504</v>
      </c>
      <c r="D268" s="1200" t="s">
        <v>6184</v>
      </c>
      <c r="E268" s="1247">
        <v>4500</v>
      </c>
      <c r="F268" s="1549" t="s">
        <v>6183</v>
      </c>
      <c r="G268" s="1503" t="s">
        <v>6182</v>
      </c>
      <c r="H268" s="1503" t="s">
        <v>5662</v>
      </c>
      <c r="I268" s="1570" t="s">
        <v>5506</v>
      </c>
      <c r="J268" s="1550" t="s">
        <v>5662</v>
      </c>
      <c r="K268" s="1571">
        <v>2</v>
      </c>
      <c r="L268" s="1273">
        <v>6</v>
      </c>
      <c r="M268" s="1247">
        <v>27000</v>
      </c>
      <c r="N268" s="1571">
        <v>2</v>
      </c>
      <c r="O268" s="1273">
        <v>6</v>
      </c>
      <c r="P268" s="1247">
        <v>13500</v>
      </c>
    </row>
    <row r="269" spans="1:16" ht="24">
      <c r="A269" s="1245" t="s">
        <v>5510</v>
      </c>
      <c r="B269" s="1246" t="s">
        <v>1880</v>
      </c>
      <c r="C269" s="1246" t="s">
        <v>504</v>
      </c>
      <c r="D269" s="1200" t="s">
        <v>5753</v>
      </c>
      <c r="E269" s="1247">
        <v>3500</v>
      </c>
      <c r="F269" s="1549" t="s">
        <v>6181</v>
      </c>
      <c r="G269" s="1503" t="s">
        <v>6180</v>
      </c>
      <c r="H269" s="1503"/>
      <c r="I269" s="1570"/>
      <c r="J269" s="1550"/>
      <c r="K269" s="1571">
        <v>1</v>
      </c>
      <c r="L269" s="1273">
        <v>1</v>
      </c>
      <c r="M269" s="1247">
        <v>3383.33</v>
      </c>
      <c r="N269" s="1571">
        <v>0</v>
      </c>
      <c r="O269" s="1273">
        <v>0</v>
      </c>
      <c r="P269" s="1247">
        <v>0</v>
      </c>
    </row>
    <row r="270" spans="1:16">
      <c r="A270" s="1245" t="s">
        <v>5510</v>
      </c>
      <c r="B270" s="1246" t="s">
        <v>1880</v>
      </c>
      <c r="C270" s="1246" t="s">
        <v>504</v>
      </c>
      <c r="D270" s="1200" t="s">
        <v>6179</v>
      </c>
      <c r="E270" s="1247">
        <v>2500</v>
      </c>
      <c r="F270" s="1549" t="s">
        <v>6178</v>
      </c>
      <c r="G270" s="1503" t="s">
        <v>6177</v>
      </c>
      <c r="H270" s="1503" t="s">
        <v>6176</v>
      </c>
      <c r="I270" s="1570" t="s">
        <v>619</v>
      </c>
      <c r="J270" s="1550" t="s">
        <v>619</v>
      </c>
      <c r="K270" s="1571">
        <v>2</v>
      </c>
      <c r="L270" s="1273">
        <v>6</v>
      </c>
      <c r="M270" s="1247">
        <v>15000</v>
      </c>
      <c r="N270" s="1571">
        <v>2</v>
      </c>
      <c r="O270" s="1273">
        <v>6</v>
      </c>
      <c r="P270" s="1247">
        <v>7500</v>
      </c>
    </row>
    <row r="271" spans="1:16" ht="24">
      <c r="A271" s="1245" t="s">
        <v>5510</v>
      </c>
      <c r="B271" s="1246" t="s">
        <v>1880</v>
      </c>
      <c r="C271" s="1246" t="s">
        <v>504</v>
      </c>
      <c r="D271" s="1200" t="s">
        <v>5772</v>
      </c>
      <c r="E271" s="1247">
        <v>3500</v>
      </c>
      <c r="F271" s="1549" t="s">
        <v>6175</v>
      </c>
      <c r="G271" s="1503" t="s">
        <v>6174</v>
      </c>
      <c r="H271" s="1503" t="s">
        <v>6173</v>
      </c>
      <c r="I271" s="1570" t="s">
        <v>5506</v>
      </c>
      <c r="J271" s="1550" t="s">
        <v>5844</v>
      </c>
      <c r="K271" s="1571">
        <v>2</v>
      </c>
      <c r="L271" s="1273">
        <v>6</v>
      </c>
      <c r="M271" s="1247">
        <v>21000</v>
      </c>
      <c r="N271" s="1571">
        <v>2</v>
      </c>
      <c r="O271" s="1273">
        <v>6</v>
      </c>
      <c r="P271" s="1247">
        <v>10500</v>
      </c>
    </row>
    <row r="272" spans="1:16" ht="24">
      <c r="A272" s="1245" t="s">
        <v>5510</v>
      </c>
      <c r="B272" s="1246" t="s">
        <v>1880</v>
      </c>
      <c r="C272" s="1246" t="s">
        <v>504</v>
      </c>
      <c r="D272" s="1200" t="s">
        <v>6172</v>
      </c>
      <c r="E272" s="1247">
        <v>5500</v>
      </c>
      <c r="F272" s="1549" t="s">
        <v>6170</v>
      </c>
      <c r="G272" s="1503" t="s">
        <v>6169</v>
      </c>
      <c r="H272" s="1503" t="s">
        <v>5183</v>
      </c>
      <c r="I272" s="1570" t="s">
        <v>507</v>
      </c>
      <c r="J272" s="1550" t="s">
        <v>526</v>
      </c>
      <c r="K272" s="1571">
        <v>2</v>
      </c>
      <c r="L272" s="1273">
        <v>4</v>
      </c>
      <c r="M272" s="1247">
        <v>21950.35</v>
      </c>
      <c r="N272" s="1571">
        <v>0</v>
      </c>
      <c r="O272" s="1273">
        <v>0</v>
      </c>
      <c r="P272" s="1247">
        <v>0</v>
      </c>
    </row>
    <row r="273" spans="1:16" ht="36">
      <c r="A273" s="1245" t="s">
        <v>5510</v>
      </c>
      <c r="B273" s="1246" t="s">
        <v>1880</v>
      </c>
      <c r="C273" s="1246" t="s">
        <v>504</v>
      </c>
      <c r="D273" s="1200" t="s">
        <v>6171</v>
      </c>
      <c r="E273" s="1247">
        <v>7000</v>
      </c>
      <c r="F273" s="1549" t="s">
        <v>6170</v>
      </c>
      <c r="G273" s="1503" t="s">
        <v>6169</v>
      </c>
      <c r="H273" s="1503" t="s">
        <v>5183</v>
      </c>
      <c r="I273" s="1570" t="s">
        <v>507</v>
      </c>
      <c r="J273" s="1550" t="s">
        <v>526</v>
      </c>
      <c r="K273" s="1571">
        <v>1</v>
      </c>
      <c r="L273" s="1273">
        <v>2</v>
      </c>
      <c r="M273" s="1247">
        <v>14466.67</v>
      </c>
      <c r="N273" s="1571">
        <v>2</v>
      </c>
      <c r="O273" s="1273">
        <v>6</v>
      </c>
      <c r="P273" s="1247">
        <v>20964.03</v>
      </c>
    </row>
    <row r="274" spans="1:16" ht="24">
      <c r="A274" s="1245" t="s">
        <v>5510</v>
      </c>
      <c r="B274" s="1246" t="s">
        <v>1880</v>
      </c>
      <c r="C274" s="1246" t="s">
        <v>504</v>
      </c>
      <c r="D274" s="1200" t="s">
        <v>5753</v>
      </c>
      <c r="E274" s="1247">
        <v>3500</v>
      </c>
      <c r="F274" s="1549" t="s">
        <v>6168</v>
      </c>
      <c r="G274" s="1503" t="s">
        <v>6167</v>
      </c>
      <c r="H274" s="1503" t="s">
        <v>994</v>
      </c>
      <c r="I274" s="1570"/>
      <c r="J274" s="1550" t="s">
        <v>994</v>
      </c>
      <c r="K274" s="1571">
        <v>1</v>
      </c>
      <c r="L274" s="1273">
        <v>1</v>
      </c>
      <c r="M274" s="1247">
        <v>3383.33</v>
      </c>
      <c r="N274" s="1571">
        <v>0</v>
      </c>
      <c r="O274" s="1273">
        <v>0</v>
      </c>
      <c r="P274" s="1247">
        <v>0</v>
      </c>
    </row>
    <row r="275" spans="1:16" ht="24">
      <c r="A275" s="1245" t="s">
        <v>5510</v>
      </c>
      <c r="B275" s="1246" t="s">
        <v>1880</v>
      </c>
      <c r="C275" s="1246" t="s">
        <v>504</v>
      </c>
      <c r="D275" s="1200" t="s">
        <v>5849</v>
      </c>
      <c r="E275" s="1247">
        <v>6000</v>
      </c>
      <c r="F275" s="1549" t="s">
        <v>6166</v>
      </c>
      <c r="G275" s="1503" t="s">
        <v>6165</v>
      </c>
      <c r="H275" s="1503" t="s">
        <v>3019</v>
      </c>
      <c r="I275" s="1570" t="s">
        <v>5506</v>
      </c>
      <c r="J275" s="1550" t="s">
        <v>5844</v>
      </c>
      <c r="K275" s="1571">
        <v>2</v>
      </c>
      <c r="L275" s="1273">
        <v>6</v>
      </c>
      <c r="M275" s="1247">
        <v>35992.92</v>
      </c>
      <c r="N275" s="1571">
        <v>2</v>
      </c>
      <c r="O275" s="1273">
        <v>6</v>
      </c>
      <c r="P275" s="1247">
        <v>18000</v>
      </c>
    </row>
    <row r="276" spans="1:16" ht="48">
      <c r="A276" s="1245" t="s">
        <v>5510</v>
      </c>
      <c r="B276" s="1246" t="s">
        <v>1880</v>
      </c>
      <c r="C276" s="1246" t="s">
        <v>504</v>
      </c>
      <c r="D276" s="1200" t="s">
        <v>6164</v>
      </c>
      <c r="E276" s="1247">
        <v>5000</v>
      </c>
      <c r="F276" s="1549" t="s">
        <v>6163</v>
      </c>
      <c r="G276" s="1503" t="s">
        <v>6162</v>
      </c>
      <c r="H276" s="1503" t="s">
        <v>6161</v>
      </c>
      <c r="I276" s="1570" t="s">
        <v>5506</v>
      </c>
      <c r="J276" s="1550" t="s">
        <v>6096</v>
      </c>
      <c r="K276" s="1571">
        <v>2</v>
      </c>
      <c r="L276" s="1273">
        <v>6</v>
      </c>
      <c r="M276" s="1247">
        <v>28748.959999999999</v>
      </c>
      <c r="N276" s="1571">
        <v>2</v>
      </c>
      <c r="O276" s="1273">
        <v>6</v>
      </c>
      <c r="P276" s="1247">
        <v>14997.915000000001</v>
      </c>
    </row>
    <row r="277" spans="1:16" ht="24">
      <c r="A277" s="1245" t="s">
        <v>5510</v>
      </c>
      <c r="B277" s="1246" t="s">
        <v>1880</v>
      </c>
      <c r="C277" s="1246" t="s">
        <v>504</v>
      </c>
      <c r="D277" s="1200" t="s">
        <v>5892</v>
      </c>
      <c r="E277" s="1247">
        <v>6000</v>
      </c>
      <c r="F277" s="1549" t="s">
        <v>6160</v>
      </c>
      <c r="G277" s="1503" t="s">
        <v>6159</v>
      </c>
      <c r="H277" s="1503"/>
      <c r="I277" s="1570"/>
      <c r="J277" s="1550"/>
      <c r="K277" s="1571">
        <v>2</v>
      </c>
      <c r="L277" s="1273">
        <v>5</v>
      </c>
      <c r="M277" s="1247">
        <v>29950.410000000003</v>
      </c>
      <c r="N277" s="1571">
        <v>2</v>
      </c>
      <c r="O277" s="1273">
        <v>6</v>
      </c>
      <c r="P277" s="1247">
        <v>18000</v>
      </c>
    </row>
    <row r="278" spans="1:16" ht="36">
      <c r="A278" s="1245" t="s">
        <v>5510</v>
      </c>
      <c r="B278" s="1246" t="s">
        <v>1880</v>
      </c>
      <c r="C278" s="1246" t="s">
        <v>504</v>
      </c>
      <c r="D278" s="1200" t="s">
        <v>6158</v>
      </c>
      <c r="E278" s="1247">
        <v>3000</v>
      </c>
      <c r="F278" s="1549" t="s">
        <v>6157</v>
      </c>
      <c r="G278" s="1503" t="s">
        <v>6156</v>
      </c>
      <c r="H278" s="1503" t="s">
        <v>6155</v>
      </c>
      <c r="I278" s="1570" t="s">
        <v>499</v>
      </c>
      <c r="J278" s="1550" t="s">
        <v>6154</v>
      </c>
      <c r="K278" s="1571">
        <v>1</v>
      </c>
      <c r="L278" s="1273">
        <v>3</v>
      </c>
      <c r="M278" s="1247">
        <v>9000</v>
      </c>
      <c r="N278" s="1571">
        <v>0</v>
      </c>
      <c r="O278" s="1273">
        <v>0</v>
      </c>
      <c r="P278" s="1247">
        <v>0</v>
      </c>
    </row>
    <row r="279" spans="1:16" ht="36">
      <c r="A279" s="1245" t="s">
        <v>5510</v>
      </c>
      <c r="B279" s="1246" t="s">
        <v>1880</v>
      </c>
      <c r="C279" s="1246" t="s">
        <v>504</v>
      </c>
      <c r="D279" s="1200" t="s">
        <v>1829</v>
      </c>
      <c r="E279" s="1247">
        <v>4000</v>
      </c>
      <c r="F279" s="1549" t="s">
        <v>6157</v>
      </c>
      <c r="G279" s="1503" t="s">
        <v>6156</v>
      </c>
      <c r="H279" s="1503" t="s">
        <v>6155</v>
      </c>
      <c r="I279" s="1570" t="s">
        <v>499</v>
      </c>
      <c r="J279" s="1550" t="s">
        <v>6154</v>
      </c>
      <c r="K279" s="1571">
        <v>1</v>
      </c>
      <c r="L279" s="1273">
        <v>3</v>
      </c>
      <c r="M279" s="1247">
        <v>12664.380000000001</v>
      </c>
      <c r="N279" s="1571">
        <v>2</v>
      </c>
      <c r="O279" s="1273">
        <v>6</v>
      </c>
      <c r="P279" s="1247">
        <v>12000</v>
      </c>
    </row>
    <row r="280" spans="1:16">
      <c r="A280" s="1245" t="s">
        <v>5510</v>
      </c>
      <c r="B280" s="1246" t="s">
        <v>1880</v>
      </c>
      <c r="C280" s="1246" t="s">
        <v>504</v>
      </c>
      <c r="D280" s="1200" t="s">
        <v>5546</v>
      </c>
      <c r="E280" s="1247">
        <v>3000</v>
      </c>
      <c r="F280" s="1549" t="s">
        <v>6153</v>
      </c>
      <c r="G280" s="1503" t="s">
        <v>6152</v>
      </c>
      <c r="H280" s="1503" t="s">
        <v>619</v>
      </c>
      <c r="I280" s="1570" t="s">
        <v>619</v>
      </c>
      <c r="J280" s="1550" t="s">
        <v>619</v>
      </c>
      <c r="K280" s="1571">
        <v>2</v>
      </c>
      <c r="L280" s="1273">
        <v>6</v>
      </c>
      <c r="M280" s="1247">
        <v>17865.03</v>
      </c>
      <c r="N280" s="1571">
        <v>2</v>
      </c>
      <c r="O280" s="1273">
        <v>6</v>
      </c>
      <c r="P280" s="1247">
        <v>8982.82</v>
      </c>
    </row>
    <row r="281" spans="1:16" ht="24">
      <c r="A281" s="1245" t="s">
        <v>5510</v>
      </c>
      <c r="B281" s="1246" t="s">
        <v>1880</v>
      </c>
      <c r="C281" s="1246" t="s">
        <v>504</v>
      </c>
      <c r="D281" s="1200" t="s">
        <v>5607</v>
      </c>
      <c r="E281" s="1247">
        <v>11000</v>
      </c>
      <c r="F281" s="1549" t="s">
        <v>6151</v>
      </c>
      <c r="G281" s="1503" t="s">
        <v>6150</v>
      </c>
      <c r="H281" s="1503" t="s">
        <v>511</v>
      </c>
      <c r="I281" s="1570" t="s">
        <v>5506</v>
      </c>
      <c r="J281" s="1550" t="s">
        <v>508</v>
      </c>
      <c r="K281" s="1571">
        <v>2</v>
      </c>
      <c r="L281" s="1273">
        <v>6</v>
      </c>
      <c r="M281" s="1247">
        <v>66000</v>
      </c>
      <c r="N281" s="1571">
        <v>2</v>
      </c>
      <c r="O281" s="1273">
        <v>6</v>
      </c>
      <c r="P281" s="1247">
        <v>33000</v>
      </c>
    </row>
    <row r="282" spans="1:16">
      <c r="A282" s="1245" t="s">
        <v>5510</v>
      </c>
      <c r="B282" s="1246" t="s">
        <v>1880</v>
      </c>
      <c r="C282" s="1246" t="s">
        <v>504</v>
      </c>
      <c r="D282" s="1200" t="s">
        <v>5784</v>
      </c>
      <c r="E282" s="1247">
        <v>3000</v>
      </c>
      <c r="F282" s="1549" t="s">
        <v>6149</v>
      </c>
      <c r="G282" s="1503" t="s">
        <v>6148</v>
      </c>
      <c r="H282" s="1503" t="s">
        <v>994</v>
      </c>
      <c r="I282" s="1570"/>
      <c r="J282" s="1550" t="s">
        <v>994</v>
      </c>
      <c r="K282" s="1571">
        <v>1</v>
      </c>
      <c r="L282" s="1273">
        <v>1</v>
      </c>
      <c r="M282" s="1247">
        <v>3900</v>
      </c>
      <c r="N282" s="1571">
        <v>0</v>
      </c>
      <c r="O282" s="1273">
        <v>0</v>
      </c>
      <c r="P282" s="1247">
        <v>0</v>
      </c>
    </row>
    <row r="283" spans="1:16" ht="36">
      <c r="A283" s="1245" t="s">
        <v>5510</v>
      </c>
      <c r="B283" s="1246" t="s">
        <v>1880</v>
      </c>
      <c r="C283" s="1246" t="s">
        <v>504</v>
      </c>
      <c r="D283" s="1200" t="s">
        <v>6147</v>
      </c>
      <c r="E283" s="1247">
        <v>5500</v>
      </c>
      <c r="F283" s="1549" t="s">
        <v>6146</v>
      </c>
      <c r="G283" s="1503" t="s">
        <v>6145</v>
      </c>
      <c r="H283" s="1503" t="s">
        <v>1719</v>
      </c>
      <c r="I283" s="1570" t="s">
        <v>5506</v>
      </c>
      <c r="J283" s="1550" t="s">
        <v>1719</v>
      </c>
      <c r="K283" s="1571">
        <v>2</v>
      </c>
      <c r="L283" s="1273">
        <v>6</v>
      </c>
      <c r="M283" s="1247">
        <v>32793.78</v>
      </c>
      <c r="N283" s="1571">
        <v>2</v>
      </c>
      <c r="O283" s="1273">
        <v>6</v>
      </c>
      <c r="P283" s="1247">
        <v>16292.055</v>
      </c>
    </row>
    <row r="284" spans="1:16">
      <c r="A284" s="1245" t="s">
        <v>5510</v>
      </c>
      <c r="B284" s="1246" t="s">
        <v>1880</v>
      </c>
      <c r="C284" s="1246" t="s">
        <v>504</v>
      </c>
      <c r="D284" s="1200" t="s">
        <v>5594</v>
      </c>
      <c r="E284" s="1247">
        <v>4000</v>
      </c>
      <c r="F284" s="1549" t="s">
        <v>6144</v>
      </c>
      <c r="G284" s="1503" t="s">
        <v>6143</v>
      </c>
      <c r="H284" s="1503" t="s">
        <v>925</v>
      </c>
      <c r="I284" s="1570" t="s">
        <v>5506</v>
      </c>
      <c r="J284" s="1550" t="s">
        <v>515</v>
      </c>
      <c r="K284" s="1571">
        <v>1</v>
      </c>
      <c r="L284" s="1273">
        <v>2</v>
      </c>
      <c r="M284" s="1247">
        <v>8000</v>
      </c>
      <c r="N284" s="1571">
        <v>0</v>
      </c>
      <c r="O284" s="1273">
        <v>0</v>
      </c>
      <c r="P284" s="1247">
        <v>0</v>
      </c>
    </row>
    <row r="285" spans="1:16">
      <c r="A285" s="1245" t="s">
        <v>5510</v>
      </c>
      <c r="B285" s="1246" t="s">
        <v>1880</v>
      </c>
      <c r="C285" s="1246" t="s">
        <v>504</v>
      </c>
      <c r="D285" s="1200" t="s">
        <v>5594</v>
      </c>
      <c r="E285" s="1247">
        <v>10000</v>
      </c>
      <c r="F285" s="1549" t="s">
        <v>6144</v>
      </c>
      <c r="G285" s="1503" t="s">
        <v>6143</v>
      </c>
      <c r="H285" s="1503" t="s">
        <v>925</v>
      </c>
      <c r="I285" s="1570" t="s">
        <v>5506</v>
      </c>
      <c r="J285" s="1550" t="s">
        <v>515</v>
      </c>
      <c r="K285" s="1571">
        <v>2</v>
      </c>
      <c r="L285" s="1273">
        <v>4</v>
      </c>
      <c r="M285" s="1247">
        <v>40000</v>
      </c>
      <c r="N285" s="1571">
        <v>2</v>
      </c>
      <c r="O285" s="1273">
        <v>6</v>
      </c>
      <c r="P285" s="1247">
        <v>30000</v>
      </c>
    </row>
    <row r="286" spans="1:16">
      <c r="A286" s="1245" t="s">
        <v>5510</v>
      </c>
      <c r="B286" s="1246" t="s">
        <v>1880</v>
      </c>
      <c r="C286" s="1246" t="s">
        <v>504</v>
      </c>
      <c r="D286" s="1200" t="s">
        <v>1827</v>
      </c>
      <c r="E286" s="1247">
        <v>3000</v>
      </c>
      <c r="F286" s="1549" t="s">
        <v>6142</v>
      </c>
      <c r="G286" s="1503" t="s">
        <v>6141</v>
      </c>
      <c r="H286" s="1503" t="s">
        <v>530</v>
      </c>
      <c r="I286" s="1570" t="s">
        <v>507</v>
      </c>
      <c r="J286" s="1550" t="s">
        <v>530</v>
      </c>
      <c r="K286" s="1571">
        <v>1</v>
      </c>
      <c r="L286" s="1273">
        <v>1</v>
      </c>
      <c r="M286" s="1247">
        <v>2900</v>
      </c>
      <c r="N286" s="1571">
        <v>2</v>
      </c>
      <c r="O286" s="1273">
        <v>6</v>
      </c>
      <c r="P286" s="1247">
        <v>9000</v>
      </c>
    </row>
    <row r="287" spans="1:16" ht="24">
      <c r="A287" s="1245" t="s">
        <v>5510</v>
      </c>
      <c r="B287" s="1246" t="s">
        <v>1880</v>
      </c>
      <c r="C287" s="1246" t="s">
        <v>504</v>
      </c>
      <c r="D287" s="1200" t="s">
        <v>5886</v>
      </c>
      <c r="E287" s="1247">
        <v>6000</v>
      </c>
      <c r="F287" s="1549" t="s">
        <v>6140</v>
      </c>
      <c r="G287" s="1503" t="s">
        <v>6139</v>
      </c>
      <c r="H287" s="1503" t="s">
        <v>6138</v>
      </c>
      <c r="I287" s="1570" t="s">
        <v>507</v>
      </c>
      <c r="J287" s="1550" t="s">
        <v>6137</v>
      </c>
      <c r="K287" s="1571">
        <v>1</v>
      </c>
      <c r="L287" s="1273">
        <v>3</v>
      </c>
      <c r="M287" s="1247">
        <v>17970.830000000002</v>
      </c>
      <c r="N287" s="1571">
        <v>0</v>
      </c>
      <c r="O287" s="1273">
        <v>0</v>
      </c>
      <c r="P287" s="1247">
        <v>0</v>
      </c>
    </row>
    <row r="288" spans="1:16" ht="24">
      <c r="A288" s="1245" t="s">
        <v>5510</v>
      </c>
      <c r="B288" s="1246" t="s">
        <v>1880</v>
      </c>
      <c r="C288" s="1246" t="s">
        <v>504</v>
      </c>
      <c r="D288" s="1200" t="s">
        <v>728</v>
      </c>
      <c r="E288" s="1247">
        <v>7000</v>
      </c>
      <c r="F288" s="1549" t="s">
        <v>6136</v>
      </c>
      <c r="G288" s="1503" t="s">
        <v>6135</v>
      </c>
      <c r="H288" s="1503"/>
      <c r="I288" s="1570"/>
      <c r="J288" s="1550"/>
      <c r="K288" s="1571">
        <v>1</v>
      </c>
      <c r="L288" s="1273">
        <v>1</v>
      </c>
      <c r="M288" s="1247">
        <v>6533.33</v>
      </c>
      <c r="N288" s="1571">
        <v>0</v>
      </c>
      <c r="O288" s="1273">
        <v>0</v>
      </c>
      <c r="P288" s="1247">
        <v>0</v>
      </c>
    </row>
    <row r="289" spans="1:16" ht="36">
      <c r="A289" s="1245" t="s">
        <v>5510</v>
      </c>
      <c r="B289" s="1246" t="s">
        <v>1880</v>
      </c>
      <c r="C289" s="1246" t="s">
        <v>504</v>
      </c>
      <c r="D289" s="1200" t="s">
        <v>6134</v>
      </c>
      <c r="E289" s="1247">
        <v>9000</v>
      </c>
      <c r="F289" s="1549" t="s">
        <v>6133</v>
      </c>
      <c r="G289" s="1503" t="s">
        <v>6132</v>
      </c>
      <c r="H289" s="1503" t="s">
        <v>3068</v>
      </c>
      <c r="I289" s="1570" t="s">
        <v>5506</v>
      </c>
      <c r="J289" s="1550" t="s">
        <v>6131</v>
      </c>
      <c r="K289" s="1571">
        <v>2</v>
      </c>
      <c r="L289" s="1273">
        <v>6</v>
      </c>
      <c r="M289" s="1247">
        <v>53838.13</v>
      </c>
      <c r="N289" s="1571">
        <v>2</v>
      </c>
      <c r="O289" s="1273">
        <v>6</v>
      </c>
      <c r="P289" s="1247">
        <v>27000</v>
      </c>
    </row>
    <row r="290" spans="1:16" ht="36">
      <c r="A290" s="1245" t="s">
        <v>5510</v>
      </c>
      <c r="B290" s="1246" t="s">
        <v>1880</v>
      </c>
      <c r="C290" s="1246" t="s">
        <v>504</v>
      </c>
      <c r="D290" s="1200" t="s">
        <v>5908</v>
      </c>
      <c r="E290" s="1247">
        <v>3800</v>
      </c>
      <c r="F290" s="1549" t="s">
        <v>6129</v>
      </c>
      <c r="G290" s="1503" t="s">
        <v>6128</v>
      </c>
      <c r="H290" s="1503" t="s">
        <v>6127</v>
      </c>
      <c r="I290" s="1570" t="s">
        <v>5506</v>
      </c>
      <c r="J290" s="1550" t="s">
        <v>6127</v>
      </c>
      <c r="K290" s="1571">
        <v>2</v>
      </c>
      <c r="L290" s="1273">
        <v>5</v>
      </c>
      <c r="M290" s="1247">
        <v>19000</v>
      </c>
      <c r="N290" s="1571">
        <v>0</v>
      </c>
      <c r="O290" s="1273">
        <v>0</v>
      </c>
      <c r="P290" s="1247">
        <v>0</v>
      </c>
    </row>
    <row r="291" spans="1:16" ht="36">
      <c r="A291" s="1245" t="s">
        <v>5510</v>
      </c>
      <c r="B291" s="1246" t="s">
        <v>1880</v>
      </c>
      <c r="C291" s="1246" t="s">
        <v>504</v>
      </c>
      <c r="D291" s="1200" t="s">
        <v>6130</v>
      </c>
      <c r="E291" s="1247">
        <v>4300</v>
      </c>
      <c r="F291" s="1549" t="s">
        <v>6129</v>
      </c>
      <c r="G291" s="1503" t="s">
        <v>6128</v>
      </c>
      <c r="H291" s="1503" t="s">
        <v>6127</v>
      </c>
      <c r="I291" s="1570" t="s">
        <v>5506</v>
      </c>
      <c r="J291" s="1550" t="s">
        <v>6127</v>
      </c>
      <c r="K291" s="1571">
        <v>1</v>
      </c>
      <c r="L291" s="1273">
        <v>1</v>
      </c>
      <c r="M291" s="1247">
        <v>4283.34</v>
      </c>
      <c r="N291" s="1571">
        <v>2</v>
      </c>
      <c r="O291" s="1273">
        <v>6</v>
      </c>
      <c r="P291" s="1247">
        <v>12900</v>
      </c>
    </row>
    <row r="292" spans="1:16" ht="60">
      <c r="A292" s="1245" t="s">
        <v>5510</v>
      </c>
      <c r="B292" s="1246" t="s">
        <v>1880</v>
      </c>
      <c r="C292" s="1246" t="s">
        <v>504</v>
      </c>
      <c r="D292" s="1200" t="s">
        <v>6126</v>
      </c>
      <c r="E292" s="1247">
        <v>9000</v>
      </c>
      <c r="F292" s="1549" t="s">
        <v>962</v>
      </c>
      <c r="G292" s="1503" t="s">
        <v>6125</v>
      </c>
      <c r="H292" s="1503" t="s">
        <v>632</v>
      </c>
      <c r="I292" s="1570" t="s">
        <v>5506</v>
      </c>
      <c r="J292" s="1550" t="s">
        <v>5767</v>
      </c>
      <c r="K292" s="1571">
        <v>2</v>
      </c>
      <c r="L292" s="1273">
        <v>6</v>
      </c>
      <c r="M292" s="1247">
        <v>53808.12</v>
      </c>
      <c r="N292" s="1571">
        <v>2</v>
      </c>
      <c r="O292" s="1273">
        <v>6</v>
      </c>
      <c r="P292" s="1247">
        <v>26909.685000000001</v>
      </c>
    </row>
    <row r="293" spans="1:16" ht="24">
      <c r="A293" s="1245" t="s">
        <v>5510</v>
      </c>
      <c r="B293" s="1246" t="s">
        <v>1880</v>
      </c>
      <c r="C293" s="1246" t="s">
        <v>504</v>
      </c>
      <c r="D293" s="1200" t="s">
        <v>604</v>
      </c>
      <c r="E293" s="1247">
        <v>2000</v>
      </c>
      <c r="F293" s="1549" t="s">
        <v>6124</v>
      </c>
      <c r="G293" s="1503" t="s">
        <v>6123</v>
      </c>
      <c r="H293" s="1503" t="s">
        <v>1719</v>
      </c>
      <c r="I293" s="1570" t="s">
        <v>507</v>
      </c>
      <c r="J293" s="1550" t="s">
        <v>1719</v>
      </c>
      <c r="K293" s="1571">
        <v>2</v>
      </c>
      <c r="L293" s="1273">
        <v>6</v>
      </c>
      <c r="M293" s="1247">
        <v>12000</v>
      </c>
      <c r="N293" s="1571">
        <v>2</v>
      </c>
      <c r="O293" s="1273">
        <v>6</v>
      </c>
      <c r="P293" s="1247">
        <v>6000</v>
      </c>
    </row>
    <row r="294" spans="1:16" ht="24">
      <c r="A294" s="1245" t="s">
        <v>5510</v>
      </c>
      <c r="B294" s="1246" t="s">
        <v>1880</v>
      </c>
      <c r="C294" s="1246" t="s">
        <v>504</v>
      </c>
      <c r="D294" s="1200" t="s">
        <v>5772</v>
      </c>
      <c r="E294" s="1247">
        <v>3500</v>
      </c>
      <c r="F294" s="1549" t="s">
        <v>6122</v>
      </c>
      <c r="G294" s="1503" t="s">
        <v>6121</v>
      </c>
      <c r="H294" s="1503" t="s">
        <v>3019</v>
      </c>
      <c r="I294" s="1570" t="s">
        <v>5506</v>
      </c>
      <c r="J294" s="1550" t="s">
        <v>5844</v>
      </c>
      <c r="K294" s="1571">
        <v>2</v>
      </c>
      <c r="L294" s="1273">
        <v>6</v>
      </c>
      <c r="M294" s="1247">
        <v>21000</v>
      </c>
      <c r="N294" s="1571">
        <v>2</v>
      </c>
      <c r="O294" s="1273">
        <v>6</v>
      </c>
      <c r="P294" s="1247">
        <v>10500</v>
      </c>
    </row>
    <row r="295" spans="1:16" ht="24">
      <c r="A295" s="1245" t="s">
        <v>5510</v>
      </c>
      <c r="B295" s="1246" t="s">
        <v>1880</v>
      </c>
      <c r="C295" s="1246" t="s">
        <v>504</v>
      </c>
      <c r="D295" s="1200" t="s">
        <v>6120</v>
      </c>
      <c r="E295" s="1247">
        <v>3000</v>
      </c>
      <c r="F295" s="1549" t="s">
        <v>6119</v>
      </c>
      <c r="G295" s="1503" t="s">
        <v>6118</v>
      </c>
      <c r="H295" s="1503" t="s">
        <v>1134</v>
      </c>
      <c r="I295" s="1570" t="s">
        <v>5525</v>
      </c>
      <c r="J295" s="1550" t="s">
        <v>1134</v>
      </c>
      <c r="K295" s="1571">
        <v>2</v>
      </c>
      <c r="L295" s="1273">
        <v>6</v>
      </c>
      <c r="M295" s="1247">
        <v>17733.8</v>
      </c>
      <c r="N295" s="1571">
        <v>2</v>
      </c>
      <c r="O295" s="1273">
        <v>6</v>
      </c>
      <c r="P295" s="1247">
        <v>8890.85</v>
      </c>
    </row>
    <row r="296" spans="1:16">
      <c r="A296" s="1245" t="s">
        <v>5510</v>
      </c>
      <c r="B296" s="1246" t="s">
        <v>1880</v>
      </c>
      <c r="C296" s="1246" t="s">
        <v>504</v>
      </c>
      <c r="D296" s="1200" t="s">
        <v>1688</v>
      </c>
      <c r="E296" s="1247">
        <v>3000</v>
      </c>
      <c r="F296" s="1549" t="s">
        <v>6117</v>
      </c>
      <c r="G296" s="1503" t="s">
        <v>6116</v>
      </c>
      <c r="H296" s="1503" t="s">
        <v>619</v>
      </c>
      <c r="I296" s="1570" t="s">
        <v>619</v>
      </c>
      <c r="J296" s="1550" t="s">
        <v>619</v>
      </c>
      <c r="K296" s="1571">
        <v>2</v>
      </c>
      <c r="L296" s="1273">
        <v>6</v>
      </c>
      <c r="M296" s="1247">
        <v>17900</v>
      </c>
      <c r="N296" s="1571">
        <v>2</v>
      </c>
      <c r="O296" s="1273">
        <v>6</v>
      </c>
      <c r="P296" s="1247">
        <v>9000</v>
      </c>
    </row>
    <row r="297" spans="1:16" ht="24">
      <c r="A297" s="1245" t="s">
        <v>5510</v>
      </c>
      <c r="B297" s="1246" t="s">
        <v>1880</v>
      </c>
      <c r="C297" s="1246" t="s">
        <v>504</v>
      </c>
      <c r="D297" s="1200" t="s">
        <v>6115</v>
      </c>
      <c r="E297" s="1247">
        <v>5000</v>
      </c>
      <c r="F297" s="1549" t="s">
        <v>6114</v>
      </c>
      <c r="G297" s="1503" t="s">
        <v>6113</v>
      </c>
      <c r="H297" s="1503"/>
      <c r="I297" s="1570"/>
      <c r="J297" s="1550"/>
      <c r="K297" s="1571">
        <v>2</v>
      </c>
      <c r="L297" s="1273">
        <v>4</v>
      </c>
      <c r="M297" s="1247">
        <v>17497.22</v>
      </c>
      <c r="N297" s="1571">
        <v>2</v>
      </c>
      <c r="O297" s="1273">
        <v>6</v>
      </c>
      <c r="P297" s="1247">
        <v>14773.094999999999</v>
      </c>
    </row>
    <row r="298" spans="1:16" ht="36">
      <c r="A298" s="1245" t="s">
        <v>5510</v>
      </c>
      <c r="B298" s="1246" t="s">
        <v>1880</v>
      </c>
      <c r="C298" s="1246" t="s">
        <v>504</v>
      </c>
      <c r="D298" s="1200" t="s">
        <v>1105</v>
      </c>
      <c r="E298" s="1247">
        <v>3000</v>
      </c>
      <c r="F298" s="1549" t="s">
        <v>6112</v>
      </c>
      <c r="G298" s="1503" t="s">
        <v>6111</v>
      </c>
      <c r="H298" s="1503" t="s">
        <v>5462</v>
      </c>
      <c r="I298" s="1570" t="s">
        <v>507</v>
      </c>
      <c r="J298" s="1550" t="s">
        <v>5462</v>
      </c>
      <c r="K298" s="1571">
        <v>1</v>
      </c>
      <c r="L298" s="1273">
        <v>2</v>
      </c>
      <c r="M298" s="1247">
        <v>5975.21</v>
      </c>
      <c r="N298" s="1571">
        <v>0</v>
      </c>
      <c r="O298" s="1273">
        <v>0</v>
      </c>
      <c r="P298" s="1247">
        <v>0</v>
      </c>
    </row>
    <row r="299" spans="1:16" ht="48">
      <c r="A299" s="1245" t="s">
        <v>5510</v>
      </c>
      <c r="B299" s="1246" t="s">
        <v>1880</v>
      </c>
      <c r="C299" s="1246" t="s">
        <v>504</v>
      </c>
      <c r="D299" s="1200" t="s">
        <v>6110</v>
      </c>
      <c r="E299" s="1247">
        <v>7500</v>
      </c>
      <c r="F299" s="1549" t="s">
        <v>6109</v>
      </c>
      <c r="G299" s="1503" t="s">
        <v>6108</v>
      </c>
      <c r="H299" s="1503" t="s">
        <v>6107</v>
      </c>
      <c r="I299" s="1570" t="s">
        <v>5506</v>
      </c>
      <c r="J299" s="1550" t="s">
        <v>6106</v>
      </c>
      <c r="K299" s="1571">
        <v>2</v>
      </c>
      <c r="L299" s="1273">
        <v>6</v>
      </c>
      <c r="M299" s="1247">
        <v>44056.3</v>
      </c>
      <c r="N299" s="1571">
        <v>2</v>
      </c>
      <c r="O299" s="1273">
        <v>6</v>
      </c>
      <c r="P299" s="1247">
        <v>22139.86</v>
      </c>
    </row>
    <row r="300" spans="1:16">
      <c r="A300" s="1245" t="s">
        <v>5510</v>
      </c>
      <c r="B300" s="1246" t="s">
        <v>1880</v>
      </c>
      <c r="C300" s="1246" t="s">
        <v>504</v>
      </c>
      <c r="D300" s="1200" t="s">
        <v>1394</v>
      </c>
      <c r="E300" s="1247">
        <v>2500</v>
      </c>
      <c r="F300" s="1549" t="s">
        <v>6105</v>
      </c>
      <c r="G300" s="1503" t="s">
        <v>6104</v>
      </c>
      <c r="H300" s="1503" t="s">
        <v>511</v>
      </c>
      <c r="I300" s="1570" t="s">
        <v>5516</v>
      </c>
      <c r="J300" s="1550" t="s">
        <v>5549</v>
      </c>
      <c r="K300" s="1571">
        <v>1</v>
      </c>
      <c r="L300" s="1273">
        <v>3</v>
      </c>
      <c r="M300" s="1247">
        <v>7500</v>
      </c>
      <c r="N300" s="1571">
        <v>2</v>
      </c>
      <c r="O300" s="1273">
        <v>6</v>
      </c>
      <c r="P300" s="1247">
        <v>7500</v>
      </c>
    </row>
    <row r="301" spans="1:16" ht="24">
      <c r="A301" s="1245" t="s">
        <v>5510</v>
      </c>
      <c r="B301" s="1246" t="s">
        <v>1880</v>
      </c>
      <c r="C301" s="1246" t="s">
        <v>504</v>
      </c>
      <c r="D301" s="1200" t="s">
        <v>6103</v>
      </c>
      <c r="E301" s="1247">
        <v>3500</v>
      </c>
      <c r="F301" s="1549" t="s">
        <v>6102</v>
      </c>
      <c r="G301" s="1503" t="s">
        <v>6101</v>
      </c>
      <c r="H301" s="1503"/>
      <c r="I301" s="1570"/>
      <c r="J301" s="1550"/>
      <c r="K301" s="1571">
        <v>1</v>
      </c>
      <c r="L301" s="1273">
        <v>2</v>
      </c>
      <c r="M301" s="1247">
        <v>7780.21</v>
      </c>
      <c r="N301" s="1571">
        <v>2</v>
      </c>
      <c r="O301" s="1273">
        <v>6</v>
      </c>
      <c r="P301" s="1247">
        <v>10500</v>
      </c>
    </row>
    <row r="302" spans="1:16" ht="36">
      <c r="A302" s="1245" t="s">
        <v>5510</v>
      </c>
      <c r="B302" s="1246" t="s">
        <v>1880</v>
      </c>
      <c r="C302" s="1246" t="s">
        <v>504</v>
      </c>
      <c r="D302" s="1200" t="s">
        <v>6100</v>
      </c>
      <c r="E302" s="1247">
        <v>6000</v>
      </c>
      <c r="F302" s="1549" t="s">
        <v>6099</v>
      </c>
      <c r="G302" s="1503" t="s">
        <v>6098</v>
      </c>
      <c r="H302" s="1503" t="s">
        <v>6097</v>
      </c>
      <c r="I302" s="1570" t="s">
        <v>507</v>
      </c>
      <c r="J302" s="1550" t="s">
        <v>6096</v>
      </c>
      <c r="K302" s="1571">
        <v>2</v>
      </c>
      <c r="L302" s="1273">
        <v>6</v>
      </c>
      <c r="M302" s="1247">
        <v>36000</v>
      </c>
      <c r="N302" s="1571">
        <v>2</v>
      </c>
      <c r="O302" s="1273">
        <v>6</v>
      </c>
      <c r="P302" s="1247">
        <v>18000</v>
      </c>
    </row>
    <row r="303" spans="1:16" ht="48">
      <c r="A303" s="1245" t="s">
        <v>5510</v>
      </c>
      <c r="B303" s="1246" t="s">
        <v>1880</v>
      </c>
      <c r="C303" s="1246" t="s">
        <v>504</v>
      </c>
      <c r="D303" s="1200" t="s">
        <v>5617</v>
      </c>
      <c r="E303" s="1247">
        <v>4500</v>
      </c>
      <c r="F303" s="1549" t="s">
        <v>6095</v>
      </c>
      <c r="G303" s="1503" t="s">
        <v>6094</v>
      </c>
      <c r="H303" s="1503" t="s">
        <v>1842</v>
      </c>
      <c r="I303" s="1570" t="s">
        <v>5516</v>
      </c>
      <c r="J303" s="1550" t="s">
        <v>526</v>
      </c>
      <c r="K303" s="1571">
        <v>2</v>
      </c>
      <c r="L303" s="1273">
        <v>5</v>
      </c>
      <c r="M303" s="1247">
        <v>22500</v>
      </c>
      <c r="N303" s="1571">
        <v>0</v>
      </c>
      <c r="O303" s="1273">
        <v>0</v>
      </c>
      <c r="P303" s="1247">
        <v>0</v>
      </c>
    </row>
    <row r="304" spans="1:16" ht="24">
      <c r="A304" s="1245" t="s">
        <v>5510</v>
      </c>
      <c r="B304" s="1246" t="s">
        <v>1880</v>
      </c>
      <c r="C304" s="1246" t="s">
        <v>504</v>
      </c>
      <c r="D304" s="1200" t="s">
        <v>6093</v>
      </c>
      <c r="E304" s="1247">
        <v>6000</v>
      </c>
      <c r="F304" s="1549" t="s">
        <v>6092</v>
      </c>
      <c r="G304" s="1503" t="s">
        <v>6091</v>
      </c>
      <c r="H304" s="1503" t="s">
        <v>5166</v>
      </c>
      <c r="I304" s="1570" t="s">
        <v>5506</v>
      </c>
      <c r="J304" s="1550" t="s">
        <v>1815</v>
      </c>
      <c r="K304" s="1571">
        <v>2</v>
      </c>
      <c r="L304" s="1273">
        <v>6</v>
      </c>
      <c r="M304" s="1247">
        <v>31868.33</v>
      </c>
      <c r="N304" s="1571">
        <v>2</v>
      </c>
      <c r="O304" s="1273">
        <v>6</v>
      </c>
      <c r="P304" s="1247">
        <v>17986.25</v>
      </c>
    </row>
    <row r="305" spans="1:16" ht="24">
      <c r="A305" s="1245" t="s">
        <v>5510</v>
      </c>
      <c r="B305" s="1246" t="s">
        <v>1880</v>
      </c>
      <c r="C305" s="1246" t="s">
        <v>504</v>
      </c>
      <c r="D305" s="1200" t="s">
        <v>6090</v>
      </c>
      <c r="E305" s="1247">
        <v>2500</v>
      </c>
      <c r="F305" s="1549" t="s">
        <v>6089</v>
      </c>
      <c r="G305" s="1503" t="s">
        <v>6088</v>
      </c>
      <c r="H305" s="1503" t="s">
        <v>6087</v>
      </c>
      <c r="I305" s="1570" t="s">
        <v>6087</v>
      </c>
      <c r="J305" s="1550" t="s">
        <v>6087</v>
      </c>
      <c r="K305" s="1571">
        <v>2</v>
      </c>
      <c r="L305" s="1273">
        <v>6</v>
      </c>
      <c r="M305" s="1247">
        <v>15000</v>
      </c>
      <c r="N305" s="1571">
        <v>2</v>
      </c>
      <c r="O305" s="1273">
        <v>6</v>
      </c>
      <c r="P305" s="1247">
        <v>7500</v>
      </c>
    </row>
    <row r="306" spans="1:16" ht="24">
      <c r="A306" s="1245" t="s">
        <v>5510</v>
      </c>
      <c r="B306" s="1246" t="s">
        <v>1880</v>
      </c>
      <c r="C306" s="1246" t="s">
        <v>504</v>
      </c>
      <c r="D306" s="1200" t="s">
        <v>5584</v>
      </c>
      <c r="E306" s="1247">
        <v>10000</v>
      </c>
      <c r="F306" s="1549" t="s">
        <v>6086</v>
      </c>
      <c r="G306" s="1503" t="s">
        <v>6085</v>
      </c>
      <c r="H306" s="1503" t="s">
        <v>6060</v>
      </c>
      <c r="I306" s="1570" t="s">
        <v>5525</v>
      </c>
      <c r="J306" s="1550" t="s">
        <v>1585</v>
      </c>
      <c r="K306" s="1571">
        <v>2</v>
      </c>
      <c r="L306" s="1273">
        <v>6</v>
      </c>
      <c r="M306" s="1247">
        <v>43428</v>
      </c>
      <c r="N306" s="1571">
        <v>2</v>
      </c>
      <c r="O306" s="1273">
        <v>6</v>
      </c>
      <c r="P306" s="1247">
        <v>21714</v>
      </c>
    </row>
    <row r="307" spans="1:16" ht="24">
      <c r="A307" s="1245" t="s">
        <v>5510</v>
      </c>
      <c r="B307" s="1246" t="s">
        <v>1880</v>
      </c>
      <c r="C307" s="1246" t="s">
        <v>504</v>
      </c>
      <c r="D307" s="1200" t="s">
        <v>6084</v>
      </c>
      <c r="E307" s="1247">
        <v>5000</v>
      </c>
      <c r="F307" s="1549" t="s">
        <v>6083</v>
      </c>
      <c r="G307" s="1503" t="s">
        <v>6082</v>
      </c>
      <c r="H307" s="1503" t="s">
        <v>6081</v>
      </c>
      <c r="I307" s="1570" t="s">
        <v>5506</v>
      </c>
      <c r="J307" s="1550" t="s">
        <v>6081</v>
      </c>
      <c r="K307" s="1571">
        <v>2</v>
      </c>
      <c r="L307" s="1273">
        <v>6</v>
      </c>
      <c r="M307" s="1247">
        <v>29990.97</v>
      </c>
      <c r="N307" s="1571">
        <v>2</v>
      </c>
      <c r="O307" s="1273">
        <v>6</v>
      </c>
      <c r="P307" s="1247">
        <v>14997.915000000001</v>
      </c>
    </row>
    <row r="308" spans="1:16">
      <c r="A308" s="1245" t="s">
        <v>5510</v>
      </c>
      <c r="B308" s="1246" t="s">
        <v>1880</v>
      </c>
      <c r="C308" s="1246" t="s">
        <v>504</v>
      </c>
      <c r="D308" s="1200" t="s">
        <v>1688</v>
      </c>
      <c r="E308" s="1247">
        <v>3000</v>
      </c>
      <c r="F308" s="1549" t="s">
        <v>6080</v>
      </c>
      <c r="G308" s="1503" t="s">
        <v>6079</v>
      </c>
      <c r="H308" s="1503" t="s">
        <v>1788</v>
      </c>
      <c r="I308" s="1570" t="s">
        <v>5506</v>
      </c>
      <c r="J308" s="1550" t="s">
        <v>519</v>
      </c>
      <c r="K308" s="1571">
        <v>2</v>
      </c>
      <c r="L308" s="1273">
        <v>6</v>
      </c>
      <c r="M308" s="1247">
        <v>18000</v>
      </c>
      <c r="N308" s="1571">
        <v>2</v>
      </c>
      <c r="O308" s="1273">
        <v>6</v>
      </c>
      <c r="P308" s="1247">
        <v>9000</v>
      </c>
    </row>
    <row r="309" spans="1:16" ht="24">
      <c r="A309" s="1245" t="s">
        <v>5510</v>
      </c>
      <c r="B309" s="1246" t="s">
        <v>1880</v>
      </c>
      <c r="C309" s="1246" t="s">
        <v>504</v>
      </c>
      <c r="D309" s="1200" t="s">
        <v>1910</v>
      </c>
      <c r="E309" s="1247">
        <v>2500</v>
      </c>
      <c r="F309" s="1549" t="s">
        <v>6078</v>
      </c>
      <c r="G309" s="1503" t="s">
        <v>6077</v>
      </c>
      <c r="H309" s="1503" t="s">
        <v>500</v>
      </c>
      <c r="I309" s="1570" t="s">
        <v>573</v>
      </c>
      <c r="J309" s="1550" t="s">
        <v>500</v>
      </c>
      <c r="K309" s="1571">
        <v>1</v>
      </c>
      <c r="L309" s="1273">
        <v>3</v>
      </c>
      <c r="M309" s="1247">
        <v>7477.61</v>
      </c>
      <c r="N309" s="1571">
        <v>2</v>
      </c>
      <c r="O309" s="1273">
        <v>6</v>
      </c>
      <c r="P309" s="1247">
        <v>7498.7</v>
      </c>
    </row>
    <row r="310" spans="1:16">
      <c r="A310" s="1245" t="s">
        <v>5510</v>
      </c>
      <c r="B310" s="1246" t="s">
        <v>1880</v>
      </c>
      <c r="C310" s="1246" t="s">
        <v>504</v>
      </c>
      <c r="D310" s="1200" t="s">
        <v>1688</v>
      </c>
      <c r="E310" s="1247">
        <v>3000</v>
      </c>
      <c r="F310" s="1549" t="s">
        <v>6076</v>
      </c>
      <c r="G310" s="1503" t="s">
        <v>6075</v>
      </c>
      <c r="H310" s="1503" t="s">
        <v>519</v>
      </c>
      <c r="I310" s="1570" t="s">
        <v>547</v>
      </c>
      <c r="J310" s="1550" t="s">
        <v>547</v>
      </c>
      <c r="K310" s="1571">
        <v>2</v>
      </c>
      <c r="L310" s="1273">
        <v>6</v>
      </c>
      <c r="M310" s="1247">
        <v>17800</v>
      </c>
      <c r="N310" s="1571">
        <v>2</v>
      </c>
      <c r="O310" s="1273">
        <v>6</v>
      </c>
      <c r="P310" s="1247">
        <v>9000</v>
      </c>
    </row>
    <row r="311" spans="1:16" ht="24">
      <c r="A311" s="1245" t="s">
        <v>5510</v>
      </c>
      <c r="B311" s="1246" t="s">
        <v>1880</v>
      </c>
      <c r="C311" s="1246" t="s">
        <v>504</v>
      </c>
      <c r="D311" s="1200" t="s">
        <v>3019</v>
      </c>
      <c r="E311" s="1247">
        <v>4000</v>
      </c>
      <c r="F311" s="1549" t="s">
        <v>6074</v>
      </c>
      <c r="G311" s="1503" t="s">
        <v>6073</v>
      </c>
      <c r="H311" s="1503" t="s">
        <v>6072</v>
      </c>
      <c r="I311" s="1570" t="s">
        <v>507</v>
      </c>
      <c r="J311" s="1550" t="s">
        <v>6071</v>
      </c>
      <c r="K311" s="1571">
        <v>2</v>
      </c>
      <c r="L311" s="1273">
        <v>6</v>
      </c>
      <c r="M311" s="1247">
        <v>24000</v>
      </c>
      <c r="N311" s="1571">
        <v>2</v>
      </c>
      <c r="O311" s="1273">
        <v>6</v>
      </c>
      <c r="P311" s="1247">
        <v>12000</v>
      </c>
    </row>
    <row r="312" spans="1:16" ht="24">
      <c r="A312" s="1245" t="s">
        <v>5510</v>
      </c>
      <c r="B312" s="1246" t="s">
        <v>1880</v>
      </c>
      <c r="C312" s="1246" t="s">
        <v>504</v>
      </c>
      <c r="D312" s="1200" t="s">
        <v>511</v>
      </c>
      <c r="E312" s="1247">
        <v>6000</v>
      </c>
      <c r="F312" s="1549" t="s">
        <v>6070</v>
      </c>
      <c r="G312" s="1503" t="s">
        <v>6069</v>
      </c>
      <c r="H312" s="1503" t="s">
        <v>1319</v>
      </c>
      <c r="I312" s="1570" t="s">
        <v>5506</v>
      </c>
      <c r="J312" s="1550" t="s">
        <v>5299</v>
      </c>
      <c r="K312" s="1571">
        <v>2</v>
      </c>
      <c r="L312" s="1273">
        <v>6</v>
      </c>
      <c r="M312" s="1247">
        <v>35705</v>
      </c>
      <c r="N312" s="1571">
        <v>2</v>
      </c>
      <c r="O312" s="1273">
        <v>6</v>
      </c>
      <c r="P312" s="1247">
        <v>15486.455</v>
      </c>
    </row>
    <row r="313" spans="1:16" ht="24">
      <c r="A313" s="1245" t="s">
        <v>5510</v>
      </c>
      <c r="B313" s="1246" t="s">
        <v>1880</v>
      </c>
      <c r="C313" s="1246" t="s">
        <v>504</v>
      </c>
      <c r="D313" s="1200" t="s">
        <v>6068</v>
      </c>
      <c r="E313" s="1247">
        <v>4000</v>
      </c>
      <c r="F313" s="1549" t="s">
        <v>6067</v>
      </c>
      <c r="G313" s="1503" t="s">
        <v>6066</v>
      </c>
      <c r="H313" s="1503" t="s">
        <v>1842</v>
      </c>
      <c r="I313" s="1570" t="s">
        <v>5506</v>
      </c>
      <c r="J313" s="1550" t="s">
        <v>526</v>
      </c>
      <c r="K313" s="1571">
        <v>2</v>
      </c>
      <c r="L313" s="1273">
        <v>6</v>
      </c>
      <c r="M313" s="1247">
        <v>24000</v>
      </c>
      <c r="N313" s="1571">
        <v>2</v>
      </c>
      <c r="O313" s="1273">
        <v>6</v>
      </c>
      <c r="P313" s="1247">
        <v>12000</v>
      </c>
    </row>
    <row r="314" spans="1:16" ht="36">
      <c r="A314" s="1245" t="s">
        <v>5510</v>
      </c>
      <c r="B314" s="1246" t="s">
        <v>1880</v>
      </c>
      <c r="C314" s="1246" t="s">
        <v>504</v>
      </c>
      <c r="D314" s="1200" t="s">
        <v>6065</v>
      </c>
      <c r="E314" s="1247">
        <v>7500</v>
      </c>
      <c r="F314" s="1549" t="s">
        <v>6064</v>
      </c>
      <c r="G314" s="1503" t="s">
        <v>6063</v>
      </c>
      <c r="H314" s="1503" t="s">
        <v>5318</v>
      </c>
      <c r="I314" s="1570" t="s">
        <v>5516</v>
      </c>
      <c r="J314" s="1550" t="s">
        <v>997</v>
      </c>
      <c r="K314" s="1571">
        <v>2</v>
      </c>
      <c r="L314" s="1273">
        <v>4</v>
      </c>
      <c r="M314" s="1247">
        <v>34000</v>
      </c>
      <c r="N314" s="1571">
        <v>2</v>
      </c>
      <c r="O314" s="1273">
        <v>6</v>
      </c>
      <c r="P314" s="1247">
        <v>22500</v>
      </c>
    </row>
    <row r="315" spans="1:16" ht="24">
      <c r="A315" s="1245" t="s">
        <v>5510</v>
      </c>
      <c r="B315" s="1246" t="s">
        <v>1880</v>
      </c>
      <c r="C315" s="1246" t="s">
        <v>504</v>
      </c>
      <c r="D315" s="1200" t="s">
        <v>5607</v>
      </c>
      <c r="E315" s="1247">
        <v>12000</v>
      </c>
      <c r="F315" s="1549" t="s">
        <v>6062</v>
      </c>
      <c r="G315" s="1503" t="s">
        <v>6061</v>
      </c>
      <c r="H315" s="1503" t="s">
        <v>534</v>
      </c>
      <c r="I315" s="1570" t="s">
        <v>6060</v>
      </c>
      <c r="J315" s="1550" t="s">
        <v>1585</v>
      </c>
      <c r="K315" s="1571">
        <v>2</v>
      </c>
      <c r="L315" s="1273">
        <v>6</v>
      </c>
      <c r="M315" s="1247">
        <v>43428</v>
      </c>
      <c r="N315" s="1571">
        <v>2</v>
      </c>
      <c r="O315" s="1273">
        <v>6</v>
      </c>
      <c r="P315" s="1247">
        <v>21714</v>
      </c>
    </row>
    <row r="316" spans="1:16" ht="24">
      <c r="A316" s="1245" t="s">
        <v>5510</v>
      </c>
      <c r="B316" s="1246" t="s">
        <v>1880</v>
      </c>
      <c r="C316" s="1246" t="s">
        <v>504</v>
      </c>
      <c r="D316" s="1200" t="s">
        <v>5531</v>
      </c>
      <c r="E316" s="1247">
        <v>6000</v>
      </c>
      <c r="F316" s="1549" t="s">
        <v>6059</v>
      </c>
      <c r="G316" s="1503" t="s">
        <v>6058</v>
      </c>
      <c r="H316" s="1503" t="s">
        <v>6057</v>
      </c>
      <c r="I316" s="1570" t="s">
        <v>5506</v>
      </c>
      <c r="J316" s="1550" t="s">
        <v>6049</v>
      </c>
      <c r="K316" s="1571">
        <v>2</v>
      </c>
      <c r="L316" s="1273">
        <v>6</v>
      </c>
      <c r="M316" s="1247">
        <v>35995.42</v>
      </c>
      <c r="N316" s="1571">
        <v>1</v>
      </c>
      <c r="O316" s="1273">
        <v>1</v>
      </c>
      <c r="P316" s="1247">
        <v>0</v>
      </c>
    </row>
    <row r="317" spans="1:16">
      <c r="A317" s="1245" t="s">
        <v>5510</v>
      </c>
      <c r="B317" s="1246" t="s">
        <v>1880</v>
      </c>
      <c r="C317" s="1246" t="s">
        <v>504</v>
      </c>
      <c r="D317" s="1200" t="s">
        <v>1688</v>
      </c>
      <c r="E317" s="1247">
        <v>3000</v>
      </c>
      <c r="F317" s="1549" t="s">
        <v>6056</v>
      </c>
      <c r="G317" s="1503" t="s">
        <v>6055</v>
      </c>
      <c r="H317" s="1503" t="s">
        <v>619</v>
      </c>
      <c r="I317" s="1570" t="s">
        <v>619</v>
      </c>
      <c r="J317" s="1550" t="s">
        <v>619</v>
      </c>
      <c r="K317" s="1571">
        <v>2</v>
      </c>
      <c r="L317" s="1273">
        <v>6</v>
      </c>
      <c r="M317" s="1247">
        <v>17972.919999999998</v>
      </c>
      <c r="N317" s="1571">
        <v>2</v>
      </c>
      <c r="O317" s="1273">
        <v>6</v>
      </c>
      <c r="P317" s="1247">
        <v>9000</v>
      </c>
    </row>
    <row r="318" spans="1:16" ht="48">
      <c r="A318" s="1245" t="s">
        <v>5510</v>
      </c>
      <c r="B318" s="1246" t="s">
        <v>1880</v>
      </c>
      <c r="C318" s="1246" t="s">
        <v>504</v>
      </c>
      <c r="D318" s="1200" t="s">
        <v>6054</v>
      </c>
      <c r="E318" s="1247">
        <v>4000</v>
      </c>
      <c r="F318" s="1549" t="s">
        <v>6053</v>
      </c>
      <c r="G318" s="1503" t="s">
        <v>6052</v>
      </c>
      <c r="H318" s="1503" t="s">
        <v>515</v>
      </c>
      <c r="I318" s="1570" t="s">
        <v>507</v>
      </c>
      <c r="J318" s="1550" t="s">
        <v>515</v>
      </c>
      <c r="K318" s="1571">
        <v>1</v>
      </c>
      <c r="L318" s="1273">
        <v>3</v>
      </c>
      <c r="M318" s="1247">
        <v>12396.94</v>
      </c>
      <c r="N318" s="1571">
        <v>2</v>
      </c>
      <c r="O318" s="1273">
        <v>6</v>
      </c>
      <c r="P318" s="1247">
        <v>11665.135</v>
      </c>
    </row>
    <row r="319" spans="1:16" ht="24">
      <c r="A319" s="1245" t="s">
        <v>5510</v>
      </c>
      <c r="B319" s="1246" t="s">
        <v>1880</v>
      </c>
      <c r="C319" s="1246" t="s">
        <v>504</v>
      </c>
      <c r="D319" s="1200" t="s">
        <v>5531</v>
      </c>
      <c r="E319" s="1247">
        <v>4000</v>
      </c>
      <c r="F319" s="1549" t="s">
        <v>6051</v>
      </c>
      <c r="G319" s="1503" t="s">
        <v>6050</v>
      </c>
      <c r="H319" s="1503" t="s">
        <v>6049</v>
      </c>
      <c r="I319" s="1570" t="s">
        <v>5506</v>
      </c>
      <c r="J319" s="1550" t="s">
        <v>6049</v>
      </c>
      <c r="K319" s="1571">
        <v>2</v>
      </c>
      <c r="L319" s="1273">
        <v>6</v>
      </c>
      <c r="M319" s="1247">
        <v>24000</v>
      </c>
      <c r="N319" s="1571">
        <v>2</v>
      </c>
      <c r="O319" s="1273">
        <v>6</v>
      </c>
      <c r="P319" s="1247">
        <v>12000</v>
      </c>
    </row>
    <row r="320" spans="1:16" ht="36">
      <c r="A320" s="1245" t="s">
        <v>5510</v>
      </c>
      <c r="B320" s="1246" t="s">
        <v>1880</v>
      </c>
      <c r="C320" s="1246" t="s">
        <v>504</v>
      </c>
      <c r="D320" s="1200" t="s">
        <v>6048</v>
      </c>
      <c r="E320" s="1247">
        <v>3500</v>
      </c>
      <c r="F320" s="1549" t="s">
        <v>6047</v>
      </c>
      <c r="G320" s="1503" t="s">
        <v>6046</v>
      </c>
      <c r="H320" s="1503" t="s">
        <v>1571</v>
      </c>
      <c r="I320" s="1570" t="s">
        <v>507</v>
      </c>
      <c r="J320" s="1550" t="s">
        <v>5209</v>
      </c>
      <c r="K320" s="1571">
        <v>1</v>
      </c>
      <c r="L320" s="1273">
        <v>3</v>
      </c>
      <c r="M320" s="1247">
        <v>10733.33</v>
      </c>
      <c r="N320" s="1571">
        <v>2</v>
      </c>
      <c r="O320" s="1273">
        <v>6</v>
      </c>
      <c r="P320" s="1247">
        <v>10292.18</v>
      </c>
    </row>
    <row r="321" spans="1:16" ht="60">
      <c r="A321" s="1245" t="s">
        <v>5510</v>
      </c>
      <c r="B321" s="1246" t="s">
        <v>1880</v>
      </c>
      <c r="C321" s="1246" t="s">
        <v>504</v>
      </c>
      <c r="D321" s="1200" t="s">
        <v>6045</v>
      </c>
      <c r="E321" s="1247">
        <v>4000</v>
      </c>
      <c r="F321" s="1549" t="s">
        <v>6042</v>
      </c>
      <c r="G321" s="1503" t="s">
        <v>6041</v>
      </c>
      <c r="H321" s="1503" t="s">
        <v>6044</v>
      </c>
      <c r="I321" s="1570" t="s">
        <v>499</v>
      </c>
      <c r="J321" s="1550" t="s">
        <v>6044</v>
      </c>
      <c r="K321" s="1571">
        <v>1</v>
      </c>
      <c r="L321" s="1273">
        <v>3</v>
      </c>
      <c r="M321" s="1247">
        <v>11964.72</v>
      </c>
      <c r="N321" s="1571">
        <v>2</v>
      </c>
      <c r="O321" s="1273">
        <v>6</v>
      </c>
      <c r="P321" s="1247">
        <v>12000</v>
      </c>
    </row>
    <row r="322" spans="1:16" ht="24">
      <c r="A322" s="1245" t="s">
        <v>5510</v>
      </c>
      <c r="B322" s="1246" t="s">
        <v>1880</v>
      </c>
      <c r="C322" s="1246" t="s">
        <v>504</v>
      </c>
      <c r="D322" s="1200" t="s">
        <v>6043</v>
      </c>
      <c r="E322" s="1247">
        <v>4000</v>
      </c>
      <c r="F322" s="1549" t="s">
        <v>6042</v>
      </c>
      <c r="G322" s="1503" t="s">
        <v>6041</v>
      </c>
      <c r="H322" s="1503" t="s">
        <v>6040</v>
      </c>
      <c r="I322" s="1570" t="s">
        <v>573</v>
      </c>
      <c r="J322" s="1550" t="s">
        <v>6039</v>
      </c>
      <c r="K322" s="1571">
        <v>2</v>
      </c>
      <c r="L322" s="1273">
        <v>4</v>
      </c>
      <c r="M322" s="1247">
        <v>14364.72</v>
      </c>
      <c r="N322" s="1571">
        <v>2</v>
      </c>
      <c r="O322" s="1273">
        <v>6</v>
      </c>
      <c r="P322" s="1247">
        <v>12000</v>
      </c>
    </row>
    <row r="323" spans="1:16" ht="24">
      <c r="A323" s="1245" t="s">
        <v>5510</v>
      </c>
      <c r="B323" s="1246" t="s">
        <v>1880</v>
      </c>
      <c r="C323" s="1246" t="s">
        <v>504</v>
      </c>
      <c r="D323" s="1200" t="s">
        <v>604</v>
      </c>
      <c r="E323" s="1247">
        <v>2000</v>
      </c>
      <c r="F323" s="1549" t="s">
        <v>6038</v>
      </c>
      <c r="G323" s="1503" t="s">
        <v>6037</v>
      </c>
      <c r="H323" s="1503" t="s">
        <v>3019</v>
      </c>
      <c r="I323" s="1570" t="s">
        <v>507</v>
      </c>
      <c r="J323" s="1550" t="s">
        <v>543</v>
      </c>
      <c r="K323" s="1571">
        <v>1</v>
      </c>
      <c r="L323" s="1273">
        <v>1</v>
      </c>
      <c r="M323" s="1247">
        <v>2600</v>
      </c>
      <c r="N323" s="1571">
        <v>2</v>
      </c>
      <c r="O323" s="1273">
        <v>6</v>
      </c>
      <c r="P323" s="1247">
        <v>5992.57</v>
      </c>
    </row>
    <row r="324" spans="1:16" ht="36">
      <c r="A324" s="1245" t="s">
        <v>5510</v>
      </c>
      <c r="B324" s="1246" t="s">
        <v>1880</v>
      </c>
      <c r="C324" s="1246" t="s">
        <v>504</v>
      </c>
      <c r="D324" s="1200" t="s">
        <v>1784</v>
      </c>
      <c r="E324" s="1247">
        <v>3000</v>
      </c>
      <c r="F324" s="1549" t="s">
        <v>6036</v>
      </c>
      <c r="G324" s="1503" t="s">
        <v>6035</v>
      </c>
      <c r="H324" s="1503" t="s">
        <v>6034</v>
      </c>
      <c r="I324" s="1570" t="s">
        <v>499</v>
      </c>
      <c r="J324" s="1550" t="s">
        <v>6033</v>
      </c>
      <c r="K324" s="1571">
        <v>2</v>
      </c>
      <c r="L324" s="1273">
        <v>6</v>
      </c>
      <c r="M324" s="1247">
        <v>17986.88</v>
      </c>
      <c r="N324" s="1571">
        <v>0</v>
      </c>
      <c r="O324" s="1273">
        <v>0</v>
      </c>
      <c r="P324" s="1247">
        <v>0</v>
      </c>
    </row>
    <row r="325" spans="1:16" ht="24">
      <c r="A325" s="1245" t="s">
        <v>5510</v>
      </c>
      <c r="B325" s="1246" t="s">
        <v>1880</v>
      </c>
      <c r="C325" s="1246" t="s">
        <v>504</v>
      </c>
      <c r="D325" s="1200" t="s">
        <v>1910</v>
      </c>
      <c r="E325" s="1247">
        <v>3000</v>
      </c>
      <c r="F325" s="1549" t="s">
        <v>6032</v>
      </c>
      <c r="G325" s="1503" t="s">
        <v>6031</v>
      </c>
      <c r="H325" s="1503" t="s">
        <v>619</v>
      </c>
      <c r="I325" s="1570" t="s">
        <v>619</v>
      </c>
      <c r="J325" s="1550" t="s">
        <v>619</v>
      </c>
      <c r="K325" s="1571">
        <v>2</v>
      </c>
      <c r="L325" s="1273">
        <v>6</v>
      </c>
      <c r="M325" s="1247">
        <v>18000</v>
      </c>
      <c r="N325" s="1571">
        <v>2</v>
      </c>
      <c r="O325" s="1273">
        <v>6</v>
      </c>
      <c r="P325" s="1247">
        <v>8998.23</v>
      </c>
    </row>
    <row r="326" spans="1:16" ht="24">
      <c r="A326" s="1245" t="s">
        <v>5510</v>
      </c>
      <c r="B326" s="1246" t="s">
        <v>1880</v>
      </c>
      <c r="C326" s="1246" t="s">
        <v>504</v>
      </c>
      <c r="D326" s="1200" t="s">
        <v>6030</v>
      </c>
      <c r="E326" s="1247">
        <v>4000</v>
      </c>
      <c r="F326" s="1549" t="s">
        <v>6029</v>
      </c>
      <c r="G326" s="1503" t="s">
        <v>6028</v>
      </c>
      <c r="H326" s="1503" t="s">
        <v>4344</v>
      </c>
      <c r="I326" s="1570" t="s">
        <v>5506</v>
      </c>
      <c r="J326" s="1550" t="s">
        <v>759</v>
      </c>
      <c r="K326" s="1571">
        <v>2</v>
      </c>
      <c r="L326" s="1273">
        <v>6</v>
      </c>
      <c r="M326" s="1247">
        <v>28631.95</v>
      </c>
      <c r="N326" s="1571">
        <v>2</v>
      </c>
      <c r="O326" s="1273">
        <v>6</v>
      </c>
      <c r="P326" s="1247">
        <v>18000</v>
      </c>
    </row>
    <row r="327" spans="1:16" ht="24">
      <c r="A327" s="1245" t="s">
        <v>5510</v>
      </c>
      <c r="B327" s="1246" t="s">
        <v>1880</v>
      </c>
      <c r="C327" s="1246" t="s">
        <v>504</v>
      </c>
      <c r="D327" s="1200" t="s">
        <v>5594</v>
      </c>
      <c r="E327" s="1247">
        <v>7500</v>
      </c>
      <c r="F327" s="1549" t="s">
        <v>5320</v>
      </c>
      <c r="G327" s="1503" t="s">
        <v>5319</v>
      </c>
      <c r="H327" s="1503" t="s">
        <v>6027</v>
      </c>
      <c r="I327" s="1570" t="s">
        <v>5506</v>
      </c>
      <c r="J327" s="1550" t="s">
        <v>6026</v>
      </c>
      <c r="K327" s="1571">
        <v>2</v>
      </c>
      <c r="L327" s="1273">
        <v>6</v>
      </c>
      <c r="M327" s="1247">
        <v>53968.13</v>
      </c>
      <c r="N327" s="1571">
        <v>1</v>
      </c>
      <c r="O327" s="1273">
        <v>2</v>
      </c>
      <c r="P327" s="1247">
        <v>9000</v>
      </c>
    </row>
    <row r="328" spans="1:16" ht="24">
      <c r="A328" s="1245" t="s">
        <v>5510</v>
      </c>
      <c r="B328" s="1246" t="s">
        <v>1880</v>
      </c>
      <c r="C328" s="1246" t="s">
        <v>504</v>
      </c>
      <c r="D328" s="1200" t="s">
        <v>6025</v>
      </c>
      <c r="E328" s="1247">
        <v>5000</v>
      </c>
      <c r="F328" s="1549" t="s">
        <v>6024</v>
      </c>
      <c r="G328" s="1503" t="s">
        <v>6023</v>
      </c>
      <c r="H328" s="1503" t="s">
        <v>6022</v>
      </c>
      <c r="I328" s="1570" t="s">
        <v>5506</v>
      </c>
      <c r="J328" s="1550" t="s">
        <v>1815</v>
      </c>
      <c r="K328" s="1571">
        <v>2</v>
      </c>
      <c r="L328" s="1273">
        <v>6</v>
      </c>
      <c r="M328" s="1247">
        <v>29958.34</v>
      </c>
      <c r="N328" s="1571">
        <v>2</v>
      </c>
      <c r="O328" s="1273">
        <v>6</v>
      </c>
      <c r="P328" s="1247">
        <v>14968.754999999999</v>
      </c>
    </row>
    <row r="329" spans="1:16">
      <c r="A329" s="1245" t="s">
        <v>5510</v>
      </c>
      <c r="B329" s="1246" t="s">
        <v>1880</v>
      </c>
      <c r="C329" s="1246" t="s">
        <v>504</v>
      </c>
      <c r="D329" s="1200" t="s">
        <v>6021</v>
      </c>
      <c r="E329" s="1247">
        <v>3500</v>
      </c>
      <c r="F329" s="1549" t="s">
        <v>6020</v>
      </c>
      <c r="G329" s="1503" t="s">
        <v>6019</v>
      </c>
      <c r="H329" s="1503" t="s">
        <v>511</v>
      </c>
      <c r="I329" s="1570" t="s">
        <v>5506</v>
      </c>
      <c r="J329" s="1550" t="s">
        <v>508</v>
      </c>
      <c r="K329" s="1571">
        <v>2</v>
      </c>
      <c r="L329" s="1273">
        <v>6</v>
      </c>
      <c r="M329" s="1247">
        <v>25715.29</v>
      </c>
      <c r="N329" s="1571">
        <v>2</v>
      </c>
      <c r="O329" s="1273">
        <v>6</v>
      </c>
      <c r="P329" s="1247">
        <v>13500</v>
      </c>
    </row>
    <row r="330" spans="1:16" ht="24">
      <c r="A330" s="1245" t="s">
        <v>5510</v>
      </c>
      <c r="B330" s="1246" t="s">
        <v>1880</v>
      </c>
      <c r="C330" s="1246" t="s">
        <v>504</v>
      </c>
      <c r="D330" s="1200" t="s">
        <v>5531</v>
      </c>
      <c r="E330" s="1247">
        <v>3500</v>
      </c>
      <c r="F330" s="1549" t="s">
        <v>6018</v>
      </c>
      <c r="G330" s="1503" t="s">
        <v>6017</v>
      </c>
      <c r="H330" s="1503" t="s">
        <v>6016</v>
      </c>
      <c r="I330" s="1570" t="s">
        <v>5506</v>
      </c>
      <c r="J330" s="1550" t="s">
        <v>5220</v>
      </c>
      <c r="K330" s="1571">
        <v>2</v>
      </c>
      <c r="L330" s="1273">
        <v>6</v>
      </c>
      <c r="M330" s="1247">
        <v>21000</v>
      </c>
      <c r="N330" s="1571">
        <v>2</v>
      </c>
      <c r="O330" s="1273">
        <v>6</v>
      </c>
      <c r="P330" s="1247">
        <v>10500</v>
      </c>
    </row>
    <row r="331" spans="1:16" ht="36">
      <c r="A331" s="1245" t="s">
        <v>5510</v>
      </c>
      <c r="B331" s="1246" t="s">
        <v>1880</v>
      </c>
      <c r="C331" s="1246" t="s">
        <v>504</v>
      </c>
      <c r="D331" s="1200" t="s">
        <v>6015</v>
      </c>
      <c r="E331" s="1247">
        <v>2000</v>
      </c>
      <c r="F331" s="1549" t="s">
        <v>6013</v>
      </c>
      <c r="G331" s="1503" t="s">
        <v>6014</v>
      </c>
      <c r="H331" s="1503" t="s">
        <v>519</v>
      </c>
      <c r="I331" s="1570" t="s">
        <v>5506</v>
      </c>
      <c r="J331" s="1550" t="s">
        <v>5209</v>
      </c>
      <c r="K331" s="1571">
        <v>2</v>
      </c>
      <c r="L331" s="1273">
        <v>6</v>
      </c>
      <c r="M331" s="1247">
        <v>24000</v>
      </c>
      <c r="N331" s="1571">
        <v>2</v>
      </c>
      <c r="O331" s="1273">
        <v>6</v>
      </c>
      <c r="P331" s="1247">
        <v>12000</v>
      </c>
    </row>
    <row r="332" spans="1:16" ht="24">
      <c r="A332" s="1245" t="s">
        <v>5510</v>
      </c>
      <c r="B332" s="1246" t="s">
        <v>1880</v>
      </c>
      <c r="C332" s="1246" t="s">
        <v>504</v>
      </c>
      <c r="D332" s="1200" t="s">
        <v>5772</v>
      </c>
      <c r="E332" s="1247">
        <v>4000</v>
      </c>
      <c r="F332" s="1549" t="s">
        <v>6013</v>
      </c>
      <c r="G332" s="1503" t="s">
        <v>6012</v>
      </c>
      <c r="H332" s="1503" t="s">
        <v>519</v>
      </c>
      <c r="I332" s="1570" t="s">
        <v>5506</v>
      </c>
      <c r="J332" s="1550" t="s">
        <v>5209</v>
      </c>
      <c r="K332" s="1571">
        <v>2</v>
      </c>
      <c r="L332" s="1273">
        <v>6</v>
      </c>
      <c r="M332" s="1247">
        <v>24000</v>
      </c>
      <c r="N332" s="1571">
        <v>2</v>
      </c>
      <c r="O332" s="1273">
        <v>6</v>
      </c>
      <c r="P332" s="1247">
        <v>12000</v>
      </c>
    </row>
    <row r="333" spans="1:16" ht="24">
      <c r="A333" s="1245" t="s">
        <v>5510</v>
      </c>
      <c r="B333" s="1246" t="s">
        <v>1880</v>
      </c>
      <c r="C333" s="1246" t="s">
        <v>504</v>
      </c>
      <c r="D333" s="1200" t="s">
        <v>6011</v>
      </c>
      <c r="E333" s="1247">
        <v>4500</v>
      </c>
      <c r="F333" s="1549" t="s">
        <v>6010</v>
      </c>
      <c r="G333" s="1503" t="s">
        <v>6009</v>
      </c>
      <c r="H333" s="1503" t="s">
        <v>519</v>
      </c>
      <c r="I333" s="1570" t="s">
        <v>5516</v>
      </c>
      <c r="J333" s="1550" t="s">
        <v>519</v>
      </c>
      <c r="K333" s="1571">
        <v>1</v>
      </c>
      <c r="L333" s="1273">
        <v>3</v>
      </c>
      <c r="M333" s="1247">
        <v>13500</v>
      </c>
      <c r="N333" s="1571">
        <v>0</v>
      </c>
      <c r="O333" s="1273">
        <v>0</v>
      </c>
      <c r="P333" s="1247">
        <v>0</v>
      </c>
    </row>
    <row r="334" spans="1:16">
      <c r="A334" s="1245" t="s">
        <v>5510</v>
      </c>
      <c r="B334" s="1246" t="s">
        <v>1880</v>
      </c>
      <c r="C334" s="1246" t="s">
        <v>504</v>
      </c>
      <c r="D334" s="1200" t="s">
        <v>5756</v>
      </c>
      <c r="E334" s="1247">
        <v>3500</v>
      </c>
      <c r="F334" s="1549" t="s">
        <v>6008</v>
      </c>
      <c r="G334" s="1503" t="s">
        <v>6007</v>
      </c>
      <c r="H334" s="1503" t="s">
        <v>1788</v>
      </c>
      <c r="I334" s="1570" t="s">
        <v>5506</v>
      </c>
      <c r="J334" s="1550" t="s">
        <v>519</v>
      </c>
      <c r="K334" s="1571">
        <v>2</v>
      </c>
      <c r="L334" s="1273">
        <v>6</v>
      </c>
      <c r="M334" s="1247">
        <v>21000</v>
      </c>
      <c r="N334" s="1571">
        <v>2</v>
      </c>
      <c r="O334" s="1273">
        <v>6</v>
      </c>
      <c r="P334" s="1247">
        <v>10500</v>
      </c>
    </row>
    <row r="335" spans="1:16">
      <c r="A335" s="1245" t="s">
        <v>5510</v>
      </c>
      <c r="B335" s="1246" t="s">
        <v>1880</v>
      </c>
      <c r="C335" s="1246" t="s">
        <v>504</v>
      </c>
      <c r="D335" s="1200" t="s">
        <v>5584</v>
      </c>
      <c r="E335" s="1247">
        <v>10000</v>
      </c>
      <c r="F335" s="1549" t="s">
        <v>6006</v>
      </c>
      <c r="G335" s="1503" t="s">
        <v>6005</v>
      </c>
      <c r="H335" s="1503" t="s">
        <v>5788</v>
      </c>
      <c r="I335" s="1570" t="s">
        <v>5506</v>
      </c>
      <c r="J335" s="1550" t="s">
        <v>5788</v>
      </c>
      <c r="K335" s="1571">
        <v>2</v>
      </c>
      <c r="L335" s="1273">
        <v>6</v>
      </c>
      <c r="M335" s="1247">
        <v>60000</v>
      </c>
      <c r="N335" s="1571">
        <v>2</v>
      </c>
      <c r="O335" s="1273">
        <v>6</v>
      </c>
      <c r="P335" s="1247">
        <v>30000</v>
      </c>
    </row>
    <row r="336" spans="1:16">
      <c r="A336" s="1245" t="s">
        <v>5510</v>
      </c>
      <c r="B336" s="1246" t="s">
        <v>1880</v>
      </c>
      <c r="C336" s="1246" t="s">
        <v>504</v>
      </c>
      <c r="D336" s="1200" t="s">
        <v>1688</v>
      </c>
      <c r="E336" s="1247">
        <v>3000</v>
      </c>
      <c r="F336" s="1549" t="s">
        <v>6004</v>
      </c>
      <c r="G336" s="1503" t="s">
        <v>6003</v>
      </c>
      <c r="H336" s="1503" t="s">
        <v>925</v>
      </c>
      <c r="I336" s="1570" t="s">
        <v>5506</v>
      </c>
      <c r="J336" s="1550" t="s">
        <v>515</v>
      </c>
      <c r="K336" s="1571">
        <v>2</v>
      </c>
      <c r="L336" s="1273">
        <v>6</v>
      </c>
      <c r="M336" s="1247">
        <v>18000</v>
      </c>
      <c r="N336" s="1571">
        <v>2</v>
      </c>
      <c r="O336" s="1273">
        <v>6</v>
      </c>
      <c r="P336" s="1247">
        <v>9000</v>
      </c>
    </row>
    <row r="337" spans="1:16" ht="24">
      <c r="A337" s="1245" t="s">
        <v>5510</v>
      </c>
      <c r="B337" s="1246" t="s">
        <v>1880</v>
      </c>
      <c r="C337" s="1246" t="s">
        <v>504</v>
      </c>
      <c r="D337" s="1200" t="s">
        <v>6002</v>
      </c>
      <c r="E337" s="1247">
        <v>5000</v>
      </c>
      <c r="F337" s="1549" t="s">
        <v>6001</v>
      </c>
      <c r="G337" s="1503" t="s">
        <v>6000</v>
      </c>
      <c r="H337" s="1503" t="s">
        <v>5029</v>
      </c>
      <c r="I337" s="1570" t="s">
        <v>5506</v>
      </c>
      <c r="J337" s="1550" t="s">
        <v>5029</v>
      </c>
      <c r="K337" s="1571">
        <v>2</v>
      </c>
      <c r="L337" s="1273">
        <v>6</v>
      </c>
      <c r="M337" s="1247">
        <v>29955.21</v>
      </c>
      <c r="N337" s="1571">
        <v>2</v>
      </c>
      <c r="O337" s="1273">
        <v>6</v>
      </c>
      <c r="P337" s="1247">
        <v>15000</v>
      </c>
    </row>
    <row r="338" spans="1:16" ht="60">
      <c r="A338" s="1245" t="s">
        <v>5510</v>
      </c>
      <c r="B338" s="1246" t="s">
        <v>1880</v>
      </c>
      <c r="C338" s="1246" t="s">
        <v>504</v>
      </c>
      <c r="D338" s="1200" t="s">
        <v>5999</v>
      </c>
      <c r="E338" s="1247">
        <v>5000</v>
      </c>
      <c r="F338" s="1549" t="s">
        <v>5998</v>
      </c>
      <c r="G338" s="1503" t="s">
        <v>5997</v>
      </c>
      <c r="H338" s="1503" t="s">
        <v>5996</v>
      </c>
      <c r="I338" s="1570" t="s">
        <v>507</v>
      </c>
      <c r="J338" s="1550" t="s">
        <v>5996</v>
      </c>
      <c r="K338" s="1571">
        <v>2</v>
      </c>
      <c r="L338" s="1273">
        <v>6</v>
      </c>
      <c r="M338" s="1247">
        <v>29805.22</v>
      </c>
      <c r="N338" s="1571">
        <v>2</v>
      </c>
      <c r="O338" s="1273">
        <v>6</v>
      </c>
      <c r="P338" s="1247">
        <v>14988.02</v>
      </c>
    </row>
    <row r="339" spans="1:16">
      <c r="A339" s="1245" t="s">
        <v>5510</v>
      </c>
      <c r="B339" s="1246" t="s">
        <v>1880</v>
      </c>
      <c r="C339" s="1246" t="s">
        <v>504</v>
      </c>
      <c r="D339" s="1200" t="s">
        <v>5537</v>
      </c>
      <c r="E339" s="1247">
        <v>12000</v>
      </c>
      <c r="F339" s="1549" t="s">
        <v>5995</v>
      </c>
      <c r="G339" s="1503" t="s">
        <v>5994</v>
      </c>
      <c r="H339" s="1503" t="s">
        <v>1788</v>
      </c>
      <c r="I339" s="1570" t="s">
        <v>5506</v>
      </c>
      <c r="J339" s="1550" t="s">
        <v>519</v>
      </c>
      <c r="K339" s="1571">
        <v>2</v>
      </c>
      <c r="L339" s="1273">
        <v>6</v>
      </c>
      <c r="M339" s="1247">
        <v>72000</v>
      </c>
      <c r="N339" s="1571">
        <v>2</v>
      </c>
      <c r="O339" s="1273">
        <v>6</v>
      </c>
      <c r="P339" s="1247">
        <v>36000</v>
      </c>
    </row>
    <row r="340" spans="1:16" ht="24">
      <c r="A340" s="1245" t="s">
        <v>5510</v>
      </c>
      <c r="B340" s="1246" t="s">
        <v>1880</v>
      </c>
      <c r="C340" s="1246" t="s">
        <v>504</v>
      </c>
      <c r="D340" s="1200" t="s">
        <v>5993</v>
      </c>
      <c r="E340" s="1247">
        <v>6000</v>
      </c>
      <c r="F340" s="1549" t="s">
        <v>5992</v>
      </c>
      <c r="G340" s="1503" t="s">
        <v>5991</v>
      </c>
      <c r="H340" s="1503" t="s">
        <v>5990</v>
      </c>
      <c r="I340" s="1570" t="s">
        <v>5506</v>
      </c>
      <c r="J340" s="1550" t="s">
        <v>5989</v>
      </c>
      <c r="K340" s="1571">
        <v>2</v>
      </c>
      <c r="L340" s="1273">
        <v>6</v>
      </c>
      <c r="M340" s="1247">
        <v>53888.740000000005</v>
      </c>
      <c r="N340" s="1571">
        <v>2</v>
      </c>
      <c r="O340" s="1273">
        <v>6</v>
      </c>
      <c r="P340" s="1247">
        <v>26996.560000000001</v>
      </c>
    </row>
    <row r="341" spans="1:16" ht="24">
      <c r="A341" s="1245" t="s">
        <v>5510</v>
      </c>
      <c r="B341" s="1246" t="s">
        <v>1880</v>
      </c>
      <c r="C341" s="1246" t="s">
        <v>504</v>
      </c>
      <c r="D341" s="1200" t="s">
        <v>604</v>
      </c>
      <c r="E341" s="1247">
        <v>2000</v>
      </c>
      <c r="F341" s="1549" t="s">
        <v>5988</v>
      </c>
      <c r="G341" s="1503" t="s">
        <v>5987</v>
      </c>
      <c r="H341" s="1503" t="s">
        <v>4244</v>
      </c>
      <c r="I341" s="1570" t="s">
        <v>507</v>
      </c>
      <c r="J341" s="1550" t="s">
        <v>519</v>
      </c>
      <c r="K341" s="1571">
        <v>1</v>
      </c>
      <c r="L341" s="1273">
        <v>1</v>
      </c>
      <c r="M341" s="1247">
        <v>2600</v>
      </c>
      <c r="N341" s="1571">
        <v>2</v>
      </c>
      <c r="O341" s="1273">
        <v>6</v>
      </c>
      <c r="P341" s="1247">
        <v>5999.165</v>
      </c>
    </row>
    <row r="342" spans="1:16">
      <c r="A342" s="1245" t="s">
        <v>5510</v>
      </c>
      <c r="B342" s="1246" t="s">
        <v>1880</v>
      </c>
      <c r="C342" s="1246" t="s">
        <v>504</v>
      </c>
      <c r="D342" s="1200" t="s">
        <v>1394</v>
      </c>
      <c r="E342" s="1247">
        <v>2000</v>
      </c>
      <c r="F342" s="1549" t="s">
        <v>5986</v>
      </c>
      <c r="G342" s="1503" t="s">
        <v>5985</v>
      </c>
      <c r="H342" s="1503" t="s">
        <v>508</v>
      </c>
      <c r="I342" s="1570" t="s">
        <v>5525</v>
      </c>
      <c r="J342" s="1550" t="s">
        <v>508</v>
      </c>
      <c r="K342" s="1571">
        <v>2</v>
      </c>
      <c r="L342" s="1273">
        <v>6</v>
      </c>
      <c r="M342" s="1247">
        <v>11856.789999999999</v>
      </c>
      <c r="N342" s="1571">
        <v>2</v>
      </c>
      <c r="O342" s="1273">
        <v>6</v>
      </c>
      <c r="P342" s="1247">
        <v>5960.07</v>
      </c>
    </row>
    <row r="343" spans="1:16">
      <c r="A343" s="1245" t="s">
        <v>5510</v>
      </c>
      <c r="B343" s="1246" t="s">
        <v>1880</v>
      </c>
      <c r="C343" s="1246" t="s">
        <v>504</v>
      </c>
      <c r="D343" s="1200" t="s">
        <v>5984</v>
      </c>
      <c r="E343" s="1247">
        <v>2500</v>
      </c>
      <c r="F343" s="1549" t="s">
        <v>5983</v>
      </c>
      <c r="G343" s="1503" t="s">
        <v>5982</v>
      </c>
      <c r="H343" s="1503" t="s">
        <v>5981</v>
      </c>
      <c r="I343" s="1570" t="s">
        <v>499</v>
      </c>
      <c r="J343" s="1550" t="s">
        <v>500</v>
      </c>
      <c r="K343" s="1571">
        <v>2</v>
      </c>
      <c r="L343" s="1273">
        <v>6</v>
      </c>
      <c r="M343" s="1247">
        <v>15166.66</v>
      </c>
      <c r="N343" s="1571">
        <v>2</v>
      </c>
      <c r="O343" s="1273">
        <v>6</v>
      </c>
      <c r="P343" s="1247">
        <v>7500</v>
      </c>
    </row>
    <row r="344" spans="1:16">
      <c r="A344" s="1245" t="s">
        <v>5510</v>
      </c>
      <c r="B344" s="1246" t="s">
        <v>1880</v>
      </c>
      <c r="C344" s="1246" t="s">
        <v>504</v>
      </c>
      <c r="D344" s="1200" t="s">
        <v>5594</v>
      </c>
      <c r="E344" s="1247">
        <v>6000</v>
      </c>
      <c r="F344" s="1549" t="s">
        <v>5980</v>
      </c>
      <c r="G344" s="1503" t="s">
        <v>5979</v>
      </c>
      <c r="H344" s="1503" t="s">
        <v>1842</v>
      </c>
      <c r="I344" s="1570" t="s">
        <v>5506</v>
      </c>
      <c r="J344" s="1550" t="s">
        <v>526</v>
      </c>
      <c r="K344" s="1571">
        <v>2</v>
      </c>
      <c r="L344" s="1273">
        <v>6</v>
      </c>
      <c r="M344" s="1247">
        <v>36000</v>
      </c>
      <c r="N344" s="1571">
        <v>2</v>
      </c>
      <c r="O344" s="1273">
        <v>6</v>
      </c>
      <c r="P344" s="1247">
        <v>18000</v>
      </c>
    </row>
    <row r="345" spans="1:16" ht="36">
      <c r="A345" s="1245" t="s">
        <v>5510</v>
      </c>
      <c r="B345" s="1246" t="s">
        <v>1880</v>
      </c>
      <c r="C345" s="1246" t="s">
        <v>504</v>
      </c>
      <c r="D345" s="1200" t="s">
        <v>5978</v>
      </c>
      <c r="E345" s="1247">
        <v>4000</v>
      </c>
      <c r="F345" s="1549" t="s">
        <v>5977</v>
      </c>
      <c r="G345" s="1503" t="s">
        <v>5976</v>
      </c>
      <c r="H345" s="1503"/>
      <c r="I345" s="1570"/>
      <c r="J345" s="1550"/>
      <c r="K345" s="1571">
        <v>2</v>
      </c>
      <c r="L345" s="1273">
        <v>4</v>
      </c>
      <c r="M345" s="1247">
        <v>14400</v>
      </c>
      <c r="N345" s="1571">
        <v>2</v>
      </c>
      <c r="O345" s="1273">
        <v>6</v>
      </c>
      <c r="P345" s="1247">
        <v>12000</v>
      </c>
    </row>
    <row r="346" spans="1:16" ht="48">
      <c r="A346" s="1245" t="s">
        <v>5510</v>
      </c>
      <c r="B346" s="1246" t="s">
        <v>1880</v>
      </c>
      <c r="C346" s="1246" t="s">
        <v>504</v>
      </c>
      <c r="D346" s="1200" t="s">
        <v>5975</v>
      </c>
      <c r="E346" s="1247">
        <v>5000</v>
      </c>
      <c r="F346" s="1549" t="s">
        <v>5974</v>
      </c>
      <c r="G346" s="1503" t="s">
        <v>5973</v>
      </c>
      <c r="H346" s="1503" t="s">
        <v>534</v>
      </c>
      <c r="I346" s="1570" t="s">
        <v>5506</v>
      </c>
      <c r="J346" s="1550" t="s">
        <v>534</v>
      </c>
      <c r="K346" s="1571">
        <v>1</v>
      </c>
      <c r="L346" s="1273">
        <v>2</v>
      </c>
      <c r="M346" s="1247">
        <v>10000</v>
      </c>
      <c r="N346" s="1571">
        <v>0</v>
      </c>
      <c r="O346" s="1273">
        <v>0</v>
      </c>
      <c r="P346" s="1247">
        <v>0</v>
      </c>
    </row>
    <row r="347" spans="1:16" ht="48">
      <c r="A347" s="1245" t="s">
        <v>5510</v>
      </c>
      <c r="B347" s="1246" t="s">
        <v>1880</v>
      </c>
      <c r="C347" s="1246" t="s">
        <v>504</v>
      </c>
      <c r="D347" s="1200" t="s">
        <v>5975</v>
      </c>
      <c r="E347" s="1247">
        <v>7000</v>
      </c>
      <c r="F347" s="1549" t="s">
        <v>5974</v>
      </c>
      <c r="G347" s="1503" t="s">
        <v>5973</v>
      </c>
      <c r="H347" s="1503" t="s">
        <v>534</v>
      </c>
      <c r="I347" s="1570" t="s">
        <v>5506</v>
      </c>
      <c r="J347" s="1550" t="s">
        <v>534</v>
      </c>
      <c r="K347" s="1571">
        <v>2</v>
      </c>
      <c r="L347" s="1273">
        <v>4</v>
      </c>
      <c r="M347" s="1247">
        <v>29866.67</v>
      </c>
      <c r="N347" s="1571">
        <v>2</v>
      </c>
      <c r="O347" s="1273">
        <v>6</v>
      </c>
      <c r="P347" s="1247">
        <v>20883.330000000002</v>
      </c>
    </row>
    <row r="348" spans="1:16" ht="24">
      <c r="A348" s="1245" t="s">
        <v>5510</v>
      </c>
      <c r="B348" s="1246" t="s">
        <v>1880</v>
      </c>
      <c r="C348" s="1246" t="s">
        <v>504</v>
      </c>
      <c r="D348" s="1200" t="s">
        <v>5972</v>
      </c>
      <c r="E348" s="1247">
        <v>850</v>
      </c>
      <c r="F348" s="1549" t="s">
        <v>5971</v>
      </c>
      <c r="G348" s="1503" t="s">
        <v>5970</v>
      </c>
      <c r="H348" s="1503" t="s">
        <v>5969</v>
      </c>
      <c r="I348" s="1570" t="s">
        <v>499</v>
      </c>
      <c r="J348" s="1550" t="s">
        <v>5969</v>
      </c>
      <c r="K348" s="1571">
        <v>2</v>
      </c>
      <c r="L348" s="1273">
        <v>6</v>
      </c>
      <c r="M348" s="1247">
        <v>5100</v>
      </c>
      <c r="N348" s="1571">
        <v>2</v>
      </c>
      <c r="O348" s="1273">
        <v>6</v>
      </c>
      <c r="P348" s="1247">
        <v>2550</v>
      </c>
    </row>
    <row r="349" spans="1:16" ht="24">
      <c r="A349" s="1245" t="s">
        <v>5510</v>
      </c>
      <c r="B349" s="1246" t="s">
        <v>1880</v>
      </c>
      <c r="C349" s="1246" t="s">
        <v>504</v>
      </c>
      <c r="D349" s="1200" t="s">
        <v>5594</v>
      </c>
      <c r="E349" s="1247">
        <v>4500</v>
      </c>
      <c r="F349" s="1549" t="s">
        <v>5968</v>
      </c>
      <c r="G349" s="1503" t="s">
        <v>5967</v>
      </c>
      <c r="H349" s="1503" t="s">
        <v>5966</v>
      </c>
      <c r="I349" s="1570" t="s">
        <v>5506</v>
      </c>
      <c r="J349" s="1550" t="s">
        <v>5966</v>
      </c>
      <c r="K349" s="1571">
        <v>2</v>
      </c>
      <c r="L349" s="1273">
        <v>6</v>
      </c>
      <c r="M349" s="1247">
        <v>27000</v>
      </c>
      <c r="N349" s="1571">
        <v>2</v>
      </c>
      <c r="O349" s="1273">
        <v>6</v>
      </c>
      <c r="P349" s="1247">
        <v>13500</v>
      </c>
    </row>
    <row r="350" spans="1:16" ht="36">
      <c r="A350" s="1245" t="s">
        <v>5510</v>
      </c>
      <c r="B350" s="1246" t="s">
        <v>1880</v>
      </c>
      <c r="C350" s="1246" t="s">
        <v>504</v>
      </c>
      <c r="D350" s="1200" t="s">
        <v>5965</v>
      </c>
      <c r="E350" s="1247">
        <v>4500</v>
      </c>
      <c r="F350" s="1549" t="s">
        <v>5964</v>
      </c>
      <c r="G350" s="1503" t="s">
        <v>5963</v>
      </c>
      <c r="H350" s="1503" t="s">
        <v>5926</v>
      </c>
      <c r="I350" s="1570" t="s">
        <v>5506</v>
      </c>
      <c r="J350" s="1550" t="s">
        <v>530</v>
      </c>
      <c r="K350" s="1571">
        <v>2</v>
      </c>
      <c r="L350" s="1273">
        <v>6</v>
      </c>
      <c r="M350" s="1247">
        <v>27000</v>
      </c>
      <c r="N350" s="1571">
        <v>2</v>
      </c>
      <c r="O350" s="1273">
        <v>6</v>
      </c>
      <c r="P350" s="1247">
        <v>13500</v>
      </c>
    </row>
    <row r="351" spans="1:16" ht="24">
      <c r="A351" s="1245" t="s">
        <v>5510</v>
      </c>
      <c r="B351" s="1246" t="s">
        <v>1880</v>
      </c>
      <c r="C351" s="1246" t="s">
        <v>504</v>
      </c>
      <c r="D351" s="1200" t="s">
        <v>5584</v>
      </c>
      <c r="E351" s="1247">
        <v>10000</v>
      </c>
      <c r="F351" s="1549" t="s">
        <v>5962</v>
      </c>
      <c r="G351" s="1503" t="s">
        <v>5961</v>
      </c>
      <c r="H351" s="1503" t="s">
        <v>5960</v>
      </c>
      <c r="I351" s="1570" t="s">
        <v>5525</v>
      </c>
      <c r="J351" s="1550" t="s">
        <v>1585</v>
      </c>
      <c r="K351" s="1571">
        <v>2</v>
      </c>
      <c r="L351" s="1273">
        <v>6</v>
      </c>
      <c r="M351" s="1247">
        <v>43428</v>
      </c>
      <c r="N351" s="1571">
        <v>2</v>
      </c>
      <c r="O351" s="1273">
        <v>6</v>
      </c>
      <c r="P351" s="1247">
        <v>21714</v>
      </c>
    </row>
    <row r="352" spans="1:16">
      <c r="A352" s="1245" t="s">
        <v>5510</v>
      </c>
      <c r="B352" s="1246" t="s">
        <v>1880</v>
      </c>
      <c r="C352" s="1246" t="s">
        <v>504</v>
      </c>
      <c r="D352" s="1200" t="s">
        <v>5784</v>
      </c>
      <c r="E352" s="1247">
        <v>3000</v>
      </c>
      <c r="F352" s="1549" t="s">
        <v>5959</v>
      </c>
      <c r="G352" s="1503" t="s">
        <v>5958</v>
      </c>
      <c r="H352" s="1503" t="s">
        <v>5957</v>
      </c>
      <c r="I352" s="1570" t="s">
        <v>573</v>
      </c>
      <c r="J352" s="1550" t="s">
        <v>5957</v>
      </c>
      <c r="K352" s="1571">
        <v>1</v>
      </c>
      <c r="L352" s="1273">
        <v>1</v>
      </c>
      <c r="M352" s="1247">
        <v>3900</v>
      </c>
      <c r="N352" s="1571">
        <v>0</v>
      </c>
      <c r="O352" s="1273">
        <v>0</v>
      </c>
      <c r="P352" s="1247">
        <v>0</v>
      </c>
    </row>
    <row r="353" spans="1:16" ht="24">
      <c r="A353" s="1245" t="s">
        <v>5510</v>
      </c>
      <c r="B353" s="1246" t="s">
        <v>1880</v>
      </c>
      <c r="C353" s="1246" t="s">
        <v>504</v>
      </c>
      <c r="D353" s="1200" t="s">
        <v>5956</v>
      </c>
      <c r="E353" s="1247">
        <v>4000</v>
      </c>
      <c r="F353" s="1549" t="s">
        <v>5955</v>
      </c>
      <c r="G353" s="1503" t="s">
        <v>5954</v>
      </c>
      <c r="H353" s="1503" t="s">
        <v>5209</v>
      </c>
      <c r="I353" s="1570" t="s">
        <v>547</v>
      </c>
      <c r="J353" s="1550" t="s">
        <v>547</v>
      </c>
      <c r="K353" s="1571">
        <v>2</v>
      </c>
      <c r="L353" s="1273">
        <v>6</v>
      </c>
      <c r="M353" s="1247">
        <v>23949.16</v>
      </c>
      <c r="N353" s="1571">
        <v>1</v>
      </c>
      <c r="O353" s="1273">
        <v>1</v>
      </c>
      <c r="P353" s="1247">
        <v>0</v>
      </c>
    </row>
    <row r="354" spans="1:16">
      <c r="A354" s="1245" t="s">
        <v>5510</v>
      </c>
      <c r="B354" s="1246" t="s">
        <v>1880</v>
      </c>
      <c r="C354" s="1246" t="s">
        <v>504</v>
      </c>
      <c r="D354" s="1200" t="s">
        <v>5953</v>
      </c>
      <c r="E354" s="1247">
        <v>4000</v>
      </c>
      <c r="F354" s="1549" t="s">
        <v>5952</v>
      </c>
      <c r="G354" s="1503" t="s">
        <v>5951</v>
      </c>
      <c r="H354" s="1503" t="s">
        <v>5591</v>
      </c>
      <c r="I354" s="1570" t="s">
        <v>507</v>
      </c>
      <c r="J354" s="1550" t="s">
        <v>5591</v>
      </c>
      <c r="K354" s="1571">
        <v>2</v>
      </c>
      <c r="L354" s="1273">
        <v>6</v>
      </c>
      <c r="M354" s="1247">
        <v>23981.94</v>
      </c>
      <c r="N354" s="1571">
        <v>2</v>
      </c>
      <c r="O354" s="1273">
        <v>6</v>
      </c>
      <c r="P354" s="1247">
        <v>11995.970000000001</v>
      </c>
    </row>
    <row r="355" spans="1:16" ht="36">
      <c r="A355" s="1245" t="s">
        <v>5510</v>
      </c>
      <c r="B355" s="1246" t="s">
        <v>1880</v>
      </c>
      <c r="C355" s="1246" t="s">
        <v>504</v>
      </c>
      <c r="D355" s="1200" t="s">
        <v>5950</v>
      </c>
      <c r="E355" s="1247">
        <v>4000</v>
      </c>
      <c r="F355" s="1549" t="s">
        <v>5949</v>
      </c>
      <c r="G355" s="1503" t="s">
        <v>5948</v>
      </c>
      <c r="H355" s="1503" t="s">
        <v>5947</v>
      </c>
      <c r="I355" s="1570" t="s">
        <v>5506</v>
      </c>
      <c r="J355" s="1550" t="s">
        <v>5946</v>
      </c>
      <c r="K355" s="1571">
        <v>2</v>
      </c>
      <c r="L355" s="1273">
        <v>6</v>
      </c>
      <c r="M355" s="1247">
        <v>24000</v>
      </c>
      <c r="N355" s="1571">
        <v>2</v>
      </c>
      <c r="O355" s="1273">
        <v>6</v>
      </c>
      <c r="P355" s="1247">
        <v>10266.669999999998</v>
      </c>
    </row>
    <row r="356" spans="1:16" ht="36">
      <c r="A356" s="1245" t="s">
        <v>5510</v>
      </c>
      <c r="B356" s="1246" t="s">
        <v>1880</v>
      </c>
      <c r="C356" s="1246" t="s">
        <v>504</v>
      </c>
      <c r="D356" s="1200" t="s">
        <v>5945</v>
      </c>
      <c r="E356" s="1247">
        <v>2200</v>
      </c>
      <c r="F356" s="1549" t="s">
        <v>5944</v>
      </c>
      <c r="G356" s="1503" t="s">
        <v>5943</v>
      </c>
      <c r="H356" s="1503" t="s">
        <v>1708</v>
      </c>
      <c r="I356" s="1570" t="s">
        <v>499</v>
      </c>
      <c r="J356" s="1550" t="s">
        <v>5942</v>
      </c>
      <c r="K356" s="1571">
        <v>2</v>
      </c>
      <c r="L356" s="1273">
        <v>6</v>
      </c>
      <c r="M356" s="1247">
        <v>13200</v>
      </c>
      <c r="N356" s="1571">
        <v>2</v>
      </c>
      <c r="O356" s="1273">
        <v>6</v>
      </c>
      <c r="P356" s="1247">
        <v>6600</v>
      </c>
    </row>
    <row r="357" spans="1:16" ht="60">
      <c r="A357" s="1245" t="s">
        <v>5510</v>
      </c>
      <c r="B357" s="1246" t="s">
        <v>1880</v>
      </c>
      <c r="C357" s="1246" t="s">
        <v>504</v>
      </c>
      <c r="D357" s="1200" t="s">
        <v>5941</v>
      </c>
      <c r="E357" s="1247">
        <v>5000</v>
      </c>
      <c r="F357" s="1549" t="s">
        <v>5940</v>
      </c>
      <c r="G357" s="1503" t="s">
        <v>5939</v>
      </c>
      <c r="H357" s="1503" t="s">
        <v>5938</v>
      </c>
      <c r="I357" s="1570" t="s">
        <v>5516</v>
      </c>
      <c r="J357" s="1550" t="s">
        <v>5938</v>
      </c>
      <c r="K357" s="1571">
        <v>1</v>
      </c>
      <c r="L357" s="1273">
        <v>1</v>
      </c>
      <c r="M357" s="1247">
        <v>2333.33</v>
      </c>
      <c r="N357" s="1571">
        <v>2</v>
      </c>
      <c r="O357" s="1273">
        <v>6</v>
      </c>
      <c r="P357" s="1247">
        <v>15000</v>
      </c>
    </row>
    <row r="358" spans="1:16" ht="24">
      <c r="A358" s="1245" t="s">
        <v>5510</v>
      </c>
      <c r="B358" s="1246" t="s">
        <v>1880</v>
      </c>
      <c r="C358" s="1246" t="s">
        <v>504</v>
      </c>
      <c r="D358" s="1200" t="s">
        <v>5584</v>
      </c>
      <c r="E358" s="1247">
        <v>10000</v>
      </c>
      <c r="F358" s="1549" t="s">
        <v>5937</v>
      </c>
      <c r="G358" s="1503" t="s">
        <v>5936</v>
      </c>
      <c r="H358" s="1503" t="s">
        <v>5935</v>
      </c>
      <c r="I358" s="1570" t="s">
        <v>5506</v>
      </c>
      <c r="J358" s="1550" t="s">
        <v>5935</v>
      </c>
      <c r="K358" s="1571">
        <v>2</v>
      </c>
      <c r="L358" s="1273">
        <v>6</v>
      </c>
      <c r="M358" s="1247">
        <v>60000</v>
      </c>
      <c r="N358" s="1571">
        <v>2</v>
      </c>
      <c r="O358" s="1273">
        <v>6</v>
      </c>
      <c r="P358" s="1247">
        <v>30000</v>
      </c>
    </row>
    <row r="359" spans="1:16">
      <c r="A359" s="1245" t="s">
        <v>5510</v>
      </c>
      <c r="B359" s="1246" t="s">
        <v>1880</v>
      </c>
      <c r="C359" s="1246" t="s">
        <v>504</v>
      </c>
      <c r="D359" s="1200" t="s">
        <v>622</v>
      </c>
      <c r="E359" s="1247">
        <v>2000</v>
      </c>
      <c r="F359" s="1549" t="s">
        <v>5934</v>
      </c>
      <c r="G359" s="1503" t="s">
        <v>5933</v>
      </c>
      <c r="H359" s="1503" t="s">
        <v>619</v>
      </c>
      <c r="I359" s="1570" t="s">
        <v>619</v>
      </c>
      <c r="J359" s="1550" t="s">
        <v>1592</v>
      </c>
      <c r="K359" s="1571">
        <v>2</v>
      </c>
      <c r="L359" s="1273">
        <v>6</v>
      </c>
      <c r="M359" s="1247">
        <v>12000</v>
      </c>
      <c r="N359" s="1571">
        <v>2</v>
      </c>
      <c r="O359" s="1273">
        <v>6</v>
      </c>
      <c r="P359" s="1247">
        <v>6000</v>
      </c>
    </row>
    <row r="360" spans="1:16" ht="24">
      <c r="A360" s="1245" t="s">
        <v>5510</v>
      </c>
      <c r="B360" s="1246" t="s">
        <v>1880</v>
      </c>
      <c r="C360" s="1246" t="s">
        <v>504</v>
      </c>
      <c r="D360" s="1200" t="s">
        <v>604</v>
      </c>
      <c r="E360" s="1247">
        <v>3000</v>
      </c>
      <c r="F360" s="1549" t="s">
        <v>5930</v>
      </c>
      <c r="G360" s="1503" t="s">
        <v>5929</v>
      </c>
      <c r="H360" s="1503" t="s">
        <v>5931</v>
      </c>
      <c r="I360" s="1570" t="s">
        <v>507</v>
      </c>
      <c r="J360" s="1550" t="s">
        <v>991</v>
      </c>
      <c r="K360" s="1571">
        <v>1</v>
      </c>
      <c r="L360" s="1273">
        <v>3</v>
      </c>
      <c r="M360" s="1247">
        <v>9000</v>
      </c>
      <c r="N360" s="1571">
        <v>0</v>
      </c>
      <c r="O360" s="1273">
        <v>0</v>
      </c>
      <c r="P360" s="1247">
        <v>0</v>
      </c>
    </row>
    <row r="361" spans="1:16" ht="24">
      <c r="A361" s="1245" t="s">
        <v>5510</v>
      </c>
      <c r="B361" s="1246" t="s">
        <v>1880</v>
      </c>
      <c r="C361" s="1246" t="s">
        <v>504</v>
      </c>
      <c r="D361" s="1200" t="s">
        <v>5932</v>
      </c>
      <c r="E361" s="1247">
        <v>4000</v>
      </c>
      <c r="F361" s="1549" t="s">
        <v>5930</v>
      </c>
      <c r="G361" s="1503" t="s">
        <v>5929</v>
      </c>
      <c r="H361" s="1503" t="s">
        <v>5931</v>
      </c>
      <c r="I361" s="1570" t="s">
        <v>507</v>
      </c>
      <c r="J361" s="1550" t="s">
        <v>991</v>
      </c>
      <c r="K361" s="1571">
        <v>1</v>
      </c>
      <c r="L361" s="1273">
        <v>3</v>
      </c>
      <c r="M361" s="1247">
        <v>12000</v>
      </c>
      <c r="N361" s="1571">
        <v>2</v>
      </c>
      <c r="O361" s="1273">
        <v>6</v>
      </c>
      <c r="P361" s="1247">
        <v>12000</v>
      </c>
    </row>
    <row r="362" spans="1:16" ht="24">
      <c r="A362" s="1245" t="s">
        <v>5510</v>
      </c>
      <c r="B362" s="1246" t="s">
        <v>1880</v>
      </c>
      <c r="C362" s="1246" t="s">
        <v>504</v>
      </c>
      <c r="D362" s="1200" t="s">
        <v>5509</v>
      </c>
      <c r="E362" s="1247">
        <v>4000</v>
      </c>
      <c r="F362" s="1549" t="s">
        <v>5930</v>
      </c>
      <c r="G362" s="1503" t="s">
        <v>5929</v>
      </c>
      <c r="H362" s="1503"/>
      <c r="I362" s="1570"/>
      <c r="J362" s="1550"/>
      <c r="K362" s="1571">
        <v>2</v>
      </c>
      <c r="L362" s="1273">
        <v>4</v>
      </c>
      <c r="M362" s="1247">
        <v>13733.33</v>
      </c>
      <c r="N362" s="1571">
        <v>2</v>
      </c>
      <c r="O362" s="1273">
        <v>6</v>
      </c>
      <c r="P362" s="1247">
        <v>12000</v>
      </c>
    </row>
    <row r="363" spans="1:16">
      <c r="A363" s="1245" t="s">
        <v>5510</v>
      </c>
      <c r="B363" s="1246" t="s">
        <v>1880</v>
      </c>
      <c r="C363" s="1246" t="s">
        <v>504</v>
      </c>
      <c r="D363" s="1200" t="s">
        <v>5594</v>
      </c>
      <c r="E363" s="1247">
        <v>4000</v>
      </c>
      <c r="F363" s="1549" t="s">
        <v>5928</v>
      </c>
      <c r="G363" s="1503" t="s">
        <v>5927</v>
      </c>
      <c r="H363" s="1503" t="s">
        <v>5926</v>
      </c>
      <c r="I363" s="1570" t="s">
        <v>5506</v>
      </c>
      <c r="J363" s="1550" t="s">
        <v>530</v>
      </c>
      <c r="K363" s="1571">
        <v>2</v>
      </c>
      <c r="L363" s="1273">
        <v>6</v>
      </c>
      <c r="M363" s="1247">
        <v>24000</v>
      </c>
      <c r="N363" s="1571">
        <v>2</v>
      </c>
      <c r="O363" s="1273">
        <v>6</v>
      </c>
      <c r="P363" s="1247">
        <v>12000</v>
      </c>
    </row>
    <row r="364" spans="1:16" ht="36">
      <c r="A364" s="1245" t="s">
        <v>5510</v>
      </c>
      <c r="B364" s="1246" t="s">
        <v>1880</v>
      </c>
      <c r="C364" s="1246" t="s">
        <v>504</v>
      </c>
      <c r="D364" s="1200" t="s">
        <v>5925</v>
      </c>
      <c r="E364" s="1247">
        <v>7000</v>
      </c>
      <c r="F364" s="1549" t="s">
        <v>5924</v>
      </c>
      <c r="G364" s="1503" t="s">
        <v>5923</v>
      </c>
      <c r="H364" s="1503" t="s">
        <v>534</v>
      </c>
      <c r="I364" s="1570" t="s">
        <v>5506</v>
      </c>
      <c r="J364" s="1550" t="s">
        <v>1585</v>
      </c>
      <c r="K364" s="1571">
        <v>1</v>
      </c>
      <c r="L364" s="1273">
        <v>2</v>
      </c>
      <c r="M364" s="1247">
        <v>14000</v>
      </c>
      <c r="N364" s="1571">
        <v>0</v>
      </c>
      <c r="O364" s="1273">
        <v>0</v>
      </c>
      <c r="P364" s="1247">
        <v>0</v>
      </c>
    </row>
    <row r="365" spans="1:16" ht="36">
      <c r="A365" s="1245" t="s">
        <v>5510</v>
      </c>
      <c r="B365" s="1246" t="s">
        <v>1880</v>
      </c>
      <c r="C365" s="1246" t="s">
        <v>504</v>
      </c>
      <c r="D365" s="1200" t="s">
        <v>5922</v>
      </c>
      <c r="E365" s="1247">
        <v>5000</v>
      </c>
      <c r="F365" s="1549" t="s">
        <v>5921</v>
      </c>
      <c r="G365" s="1503" t="s">
        <v>5920</v>
      </c>
      <c r="H365" s="1503" t="s">
        <v>508</v>
      </c>
      <c r="I365" s="1570" t="s">
        <v>5525</v>
      </c>
      <c r="J365" s="1550" t="s">
        <v>508</v>
      </c>
      <c r="K365" s="1571">
        <v>2</v>
      </c>
      <c r="L365" s="1273">
        <v>6</v>
      </c>
      <c r="M365" s="1247">
        <v>29954.86</v>
      </c>
      <c r="N365" s="1571">
        <v>2</v>
      </c>
      <c r="O365" s="1273">
        <v>6</v>
      </c>
      <c r="P365" s="1247">
        <v>14083.334999999999</v>
      </c>
    </row>
    <row r="366" spans="1:16">
      <c r="A366" s="1245" t="s">
        <v>5510</v>
      </c>
      <c r="B366" s="1246" t="s">
        <v>1880</v>
      </c>
      <c r="C366" s="1246" t="s">
        <v>504</v>
      </c>
      <c r="D366" s="1200" t="s">
        <v>5919</v>
      </c>
      <c r="E366" s="1247">
        <v>6000</v>
      </c>
      <c r="F366" s="1549" t="s">
        <v>5918</v>
      </c>
      <c r="G366" s="1503" t="s">
        <v>5917</v>
      </c>
      <c r="H366" s="1503" t="s">
        <v>1788</v>
      </c>
      <c r="I366" s="1570" t="s">
        <v>5506</v>
      </c>
      <c r="J366" s="1550" t="s">
        <v>519</v>
      </c>
      <c r="K366" s="1571">
        <v>2</v>
      </c>
      <c r="L366" s="1273">
        <v>6</v>
      </c>
      <c r="M366" s="1247">
        <v>36000</v>
      </c>
      <c r="N366" s="1571">
        <v>2</v>
      </c>
      <c r="O366" s="1273">
        <v>6</v>
      </c>
      <c r="P366" s="1247">
        <v>18000</v>
      </c>
    </row>
    <row r="367" spans="1:16" ht="24">
      <c r="A367" s="1245" t="s">
        <v>5510</v>
      </c>
      <c r="B367" s="1246" t="s">
        <v>1880</v>
      </c>
      <c r="C367" s="1246" t="s">
        <v>504</v>
      </c>
      <c r="D367" s="1200" t="s">
        <v>5916</v>
      </c>
      <c r="E367" s="1247">
        <v>5000</v>
      </c>
      <c r="F367" s="1549" t="s">
        <v>5915</v>
      </c>
      <c r="G367" s="1503" t="s">
        <v>5914</v>
      </c>
      <c r="H367" s="1503" t="s">
        <v>5913</v>
      </c>
      <c r="I367" s="1570" t="s">
        <v>499</v>
      </c>
      <c r="J367" s="1550" t="s">
        <v>888</v>
      </c>
      <c r="K367" s="1571">
        <v>2</v>
      </c>
      <c r="L367" s="1273">
        <v>6</v>
      </c>
      <c r="M367" s="1247">
        <v>30000</v>
      </c>
      <c r="N367" s="1571">
        <v>2</v>
      </c>
      <c r="O367" s="1273">
        <v>6</v>
      </c>
      <c r="P367" s="1247">
        <v>14916.665000000001</v>
      </c>
    </row>
    <row r="368" spans="1:16">
      <c r="A368" s="1245" t="s">
        <v>5510</v>
      </c>
      <c r="B368" s="1246" t="s">
        <v>1880</v>
      </c>
      <c r="C368" s="1246" t="s">
        <v>504</v>
      </c>
      <c r="D368" s="1200" t="s">
        <v>5575</v>
      </c>
      <c r="E368" s="1247">
        <v>10000</v>
      </c>
      <c r="F368" s="1549" t="s">
        <v>5912</v>
      </c>
      <c r="G368" s="1503" t="s">
        <v>5911</v>
      </c>
      <c r="H368" s="1503" t="s">
        <v>534</v>
      </c>
      <c r="I368" s="1570" t="s">
        <v>5506</v>
      </c>
      <c r="J368" s="1550" t="s">
        <v>534</v>
      </c>
      <c r="K368" s="1571">
        <v>2</v>
      </c>
      <c r="L368" s="1273">
        <v>6</v>
      </c>
      <c r="M368" s="1247">
        <v>43428</v>
      </c>
      <c r="N368" s="1571">
        <v>2</v>
      </c>
      <c r="O368" s="1273">
        <v>6</v>
      </c>
      <c r="P368" s="1247">
        <v>21714</v>
      </c>
    </row>
    <row r="369" spans="1:16" ht="24">
      <c r="A369" s="1245" t="s">
        <v>5510</v>
      </c>
      <c r="B369" s="1246" t="s">
        <v>1880</v>
      </c>
      <c r="C369" s="1246" t="s">
        <v>504</v>
      </c>
      <c r="D369" s="1200" t="s">
        <v>5753</v>
      </c>
      <c r="E369" s="1247">
        <v>3500</v>
      </c>
      <c r="F369" s="1549" t="s">
        <v>5910</v>
      </c>
      <c r="G369" s="1503" t="s">
        <v>5909</v>
      </c>
      <c r="H369" s="1503" t="s">
        <v>1719</v>
      </c>
      <c r="I369" s="1570"/>
      <c r="J369" s="1550" t="s">
        <v>543</v>
      </c>
      <c r="K369" s="1571">
        <v>1</v>
      </c>
      <c r="L369" s="1273">
        <v>1</v>
      </c>
      <c r="M369" s="1247">
        <v>3383.33</v>
      </c>
      <c r="N369" s="1571">
        <v>0</v>
      </c>
      <c r="O369" s="1273">
        <v>0</v>
      </c>
      <c r="P369" s="1247">
        <v>0</v>
      </c>
    </row>
    <row r="370" spans="1:16" ht="36">
      <c r="A370" s="1245" t="s">
        <v>5510</v>
      </c>
      <c r="B370" s="1246" t="s">
        <v>1880</v>
      </c>
      <c r="C370" s="1246" t="s">
        <v>504</v>
      </c>
      <c r="D370" s="1200" t="s">
        <v>5908</v>
      </c>
      <c r="E370" s="1247">
        <v>2500</v>
      </c>
      <c r="F370" s="1549" t="s">
        <v>5906</v>
      </c>
      <c r="G370" s="1503" t="s">
        <v>5905</v>
      </c>
      <c r="H370" s="1503" t="s">
        <v>5904</v>
      </c>
      <c r="I370" s="1570" t="s">
        <v>507</v>
      </c>
      <c r="J370" s="1550" t="s">
        <v>515</v>
      </c>
      <c r="K370" s="1571">
        <v>2</v>
      </c>
      <c r="L370" s="1273">
        <v>6</v>
      </c>
      <c r="M370" s="1247">
        <v>20727.449999999997</v>
      </c>
      <c r="N370" s="1571">
        <v>2</v>
      </c>
      <c r="O370" s="1273">
        <v>6</v>
      </c>
      <c r="P370" s="1247">
        <v>10401.06</v>
      </c>
    </row>
    <row r="371" spans="1:16" ht="24">
      <c r="A371" s="1245" t="s">
        <v>5510</v>
      </c>
      <c r="B371" s="1246" t="s">
        <v>1880</v>
      </c>
      <c r="C371" s="1246" t="s">
        <v>504</v>
      </c>
      <c r="D371" s="1200" t="s">
        <v>5907</v>
      </c>
      <c r="E371" s="1247">
        <v>3500</v>
      </c>
      <c r="F371" s="1549" t="s">
        <v>5906</v>
      </c>
      <c r="G371" s="1503" t="s">
        <v>5905</v>
      </c>
      <c r="H371" s="1503" t="s">
        <v>5904</v>
      </c>
      <c r="I371" s="1570" t="s">
        <v>507</v>
      </c>
      <c r="J371" s="1550" t="s">
        <v>515</v>
      </c>
      <c r="K371" s="1571">
        <v>2</v>
      </c>
      <c r="L371" s="1273">
        <v>6</v>
      </c>
      <c r="M371" s="1247">
        <v>20727.449999999997</v>
      </c>
      <c r="N371" s="1571">
        <v>2</v>
      </c>
      <c r="O371" s="1273">
        <v>6</v>
      </c>
      <c r="P371" s="1247">
        <v>10401.06</v>
      </c>
    </row>
    <row r="372" spans="1:16" ht="24">
      <c r="A372" s="1245" t="s">
        <v>5510</v>
      </c>
      <c r="B372" s="1246" t="s">
        <v>1880</v>
      </c>
      <c r="C372" s="1246" t="s">
        <v>504</v>
      </c>
      <c r="D372" s="1200" t="s">
        <v>5892</v>
      </c>
      <c r="E372" s="1247">
        <v>3500</v>
      </c>
      <c r="F372" s="1549" t="s">
        <v>5903</v>
      </c>
      <c r="G372" s="1503" t="s">
        <v>5902</v>
      </c>
      <c r="H372" s="1503" t="s">
        <v>5160</v>
      </c>
      <c r="I372" s="1570" t="s">
        <v>547</v>
      </c>
      <c r="J372" s="1550" t="s">
        <v>547</v>
      </c>
      <c r="K372" s="1571">
        <v>2</v>
      </c>
      <c r="L372" s="1273">
        <v>6</v>
      </c>
      <c r="M372" s="1247">
        <v>20458.940000000002</v>
      </c>
      <c r="N372" s="1571">
        <v>2</v>
      </c>
      <c r="O372" s="1273">
        <v>5</v>
      </c>
      <c r="P372" s="1247">
        <v>0</v>
      </c>
    </row>
    <row r="373" spans="1:16">
      <c r="A373" s="1245" t="s">
        <v>5510</v>
      </c>
      <c r="B373" s="1246" t="s">
        <v>1880</v>
      </c>
      <c r="C373" s="1246" t="s">
        <v>504</v>
      </c>
      <c r="D373" s="1200" t="s">
        <v>5901</v>
      </c>
      <c r="E373" s="1247">
        <v>9000</v>
      </c>
      <c r="F373" s="1549" t="s">
        <v>5900</v>
      </c>
      <c r="G373" s="1503" t="s">
        <v>5899</v>
      </c>
      <c r="H373" s="1503" t="s">
        <v>5788</v>
      </c>
      <c r="I373" s="1570" t="s">
        <v>5506</v>
      </c>
      <c r="J373" s="1550" t="s">
        <v>5788</v>
      </c>
      <c r="K373" s="1571">
        <v>2</v>
      </c>
      <c r="L373" s="1273">
        <v>6</v>
      </c>
      <c r="M373" s="1247">
        <v>53868.75</v>
      </c>
      <c r="N373" s="1571">
        <v>2</v>
      </c>
      <c r="O373" s="1273">
        <v>6</v>
      </c>
      <c r="P373" s="1247">
        <v>27000</v>
      </c>
    </row>
    <row r="374" spans="1:16">
      <c r="A374" s="1245" t="s">
        <v>5510</v>
      </c>
      <c r="B374" s="1246" t="s">
        <v>1880</v>
      </c>
      <c r="C374" s="1246" t="s">
        <v>504</v>
      </c>
      <c r="D374" s="1200" t="s">
        <v>5878</v>
      </c>
      <c r="E374" s="1247">
        <v>3000</v>
      </c>
      <c r="F374" s="1549" t="s">
        <v>5898</v>
      </c>
      <c r="G374" s="1503" t="s">
        <v>5897</v>
      </c>
      <c r="H374" s="1503" t="s">
        <v>619</v>
      </c>
      <c r="I374" s="1570" t="s">
        <v>619</v>
      </c>
      <c r="J374" s="1550" t="s">
        <v>619</v>
      </c>
      <c r="K374" s="1571">
        <v>2</v>
      </c>
      <c r="L374" s="1273">
        <v>6</v>
      </c>
      <c r="M374" s="1247">
        <v>17994.79</v>
      </c>
      <c r="N374" s="1571">
        <v>2</v>
      </c>
      <c r="O374" s="1273">
        <v>6</v>
      </c>
      <c r="P374" s="1247">
        <v>9000</v>
      </c>
    </row>
    <row r="375" spans="1:16">
      <c r="A375" s="1245" t="s">
        <v>5510</v>
      </c>
      <c r="B375" s="1246" t="s">
        <v>1880</v>
      </c>
      <c r="C375" s="1246" t="s">
        <v>504</v>
      </c>
      <c r="D375" s="1200" t="s">
        <v>5531</v>
      </c>
      <c r="E375" s="1247">
        <v>3000</v>
      </c>
      <c r="F375" s="1549" t="s">
        <v>5896</v>
      </c>
      <c r="G375" s="1503" t="s">
        <v>5895</v>
      </c>
      <c r="H375" s="1503" t="s">
        <v>2859</v>
      </c>
      <c r="I375" s="1570" t="s">
        <v>5506</v>
      </c>
      <c r="J375" s="1550" t="s">
        <v>2859</v>
      </c>
      <c r="K375" s="1571">
        <v>2</v>
      </c>
      <c r="L375" s="1273">
        <v>6</v>
      </c>
      <c r="M375" s="1247">
        <v>18000</v>
      </c>
      <c r="N375" s="1571">
        <v>2</v>
      </c>
      <c r="O375" s="1273">
        <v>6</v>
      </c>
      <c r="P375" s="1247">
        <v>9000</v>
      </c>
    </row>
    <row r="376" spans="1:16">
      <c r="A376" s="1245" t="s">
        <v>5510</v>
      </c>
      <c r="B376" s="1246" t="s">
        <v>1880</v>
      </c>
      <c r="C376" s="1246" t="s">
        <v>504</v>
      </c>
      <c r="D376" s="1200" t="s">
        <v>5594</v>
      </c>
      <c r="E376" s="1247">
        <v>4500</v>
      </c>
      <c r="F376" s="1549" t="s">
        <v>5894</v>
      </c>
      <c r="G376" s="1503" t="s">
        <v>5893</v>
      </c>
      <c r="H376" s="1503" t="s">
        <v>5159</v>
      </c>
      <c r="I376" s="1570" t="s">
        <v>5506</v>
      </c>
      <c r="J376" s="1550" t="s">
        <v>3935</v>
      </c>
      <c r="K376" s="1571">
        <v>2</v>
      </c>
      <c r="L376" s="1273">
        <v>6</v>
      </c>
      <c r="M376" s="1247">
        <v>27000</v>
      </c>
      <c r="N376" s="1571">
        <v>2</v>
      </c>
      <c r="O376" s="1273">
        <v>6</v>
      </c>
      <c r="P376" s="1247">
        <v>13493.75</v>
      </c>
    </row>
    <row r="377" spans="1:16" ht="24">
      <c r="A377" s="1245" t="s">
        <v>5510</v>
      </c>
      <c r="B377" s="1246" t="s">
        <v>1880</v>
      </c>
      <c r="C377" s="1246" t="s">
        <v>504</v>
      </c>
      <c r="D377" s="1200" t="s">
        <v>5892</v>
      </c>
      <c r="E377" s="1247">
        <v>4500</v>
      </c>
      <c r="F377" s="1549" t="s">
        <v>5891</v>
      </c>
      <c r="G377" s="1503" t="s">
        <v>5890</v>
      </c>
      <c r="H377" s="1503"/>
      <c r="I377" s="1570"/>
      <c r="J377" s="1550"/>
      <c r="K377" s="1571">
        <v>1</v>
      </c>
      <c r="L377" s="1273">
        <v>3</v>
      </c>
      <c r="M377" s="1247">
        <v>9450</v>
      </c>
      <c r="N377" s="1571">
        <v>0</v>
      </c>
      <c r="O377" s="1273">
        <v>0</v>
      </c>
      <c r="P377" s="1247">
        <v>0</v>
      </c>
    </row>
    <row r="378" spans="1:16" ht="36">
      <c r="A378" s="1245" t="s">
        <v>5510</v>
      </c>
      <c r="B378" s="1246" t="s">
        <v>1880</v>
      </c>
      <c r="C378" s="1246" t="s">
        <v>504</v>
      </c>
      <c r="D378" s="1200" t="s">
        <v>5559</v>
      </c>
      <c r="E378" s="1247">
        <v>2000</v>
      </c>
      <c r="F378" s="1549" t="s">
        <v>5889</v>
      </c>
      <c r="G378" s="1503" t="s">
        <v>5888</v>
      </c>
      <c r="H378" s="1503" t="s">
        <v>1708</v>
      </c>
      <c r="I378" s="1570" t="s">
        <v>5506</v>
      </c>
      <c r="J378" s="1550" t="s">
        <v>5887</v>
      </c>
      <c r="K378" s="1571">
        <v>2</v>
      </c>
      <c r="L378" s="1273">
        <v>6</v>
      </c>
      <c r="M378" s="1247">
        <v>12000</v>
      </c>
      <c r="N378" s="1571">
        <v>2</v>
      </c>
      <c r="O378" s="1273">
        <v>6</v>
      </c>
      <c r="P378" s="1247">
        <v>6000</v>
      </c>
    </row>
    <row r="379" spans="1:16" ht="24">
      <c r="A379" s="1245" t="s">
        <v>5510</v>
      </c>
      <c r="B379" s="1246" t="s">
        <v>1880</v>
      </c>
      <c r="C379" s="1246" t="s">
        <v>504</v>
      </c>
      <c r="D379" s="1200" t="s">
        <v>5886</v>
      </c>
      <c r="E379" s="1247">
        <v>6000</v>
      </c>
      <c r="F379" s="1549" t="s">
        <v>5885</v>
      </c>
      <c r="G379" s="1503" t="s">
        <v>5884</v>
      </c>
      <c r="H379" s="1503" t="s">
        <v>3395</v>
      </c>
      <c r="I379" s="1570" t="s">
        <v>5506</v>
      </c>
      <c r="J379" s="1550" t="s">
        <v>3395</v>
      </c>
      <c r="K379" s="1571">
        <v>2</v>
      </c>
      <c r="L379" s="1273">
        <v>6</v>
      </c>
      <c r="M379" s="1247">
        <v>35780.81</v>
      </c>
      <c r="N379" s="1571">
        <v>2</v>
      </c>
      <c r="O379" s="1273">
        <v>6</v>
      </c>
      <c r="P379" s="1247">
        <v>17928.744999999999</v>
      </c>
    </row>
    <row r="380" spans="1:16" ht="48">
      <c r="A380" s="1245" t="s">
        <v>5510</v>
      </c>
      <c r="B380" s="1246" t="s">
        <v>1880</v>
      </c>
      <c r="C380" s="1246" t="s">
        <v>504</v>
      </c>
      <c r="D380" s="1200" t="s">
        <v>5623</v>
      </c>
      <c r="E380" s="1247">
        <v>6000</v>
      </c>
      <c r="F380" s="1549" t="s">
        <v>5883</v>
      </c>
      <c r="G380" s="1503" t="s">
        <v>5882</v>
      </c>
      <c r="H380" s="1503" t="s">
        <v>4982</v>
      </c>
      <c r="I380" s="1570" t="s">
        <v>5506</v>
      </c>
      <c r="J380" s="1550" t="s">
        <v>526</v>
      </c>
      <c r="K380" s="1571">
        <v>2</v>
      </c>
      <c r="L380" s="1273">
        <v>6</v>
      </c>
      <c r="M380" s="1247">
        <v>36000</v>
      </c>
      <c r="N380" s="1571">
        <v>2</v>
      </c>
      <c r="O380" s="1273">
        <v>6</v>
      </c>
      <c r="P380" s="1247">
        <v>18000</v>
      </c>
    </row>
    <row r="381" spans="1:16">
      <c r="A381" s="1245" t="s">
        <v>5510</v>
      </c>
      <c r="B381" s="1246" t="s">
        <v>1880</v>
      </c>
      <c r="C381" s="1246" t="s">
        <v>504</v>
      </c>
      <c r="D381" s="1200" t="s">
        <v>5594</v>
      </c>
      <c r="E381" s="1247">
        <v>4500</v>
      </c>
      <c r="F381" s="1549" t="s">
        <v>5881</v>
      </c>
      <c r="G381" s="1503" t="s">
        <v>5880</v>
      </c>
      <c r="H381" s="1503" t="s">
        <v>5879</v>
      </c>
      <c r="I381" s="1570" t="s">
        <v>5506</v>
      </c>
      <c r="J381" s="1550" t="s">
        <v>2479</v>
      </c>
      <c r="K381" s="1571">
        <v>2</v>
      </c>
      <c r="L381" s="1273">
        <v>6</v>
      </c>
      <c r="M381" s="1247">
        <v>27000</v>
      </c>
      <c r="N381" s="1571">
        <v>2</v>
      </c>
      <c r="O381" s="1273">
        <v>6</v>
      </c>
      <c r="P381" s="1247">
        <v>13500</v>
      </c>
    </row>
    <row r="382" spans="1:16">
      <c r="A382" s="1245" t="s">
        <v>5510</v>
      </c>
      <c r="B382" s="1246" t="s">
        <v>1880</v>
      </c>
      <c r="C382" s="1246" t="s">
        <v>504</v>
      </c>
      <c r="D382" s="1200" t="s">
        <v>5878</v>
      </c>
      <c r="E382" s="1247">
        <v>3000</v>
      </c>
      <c r="F382" s="1549" t="s">
        <v>5877</v>
      </c>
      <c r="G382" s="1503" t="s">
        <v>5876</v>
      </c>
      <c r="H382" s="1503" t="s">
        <v>619</v>
      </c>
      <c r="I382" s="1570" t="s">
        <v>619</v>
      </c>
      <c r="J382" s="1550" t="s">
        <v>619</v>
      </c>
      <c r="K382" s="1571">
        <v>2</v>
      </c>
      <c r="L382" s="1273">
        <v>6</v>
      </c>
      <c r="M382" s="1247">
        <v>17767.919999999998</v>
      </c>
      <c r="N382" s="1571">
        <v>2</v>
      </c>
      <c r="O382" s="1273">
        <v>6</v>
      </c>
      <c r="P382" s="1247">
        <v>8997.5</v>
      </c>
    </row>
    <row r="383" spans="1:16">
      <c r="A383" s="1245" t="s">
        <v>5510</v>
      </c>
      <c r="B383" s="1246" t="s">
        <v>1880</v>
      </c>
      <c r="C383" s="1246" t="s">
        <v>504</v>
      </c>
      <c r="D383" s="1200" t="s">
        <v>5537</v>
      </c>
      <c r="E383" s="1247">
        <v>10000</v>
      </c>
      <c r="F383" s="1549" t="s">
        <v>5875</v>
      </c>
      <c r="G383" s="1503" t="s">
        <v>5874</v>
      </c>
      <c r="H383" s="1503" t="s">
        <v>511</v>
      </c>
      <c r="I383" s="1570" t="s">
        <v>5516</v>
      </c>
      <c r="J383" s="1550" t="s">
        <v>5549</v>
      </c>
      <c r="K383" s="1571">
        <v>0</v>
      </c>
      <c r="L383" s="1273">
        <v>0</v>
      </c>
      <c r="M383" s="1247">
        <v>0</v>
      </c>
      <c r="N383" s="1571">
        <v>2</v>
      </c>
      <c r="O383" s="1273">
        <v>4</v>
      </c>
      <c r="P383" s="1247">
        <v>21833.334999999999</v>
      </c>
    </row>
    <row r="384" spans="1:16" ht="24">
      <c r="A384" s="1245" t="s">
        <v>5510</v>
      </c>
      <c r="B384" s="1246" t="s">
        <v>1880</v>
      </c>
      <c r="C384" s="1246" t="s">
        <v>504</v>
      </c>
      <c r="D384" s="1200" t="s">
        <v>1910</v>
      </c>
      <c r="E384" s="1247">
        <v>1000</v>
      </c>
      <c r="F384" s="1549" t="s">
        <v>5873</v>
      </c>
      <c r="G384" s="1503" t="s">
        <v>5872</v>
      </c>
      <c r="H384" s="1503" t="s">
        <v>619</v>
      </c>
      <c r="I384" s="1570" t="s">
        <v>619</v>
      </c>
      <c r="J384" s="1550" t="s">
        <v>619</v>
      </c>
      <c r="K384" s="1571">
        <v>2</v>
      </c>
      <c r="L384" s="1273">
        <v>6</v>
      </c>
      <c r="M384" s="1247">
        <v>5991.67</v>
      </c>
      <c r="N384" s="1571">
        <v>2</v>
      </c>
      <c r="O384" s="1273">
        <v>6</v>
      </c>
      <c r="P384" s="1247">
        <v>2988.65</v>
      </c>
    </row>
    <row r="385" spans="1:16">
      <c r="A385" s="1245" t="s">
        <v>5510</v>
      </c>
      <c r="B385" s="1246" t="s">
        <v>1880</v>
      </c>
      <c r="C385" s="1246" t="s">
        <v>504</v>
      </c>
      <c r="D385" s="1200" t="s">
        <v>5584</v>
      </c>
      <c r="E385" s="1247">
        <v>10000</v>
      </c>
      <c r="F385" s="1549" t="s">
        <v>5871</v>
      </c>
      <c r="G385" s="1503" t="s">
        <v>5870</v>
      </c>
      <c r="H385" s="1503" t="s">
        <v>1788</v>
      </c>
      <c r="I385" s="1570" t="s">
        <v>5506</v>
      </c>
      <c r="J385" s="1550" t="s">
        <v>519</v>
      </c>
      <c r="K385" s="1571">
        <v>2</v>
      </c>
      <c r="L385" s="1273">
        <v>6</v>
      </c>
      <c r="M385" s="1247">
        <v>60000</v>
      </c>
      <c r="N385" s="1571">
        <v>2</v>
      </c>
      <c r="O385" s="1273">
        <v>6</v>
      </c>
      <c r="P385" s="1247">
        <v>30000</v>
      </c>
    </row>
    <row r="386" spans="1:16" ht="36">
      <c r="A386" s="1245" t="s">
        <v>5510</v>
      </c>
      <c r="B386" s="1246" t="s">
        <v>1880</v>
      </c>
      <c r="C386" s="1246" t="s">
        <v>504</v>
      </c>
      <c r="D386" s="1200" t="s">
        <v>5869</v>
      </c>
      <c r="E386" s="1247">
        <v>3500</v>
      </c>
      <c r="F386" s="1549" t="s">
        <v>5868</v>
      </c>
      <c r="G386" s="1503" t="s">
        <v>5867</v>
      </c>
      <c r="H386" s="1503" t="s">
        <v>5462</v>
      </c>
      <c r="I386" s="1570" t="s">
        <v>547</v>
      </c>
      <c r="J386" s="1550" t="s">
        <v>547</v>
      </c>
      <c r="K386" s="1571">
        <v>2</v>
      </c>
      <c r="L386" s="1273">
        <v>6</v>
      </c>
      <c r="M386" s="1247">
        <v>23045.32</v>
      </c>
      <c r="N386" s="1571">
        <v>2</v>
      </c>
      <c r="O386" s="1273">
        <v>6</v>
      </c>
      <c r="P386" s="1247">
        <v>10866.665000000001</v>
      </c>
    </row>
    <row r="387" spans="1:16" ht="36">
      <c r="A387" s="1245" t="s">
        <v>5510</v>
      </c>
      <c r="B387" s="1246" t="s">
        <v>1880</v>
      </c>
      <c r="C387" s="1246" t="s">
        <v>504</v>
      </c>
      <c r="D387" s="1200" t="s">
        <v>5866</v>
      </c>
      <c r="E387" s="1247">
        <v>4000</v>
      </c>
      <c r="F387" s="1549" t="s">
        <v>5865</v>
      </c>
      <c r="G387" s="1503" t="s">
        <v>5864</v>
      </c>
      <c r="H387" s="1503" t="s">
        <v>543</v>
      </c>
      <c r="I387" s="1570" t="s">
        <v>5516</v>
      </c>
      <c r="J387" s="1550" t="s">
        <v>543</v>
      </c>
      <c r="K387" s="1571">
        <v>2</v>
      </c>
      <c r="L387" s="1273">
        <v>6</v>
      </c>
      <c r="M387" s="1247">
        <v>23167.46</v>
      </c>
      <c r="N387" s="1571">
        <v>2</v>
      </c>
      <c r="O387" s="1273">
        <v>6</v>
      </c>
      <c r="P387" s="1247">
        <v>11936.52</v>
      </c>
    </row>
    <row r="388" spans="1:16" ht="36">
      <c r="A388" s="1245" t="s">
        <v>5510</v>
      </c>
      <c r="B388" s="1246" t="s">
        <v>1880</v>
      </c>
      <c r="C388" s="1246" t="s">
        <v>504</v>
      </c>
      <c r="D388" s="1200" t="s">
        <v>1688</v>
      </c>
      <c r="E388" s="1247">
        <v>1000</v>
      </c>
      <c r="F388" s="1549" t="s">
        <v>5863</v>
      </c>
      <c r="G388" s="1503" t="s">
        <v>5862</v>
      </c>
      <c r="H388" s="1503" t="s">
        <v>5861</v>
      </c>
      <c r="I388" s="1570" t="s">
        <v>499</v>
      </c>
      <c r="J388" s="1550" t="s">
        <v>5860</v>
      </c>
      <c r="K388" s="1571">
        <v>2</v>
      </c>
      <c r="L388" s="1273">
        <v>6</v>
      </c>
      <c r="M388" s="1247">
        <v>6000</v>
      </c>
      <c r="N388" s="1571">
        <v>2</v>
      </c>
      <c r="O388" s="1273">
        <v>6</v>
      </c>
      <c r="P388" s="1247">
        <v>3000</v>
      </c>
    </row>
    <row r="389" spans="1:16" ht="24">
      <c r="A389" s="1245" t="s">
        <v>5510</v>
      </c>
      <c r="B389" s="1246" t="s">
        <v>1880</v>
      </c>
      <c r="C389" s="1246" t="s">
        <v>504</v>
      </c>
      <c r="D389" s="1200" t="s">
        <v>5859</v>
      </c>
      <c r="E389" s="1247">
        <v>4200</v>
      </c>
      <c r="F389" s="1549" t="s">
        <v>5858</v>
      </c>
      <c r="G389" s="1503" t="s">
        <v>5857</v>
      </c>
      <c r="H389" s="1503" t="s">
        <v>5856</v>
      </c>
      <c r="I389" s="1570" t="s">
        <v>507</v>
      </c>
      <c r="J389" s="1550" t="s">
        <v>5856</v>
      </c>
      <c r="K389" s="1571">
        <v>1</v>
      </c>
      <c r="L389" s="1273">
        <v>1</v>
      </c>
      <c r="M389" s="1247">
        <v>3080</v>
      </c>
      <c r="N389" s="1571">
        <v>2</v>
      </c>
      <c r="O389" s="1273">
        <v>6</v>
      </c>
      <c r="P389" s="1247">
        <v>12579.869999999999</v>
      </c>
    </row>
    <row r="390" spans="1:16" ht="48">
      <c r="A390" s="1245" t="s">
        <v>5510</v>
      </c>
      <c r="B390" s="1246" t="s">
        <v>1880</v>
      </c>
      <c r="C390" s="1246" t="s">
        <v>504</v>
      </c>
      <c r="D390" s="1200" t="s">
        <v>5617</v>
      </c>
      <c r="E390" s="1247">
        <v>4500</v>
      </c>
      <c r="F390" s="1549" t="s">
        <v>5855</v>
      </c>
      <c r="G390" s="1503" t="s">
        <v>5854</v>
      </c>
      <c r="H390" s="1503" t="s">
        <v>530</v>
      </c>
      <c r="I390" s="1570" t="s">
        <v>5516</v>
      </c>
      <c r="J390" s="1550" t="s">
        <v>530</v>
      </c>
      <c r="K390" s="1571">
        <v>1</v>
      </c>
      <c r="L390" s="1273">
        <v>3</v>
      </c>
      <c r="M390" s="1247">
        <v>12600</v>
      </c>
      <c r="N390" s="1571">
        <v>2</v>
      </c>
      <c r="O390" s="1273">
        <v>6</v>
      </c>
      <c r="P390" s="1247">
        <v>13500</v>
      </c>
    </row>
    <row r="391" spans="1:16">
      <c r="A391" s="1245" t="s">
        <v>5510</v>
      </c>
      <c r="B391" s="1246" t="s">
        <v>1880</v>
      </c>
      <c r="C391" s="1246" t="s">
        <v>504</v>
      </c>
      <c r="D391" s="1200" t="s">
        <v>503</v>
      </c>
      <c r="E391" s="1247">
        <v>2000</v>
      </c>
      <c r="F391" s="1549" t="s">
        <v>5853</v>
      </c>
      <c r="G391" s="1503" t="s">
        <v>5852</v>
      </c>
      <c r="H391" s="1503" t="s">
        <v>503</v>
      </c>
      <c r="I391" s="1570" t="s">
        <v>573</v>
      </c>
      <c r="J391" s="1550" t="s">
        <v>500</v>
      </c>
      <c r="K391" s="1571">
        <v>2</v>
      </c>
      <c r="L391" s="1273">
        <v>6</v>
      </c>
      <c r="M391" s="1247">
        <v>11866.67</v>
      </c>
      <c r="N391" s="1571">
        <v>2</v>
      </c>
      <c r="O391" s="1273">
        <v>6</v>
      </c>
      <c r="P391" s="1247">
        <v>5933.335</v>
      </c>
    </row>
    <row r="392" spans="1:16">
      <c r="A392" s="1245" t="s">
        <v>5510</v>
      </c>
      <c r="B392" s="1246" t="s">
        <v>1880</v>
      </c>
      <c r="C392" s="1246" t="s">
        <v>504</v>
      </c>
      <c r="D392" s="1200" t="s">
        <v>5584</v>
      </c>
      <c r="E392" s="1247">
        <v>10000</v>
      </c>
      <c r="F392" s="1549" t="s">
        <v>5851</v>
      </c>
      <c r="G392" s="1503" t="s">
        <v>5850</v>
      </c>
      <c r="H392" s="1503" t="s">
        <v>1842</v>
      </c>
      <c r="I392" s="1570" t="s">
        <v>5506</v>
      </c>
      <c r="J392" s="1550" t="s">
        <v>526</v>
      </c>
      <c r="K392" s="1571">
        <v>2</v>
      </c>
      <c r="L392" s="1273">
        <v>6</v>
      </c>
      <c r="M392" s="1247">
        <v>60000</v>
      </c>
      <c r="N392" s="1571">
        <v>2</v>
      </c>
      <c r="O392" s="1273">
        <v>6</v>
      </c>
      <c r="P392" s="1247">
        <v>30000</v>
      </c>
    </row>
    <row r="393" spans="1:16" ht="24">
      <c r="A393" s="1245" t="s">
        <v>5510</v>
      </c>
      <c r="B393" s="1246" t="s">
        <v>1880</v>
      </c>
      <c r="C393" s="1246" t="s">
        <v>504</v>
      </c>
      <c r="D393" s="1200" t="s">
        <v>5849</v>
      </c>
      <c r="E393" s="1247">
        <v>5500</v>
      </c>
      <c r="F393" s="1549" t="s">
        <v>5848</v>
      </c>
      <c r="G393" s="1503" t="s">
        <v>5847</v>
      </c>
      <c r="H393" s="1503" t="s">
        <v>925</v>
      </c>
      <c r="I393" s="1570" t="s">
        <v>5506</v>
      </c>
      <c r="J393" s="1550" t="s">
        <v>515</v>
      </c>
      <c r="K393" s="1571">
        <v>2</v>
      </c>
      <c r="L393" s="1273">
        <v>6</v>
      </c>
      <c r="M393" s="1247">
        <v>32994.270000000004</v>
      </c>
      <c r="N393" s="1571">
        <v>2</v>
      </c>
      <c r="O393" s="1273">
        <v>6</v>
      </c>
      <c r="P393" s="1247">
        <v>16497.900000000001</v>
      </c>
    </row>
    <row r="394" spans="1:16" ht="24">
      <c r="A394" s="1245" t="s">
        <v>5510</v>
      </c>
      <c r="B394" s="1246" t="s">
        <v>1880</v>
      </c>
      <c r="C394" s="1246" t="s">
        <v>504</v>
      </c>
      <c r="D394" s="1200" t="s">
        <v>5756</v>
      </c>
      <c r="E394" s="1247">
        <v>3500</v>
      </c>
      <c r="F394" s="1549" t="s">
        <v>5846</v>
      </c>
      <c r="G394" s="1503" t="s">
        <v>5845</v>
      </c>
      <c r="H394" s="1503" t="s">
        <v>1719</v>
      </c>
      <c r="I394" s="1570" t="s">
        <v>5506</v>
      </c>
      <c r="J394" s="1550" t="s">
        <v>5844</v>
      </c>
      <c r="K394" s="1571">
        <v>2</v>
      </c>
      <c r="L394" s="1273">
        <v>6</v>
      </c>
      <c r="M394" s="1247">
        <v>21000</v>
      </c>
      <c r="N394" s="1571">
        <v>2</v>
      </c>
      <c r="O394" s="1273">
        <v>6</v>
      </c>
      <c r="P394" s="1247">
        <v>10500</v>
      </c>
    </row>
    <row r="395" spans="1:16" ht="24">
      <c r="A395" s="1245" t="s">
        <v>5510</v>
      </c>
      <c r="B395" s="1246" t="s">
        <v>1880</v>
      </c>
      <c r="C395" s="1246" t="s">
        <v>504</v>
      </c>
      <c r="D395" s="1200" t="s">
        <v>5594</v>
      </c>
      <c r="E395" s="1247">
        <v>4000</v>
      </c>
      <c r="F395" s="1549" t="s">
        <v>5843</v>
      </c>
      <c r="G395" s="1503" t="s">
        <v>5842</v>
      </c>
      <c r="H395" s="1503" t="s">
        <v>5841</v>
      </c>
      <c r="I395" s="1570" t="s">
        <v>5506</v>
      </c>
      <c r="J395" s="1550" t="s">
        <v>5840</v>
      </c>
      <c r="K395" s="1571">
        <v>2</v>
      </c>
      <c r="L395" s="1273">
        <v>6</v>
      </c>
      <c r="M395" s="1247">
        <v>24000</v>
      </c>
      <c r="N395" s="1571">
        <v>2</v>
      </c>
      <c r="O395" s="1273">
        <v>6</v>
      </c>
      <c r="P395" s="1247">
        <v>12000</v>
      </c>
    </row>
    <row r="396" spans="1:16" ht="24">
      <c r="A396" s="1245" t="s">
        <v>5510</v>
      </c>
      <c r="B396" s="1246" t="s">
        <v>1880</v>
      </c>
      <c r="C396" s="1246" t="s">
        <v>504</v>
      </c>
      <c r="D396" s="1200" t="s">
        <v>5839</v>
      </c>
      <c r="E396" s="1247">
        <v>6000</v>
      </c>
      <c r="F396" s="1549" t="s">
        <v>5838</v>
      </c>
      <c r="G396" s="1503" t="s">
        <v>5837</v>
      </c>
      <c r="H396" s="1503" t="s">
        <v>511</v>
      </c>
      <c r="I396" s="1570" t="s">
        <v>5506</v>
      </c>
      <c r="J396" s="1550" t="s">
        <v>508</v>
      </c>
      <c r="K396" s="1571">
        <v>2</v>
      </c>
      <c r="L396" s="1273">
        <v>6</v>
      </c>
      <c r="M396" s="1247">
        <v>32560.07</v>
      </c>
      <c r="N396" s="1571">
        <v>2</v>
      </c>
      <c r="O396" s="1273">
        <v>6</v>
      </c>
      <c r="P396" s="1247">
        <v>17981.455000000002</v>
      </c>
    </row>
    <row r="397" spans="1:16" ht="24">
      <c r="A397" s="1245" t="s">
        <v>5510</v>
      </c>
      <c r="B397" s="1246" t="s">
        <v>1880</v>
      </c>
      <c r="C397" s="1246" t="s">
        <v>504</v>
      </c>
      <c r="D397" s="1200" t="s">
        <v>4339</v>
      </c>
      <c r="E397" s="1247">
        <v>12000</v>
      </c>
      <c r="F397" s="1549" t="s">
        <v>5836</v>
      </c>
      <c r="G397" s="1503" t="s">
        <v>5835</v>
      </c>
      <c r="H397" s="1503" t="s">
        <v>534</v>
      </c>
      <c r="I397" s="1570" t="s">
        <v>5506</v>
      </c>
      <c r="J397" s="1550" t="s">
        <v>1585</v>
      </c>
      <c r="K397" s="1571">
        <v>1</v>
      </c>
      <c r="L397" s="1273">
        <v>2</v>
      </c>
      <c r="M397" s="1247">
        <v>24000</v>
      </c>
      <c r="N397" s="1571">
        <v>0</v>
      </c>
      <c r="O397" s="1273">
        <v>0</v>
      </c>
      <c r="P397" s="1247">
        <v>0</v>
      </c>
    </row>
    <row r="398" spans="1:16" ht="24">
      <c r="A398" s="1245" t="s">
        <v>5510</v>
      </c>
      <c r="B398" s="1246" t="s">
        <v>1880</v>
      </c>
      <c r="C398" s="1246" t="s">
        <v>504</v>
      </c>
      <c r="D398" s="1200" t="s">
        <v>5607</v>
      </c>
      <c r="E398" s="1247">
        <v>12000</v>
      </c>
      <c r="F398" s="1549" t="s">
        <v>5833</v>
      </c>
      <c r="G398" s="1503" t="s">
        <v>5832</v>
      </c>
      <c r="H398" s="1503" t="s">
        <v>534</v>
      </c>
      <c r="I398" s="1570" t="s">
        <v>507</v>
      </c>
      <c r="J398" s="1550" t="s">
        <v>5834</v>
      </c>
      <c r="K398" s="1571">
        <v>2</v>
      </c>
      <c r="L398" s="1273">
        <v>6</v>
      </c>
      <c r="M398" s="1247">
        <v>47135</v>
      </c>
      <c r="N398" s="1571">
        <v>2</v>
      </c>
      <c r="O398" s="1273">
        <v>6</v>
      </c>
      <c r="P398" s="1247">
        <v>36000</v>
      </c>
    </row>
    <row r="399" spans="1:16" ht="24">
      <c r="A399" s="1245" t="s">
        <v>5510</v>
      </c>
      <c r="B399" s="1246" t="s">
        <v>1880</v>
      </c>
      <c r="C399" s="1246" t="s">
        <v>504</v>
      </c>
      <c r="D399" s="1200" t="s">
        <v>5607</v>
      </c>
      <c r="E399" s="1247">
        <v>12000</v>
      </c>
      <c r="F399" s="1549" t="s">
        <v>5833</v>
      </c>
      <c r="G399" s="1503" t="s">
        <v>5832</v>
      </c>
      <c r="H399" s="1503"/>
      <c r="I399" s="1570" t="s">
        <v>507</v>
      </c>
      <c r="J399" s="1550"/>
      <c r="K399" s="1571">
        <v>1</v>
      </c>
      <c r="L399" s="1273">
        <v>2</v>
      </c>
      <c r="M399" s="1247">
        <v>16973</v>
      </c>
      <c r="N399" s="1571">
        <v>2</v>
      </c>
      <c r="O399" s="1273">
        <v>6</v>
      </c>
      <c r="P399" s="1247">
        <v>36000</v>
      </c>
    </row>
    <row r="400" spans="1:16" ht="24">
      <c r="A400" s="1245" t="s">
        <v>5510</v>
      </c>
      <c r="B400" s="1246" t="s">
        <v>1880</v>
      </c>
      <c r="C400" s="1246" t="s">
        <v>504</v>
      </c>
      <c r="D400" s="1200" t="s">
        <v>5831</v>
      </c>
      <c r="E400" s="1247">
        <v>3000</v>
      </c>
      <c r="F400" s="1549" t="s">
        <v>5830</v>
      </c>
      <c r="G400" s="1503" t="s">
        <v>5829</v>
      </c>
      <c r="H400" s="1503" t="s">
        <v>5828</v>
      </c>
      <c r="I400" s="1570" t="s">
        <v>499</v>
      </c>
      <c r="J400" s="1550" t="s">
        <v>5827</v>
      </c>
      <c r="K400" s="1571">
        <v>2</v>
      </c>
      <c r="L400" s="1273">
        <v>6</v>
      </c>
      <c r="M400" s="1247">
        <v>17984.379999999997</v>
      </c>
      <c r="N400" s="1571">
        <v>2</v>
      </c>
      <c r="O400" s="1273">
        <v>6</v>
      </c>
      <c r="P400" s="1247">
        <v>8995.73</v>
      </c>
    </row>
    <row r="401" spans="1:16" ht="24">
      <c r="A401" s="1245" t="s">
        <v>5510</v>
      </c>
      <c r="B401" s="1246" t="s">
        <v>1880</v>
      </c>
      <c r="C401" s="1246" t="s">
        <v>504</v>
      </c>
      <c r="D401" s="1200" t="s">
        <v>5826</v>
      </c>
      <c r="E401" s="1247">
        <v>2000</v>
      </c>
      <c r="F401" s="1549" t="s">
        <v>5825</v>
      </c>
      <c r="G401" s="1503" t="s">
        <v>5824</v>
      </c>
      <c r="H401" s="1503" t="s">
        <v>619</v>
      </c>
      <c r="I401" s="1570" t="s">
        <v>619</v>
      </c>
      <c r="J401" s="1550" t="s">
        <v>619</v>
      </c>
      <c r="K401" s="1571">
        <v>2</v>
      </c>
      <c r="L401" s="1273">
        <v>6</v>
      </c>
      <c r="M401" s="1247">
        <v>12000</v>
      </c>
      <c r="N401" s="1571">
        <v>2</v>
      </c>
      <c r="O401" s="1273">
        <v>6</v>
      </c>
      <c r="P401" s="1247">
        <v>6000</v>
      </c>
    </row>
    <row r="402" spans="1:16">
      <c r="A402" s="1245" t="s">
        <v>5510</v>
      </c>
      <c r="B402" s="1246" t="s">
        <v>1880</v>
      </c>
      <c r="C402" s="1246" t="s">
        <v>504</v>
      </c>
      <c r="D402" s="1200" t="s">
        <v>5531</v>
      </c>
      <c r="E402" s="1247">
        <v>6000</v>
      </c>
      <c r="F402" s="1549" t="s">
        <v>5823</v>
      </c>
      <c r="G402" s="1503" t="s">
        <v>5822</v>
      </c>
      <c r="H402" s="1503" t="s">
        <v>5183</v>
      </c>
      <c r="I402" s="1570" t="s">
        <v>5506</v>
      </c>
      <c r="J402" s="1550" t="s">
        <v>526</v>
      </c>
      <c r="K402" s="1571">
        <v>2</v>
      </c>
      <c r="L402" s="1273">
        <v>6</v>
      </c>
      <c r="M402" s="1247">
        <v>43428</v>
      </c>
      <c r="N402" s="1571">
        <v>2</v>
      </c>
      <c r="O402" s="1273">
        <v>6</v>
      </c>
      <c r="P402" s="1247">
        <v>21714</v>
      </c>
    </row>
    <row r="403" spans="1:16">
      <c r="A403" s="1245" t="s">
        <v>5510</v>
      </c>
      <c r="B403" s="1246" t="s">
        <v>1880</v>
      </c>
      <c r="C403" s="1246" t="s">
        <v>504</v>
      </c>
      <c r="D403" s="1200" t="s">
        <v>5594</v>
      </c>
      <c r="E403" s="1247">
        <v>4500</v>
      </c>
      <c r="F403" s="1549" t="s">
        <v>5821</v>
      </c>
      <c r="G403" s="1503" t="s">
        <v>5820</v>
      </c>
      <c r="H403" s="1503" t="s">
        <v>526</v>
      </c>
      <c r="I403" s="1570" t="s">
        <v>5506</v>
      </c>
      <c r="J403" s="1550" t="s">
        <v>526</v>
      </c>
      <c r="K403" s="1571">
        <v>2</v>
      </c>
      <c r="L403" s="1273">
        <v>6</v>
      </c>
      <c r="M403" s="1247">
        <v>41730.619999999995</v>
      </c>
      <c r="N403" s="1571">
        <v>0</v>
      </c>
      <c r="O403" s="1273">
        <v>0</v>
      </c>
      <c r="P403" s="1247">
        <v>0</v>
      </c>
    </row>
    <row r="404" spans="1:16" ht="36">
      <c r="A404" s="1245" t="s">
        <v>5510</v>
      </c>
      <c r="B404" s="1246" t="s">
        <v>1880</v>
      </c>
      <c r="C404" s="1246" t="s">
        <v>504</v>
      </c>
      <c r="D404" s="1200" t="s">
        <v>5819</v>
      </c>
      <c r="E404" s="1247">
        <v>5000</v>
      </c>
      <c r="F404" s="1549" t="s">
        <v>5818</v>
      </c>
      <c r="G404" s="1503" t="s">
        <v>5817</v>
      </c>
      <c r="H404" s="1503" t="s">
        <v>5816</v>
      </c>
      <c r="I404" s="1570" t="s">
        <v>5506</v>
      </c>
      <c r="J404" s="1550" t="s">
        <v>5815</v>
      </c>
      <c r="K404" s="1571">
        <v>2</v>
      </c>
      <c r="L404" s="1273">
        <v>6</v>
      </c>
      <c r="M404" s="1247">
        <v>29603.120000000003</v>
      </c>
      <c r="N404" s="1571">
        <v>2</v>
      </c>
      <c r="O404" s="1273">
        <v>6</v>
      </c>
      <c r="P404" s="1247">
        <v>15000</v>
      </c>
    </row>
    <row r="405" spans="1:16" ht="24">
      <c r="A405" s="1245" t="s">
        <v>5510</v>
      </c>
      <c r="B405" s="1246" t="s">
        <v>1880</v>
      </c>
      <c r="C405" s="1246" t="s">
        <v>504</v>
      </c>
      <c r="D405" s="1200" t="s">
        <v>5814</v>
      </c>
      <c r="E405" s="1247">
        <v>5000</v>
      </c>
      <c r="F405" s="1549" t="s">
        <v>5813</v>
      </c>
      <c r="G405" s="1503" t="s">
        <v>5812</v>
      </c>
      <c r="H405" s="1503" t="s">
        <v>3019</v>
      </c>
      <c r="I405" s="1570" t="s">
        <v>5516</v>
      </c>
      <c r="J405" s="1550" t="s">
        <v>543</v>
      </c>
      <c r="K405" s="1571">
        <v>1</v>
      </c>
      <c r="L405" s="1273">
        <v>2</v>
      </c>
      <c r="M405" s="1247">
        <v>11146.880000000001</v>
      </c>
      <c r="N405" s="1571">
        <v>2</v>
      </c>
      <c r="O405" s="1273">
        <v>6</v>
      </c>
      <c r="P405" s="1247">
        <v>14998.09</v>
      </c>
    </row>
    <row r="406" spans="1:16" ht="24">
      <c r="A406" s="1245" t="s">
        <v>5510</v>
      </c>
      <c r="B406" s="1246" t="s">
        <v>1880</v>
      </c>
      <c r="C406" s="1246" t="s">
        <v>504</v>
      </c>
      <c r="D406" s="1200" t="s">
        <v>5811</v>
      </c>
      <c r="E406" s="1247">
        <v>4000</v>
      </c>
      <c r="F406" s="1549" t="s">
        <v>5810</v>
      </c>
      <c r="G406" s="1503" t="s">
        <v>5809</v>
      </c>
      <c r="H406" s="1503" t="s">
        <v>5808</v>
      </c>
      <c r="I406" s="1570" t="s">
        <v>5506</v>
      </c>
      <c r="J406" s="1550" t="s">
        <v>5808</v>
      </c>
      <c r="K406" s="1571">
        <v>2</v>
      </c>
      <c r="L406" s="1273">
        <v>6</v>
      </c>
      <c r="M406" s="1247">
        <v>23990.28</v>
      </c>
      <c r="N406" s="1571">
        <v>2</v>
      </c>
      <c r="O406" s="1273">
        <v>6</v>
      </c>
      <c r="P406" s="1247">
        <v>12000</v>
      </c>
    </row>
    <row r="407" spans="1:16" ht="36">
      <c r="A407" s="1245" t="s">
        <v>5510</v>
      </c>
      <c r="B407" s="1246" t="s">
        <v>1880</v>
      </c>
      <c r="C407" s="1246" t="s">
        <v>504</v>
      </c>
      <c r="D407" s="1200" t="s">
        <v>5807</v>
      </c>
      <c r="E407" s="1247">
        <v>4000</v>
      </c>
      <c r="F407" s="1549" t="s">
        <v>5806</v>
      </c>
      <c r="G407" s="1503" t="s">
        <v>5805</v>
      </c>
      <c r="H407" s="1503" t="s">
        <v>5804</v>
      </c>
      <c r="I407" s="1570" t="s">
        <v>499</v>
      </c>
      <c r="J407" s="1550" t="s">
        <v>5803</v>
      </c>
      <c r="K407" s="1571">
        <v>2</v>
      </c>
      <c r="L407" s="1273">
        <v>6</v>
      </c>
      <c r="M407" s="1247">
        <v>23799.98</v>
      </c>
      <c r="N407" s="1571">
        <v>2</v>
      </c>
      <c r="O407" s="1273">
        <v>6</v>
      </c>
      <c r="P407" s="1247">
        <v>12000</v>
      </c>
    </row>
    <row r="408" spans="1:16" ht="24">
      <c r="A408" s="1245" t="s">
        <v>5510</v>
      </c>
      <c r="B408" s="1246" t="s">
        <v>1880</v>
      </c>
      <c r="C408" s="1246" t="s">
        <v>504</v>
      </c>
      <c r="D408" s="1200" t="s">
        <v>5802</v>
      </c>
      <c r="E408" s="1247">
        <v>4500</v>
      </c>
      <c r="F408" s="1549" t="s">
        <v>5801</v>
      </c>
      <c r="G408" s="1503" t="s">
        <v>5800</v>
      </c>
      <c r="H408" s="1503" t="s">
        <v>5799</v>
      </c>
      <c r="I408" s="1570" t="s">
        <v>573</v>
      </c>
      <c r="J408" s="1550" t="s">
        <v>5799</v>
      </c>
      <c r="K408" s="1571">
        <v>1</v>
      </c>
      <c r="L408" s="1273">
        <v>1</v>
      </c>
      <c r="M408" s="1247">
        <v>5100</v>
      </c>
      <c r="N408" s="1571">
        <v>0</v>
      </c>
      <c r="O408" s="1273">
        <v>0</v>
      </c>
      <c r="P408" s="1247">
        <v>0</v>
      </c>
    </row>
    <row r="409" spans="1:16" ht="48">
      <c r="A409" s="1245" t="s">
        <v>5510</v>
      </c>
      <c r="B409" s="1246" t="s">
        <v>1880</v>
      </c>
      <c r="C409" s="1246" t="s">
        <v>504</v>
      </c>
      <c r="D409" s="1200" t="s">
        <v>5707</v>
      </c>
      <c r="E409" s="1247">
        <v>2500</v>
      </c>
      <c r="F409" s="1549" t="s">
        <v>5798</v>
      </c>
      <c r="G409" s="1503" t="s">
        <v>5797</v>
      </c>
      <c r="H409" s="1503" t="s">
        <v>508</v>
      </c>
      <c r="I409" s="1570" t="s">
        <v>547</v>
      </c>
      <c r="J409" s="1550" t="s">
        <v>5549</v>
      </c>
      <c r="K409" s="1571">
        <v>1</v>
      </c>
      <c r="L409" s="1273">
        <v>3</v>
      </c>
      <c r="M409" s="1247">
        <v>7373.4400000000005</v>
      </c>
      <c r="N409" s="1571">
        <v>0</v>
      </c>
      <c r="O409" s="1273">
        <v>0</v>
      </c>
      <c r="P409" s="1247">
        <v>0</v>
      </c>
    </row>
    <row r="410" spans="1:16" ht="48">
      <c r="A410" s="1245" t="s">
        <v>5510</v>
      </c>
      <c r="B410" s="1246" t="s">
        <v>1880</v>
      </c>
      <c r="C410" s="1246" t="s">
        <v>504</v>
      </c>
      <c r="D410" s="1200" t="s">
        <v>5607</v>
      </c>
      <c r="E410" s="1247">
        <v>12000</v>
      </c>
      <c r="F410" s="1549" t="s">
        <v>5796</v>
      </c>
      <c r="G410" s="1503" t="s">
        <v>5795</v>
      </c>
      <c r="H410" s="1503" t="s">
        <v>5794</v>
      </c>
      <c r="I410" s="1570" t="s">
        <v>5506</v>
      </c>
      <c r="J410" s="1550" t="s">
        <v>534</v>
      </c>
      <c r="K410" s="1571">
        <v>2</v>
      </c>
      <c r="L410" s="1273">
        <v>6</v>
      </c>
      <c r="M410" s="1247">
        <v>43428</v>
      </c>
      <c r="N410" s="1571">
        <v>2</v>
      </c>
      <c r="O410" s="1273">
        <v>6</v>
      </c>
      <c r="P410" s="1247">
        <v>21714</v>
      </c>
    </row>
    <row r="411" spans="1:16" ht="24">
      <c r="A411" s="1245" t="s">
        <v>5510</v>
      </c>
      <c r="B411" s="1246" t="s">
        <v>1880</v>
      </c>
      <c r="C411" s="1246" t="s">
        <v>504</v>
      </c>
      <c r="D411" s="1200" t="s">
        <v>1910</v>
      </c>
      <c r="E411" s="1247">
        <v>2500</v>
      </c>
      <c r="F411" s="1549" t="s">
        <v>5793</v>
      </c>
      <c r="G411" s="1503" t="s">
        <v>5792</v>
      </c>
      <c r="H411" s="1503" t="s">
        <v>508</v>
      </c>
      <c r="I411" s="1570" t="s">
        <v>5525</v>
      </c>
      <c r="J411" s="1550" t="s">
        <v>508</v>
      </c>
      <c r="K411" s="1571">
        <v>2</v>
      </c>
      <c r="L411" s="1273">
        <v>6</v>
      </c>
      <c r="M411" s="1247">
        <v>15000</v>
      </c>
      <c r="N411" s="1571">
        <v>2</v>
      </c>
      <c r="O411" s="1273">
        <v>6</v>
      </c>
      <c r="P411" s="1247">
        <v>6408</v>
      </c>
    </row>
    <row r="412" spans="1:16">
      <c r="A412" s="1245" t="s">
        <v>5510</v>
      </c>
      <c r="B412" s="1246" t="s">
        <v>1880</v>
      </c>
      <c r="C412" s="1246" t="s">
        <v>504</v>
      </c>
      <c r="D412" s="1200" t="s">
        <v>5791</v>
      </c>
      <c r="E412" s="1247">
        <v>6200</v>
      </c>
      <c r="F412" s="1549" t="s">
        <v>5790</v>
      </c>
      <c r="G412" s="1503" t="s">
        <v>5789</v>
      </c>
      <c r="H412" s="1503" t="s">
        <v>5788</v>
      </c>
      <c r="I412" s="1570" t="s">
        <v>5506</v>
      </c>
      <c r="J412" s="1550" t="s">
        <v>5788</v>
      </c>
      <c r="K412" s="1571">
        <v>2</v>
      </c>
      <c r="L412" s="1273">
        <v>6</v>
      </c>
      <c r="M412" s="1247">
        <v>37193.97</v>
      </c>
      <c r="N412" s="1571">
        <v>2</v>
      </c>
      <c r="O412" s="1273">
        <v>6</v>
      </c>
      <c r="P412" s="1247">
        <v>18594.614999999998</v>
      </c>
    </row>
    <row r="413" spans="1:16" ht="24">
      <c r="A413" s="1245" t="s">
        <v>5510</v>
      </c>
      <c r="B413" s="1246" t="s">
        <v>1880</v>
      </c>
      <c r="C413" s="1246" t="s">
        <v>504</v>
      </c>
      <c r="D413" s="1200" t="s">
        <v>5787</v>
      </c>
      <c r="E413" s="1247">
        <v>4000</v>
      </c>
      <c r="F413" s="1549" t="s">
        <v>5786</v>
      </c>
      <c r="G413" s="1503" t="s">
        <v>5785</v>
      </c>
      <c r="H413" s="1503" t="s">
        <v>5029</v>
      </c>
      <c r="I413" s="1570" t="s">
        <v>499</v>
      </c>
      <c r="J413" s="1550" t="s">
        <v>5029</v>
      </c>
      <c r="K413" s="1571">
        <v>2</v>
      </c>
      <c r="L413" s="1273">
        <v>6</v>
      </c>
      <c r="M413" s="1247">
        <v>21978.720000000001</v>
      </c>
      <c r="N413" s="1571">
        <v>2</v>
      </c>
      <c r="O413" s="1273">
        <v>6</v>
      </c>
      <c r="P413" s="1247">
        <v>11448.415000000001</v>
      </c>
    </row>
    <row r="414" spans="1:16">
      <c r="A414" s="1245" t="s">
        <v>5510</v>
      </c>
      <c r="B414" s="1246" t="s">
        <v>1880</v>
      </c>
      <c r="C414" s="1246" t="s">
        <v>504</v>
      </c>
      <c r="D414" s="1200" t="s">
        <v>5784</v>
      </c>
      <c r="E414" s="1247">
        <v>3000</v>
      </c>
      <c r="F414" s="1549" t="s">
        <v>5783</v>
      </c>
      <c r="G414" s="1503" t="s">
        <v>5782</v>
      </c>
      <c r="H414" s="1503"/>
      <c r="I414" s="1570"/>
      <c r="J414" s="1550"/>
      <c r="K414" s="1571">
        <v>1</v>
      </c>
      <c r="L414" s="1273">
        <v>1</v>
      </c>
      <c r="M414" s="1247">
        <v>3900</v>
      </c>
      <c r="N414" s="1571">
        <v>0</v>
      </c>
      <c r="O414" s="1273">
        <v>0</v>
      </c>
      <c r="P414" s="1247">
        <v>0</v>
      </c>
    </row>
    <row r="415" spans="1:16" ht="24">
      <c r="A415" s="1245" t="s">
        <v>5510</v>
      </c>
      <c r="B415" s="1246" t="s">
        <v>1880</v>
      </c>
      <c r="C415" s="1246" t="s">
        <v>504</v>
      </c>
      <c r="D415" s="1200" t="s">
        <v>604</v>
      </c>
      <c r="E415" s="1247">
        <v>3500</v>
      </c>
      <c r="F415" s="1549" t="s">
        <v>5781</v>
      </c>
      <c r="G415" s="1503" t="s">
        <v>5780</v>
      </c>
      <c r="H415" s="1503" t="s">
        <v>519</v>
      </c>
      <c r="I415" s="1570" t="s">
        <v>5506</v>
      </c>
      <c r="J415" s="1550" t="s">
        <v>519</v>
      </c>
      <c r="K415" s="1571">
        <v>2</v>
      </c>
      <c r="L415" s="1273">
        <v>6</v>
      </c>
      <c r="M415" s="1247">
        <v>20857.059999999998</v>
      </c>
      <c r="N415" s="1571">
        <v>2</v>
      </c>
      <c r="O415" s="1273">
        <v>6</v>
      </c>
      <c r="P415" s="1247">
        <v>10476.055</v>
      </c>
    </row>
    <row r="416" spans="1:16" ht="24">
      <c r="A416" s="1245" t="s">
        <v>5510</v>
      </c>
      <c r="B416" s="1246" t="s">
        <v>1880</v>
      </c>
      <c r="C416" s="1246" t="s">
        <v>504</v>
      </c>
      <c r="D416" s="1200" t="s">
        <v>5779</v>
      </c>
      <c r="E416" s="1247">
        <v>3500</v>
      </c>
      <c r="F416" s="1549" t="s">
        <v>5778</v>
      </c>
      <c r="G416" s="1503" t="s">
        <v>5777</v>
      </c>
      <c r="H416" s="1503" t="s">
        <v>5776</v>
      </c>
      <c r="I416" s="1570" t="s">
        <v>507</v>
      </c>
      <c r="J416" s="1550" t="s">
        <v>5776</v>
      </c>
      <c r="K416" s="1571">
        <v>1</v>
      </c>
      <c r="L416" s="1273">
        <v>3</v>
      </c>
      <c r="M416" s="1247">
        <v>11933.33</v>
      </c>
      <c r="N416" s="1571">
        <v>2</v>
      </c>
      <c r="O416" s="1273">
        <v>6</v>
      </c>
      <c r="P416" s="1247">
        <v>13487.344999999999</v>
      </c>
    </row>
    <row r="417" spans="1:16" ht="36">
      <c r="A417" s="1245" t="s">
        <v>5510</v>
      </c>
      <c r="B417" s="1246" t="s">
        <v>1880</v>
      </c>
      <c r="C417" s="1246" t="s">
        <v>504</v>
      </c>
      <c r="D417" s="1200" t="s">
        <v>5775</v>
      </c>
      <c r="E417" s="1247">
        <v>9000</v>
      </c>
      <c r="F417" s="1549" t="s">
        <v>5774</v>
      </c>
      <c r="G417" s="1503" t="s">
        <v>5773</v>
      </c>
      <c r="H417" s="1503" t="s">
        <v>5007</v>
      </c>
      <c r="I417" s="1570" t="s">
        <v>5506</v>
      </c>
      <c r="J417" s="1550" t="s">
        <v>5591</v>
      </c>
      <c r="K417" s="1571">
        <v>2</v>
      </c>
      <c r="L417" s="1273">
        <v>6</v>
      </c>
      <c r="M417" s="1247">
        <v>53146.98</v>
      </c>
      <c r="N417" s="1571">
        <v>0</v>
      </c>
      <c r="O417" s="1273">
        <v>0</v>
      </c>
      <c r="P417" s="1247">
        <v>0</v>
      </c>
    </row>
    <row r="418" spans="1:16" ht="24">
      <c r="A418" s="1245" t="s">
        <v>5510</v>
      </c>
      <c r="B418" s="1246" t="s">
        <v>1880</v>
      </c>
      <c r="C418" s="1246" t="s">
        <v>504</v>
      </c>
      <c r="D418" s="1200" t="s">
        <v>5772</v>
      </c>
      <c r="E418" s="1247">
        <v>3500</v>
      </c>
      <c r="F418" s="1549" t="s">
        <v>5771</v>
      </c>
      <c r="G418" s="1503" t="s">
        <v>5770</v>
      </c>
      <c r="H418" s="1503" t="s">
        <v>1779</v>
      </c>
      <c r="I418" s="1570" t="s">
        <v>5506</v>
      </c>
      <c r="J418" s="1550" t="s">
        <v>1779</v>
      </c>
      <c r="K418" s="1571">
        <v>2</v>
      </c>
      <c r="L418" s="1273">
        <v>6</v>
      </c>
      <c r="M418" s="1247">
        <v>21000</v>
      </c>
      <c r="N418" s="1571">
        <v>2</v>
      </c>
      <c r="O418" s="1273">
        <v>6</v>
      </c>
      <c r="P418" s="1247">
        <v>10500</v>
      </c>
    </row>
    <row r="419" spans="1:16">
      <c r="A419" s="1245" t="s">
        <v>5510</v>
      </c>
      <c r="B419" s="1246" t="s">
        <v>1880</v>
      </c>
      <c r="C419" s="1246" t="s">
        <v>504</v>
      </c>
      <c r="D419" s="1200" t="s">
        <v>1688</v>
      </c>
      <c r="E419" s="1247">
        <v>3000</v>
      </c>
      <c r="F419" s="1549" t="s">
        <v>5769</v>
      </c>
      <c r="G419" s="1503" t="s">
        <v>5768</v>
      </c>
      <c r="H419" s="1503" t="s">
        <v>5767</v>
      </c>
      <c r="I419" s="1570" t="s">
        <v>507</v>
      </c>
      <c r="J419" s="1550" t="s">
        <v>5767</v>
      </c>
      <c r="K419" s="1571">
        <v>2</v>
      </c>
      <c r="L419" s="1273">
        <v>6</v>
      </c>
      <c r="M419" s="1247">
        <v>18444.379999999997</v>
      </c>
      <c r="N419" s="1571">
        <v>2</v>
      </c>
      <c r="O419" s="1273">
        <v>6</v>
      </c>
      <c r="P419" s="1247">
        <v>10486.875</v>
      </c>
    </row>
    <row r="420" spans="1:16" ht="24">
      <c r="A420" s="1245" t="s">
        <v>5510</v>
      </c>
      <c r="B420" s="1246" t="s">
        <v>1880</v>
      </c>
      <c r="C420" s="1246" t="s">
        <v>504</v>
      </c>
      <c r="D420" s="1200" t="s">
        <v>5766</v>
      </c>
      <c r="E420" s="1247">
        <v>2500</v>
      </c>
      <c r="F420" s="1549" t="s">
        <v>5765</v>
      </c>
      <c r="G420" s="1503" t="s">
        <v>5764</v>
      </c>
      <c r="H420" s="1503" t="s">
        <v>5763</v>
      </c>
      <c r="I420" s="1570" t="s">
        <v>507</v>
      </c>
      <c r="J420" s="1550" t="s">
        <v>5762</v>
      </c>
      <c r="K420" s="1571">
        <v>2</v>
      </c>
      <c r="L420" s="1273">
        <v>6</v>
      </c>
      <c r="M420" s="1247">
        <v>15000</v>
      </c>
      <c r="N420" s="1571">
        <v>2</v>
      </c>
      <c r="O420" s="1273">
        <v>6</v>
      </c>
      <c r="P420" s="1247">
        <v>7500</v>
      </c>
    </row>
    <row r="421" spans="1:16" ht="36">
      <c r="A421" s="1245" t="s">
        <v>5510</v>
      </c>
      <c r="B421" s="1246" t="s">
        <v>1880</v>
      </c>
      <c r="C421" s="1246" t="s">
        <v>504</v>
      </c>
      <c r="D421" s="1200" t="s">
        <v>5761</v>
      </c>
      <c r="E421" s="1247">
        <v>5000</v>
      </c>
      <c r="F421" s="1549" t="s">
        <v>5760</v>
      </c>
      <c r="G421" s="1503" t="s">
        <v>5759</v>
      </c>
      <c r="H421" s="1503" t="s">
        <v>5220</v>
      </c>
      <c r="I421" s="1570" t="s">
        <v>5506</v>
      </c>
      <c r="J421" s="1550" t="s">
        <v>5220</v>
      </c>
      <c r="K421" s="1571">
        <v>2</v>
      </c>
      <c r="L421" s="1273">
        <v>6</v>
      </c>
      <c r="M421" s="1247">
        <v>30000</v>
      </c>
      <c r="N421" s="1571">
        <v>0</v>
      </c>
      <c r="O421" s="1273">
        <v>0</v>
      </c>
      <c r="P421" s="1247">
        <v>0</v>
      </c>
    </row>
    <row r="422" spans="1:16">
      <c r="A422" s="1245" t="s">
        <v>5510</v>
      </c>
      <c r="B422" s="1246" t="s">
        <v>1880</v>
      </c>
      <c r="C422" s="1246" t="s">
        <v>504</v>
      </c>
      <c r="D422" s="1200" t="s">
        <v>1802</v>
      </c>
      <c r="E422" s="1247">
        <v>7500</v>
      </c>
      <c r="F422" s="1549" t="s">
        <v>5758</v>
      </c>
      <c r="G422" s="1503" t="s">
        <v>5757</v>
      </c>
      <c r="H422" s="1503" t="s">
        <v>1788</v>
      </c>
      <c r="I422" s="1570" t="s">
        <v>5506</v>
      </c>
      <c r="J422" s="1550" t="s">
        <v>519</v>
      </c>
      <c r="K422" s="1571">
        <v>2</v>
      </c>
      <c r="L422" s="1273">
        <v>6</v>
      </c>
      <c r="M422" s="1247">
        <v>44923.45</v>
      </c>
      <c r="N422" s="1571">
        <v>2</v>
      </c>
      <c r="O422" s="1273">
        <v>6</v>
      </c>
      <c r="P422" s="1247">
        <v>22271.879999999997</v>
      </c>
    </row>
    <row r="423" spans="1:16">
      <c r="A423" s="1245" t="s">
        <v>5510</v>
      </c>
      <c r="B423" s="1246" t="s">
        <v>1880</v>
      </c>
      <c r="C423" s="1246" t="s">
        <v>504</v>
      </c>
      <c r="D423" s="1200" t="s">
        <v>5756</v>
      </c>
      <c r="E423" s="1247">
        <v>4000</v>
      </c>
      <c r="F423" s="1549" t="s">
        <v>5755</v>
      </c>
      <c r="G423" s="1503" t="s">
        <v>5754</v>
      </c>
      <c r="H423" s="1503" t="s">
        <v>1788</v>
      </c>
      <c r="I423" s="1570" t="s">
        <v>5506</v>
      </c>
      <c r="J423" s="1550" t="s">
        <v>519</v>
      </c>
      <c r="K423" s="1571">
        <v>2</v>
      </c>
      <c r="L423" s="1273">
        <v>6</v>
      </c>
      <c r="M423" s="1247">
        <v>24000</v>
      </c>
      <c r="N423" s="1571">
        <v>2</v>
      </c>
      <c r="O423" s="1273">
        <v>6</v>
      </c>
      <c r="P423" s="1247">
        <v>12000</v>
      </c>
    </row>
    <row r="424" spans="1:16" ht="24">
      <c r="A424" s="1245" t="s">
        <v>5510</v>
      </c>
      <c r="B424" s="1246" t="s">
        <v>1880</v>
      </c>
      <c r="C424" s="1246" t="s">
        <v>504</v>
      </c>
      <c r="D424" s="1200" t="s">
        <v>5753</v>
      </c>
      <c r="E424" s="1247">
        <v>3500</v>
      </c>
      <c r="F424" s="1549" t="s">
        <v>5752</v>
      </c>
      <c r="G424" s="1503" t="s">
        <v>5751</v>
      </c>
      <c r="H424" s="1503" t="s">
        <v>3019</v>
      </c>
      <c r="I424" s="1570"/>
      <c r="J424" s="1550" t="s">
        <v>543</v>
      </c>
      <c r="K424" s="1571">
        <v>1</v>
      </c>
      <c r="L424" s="1273">
        <v>1</v>
      </c>
      <c r="M424" s="1247">
        <v>3383.33</v>
      </c>
      <c r="N424" s="1571">
        <v>0</v>
      </c>
      <c r="O424" s="1273">
        <v>0</v>
      </c>
      <c r="P424" s="1247">
        <v>0</v>
      </c>
    </row>
    <row r="425" spans="1:16" ht="48">
      <c r="A425" s="1245" t="s">
        <v>5510</v>
      </c>
      <c r="B425" s="1246" t="s">
        <v>1880</v>
      </c>
      <c r="C425" s="1246" t="s">
        <v>504</v>
      </c>
      <c r="D425" s="1200" t="s">
        <v>5750</v>
      </c>
      <c r="E425" s="1247">
        <v>8000</v>
      </c>
      <c r="F425" s="1549" t="s">
        <v>5749</v>
      </c>
      <c r="G425" s="1503" t="s">
        <v>5748</v>
      </c>
      <c r="H425" s="1503" t="s">
        <v>511</v>
      </c>
      <c r="I425" s="1570" t="s">
        <v>5506</v>
      </c>
      <c r="J425" s="1550" t="s">
        <v>508</v>
      </c>
      <c r="K425" s="1571">
        <v>2</v>
      </c>
      <c r="L425" s="1273">
        <v>6</v>
      </c>
      <c r="M425" s="1247">
        <v>47446.67</v>
      </c>
      <c r="N425" s="1571">
        <v>2</v>
      </c>
      <c r="O425" s="1273">
        <v>6</v>
      </c>
      <c r="P425" s="1247">
        <v>23921.1</v>
      </c>
    </row>
    <row r="426" spans="1:16" ht="36">
      <c r="A426" s="1245" t="s">
        <v>5510</v>
      </c>
      <c r="B426" s="1246" t="s">
        <v>1880</v>
      </c>
      <c r="C426" s="1246" t="s">
        <v>504</v>
      </c>
      <c r="D426" s="1200" t="s">
        <v>5747</v>
      </c>
      <c r="E426" s="1247">
        <v>5000</v>
      </c>
      <c r="F426" s="1549" t="s">
        <v>5746</v>
      </c>
      <c r="G426" s="1503" t="s">
        <v>5745</v>
      </c>
      <c r="H426" s="1503"/>
      <c r="I426" s="1570"/>
      <c r="J426" s="1550"/>
      <c r="K426" s="1571">
        <v>1</v>
      </c>
      <c r="L426" s="1273">
        <v>1</v>
      </c>
      <c r="M426" s="1247">
        <v>3333.33</v>
      </c>
      <c r="N426" s="1571">
        <v>0</v>
      </c>
      <c r="O426" s="1273">
        <v>0</v>
      </c>
      <c r="P426" s="1247">
        <v>0</v>
      </c>
    </row>
    <row r="427" spans="1:16" ht="24">
      <c r="A427" s="1245" t="s">
        <v>5510</v>
      </c>
      <c r="B427" s="1246" t="s">
        <v>1880</v>
      </c>
      <c r="C427" s="1246" t="s">
        <v>504</v>
      </c>
      <c r="D427" s="1200" t="s">
        <v>5744</v>
      </c>
      <c r="E427" s="1247">
        <v>9000</v>
      </c>
      <c r="F427" s="1549" t="s">
        <v>5743</v>
      </c>
      <c r="G427" s="1503" t="s">
        <v>5742</v>
      </c>
      <c r="H427" s="1503" t="s">
        <v>632</v>
      </c>
      <c r="I427" s="1570" t="s">
        <v>5516</v>
      </c>
      <c r="J427" s="1550" t="s">
        <v>632</v>
      </c>
      <c r="K427" s="1571">
        <v>2</v>
      </c>
      <c r="L427" s="1273">
        <v>6</v>
      </c>
      <c r="M427" s="1247">
        <v>56093.13</v>
      </c>
      <c r="N427" s="1571">
        <v>2</v>
      </c>
      <c r="O427" s="1273">
        <v>6</v>
      </c>
      <c r="P427" s="1247">
        <v>26925.935000000001</v>
      </c>
    </row>
    <row r="428" spans="1:16">
      <c r="A428" s="1245" t="s">
        <v>5510</v>
      </c>
      <c r="B428" s="1246" t="s">
        <v>1880</v>
      </c>
      <c r="C428" s="1246" t="s">
        <v>504</v>
      </c>
      <c r="D428" s="1200" t="s">
        <v>5531</v>
      </c>
      <c r="E428" s="1247">
        <v>4500</v>
      </c>
      <c r="F428" s="1549" t="s">
        <v>5741</v>
      </c>
      <c r="G428" s="1503" t="s">
        <v>5740</v>
      </c>
      <c r="H428" s="1503" t="s">
        <v>5183</v>
      </c>
      <c r="I428" s="1570" t="s">
        <v>5506</v>
      </c>
      <c r="J428" s="1550" t="s">
        <v>526</v>
      </c>
      <c r="K428" s="1571">
        <v>2</v>
      </c>
      <c r="L428" s="1273">
        <v>6</v>
      </c>
      <c r="M428" s="1247">
        <v>26981.25</v>
      </c>
      <c r="N428" s="1571">
        <v>2</v>
      </c>
      <c r="O428" s="1273">
        <v>6</v>
      </c>
      <c r="P428" s="1247">
        <v>13497.655000000001</v>
      </c>
    </row>
    <row r="429" spans="1:16" ht="24">
      <c r="A429" s="1245" t="s">
        <v>5510</v>
      </c>
      <c r="B429" s="1246" t="s">
        <v>1880</v>
      </c>
      <c r="C429" s="1246" t="s">
        <v>504</v>
      </c>
      <c r="D429" s="1200" t="s">
        <v>604</v>
      </c>
      <c r="E429" s="1247">
        <v>3500</v>
      </c>
      <c r="F429" s="1549" t="s">
        <v>5739</v>
      </c>
      <c r="G429" s="1503" t="s">
        <v>5738</v>
      </c>
      <c r="H429" s="1503" t="s">
        <v>3836</v>
      </c>
      <c r="I429" s="1570" t="s">
        <v>499</v>
      </c>
      <c r="J429" s="1550" t="s">
        <v>519</v>
      </c>
      <c r="K429" s="1571">
        <v>2</v>
      </c>
      <c r="L429" s="1273">
        <v>6</v>
      </c>
      <c r="M429" s="1247">
        <v>20977.64</v>
      </c>
      <c r="N429" s="1571">
        <v>2</v>
      </c>
      <c r="O429" s="1273">
        <v>6</v>
      </c>
      <c r="P429" s="1247">
        <v>10498.3</v>
      </c>
    </row>
    <row r="430" spans="1:16" ht="24">
      <c r="A430" s="1245" t="s">
        <v>5510</v>
      </c>
      <c r="B430" s="1246" t="s">
        <v>1880</v>
      </c>
      <c r="C430" s="1246" t="s">
        <v>504</v>
      </c>
      <c r="D430" s="1200" t="s">
        <v>5584</v>
      </c>
      <c r="E430" s="1247">
        <v>10000</v>
      </c>
      <c r="F430" s="1549" t="s">
        <v>5737</v>
      </c>
      <c r="G430" s="1503" t="s">
        <v>5736</v>
      </c>
      <c r="H430" s="1503" t="s">
        <v>5735</v>
      </c>
      <c r="I430" s="1570" t="s">
        <v>5506</v>
      </c>
      <c r="J430" s="1550" t="s">
        <v>5734</v>
      </c>
      <c r="K430" s="1571">
        <v>2</v>
      </c>
      <c r="L430" s="1273">
        <v>6</v>
      </c>
      <c r="M430" s="1247">
        <v>60000</v>
      </c>
      <c r="N430" s="1571">
        <v>2</v>
      </c>
      <c r="O430" s="1273">
        <v>5</v>
      </c>
      <c r="P430" s="1247">
        <v>20166.665000000001</v>
      </c>
    </row>
    <row r="431" spans="1:16" ht="24">
      <c r="A431" s="1245" t="s">
        <v>5510</v>
      </c>
      <c r="B431" s="1246" t="s">
        <v>1880</v>
      </c>
      <c r="C431" s="1246" t="s">
        <v>504</v>
      </c>
      <c r="D431" s="1200" t="s">
        <v>5733</v>
      </c>
      <c r="E431" s="1247">
        <v>12000</v>
      </c>
      <c r="F431" s="1549" t="s">
        <v>5732</v>
      </c>
      <c r="G431" s="1503" t="s">
        <v>5731</v>
      </c>
      <c r="H431" s="1503" t="s">
        <v>5730</v>
      </c>
      <c r="I431" s="1570" t="s">
        <v>5506</v>
      </c>
      <c r="J431" s="1550" t="s">
        <v>1585</v>
      </c>
      <c r="K431" s="1571">
        <v>2</v>
      </c>
      <c r="L431" s="1273">
        <v>6</v>
      </c>
      <c r="M431" s="1247">
        <v>42162</v>
      </c>
      <c r="N431" s="1571">
        <v>2</v>
      </c>
      <c r="O431" s="1273">
        <v>6</v>
      </c>
      <c r="P431" s="1247">
        <v>21081</v>
      </c>
    </row>
    <row r="432" spans="1:16" ht="24">
      <c r="A432" s="1245" t="s">
        <v>5510</v>
      </c>
      <c r="B432" s="1246" t="s">
        <v>1880</v>
      </c>
      <c r="C432" s="1246" t="s">
        <v>504</v>
      </c>
      <c r="D432" s="1200" t="s">
        <v>1910</v>
      </c>
      <c r="E432" s="1247">
        <v>1200</v>
      </c>
      <c r="F432" s="1549" t="s">
        <v>5729</v>
      </c>
      <c r="G432" s="1503" t="s">
        <v>5728</v>
      </c>
      <c r="H432" s="1503" t="s">
        <v>5727</v>
      </c>
      <c r="I432" s="1570" t="s">
        <v>5525</v>
      </c>
      <c r="J432" s="1550" t="s">
        <v>5727</v>
      </c>
      <c r="K432" s="1571">
        <v>2</v>
      </c>
      <c r="L432" s="1273">
        <v>6</v>
      </c>
      <c r="M432" s="1247">
        <v>7200</v>
      </c>
      <c r="N432" s="1571">
        <v>0</v>
      </c>
      <c r="O432" s="1273">
        <v>0</v>
      </c>
      <c r="P432" s="1247">
        <v>0</v>
      </c>
    </row>
    <row r="433" spans="1:16" ht="36">
      <c r="A433" s="1245" t="s">
        <v>5510</v>
      </c>
      <c r="B433" s="1246" t="s">
        <v>1880</v>
      </c>
      <c r="C433" s="1246" t="s">
        <v>504</v>
      </c>
      <c r="D433" s="1200" t="s">
        <v>5726</v>
      </c>
      <c r="E433" s="1247">
        <v>6000</v>
      </c>
      <c r="F433" s="1549" t="s">
        <v>5725</v>
      </c>
      <c r="G433" s="1503" t="s">
        <v>5724</v>
      </c>
      <c r="H433" s="1503" t="s">
        <v>534</v>
      </c>
      <c r="I433" s="1570" t="s">
        <v>507</v>
      </c>
      <c r="J433" s="1550" t="s">
        <v>534</v>
      </c>
      <c r="K433" s="1571">
        <v>1</v>
      </c>
      <c r="L433" s="1273">
        <v>1</v>
      </c>
      <c r="M433" s="1247">
        <v>8000</v>
      </c>
      <c r="N433" s="1571">
        <v>0</v>
      </c>
      <c r="O433" s="1273">
        <v>0</v>
      </c>
      <c r="P433" s="1247">
        <v>0</v>
      </c>
    </row>
    <row r="434" spans="1:16" ht="48">
      <c r="A434" s="1245" t="s">
        <v>5510</v>
      </c>
      <c r="B434" s="1246" t="s">
        <v>1880</v>
      </c>
      <c r="C434" s="1246" t="s">
        <v>504</v>
      </c>
      <c r="D434" s="1200" t="s">
        <v>4339</v>
      </c>
      <c r="E434" s="1247">
        <v>12000</v>
      </c>
      <c r="F434" s="1549" t="s">
        <v>5723</v>
      </c>
      <c r="G434" s="1503" t="s">
        <v>5722</v>
      </c>
      <c r="H434" s="1503" t="s">
        <v>5721</v>
      </c>
      <c r="I434" s="1570" t="s">
        <v>507</v>
      </c>
      <c r="J434" s="1550" t="s">
        <v>5721</v>
      </c>
      <c r="K434" s="1571">
        <v>2</v>
      </c>
      <c r="L434" s="1273">
        <v>6</v>
      </c>
      <c r="M434" s="1247">
        <v>43428</v>
      </c>
      <c r="N434" s="1571">
        <v>2</v>
      </c>
      <c r="O434" s="1273">
        <v>6</v>
      </c>
      <c r="P434" s="1247">
        <v>21714</v>
      </c>
    </row>
    <row r="435" spans="1:16">
      <c r="A435" s="1245" t="s">
        <v>5510</v>
      </c>
      <c r="B435" s="1246" t="s">
        <v>1880</v>
      </c>
      <c r="C435" s="1246" t="s">
        <v>504</v>
      </c>
      <c r="D435" s="1200" t="s">
        <v>511</v>
      </c>
      <c r="E435" s="1247">
        <v>6000</v>
      </c>
      <c r="F435" s="1549" t="s">
        <v>5720</v>
      </c>
      <c r="G435" s="1503" t="s">
        <v>5719</v>
      </c>
      <c r="H435" s="1503" t="s">
        <v>511</v>
      </c>
      <c r="I435" s="1570" t="s">
        <v>5506</v>
      </c>
      <c r="J435" s="1550" t="s">
        <v>508</v>
      </c>
      <c r="K435" s="1571">
        <v>2</v>
      </c>
      <c r="L435" s="1273">
        <v>6</v>
      </c>
      <c r="M435" s="1247">
        <v>42166.67</v>
      </c>
      <c r="N435" s="1571">
        <v>2</v>
      </c>
      <c r="O435" s="1273">
        <v>6</v>
      </c>
      <c r="P435" s="1247">
        <v>20996.355</v>
      </c>
    </row>
    <row r="436" spans="1:16" ht="24">
      <c r="A436" s="1245" t="s">
        <v>5510</v>
      </c>
      <c r="B436" s="1246" t="s">
        <v>1880</v>
      </c>
      <c r="C436" s="1246" t="s">
        <v>504</v>
      </c>
      <c r="D436" s="1200" t="s">
        <v>4207</v>
      </c>
      <c r="E436" s="1247">
        <v>6000</v>
      </c>
      <c r="F436" s="1549" t="s">
        <v>5718</v>
      </c>
      <c r="G436" s="1503" t="s">
        <v>5717</v>
      </c>
      <c r="H436" s="1503" t="s">
        <v>1788</v>
      </c>
      <c r="I436" s="1570" t="s">
        <v>5506</v>
      </c>
      <c r="J436" s="1550" t="s">
        <v>519</v>
      </c>
      <c r="K436" s="1571">
        <v>2</v>
      </c>
      <c r="L436" s="1273">
        <v>6</v>
      </c>
      <c r="M436" s="1247">
        <v>53100</v>
      </c>
      <c r="N436" s="1571">
        <v>2</v>
      </c>
      <c r="O436" s="1273">
        <v>6</v>
      </c>
      <c r="P436" s="1247">
        <v>27000</v>
      </c>
    </row>
    <row r="437" spans="1:16" ht="36">
      <c r="A437" s="1245" t="s">
        <v>5510</v>
      </c>
      <c r="B437" s="1246" t="s">
        <v>1880</v>
      </c>
      <c r="C437" s="1246" t="s">
        <v>504</v>
      </c>
      <c r="D437" s="1200" t="s">
        <v>5716</v>
      </c>
      <c r="E437" s="1247">
        <v>3500</v>
      </c>
      <c r="F437" s="1549" t="s">
        <v>5715</v>
      </c>
      <c r="G437" s="1503" t="s">
        <v>5714</v>
      </c>
      <c r="H437" s="1503" t="s">
        <v>5713</v>
      </c>
      <c r="I437" s="1570" t="s">
        <v>499</v>
      </c>
      <c r="J437" s="1550" t="s">
        <v>5713</v>
      </c>
      <c r="K437" s="1571">
        <v>2</v>
      </c>
      <c r="L437" s="1273">
        <v>6</v>
      </c>
      <c r="M437" s="1247">
        <v>20995.38</v>
      </c>
      <c r="N437" s="1571">
        <v>2</v>
      </c>
      <c r="O437" s="1273">
        <v>6</v>
      </c>
      <c r="P437" s="1247">
        <v>10500</v>
      </c>
    </row>
    <row r="438" spans="1:16">
      <c r="A438" s="1245" t="s">
        <v>5510</v>
      </c>
      <c r="B438" s="1246" t="s">
        <v>1880</v>
      </c>
      <c r="C438" s="1246" t="s">
        <v>504</v>
      </c>
      <c r="D438" s="1200" t="s">
        <v>5712</v>
      </c>
      <c r="E438" s="1247">
        <v>6000</v>
      </c>
      <c r="F438" s="1549" t="s">
        <v>5711</v>
      </c>
      <c r="G438" s="1503" t="s">
        <v>5710</v>
      </c>
      <c r="H438" s="1503" t="s">
        <v>1788</v>
      </c>
      <c r="I438" s="1570" t="s">
        <v>5516</v>
      </c>
      <c r="J438" s="1550" t="s">
        <v>519</v>
      </c>
      <c r="K438" s="1571">
        <v>2</v>
      </c>
      <c r="L438" s="1273">
        <v>4</v>
      </c>
      <c r="M438" s="1247">
        <v>23800</v>
      </c>
      <c r="N438" s="1571">
        <v>2</v>
      </c>
      <c r="O438" s="1273">
        <v>6</v>
      </c>
      <c r="P438" s="1247">
        <v>18000</v>
      </c>
    </row>
    <row r="439" spans="1:16">
      <c r="A439" s="1245" t="s">
        <v>5510</v>
      </c>
      <c r="B439" s="1246" t="s">
        <v>1880</v>
      </c>
      <c r="C439" s="1246" t="s">
        <v>504</v>
      </c>
      <c r="D439" s="1200" t="s">
        <v>622</v>
      </c>
      <c r="E439" s="1247">
        <v>2000</v>
      </c>
      <c r="F439" s="1549" t="s">
        <v>5709</v>
      </c>
      <c r="G439" s="1503" t="s">
        <v>5708</v>
      </c>
      <c r="H439" s="1503" t="s">
        <v>619</v>
      </c>
      <c r="I439" s="1570" t="s">
        <v>619</v>
      </c>
      <c r="J439" s="1550" t="s">
        <v>619</v>
      </c>
      <c r="K439" s="1571">
        <v>2</v>
      </c>
      <c r="L439" s="1273">
        <v>6</v>
      </c>
      <c r="M439" s="1247">
        <v>12000</v>
      </c>
      <c r="N439" s="1571">
        <v>2</v>
      </c>
      <c r="O439" s="1273">
        <v>6</v>
      </c>
      <c r="P439" s="1247">
        <v>6000</v>
      </c>
    </row>
    <row r="440" spans="1:16" ht="48">
      <c r="A440" s="1245" t="s">
        <v>5510</v>
      </c>
      <c r="B440" s="1246" t="s">
        <v>1880</v>
      </c>
      <c r="C440" s="1246" t="s">
        <v>504</v>
      </c>
      <c r="D440" s="1200" t="s">
        <v>5707</v>
      </c>
      <c r="E440" s="1247">
        <v>3500</v>
      </c>
      <c r="F440" s="1549" t="s">
        <v>5706</v>
      </c>
      <c r="G440" s="1503" t="s">
        <v>5705</v>
      </c>
      <c r="H440" s="1503" t="s">
        <v>5704</v>
      </c>
      <c r="I440" s="1570" t="s">
        <v>5525</v>
      </c>
      <c r="J440" s="1550" t="s">
        <v>5704</v>
      </c>
      <c r="K440" s="1571">
        <v>1</v>
      </c>
      <c r="L440" s="1273">
        <v>3</v>
      </c>
      <c r="M440" s="1247">
        <v>10340.539999999999</v>
      </c>
      <c r="N440" s="1571">
        <v>0</v>
      </c>
      <c r="O440" s="1273">
        <v>0</v>
      </c>
      <c r="P440" s="1247">
        <v>0</v>
      </c>
    </row>
    <row r="441" spans="1:16" ht="24">
      <c r="A441" s="1245" t="s">
        <v>5510</v>
      </c>
      <c r="B441" s="1246" t="s">
        <v>1880</v>
      </c>
      <c r="C441" s="1246" t="s">
        <v>504</v>
      </c>
      <c r="D441" s="1200" t="s">
        <v>5703</v>
      </c>
      <c r="E441" s="1247">
        <v>5500</v>
      </c>
      <c r="F441" s="1549" t="s">
        <v>5702</v>
      </c>
      <c r="G441" s="1503" t="s">
        <v>5701</v>
      </c>
      <c r="H441" s="1503" t="s">
        <v>925</v>
      </c>
      <c r="I441" s="1570" t="s">
        <v>507</v>
      </c>
      <c r="J441" s="1550" t="s">
        <v>5700</v>
      </c>
      <c r="K441" s="1571">
        <v>2</v>
      </c>
      <c r="L441" s="1273">
        <v>6</v>
      </c>
      <c r="M441" s="1247">
        <v>33000</v>
      </c>
      <c r="N441" s="1571">
        <v>2</v>
      </c>
      <c r="O441" s="1273">
        <v>6</v>
      </c>
      <c r="P441" s="1247">
        <v>16500</v>
      </c>
    </row>
    <row r="442" spans="1:16" ht="24">
      <c r="A442" s="1245" t="s">
        <v>5510</v>
      </c>
      <c r="B442" s="1246" t="s">
        <v>1880</v>
      </c>
      <c r="C442" s="1246" t="s">
        <v>504</v>
      </c>
      <c r="D442" s="1200" t="s">
        <v>604</v>
      </c>
      <c r="E442" s="1247">
        <v>3500</v>
      </c>
      <c r="F442" s="1549" t="s">
        <v>5699</v>
      </c>
      <c r="G442" s="1503" t="s">
        <v>5698</v>
      </c>
      <c r="H442" s="1503" t="s">
        <v>5697</v>
      </c>
      <c r="I442" s="1570" t="s">
        <v>5506</v>
      </c>
      <c r="J442" s="1550" t="s">
        <v>5697</v>
      </c>
      <c r="K442" s="1571">
        <v>2</v>
      </c>
      <c r="L442" s="1273">
        <v>6</v>
      </c>
      <c r="M442" s="1247">
        <v>21000</v>
      </c>
      <c r="N442" s="1571">
        <v>2</v>
      </c>
      <c r="O442" s="1273">
        <v>6</v>
      </c>
      <c r="P442" s="1247">
        <v>10500</v>
      </c>
    </row>
    <row r="443" spans="1:16" ht="24">
      <c r="A443" s="1245" t="s">
        <v>5510</v>
      </c>
      <c r="B443" s="1246" t="s">
        <v>1880</v>
      </c>
      <c r="C443" s="1246" t="s">
        <v>504</v>
      </c>
      <c r="D443" s="1200" t="s">
        <v>5696</v>
      </c>
      <c r="E443" s="1247">
        <v>3000</v>
      </c>
      <c r="F443" s="1549" t="s">
        <v>5695</v>
      </c>
      <c r="G443" s="1503" t="s">
        <v>5694</v>
      </c>
      <c r="H443" s="1503" t="s">
        <v>5693</v>
      </c>
      <c r="I443" s="1570" t="s">
        <v>507</v>
      </c>
      <c r="J443" s="1550" t="s">
        <v>5693</v>
      </c>
      <c r="K443" s="1571">
        <v>2</v>
      </c>
      <c r="L443" s="1273">
        <v>6</v>
      </c>
      <c r="M443" s="1247">
        <v>28166.67</v>
      </c>
      <c r="N443" s="1571">
        <v>2</v>
      </c>
      <c r="O443" s="1273">
        <v>6</v>
      </c>
      <c r="P443" s="1247">
        <v>15000</v>
      </c>
    </row>
    <row r="444" spans="1:16" ht="24">
      <c r="A444" s="1245" t="s">
        <v>5510</v>
      </c>
      <c r="B444" s="1246" t="s">
        <v>1880</v>
      </c>
      <c r="C444" s="1246" t="s">
        <v>504</v>
      </c>
      <c r="D444" s="1200" t="s">
        <v>5696</v>
      </c>
      <c r="E444" s="1247">
        <v>4000</v>
      </c>
      <c r="F444" s="1549" t="s">
        <v>5695</v>
      </c>
      <c r="G444" s="1503" t="s">
        <v>5694</v>
      </c>
      <c r="H444" s="1503" t="s">
        <v>5693</v>
      </c>
      <c r="I444" s="1570" t="s">
        <v>507</v>
      </c>
      <c r="J444" s="1550" t="s">
        <v>5693</v>
      </c>
      <c r="K444" s="1571">
        <v>2</v>
      </c>
      <c r="L444" s="1273">
        <v>6</v>
      </c>
      <c r="M444" s="1247">
        <v>28166.67</v>
      </c>
      <c r="N444" s="1571">
        <v>2</v>
      </c>
      <c r="O444" s="1273">
        <v>6</v>
      </c>
      <c r="P444" s="1247">
        <v>15000</v>
      </c>
    </row>
    <row r="445" spans="1:16" ht="24">
      <c r="A445" s="1245" t="s">
        <v>5510</v>
      </c>
      <c r="B445" s="1246" t="s">
        <v>1880</v>
      </c>
      <c r="C445" s="1246" t="s">
        <v>504</v>
      </c>
      <c r="D445" s="1200" t="s">
        <v>5692</v>
      </c>
      <c r="E445" s="1247">
        <v>1200</v>
      </c>
      <c r="F445" s="1549" t="s">
        <v>5691</v>
      </c>
      <c r="G445" s="1503" t="s">
        <v>5690</v>
      </c>
      <c r="H445" s="1503" t="s">
        <v>5689</v>
      </c>
      <c r="I445" s="1570" t="s">
        <v>499</v>
      </c>
      <c r="J445" s="1550" t="s">
        <v>5689</v>
      </c>
      <c r="K445" s="1571">
        <v>2</v>
      </c>
      <c r="L445" s="1273">
        <v>6</v>
      </c>
      <c r="M445" s="1247">
        <v>7084.0800000000008</v>
      </c>
      <c r="N445" s="1571">
        <v>1</v>
      </c>
      <c r="O445" s="1273">
        <v>1</v>
      </c>
      <c r="P445" s="1247">
        <v>563.1</v>
      </c>
    </row>
    <row r="446" spans="1:16" ht="24">
      <c r="A446" s="1245" t="s">
        <v>5510</v>
      </c>
      <c r="B446" s="1246" t="s">
        <v>1880</v>
      </c>
      <c r="C446" s="1246" t="s">
        <v>504</v>
      </c>
      <c r="D446" s="1200" t="s">
        <v>5688</v>
      </c>
      <c r="E446" s="1247">
        <v>2500</v>
      </c>
      <c r="F446" s="1549" t="s">
        <v>5687</v>
      </c>
      <c r="G446" s="1503" t="s">
        <v>5686</v>
      </c>
      <c r="H446" s="1503" t="s">
        <v>4244</v>
      </c>
      <c r="I446" s="1570" t="s">
        <v>507</v>
      </c>
      <c r="J446" s="1550" t="s">
        <v>519</v>
      </c>
      <c r="K446" s="1571">
        <v>1</v>
      </c>
      <c r="L446" s="1273">
        <v>1</v>
      </c>
      <c r="M446" s="1247">
        <v>3416.67</v>
      </c>
      <c r="N446" s="1571">
        <v>0</v>
      </c>
      <c r="O446" s="1273">
        <v>0</v>
      </c>
      <c r="P446" s="1247">
        <v>0</v>
      </c>
    </row>
    <row r="447" spans="1:16">
      <c r="A447" s="1245" t="s">
        <v>5510</v>
      </c>
      <c r="B447" s="1246" t="s">
        <v>1880</v>
      </c>
      <c r="C447" s="1246" t="s">
        <v>504</v>
      </c>
      <c r="D447" s="1200" t="s">
        <v>5685</v>
      </c>
      <c r="E447" s="1247">
        <v>3500</v>
      </c>
      <c r="F447" s="1549" t="s">
        <v>5684</v>
      </c>
      <c r="G447" s="1503" t="s">
        <v>5683</v>
      </c>
      <c r="H447" s="1503"/>
      <c r="I447" s="1570"/>
      <c r="J447" s="1550"/>
      <c r="K447" s="1571">
        <v>1</v>
      </c>
      <c r="L447" s="1273">
        <v>1</v>
      </c>
      <c r="M447" s="1247">
        <v>4783.33</v>
      </c>
      <c r="N447" s="1571">
        <v>0</v>
      </c>
      <c r="O447" s="1273">
        <v>0</v>
      </c>
      <c r="P447" s="1247">
        <v>0</v>
      </c>
    </row>
    <row r="448" spans="1:16" ht="48">
      <c r="A448" s="1245" t="s">
        <v>5510</v>
      </c>
      <c r="B448" s="1246" t="s">
        <v>1880</v>
      </c>
      <c r="C448" s="1246" t="s">
        <v>504</v>
      </c>
      <c r="D448" s="1200" t="s">
        <v>5682</v>
      </c>
      <c r="E448" s="1247">
        <v>5000</v>
      </c>
      <c r="F448" s="1549" t="s">
        <v>5679</v>
      </c>
      <c r="G448" s="1503" t="s">
        <v>5681</v>
      </c>
      <c r="H448" s="1503" t="s">
        <v>526</v>
      </c>
      <c r="I448" s="1570" t="s">
        <v>5516</v>
      </c>
      <c r="J448" s="1550" t="s">
        <v>526</v>
      </c>
      <c r="K448" s="1571">
        <v>1</v>
      </c>
      <c r="L448" s="1273">
        <v>3</v>
      </c>
      <c r="M448" s="1247">
        <v>13333.33</v>
      </c>
      <c r="N448" s="1571">
        <v>2</v>
      </c>
      <c r="O448" s="1273">
        <v>6</v>
      </c>
      <c r="P448" s="1247">
        <v>15000</v>
      </c>
    </row>
    <row r="449" spans="1:16" ht="36">
      <c r="A449" s="1245" t="s">
        <v>5510</v>
      </c>
      <c r="B449" s="1246" t="s">
        <v>1880</v>
      </c>
      <c r="C449" s="1246" t="s">
        <v>504</v>
      </c>
      <c r="D449" s="1200" t="s">
        <v>5680</v>
      </c>
      <c r="E449" s="1247">
        <v>4000</v>
      </c>
      <c r="F449" s="1549" t="s">
        <v>5679</v>
      </c>
      <c r="G449" s="1503" t="s">
        <v>5678</v>
      </c>
      <c r="H449" s="1503" t="s">
        <v>4982</v>
      </c>
      <c r="I449" s="1570" t="s">
        <v>5506</v>
      </c>
      <c r="J449" s="1550" t="s">
        <v>526</v>
      </c>
      <c r="K449" s="1571">
        <v>2</v>
      </c>
      <c r="L449" s="1273">
        <v>6</v>
      </c>
      <c r="M449" s="1247">
        <v>22499.989999999998</v>
      </c>
      <c r="N449" s="1571">
        <v>2</v>
      </c>
      <c r="O449" s="1273">
        <v>6</v>
      </c>
      <c r="P449" s="1247">
        <v>15000</v>
      </c>
    </row>
    <row r="450" spans="1:16" ht="24">
      <c r="A450" s="1245" t="s">
        <v>5510</v>
      </c>
      <c r="B450" s="1246" t="s">
        <v>1880</v>
      </c>
      <c r="C450" s="1246" t="s">
        <v>504</v>
      </c>
      <c r="D450" s="1200" t="s">
        <v>5677</v>
      </c>
      <c r="E450" s="1247">
        <v>2000</v>
      </c>
      <c r="F450" s="1549" t="s">
        <v>5676</v>
      </c>
      <c r="G450" s="1503" t="s">
        <v>5675</v>
      </c>
      <c r="H450" s="1503" t="s">
        <v>619</v>
      </c>
      <c r="I450" s="1570" t="s">
        <v>619</v>
      </c>
      <c r="J450" s="1550" t="s">
        <v>619</v>
      </c>
      <c r="K450" s="1571">
        <v>2</v>
      </c>
      <c r="L450" s="1273">
        <v>6</v>
      </c>
      <c r="M450" s="1247">
        <v>12000</v>
      </c>
      <c r="N450" s="1571">
        <v>2</v>
      </c>
      <c r="O450" s="1273">
        <v>6</v>
      </c>
      <c r="P450" s="1247">
        <v>6000</v>
      </c>
    </row>
    <row r="451" spans="1:16">
      <c r="A451" s="1245" t="s">
        <v>5510</v>
      </c>
      <c r="B451" s="1246" t="s">
        <v>1880</v>
      </c>
      <c r="C451" s="1246" t="s">
        <v>504</v>
      </c>
      <c r="D451" s="1200" t="s">
        <v>5594</v>
      </c>
      <c r="E451" s="1247">
        <v>6000</v>
      </c>
      <c r="F451" s="1549" t="s">
        <v>5674</v>
      </c>
      <c r="G451" s="1503" t="s">
        <v>5673</v>
      </c>
      <c r="H451" s="1503" t="s">
        <v>1842</v>
      </c>
      <c r="I451" s="1570" t="s">
        <v>5506</v>
      </c>
      <c r="J451" s="1550" t="s">
        <v>526</v>
      </c>
      <c r="K451" s="1571">
        <v>2</v>
      </c>
      <c r="L451" s="1273">
        <v>6</v>
      </c>
      <c r="M451" s="1247">
        <v>36000</v>
      </c>
      <c r="N451" s="1571">
        <v>2</v>
      </c>
      <c r="O451" s="1273">
        <v>6</v>
      </c>
      <c r="P451" s="1247">
        <v>18000</v>
      </c>
    </row>
    <row r="452" spans="1:16" ht="36">
      <c r="A452" s="1245" t="s">
        <v>5510</v>
      </c>
      <c r="B452" s="1246" t="s">
        <v>1880</v>
      </c>
      <c r="C452" s="1246" t="s">
        <v>504</v>
      </c>
      <c r="D452" s="1200" t="s">
        <v>5672</v>
      </c>
      <c r="E452" s="1247">
        <v>4000</v>
      </c>
      <c r="F452" s="1549" t="s">
        <v>5671</v>
      </c>
      <c r="G452" s="1503" t="s">
        <v>5670</v>
      </c>
      <c r="H452" s="1503" t="s">
        <v>5669</v>
      </c>
      <c r="I452" s="1570" t="s">
        <v>5516</v>
      </c>
      <c r="J452" s="1550" t="s">
        <v>5669</v>
      </c>
      <c r="K452" s="1571">
        <v>1</v>
      </c>
      <c r="L452" s="1273">
        <v>2</v>
      </c>
      <c r="M452" s="1247">
        <v>7333.33</v>
      </c>
      <c r="N452" s="1571">
        <v>2</v>
      </c>
      <c r="O452" s="1273">
        <v>6</v>
      </c>
      <c r="P452" s="1247">
        <v>11944.619999999999</v>
      </c>
    </row>
    <row r="453" spans="1:16" ht="36">
      <c r="A453" s="1245" t="s">
        <v>5510</v>
      </c>
      <c r="B453" s="1246" t="s">
        <v>1880</v>
      </c>
      <c r="C453" s="1246" t="s">
        <v>504</v>
      </c>
      <c r="D453" s="1200" t="s">
        <v>5581</v>
      </c>
      <c r="E453" s="1247">
        <v>7000</v>
      </c>
      <c r="F453" s="1549" t="s">
        <v>5668</v>
      </c>
      <c r="G453" s="1503" t="s">
        <v>5667</v>
      </c>
      <c r="H453" s="1503" t="s">
        <v>5666</v>
      </c>
      <c r="I453" s="1570" t="s">
        <v>5516</v>
      </c>
      <c r="J453" s="1550" t="s">
        <v>5666</v>
      </c>
      <c r="K453" s="1571">
        <v>1</v>
      </c>
      <c r="L453" s="1273">
        <v>3</v>
      </c>
      <c r="M453" s="1247">
        <v>22633.33</v>
      </c>
      <c r="N453" s="1571">
        <v>2</v>
      </c>
      <c r="O453" s="1273">
        <v>6</v>
      </c>
      <c r="P453" s="1247">
        <v>21000</v>
      </c>
    </row>
    <row r="454" spans="1:16" ht="36">
      <c r="A454" s="1245" t="s">
        <v>5510</v>
      </c>
      <c r="B454" s="1246" t="s">
        <v>1880</v>
      </c>
      <c r="C454" s="1246" t="s">
        <v>504</v>
      </c>
      <c r="D454" s="1200" t="s">
        <v>5665</v>
      </c>
      <c r="E454" s="1247">
        <v>3000</v>
      </c>
      <c r="F454" s="1549" t="s">
        <v>5664</v>
      </c>
      <c r="G454" s="1503" t="s">
        <v>5663</v>
      </c>
      <c r="H454" s="1503" t="s">
        <v>5662</v>
      </c>
      <c r="I454" s="1570" t="s">
        <v>507</v>
      </c>
      <c r="J454" s="1550" t="s">
        <v>1815</v>
      </c>
      <c r="K454" s="1571">
        <v>2</v>
      </c>
      <c r="L454" s="1273">
        <v>6</v>
      </c>
      <c r="M454" s="1247">
        <v>17825.45</v>
      </c>
      <c r="N454" s="1571">
        <v>2</v>
      </c>
      <c r="O454" s="1273">
        <v>6</v>
      </c>
      <c r="P454" s="1247">
        <v>8927.92</v>
      </c>
    </row>
    <row r="455" spans="1:16">
      <c r="A455" s="1245" t="s">
        <v>5510</v>
      </c>
      <c r="B455" s="1246" t="s">
        <v>1880</v>
      </c>
      <c r="C455" s="1246" t="s">
        <v>504</v>
      </c>
      <c r="D455" s="1200" t="s">
        <v>622</v>
      </c>
      <c r="E455" s="1247">
        <v>1800</v>
      </c>
      <c r="F455" s="1549" t="s">
        <v>5661</v>
      </c>
      <c r="G455" s="1503" t="s">
        <v>5660</v>
      </c>
      <c r="H455" s="1503" t="s">
        <v>619</v>
      </c>
      <c r="I455" s="1570" t="s">
        <v>619</v>
      </c>
      <c r="J455" s="1550" t="s">
        <v>619</v>
      </c>
      <c r="K455" s="1571">
        <v>2</v>
      </c>
      <c r="L455" s="1273">
        <v>6</v>
      </c>
      <c r="M455" s="1247">
        <v>10766.74</v>
      </c>
      <c r="N455" s="1571">
        <v>2</v>
      </c>
      <c r="O455" s="1273">
        <v>6</v>
      </c>
      <c r="P455" s="1247">
        <v>5392.1849999999995</v>
      </c>
    </row>
    <row r="456" spans="1:16" ht="24">
      <c r="A456" s="1245" t="s">
        <v>5510</v>
      </c>
      <c r="B456" s="1246" t="s">
        <v>1880</v>
      </c>
      <c r="C456" s="1246" t="s">
        <v>504</v>
      </c>
      <c r="D456" s="1200" t="s">
        <v>5659</v>
      </c>
      <c r="E456" s="1247">
        <v>5500</v>
      </c>
      <c r="F456" s="1549" t="s">
        <v>5658</v>
      </c>
      <c r="G456" s="1503" t="s">
        <v>5657</v>
      </c>
      <c r="H456" s="1503" t="s">
        <v>5656</v>
      </c>
      <c r="I456" s="1570" t="s">
        <v>5525</v>
      </c>
      <c r="J456" s="1550" t="s">
        <v>5199</v>
      </c>
      <c r="K456" s="1571">
        <v>2</v>
      </c>
      <c r="L456" s="1273">
        <v>6</v>
      </c>
      <c r="M456" s="1247">
        <v>33000</v>
      </c>
      <c r="N456" s="1571">
        <v>2</v>
      </c>
      <c r="O456" s="1273">
        <v>6</v>
      </c>
      <c r="P456" s="1247">
        <v>16500</v>
      </c>
    </row>
    <row r="457" spans="1:16" ht="24">
      <c r="A457" s="1245" t="s">
        <v>5510</v>
      </c>
      <c r="B457" s="1246" t="s">
        <v>1880</v>
      </c>
      <c r="C457" s="1246" t="s">
        <v>504</v>
      </c>
      <c r="D457" s="1200" t="s">
        <v>5655</v>
      </c>
      <c r="E457" s="1247">
        <v>4000</v>
      </c>
      <c r="F457" s="1549" t="s">
        <v>5654</v>
      </c>
      <c r="G457" s="1503" t="s">
        <v>5653</v>
      </c>
      <c r="H457" s="1503" t="s">
        <v>5652</v>
      </c>
      <c r="I457" s="1570" t="s">
        <v>5506</v>
      </c>
      <c r="J457" s="1550" t="s">
        <v>5652</v>
      </c>
      <c r="K457" s="1571">
        <v>2</v>
      </c>
      <c r="L457" s="1273">
        <v>6</v>
      </c>
      <c r="M457" s="1247">
        <v>23961.66</v>
      </c>
      <c r="N457" s="1571">
        <v>2</v>
      </c>
      <c r="O457" s="1273">
        <v>6</v>
      </c>
      <c r="P457" s="1247">
        <v>12000</v>
      </c>
    </row>
    <row r="458" spans="1:16" ht="24">
      <c r="A458" s="1245" t="s">
        <v>5510</v>
      </c>
      <c r="B458" s="1246" t="s">
        <v>1880</v>
      </c>
      <c r="C458" s="1246" t="s">
        <v>504</v>
      </c>
      <c r="D458" s="1200" t="s">
        <v>582</v>
      </c>
      <c r="E458" s="1247">
        <v>3500</v>
      </c>
      <c r="F458" s="1549" t="s">
        <v>5651</v>
      </c>
      <c r="G458" s="1503" t="s">
        <v>5650</v>
      </c>
      <c r="H458" s="1503" t="s">
        <v>1085</v>
      </c>
      <c r="I458" s="1570" t="s">
        <v>507</v>
      </c>
      <c r="J458" s="1550" t="s">
        <v>508</v>
      </c>
      <c r="K458" s="1571">
        <v>2</v>
      </c>
      <c r="L458" s="1273">
        <v>6</v>
      </c>
      <c r="M458" s="1247">
        <v>21000</v>
      </c>
      <c r="N458" s="1571">
        <v>2</v>
      </c>
      <c r="O458" s="1273">
        <v>6</v>
      </c>
      <c r="P458" s="1247">
        <v>10500</v>
      </c>
    </row>
    <row r="459" spans="1:16" ht="36">
      <c r="A459" s="1245" t="s">
        <v>5510</v>
      </c>
      <c r="B459" s="1246" t="s">
        <v>1880</v>
      </c>
      <c r="C459" s="1246" t="s">
        <v>504</v>
      </c>
      <c r="D459" s="1200" t="s">
        <v>604</v>
      </c>
      <c r="E459" s="1247">
        <v>3000</v>
      </c>
      <c r="F459" s="1549" t="s">
        <v>5649</v>
      </c>
      <c r="G459" s="1503" t="s">
        <v>5648</v>
      </c>
      <c r="H459" s="1503" t="s">
        <v>5647</v>
      </c>
      <c r="I459" s="1570" t="s">
        <v>5506</v>
      </c>
      <c r="J459" s="1550" t="s">
        <v>500</v>
      </c>
      <c r="K459" s="1571">
        <v>2</v>
      </c>
      <c r="L459" s="1273">
        <v>6</v>
      </c>
      <c r="M459" s="1247">
        <v>17878.969999999998</v>
      </c>
      <c r="N459" s="1571">
        <v>2</v>
      </c>
      <c r="O459" s="1273">
        <v>5</v>
      </c>
      <c r="P459" s="1247">
        <v>7427.915</v>
      </c>
    </row>
    <row r="460" spans="1:16" ht="24">
      <c r="A460" s="1245" t="s">
        <v>5510</v>
      </c>
      <c r="B460" s="1246" t="s">
        <v>1880</v>
      </c>
      <c r="C460" s="1246" t="s">
        <v>504</v>
      </c>
      <c r="D460" s="1200" t="s">
        <v>604</v>
      </c>
      <c r="E460" s="1247">
        <v>2000</v>
      </c>
      <c r="F460" s="1549" t="s">
        <v>5646</v>
      </c>
      <c r="G460" s="1503" t="s">
        <v>5645</v>
      </c>
      <c r="H460" s="1503" t="s">
        <v>791</v>
      </c>
      <c r="I460" s="1570" t="s">
        <v>547</v>
      </c>
      <c r="J460" s="1550" t="s">
        <v>791</v>
      </c>
      <c r="K460" s="1571">
        <v>1</v>
      </c>
      <c r="L460" s="1273">
        <v>3</v>
      </c>
      <c r="M460" s="1247">
        <v>5879.0199999999995</v>
      </c>
      <c r="N460" s="1571">
        <v>2</v>
      </c>
      <c r="O460" s="1273">
        <v>6</v>
      </c>
      <c r="P460" s="1247">
        <v>5957.7749999999996</v>
      </c>
    </row>
    <row r="461" spans="1:16">
      <c r="A461" s="1245" t="s">
        <v>5510</v>
      </c>
      <c r="B461" s="1246" t="s">
        <v>1880</v>
      </c>
      <c r="C461" s="1246" t="s">
        <v>504</v>
      </c>
      <c r="D461" s="1200" t="s">
        <v>622</v>
      </c>
      <c r="E461" s="1247">
        <v>2000</v>
      </c>
      <c r="F461" s="1549" t="s">
        <v>5644</v>
      </c>
      <c r="G461" s="1503" t="s">
        <v>5643</v>
      </c>
      <c r="H461" s="1503" t="s">
        <v>619</v>
      </c>
      <c r="I461" s="1570" t="s">
        <v>619</v>
      </c>
      <c r="J461" s="1550" t="s">
        <v>619</v>
      </c>
      <c r="K461" s="1571">
        <v>2</v>
      </c>
      <c r="L461" s="1273">
        <v>6</v>
      </c>
      <c r="M461" s="1247">
        <v>12000</v>
      </c>
      <c r="N461" s="1571">
        <v>2</v>
      </c>
      <c r="O461" s="1273">
        <v>6</v>
      </c>
      <c r="P461" s="1247">
        <v>5966.665</v>
      </c>
    </row>
    <row r="462" spans="1:16">
      <c r="A462" s="1245" t="s">
        <v>5510</v>
      </c>
      <c r="B462" s="1246" t="s">
        <v>1880</v>
      </c>
      <c r="C462" s="1246" t="s">
        <v>504</v>
      </c>
      <c r="D462" s="1200" t="s">
        <v>5642</v>
      </c>
      <c r="E462" s="1247">
        <v>4500</v>
      </c>
      <c r="F462" s="1549" t="s">
        <v>5641</v>
      </c>
      <c r="G462" s="1503" t="s">
        <v>5640</v>
      </c>
      <c r="H462" s="1503" t="s">
        <v>925</v>
      </c>
      <c r="I462" s="1570" t="s">
        <v>5506</v>
      </c>
      <c r="J462" s="1550" t="s">
        <v>515</v>
      </c>
      <c r="K462" s="1571">
        <v>2</v>
      </c>
      <c r="L462" s="1273">
        <v>6</v>
      </c>
      <c r="M462" s="1247">
        <v>27000</v>
      </c>
      <c r="N462" s="1571">
        <v>2</v>
      </c>
      <c r="O462" s="1273">
        <v>6</v>
      </c>
      <c r="P462" s="1247">
        <v>13487.184999999999</v>
      </c>
    </row>
    <row r="463" spans="1:16" ht="24">
      <c r="A463" s="1245" t="s">
        <v>5510</v>
      </c>
      <c r="B463" s="1246" t="s">
        <v>1880</v>
      </c>
      <c r="C463" s="1246" t="s">
        <v>504</v>
      </c>
      <c r="D463" s="1200" t="s">
        <v>604</v>
      </c>
      <c r="E463" s="1247">
        <v>3000</v>
      </c>
      <c r="F463" s="1549" t="s">
        <v>5639</v>
      </c>
      <c r="G463" s="1503" t="s">
        <v>5638</v>
      </c>
      <c r="H463" s="1503" t="s">
        <v>5637</v>
      </c>
      <c r="I463" s="1570" t="s">
        <v>5506</v>
      </c>
      <c r="J463" s="1550" t="s">
        <v>5636</v>
      </c>
      <c r="K463" s="1571">
        <v>2</v>
      </c>
      <c r="L463" s="1273">
        <v>6</v>
      </c>
      <c r="M463" s="1247">
        <v>17995.419999999998</v>
      </c>
      <c r="N463" s="1571">
        <v>2</v>
      </c>
      <c r="O463" s="1273">
        <v>6</v>
      </c>
      <c r="P463" s="1247">
        <v>8998.3349999999991</v>
      </c>
    </row>
    <row r="464" spans="1:16" ht="24">
      <c r="A464" s="1245" t="s">
        <v>5510</v>
      </c>
      <c r="B464" s="1246" t="s">
        <v>1880</v>
      </c>
      <c r="C464" s="1246" t="s">
        <v>504</v>
      </c>
      <c r="D464" s="1200" t="s">
        <v>5635</v>
      </c>
      <c r="E464" s="1247">
        <v>3700</v>
      </c>
      <c r="F464" s="1549" t="s">
        <v>5634</v>
      </c>
      <c r="G464" s="1503" t="s">
        <v>5633</v>
      </c>
      <c r="H464" s="1503" t="s">
        <v>5632</v>
      </c>
      <c r="I464" s="1570" t="s">
        <v>507</v>
      </c>
      <c r="J464" s="1550" t="s">
        <v>5631</v>
      </c>
      <c r="K464" s="1571">
        <v>2</v>
      </c>
      <c r="L464" s="1273">
        <v>4</v>
      </c>
      <c r="M464" s="1247">
        <v>13803.31</v>
      </c>
      <c r="N464" s="1571">
        <v>0</v>
      </c>
      <c r="O464" s="1273">
        <v>0</v>
      </c>
      <c r="P464" s="1247">
        <v>0</v>
      </c>
    </row>
    <row r="465" spans="1:16" ht="24">
      <c r="A465" s="1245" t="s">
        <v>5510</v>
      </c>
      <c r="B465" s="1246" t="s">
        <v>1880</v>
      </c>
      <c r="C465" s="1246" t="s">
        <v>504</v>
      </c>
      <c r="D465" s="1200" t="s">
        <v>5630</v>
      </c>
      <c r="E465" s="1247">
        <v>3000</v>
      </c>
      <c r="F465" s="1549" t="s">
        <v>5629</v>
      </c>
      <c r="G465" s="1503" t="s">
        <v>5628</v>
      </c>
      <c r="H465" s="1503" t="s">
        <v>5627</v>
      </c>
      <c r="I465" s="1570" t="s">
        <v>5506</v>
      </c>
      <c r="J465" s="1550" t="s">
        <v>5259</v>
      </c>
      <c r="K465" s="1571">
        <v>2</v>
      </c>
      <c r="L465" s="1273">
        <v>6</v>
      </c>
      <c r="M465" s="1247">
        <v>18000</v>
      </c>
      <c r="N465" s="1571">
        <v>2</v>
      </c>
      <c r="O465" s="1273">
        <v>6</v>
      </c>
      <c r="P465" s="1247">
        <v>8996.5650000000005</v>
      </c>
    </row>
    <row r="466" spans="1:16" ht="24">
      <c r="A466" s="1245" t="s">
        <v>5510</v>
      </c>
      <c r="B466" s="1246" t="s">
        <v>1880</v>
      </c>
      <c r="C466" s="1246" t="s">
        <v>504</v>
      </c>
      <c r="D466" s="1200" t="s">
        <v>1688</v>
      </c>
      <c r="E466" s="1247">
        <v>3000</v>
      </c>
      <c r="F466" s="1549" t="s">
        <v>5626</v>
      </c>
      <c r="G466" s="1503" t="s">
        <v>5625</v>
      </c>
      <c r="H466" s="1503" t="s">
        <v>5624</v>
      </c>
      <c r="I466" s="1570" t="s">
        <v>5506</v>
      </c>
      <c r="J466" s="1550" t="s">
        <v>5624</v>
      </c>
      <c r="K466" s="1571">
        <v>2</v>
      </c>
      <c r="L466" s="1273">
        <v>6</v>
      </c>
      <c r="M466" s="1247">
        <v>18000</v>
      </c>
      <c r="N466" s="1571">
        <v>0</v>
      </c>
      <c r="O466" s="1273">
        <v>0</v>
      </c>
      <c r="P466" s="1247">
        <v>0</v>
      </c>
    </row>
    <row r="467" spans="1:16" ht="48">
      <c r="A467" s="1245" t="s">
        <v>5510</v>
      </c>
      <c r="B467" s="1246" t="s">
        <v>1880</v>
      </c>
      <c r="C467" s="1246" t="s">
        <v>504</v>
      </c>
      <c r="D467" s="1200" t="s">
        <v>5623</v>
      </c>
      <c r="E467" s="1247">
        <v>6000</v>
      </c>
      <c r="F467" s="1549" t="s">
        <v>5622</v>
      </c>
      <c r="G467" s="1503" t="s">
        <v>5621</v>
      </c>
      <c r="H467" s="1503" t="s">
        <v>1842</v>
      </c>
      <c r="I467" s="1570" t="s">
        <v>5506</v>
      </c>
      <c r="J467" s="1550" t="s">
        <v>526</v>
      </c>
      <c r="K467" s="1571">
        <v>2</v>
      </c>
      <c r="L467" s="1273">
        <v>6</v>
      </c>
      <c r="M467" s="1247">
        <v>41750</v>
      </c>
      <c r="N467" s="1571">
        <v>2</v>
      </c>
      <c r="O467" s="1273">
        <v>6</v>
      </c>
      <c r="P467" s="1247">
        <v>22500</v>
      </c>
    </row>
    <row r="468" spans="1:16" ht="36">
      <c r="A468" s="1245" t="s">
        <v>5510</v>
      </c>
      <c r="B468" s="1246" t="s">
        <v>1880</v>
      </c>
      <c r="C468" s="1246" t="s">
        <v>504</v>
      </c>
      <c r="D468" s="1200" t="s">
        <v>5620</v>
      </c>
      <c r="E468" s="1247">
        <v>7000</v>
      </c>
      <c r="F468" s="1549" t="s">
        <v>5619</v>
      </c>
      <c r="G468" s="1503" t="s">
        <v>5618</v>
      </c>
      <c r="H468" s="1503" t="s">
        <v>534</v>
      </c>
      <c r="I468" s="1570" t="s">
        <v>5516</v>
      </c>
      <c r="J468" s="1550" t="s">
        <v>534</v>
      </c>
      <c r="K468" s="1571">
        <v>1</v>
      </c>
      <c r="L468" s="1273">
        <v>1</v>
      </c>
      <c r="M468" s="1247">
        <v>7933.33</v>
      </c>
      <c r="N468" s="1571">
        <v>2</v>
      </c>
      <c r="O468" s="1273">
        <v>6</v>
      </c>
      <c r="P468" s="1247">
        <v>20996.595000000001</v>
      </c>
    </row>
    <row r="469" spans="1:16" ht="48">
      <c r="A469" s="1245" t="s">
        <v>5510</v>
      </c>
      <c r="B469" s="1246" t="s">
        <v>1880</v>
      </c>
      <c r="C469" s="1246" t="s">
        <v>504</v>
      </c>
      <c r="D469" s="1200" t="s">
        <v>5617</v>
      </c>
      <c r="E469" s="1247">
        <v>4500</v>
      </c>
      <c r="F469" s="1549" t="s">
        <v>5616</v>
      </c>
      <c r="G469" s="1503" t="s">
        <v>5615</v>
      </c>
      <c r="H469" s="1503" t="s">
        <v>5614</v>
      </c>
      <c r="I469" s="1570" t="s">
        <v>5516</v>
      </c>
      <c r="J469" s="1550" t="s">
        <v>5614</v>
      </c>
      <c r="K469" s="1571">
        <v>1</v>
      </c>
      <c r="L469" s="1273">
        <v>2</v>
      </c>
      <c r="M469" s="1247">
        <v>7200</v>
      </c>
      <c r="N469" s="1571">
        <v>0</v>
      </c>
      <c r="O469" s="1273">
        <v>0</v>
      </c>
      <c r="P469" s="1247">
        <v>0</v>
      </c>
    </row>
    <row r="470" spans="1:16">
      <c r="A470" s="1245" t="s">
        <v>5510</v>
      </c>
      <c r="B470" s="1246" t="s">
        <v>1880</v>
      </c>
      <c r="C470" s="1246" t="s">
        <v>504</v>
      </c>
      <c r="D470" s="1200" t="s">
        <v>5613</v>
      </c>
      <c r="E470" s="1247">
        <v>3500</v>
      </c>
      <c r="F470" s="1549" t="s">
        <v>5612</v>
      </c>
      <c r="G470" s="1503" t="s">
        <v>5611</v>
      </c>
      <c r="H470" s="1503" t="s">
        <v>4244</v>
      </c>
      <c r="I470" s="1570" t="s">
        <v>573</v>
      </c>
      <c r="J470" s="1550" t="s">
        <v>519</v>
      </c>
      <c r="K470" s="1571">
        <v>1</v>
      </c>
      <c r="L470" s="1273">
        <v>3</v>
      </c>
      <c r="M470" s="1247">
        <v>11287.01</v>
      </c>
      <c r="N470" s="1571">
        <v>2</v>
      </c>
      <c r="O470" s="1273">
        <v>6</v>
      </c>
      <c r="P470" s="1247">
        <v>12588.334999999999</v>
      </c>
    </row>
    <row r="471" spans="1:16" ht="24">
      <c r="A471" s="1245" t="s">
        <v>5510</v>
      </c>
      <c r="B471" s="1246" t="s">
        <v>1880</v>
      </c>
      <c r="C471" s="1246" t="s">
        <v>504</v>
      </c>
      <c r="D471" s="1200" t="s">
        <v>5610</v>
      </c>
      <c r="E471" s="1247">
        <v>4000</v>
      </c>
      <c r="F471" s="1549" t="s">
        <v>5609</v>
      </c>
      <c r="G471" s="1503" t="s">
        <v>5608</v>
      </c>
      <c r="H471" s="1503" t="s">
        <v>5140</v>
      </c>
      <c r="I471" s="1570" t="s">
        <v>507</v>
      </c>
      <c r="J471" s="1550" t="s">
        <v>5591</v>
      </c>
      <c r="K471" s="1571">
        <v>2</v>
      </c>
      <c r="L471" s="1273">
        <v>6</v>
      </c>
      <c r="M471" s="1247">
        <v>23943.89</v>
      </c>
      <c r="N471" s="1571">
        <v>2</v>
      </c>
      <c r="O471" s="1273">
        <v>6</v>
      </c>
      <c r="P471" s="1247">
        <v>11970</v>
      </c>
    </row>
    <row r="472" spans="1:16" ht="24">
      <c r="A472" s="1245" t="s">
        <v>5510</v>
      </c>
      <c r="B472" s="1246" t="s">
        <v>1880</v>
      </c>
      <c r="C472" s="1246" t="s">
        <v>504</v>
      </c>
      <c r="D472" s="1200" t="s">
        <v>5607</v>
      </c>
      <c r="E472" s="1247">
        <v>12000</v>
      </c>
      <c r="F472" s="1549" t="s">
        <v>5606</v>
      </c>
      <c r="G472" s="1503" t="s">
        <v>5605</v>
      </c>
      <c r="H472" s="1503" t="s">
        <v>5604</v>
      </c>
      <c r="I472" s="1570" t="s">
        <v>5506</v>
      </c>
      <c r="J472" s="1550" t="s">
        <v>5603</v>
      </c>
      <c r="K472" s="1571">
        <v>2</v>
      </c>
      <c r="L472" s="1273">
        <v>6</v>
      </c>
      <c r="M472" s="1247">
        <v>72000</v>
      </c>
      <c r="N472" s="1571">
        <v>2</v>
      </c>
      <c r="O472" s="1273">
        <v>6</v>
      </c>
      <c r="P472" s="1247">
        <v>36000</v>
      </c>
    </row>
    <row r="473" spans="1:16" ht="24">
      <c r="A473" s="1245" t="s">
        <v>5510</v>
      </c>
      <c r="B473" s="1246" t="s">
        <v>1880</v>
      </c>
      <c r="C473" s="1246" t="s">
        <v>504</v>
      </c>
      <c r="D473" s="1200" t="s">
        <v>622</v>
      </c>
      <c r="E473" s="1247">
        <v>2000</v>
      </c>
      <c r="F473" s="1549" t="s">
        <v>5602</v>
      </c>
      <c r="G473" s="1503" t="s">
        <v>5601</v>
      </c>
      <c r="H473" s="1503" t="s">
        <v>5029</v>
      </c>
      <c r="I473" s="1570" t="s">
        <v>5525</v>
      </c>
      <c r="J473" s="1550" t="s">
        <v>5199</v>
      </c>
      <c r="K473" s="1571">
        <v>2</v>
      </c>
      <c r="L473" s="1273">
        <v>6</v>
      </c>
      <c r="M473" s="1247">
        <v>12000</v>
      </c>
      <c r="N473" s="1571">
        <v>2</v>
      </c>
      <c r="O473" s="1273">
        <v>6</v>
      </c>
      <c r="P473" s="1247">
        <v>6000</v>
      </c>
    </row>
    <row r="474" spans="1:16" ht="36">
      <c r="A474" s="1245" t="s">
        <v>5510</v>
      </c>
      <c r="B474" s="1246" t="s">
        <v>1880</v>
      </c>
      <c r="C474" s="1246" t="s">
        <v>504</v>
      </c>
      <c r="D474" s="1200" t="s">
        <v>960</v>
      </c>
      <c r="E474" s="1247">
        <v>2500</v>
      </c>
      <c r="F474" s="1549" t="s">
        <v>5600</v>
      </c>
      <c r="G474" s="1503" t="s">
        <v>5599</v>
      </c>
      <c r="H474" s="1503" t="s">
        <v>5598</v>
      </c>
      <c r="I474" s="1570" t="s">
        <v>499</v>
      </c>
      <c r="J474" s="1550" t="s">
        <v>519</v>
      </c>
      <c r="K474" s="1571">
        <v>2</v>
      </c>
      <c r="L474" s="1273">
        <v>6</v>
      </c>
      <c r="M474" s="1247">
        <v>15000</v>
      </c>
      <c r="N474" s="1571">
        <v>2</v>
      </c>
      <c r="O474" s="1273">
        <v>6</v>
      </c>
      <c r="P474" s="1247">
        <v>7500</v>
      </c>
    </row>
    <row r="475" spans="1:16" ht="24">
      <c r="A475" s="1245" t="s">
        <v>5510</v>
      </c>
      <c r="B475" s="1246" t="s">
        <v>1880</v>
      </c>
      <c r="C475" s="1246" t="s">
        <v>504</v>
      </c>
      <c r="D475" s="1200" t="s">
        <v>5597</v>
      </c>
      <c r="E475" s="1247">
        <v>5000</v>
      </c>
      <c r="F475" s="1549" t="s">
        <v>5596</v>
      </c>
      <c r="G475" s="1503" t="s">
        <v>5595</v>
      </c>
      <c r="H475" s="1503" t="s">
        <v>4244</v>
      </c>
      <c r="I475" s="1570" t="s">
        <v>507</v>
      </c>
      <c r="J475" s="1550" t="s">
        <v>519</v>
      </c>
      <c r="K475" s="1571">
        <v>2</v>
      </c>
      <c r="L475" s="1273">
        <v>6</v>
      </c>
      <c r="M475" s="1247">
        <v>29831.64</v>
      </c>
      <c r="N475" s="1571">
        <v>2</v>
      </c>
      <c r="O475" s="1273">
        <v>6</v>
      </c>
      <c r="P475" s="1247">
        <v>14978.3</v>
      </c>
    </row>
    <row r="476" spans="1:16">
      <c r="A476" s="1245" t="s">
        <v>5510</v>
      </c>
      <c r="B476" s="1246" t="s">
        <v>1880</v>
      </c>
      <c r="C476" s="1246" t="s">
        <v>504</v>
      </c>
      <c r="D476" s="1200" t="s">
        <v>5594</v>
      </c>
      <c r="E476" s="1247">
        <v>6500</v>
      </c>
      <c r="F476" s="1549" t="s">
        <v>5593</v>
      </c>
      <c r="G476" s="1503" t="s">
        <v>5592</v>
      </c>
      <c r="H476" s="1503" t="s">
        <v>5007</v>
      </c>
      <c r="I476" s="1570" t="s">
        <v>5506</v>
      </c>
      <c r="J476" s="1550" t="s">
        <v>5591</v>
      </c>
      <c r="K476" s="1571">
        <v>2</v>
      </c>
      <c r="L476" s="1273">
        <v>6</v>
      </c>
      <c r="M476" s="1247">
        <v>38897.99</v>
      </c>
      <c r="N476" s="1571">
        <v>2</v>
      </c>
      <c r="O476" s="1273">
        <v>6</v>
      </c>
      <c r="P476" s="1247">
        <v>19500</v>
      </c>
    </row>
    <row r="477" spans="1:16" ht="24">
      <c r="A477" s="1245" t="s">
        <v>5510</v>
      </c>
      <c r="B477" s="1246" t="s">
        <v>1880</v>
      </c>
      <c r="C477" s="1246" t="s">
        <v>504</v>
      </c>
      <c r="D477" s="1200" t="s">
        <v>5590</v>
      </c>
      <c r="E477" s="1247">
        <v>4000</v>
      </c>
      <c r="F477" s="1549" t="s">
        <v>5589</v>
      </c>
      <c r="G477" s="1503" t="s">
        <v>5588</v>
      </c>
      <c r="H477" s="1503" t="s">
        <v>519</v>
      </c>
      <c r="I477" s="1570" t="s">
        <v>5516</v>
      </c>
      <c r="J477" s="1550" t="s">
        <v>519</v>
      </c>
      <c r="K477" s="1571">
        <v>1</v>
      </c>
      <c r="L477" s="1273">
        <v>3</v>
      </c>
      <c r="M477" s="1247">
        <v>11595.83</v>
      </c>
      <c r="N477" s="1571">
        <v>1</v>
      </c>
      <c r="O477" s="1273">
        <v>2</v>
      </c>
      <c r="P477" s="1247">
        <v>3998.4700000000003</v>
      </c>
    </row>
    <row r="478" spans="1:16" ht="60">
      <c r="A478" s="1245" t="s">
        <v>5510</v>
      </c>
      <c r="B478" s="1246" t="s">
        <v>1880</v>
      </c>
      <c r="C478" s="1246" t="s">
        <v>504</v>
      </c>
      <c r="D478" s="1200" t="s">
        <v>5587</v>
      </c>
      <c r="E478" s="1247">
        <v>7000</v>
      </c>
      <c r="F478" s="1549" t="s">
        <v>5586</v>
      </c>
      <c r="G478" s="1503" t="s">
        <v>5585</v>
      </c>
      <c r="H478" s="1503" t="s">
        <v>1608</v>
      </c>
      <c r="I478" s="1570" t="s">
        <v>5506</v>
      </c>
      <c r="J478" s="1550" t="s">
        <v>1585</v>
      </c>
      <c r="K478" s="1571">
        <v>2</v>
      </c>
      <c r="L478" s="1273">
        <v>6</v>
      </c>
      <c r="M478" s="1247">
        <v>42000</v>
      </c>
      <c r="N478" s="1571">
        <v>2</v>
      </c>
      <c r="O478" s="1273">
        <v>6</v>
      </c>
      <c r="P478" s="1247">
        <v>21000</v>
      </c>
    </row>
    <row r="479" spans="1:16" ht="24">
      <c r="A479" s="1245" t="s">
        <v>5510</v>
      </c>
      <c r="B479" s="1246" t="s">
        <v>1880</v>
      </c>
      <c r="C479" s="1246" t="s">
        <v>504</v>
      </c>
      <c r="D479" s="1200" t="s">
        <v>5584</v>
      </c>
      <c r="E479" s="1247">
        <v>10000</v>
      </c>
      <c r="F479" s="1549" t="s">
        <v>5583</v>
      </c>
      <c r="G479" s="1503" t="s">
        <v>5582</v>
      </c>
      <c r="H479" s="1503" t="s">
        <v>534</v>
      </c>
      <c r="I479" s="1570" t="s">
        <v>5506</v>
      </c>
      <c r="J479" s="1550" t="s">
        <v>1585</v>
      </c>
      <c r="K479" s="1571">
        <v>2</v>
      </c>
      <c r="L479" s="1273">
        <v>6</v>
      </c>
      <c r="M479" s="1247">
        <v>43428</v>
      </c>
      <c r="N479" s="1571">
        <v>2</v>
      </c>
      <c r="O479" s="1273">
        <v>6</v>
      </c>
      <c r="P479" s="1247">
        <v>21714</v>
      </c>
    </row>
    <row r="480" spans="1:16" ht="36">
      <c r="A480" s="1245" t="s">
        <v>5510</v>
      </c>
      <c r="B480" s="1246" t="s">
        <v>1880</v>
      </c>
      <c r="C480" s="1246" t="s">
        <v>504</v>
      </c>
      <c r="D480" s="1200" t="s">
        <v>5581</v>
      </c>
      <c r="E480" s="1247">
        <v>4500</v>
      </c>
      <c r="F480" s="1549" t="s">
        <v>5580</v>
      </c>
      <c r="G480" s="1503" t="s">
        <v>5579</v>
      </c>
      <c r="H480" s="1503" t="s">
        <v>1842</v>
      </c>
      <c r="I480" s="1570" t="s">
        <v>5516</v>
      </c>
      <c r="J480" s="1550" t="s">
        <v>1842</v>
      </c>
      <c r="K480" s="1571">
        <v>1</v>
      </c>
      <c r="L480" s="1273">
        <v>1</v>
      </c>
      <c r="M480" s="1247">
        <v>5400</v>
      </c>
      <c r="N480" s="1571">
        <v>2</v>
      </c>
      <c r="O480" s="1273">
        <v>6</v>
      </c>
      <c r="P480" s="1247">
        <v>13500</v>
      </c>
    </row>
    <row r="481" spans="1:16" ht="36">
      <c r="A481" s="1245" t="s">
        <v>5510</v>
      </c>
      <c r="B481" s="1246" t="s">
        <v>1880</v>
      </c>
      <c r="C481" s="1246" t="s">
        <v>504</v>
      </c>
      <c r="D481" s="1200" t="s">
        <v>5537</v>
      </c>
      <c r="E481" s="1247">
        <v>11000</v>
      </c>
      <c r="F481" s="1549" t="s">
        <v>5578</v>
      </c>
      <c r="G481" s="1503" t="s">
        <v>5577</v>
      </c>
      <c r="H481" s="1503" t="s">
        <v>5576</v>
      </c>
      <c r="I481" s="1570" t="s">
        <v>507</v>
      </c>
      <c r="J481" s="1550" t="s">
        <v>5576</v>
      </c>
      <c r="K481" s="1571">
        <v>2</v>
      </c>
      <c r="L481" s="1273">
        <v>6</v>
      </c>
      <c r="M481" s="1247">
        <v>66000</v>
      </c>
      <c r="N481" s="1571">
        <v>2</v>
      </c>
      <c r="O481" s="1273">
        <v>6</v>
      </c>
      <c r="P481" s="1247">
        <v>33000</v>
      </c>
    </row>
    <row r="482" spans="1:16">
      <c r="A482" s="1245" t="s">
        <v>5510</v>
      </c>
      <c r="B482" s="1246" t="s">
        <v>1880</v>
      </c>
      <c r="C482" s="1246" t="s">
        <v>504</v>
      </c>
      <c r="D482" s="1200" t="s">
        <v>5575</v>
      </c>
      <c r="E482" s="1247">
        <v>10000</v>
      </c>
      <c r="F482" s="1549" t="s">
        <v>5574</v>
      </c>
      <c r="G482" s="1503" t="s">
        <v>5573</v>
      </c>
      <c r="H482" s="1503" t="s">
        <v>526</v>
      </c>
      <c r="I482" s="1570" t="s">
        <v>5506</v>
      </c>
      <c r="J482" s="1550" t="s">
        <v>526</v>
      </c>
      <c r="K482" s="1571">
        <v>2</v>
      </c>
      <c r="L482" s="1273">
        <v>6</v>
      </c>
      <c r="M482" s="1247">
        <v>60000</v>
      </c>
      <c r="N482" s="1571">
        <v>2</v>
      </c>
      <c r="O482" s="1273">
        <v>6</v>
      </c>
      <c r="P482" s="1247">
        <v>30000</v>
      </c>
    </row>
    <row r="483" spans="1:16" ht="24">
      <c r="A483" s="1245" t="s">
        <v>5510</v>
      </c>
      <c r="B483" s="1246" t="s">
        <v>1880</v>
      </c>
      <c r="C483" s="1246" t="s">
        <v>504</v>
      </c>
      <c r="D483" s="1200" t="s">
        <v>5572</v>
      </c>
      <c r="E483" s="1247">
        <v>2000</v>
      </c>
      <c r="F483" s="1549" t="s">
        <v>5571</v>
      </c>
      <c r="G483" s="1503" t="s">
        <v>5570</v>
      </c>
      <c r="H483" s="1503" t="s">
        <v>3836</v>
      </c>
      <c r="I483" s="1570" t="s">
        <v>499</v>
      </c>
      <c r="J483" s="1550" t="s">
        <v>519</v>
      </c>
      <c r="K483" s="1571">
        <v>2</v>
      </c>
      <c r="L483" s="1273">
        <v>6</v>
      </c>
      <c r="M483" s="1247">
        <v>12000</v>
      </c>
      <c r="N483" s="1571">
        <v>2</v>
      </c>
      <c r="O483" s="1273">
        <v>6</v>
      </c>
      <c r="P483" s="1247">
        <v>6000</v>
      </c>
    </row>
    <row r="484" spans="1:16" ht="24">
      <c r="A484" s="1245" t="s">
        <v>5510</v>
      </c>
      <c r="B484" s="1246" t="s">
        <v>1880</v>
      </c>
      <c r="C484" s="1246" t="s">
        <v>504</v>
      </c>
      <c r="D484" s="1200" t="s">
        <v>5569</v>
      </c>
      <c r="E484" s="1247">
        <v>5500</v>
      </c>
      <c r="F484" s="1549" t="s">
        <v>5568</v>
      </c>
      <c r="G484" s="1503" t="s">
        <v>5567</v>
      </c>
      <c r="H484" s="1503" t="s">
        <v>1571</v>
      </c>
      <c r="I484" s="1570" t="s">
        <v>5516</v>
      </c>
      <c r="J484" s="1550" t="s">
        <v>519</v>
      </c>
      <c r="K484" s="1571">
        <v>2</v>
      </c>
      <c r="L484" s="1273">
        <v>5</v>
      </c>
      <c r="M484" s="1247">
        <v>26000</v>
      </c>
      <c r="N484" s="1571">
        <v>2</v>
      </c>
      <c r="O484" s="1273">
        <v>6</v>
      </c>
      <c r="P484" s="1247">
        <v>16500</v>
      </c>
    </row>
    <row r="485" spans="1:16">
      <c r="A485" s="1245" t="s">
        <v>5510</v>
      </c>
      <c r="B485" s="1246" t="s">
        <v>1880</v>
      </c>
      <c r="C485" s="1246" t="s">
        <v>504</v>
      </c>
      <c r="D485" s="1200" t="s">
        <v>5566</v>
      </c>
      <c r="E485" s="1247">
        <v>6500</v>
      </c>
      <c r="F485" s="1549" t="s">
        <v>5565</v>
      </c>
      <c r="G485" s="1503" t="s">
        <v>5564</v>
      </c>
      <c r="H485" s="1503" t="s">
        <v>4244</v>
      </c>
      <c r="I485" s="1570" t="s">
        <v>5563</v>
      </c>
      <c r="J485" s="1550" t="s">
        <v>519</v>
      </c>
      <c r="K485" s="1571">
        <v>1</v>
      </c>
      <c r="L485" s="1273">
        <v>1</v>
      </c>
      <c r="M485" s="1247">
        <v>7366.67</v>
      </c>
      <c r="N485" s="1571">
        <v>0</v>
      </c>
      <c r="O485" s="1273">
        <v>0</v>
      </c>
      <c r="P485" s="1247">
        <v>0</v>
      </c>
    </row>
    <row r="486" spans="1:16">
      <c r="A486" s="1245" t="s">
        <v>5510</v>
      </c>
      <c r="B486" s="1246" t="s">
        <v>1880</v>
      </c>
      <c r="C486" s="1246" t="s">
        <v>504</v>
      </c>
      <c r="D486" s="1200" t="s">
        <v>5562</v>
      </c>
      <c r="E486" s="1247">
        <v>3000</v>
      </c>
      <c r="F486" s="1549" t="s">
        <v>5561</v>
      </c>
      <c r="G486" s="1503" t="s">
        <v>5560</v>
      </c>
      <c r="H486" s="1503" t="s">
        <v>5190</v>
      </c>
      <c r="I486" s="1570" t="s">
        <v>5506</v>
      </c>
      <c r="J486" s="1550" t="s">
        <v>515</v>
      </c>
      <c r="K486" s="1571">
        <v>2</v>
      </c>
      <c r="L486" s="1273">
        <v>6</v>
      </c>
      <c r="M486" s="1247">
        <v>18000</v>
      </c>
      <c r="N486" s="1571">
        <v>2</v>
      </c>
      <c r="O486" s="1273">
        <v>6</v>
      </c>
      <c r="P486" s="1247">
        <v>9000</v>
      </c>
    </row>
    <row r="487" spans="1:16" ht="24">
      <c r="A487" s="1245" t="s">
        <v>5510</v>
      </c>
      <c r="B487" s="1246" t="s">
        <v>1880</v>
      </c>
      <c r="C487" s="1246" t="s">
        <v>504</v>
      </c>
      <c r="D487" s="1200" t="s">
        <v>5559</v>
      </c>
      <c r="E487" s="1247">
        <v>2000</v>
      </c>
      <c r="F487" s="1549" t="s">
        <v>5558</v>
      </c>
      <c r="G487" s="1503" t="s">
        <v>5557</v>
      </c>
      <c r="H487" s="1503" t="s">
        <v>619</v>
      </c>
      <c r="I487" s="1570" t="s">
        <v>619</v>
      </c>
      <c r="J487" s="1550" t="s">
        <v>619</v>
      </c>
      <c r="K487" s="1571">
        <v>2</v>
      </c>
      <c r="L487" s="1273">
        <v>6</v>
      </c>
      <c r="M487" s="1247">
        <v>12000</v>
      </c>
      <c r="N487" s="1571">
        <v>2</v>
      </c>
      <c r="O487" s="1273">
        <v>6</v>
      </c>
      <c r="P487" s="1247">
        <v>6000</v>
      </c>
    </row>
    <row r="488" spans="1:16" ht="24">
      <c r="A488" s="1245" t="s">
        <v>5510</v>
      </c>
      <c r="B488" s="1246" t="s">
        <v>1880</v>
      </c>
      <c r="C488" s="1246" t="s">
        <v>504</v>
      </c>
      <c r="D488" s="1200" t="s">
        <v>1688</v>
      </c>
      <c r="E488" s="1247">
        <v>3000</v>
      </c>
      <c r="F488" s="1549" t="s">
        <v>5556</v>
      </c>
      <c r="G488" s="1503" t="s">
        <v>5555</v>
      </c>
      <c r="H488" s="1503" t="s">
        <v>5554</v>
      </c>
      <c r="I488" s="1570" t="s">
        <v>507</v>
      </c>
      <c r="J488" s="1550" t="s">
        <v>1719</v>
      </c>
      <c r="K488" s="1571">
        <v>2</v>
      </c>
      <c r="L488" s="1273">
        <v>6</v>
      </c>
      <c r="M488" s="1247">
        <v>18000</v>
      </c>
      <c r="N488" s="1571">
        <v>2</v>
      </c>
      <c r="O488" s="1273">
        <v>6</v>
      </c>
      <c r="P488" s="1247">
        <v>9000</v>
      </c>
    </row>
    <row r="489" spans="1:16">
      <c r="A489" s="1245" t="s">
        <v>5510</v>
      </c>
      <c r="B489" s="1246" t="s">
        <v>1880</v>
      </c>
      <c r="C489" s="1246" t="s">
        <v>504</v>
      </c>
      <c r="D489" s="1200" t="s">
        <v>622</v>
      </c>
      <c r="E489" s="1247">
        <v>2000</v>
      </c>
      <c r="F489" s="1549" t="s">
        <v>5553</v>
      </c>
      <c r="G489" s="1503" t="s">
        <v>5552</v>
      </c>
      <c r="H489" s="1503" t="s">
        <v>619</v>
      </c>
      <c r="I489" s="1570" t="s">
        <v>619</v>
      </c>
      <c r="J489" s="1550" t="s">
        <v>619</v>
      </c>
      <c r="K489" s="1571">
        <v>2</v>
      </c>
      <c r="L489" s="1273">
        <v>6</v>
      </c>
      <c r="M489" s="1247">
        <v>12000</v>
      </c>
      <c r="N489" s="1571">
        <v>2</v>
      </c>
      <c r="O489" s="1273">
        <v>6</v>
      </c>
      <c r="P489" s="1247">
        <v>6000</v>
      </c>
    </row>
    <row r="490" spans="1:16">
      <c r="A490" s="1245" t="s">
        <v>5510</v>
      </c>
      <c r="B490" s="1246" t="s">
        <v>1880</v>
      </c>
      <c r="C490" s="1246" t="s">
        <v>504</v>
      </c>
      <c r="D490" s="1200" t="s">
        <v>511</v>
      </c>
      <c r="E490" s="1247">
        <v>6000</v>
      </c>
      <c r="F490" s="1549" t="s">
        <v>5551</v>
      </c>
      <c r="G490" s="1503" t="s">
        <v>5550</v>
      </c>
      <c r="H490" s="1503" t="s">
        <v>511</v>
      </c>
      <c r="I490" s="1570" t="s">
        <v>5516</v>
      </c>
      <c r="J490" s="1550" t="s">
        <v>5549</v>
      </c>
      <c r="K490" s="1571">
        <v>1</v>
      </c>
      <c r="L490" s="1273">
        <v>1</v>
      </c>
      <c r="M490" s="1247">
        <v>8400</v>
      </c>
      <c r="N490" s="1571">
        <v>0</v>
      </c>
      <c r="O490" s="1273">
        <v>0</v>
      </c>
      <c r="P490" s="1247">
        <v>0</v>
      </c>
    </row>
    <row r="491" spans="1:16" ht="24">
      <c r="A491" s="1245" t="s">
        <v>5510</v>
      </c>
      <c r="B491" s="1246" t="s">
        <v>1880</v>
      </c>
      <c r="C491" s="1246" t="s">
        <v>504</v>
      </c>
      <c r="D491" s="1200" t="s">
        <v>1145</v>
      </c>
      <c r="E491" s="1247">
        <v>7500</v>
      </c>
      <c r="F491" s="1549" t="s">
        <v>5548</v>
      </c>
      <c r="G491" s="1503" t="s">
        <v>5547</v>
      </c>
      <c r="H491" s="1503" t="s">
        <v>759</v>
      </c>
      <c r="I491" s="1570" t="s">
        <v>5506</v>
      </c>
      <c r="J491" s="1550" t="s">
        <v>759</v>
      </c>
      <c r="K491" s="1571">
        <v>2</v>
      </c>
      <c r="L491" s="1273">
        <v>6</v>
      </c>
      <c r="M491" s="1247">
        <v>54000</v>
      </c>
      <c r="N491" s="1571">
        <v>2</v>
      </c>
      <c r="O491" s="1273">
        <v>6</v>
      </c>
      <c r="P491" s="1247">
        <v>27000</v>
      </c>
    </row>
    <row r="492" spans="1:16">
      <c r="A492" s="1245" t="s">
        <v>5510</v>
      </c>
      <c r="B492" s="1246" t="s">
        <v>1880</v>
      </c>
      <c r="C492" s="1246" t="s">
        <v>504</v>
      </c>
      <c r="D492" s="1200" t="s">
        <v>5546</v>
      </c>
      <c r="E492" s="1247">
        <v>3000</v>
      </c>
      <c r="F492" s="1549" t="s">
        <v>5545</v>
      </c>
      <c r="G492" s="1503" t="s">
        <v>5544</v>
      </c>
      <c r="H492" s="1503" t="s">
        <v>759</v>
      </c>
      <c r="I492" s="1570" t="s">
        <v>547</v>
      </c>
      <c r="J492" s="1550" t="s">
        <v>547</v>
      </c>
      <c r="K492" s="1571">
        <v>2</v>
      </c>
      <c r="L492" s="1273">
        <v>6</v>
      </c>
      <c r="M492" s="1247">
        <v>17993.330000000002</v>
      </c>
      <c r="N492" s="1571">
        <v>2</v>
      </c>
      <c r="O492" s="1273">
        <v>6</v>
      </c>
      <c r="P492" s="1247">
        <v>9000</v>
      </c>
    </row>
    <row r="493" spans="1:16">
      <c r="A493" s="1245" t="s">
        <v>5510</v>
      </c>
      <c r="B493" s="1246" t="s">
        <v>1880</v>
      </c>
      <c r="C493" s="1246" t="s">
        <v>504</v>
      </c>
      <c r="D493" s="1200" t="s">
        <v>5531</v>
      </c>
      <c r="E493" s="1247">
        <v>4500</v>
      </c>
      <c r="F493" s="1549" t="s">
        <v>5543</v>
      </c>
      <c r="G493" s="1503" t="s">
        <v>5542</v>
      </c>
      <c r="H493" s="1503" t="s">
        <v>5541</v>
      </c>
      <c r="I493" s="1570" t="s">
        <v>5506</v>
      </c>
      <c r="J493" s="1550" t="s">
        <v>5541</v>
      </c>
      <c r="K493" s="1571">
        <v>2</v>
      </c>
      <c r="L493" s="1273">
        <v>6</v>
      </c>
      <c r="M493" s="1247">
        <v>27000</v>
      </c>
      <c r="N493" s="1571">
        <v>2</v>
      </c>
      <c r="O493" s="1273">
        <v>6</v>
      </c>
      <c r="P493" s="1247">
        <v>13500</v>
      </c>
    </row>
    <row r="494" spans="1:16" ht="24">
      <c r="A494" s="1245" t="s">
        <v>5510</v>
      </c>
      <c r="B494" s="1246" t="s">
        <v>1880</v>
      </c>
      <c r="C494" s="1246" t="s">
        <v>504</v>
      </c>
      <c r="D494" s="1200" t="s">
        <v>5540</v>
      </c>
      <c r="E494" s="1247">
        <v>8000</v>
      </c>
      <c r="F494" s="1549" t="s">
        <v>5539</v>
      </c>
      <c r="G494" s="1503" t="s">
        <v>5538</v>
      </c>
      <c r="H494" s="1503" t="s">
        <v>534</v>
      </c>
      <c r="I494" s="1570" t="s">
        <v>5506</v>
      </c>
      <c r="J494" s="1550" t="s">
        <v>534</v>
      </c>
      <c r="K494" s="1571">
        <v>2</v>
      </c>
      <c r="L494" s="1273">
        <v>6</v>
      </c>
      <c r="M494" s="1247">
        <v>39256.980000000003</v>
      </c>
      <c r="N494" s="1571">
        <v>2</v>
      </c>
      <c r="O494" s="1273">
        <v>6</v>
      </c>
      <c r="P494" s="1247">
        <v>21714</v>
      </c>
    </row>
    <row r="495" spans="1:16">
      <c r="A495" s="1245" t="s">
        <v>5510</v>
      </c>
      <c r="B495" s="1246" t="s">
        <v>1880</v>
      </c>
      <c r="C495" s="1246" t="s">
        <v>504</v>
      </c>
      <c r="D495" s="1200" t="s">
        <v>4339</v>
      </c>
      <c r="E495" s="1247">
        <v>12000</v>
      </c>
      <c r="F495" s="1549" t="s">
        <v>5539</v>
      </c>
      <c r="G495" s="1503" t="s">
        <v>5538</v>
      </c>
      <c r="H495" s="1503" t="s">
        <v>534</v>
      </c>
      <c r="I495" s="1570" t="s">
        <v>5516</v>
      </c>
      <c r="J495" s="1550" t="s">
        <v>534</v>
      </c>
      <c r="K495" s="1571">
        <v>1</v>
      </c>
      <c r="L495" s="1273">
        <v>2</v>
      </c>
      <c r="M495" s="1247">
        <v>12343</v>
      </c>
      <c r="N495" s="1571">
        <v>2</v>
      </c>
      <c r="O495" s="1273">
        <v>6</v>
      </c>
      <c r="P495" s="1247">
        <v>21714</v>
      </c>
    </row>
    <row r="496" spans="1:16" ht="36">
      <c r="A496" s="1245" t="s">
        <v>5510</v>
      </c>
      <c r="B496" s="1246" t="s">
        <v>1880</v>
      </c>
      <c r="C496" s="1246" t="s">
        <v>504</v>
      </c>
      <c r="D496" s="1200" t="s">
        <v>5537</v>
      </c>
      <c r="E496" s="1247">
        <v>11000</v>
      </c>
      <c r="F496" s="1549" t="s">
        <v>5536</v>
      </c>
      <c r="G496" s="1503" t="s">
        <v>5535</v>
      </c>
      <c r="H496" s="1503" t="s">
        <v>5534</v>
      </c>
      <c r="I496" s="1570" t="s">
        <v>5506</v>
      </c>
      <c r="J496" s="1550" t="s">
        <v>5534</v>
      </c>
      <c r="K496" s="1571">
        <v>2</v>
      </c>
      <c r="L496" s="1273">
        <v>6</v>
      </c>
      <c r="M496" s="1247">
        <v>66000</v>
      </c>
      <c r="N496" s="1571">
        <v>2</v>
      </c>
      <c r="O496" s="1273">
        <v>6</v>
      </c>
      <c r="P496" s="1247">
        <v>33000</v>
      </c>
    </row>
    <row r="497" spans="1:16" ht="24">
      <c r="A497" s="1245" t="s">
        <v>5510</v>
      </c>
      <c r="B497" s="1246" t="s">
        <v>1880</v>
      </c>
      <c r="C497" s="1246" t="s">
        <v>504</v>
      </c>
      <c r="D497" s="1200" t="s">
        <v>1910</v>
      </c>
      <c r="E497" s="1247">
        <v>3000</v>
      </c>
      <c r="F497" s="1549" t="s">
        <v>5533</v>
      </c>
      <c r="G497" s="1503" t="s">
        <v>5532</v>
      </c>
      <c r="H497" s="1503" t="s">
        <v>1719</v>
      </c>
      <c r="I497" s="1570" t="s">
        <v>547</v>
      </c>
      <c r="J497" s="1550" t="s">
        <v>547</v>
      </c>
      <c r="K497" s="1571">
        <v>2</v>
      </c>
      <c r="L497" s="1273">
        <v>6</v>
      </c>
      <c r="M497" s="1247">
        <v>17957.919999999998</v>
      </c>
      <c r="N497" s="1571">
        <v>2</v>
      </c>
      <c r="O497" s="1273">
        <v>6</v>
      </c>
      <c r="P497" s="1247">
        <v>9000</v>
      </c>
    </row>
    <row r="498" spans="1:16">
      <c r="A498" s="1245" t="s">
        <v>5510</v>
      </c>
      <c r="B498" s="1246" t="s">
        <v>1880</v>
      </c>
      <c r="C498" s="1246" t="s">
        <v>504</v>
      </c>
      <c r="D498" s="1200" t="s">
        <v>5531</v>
      </c>
      <c r="E498" s="1247">
        <v>4000</v>
      </c>
      <c r="F498" s="1549" t="s">
        <v>5530</v>
      </c>
      <c r="G498" s="1503" t="s">
        <v>5529</v>
      </c>
      <c r="H498" s="1503" t="s">
        <v>1842</v>
      </c>
      <c r="I498" s="1570" t="s">
        <v>5506</v>
      </c>
      <c r="J498" s="1550" t="s">
        <v>526</v>
      </c>
      <c r="K498" s="1571">
        <v>2</v>
      </c>
      <c r="L498" s="1273">
        <v>6</v>
      </c>
      <c r="M498" s="1247">
        <v>24000</v>
      </c>
      <c r="N498" s="1571">
        <v>2</v>
      </c>
      <c r="O498" s="1273">
        <v>6</v>
      </c>
      <c r="P498" s="1247">
        <v>12000</v>
      </c>
    </row>
    <row r="499" spans="1:16" ht="36">
      <c r="A499" s="1245" t="s">
        <v>5510</v>
      </c>
      <c r="B499" s="1246" t="s">
        <v>1880</v>
      </c>
      <c r="C499" s="1246" t="s">
        <v>504</v>
      </c>
      <c r="D499" s="1200" t="s">
        <v>5528</v>
      </c>
      <c r="E499" s="1247">
        <v>3500</v>
      </c>
      <c r="F499" s="1549" t="s">
        <v>5527</v>
      </c>
      <c r="G499" s="1503" t="s">
        <v>5526</v>
      </c>
      <c r="H499" s="1503" t="s">
        <v>5173</v>
      </c>
      <c r="I499" s="1570" t="s">
        <v>5525</v>
      </c>
      <c r="J499" s="1550" t="s">
        <v>5173</v>
      </c>
      <c r="K499" s="1571">
        <v>1</v>
      </c>
      <c r="L499" s="1273">
        <v>1</v>
      </c>
      <c r="M499" s="1247">
        <v>4666.67</v>
      </c>
      <c r="N499" s="1571">
        <v>2</v>
      </c>
      <c r="O499" s="1273">
        <v>6</v>
      </c>
      <c r="P499" s="1247">
        <v>10346.130000000001</v>
      </c>
    </row>
    <row r="500" spans="1:16" ht="36">
      <c r="A500" s="1245" t="s">
        <v>5510</v>
      </c>
      <c r="B500" s="1246" t="s">
        <v>1880</v>
      </c>
      <c r="C500" s="1246" t="s">
        <v>504</v>
      </c>
      <c r="D500" s="1200" t="s">
        <v>5524</v>
      </c>
      <c r="E500" s="1247">
        <v>2000</v>
      </c>
      <c r="F500" s="1549" t="s">
        <v>5523</v>
      </c>
      <c r="G500" s="1503" t="s">
        <v>5522</v>
      </c>
      <c r="H500" s="1503" t="s">
        <v>5521</v>
      </c>
      <c r="I500" s="1570" t="s">
        <v>499</v>
      </c>
      <c r="J500" s="1550" t="s">
        <v>5521</v>
      </c>
      <c r="K500" s="1571">
        <v>2</v>
      </c>
      <c r="L500" s="1273">
        <v>6</v>
      </c>
      <c r="M500" s="1247">
        <v>12000</v>
      </c>
      <c r="N500" s="1571">
        <v>2</v>
      </c>
      <c r="O500" s="1273">
        <v>6</v>
      </c>
      <c r="P500" s="1247">
        <v>6000</v>
      </c>
    </row>
    <row r="501" spans="1:16" ht="24">
      <c r="A501" s="1245" t="s">
        <v>5510</v>
      </c>
      <c r="B501" s="1246" t="s">
        <v>1880</v>
      </c>
      <c r="C501" s="1246" t="s">
        <v>504</v>
      </c>
      <c r="D501" s="1200" t="s">
        <v>5520</v>
      </c>
      <c r="E501" s="1247">
        <v>5000</v>
      </c>
      <c r="F501" s="1549" t="s">
        <v>5519</v>
      </c>
      <c r="G501" s="1503" t="s">
        <v>5518</v>
      </c>
      <c r="H501" s="1503" t="s">
        <v>5517</v>
      </c>
      <c r="I501" s="1570" t="s">
        <v>5516</v>
      </c>
      <c r="J501" s="1550" t="s">
        <v>5515</v>
      </c>
      <c r="K501" s="1571">
        <v>2</v>
      </c>
      <c r="L501" s="1273">
        <v>4</v>
      </c>
      <c r="M501" s="1247">
        <v>18435.07</v>
      </c>
      <c r="N501" s="1571">
        <v>2</v>
      </c>
      <c r="O501" s="1273">
        <v>6</v>
      </c>
      <c r="P501" s="1247">
        <v>14903.99</v>
      </c>
    </row>
    <row r="502" spans="1:16">
      <c r="A502" s="1245" t="s">
        <v>5510</v>
      </c>
      <c r="B502" s="1246" t="s">
        <v>1880</v>
      </c>
      <c r="C502" s="1246" t="s">
        <v>504</v>
      </c>
      <c r="D502" s="1200" t="s">
        <v>622</v>
      </c>
      <c r="E502" s="1247">
        <v>2000</v>
      </c>
      <c r="F502" s="1549" t="s">
        <v>5514</v>
      </c>
      <c r="G502" s="1503" t="s">
        <v>5513</v>
      </c>
      <c r="H502" s="1503" t="s">
        <v>619</v>
      </c>
      <c r="I502" s="1570" t="s">
        <v>619</v>
      </c>
      <c r="J502" s="1550" t="s">
        <v>619</v>
      </c>
      <c r="K502" s="1571">
        <v>2</v>
      </c>
      <c r="L502" s="1273">
        <v>6</v>
      </c>
      <c r="M502" s="1247">
        <v>12000</v>
      </c>
      <c r="N502" s="1571">
        <v>2</v>
      </c>
      <c r="O502" s="1273">
        <v>6</v>
      </c>
      <c r="P502" s="1247">
        <v>6000</v>
      </c>
    </row>
    <row r="503" spans="1:16" ht="12.75" thickBot="1">
      <c r="A503" s="1409" t="s">
        <v>5510</v>
      </c>
      <c r="B503" s="1581" t="s">
        <v>1880</v>
      </c>
      <c r="C503" s="1581" t="s">
        <v>504</v>
      </c>
      <c r="D503" s="1410" t="s">
        <v>511</v>
      </c>
      <c r="E503" s="1582">
        <v>6000</v>
      </c>
      <c r="F503" s="1583" t="s">
        <v>5512</v>
      </c>
      <c r="G503" s="1584" t="s">
        <v>5511</v>
      </c>
      <c r="H503" s="1584" t="s">
        <v>511</v>
      </c>
      <c r="I503" s="1585" t="s">
        <v>5506</v>
      </c>
      <c r="J503" s="1586" t="s">
        <v>508</v>
      </c>
      <c r="K503" s="1587">
        <v>2</v>
      </c>
      <c r="L503" s="1281">
        <v>6</v>
      </c>
      <c r="M503" s="1582">
        <v>35787.89</v>
      </c>
      <c r="N503" s="1587">
        <v>2</v>
      </c>
      <c r="O503" s="1281">
        <v>6</v>
      </c>
      <c r="P503" s="1582">
        <v>17988.544999999998</v>
      </c>
    </row>
    <row r="504" spans="1:16" ht="24">
      <c r="A504" s="1588" t="s">
        <v>5510</v>
      </c>
      <c r="B504" s="1573" t="s">
        <v>1880</v>
      </c>
      <c r="C504" s="1589" t="s">
        <v>504</v>
      </c>
      <c r="D504" s="1534" t="s">
        <v>5509</v>
      </c>
      <c r="E504" s="1575">
        <v>4000</v>
      </c>
      <c r="F504" s="1576" t="s">
        <v>5508</v>
      </c>
      <c r="G504" s="1577" t="s">
        <v>5507</v>
      </c>
      <c r="H504" s="1577" t="s">
        <v>5505</v>
      </c>
      <c r="I504" s="1578" t="s">
        <v>5506</v>
      </c>
      <c r="J504" s="1537" t="s">
        <v>5505</v>
      </c>
      <c r="K504" s="1590">
        <v>1</v>
      </c>
      <c r="L504" s="1295">
        <v>2</v>
      </c>
      <c r="M504" s="1575">
        <v>8933.33</v>
      </c>
      <c r="N504" s="1590">
        <v>2</v>
      </c>
      <c r="O504" s="1295">
        <v>6</v>
      </c>
      <c r="P504" s="1575">
        <v>11997.779999999999</v>
      </c>
    </row>
    <row r="505" spans="1:16">
      <c r="A505" s="1200" t="s">
        <v>0</v>
      </c>
      <c r="B505" s="1200"/>
      <c r="C505" s="1200"/>
      <c r="D505" s="1200"/>
      <c r="E505" s="1591">
        <f>SUM(E6:E504)</f>
        <v>2376250</v>
      </c>
      <c r="F505" s="1200"/>
      <c r="G505" s="1200"/>
      <c r="H505" s="1200"/>
      <c r="I505" s="1200"/>
      <c r="J505" s="1200"/>
      <c r="K505" s="1592"/>
      <c r="L505" s="1592"/>
      <c r="M505" s="1592">
        <f>SUM(M6:M504)</f>
        <v>11289320.240000006</v>
      </c>
      <c r="N505" s="1592"/>
      <c r="O505" s="1592"/>
      <c r="P505" s="1592">
        <f>SUM(P6:P504)</f>
        <v>5527537.8099999987</v>
      </c>
    </row>
    <row r="506" spans="1:16">
      <c r="A506" s="265" t="s">
        <v>449</v>
      </c>
    </row>
  </sheetData>
  <mergeCells count="4">
    <mergeCell ref="A4:E4"/>
    <mergeCell ref="F4:J4"/>
    <mergeCell ref="K4:M4"/>
    <mergeCell ref="N4:P4"/>
  </mergeCells>
  <printOptions horizontalCentered="1"/>
  <pageMargins left="0.19685039370078741" right="0.19685039370078741" top="0.78740157480314965" bottom="0.78740157480314965" header="0.19685039370078741" footer="0.19685039370078741"/>
  <pageSetup paperSize="9" scale="62" fitToHeight="100" orientation="landscape" r:id="rId1"/>
  <headerFooter>
    <oddHeader>&amp;C&amp;"Arial,Negrita"&amp;20PROYECTO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C00000"/>
    <pageSetUpPr fitToPage="1"/>
  </sheetPr>
  <dimension ref="A1:S327"/>
  <sheetViews>
    <sheetView view="pageBreakPreview" zoomScaleNormal="100" zoomScaleSheetLayoutView="100" zoomScalePageLayoutView="85" workbookViewId="0">
      <pane ySplit="5" topLeftCell="A207" activePane="bottomLeft" state="frozen"/>
      <selection activeCell="B8" sqref="B8"/>
      <selection pane="bottomLeft" activeCell="B8" sqref="B8"/>
    </sheetView>
  </sheetViews>
  <sheetFormatPr baseColWidth="10" defaultRowHeight="12"/>
  <cols>
    <col min="1" max="1" width="12.140625" style="265" customWidth="1"/>
    <col min="2" max="2" width="16" style="265" customWidth="1"/>
    <col min="3" max="3" width="23.28515625" style="265" customWidth="1"/>
    <col min="4" max="4" width="10.140625" style="265" customWidth="1"/>
    <col min="5" max="5" width="15.140625" style="265" customWidth="1"/>
    <col min="6" max="6" width="17.140625" style="265" customWidth="1"/>
    <col min="7" max="7" width="12.28515625" style="276" bestFit="1" customWidth="1"/>
    <col min="8" max="8" width="6.7109375" style="276" customWidth="1"/>
    <col min="9" max="9" width="10.85546875" style="265" customWidth="1"/>
    <col min="10" max="10" width="11.140625" style="265" customWidth="1"/>
    <col min="11" max="11" width="9.7109375" style="265" customWidth="1"/>
    <col min="12" max="12" width="13.85546875" style="265" customWidth="1"/>
    <col min="13" max="13" width="11" style="265" customWidth="1"/>
    <col min="14" max="14" width="10.42578125" style="265" customWidth="1"/>
    <col min="15" max="16384" width="11.42578125" style="265"/>
  </cols>
  <sheetData>
    <row r="1" spans="1:19" s="275" customFormat="1">
      <c r="A1" s="275" t="s">
        <v>474</v>
      </c>
    </row>
    <row r="2" spans="1:19" s="264" customFormat="1">
      <c r="A2" s="69" t="s">
        <v>382</v>
      </c>
      <c r="B2" s="69"/>
      <c r="C2" s="69"/>
      <c r="D2" s="69"/>
      <c r="E2" s="69"/>
      <c r="F2" s="69"/>
      <c r="G2" s="69"/>
      <c r="H2" s="69"/>
      <c r="I2" s="69"/>
      <c r="J2" s="69"/>
      <c r="K2" s="69"/>
      <c r="L2" s="69"/>
      <c r="M2" s="69"/>
      <c r="N2" s="69"/>
      <c r="O2" s="69"/>
      <c r="P2" s="69"/>
      <c r="Q2" s="69"/>
      <c r="R2" s="69"/>
      <c r="S2" s="69"/>
    </row>
    <row r="4" spans="1:19" s="277" customFormat="1">
      <c r="A4" s="2085" t="s">
        <v>279</v>
      </c>
      <c r="B4" s="2085"/>
      <c r="C4" s="2085" t="s">
        <v>280</v>
      </c>
      <c r="D4" s="2085"/>
      <c r="E4" s="2085" t="s">
        <v>283</v>
      </c>
      <c r="F4" s="2085"/>
      <c r="G4" s="2085"/>
      <c r="H4" s="2085"/>
      <c r="I4" s="2085"/>
      <c r="J4" s="2085" t="s">
        <v>284</v>
      </c>
      <c r="K4" s="2085"/>
      <c r="L4" s="2085"/>
      <c r="M4" s="2085" t="s">
        <v>488</v>
      </c>
      <c r="N4" s="2085" t="s">
        <v>489</v>
      </c>
    </row>
    <row r="5" spans="1:19" s="278" customFormat="1" ht="72">
      <c r="A5" s="1884" t="s">
        <v>93</v>
      </c>
      <c r="B5" s="1884" t="s">
        <v>94</v>
      </c>
      <c r="C5" s="1884" t="s">
        <v>282</v>
      </c>
      <c r="D5" s="1884" t="s">
        <v>281</v>
      </c>
      <c r="E5" s="1884" t="s">
        <v>287</v>
      </c>
      <c r="F5" s="1884" t="s">
        <v>288</v>
      </c>
      <c r="G5" s="1885" t="s">
        <v>289</v>
      </c>
      <c r="H5" s="1885" t="s">
        <v>290</v>
      </c>
      <c r="I5" s="1885" t="s">
        <v>24</v>
      </c>
      <c r="J5" s="1884" t="s">
        <v>285</v>
      </c>
      <c r="K5" s="1884" t="s">
        <v>286</v>
      </c>
      <c r="L5" s="1884" t="s">
        <v>291</v>
      </c>
      <c r="M5" s="2085"/>
      <c r="N5" s="2085"/>
    </row>
    <row r="6" spans="1:19" s="312" customFormat="1">
      <c r="A6" s="2084" t="s">
        <v>384</v>
      </c>
      <c r="B6" s="2084"/>
      <c r="C6" s="2084"/>
      <c r="D6" s="2084"/>
      <c r="E6" s="2084"/>
      <c r="F6" s="2084"/>
      <c r="G6" s="2084"/>
      <c r="H6" s="2084"/>
      <c r="I6" s="2084"/>
      <c r="J6" s="2084"/>
      <c r="K6" s="2084"/>
      <c r="L6" s="2084"/>
      <c r="M6" s="2084"/>
      <c r="N6" s="2084"/>
    </row>
    <row r="7" spans="1:19" s="312" customFormat="1">
      <c r="A7" s="2062" t="s">
        <v>7471</v>
      </c>
      <c r="B7" s="2062"/>
      <c r="C7" s="2062"/>
      <c r="D7" s="2062"/>
      <c r="E7" s="2062"/>
      <c r="F7" s="2062"/>
      <c r="G7" s="2062"/>
      <c r="H7" s="2062"/>
      <c r="I7" s="2062"/>
      <c r="J7" s="2062"/>
      <c r="K7" s="2062"/>
      <c r="L7" s="2062"/>
      <c r="M7" s="2062"/>
      <c r="N7" s="2062"/>
    </row>
    <row r="8" spans="1:19" ht="36">
      <c r="A8" s="1886" t="s">
        <v>7468</v>
      </c>
      <c r="B8" s="1886" t="s">
        <v>7489</v>
      </c>
      <c r="C8" s="1886" t="s">
        <v>7469</v>
      </c>
      <c r="D8" s="447">
        <v>40583375</v>
      </c>
      <c r="E8" s="1886" t="s">
        <v>7461</v>
      </c>
      <c r="F8" s="1886"/>
      <c r="G8" s="1886" t="s">
        <v>7462</v>
      </c>
      <c r="H8" s="1886"/>
      <c r="I8" s="1886"/>
      <c r="J8" s="1887" t="s">
        <v>7463</v>
      </c>
      <c r="K8" s="1888">
        <v>2100</v>
      </c>
      <c r="L8" s="447" t="s">
        <v>7464</v>
      </c>
      <c r="M8" s="1888"/>
      <c r="N8" s="1888">
        <v>8400</v>
      </c>
    </row>
    <row r="9" spans="1:19" ht="36">
      <c r="A9" s="1886" t="s">
        <v>7468</v>
      </c>
      <c r="B9" s="1886" t="s">
        <v>7489</v>
      </c>
      <c r="C9" s="1886" t="s">
        <v>7470</v>
      </c>
      <c r="D9" s="447">
        <v>26241591</v>
      </c>
      <c r="E9" s="1886" t="s">
        <v>7461</v>
      </c>
      <c r="F9" s="1886"/>
      <c r="G9" s="1886" t="s">
        <v>7465</v>
      </c>
      <c r="H9" s="1886"/>
      <c r="I9" s="1886"/>
      <c r="J9" s="1887" t="s">
        <v>7466</v>
      </c>
      <c r="K9" s="1888">
        <v>2000</v>
      </c>
      <c r="L9" s="447" t="s">
        <v>7467</v>
      </c>
      <c r="M9" s="1888"/>
      <c r="N9" s="1888">
        <v>8000</v>
      </c>
    </row>
    <row r="10" spans="1:19" s="312" customFormat="1">
      <c r="A10" s="2062" t="s">
        <v>7840</v>
      </c>
      <c r="B10" s="2062"/>
      <c r="C10" s="2062"/>
      <c r="D10" s="2062"/>
      <c r="E10" s="2062"/>
      <c r="F10" s="2062"/>
      <c r="G10" s="2062"/>
      <c r="H10" s="2062"/>
      <c r="I10" s="2062"/>
      <c r="J10" s="2062"/>
      <c r="K10" s="2062"/>
      <c r="L10" s="2062"/>
      <c r="M10" s="2062"/>
      <c r="N10" s="2062"/>
    </row>
    <row r="11" spans="1:19">
      <c r="A11" s="1886"/>
      <c r="B11" s="1886"/>
      <c r="C11" s="1886"/>
      <c r="D11" s="447"/>
      <c r="E11" s="1886"/>
      <c r="F11" s="1886"/>
      <c r="G11" s="1886"/>
      <c r="H11" s="1886"/>
      <c r="I11" s="1886"/>
      <c r="J11" s="1887"/>
      <c r="K11" s="1888"/>
      <c r="L11" s="447"/>
      <c r="M11" s="1888"/>
      <c r="N11" s="1888"/>
    </row>
    <row r="12" spans="1:19">
      <c r="A12" s="1886"/>
      <c r="B12" s="1886"/>
      <c r="C12" s="1886"/>
      <c r="D12" s="447"/>
      <c r="E12" s="1886"/>
      <c r="F12" s="1886"/>
      <c r="G12" s="1886"/>
      <c r="H12" s="1886"/>
      <c r="I12" s="1886"/>
      <c r="J12" s="1887"/>
      <c r="K12" s="1888"/>
      <c r="L12" s="447"/>
      <c r="M12" s="1888"/>
      <c r="N12" s="1888"/>
    </row>
    <row r="13" spans="1:19">
      <c r="A13" s="1886"/>
      <c r="B13" s="1886"/>
      <c r="C13" s="1886"/>
      <c r="D13" s="447"/>
      <c r="E13" s="1886"/>
      <c r="F13" s="1886"/>
      <c r="G13" s="1886"/>
      <c r="H13" s="1886"/>
      <c r="I13" s="1886"/>
      <c r="J13" s="1887"/>
      <c r="K13" s="1888"/>
      <c r="L13" s="447"/>
      <c r="M13" s="1888"/>
      <c r="N13" s="1888"/>
    </row>
    <row r="14" spans="1:19">
      <c r="A14" s="1886"/>
      <c r="B14" s="1886"/>
      <c r="C14" s="1886"/>
      <c r="D14" s="447"/>
      <c r="E14" s="1886"/>
      <c r="F14" s="1886"/>
      <c r="G14" s="1886"/>
      <c r="H14" s="1886"/>
      <c r="I14" s="1886"/>
      <c r="J14" s="1887"/>
      <c r="K14" s="1888"/>
      <c r="L14" s="447"/>
      <c r="M14" s="1888"/>
      <c r="N14" s="1888"/>
    </row>
    <row r="15" spans="1:19">
      <c r="A15" s="2062" t="s">
        <v>7956</v>
      </c>
      <c r="B15" s="2062"/>
      <c r="C15" s="2062"/>
      <c r="D15" s="2062"/>
      <c r="E15" s="2062"/>
      <c r="F15" s="2062"/>
      <c r="G15" s="2062"/>
      <c r="H15" s="2062"/>
      <c r="I15" s="2062"/>
      <c r="J15" s="2062"/>
      <c r="K15" s="2062"/>
      <c r="L15" s="2062"/>
      <c r="M15" s="2062"/>
      <c r="N15" s="2062"/>
    </row>
    <row r="16" spans="1:19" ht="48">
      <c r="A16" s="1889" t="s">
        <v>7957</v>
      </c>
      <c r="B16" s="1889" t="s">
        <v>355</v>
      </c>
      <c r="C16" s="1889" t="s">
        <v>7958</v>
      </c>
      <c r="D16" s="1890" t="s">
        <v>7959</v>
      </c>
      <c r="E16" s="1889" t="s">
        <v>7960</v>
      </c>
      <c r="F16" s="1890" t="s">
        <v>7959</v>
      </c>
      <c r="G16" s="1889">
        <v>140</v>
      </c>
      <c r="H16" s="1889">
        <v>1</v>
      </c>
      <c r="I16" s="1890" t="s">
        <v>7961</v>
      </c>
      <c r="J16" s="1890" t="s">
        <v>7962</v>
      </c>
      <c r="K16" s="1891">
        <v>6400</v>
      </c>
      <c r="L16" s="1892" t="s">
        <v>1656</v>
      </c>
      <c r="M16" s="1892">
        <f>+K16*12</f>
        <v>76800</v>
      </c>
      <c r="N16" s="1891">
        <f>+K16*6</f>
        <v>38400</v>
      </c>
    </row>
    <row r="17" spans="1:14" ht="24">
      <c r="A17" s="1889" t="s">
        <v>7957</v>
      </c>
      <c r="B17" s="1889" t="s">
        <v>355</v>
      </c>
      <c r="C17" s="1889" t="s">
        <v>7963</v>
      </c>
      <c r="D17" s="1890">
        <v>4018993</v>
      </c>
      <c r="E17" s="1889" t="s">
        <v>7964</v>
      </c>
      <c r="F17" s="1890" t="s">
        <v>7965</v>
      </c>
      <c r="G17" s="1889">
        <v>120</v>
      </c>
      <c r="H17" s="1889">
        <v>1</v>
      </c>
      <c r="I17" s="1890"/>
      <c r="J17" s="1890" t="s">
        <v>7966</v>
      </c>
      <c r="K17" s="1891">
        <v>2916.67</v>
      </c>
      <c r="L17" s="1892" t="s">
        <v>1656</v>
      </c>
      <c r="M17" s="1892">
        <f t="shared" ref="M17:M77" si="0">+K17*12</f>
        <v>35000.04</v>
      </c>
      <c r="N17" s="1891">
        <f t="shared" ref="N17:N77" si="1">+K17*6</f>
        <v>17500.02</v>
      </c>
    </row>
    <row r="18" spans="1:14" ht="24">
      <c r="A18" s="1889" t="s">
        <v>7957</v>
      </c>
      <c r="B18" s="1889" t="s">
        <v>355</v>
      </c>
      <c r="C18" s="1889" t="s">
        <v>7967</v>
      </c>
      <c r="D18" s="1890" t="s">
        <v>7968</v>
      </c>
      <c r="E18" s="1889" t="s">
        <v>7964</v>
      </c>
      <c r="F18" s="1890" t="s">
        <v>7969</v>
      </c>
      <c r="G18" s="1889">
        <v>25</v>
      </c>
      <c r="H18" s="1889" t="s">
        <v>7970</v>
      </c>
      <c r="I18" s="1890"/>
      <c r="J18" s="1890" t="s">
        <v>7971</v>
      </c>
      <c r="K18" s="1891">
        <v>500</v>
      </c>
      <c r="L18" s="1892" t="s">
        <v>1656</v>
      </c>
      <c r="M18" s="1892">
        <f t="shared" si="0"/>
        <v>6000</v>
      </c>
      <c r="N18" s="1891">
        <f t="shared" si="1"/>
        <v>3000</v>
      </c>
    </row>
    <row r="19" spans="1:14" ht="36">
      <c r="A19" s="1889" t="s">
        <v>7957</v>
      </c>
      <c r="B19" s="1889" t="s">
        <v>355</v>
      </c>
      <c r="C19" s="1889" t="s">
        <v>7972</v>
      </c>
      <c r="D19" s="1890" t="s">
        <v>7973</v>
      </c>
      <c r="E19" s="1889" t="s">
        <v>7974</v>
      </c>
      <c r="F19" s="1890" t="s">
        <v>7975</v>
      </c>
      <c r="G19" s="1889">
        <v>50</v>
      </c>
      <c r="H19" s="1889">
        <v>1</v>
      </c>
      <c r="I19" s="1890"/>
      <c r="J19" s="1890" t="s">
        <v>7976</v>
      </c>
      <c r="K19" s="1891">
        <v>1250</v>
      </c>
      <c r="L19" s="1892" t="s">
        <v>1656</v>
      </c>
      <c r="M19" s="1892">
        <f t="shared" si="0"/>
        <v>15000</v>
      </c>
      <c r="N19" s="1891">
        <f t="shared" si="1"/>
        <v>7500</v>
      </c>
    </row>
    <row r="20" spans="1:14" ht="48">
      <c r="A20" s="1889" t="s">
        <v>7957</v>
      </c>
      <c r="B20" s="1889" t="s">
        <v>355</v>
      </c>
      <c r="C20" s="1889" t="s">
        <v>7977</v>
      </c>
      <c r="D20" s="1890" t="s">
        <v>7978</v>
      </c>
      <c r="E20" s="1889" t="s">
        <v>7974</v>
      </c>
      <c r="F20" s="1890" t="s">
        <v>7978</v>
      </c>
      <c r="G20" s="1889">
        <v>52.5</v>
      </c>
      <c r="H20" s="1889">
        <v>1</v>
      </c>
      <c r="I20" s="1890"/>
      <c r="J20" s="1890" t="s">
        <v>7979</v>
      </c>
      <c r="K20" s="1891">
        <v>5545</v>
      </c>
      <c r="L20" s="1892" t="s">
        <v>1656</v>
      </c>
      <c r="M20" s="1892">
        <f t="shared" si="0"/>
        <v>66540</v>
      </c>
      <c r="N20" s="1891">
        <f t="shared" si="1"/>
        <v>33270</v>
      </c>
    </row>
    <row r="21" spans="1:14" ht="48">
      <c r="A21" s="1889" t="s">
        <v>7957</v>
      </c>
      <c r="B21" s="1889" t="s">
        <v>355</v>
      </c>
      <c r="C21" s="1889" t="s">
        <v>7980</v>
      </c>
      <c r="D21" s="1890"/>
      <c r="E21" s="1889"/>
      <c r="F21" s="1890"/>
      <c r="G21" s="1889">
        <v>98</v>
      </c>
      <c r="H21" s="1889"/>
      <c r="I21" s="1890"/>
      <c r="J21" s="1890" t="s">
        <v>7981</v>
      </c>
      <c r="K21" s="1891">
        <v>5916.67</v>
      </c>
      <c r="L21" s="1892" t="s">
        <v>1656</v>
      </c>
      <c r="M21" s="1892">
        <f t="shared" si="0"/>
        <v>71000.040000000008</v>
      </c>
      <c r="N21" s="1891">
        <f t="shared" si="1"/>
        <v>35500.020000000004</v>
      </c>
    </row>
    <row r="22" spans="1:14" ht="24">
      <c r="A22" s="1889" t="s">
        <v>7957</v>
      </c>
      <c r="B22" s="1889" t="s">
        <v>355</v>
      </c>
      <c r="C22" s="1889" t="s">
        <v>7982</v>
      </c>
      <c r="D22" s="1890"/>
      <c r="E22" s="1889"/>
      <c r="F22" s="1890"/>
      <c r="G22" s="1889">
        <v>56.82</v>
      </c>
      <c r="H22" s="1889">
        <v>2</v>
      </c>
      <c r="I22" s="1890"/>
      <c r="J22" s="1890" t="s">
        <v>7983</v>
      </c>
      <c r="K22" s="1891">
        <v>5000</v>
      </c>
      <c r="L22" s="1892" t="s">
        <v>1656</v>
      </c>
      <c r="M22" s="1892">
        <f t="shared" si="0"/>
        <v>60000</v>
      </c>
      <c r="N22" s="1891">
        <f t="shared" si="1"/>
        <v>30000</v>
      </c>
    </row>
    <row r="23" spans="1:14" ht="48">
      <c r="A23" s="1889" t="s">
        <v>7957</v>
      </c>
      <c r="B23" s="1889" t="s">
        <v>355</v>
      </c>
      <c r="C23" s="1893" t="s">
        <v>7984</v>
      </c>
      <c r="D23" s="1890" t="s">
        <v>7985</v>
      </c>
      <c r="E23" s="1893" t="s">
        <v>7986</v>
      </c>
      <c r="F23" s="1890" t="s">
        <v>7985</v>
      </c>
      <c r="G23" s="1893"/>
      <c r="H23" s="1893"/>
      <c r="I23" s="1890" t="s">
        <v>7987</v>
      </c>
      <c r="J23" s="1893" t="s">
        <v>7988</v>
      </c>
      <c r="K23" s="1892">
        <v>1725</v>
      </c>
      <c r="L23" s="1892" t="s">
        <v>1656</v>
      </c>
      <c r="M23" s="1892">
        <f t="shared" si="0"/>
        <v>20700</v>
      </c>
      <c r="N23" s="1891">
        <f t="shared" si="1"/>
        <v>10350</v>
      </c>
    </row>
    <row r="24" spans="1:14" ht="24">
      <c r="A24" s="1889" t="s">
        <v>7957</v>
      </c>
      <c r="B24" s="1889" t="s">
        <v>355</v>
      </c>
      <c r="C24" s="1889" t="s">
        <v>7989</v>
      </c>
      <c r="D24" s="1890" t="s">
        <v>7990</v>
      </c>
      <c r="E24" s="1889" t="s">
        <v>7974</v>
      </c>
      <c r="F24" s="1890"/>
      <c r="G24" s="1889">
        <v>22.5</v>
      </c>
      <c r="H24" s="1889"/>
      <c r="I24" s="1890"/>
      <c r="J24" s="1890" t="s">
        <v>7991</v>
      </c>
      <c r="K24" s="1891">
        <v>6000</v>
      </c>
      <c r="L24" s="1892" t="s">
        <v>1656</v>
      </c>
      <c r="M24" s="1892">
        <f t="shared" si="0"/>
        <v>72000</v>
      </c>
      <c r="N24" s="1891">
        <f t="shared" si="1"/>
        <v>36000</v>
      </c>
    </row>
    <row r="25" spans="1:14" ht="24">
      <c r="A25" s="1889" t="s">
        <v>7957</v>
      </c>
      <c r="B25" s="1889" t="s">
        <v>355</v>
      </c>
      <c r="C25" s="1889" t="s">
        <v>7992</v>
      </c>
      <c r="D25" s="1890"/>
      <c r="E25" s="1889" t="s">
        <v>7993</v>
      </c>
      <c r="F25" s="1890"/>
      <c r="G25" s="1889">
        <v>18</v>
      </c>
      <c r="H25" s="1889">
        <v>1</v>
      </c>
      <c r="I25" s="1890"/>
      <c r="J25" s="1890" t="s">
        <v>7994</v>
      </c>
      <c r="K25" s="1891">
        <v>3250</v>
      </c>
      <c r="L25" s="1892" t="s">
        <v>1656</v>
      </c>
      <c r="M25" s="1892">
        <f t="shared" si="0"/>
        <v>39000</v>
      </c>
      <c r="N25" s="1891">
        <f t="shared" si="1"/>
        <v>19500</v>
      </c>
    </row>
    <row r="26" spans="1:14" ht="36">
      <c r="A26" s="1889" t="s">
        <v>7957</v>
      </c>
      <c r="B26" s="1889" t="s">
        <v>355</v>
      </c>
      <c r="C26" s="1889" t="s">
        <v>7995</v>
      </c>
      <c r="D26" s="1890" t="s">
        <v>7996</v>
      </c>
      <c r="E26" s="1889" t="s">
        <v>7993</v>
      </c>
      <c r="F26" s="1890" t="s">
        <v>7997</v>
      </c>
      <c r="G26" s="1889">
        <v>60</v>
      </c>
      <c r="H26" s="1889">
        <v>1</v>
      </c>
      <c r="I26" s="1890"/>
      <c r="J26" s="1890" t="s">
        <v>7998</v>
      </c>
      <c r="K26" s="1891">
        <v>7000</v>
      </c>
      <c r="L26" s="1892" t="s">
        <v>1656</v>
      </c>
      <c r="M26" s="1892">
        <f t="shared" si="0"/>
        <v>84000</v>
      </c>
      <c r="N26" s="1891">
        <f t="shared" si="1"/>
        <v>42000</v>
      </c>
    </row>
    <row r="27" spans="1:14" ht="36">
      <c r="A27" s="1889" t="s">
        <v>7957</v>
      </c>
      <c r="B27" s="1889" t="s">
        <v>355</v>
      </c>
      <c r="C27" s="1889" t="s">
        <v>7999</v>
      </c>
      <c r="D27" s="1890" t="s">
        <v>8000</v>
      </c>
      <c r="E27" s="1889" t="s">
        <v>7974</v>
      </c>
      <c r="F27" s="1890"/>
      <c r="G27" s="1889">
        <v>77.319999999999993</v>
      </c>
      <c r="H27" s="1889"/>
      <c r="I27" s="1890" t="s">
        <v>8001</v>
      </c>
      <c r="J27" s="1890" t="s">
        <v>8002</v>
      </c>
      <c r="K27" s="1891">
        <v>5750</v>
      </c>
      <c r="L27" s="1892" t="s">
        <v>1656</v>
      </c>
      <c r="M27" s="1892">
        <f t="shared" si="0"/>
        <v>69000</v>
      </c>
      <c r="N27" s="1891">
        <f t="shared" si="1"/>
        <v>34500</v>
      </c>
    </row>
    <row r="28" spans="1:14" ht="36">
      <c r="A28" s="1889" t="s">
        <v>7957</v>
      </c>
      <c r="B28" s="1889" t="s">
        <v>355</v>
      </c>
      <c r="C28" s="1889" t="s">
        <v>8003</v>
      </c>
      <c r="D28" s="1890" t="s">
        <v>8000</v>
      </c>
      <c r="E28" s="1889" t="s">
        <v>7974</v>
      </c>
      <c r="F28" s="1890"/>
      <c r="G28" s="1889">
        <v>32.58</v>
      </c>
      <c r="H28" s="1889"/>
      <c r="I28" s="1890" t="s">
        <v>8004</v>
      </c>
      <c r="J28" s="1890" t="s">
        <v>8005</v>
      </c>
      <c r="K28" s="1891">
        <v>1558.33</v>
      </c>
      <c r="L28" s="1892" t="s">
        <v>1656</v>
      </c>
      <c r="M28" s="1892">
        <f t="shared" si="0"/>
        <v>18699.96</v>
      </c>
      <c r="N28" s="1891">
        <f t="shared" si="1"/>
        <v>9349.98</v>
      </c>
    </row>
    <row r="29" spans="1:14" ht="24">
      <c r="A29" s="1889" t="s">
        <v>7957</v>
      </c>
      <c r="B29" s="1889" t="s">
        <v>355</v>
      </c>
      <c r="C29" s="1889" t="s">
        <v>8006</v>
      </c>
      <c r="D29" s="1890">
        <v>37995669</v>
      </c>
      <c r="E29" s="1889" t="s">
        <v>7974</v>
      </c>
      <c r="F29" s="1890">
        <v>513848010</v>
      </c>
      <c r="G29" s="1889">
        <v>70</v>
      </c>
      <c r="H29" s="1889"/>
      <c r="I29" s="1890"/>
      <c r="J29" s="1890" t="s">
        <v>7994</v>
      </c>
      <c r="K29" s="1891">
        <v>7750</v>
      </c>
      <c r="L29" s="1892" t="s">
        <v>1656</v>
      </c>
      <c r="M29" s="1892">
        <f t="shared" si="0"/>
        <v>93000</v>
      </c>
      <c r="N29" s="1891">
        <f t="shared" si="1"/>
        <v>46500</v>
      </c>
    </row>
    <row r="30" spans="1:14" ht="24">
      <c r="A30" s="1889" t="s">
        <v>7957</v>
      </c>
      <c r="B30" s="1889" t="s">
        <v>355</v>
      </c>
      <c r="C30" s="1889" t="s">
        <v>8007</v>
      </c>
      <c r="D30" s="1890" t="s">
        <v>8008</v>
      </c>
      <c r="E30" s="1889" t="s">
        <v>8009</v>
      </c>
      <c r="F30" s="1890" t="s">
        <v>8010</v>
      </c>
      <c r="G30" s="1889">
        <v>121.5</v>
      </c>
      <c r="H30" s="1889"/>
      <c r="I30" s="1890"/>
      <c r="J30" s="1890" t="s">
        <v>8011</v>
      </c>
      <c r="K30" s="1891">
        <v>8391.67</v>
      </c>
      <c r="L30" s="1892" t="s">
        <v>1656</v>
      </c>
      <c r="M30" s="1892">
        <f t="shared" si="0"/>
        <v>100700.04000000001</v>
      </c>
      <c r="N30" s="1891">
        <f t="shared" si="1"/>
        <v>50350.020000000004</v>
      </c>
    </row>
    <row r="31" spans="1:14">
      <c r="A31" s="1889"/>
      <c r="B31" s="1889"/>
      <c r="C31" s="1889"/>
      <c r="D31" s="1890"/>
      <c r="E31" s="1889"/>
      <c r="F31" s="1890"/>
      <c r="G31" s="1889"/>
      <c r="H31" s="1889"/>
      <c r="I31" s="1890"/>
      <c r="J31" s="1890"/>
      <c r="K31" s="1891"/>
      <c r="L31" s="1892" t="s">
        <v>1656</v>
      </c>
      <c r="M31" s="1892">
        <f t="shared" si="0"/>
        <v>0</v>
      </c>
      <c r="N31" s="1891">
        <f t="shared" si="1"/>
        <v>0</v>
      </c>
    </row>
    <row r="32" spans="1:14" ht="24">
      <c r="A32" s="1889" t="s">
        <v>7957</v>
      </c>
      <c r="B32" s="1889" t="s">
        <v>355</v>
      </c>
      <c r="C32" s="1889" t="s">
        <v>8012</v>
      </c>
      <c r="D32" s="1890" t="s">
        <v>8013</v>
      </c>
      <c r="E32" s="1889" t="s">
        <v>8014</v>
      </c>
      <c r="F32" s="1890"/>
      <c r="G32" s="1889">
        <v>120</v>
      </c>
      <c r="H32" s="1889" t="s">
        <v>8015</v>
      </c>
      <c r="I32" s="1890"/>
      <c r="J32" s="1890" t="s">
        <v>8016</v>
      </c>
      <c r="K32" s="1892">
        <v>600</v>
      </c>
      <c r="L32" s="1892" t="s">
        <v>1656</v>
      </c>
      <c r="M32" s="1892">
        <f t="shared" si="0"/>
        <v>7200</v>
      </c>
      <c r="N32" s="1891">
        <f t="shared" si="1"/>
        <v>3600</v>
      </c>
    </row>
    <row r="33" spans="1:14" ht="24">
      <c r="A33" s="1889" t="s">
        <v>7957</v>
      </c>
      <c r="B33" s="1889" t="s">
        <v>355</v>
      </c>
      <c r="C33" s="1889" t="s">
        <v>8017</v>
      </c>
      <c r="D33" s="1890" t="s">
        <v>8018</v>
      </c>
      <c r="E33" s="1889" t="s">
        <v>8014</v>
      </c>
      <c r="F33" s="1890"/>
      <c r="G33" s="1889">
        <v>24</v>
      </c>
      <c r="H33" s="1889" t="s">
        <v>8015</v>
      </c>
      <c r="I33" s="1890"/>
      <c r="J33" s="1890" t="s">
        <v>8016</v>
      </c>
      <c r="K33" s="1892" t="s">
        <v>8019</v>
      </c>
      <c r="L33" s="1892" t="s">
        <v>1656</v>
      </c>
      <c r="M33" s="1892">
        <f t="shared" si="0"/>
        <v>1656</v>
      </c>
      <c r="N33" s="1891">
        <f t="shared" si="1"/>
        <v>828</v>
      </c>
    </row>
    <row r="34" spans="1:14" ht="24">
      <c r="A34" s="1889" t="s">
        <v>7957</v>
      </c>
      <c r="B34" s="1889" t="s">
        <v>355</v>
      </c>
      <c r="C34" s="1889" t="s">
        <v>8020</v>
      </c>
      <c r="D34" s="1890" t="s">
        <v>8021</v>
      </c>
      <c r="E34" s="1889" t="s">
        <v>8014</v>
      </c>
      <c r="F34" s="1890"/>
      <c r="G34" s="1889">
        <v>80</v>
      </c>
      <c r="H34" s="1889" t="s">
        <v>8015</v>
      </c>
      <c r="I34" s="1890"/>
      <c r="J34" s="1890" t="s">
        <v>8016</v>
      </c>
      <c r="K34" s="1892" t="s">
        <v>8022</v>
      </c>
      <c r="L34" s="1892" t="s">
        <v>1656</v>
      </c>
      <c r="M34" s="1892" t="e">
        <f t="shared" si="0"/>
        <v>#VALUE!</v>
      </c>
      <c r="N34" s="1891" t="e">
        <f t="shared" si="1"/>
        <v>#VALUE!</v>
      </c>
    </row>
    <row r="35" spans="1:14" ht="24">
      <c r="A35" s="1889" t="s">
        <v>7957</v>
      </c>
      <c r="B35" s="1889" t="s">
        <v>355</v>
      </c>
      <c r="C35" s="1889" t="s">
        <v>8023</v>
      </c>
      <c r="D35" s="1890" t="s">
        <v>8024</v>
      </c>
      <c r="E35" s="1889" t="s">
        <v>8014</v>
      </c>
      <c r="F35" s="1890"/>
      <c r="G35" s="1889">
        <v>35</v>
      </c>
      <c r="H35" s="1889" t="s">
        <v>8015</v>
      </c>
      <c r="I35" s="1890"/>
      <c r="J35" s="1890" t="s">
        <v>8016</v>
      </c>
      <c r="K35" s="1894" t="s">
        <v>8025</v>
      </c>
      <c r="L35" s="1892" t="s">
        <v>1656</v>
      </c>
      <c r="M35" s="1892">
        <f t="shared" si="0"/>
        <v>5400</v>
      </c>
      <c r="N35" s="1891">
        <f t="shared" si="1"/>
        <v>2700</v>
      </c>
    </row>
    <row r="36" spans="1:14" ht="24">
      <c r="A36" s="1889" t="s">
        <v>7957</v>
      </c>
      <c r="B36" s="1889" t="s">
        <v>355</v>
      </c>
      <c r="C36" s="1889" t="s">
        <v>8026</v>
      </c>
      <c r="D36" s="1890" t="s">
        <v>8027</v>
      </c>
      <c r="E36" s="1889" t="s">
        <v>8014</v>
      </c>
      <c r="F36" s="1890"/>
      <c r="G36" s="1889">
        <v>90</v>
      </c>
      <c r="H36" s="1889" t="s">
        <v>8015</v>
      </c>
      <c r="I36" s="1890"/>
      <c r="J36" s="1890" t="s">
        <v>8016</v>
      </c>
      <c r="K36" s="1894" t="s">
        <v>8028</v>
      </c>
      <c r="L36" s="1892" t="s">
        <v>1656</v>
      </c>
      <c r="M36" s="1892">
        <f t="shared" si="0"/>
        <v>7200</v>
      </c>
      <c r="N36" s="1891">
        <f t="shared" si="1"/>
        <v>3600</v>
      </c>
    </row>
    <row r="37" spans="1:14" ht="24">
      <c r="A37" s="1889" t="s">
        <v>7957</v>
      </c>
      <c r="B37" s="1889" t="s">
        <v>355</v>
      </c>
      <c r="C37" s="1889" t="s">
        <v>8029</v>
      </c>
      <c r="D37" s="1890" t="s">
        <v>8030</v>
      </c>
      <c r="E37" s="1889" t="s">
        <v>8014</v>
      </c>
      <c r="F37" s="1890"/>
      <c r="G37" s="1889">
        <v>40</v>
      </c>
      <c r="H37" s="1889" t="s">
        <v>8015</v>
      </c>
      <c r="I37" s="1890"/>
      <c r="J37" s="1890" t="s">
        <v>8016</v>
      </c>
      <c r="K37" s="1894" t="s">
        <v>8031</v>
      </c>
      <c r="L37" s="1892" t="s">
        <v>1656</v>
      </c>
      <c r="M37" s="1892">
        <f t="shared" si="0"/>
        <v>2400</v>
      </c>
      <c r="N37" s="1891">
        <f t="shared" si="1"/>
        <v>1200</v>
      </c>
    </row>
    <row r="38" spans="1:14" ht="24">
      <c r="A38" s="1889" t="s">
        <v>7957</v>
      </c>
      <c r="B38" s="1889" t="s">
        <v>355</v>
      </c>
      <c r="C38" s="1889" t="s">
        <v>8032</v>
      </c>
      <c r="D38" s="1890" t="s">
        <v>8033</v>
      </c>
      <c r="E38" s="1889" t="s">
        <v>8014</v>
      </c>
      <c r="F38" s="1890"/>
      <c r="G38" s="1889">
        <v>12</v>
      </c>
      <c r="H38" s="1889" t="s">
        <v>8015</v>
      </c>
      <c r="I38" s="1890"/>
      <c r="J38" s="1890" t="s">
        <v>8016</v>
      </c>
      <c r="K38" s="1894" t="s">
        <v>8025</v>
      </c>
      <c r="L38" s="1892" t="s">
        <v>1656</v>
      </c>
      <c r="M38" s="1892">
        <f t="shared" si="0"/>
        <v>5400</v>
      </c>
      <c r="N38" s="1891">
        <f t="shared" si="1"/>
        <v>2700</v>
      </c>
    </row>
    <row r="39" spans="1:14" ht="24">
      <c r="A39" s="1889" t="s">
        <v>7957</v>
      </c>
      <c r="B39" s="1889" t="s">
        <v>355</v>
      </c>
      <c r="C39" s="1889" t="s">
        <v>8034</v>
      </c>
      <c r="D39" s="1890" t="s">
        <v>8035</v>
      </c>
      <c r="E39" s="1889" t="s">
        <v>8014</v>
      </c>
      <c r="F39" s="1890"/>
      <c r="G39" s="1889">
        <v>70</v>
      </c>
      <c r="H39" s="1889" t="s">
        <v>8015</v>
      </c>
      <c r="I39" s="1890"/>
      <c r="J39" s="1890" t="s">
        <v>8016</v>
      </c>
      <c r="K39" s="1894" t="s">
        <v>8036</v>
      </c>
      <c r="L39" s="1892" t="s">
        <v>1656</v>
      </c>
      <c r="M39" s="1892">
        <f t="shared" si="0"/>
        <v>6000</v>
      </c>
      <c r="N39" s="1891">
        <f t="shared" si="1"/>
        <v>3000</v>
      </c>
    </row>
    <row r="40" spans="1:14" ht="24">
      <c r="A40" s="1889" t="s">
        <v>7957</v>
      </c>
      <c r="B40" s="1889" t="s">
        <v>355</v>
      </c>
      <c r="C40" s="1889" t="s">
        <v>8037</v>
      </c>
      <c r="D40" s="1890" t="s">
        <v>8038</v>
      </c>
      <c r="E40" s="1889" t="s">
        <v>8014</v>
      </c>
      <c r="F40" s="1890"/>
      <c r="G40" s="1889">
        <v>120</v>
      </c>
      <c r="H40" s="1889" t="s">
        <v>8015</v>
      </c>
      <c r="I40" s="1890"/>
      <c r="J40" s="1890" t="s">
        <v>8016</v>
      </c>
      <c r="K40" s="1894" t="s">
        <v>8036</v>
      </c>
      <c r="L40" s="1892" t="s">
        <v>1656</v>
      </c>
      <c r="M40" s="1892">
        <f t="shared" si="0"/>
        <v>6000</v>
      </c>
      <c r="N40" s="1891">
        <f t="shared" si="1"/>
        <v>3000</v>
      </c>
    </row>
    <row r="41" spans="1:14" ht="24">
      <c r="A41" s="1889" t="s">
        <v>7957</v>
      </c>
      <c r="B41" s="1889" t="s">
        <v>355</v>
      </c>
      <c r="C41" s="1889" t="s">
        <v>8039</v>
      </c>
      <c r="D41" s="1890" t="s">
        <v>8040</v>
      </c>
      <c r="E41" s="1889" t="s">
        <v>8014</v>
      </c>
      <c r="F41" s="1890"/>
      <c r="G41" s="1889">
        <v>92</v>
      </c>
      <c r="H41" s="1889" t="s">
        <v>8015</v>
      </c>
      <c r="I41" s="1890"/>
      <c r="J41" s="1890" t="s">
        <v>8016</v>
      </c>
      <c r="K41" s="1894" t="s">
        <v>8041</v>
      </c>
      <c r="L41" s="1892" t="s">
        <v>1656</v>
      </c>
      <c r="M41" s="1892" t="e">
        <f t="shared" si="0"/>
        <v>#VALUE!</v>
      </c>
      <c r="N41" s="1891" t="e">
        <f t="shared" si="1"/>
        <v>#VALUE!</v>
      </c>
    </row>
    <row r="42" spans="1:14" ht="24">
      <c r="A42" s="1889" t="s">
        <v>7957</v>
      </c>
      <c r="B42" s="1889" t="s">
        <v>355</v>
      </c>
      <c r="C42" s="1889" t="s">
        <v>8042</v>
      </c>
      <c r="D42" s="1890" t="s">
        <v>8043</v>
      </c>
      <c r="E42" s="1889" t="s">
        <v>8014</v>
      </c>
      <c r="F42" s="1890"/>
      <c r="G42" s="1889">
        <v>179.33</v>
      </c>
      <c r="H42" s="1889" t="s">
        <v>8015</v>
      </c>
      <c r="I42" s="1890"/>
      <c r="J42" s="1890" t="s">
        <v>8016</v>
      </c>
      <c r="K42" s="1894" t="s">
        <v>8044</v>
      </c>
      <c r="L42" s="1892" t="s">
        <v>1656</v>
      </c>
      <c r="M42" s="1892">
        <f t="shared" si="0"/>
        <v>3000</v>
      </c>
      <c r="N42" s="1891">
        <f t="shared" si="1"/>
        <v>1500</v>
      </c>
    </row>
    <row r="43" spans="1:14" ht="24">
      <c r="A43" s="1889" t="s">
        <v>7957</v>
      </c>
      <c r="B43" s="1889" t="s">
        <v>355</v>
      </c>
      <c r="C43" s="1889" t="s">
        <v>8045</v>
      </c>
      <c r="D43" s="1890" t="s">
        <v>8046</v>
      </c>
      <c r="E43" s="1889" t="s">
        <v>8014</v>
      </c>
      <c r="F43" s="1890"/>
      <c r="G43" s="1889">
        <v>90</v>
      </c>
      <c r="H43" s="1889" t="s">
        <v>8015</v>
      </c>
      <c r="I43" s="1890"/>
      <c r="J43" s="1890" t="s">
        <v>8016</v>
      </c>
      <c r="K43" s="1894" t="s">
        <v>8047</v>
      </c>
      <c r="L43" s="1892" t="s">
        <v>1656</v>
      </c>
      <c r="M43" s="1892">
        <f t="shared" si="0"/>
        <v>4800</v>
      </c>
      <c r="N43" s="1891">
        <f t="shared" si="1"/>
        <v>2400</v>
      </c>
    </row>
    <row r="44" spans="1:14" ht="24">
      <c r="A44" s="1889" t="s">
        <v>7957</v>
      </c>
      <c r="B44" s="1889" t="s">
        <v>355</v>
      </c>
      <c r="C44" s="1889" t="s">
        <v>8048</v>
      </c>
      <c r="D44" s="1890" t="s">
        <v>8049</v>
      </c>
      <c r="E44" s="1889" t="s">
        <v>8014</v>
      </c>
      <c r="F44" s="1890"/>
      <c r="G44" s="1889">
        <v>57</v>
      </c>
      <c r="H44" s="1889" t="s">
        <v>8015</v>
      </c>
      <c r="I44" s="1890"/>
      <c r="J44" s="1890" t="s">
        <v>8016</v>
      </c>
      <c r="K44" s="1894" t="s">
        <v>8025</v>
      </c>
      <c r="L44" s="1892" t="s">
        <v>1656</v>
      </c>
      <c r="M44" s="1892">
        <f t="shared" si="0"/>
        <v>5400</v>
      </c>
      <c r="N44" s="1891">
        <f t="shared" si="1"/>
        <v>2700</v>
      </c>
    </row>
    <row r="45" spans="1:14" ht="24">
      <c r="A45" s="1889" t="s">
        <v>7957</v>
      </c>
      <c r="B45" s="1889" t="s">
        <v>355</v>
      </c>
      <c r="C45" s="1889" t="s">
        <v>8050</v>
      </c>
      <c r="D45" s="1890" t="s">
        <v>8051</v>
      </c>
      <c r="E45" s="1889" t="s">
        <v>8014</v>
      </c>
      <c r="F45" s="1890"/>
      <c r="G45" s="1889">
        <v>130</v>
      </c>
      <c r="H45" s="1889" t="s">
        <v>8015</v>
      </c>
      <c r="I45" s="1890"/>
      <c r="J45" s="1890" t="s">
        <v>8016</v>
      </c>
      <c r="K45" s="1894" t="s">
        <v>8052</v>
      </c>
      <c r="L45" s="1892" t="s">
        <v>1656</v>
      </c>
      <c r="M45" s="1892">
        <f t="shared" si="0"/>
        <v>6600</v>
      </c>
      <c r="N45" s="1891">
        <f t="shared" si="1"/>
        <v>3300</v>
      </c>
    </row>
    <row r="46" spans="1:14" ht="24">
      <c r="A46" s="1889" t="s">
        <v>7957</v>
      </c>
      <c r="B46" s="1889" t="s">
        <v>355</v>
      </c>
      <c r="C46" s="1889" t="s">
        <v>8053</v>
      </c>
      <c r="D46" s="1890" t="s">
        <v>8054</v>
      </c>
      <c r="E46" s="1889" t="s">
        <v>8014</v>
      </c>
      <c r="F46" s="1890"/>
      <c r="G46" s="1889">
        <v>90</v>
      </c>
      <c r="H46" s="1889" t="s">
        <v>8015</v>
      </c>
      <c r="I46" s="1890"/>
      <c r="J46" s="1890" t="s">
        <v>8016</v>
      </c>
      <c r="K46" s="1894" t="s">
        <v>8055</v>
      </c>
      <c r="L46" s="1892" t="s">
        <v>1656</v>
      </c>
      <c r="M46" s="1892">
        <f t="shared" si="0"/>
        <v>9600</v>
      </c>
      <c r="N46" s="1891">
        <f t="shared" si="1"/>
        <v>4800</v>
      </c>
    </row>
    <row r="47" spans="1:14" ht="24">
      <c r="A47" s="1889" t="s">
        <v>7957</v>
      </c>
      <c r="B47" s="1889" t="s">
        <v>355</v>
      </c>
      <c r="C47" s="1889" t="s">
        <v>8056</v>
      </c>
      <c r="D47" s="1890" t="s">
        <v>8057</v>
      </c>
      <c r="E47" s="1889" t="s">
        <v>8014</v>
      </c>
      <c r="F47" s="1890"/>
      <c r="G47" s="1889">
        <v>43</v>
      </c>
      <c r="H47" s="1889" t="s">
        <v>8015</v>
      </c>
      <c r="I47" s="1890"/>
      <c r="J47" s="1890" t="s">
        <v>8016</v>
      </c>
      <c r="K47" s="1894" t="s">
        <v>8058</v>
      </c>
      <c r="L47" s="1892" t="s">
        <v>1656</v>
      </c>
      <c r="M47" s="1892">
        <f t="shared" si="0"/>
        <v>10200</v>
      </c>
      <c r="N47" s="1891">
        <f t="shared" si="1"/>
        <v>5100</v>
      </c>
    </row>
    <row r="48" spans="1:14" ht="24">
      <c r="A48" s="1889" t="s">
        <v>7957</v>
      </c>
      <c r="B48" s="1889" t="s">
        <v>355</v>
      </c>
      <c r="C48" s="1889" t="s">
        <v>8059</v>
      </c>
      <c r="D48" s="1890" t="s">
        <v>8060</v>
      </c>
      <c r="E48" s="1889" t="s">
        <v>8014</v>
      </c>
      <c r="F48" s="1890"/>
      <c r="G48" s="1889">
        <v>50</v>
      </c>
      <c r="H48" s="1889" t="s">
        <v>8015</v>
      </c>
      <c r="I48" s="1890"/>
      <c r="J48" s="1890" t="s">
        <v>8016</v>
      </c>
      <c r="K48" s="1894" t="s">
        <v>8028</v>
      </c>
      <c r="L48" s="1892" t="s">
        <v>1656</v>
      </c>
      <c r="M48" s="1892">
        <f t="shared" si="0"/>
        <v>7200</v>
      </c>
      <c r="N48" s="1891">
        <f t="shared" si="1"/>
        <v>3600</v>
      </c>
    </row>
    <row r="49" spans="1:14" ht="24">
      <c r="A49" s="1889" t="s">
        <v>7957</v>
      </c>
      <c r="B49" s="1889" t="s">
        <v>355</v>
      </c>
      <c r="C49" s="1889" t="s">
        <v>8061</v>
      </c>
      <c r="D49" s="1890" t="s">
        <v>8062</v>
      </c>
      <c r="E49" s="1889" t="s">
        <v>8014</v>
      </c>
      <c r="F49" s="1890"/>
      <c r="G49" s="1889">
        <v>200</v>
      </c>
      <c r="H49" s="1889" t="s">
        <v>8015</v>
      </c>
      <c r="I49" s="1890"/>
      <c r="J49" s="1890" t="s">
        <v>8016</v>
      </c>
      <c r="K49" s="1894" t="s">
        <v>8063</v>
      </c>
      <c r="L49" s="1892" t="s">
        <v>1656</v>
      </c>
      <c r="M49" s="1892" t="e">
        <f t="shared" si="0"/>
        <v>#VALUE!</v>
      </c>
      <c r="N49" s="1891" t="e">
        <f t="shared" si="1"/>
        <v>#VALUE!</v>
      </c>
    </row>
    <row r="50" spans="1:14" ht="24">
      <c r="A50" s="1889" t="s">
        <v>7957</v>
      </c>
      <c r="B50" s="1889" t="s">
        <v>355</v>
      </c>
      <c r="C50" s="1889" t="s">
        <v>8064</v>
      </c>
      <c r="D50" s="1890" t="s">
        <v>8065</v>
      </c>
      <c r="E50" s="1889" t="s">
        <v>8014</v>
      </c>
      <c r="F50" s="1890"/>
      <c r="G50" s="1889">
        <v>51</v>
      </c>
      <c r="H50" s="1889" t="s">
        <v>8015</v>
      </c>
      <c r="I50" s="1890"/>
      <c r="J50" s="1890" t="s">
        <v>8016</v>
      </c>
      <c r="K50" s="1894" t="s">
        <v>8036</v>
      </c>
      <c r="L50" s="1892" t="s">
        <v>1656</v>
      </c>
      <c r="M50" s="1892">
        <f t="shared" si="0"/>
        <v>6000</v>
      </c>
      <c r="N50" s="1891">
        <f t="shared" si="1"/>
        <v>3000</v>
      </c>
    </row>
    <row r="51" spans="1:14" ht="24">
      <c r="A51" s="1889" t="s">
        <v>7957</v>
      </c>
      <c r="B51" s="1889" t="s">
        <v>355</v>
      </c>
      <c r="C51" s="1889" t="s">
        <v>8066</v>
      </c>
      <c r="D51" s="1890" t="s">
        <v>8067</v>
      </c>
      <c r="E51" s="1889" t="s">
        <v>8014</v>
      </c>
      <c r="F51" s="1890"/>
      <c r="G51" s="1889">
        <v>80</v>
      </c>
      <c r="H51" s="1889" t="s">
        <v>8015</v>
      </c>
      <c r="I51" s="1890"/>
      <c r="J51" s="1890" t="s">
        <v>8016</v>
      </c>
      <c r="K51" s="1894" t="s">
        <v>8028</v>
      </c>
      <c r="L51" s="1892" t="s">
        <v>1656</v>
      </c>
      <c r="M51" s="1892">
        <f t="shared" si="0"/>
        <v>7200</v>
      </c>
      <c r="N51" s="1891">
        <f t="shared" si="1"/>
        <v>3600</v>
      </c>
    </row>
    <row r="52" spans="1:14" ht="24">
      <c r="A52" s="1889" t="s">
        <v>7957</v>
      </c>
      <c r="B52" s="1889" t="s">
        <v>355</v>
      </c>
      <c r="C52" s="1889" t="s">
        <v>8068</v>
      </c>
      <c r="D52" s="1890" t="s">
        <v>8069</v>
      </c>
      <c r="E52" s="1889" t="s">
        <v>8014</v>
      </c>
      <c r="F52" s="1890"/>
      <c r="G52" s="1889">
        <v>90</v>
      </c>
      <c r="H52" s="1889" t="s">
        <v>8015</v>
      </c>
      <c r="I52" s="1890"/>
      <c r="J52" s="1890" t="s">
        <v>8016</v>
      </c>
      <c r="K52" s="1894" t="s">
        <v>8070</v>
      </c>
      <c r="L52" s="1892" t="s">
        <v>1656</v>
      </c>
      <c r="M52" s="1892">
        <f t="shared" si="0"/>
        <v>7800</v>
      </c>
      <c r="N52" s="1891">
        <f t="shared" si="1"/>
        <v>3900</v>
      </c>
    </row>
    <row r="53" spans="1:14" ht="24">
      <c r="A53" s="1889" t="s">
        <v>7957</v>
      </c>
      <c r="B53" s="1889" t="s">
        <v>355</v>
      </c>
      <c r="C53" s="1889" t="s">
        <v>8071</v>
      </c>
      <c r="D53" s="1890" t="s">
        <v>8072</v>
      </c>
      <c r="E53" s="1889" t="s">
        <v>8014</v>
      </c>
      <c r="F53" s="1890"/>
      <c r="G53" s="1889">
        <v>90</v>
      </c>
      <c r="H53" s="1889" t="s">
        <v>8015</v>
      </c>
      <c r="I53" s="1890"/>
      <c r="J53" s="1890" t="s">
        <v>8016</v>
      </c>
      <c r="K53" s="1894" t="s">
        <v>8028</v>
      </c>
      <c r="L53" s="1892" t="s">
        <v>1656</v>
      </c>
      <c r="M53" s="1892">
        <f t="shared" si="0"/>
        <v>7200</v>
      </c>
      <c r="N53" s="1891">
        <f t="shared" si="1"/>
        <v>3600</v>
      </c>
    </row>
    <row r="54" spans="1:14" ht="24">
      <c r="A54" s="1889" t="s">
        <v>7957</v>
      </c>
      <c r="B54" s="1889" t="s">
        <v>355</v>
      </c>
      <c r="C54" s="1889" t="s">
        <v>8073</v>
      </c>
      <c r="D54" s="1890" t="s">
        <v>8074</v>
      </c>
      <c r="E54" s="1889" t="s">
        <v>8014</v>
      </c>
      <c r="F54" s="1890"/>
      <c r="G54" s="1889">
        <v>50</v>
      </c>
      <c r="H54" s="1889" t="s">
        <v>8015</v>
      </c>
      <c r="I54" s="1890"/>
      <c r="J54" s="1890" t="s">
        <v>8016</v>
      </c>
      <c r="K54" s="1894" t="s">
        <v>8028</v>
      </c>
      <c r="L54" s="1892" t="s">
        <v>1656</v>
      </c>
      <c r="M54" s="1892">
        <f t="shared" si="0"/>
        <v>7200</v>
      </c>
      <c r="N54" s="1891">
        <f t="shared" si="1"/>
        <v>3600</v>
      </c>
    </row>
    <row r="55" spans="1:14" ht="24">
      <c r="A55" s="1889" t="s">
        <v>7957</v>
      </c>
      <c r="B55" s="1889" t="s">
        <v>355</v>
      </c>
      <c r="C55" s="1889" t="s">
        <v>8075</v>
      </c>
      <c r="D55" s="1890" t="s">
        <v>8076</v>
      </c>
      <c r="E55" s="1889" t="s">
        <v>8014</v>
      </c>
      <c r="F55" s="1890"/>
      <c r="G55" s="1889">
        <v>50</v>
      </c>
      <c r="H55" s="1889" t="s">
        <v>8015</v>
      </c>
      <c r="I55" s="1890"/>
      <c r="J55" s="1890" t="s">
        <v>8016</v>
      </c>
      <c r="K55" s="1894" t="s">
        <v>8028</v>
      </c>
      <c r="L55" s="1892" t="s">
        <v>1656</v>
      </c>
      <c r="M55" s="1892">
        <f t="shared" si="0"/>
        <v>7200</v>
      </c>
      <c r="N55" s="1891">
        <f t="shared" si="1"/>
        <v>3600</v>
      </c>
    </row>
    <row r="56" spans="1:14" ht="24">
      <c r="A56" s="1889" t="s">
        <v>7957</v>
      </c>
      <c r="B56" s="1889" t="s">
        <v>355</v>
      </c>
      <c r="C56" s="1889" t="s">
        <v>8077</v>
      </c>
      <c r="D56" s="1890" t="s">
        <v>8078</v>
      </c>
      <c r="E56" s="1889" t="s">
        <v>8014</v>
      </c>
      <c r="F56" s="1890"/>
      <c r="G56" s="1889">
        <v>60</v>
      </c>
      <c r="H56" s="1889" t="s">
        <v>8015</v>
      </c>
      <c r="I56" s="1890"/>
      <c r="J56" s="1890" t="s">
        <v>8016</v>
      </c>
      <c r="K56" s="1894" t="s">
        <v>8028</v>
      </c>
      <c r="L56" s="1892" t="s">
        <v>1656</v>
      </c>
      <c r="M56" s="1892">
        <f t="shared" si="0"/>
        <v>7200</v>
      </c>
      <c r="N56" s="1891">
        <f t="shared" si="1"/>
        <v>3600</v>
      </c>
    </row>
    <row r="57" spans="1:14" ht="24">
      <c r="A57" s="1889" t="s">
        <v>7957</v>
      </c>
      <c r="B57" s="1889" t="s">
        <v>355</v>
      </c>
      <c r="C57" s="1889" t="s">
        <v>8079</v>
      </c>
      <c r="D57" s="1890">
        <v>9582234</v>
      </c>
      <c r="E57" s="1889" t="s">
        <v>8014</v>
      </c>
      <c r="F57" s="1890"/>
      <c r="G57" s="1889">
        <v>95</v>
      </c>
      <c r="H57" s="1889" t="s">
        <v>8015</v>
      </c>
      <c r="I57" s="1890"/>
      <c r="J57" s="1890" t="s">
        <v>8016</v>
      </c>
      <c r="K57" s="1894" t="s">
        <v>8052</v>
      </c>
      <c r="L57" s="1892" t="s">
        <v>1656</v>
      </c>
      <c r="M57" s="1892">
        <f t="shared" si="0"/>
        <v>6600</v>
      </c>
      <c r="N57" s="1891">
        <f t="shared" si="1"/>
        <v>3300</v>
      </c>
    </row>
    <row r="58" spans="1:14" ht="24">
      <c r="A58" s="1889" t="s">
        <v>7957</v>
      </c>
      <c r="B58" s="1889" t="s">
        <v>355</v>
      </c>
      <c r="C58" s="1889" t="s">
        <v>8080</v>
      </c>
      <c r="D58" s="1890">
        <v>3700430</v>
      </c>
      <c r="E58" s="1889" t="s">
        <v>8014</v>
      </c>
      <c r="F58" s="1890"/>
      <c r="G58" s="1889">
        <v>130</v>
      </c>
      <c r="H58" s="1889" t="s">
        <v>8015</v>
      </c>
      <c r="I58" s="1890"/>
      <c r="J58" s="1890" t="s">
        <v>8016</v>
      </c>
      <c r="K58" s="1894" t="s">
        <v>8081</v>
      </c>
      <c r="L58" s="1892" t="s">
        <v>1656</v>
      </c>
      <c r="M58" s="1892" t="e">
        <f t="shared" si="0"/>
        <v>#VALUE!</v>
      </c>
      <c r="N58" s="1891" t="e">
        <f t="shared" si="1"/>
        <v>#VALUE!</v>
      </c>
    </row>
    <row r="59" spans="1:14" ht="24">
      <c r="A59" s="1889" t="s">
        <v>7957</v>
      </c>
      <c r="B59" s="1889" t="s">
        <v>355</v>
      </c>
      <c r="C59" s="1889" t="s">
        <v>8082</v>
      </c>
      <c r="D59" s="1890">
        <v>43797202</v>
      </c>
      <c r="E59" s="1889" t="s">
        <v>8014</v>
      </c>
      <c r="F59" s="1890"/>
      <c r="G59" s="1889">
        <v>500</v>
      </c>
      <c r="H59" s="1889" t="s">
        <v>8015</v>
      </c>
      <c r="I59" s="1890"/>
      <c r="J59" s="1890" t="s">
        <v>8016</v>
      </c>
      <c r="K59" s="1894" t="s">
        <v>8083</v>
      </c>
      <c r="L59" s="1892" t="s">
        <v>1656</v>
      </c>
      <c r="M59" s="1892" t="e">
        <f t="shared" si="0"/>
        <v>#VALUE!</v>
      </c>
      <c r="N59" s="1891" t="e">
        <f t="shared" si="1"/>
        <v>#VALUE!</v>
      </c>
    </row>
    <row r="60" spans="1:14" ht="24">
      <c r="A60" s="1889" t="s">
        <v>7957</v>
      </c>
      <c r="B60" s="1889" t="s">
        <v>355</v>
      </c>
      <c r="C60" s="1889" t="s">
        <v>8084</v>
      </c>
      <c r="D60" s="1890">
        <v>9862008</v>
      </c>
      <c r="E60" s="1889" t="s">
        <v>8014</v>
      </c>
      <c r="F60" s="1890"/>
      <c r="G60" s="1889">
        <v>135</v>
      </c>
      <c r="H60" s="1889" t="s">
        <v>8015</v>
      </c>
      <c r="I60" s="1890"/>
      <c r="J60" s="1890" t="s">
        <v>8016</v>
      </c>
      <c r="K60" s="1894" t="s">
        <v>8041</v>
      </c>
      <c r="L60" s="1892" t="s">
        <v>1656</v>
      </c>
      <c r="M60" s="1892" t="e">
        <f t="shared" si="0"/>
        <v>#VALUE!</v>
      </c>
      <c r="N60" s="1891" t="e">
        <f t="shared" si="1"/>
        <v>#VALUE!</v>
      </c>
    </row>
    <row r="61" spans="1:14" ht="24">
      <c r="A61" s="1889" t="s">
        <v>7957</v>
      </c>
      <c r="B61" s="1889" t="s">
        <v>355</v>
      </c>
      <c r="C61" s="1889" t="s">
        <v>8085</v>
      </c>
      <c r="D61" s="1890">
        <v>7077009</v>
      </c>
      <c r="E61" s="1889" t="s">
        <v>8014</v>
      </c>
      <c r="F61" s="1890"/>
      <c r="G61" s="1889">
        <v>90</v>
      </c>
      <c r="H61" s="1889" t="s">
        <v>8015</v>
      </c>
      <c r="I61" s="1890"/>
      <c r="J61" s="1890" t="s">
        <v>8016</v>
      </c>
      <c r="K61" s="1894" t="s">
        <v>8063</v>
      </c>
      <c r="L61" s="1892" t="s">
        <v>1656</v>
      </c>
      <c r="M61" s="1892" t="e">
        <f t="shared" si="0"/>
        <v>#VALUE!</v>
      </c>
      <c r="N61" s="1891" t="e">
        <f t="shared" si="1"/>
        <v>#VALUE!</v>
      </c>
    </row>
    <row r="62" spans="1:14" ht="24">
      <c r="A62" s="1889" t="s">
        <v>7957</v>
      </c>
      <c r="B62" s="1889" t="s">
        <v>355</v>
      </c>
      <c r="C62" s="1889" t="s">
        <v>8086</v>
      </c>
      <c r="D62" s="1890">
        <v>29400471</v>
      </c>
      <c r="E62" s="1889" t="s">
        <v>8014</v>
      </c>
      <c r="F62" s="1890"/>
      <c r="G62" s="1889">
        <v>170</v>
      </c>
      <c r="H62" s="1889" t="s">
        <v>8015</v>
      </c>
      <c r="I62" s="1890"/>
      <c r="J62" s="1890" t="s">
        <v>8016</v>
      </c>
      <c r="K62" s="1894" t="s">
        <v>8070</v>
      </c>
      <c r="L62" s="1892" t="s">
        <v>1656</v>
      </c>
      <c r="M62" s="1892">
        <f t="shared" si="0"/>
        <v>7800</v>
      </c>
      <c r="N62" s="1891">
        <f t="shared" si="1"/>
        <v>3900</v>
      </c>
    </row>
    <row r="63" spans="1:14" ht="24">
      <c r="A63" s="1889" t="s">
        <v>7957</v>
      </c>
      <c r="B63" s="1889" t="s">
        <v>355</v>
      </c>
      <c r="C63" s="1889" t="s">
        <v>8087</v>
      </c>
      <c r="D63" s="1890">
        <v>10078042</v>
      </c>
      <c r="E63" s="1889" t="s">
        <v>8014</v>
      </c>
      <c r="F63" s="1890"/>
      <c r="G63" s="1889">
        <v>80</v>
      </c>
      <c r="H63" s="1889" t="s">
        <v>8015</v>
      </c>
      <c r="I63" s="1890"/>
      <c r="J63" s="1890" t="s">
        <v>8016</v>
      </c>
      <c r="K63" s="1894" t="s">
        <v>8058</v>
      </c>
      <c r="L63" s="1892" t="s">
        <v>1656</v>
      </c>
      <c r="M63" s="1892">
        <f t="shared" si="0"/>
        <v>10200</v>
      </c>
      <c r="N63" s="1891">
        <f t="shared" si="1"/>
        <v>5100</v>
      </c>
    </row>
    <row r="64" spans="1:14" ht="24">
      <c r="A64" s="1889" t="s">
        <v>7957</v>
      </c>
      <c r="B64" s="1889" t="s">
        <v>355</v>
      </c>
      <c r="C64" s="1889" t="s">
        <v>8088</v>
      </c>
      <c r="D64" s="1890">
        <v>10133180</v>
      </c>
      <c r="E64" s="1889" t="s">
        <v>8014</v>
      </c>
      <c r="F64" s="1890"/>
      <c r="G64" s="1889">
        <v>125</v>
      </c>
      <c r="H64" s="1889" t="s">
        <v>8015</v>
      </c>
      <c r="I64" s="1890"/>
      <c r="J64" s="1890" t="s">
        <v>8016</v>
      </c>
      <c r="K64" s="1894" t="s">
        <v>8028</v>
      </c>
      <c r="L64" s="1892" t="s">
        <v>1656</v>
      </c>
      <c r="M64" s="1892">
        <f t="shared" si="0"/>
        <v>7200</v>
      </c>
      <c r="N64" s="1891">
        <f t="shared" si="1"/>
        <v>3600</v>
      </c>
    </row>
    <row r="65" spans="1:14" ht="24">
      <c r="A65" s="1889" t="s">
        <v>7957</v>
      </c>
      <c r="B65" s="1889" t="s">
        <v>355</v>
      </c>
      <c r="C65" s="1889" t="s">
        <v>8089</v>
      </c>
      <c r="D65" s="1890">
        <v>43397318</v>
      </c>
      <c r="E65" s="1889" t="s">
        <v>8014</v>
      </c>
      <c r="F65" s="1890"/>
      <c r="G65" s="1889">
        <v>120</v>
      </c>
      <c r="H65" s="1889" t="s">
        <v>8015</v>
      </c>
      <c r="I65" s="1890"/>
      <c r="J65" s="1890" t="s">
        <v>8016</v>
      </c>
      <c r="K65" s="1894" t="s">
        <v>8090</v>
      </c>
      <c r="L65" s="1892" t="s">
        <v>1656</v>
      </c>
      <c r="M65" s="1892">
        <f t="shared" si="0"/>
        <v>4200</v>
      </c>
      <c r="N65" s="1891">
        <f t="shared" si="1"/>
        <v>2100</v>
      </c>
    </row>
    <row r="66" spans="1:14" ht="24">
      <c r="A66" s="1889" t="s">
        <v>7957</v>
      </c>
      <c r="B66" s="1889" t="s">
        <v>355</v>
      </c>
      <c r="C66" s="1889" t="s">
        <v>8091</v>
      </c>
      <c r="D66" s="1890">
        <v>1804910</v>
      </c>
      <c r="E66" s="1889" t="s">
        <v>8014</v>
      </c>
      <c r="F66" s="1890"/>
      <c r="G66" s="1889">
        <v>80</v>
      </c>
      <c r="H66" s="1889" t="s">
        <v>8015</v>
      </c>
      <c r="I66" s="1890"/>
      <c r="J66" s="1890" t="s">
        <v>8016</v>
      </c>
      <c r="K66" s="1894" t="s">
        <v>8092</v>
      </c>
      <c r="L66" s="1892" t="s">
        <v>1656</v>
      </c>
      <c r="M66" s="1892">
        <f t="shared" si="0"/>
        <v>4440</v>
      </c>
      <c r="N66" s="1891">
        <f t="shared" si="1"/>
        <v>2220</v>
      </c>
    </row>
    <row r="67" spans="1:14" ht="24">
      <c r="A67" s="1889" t="s">
        <v>7957</v>
      </c>
      <c r="B67" s="1889" t="s">
        <v>355</v>
      </c>
      <c r="C67" s="1889" t="s">
        <v>8093</v>
      </c>
      <c r="D67" s="1890">
        <v>43269108</v>
      </c>
      <c r="E67" s="1889" t="s">
        <v>8014</v>
      </c>
      <c r="F67" s="1890"/>
      <c r="G67" s="1889">
        <v>70</v>
      </c>
      <c r="H67" s="1889" t="s">
        <v>8015</v>
      </c>
      <c r="I67" s="1890"/>
      <c r="J67" s="1890" t="s">
        <v>8016</v>
      </c>
      <c r="K67" s="1894" t="s">
        <v>8090</v>
      </c>
      <c r="L67" s="1892" t="s">
        <v>1656</v>
      </c>
      <c r="M67" s="1892">
        <f t="shared" si="0"/>
        <v>4200</v>
      </c>
      <c r="N67" s="1891">
        <f t="shared" si="1"/>
        <v>2100</v>
      </c>
    </row>
    <row r="68" spans="1:14" ht="24">
      <c r="A68" s="1889" t="s">
        <v>7957</v>
      </c>
      <c r="B68" s="1889" t="s">
        <v>355</v>
      </c>
      <c r="C68" s="1889" t="s">
        <v>8094</v>
      </c>
      <c r="D68" s="1890">
        <v>23925957</v>
      </c>
      <c r="E68" s="1889" t="s">
        <v>8014</v>
      </c>
      <c r="F68" s="1890"/>
      <c r="G68" s="1889">
        <v>60</v>
      </c>
      <c r="H68" s="1889" t="s">
        <v>8015</v>
      </c>
      <c r="I68" s="1890"/>
      <c r="J68" s="1890" t="s">
        <v>8016</v>
      </c>
      <c r="K68" s="1894" t="s">
        <v>8028</v>
      </c>
      <c r="L68" s="1892" t="s">
        <v>1656</v>
      </c>
      <c r="M68" s="1892">
        <f t="shared" si="0"/>
        <v>7200</v>
      </c>
      <c r="N68" s="1891">
        <f t="shared" si="1"/>
        <v>3600</v>
      </c>
    </row>
    <row r="69" spans="1:14" ht="24">
      <c r="A69" s="1889" t="s">
        <v>7957</v>
      </c>
      <c r="B69" s="1889" t="s">
        <v>355</v>
      </c>
      <c r="C69" s="1889" t="s">
        <v>8095</v>
      </c>
      <c r="D69" s="1890">
        <v>23990127</v>
      </c>
      <c r="E69" s="1889" t="s">
        <v>8014</v>
      </c>
      <c r="F69" s="1890"/>
      <c r="G69" s="1889">
        <v>54</v>
      </c>
      <c r="H69" s="1889" t="s">
        <v>8015</v>
      </c>
      <c r="I69" s="1890"/>
      <c r="J69" s="1890" t="s">
        <v>8016</v>
      </c>
      <c r="K69" s="1894" t="s">
        <v>8096</v>
      </c>
      <c r="L69" s="1892" t="s">
        <v>1656</v>
      </c>
      <c r="M69" s="1892">
        <f t="shared" si="0"/>
        <v>4080</v>
      </c>
      <c r="N69" s="1891">
        <f t="shared" si="1"/>
        <v>2040</v>
      </c>
    </row>
    <row r="70" spans="1:14" ht="24">
      <c r="A70" s="1889" t="s">
        <v>7957</v>
      </c>
      <c r="B70" s="1889" t="s">
        <v>355</v>
      </c>
      <c r="C70" s="1889" t="s">
        <v>8097</v>
      </c>
      <c r="D70" s="1890">
        <v>1863197</v>
      </c>
      <c r="E70" s="1889" t="s">
        <v>8014</v>
      </c>
      <c r="F70" s="1890"/>
      <c r="G70" s="1889">
        <v>36</v>
      </c>
      <c r="H70" s="1889" t="s">
        <v>8015</v>
      </c>
      <c r="I70" s="1890"/>
      <c r="J70" s="1890" t="s">
        <v>8016</v>
      </c>
      <c r="K70" s="1894" t="s">
        <v>8098</v>
      </c>
      <c r="L70" s="1892" t="s">
        <v>1656</v>
      </c>
      <c r="M70" s="1892">
        <f t="shared" si="0"/>
        <v>3600</v>
      </c>
      <c r="N70" s="1891">
        <f t="shared" si="1"/>
        <v>1800</v>
      </c>
    </row>
    <row r="71" spans="1:14" ht="24">
      <c r="A71" s="1889" t="s">
        <v>7957</v>
      </c>
      <c r="B71" s="1889" t="s">
        <v>355</v>
      </c>
      <c r="C71" s="1889" t="s">
        <v>8099</v>
      </c>
      <c r="D71" s="1890">
        <v>31184995</v>
      </c>
      <c r="E71" s="1889" t="s">
        <v>8014</v>
      </c>
      <c r="F71" s="1890"/>
      <c r="G71" s="1889">
        <v>22</v>
      </c>
      <c r="H71" s="1889" t="s">
        <v>8015</v>
      </c>
      <c r="I71" s="1890"/>
      <c r="J71" s="1890" t="s">
        <v>8016</v>
      </c>
      <c r="K71" s="1894" t="s">
        <v>8090</v>
      </c>
      <c r="L71" s="1892" t="s">
        <v>1656</v>
      </c>
      <c r="M71" s="1892">
        <f t="shared" si="0"/>
        <v>4200</v>
      </c>
      <c r="N71" s="1891">
        <f t="shared" si="1"/>
        <v>2100</v>
      </c>
    </row>
    <row r="72" spans="1:14" ht="24">
      <c r="A72" s="1889" t="s">
        <v>7957</v>
      </c>
      <c r="B72" s="1889" t="s">
        <v>355</v>
      </c>
      <c r="C72" s="1889" t="s">
        <v>8100</v>
      </c>
      <c r="D72" s="1890">
        <v>31024527</v>
      </c>
      <c r="E72" s="1889" t="s">
        <v>8014</v>
      </c>
      <c r="F72" s="1890"/>
      <c r="G72" s="1889">
        <v>20</v>
      </c>
      <c r="H72" s="1889" t="s">
        <v>8015</v>
      </c>
      <c r="I72" s="1890"/>
      <c r="J72" s="1890" t="s">
        <v>8016</v>
      </c>
      <c r="K72" s="1894" t="s">
        <v>8090</v>
      </c>
      <c r="L72" s="1892" t="s">
        <v>1656</v>
      </c>
      <c r="M72" s="1892">
        <f t="shared" si="0"/>
        <v>4200</v>
      </c>
      <c r="N72" s="1891">
        <f t="shared" si="1"/>
        <v>2100</v>
      </c>
    </row>
    <row r="73" spans="1:14" ht="24">
      <c r="A73" s="1889" t="s">
        <v>7957</v>
      </c>
      <c r="B73" s="1889" t="s">
        <v>355</v>
      </c>
      <c r="C73" s="1889" t="s">
        <v>8101</v>
      </c>
      <c r="D73" s="1890">
        <v>10432440</v>
      </c>
      <c r="E73" s="1889" t="s">
        <v>8014</v>
      </c>
      <c r="F73" s="1890"/>
      <c r="G73" s="1889">
        <v>72</v>
      </c>
      <c r="H73" s="1889" t="s">
        <v>8015</v>
      </c>
      <c r="I73" s="1890"/>
      <c r="J73" s="1890" t="s">
        <v>8016</v>
      </c>
      <c r="K73" s="1894" t="s">
        <v>8028</v>
      </c>
      <c r="L73" s="1892" t="s">
        <v>1656</v>
      </c>
      <c r="M73" s="1892">
        <f t="shared" si="0"/>
        <v>7200</v>
      </c>
      <c r="N73" s="1891">
        <f t="shared" si="1"/>
        <v>3600</v>
      </c>
    </row>
    <row r="74" spans="1:14" ht="24">
      <c r="A74" s="1889" t="s">
        <v>7957</v>
      </c>
      <c r="B74" s="1889" t="s">
        <v>355</v>
      </c>
      <c r="C74" s="1889" t="s">
        <v>8102</v>
      </c>
      <c r="D74" s="1890">
        <v>31341565</v>
      </c>
      <c r="E74" s="1889" t="s">
        <v>8014</v>
      </c>
      <c r="F74" s="1890"/>
      <c r="G74" s="1889">
        <v>30</v>
      </c>
      <c r="H74" s="1889" t="s">
        <v>8015</v>
      </c>
      <c r="I74" s="1890"/>
      <c r="J74" s="1890" t="s">
        <v>8016</v>
      </c>
      <c r="K74" s="1894" t="s">
        <v>8025</v>
      </c>
      <c r="L74" s="1892" t="s">
        <v>1656</v>
      </c>
      <c r="M74" s="1892">
        <f t="shared" si="0"/>
        <v>5400</v>
      </c>
      <c r="N74" s="1891">
        <f t="shared" si="1"/>
        <v>2700</v>
      </c>
    </row>
    <row r="75" spans="1:14" ht="24">
      <c r="A75" s="1889" t="s">
        <v>7957</v>
      </c>
      <c r="B75" s="1889" t="s">
        <v>355</v>
      </c>
      <c r="C75" s="1889" t="s">
        <v>8103</v>
      </c>
      <c r="D75" s="1890">
        <v>9489726</v>
      </c>
      <c r="E75" s="1889" t="s">
        <v>8014</v>
      </c>
      <c r="F75" s="1890"/>
      <c r="G75" s="1889">
        <v>200</v>
      </c>
      <c r="H75" s="1889" t="s">
        <v>8015</v>
      </c>
      <c r="I75" s="1890"/>
      <c r="J75" s="1890" t="s">
        <v>8016</v>
      </c>
      <c r="K75" s="1894" t="s">
        <v>8104</v>
      </c>
      <c r="L75" s="1892" t="s">
        <v>1656</v>
      </c>
      <c r="M75" s="1892">
        <f t="shared" si="0"/>
        <v>2640</v>
      </c>
      <c r="N75" s="1891">
        <f t="shared" si="1"/>
        <v>1320</v>
      </c>
    </row>
    <row r="76" spans="1:14" ht="24">
      <c r="A76" s="1889" t="s">
        <v>7957</v>
      </c>
      <c r="B76" s="1889" t="s">
        <v>355</v>
      </c>
      <c r="C76" s="1889" t="s">
        <v>8105</v>
      </c>
      <c r="D76" s="1890">
        <v>43700021</v>
      </c>
      <c r="E76" s="1889" t="s">
        <v>8014</v>
      </c>
      <c r="F76" s="1890"/>
      <c r="G76" s="1889">
        <v>200</v>
      </c>
      <c r="H76" s="1889" t="s">
        <v>8015</v>
      </c>
      <c r="I76" s="1890"/>
      <c r="J76" s="1890" t="s">
        <v>8016</v>
      </c>
      <c r="K76" s="1894" t="s">
        <v>8025</v>
      </c>
      <c r="L76" s="1892" t="s">
        <v>1656</v>
      </c>
      <c r="M76" s="1892">
        <f t="shared" si="0"/>
        <v>5400</v>
      </c>
      <c r="N76" s="1891">
        <f t="shared" si="1"/>
        <v>2700</v>
      </c>
    </row>
    <row r="77" spans="1:14" ht="24">
      <c r="A77" s="1889" t="s">
        <v>7957</v>
      </c>
      <c r="B77" s="1889" t="s">
        <v>355</v>
      </c>
      <c r="C77" s="1889" t="s">
        <v>8106</v>
      </c>
      <c r="D77" s="1890">
        <v>21523723</v>
      </c>
      <c r="E77" s="1889" t="s">
        <v>8014</v>
      </c>
      <c r="F77" s="1890"/>
      <c r="G77" s="1889">
        <v>240</v>
      </c>
      <c r="H77" s="1889" t="s">
        <v>8015</v>
      </c>
      <c r="I77" s="1890"/>
      <c r="J77" s="1890" t="s">
        <v>8016</v>
      </c>
      <c r="K77" s="1894" t="s">
        <v>8031</v>
      </c>
      <c r="L77" s="1892" t="s">
        <v>1656</v>
      </c>
      <c r="M77" s="1892">
        <f t="shared" si="0"/>
        <v>2400</v>
      </c>
      <c r="N77" s="1891">
        <f t="shared" si="1"/>
        <v>1200</v>
      </c>
    </row>
    <row r="78" spans="1:14">
      <c r="A78" s="2083" t="s">
        <v>8107</v>
      </c>
      <c r="B78" s="2083"/>
      <c r="C78" s="2083"/>
      <c r="D78" s="2083"/>
      <c r="E78" s="2083"/>
      <c r="F78" s="2083"/>
      <c r="G78" s="2083"/>
      <c r="H78" s="2083"/>
      <c r="I78" s="2083"/>
      <c r="J78" s="2083"/>
      <c r="K78" s="2083"/>
      <c r="L78" s="2083"/>
      <c r="M78" s="2083"/>
      <c r="N78" s="2083"/>
    </row>
    <row r="79" spans="1:14" ht="13.5">
      <c r="A79" s="1684" t="s">
        <v>7468</v>
      </c>
      <c r="B79" s="1684" t="s">
        <v>8545</v>
      </c>
      <c r="C79" s="1895" t="s">
        <v>8546</v>
      </c>
      <c r="D79" s="1896">
        <v>29483977</v>
      </c>
      <c r="E79" s="1687" t="s">
        <v>7964</v>
      </c>
      <c r="F79" s="1687">
        <v>11002897</v>
      </c>
      <c r="G79" s="1897">
        <v>150.08000000000001</v>
      </c>
      <c r="H79" s="1687" t="s">
        <v>8547</v>
      </c>
      <c r="I79" s="1687" t="s">
        <v>8015</v>
      </c>
      <c r="J79" s="1687">
        <v>2019</v>
      </c>
      <c r="K79" s="1898">
        <v>2300</v>
      </c>
      <c r="L79" s="1687" t="s">
        <v>8548</v>
      </c>
      <c r="M79" s="1899">
        <v>27600</v>
      </c>
      <c r="N79" s="1900"/>
    </row>
    <row r="80" spans="1:14" ht="13.5">
      <c r="A80" s="1684" t="s">
        <v>7468</v>
      </c>
      <c r="B80" s="1684" t="s">
        <v>8545</v>
      </c>
      <c r="C80" s="1901" t="s">
        <v>8549</v>
      </c>
      <c r="D80" s="1896">
        <v>44173246</v>
      </c>
      <c r="E80" s="1687" t="s">
        <v>7964</v>
      </c>
      <c r="F80" s="1687">
        <v>11220425</v>
      </c>
      <c r="G80" s="1897">
        <v>100</v>
      </c>
      <c r="H80" s="1687" t="s">
        <v>8547</v>
      </c>
      <c r="I80" s="1687" t="s">
        <v>8015</v>
      </c>
      <c r="J80" s="1687">
        <v>2019</v>
      </c>
      <c r="K80" s="1898">
        <v>2300</v>
      </c>
      <c r="L80" s="1687" t="s">
        <v>8548</v>
      </c>
      <c r="M80" s="1899">
        <v>27600</v>
      </c>
      <c r="N80" s="1900"/>
    </row>
    <row r="81" spans="1:14" ht="13.5">
      <c r="A81" s="1684" t="s">
        <v>7468</v>
      </c>
      <c r="B81" s="1684" t="s">
        <v>8545</v>
      </c>
      <c r="C81" s="1684" t="s">
        <v>8550</v>
      </c>
      <c r="D81" s="1896">
        <v>40260785</v>
      </c>
      <c r="E81" s="1687" t="s">
        <v>7964</v>
      </c>
      <c r="F81" s="1687">
        <v>11149750</v>
      </c>
      <c r="G81" s="1902">
        <v>64</v>
      </c>
      <c r="H81" s="1687" t="s">
        <v>8547</v>
      </c>
      <c r="I81" s="1687" t="s">
        <v>8015</v>
      </c>
      <c r="J81" s="1687">
        <v>2019</v>
      </c>
      <c r="K81" s="1898">
        <v>1200</v>
      </c>
      <c r="L81" s="1687" t="s">
        <v>8548</v>
      </c>
      <c r="M81" s="1899">
        <v>14400</v>
      </c>
      <c r="N81" s="1900"/>
    </row>
    <row r="82" spans="1:14" ht="13.5">
      <c r="A82" s="1684" t="s">
        <v>7468</v>
      </c>
      <c r="B82" s="1684" t="s">
        <v>8545</v>
      </c>
      <c r="C82" s="1684" t="s">
        <v>8551</v>
      </c>
      <c r="D82" s="1896">
        <v>29523901</v>
      </c>
      <c r="E82" s="1687" t="s">
        <v>7964</v>
      </c>
      <c r="F82" s="1687">
        <v>11149749</v>
      </c>
      <c r="G82" s="1902">
        <v>84.5</v>
      </c>
      <c r="H82" s="1687" t="s">
        <v>8547</v>
      </c>
      <c r="I82" s="1687" t="s">
        <v>8015</v>
      </c>
      <c r="J82" s="1687">
        <v>2019</v>
      </c>
      <c r="K82" s="1898">
        <v>2300</v>
      </c>
      <c r="L82" s="1687" t="s">
        <v>8548</v>
      </c>
      <c r="M82" s="1899">
        <v>27600</v>
      </c>
      <c r="N82" s="1900"/>
    </row>
    <row r="83" spans="1:14" ht="13.5">
      <c r="A83" s="1684" t="s">
        <v>7468</v>
      </c>
      <c r="B83" s="1684" t="s">
        <v>8545</v>
      </c>
      <c r="C83" s="1706" t="s">
        <v>8552</v>
      </c>
      <c r="D83" s="1903">
        <v>32944093</v>
      </c>
      <c r="E83" s="1687" t="s">
        <v>7964</v>
      </c>
      <c r="F83" s="1904" t="s">
        <v>8553</v>
      </c>
      <c r="G83" s="1902">
        <v>30</v>
      </c>
      <c r="H83" s="1687" t="s">
        <v>8547</v>
      </c>
      <c r="I83" s="1687" t="s">
        <v>8015</v>
      </c>
      <c r="J83" s="1725">
        <v>2019</v>
      </c>
      <c r="K83" s="1905">
        <v>1200</v>
      </c>
      <c r="L83" s="1687" t="s">
        <v>8548</v>
      </c>
      <c r="M83" s="1899">
        <v>14400</v>
      </c>
      <c r="N83" s="1900"/>
    </row>
    <row r="84" spans="1:14" ht="13.5">
      <c r="A84" s="1684" t="s">
        <v>7468</v>
      </c>
      <c r="B84" s="1684" t="s">
        <v>8545</v>
      </c>
      <c r="C84" s="1684" t="s">
        <v>8554</v>
      </c>
      <c r="D84" s="1687">
        <v>29576458</v>
      </c>
      <c r="E84" s="1687" t="s">
        <v>7964</v>
      </c>
      <c r="F84" s="1725">
        <v>1145540</v>
      </c>
      <c r="G84" s="1902">
        <v>30</v>
      </c>
      <c r="H84" s="1687" t="s">
        <v>8547</v>
      </c>
      <c r="I84" s="1687" t="s">
        <v>8015</v>
      </c>
      <c r="J84" s="1725">
        <v>2020</v>
      </c>
      <c r="K84" s="1898">
        <v>1200</v>
      </c>
      <c r="L84" s="1687" t="s">
        <v>8548</v>
      </c>
      <c r="M84" s="1689"/>
      <c r="N84" s="1689">
        <v>14400</v>
      </c>
    </row>
    <row r="85" spans="1:14" ht="13.5">
      <c r="A85" s="1684" t="s">
        <v>7468</v>
      </c>
      <c r="B85" s="1684" t="s">
        <v>8545</v>
      </c>
      <c r="C85" s="1684" t="s">
        <v>8555</v>
      </c>
      <c r="D85" s="1687">
        <v>44173246</v>
      </c>
      <c r="E85" s="1687" t="s">
        <v>7964</v>
      </c>
      <c r="F85" s="1725">
        <v>11220425</v>
      </c>
      <c r="G85" s="1897">
        <v>100</v>
      </c>
      <c r="H85" s="1687" t="s">
        <v>8547</v>
      </c>
      <c r="I85" s="1687" t="s">
        <v>8015</v>
      </c>
      <c r="J85" s="1725">
        <v>2020</v>
      </c>
      <c r="K85" s="1898">
        <v>2300</v>
      </c>
      <c r="L85" s="1687" t="s">
        <v>8548</v>
      </c>
      <c r="M85" s="1689"/>
      <c r="N85" s="1689">
        <v>27600</v>
      </c>
    </row>
    <row r="86" spans="1:14" ht="13.5">
      <c r="A86" s="1684" t="s">
        <v>7468</v>
      </c>
      <c r="B86" s="1684" t="s">
        <v>8545</v>
      </c>
      <c r="C86" s="1684" t="s">
        <v>8556</v>
      </c>
      <c r="D86" s="1687">
        <v>29256841</v>
      </c>
      <c r="E86" s="1687" t="s">
        <v>7964</v>
      </c>
      <c r="F86" s="1684"/>
      <c r="G86" s="1897">
        <v>100</v>
      </c>
      <c r="H86" s="1687" t="s">
        <v>8547</v>
      </c>
      <c r="I86" s="1687" t="s">
        <v>8015</v>
      </c>
      <c r="J86" s="1725">
        <v>2020</v>
      </c>
      <c r="K86" s="1898">
        <v>2300</v>
      </c>
      <c r="L86" s="1687" t="s">
        <v>8548</v>
      </c>
      <c r="M86" s="1689"/>
      <c r="N86" s="1689">
        <v>27600</v>
      </c>
    </row>
    <row r="87" spans="1:14" ht="13.5">
      <c r="A87" s="1684" t="s">
        <v>7468</v>
      </c>
      <c r="B87" s="1684" t="s">
        <v>8545</v>
      </c>
      <c r="C87" s="1684" t="s">
        <v>8557</v>
      </c>
      <c r="D87" s="1687">
        <v>29315721</v>
      </c>
      <c r="E87" s="1687" t="s">
        <v>7964</v>
      </c>
      <c r="F87" s="1684"/>
      <c r="G87" s="1897">
        <v>100</v>
      </c>
      <c r="H87" s="1687" t="s">
        <v>8547</v>
      </c>
      <c r="I87" s="1687" t="s">
        <v>8015</v>
      </c>
      <c r="J87" s="1725">
        <v>2020</v>
      </c>
      <c r="K87" s="1898">
        <v>2300</v>
      </c>
      <c r="L87" s="1687" t="s">
        <v>8548</v>
      </c>
      <c r="M87" s="1689"/>
      <c r="N87" s="1689">
        <v>27600</v>
      </c>
    </row>
    <row r="88" spans="1:14" ht="12.75">
      <c r="A88" s="2079" t="s">
        <v>0</v>
      </c>
      <c r="B88" s="2079"/>
      <c r="C88" s="2079"/>
      <c r="D88" s="2079"/>
      <c r="E88" s="2079"/>
      <c r="F88" s="2079"/>
      <c r="G88" s="2079"/>
      <c r="H88" s="2079"/>
      <c r="I88" s="2079"/>
      <c r="J88" s="2079"/>
      <c r="K88" s="2079"/>
      <c r="L88" s="2079"/>
      <c r="M88" s="1749">
        <f>SUM(M79:M87)</f>
        <v>111600</v>
      </c>
      <c r="N88" s="1749">
        <f>SUM(N84:N87)</f>
        <v>97200</v>
      </c>
    </row>
    <row r="89" spans="1:14" ht="13.5">
      <c r="A89" s="1684" t="s">
        <v>7468</v>
      </c>
      <c r="B89" s="1684" t="s">
        <v>8545</v>
      </c>
      <c r="C89" s="1684" t="s">
        <v>8558</v>
      </c>
      <c r="D89" s="1896">
        <v>17845709</v>
      </c>
      <c r="E89" s="1687" t="s">
        <v>7964</v>
      </c>
      <c r="F89" s="1687"/>
      <c r="G89" s="1897">
        <v>200</v>
      </c>
      <c r="H89" s="1687" t="s">
        <v>8547</v>
      </c>
      <c r="I89" s="1687" t="s">
        <v>8015</v>
      </c>
      <c r="J89" s="1687">
        <v>2019</v>
      </c>
      <c r="K89" s="1906">
        <v>2795</v>
      </c>
      <c r="L89" s="1687" t="s">
        <v>8548</v>
      </c>
      <c r="M89" s="1899">
        <v>33540</v>
      </c>
      <c r="N89" s="1899"/>
    </row>
    <row r="90" spans="1:14" ht="13.5">
      <c r="A90" s="1684" t="s">
        <v>7468</v>
      </c>
      <c r="B90" s="1684" t="s">
        <v>8545</v>
      </c>
      <c r="C90" s="1684" t="s">
        <v>8559</v>
      </c>
      <c r="D90" s="1896">
        <v>42658883</v>
      </c>
      <c r="E90" s="1687" t="s">
        <v>8560</v>
      </c>
      <c r="F90" s="1687"/>
      <c r="G90" s="1897">
        <v>200</v>
      </c>
      <c r="H90" s="1687" t="s">
        <v>8547</v>
      </c>
      <c r="I90" s="1687" t="s">
        <v>8015</v>
      </c>
      <c r="J90" s="1687">
        <v>2019</v>
      </c>
      <c r="K90" s="1906">
        <v>2166.67</v>
      </c>
      <c r="L90" s="1687" t="s">
        <v>8548</v>
      </c>
      <c r="M90" s="1899">
        <v>26004</v>
      </c>
      <c r="N90" s="1899"/>
    </row>
    <row r="91" spans="1:14" ht="13.5">
      <c r="A91" s="1684" t="s">
        <v>7468</v>
      </c>
      <c r="B91" s="1684" t="s">
        <v>8545</v>
      </c>
      <c r="C91" s="1684" t="s">
        <v>8561</v>
      </c>
      <c r="D91" s="1896">
        <v>32973505</v>
      </c>
      <c r="E91" s="1687" t="s">
        <v>7964</v>
      </c>
      <c r="F91" s="1687"/>
      <c r="G91" s="1897">
        <v>150</v>
      </c>
      <c r="H91" s="1687" t="s">
        <v>8547</v>
      </c>
      <c r="I91" s="1687" t="s">
        <v>8015</v>
      </c>
      <c r="J91" s="1687">
        <v>2019</v>
      </c>
      <c r="K91" s="1906">
        <v>1040</v>
      </c>
      <c r="L91" s="1687" t="s">
        <v>8562</v>
      </c>
      <c r="M91" s="1899">
        <v>5200</v>
      </c>
      <c r="N91" s="1899"/>
    </row>
    <row r="92" spans="1:14" ht="13.5">
      <c r="A92" s="1684" t="s">
        <v>7468</v>
      </c>
      <c r="B92" s="1684" t="s">
        <v>8545</v>
      </c>
      <c r="C92" s="1684" t="s">
        <v>8563</v>
      </c>
      <c r="D92" s="1896">
        <v>32860542</v>
      </c>
      <c r="E92" s="1687" t="s">
        <v>7964</v>
      </c>
      <c r="F92" s="1687"/>
      <c r="G92" s="1897">
        <v>80</v>
      </c>
      <c r="H92" s="1687" t="s">
        <v>8015</v>
      </c>
      <c r="I92" s="1687" t="s">
        <v>8015</v>
      </c>
      <c r="J92" s="1687">
        <v>2019</v>
      </c>
      <c r="K92" s="1906">
        <v>1080</v>
      </c>
      <c r="L92" s="1687" t="s">
        <v>8562</v>
      </c>
      <c r="M92" s="1899">
        <v>5340</v>
      </c>
      <c r="N92" s="1899"/>
    </row>
    <row r="93" spans="1:14" ht="13.5">
      <c r="A93" s="1684" t="s">
        <v>7468</v>
      </c>
      <c r="B93" s="1684" t="s">
        <v>8545</v>
      </c>
      <c r="C93" s="1684" t="s">
        <v>8564</v>
      </c>
      <c r="D93" s="1896">
        <v>18138817</v>
      </c>
      <c r="E93" s="1687" t="s">
        <v>7964</v>
      </c>
      <c r="F93" s="1687"/>
      <c r="G93" s="1897">
        <v>200</v>
      </c>
      <c r="H93" s="1687" t="s">
        <v>8547</v>
      </c>
      <c r="I93" s="1687" t="s">
        <v>8015</v>
      </c>
      <c r="J93" s="1687">
        <v>2020</v>
      </c>
      <c r="K93" s="1906">
        <f>33600/12</f>
        <v>2800</v>
      </c>
      <c r="L93" s="1687" t="s">
        <v>8548</v>
      </c>
      <c r="M93" s="1899"/>
      <c r="N93" s="1899">
        <v>16800</v>
      </c>
    </row>
    <row r="94" spans="1:14" ht="13.5">
      <c r="A94" s="1684" t="s">
        <v>7468</v>
      </c>
      <c r="B94" s="1684" t="s">
        <v>8545</v>
      </c>
      <c r="C94" s="1684" t="s">
        <v>8565</v>
      </c>
      <c r="D94" s="1896">
        <v>32888105</v>
      </c>
      <c r="E94" s="1687" t="s">
        <v>7964</v>
      </c>
      <c r="F94" s="1687"/>
      <c r="G94" s="1897">
        <v>200</v>
      </c>
      <c r="H94" s="1687" t="s">
        <v>8547</v>
      </c>
      <c r="I94" s="1687" t="s">
        <v>8015</v>
      </c>
      <c r="J94" s="1687">
        <v>2020</v>
      </c>
      <c r="K94" s="1906">
        <v>2600</v>
      </c>
      <c r="L94" s="1687" t="s">
        <v>8566</v>
      </c>
      <c r="M94" s="1689"/>
      <c r="N94" s="1689">
        <v>0</v>
      </c>
    </row>
    <row r="95" spans="1:14" ht="13.5">
      <c r="A95" s="1684" t="s">
        <v>7468</v>
      </c>
      <c r="B95" s="1684" t="s">
        <v>8545</v>
      </c>
      <c r="C95" s="1684" t="s">
        <v>8563</v>
      </c>
      <c r="D95" s="1896">
        <v>32860542</v>
      </c>
      <c r="E95" s="1687" t="s">
        <v>7964</v>
      </c>
      <c r="F95" s="1687"/>
      <c r="G95" s="1897">
        <v>80</v>
      </c>
      <c r="H95" s="1687" t="s">
        <v>8015</v>
      </c>
      <c r="I95" s="1687" t="s">
        <v>8015</v>
      </c>
      <c r="J95" s="1687">
        <v>2020</v>
      </c>
      <c r="K95" s="1906">
        <v>1260</v>
      </c>
      <c r="L95" s="1687" t="s">
        <v>8567</v>
      </c>
      <c r="M95" s="1689"/>
      <c r="N95" s="1689">
        <v>0</v>
      </c>
    </row>
    <row r="96" spans="1:14" ht="12.75">
      <c r="A96" s="2079" t="s">
        <v>0</v>
      </c>
      <c r="B96" s="2079"/>
      <c r="C96" s="2079"/>
      <c r="D96" s="2079"/>
      <c r="E96" s="2079"/>
      <c r="F96" s="2079"/>
      <c r="G96" s="2079"/>
      <c r="H96" s="2079"/>
      <c r="I96" s="2079"/>
      <c r="J96" s="2079"/>
      <c r="K96" s="2079"/>
      <c r="L96" s="2079"/>
      <c r="M96" s="1749">
        <f>SUM(M89:M95)</f>
        <v>70084</v>
      </c>
      <c r="N96" s="1749">
        <f t="shared" ref="N96" si="2">SUM(N89:N95)</f>
        <v>16800</v>
      </c>
    </row>
    <row r="97" spans="1:14" ht="13.5">
      <c r="A97" s="1684" t="s">
        <v>7468</v>
      </c>
      <c r="B97" s="1684" t="s">
        <v>8545</v>
      </c>
      <c r="C97" s="1895" t="s">
        <v>8568</v>
      </c>
      <c r="D97" s="1907" t="s">
        <v>8569</v>
      </c>
      <c r="E97" s="1687" t="s">
        <v>7964</v>
      </c>
      <c r="F97" s="1687">
        <v>4026790</v>
      </c>
      <c r="G97" s="1687">
        <v>300</v>
      </c>
      <c r="H97" s="1687" t="s">
        <v>8547</v>
      </c>
      <c r="I97" s="1687" t="s">
        <v>7970</v>
      </c>
      <c r="J97" s="1687">
        <v>2019</v>
      </c>
      <c r="K97" s="1898">
        <v>5040</v>
      </c>
      <c r="L97" s="1684" t="s">
        <v>8570</v>
      </c>
      <c r="M97" s="1899">
        <f>+K97*10</f>
        <v>50400</v>
      </c>
      <c r="N97" s="1899"/>
    </row>
    <row r="98" spans="1:14" ht="13.5">
      <c r="A98" s="1684" t="s">
        <v>7468</v>
      </c>
      <c r="B98" s="1684" t="s">
        <v>8545</v>
      </c>
      <c r="C98" s="1901" t="s">
        <v>8571</v>
      </c>
      <c r="D98" s="1896">
        <v>76650921</v>
      </c>
      <c r="E98" s="1687" t="s">
        <v>7964</v>
      </c>
      <c r="F98" s="1687">
        <v>4026790</v>
      </c>
      <c r="G98" s="1687">
        <v>300</v>
      </c>
      <c r="H98" s="1687" t="s">
        <v>8547</v>
      </c>
      <c r="I98" s="1687" t="s">
        <v>7970</v>
      </c>
      <c r="J98" s="1687">
        <v>2020</v>
      </c>
      <c r="K98" s="1898">
        <v>5040</v>
      </c>
      <c r="L98" s="1684" t="s">
        <v>8572</v>
      </c>
      <c r="M98" s="1899"/>
      <c r="N98" s="1708">
        <f>+K98*4</f>
        <v>20160</v>
      </c>
    </row>
    <row r="99" spans="1:14" ht="12.75">
      <c r="A99" s="2079" t="s">
        <v>0</v>
      </c>
      <c r="B99" s="2079"/>
      <c r="C99" s="2079"/>
      <c r="D99" s="2079"/>
      <c r="E99" s="2079"/>
      <c r="F99" s="2079"/>
      <c r="G99" s="2079"/>
      <c r="H99" s="2079"/>
      <c r="I99" s="2079"/>
      <c r="J99" s="2079"/>
      <c r="K99" s="2079"/>
      <c r="L99" s="2079"/>
      <c r="M99" s="1749">
        <f>SUM(M97:M98)</f>
        <v>50400</v>
      </c>
      <c r="N99" s="1749">
        <f t="shared" ref="N99" si="3">SUM(N97:N98)</f>
        <v>20160</v>
      </c>
    </row>
    <row r="100" spans="1:14" ht="27">
      <c r="A100" s="1684" t="s">
        <v>8573</v>
      </c>
      <c r="B100" s="1684" t="s">
        <v>8574</v>
      </c>
      <c r="C100" s="1685" t="s">
        <v>8575</v>
      </c>
      <c r="D100" s="1686" t="s">
        <v>8576</v>
      </c>
      <c r="E100" s="1687" t="s">
        <v>7964</v>
      </c>
      <c r="F100" s="1684"/>
      <c r="G100" s="1687">
        <v>77.5</v>
      </c>
      <c r="H100" s="1687" t="s">
        <v>8015</v>
      </c>
      <c r="I100" s="1687" t="s">
        <v>8015</v>
      </c>
      <c r="J100" s="1688" t="s">
        <v>8577</v>
      </c>
      <c r="K100" s="1689">
        <v>2550</v>
      </c>
      <c r="L100" s="1684" t="s">
        <v>8578</v>
      </c>
      <c r="M100" s="1689">
        <f>+K100*2</f>
        <v>5100</v>
      </c>
      <c r="N100" s="1689"/>
    </row>
    <row r="101" spans="1:14" ht="13.5">
      <c r="A101" s="1684" t="s">
        <v>8573</v>
      </c>
      <c r="B101" s="1684" t="s">
        <v>8574</v>
      </c>
      <c r="C101" s="1685" t="s">
        <v>8579</v>
      </c>
      <c r="D101" s="1686" t="s">
        <v>8580</v>
      </c>
      <c r="E101" s="1687" t="s">
        <v>7964</v>
      </c>
      <c r="F101" s="1684"/>
      <c r="G101" s="1687">
        <v>117</v>
      </c>
      <c r="H101" s="1687" t="s">
        <v>8015</v>
      </c>
      <c r="I101" s="1687" t="s">
        <v>8015</v>
      </c>
      <c r="J101" s="1688" t="s">
        <v>8577</v>
      </c>
      <c r="K101" s="1689">
        <v>1800</v>
      </c>
      <c r="L101" s="1684" t="s">
        <v>8578</v>
      </c>
      <c r="M101" s="1689">
        <v>3600</v>
      </c>
      <c r="N101" s="1689"/>
    </row>
    <row r="102" spans="1:14" ht="27">
      <c r="A102" s="1684" t="s">
        <v>8573</v>
      </c>
      <c r="B102" s="1684" t="s">
        <v>8574</v>
      </c>
      <c r="C102" s="1685" t="s">
        <v>8581</v>
      </c>
      <c r="D102" s="1686" t="s">
        <v>8582</v>
      </c>
      <c r="E102" s="1687" t="s">
        <v>7964</v>
      </c>
      <c r="F102" s="1684">
        <v>11235467</v>
      </c>
      <c r="G102" s="1687">
        <v>96.19</v>
      </c>
      <c r="H102" s="1687" t="s">
        <v>8015</v>
      </c>
      <c r="I102" s="1687" t="s">
        <v>8015</v>
      </c>
      <c r="J102" s="1688" t="s">
        <v>8577</v>
      </c>
      <c r="K102" s="1689">
        <v>2250</v>
      </c>
      <c r="L102" s="1684" t="s">
        <v>8578</v>
      </c>
      <c r="M102" s="1689">
        <v>4500</v>
      </c>
      <c r="N102" s="1689"/>
    </row>
    <row r="103" spans="1:14" ht="27">
      <c r="A103" s="1684" t="s">
        <v>8573</v>
      </c>
      <c r="B103" s="1684" t="s">
        <v>8574</v>
      </c>
      <c r="C103" s="1685" t="s">
        <v>8583</v>
      </c>
      <c r="D103" s="1686" t="s">
        <v>8584</v>
      </c>
      <c r="E103" s="1687" t="s">
        <v>7964</v>
      </c>
      <c r="F103" s="1684">
        <v>19003686</v>
      </c>
      <c r="G103" s="1687">
        <v>95</v>
      </c>
      <c r="H103" s="1687" t="s">
        <v>8015</v>
      </c>
      <c r="I103" s="1687" t="s">
        <v>8015</v>
      </c>
      <c r="J103" s="1688" t="s">
        <v>8577</v>
      </c>
      <c r="K103" s="1689">
        <v>2700</v>
      </c>
      <c r="L103" s="1684" t="s">
        <v>8578</v>
      </c>
      <c r="M103" s="1689">
        <v>5400</v>
      </c>
      <c r="N103" s="1689"/>
    </row>
    <row r="104" spans="1:14" ht="27">
      <c r="A104" s="1684" t="s">
        <v>8573</v>
      </c>
      <c r="B104" s="1684" t="s">
        <v>8574</v>
      </c>
      <c r="C104" s="1685" t="s">
        <v>8583</v>
      </c>
      <c r="D104" s="1686" t="s">
        <v>8584</v>
      </c>
      <c r="E104" s="1687" t="s">
        <v>7964</v>
      </c>
      <c r="F104" s="1684">
        <v>19003701</v>
      </c>
      <c r="G104" s="1687">
        <v>95</v>
      </c>
      <c r="H104" s="1687" t="s">
        <v>8015</v>
      </c>
      <c r="I104" s="1687" t="s">
        <v>8015</v>
      </c>
      <c r="J104" s="1688" t="s">
        <v>8577</v>
      </c>
      <c r="K104" s="1689">
        <v>2700</v>
      </c>
      <c r="L104" s="1684" t="s">
        <v>8578</v>
      </c>
      <c r="M104" s="1689">
        <v>5400</v>
      </c>
      <c r="N104" s="1689"/>
    </row>
    <row r="105" spans="1:14" ht="27">
      <c r="A105" s="1684" t="s">
        <v>8573</v>
      </c>
      <c r="B105" s="1684" t="s">
        <v>8574</v>
      </c>
      <c r="C105" s="1685" t="s">
        <v>8585</v>
      </c>
      <c r="D105" s="1686" t="s">
        <v>8586</v>
      </c>
      <c r="E105" s="1687" t="s">
        <v>7964</v>
      </c>
      <c r="F105" s="1684"/>
      <c r="G105" s="1687">
        <v>105</v>
      </c>
      <c r="H105" s="1687" t="s">
        <v>8547</v>
      </c>
      <c r="I105" s="1687" t="s">
        <v>8015</v>
      </c>
      <c r="J105" s="1688" t="s">
        <v>8577</v>
      </c>
      <c r="K105" s="1689">
        <v>3000</v>
      </c>
      <c r="L105" s="1684" t="s">
        <v>8578</v>
      </c>
      <c r="M105" s="1689">
        <v>6000</v>
      </c>
      <c r="N105" s="1689"/>
    </row>
    <row r="106" spans="1:14" ht="27">
      <c r="A106" s="1684" t="s">
        <v>8573</v>
      </c>
      <c r="B106" s="1684" t="s">
        <v>8574</v>
      </c>
      <c r="C106" s="1685" t="s">
        <v>8587</v>
      </c>
      <c r="D106" s="1686" t="s">
        <v>8586</v>
      </c>
      <c r="E106" s="1687" t="s">
        <v>7964</v>
      </c>
      <c r="F106" s="1684"/>
      <c r="G106" s="1687">
        <v>105</v>
      </c>
      <c r="H106" s="1687" t="s">
        <v>8547</v>
      </c>
      <c r="I106" s="1687" t="s">
        <v>8015</v>
      </c>
      <c r="J106" s="1688" t="s">
        <v>8577</v>
      </c>
      <c r="K106" s="1689">
        <v>1995</v>
      </c>
      <c r="L106" s="1684" t="s">
        <v>8578</v>
      </c>
      <c r="M106" s="1689">
        <v>3990</v>
      </c>
      <c r="N106" s="1689"/>
    </row>
    <row r="107" spans="1:14" ht="27">
      <c r="A107" s="1684" t="s">
        <v>8573</v>
      </c>
      <c r="B107" s="1684" t="s">
        <v>8574</v>
      </c>
      <c r="C107" s="1685" t="s">
        <v>8588</v>
      </c>
      <c r="D107" s="1686" t="s">
        <v>8589</v>
      </c>
      <c r="E107" s="1687" t="s">
        <v>7964</v>
      </c>
      <c r="F107" s="1684">
        <v>11501411</v>
      </c>
      <c r="G107" s="1687">
        <v>150</v>
      </c>
      <c r="H107" s="1687" t="s">
        <v>8015</v>
      </c>
      <c r="I107" s="1687" t="s">
        <v>8015</v>
      </c>
      <c r="J107" s="1688" t="s">
        <v>8577</v>
      </c>
      <c r="K107" s="1689">
        <v>2100</v>
      </c>
      <c r="L107" s="1684" t="s">
        <v>8578</v>
      </c>
      <c r="M107" s="1689">
        <v>4200</v>
      </c>
      <c r="N107" s="1689"/>
    </row>
    <row r="108" spans="1:14" ht="27">
      <c r="A108" s="1684" t="s">
        <v>8573</v>
      </c>
      <c r="B108" s="1684" t="s">
        <v>8574</v>
      </c>
      <c r="C108" s="1685" t="s">
        <v>8590</v>
      </c>
      <c r="D108" s="1686" t="s">
        <v>8591</v>
      </c>
      <c r="E108" s="1687" t="s">
        <v>7964</v>
      </c>
      <c r="F108" s="1684"/>
      <c r="G108" s="1687">
        <v>80</v>
      </c>
      <c r="H108" s="1687" t="s">
        <v>8547</v>
      </c>
      <c r="I108" s="1687" t="s">
        <v>8015</v>
      </c>
      <c r="J108" s="1688" t="s">
        <v>8577</v>
      </c>
      <c r="K108" s="1689">
        <v>2700</v>
      </c>
      <c r="L108" s="1684" t="s">
        <v>8578</v>
      </c>
      <c r="M108" s="1689">
        <v>5400</v>
      </c>
      <c r="N108" s="1689"/>
    </row>
    <row r="109" spans="1:14" ht="27">
      <c r="A109" s="1684" t="s">
        <v>8573</v>
      </c>
      <c r="B109" s="1684" t="s">
        <v>8574</v>
      </c>
      <c r="C109" s="1685" t="s">
        <v>8592</v>
      </c>
      <c r="D109" s="1686" t="s">
        <v>8593</v>
      </c>
      <c r="E109" s="1687" t="s">
        <v>7964</v>
      </c>
      <c r="F109" s="1684"/>
      <c r="G109" s="1687">
        <v>150</v>
      </c>
      <c r="H109" s="1687" t="s">
        <v>8547</v>
      </c>
      <c r="I109" s="1687" t="s">
        <v>8015</v>
      </c>
      <c r="J109" s="1688" t="s">
        <v>8577</v>
      </c>
      <c r="K109" s="1689">
        <v>3750</v>
      </c>
      <c r="L109" s="1684" t="s">
        <v>8578</v>
      </c>
      <c r="M109" s="1689">
        <v>7500</v>
      </c>
      <c r="N109" s="1689"/>
    </row>
    <row r="110" spans="1:14" ht="27">
      <c r="A110" s="1684" t="s">
        <v>8573</v>
      </c>
      <c r="B110" s="1684" t="s">
        <v>8574</v>
      </c>
      <c r="C110" s="1685" t="s">
        <v>8594</v>
      </c>
      <c r="D110" s="1686" t="s">
        <v>8595</v>
      </c>
      <c r="E110" s="1687" t="s">
        <v>7964</v>
      </c>
      <c r="F110" s="1684"/>
      <c r="G110" s="1687">
        <v>120</v>
      </c>
      <c r="H110" s="1687" t="s">
        <v>8547</v>
      </c>
      <c r="I110" s="1687" t="s">
        <v>8015</v>
      </c>
      <c r="J110" s="1688" t="s">
        <v>8577</v>
      </c>
      <c r="K110" s="1689">
        <v>2550</v>
      </c>
      <c r="L110" s="1684" t="s">
        <v>8578</v>
      </c>
      <c r="M110" s="1689">
        <v>5100</v>
      </c>
      <c r="N110" s="1689"/>
    </row>
    <row r="111" spans="1:14" ht="27">
      <c r="A111" s="1684" t="s">
        <v>8573</v>
      </c>
      <c r="B111" s="1684" t="s">
        <v>8574</v>
      </c>
      <c r="C111" s="1685" t="s">
        <v>8596</v>
      </c>
      <c r="D111" s="1686" t="s">
        <v>8597</v>
      </c>
      <c r="E111" s="1687" t="s">
        <v>7964</v>
      </c>
      <c r="F111" s="1684">
        <v>3012350</v>
      </c>
      <c r="G111" s="1687">
        <v>162</v>
      </c>
      <c r="H111" s="1687" t="s">
        <v>8547</v>
      </c>
      <c r="I111" s="1687" t="s">
        <v>8015</v>
      </c>
      <c r="J111" s="1688" t="s">
        <v>8577</v>
      </c>
      <c r="K111" s="1689">
        <v>1500</v>
      </c>
      <c r="L111" s="1684" t="s">
        <v>8578</v>
      </c>
      <c r="M111" s="1689">
        <v>4500</v>
      </c>
      <c r="N111" s="1689"/>
    </row>
    <row r="112" spans="1:14" ht="13.5">
      <c r="A112" s="1684" t="s">
        <v>8573</v>
      </c>
      <c r="B112" s="1684" t="s">
        <v>8574</v>
      </c>
      <c r="C112" s="1685" t="s">
        <v>8598</v>
      </c>
      <c r="D112" s="1686" t="s">
        <v>8599</v>
      </c>
      <c r="E112" s="1687" t="s">
        <v>7964</v>
      </c>
      <c r="F112" s="1684"/>
      <c r="G112" s="1687">
        <v>120</v>
      </c>
      <c r="H112" s="1687" t="s">
        <v>8547</v>
      </c>
      <c r="I112" s="1687" t="s">
        <v>8015</v>
      </c>
      <c r="J112" s="1688" t="s">
        <v>8577</v>
      </c>
      <c r="K112" s="1689">
        <v>4725</v>
      </c>
      <c r="L112" s="1684" t="s">
        <v>8578</v>
      </c>
      <c r="M112" s="1689">
        <v>9450</v>
      </c>
      <c r="N112" s="1689"/>
    </row>
    <row r="113" spans="1:14" ht="13.5">
      <c r="A113" s="1684" t="s">
        <v>8573</v>
      </c>
      <c r="B113" s="1684" t="s">
        <v>8574</v>
      </c>
      <c r="C113" s="1685" t="s">
        <v>8600</v>
      </c>
      <c r="D113" s="1686" t="s">
        <v>8601</v>
      </c>
      <c r="E113" s="1687" t="s">
        <v>7964</v>
      </c>
      <c r="F113" s="1684"/>
      <c r="G113" s="1687">
        <v>177</v>
      </c>
      <c r="H113" s="1687" t="s">
        <v>8547</v>
      </c>
      <c r="I113" s="1687" t="s">
        <v>8015</v>
      </c>
      <c r="J113" s="1688" t="s">
        <v>8577</v>
      </c>
      <c r="K113" s="1689">
        <v>2700</v>
      </c>
      <c r="L113" s="1684" t="s">
        <v>8578</v>
      </c>
      <c r="M113" s="1689">
        <v>5400</v>
      </c>
      <c r="N113" s="1689"/>
    </row>
    <row r="114" spans="1:14" ht="27">
      <c r="A114" s="1684" t="s">
        <v>8573</v>
      </c>
      <c r="B114" s="1684" t="s">
        <v>8574</v>
      </c>
      <c r="C114" s="1685" t="s">
        <v>8602</v>
      </c>
      <c r="D114" s="1686" t="s">
        <v>8603</v>
      </c>
      <c r="E114" s="1687" t="s">
        <v>7964</v>
      </c>
      <c r="F114" s="1684"/>
      <c r="G114" s="1687">
        <v>120</v>
      </c>
      <c r="H114" s="1687" t="s">
        <v>8547</v>
      </c>
      <c r="I114" s="1687" t="s">
        <v>8015</v>
      </c>
      <c r="J114" s="1688" t="s">
        <v>8577</v>
      </c>
      <c r="K114" s="1689">
        <v>3689</v>
      </c>
      <c r="L114" s="1684" t="s">
        <v>8578</v>
      </c>
      <c r="M114" s="1689">
        <v>7378</v>
      </c>
      <c r="N114" s="1689"/>
    </row>
    <row r="115" spans="1:14" ht="13.5">
      <c r="A115" s="1684" t="s">
        <v>8573</v>
      </c>
      <c r="B115" s="1684" t="s">
        <v>8574</v>
      </c>
      <c r="C115" s="1685" t="s">
        <v>8604</v>
      </c>
      <c r="D115" s="1686" t="s">
        <v>8605</v>
      </c>
      <c r="E115" s="1687" t="s">
        <v>7964</v>
      </c>
      <c r="F115" s="1684"/>
      <c r="G115" s="1687">
        <v>160</v>
      </c>
      <c r="H115" s="1687" t="s">
        <v>8547</v>
      </c>
      <c r="I115" s="1687" t="s">
        <v>8015</v>
      </c>
      <c r="J115" s="1688" t="s">
        <v>8577</v>
      </c>
      <c r="K115" s="1689">
        <v>4275</v>
      </c>
      <c r="L115" s="1684" t="s">
        <v>8578</v>
      </c>
      <c r="M115" s="1689">
        <v>8550</v>
      </c>
      <c r="N115" s="1689"/>
    </row>
    <row r="116" spans="1:14" ht="27">
      <c r="A116" s="1684" t="s">
        <v>8573</v>
      </c>
      <c r="B116" s="1684" t="s">
        <v>8574</v>
      </c>
      <c r="C116" s="1685" t="s">
        <v>8606</v>
      </c>
      <c r="D116" s="1686" t="s">
        <v>8607</v>
      </c>
      <c r="E116" s="1687" t="s">
        <v>7964</v>
      </c>
      <c r="F116" s="1684"/>
      <c r="G116" s="1687">
        <v>120</v>
      </c>
      <c r="H116" s="1687" t="s">
        <v>8547</v>
      </c>
      <c r="I116" s="1687" t="s">
        <v>8015</v>
      </c>
      <c r="J116" s="1688" t="s">
        <v>8577</v>
      </c>
      <c r="K116" s="1689">
        <v>2361</v>
      </c>
      <c r="L116" s="1684" t="s">
        <v>8578</v>
      </c>
      <c r="M116" s="1689">
        <v>4722</v>
      </c>
      <c r="N116" s="1689"/>
    </row>
    <row r="117" spans="1:14" ht="27">
      <c r="A117" s="1684" t="s">
        <v>8573</v>
      </c>
      <c r="B117" s="1684" t="s">
        <v>8574</v>
      </c>
      <c r="C117" s="1685" t="s">
        <v>8608</v>
      </c>
      <c r="D117" s="1686" t="s">
        <v>8609</v>
      </c>
      <c r="E117" s="1687" t="s">
        <v>7964</v>
      </c>
      <c r="F117" s="1684"/>
      <c r="G117" s="1687">
        <v>216</v>
      </c>
      <c r="H117" s="1687" t="s">
        <v>8547</v>
      </c>
      <c r="I117" s="1687" t="s">
        <v>8015</v>
      </c>
      <c r="J117" s="1688" t="s">
        <v>8577</v>
      </c>
      <c r="K117" s="1689">
        <v>3750</v>
      </c>
      <c r="L117" s="1684" t="s">
        <v>8578</v>
      </c>
      <c r="M117" s="1689">
        <v>7500</v>
      </c>
      <c r="N117" s="1689"/>
    </row>
    <row r="118" spans="1:14" ht="27">
      <c r="A118" s="1684" t="s">
        <v>8573</v>
      </c>
      <c r="B118" s="1684" t="s">
        <v>8574</v>
      </c>
      <c r="C118" s="1685" t="s">
        <v>8610</v>
      </c>
      <c r="D118" s="1686" t="s">
        <v>8611</v>
      </c>
      <c r="E118" s="1687" t="s">
        <v>7964</v>
      </c>
      <c r="F118" s="1684"/>
      <c r="G118" s="1687">
        <v>260</v>
      </c>
      <c r="H118" s="1687" t="s">
        <v>8015</v>
      </c>
      <c r="I118" s="1687" t="s">
        <v>8015</v>
      </c>
      <c r="J118" s="1688" t="s">
        <v>8577</v>
      </c>
      <c r="K118" s="1689">
        <v>3300</v>
      </c>
      <c r="L118" s="1684" t="s">
        <v>8578</v>
      </c>
      <c r="M118" s="1689">
        <v>6600</v>
      </c>
      <c r="N118" s="1689"/>
    </row>
    <row r="119" spans="1:14" ht="27">
      <c r="A119" s="1684" t="s">
        <v>8573</v>
      </c>
      <c r="B119" s="1684" t="s">
        <v>8574</v>
      </c>
      <c r="C119" s="1685" t="s">
        <v>8612</v>
      </c>
      <c r="D119" s="1686" t="s">
        <v>8613</v>
      </c>
      <c r="E119" s="1687" t="s">
        <v>7964</v>
      </c>
      <c r="F119" s="1684"/>
      <c r="G119" s="1687">
        <v>71</v>
      </c>
      <c r="H119" s="1687" t="s">
        <v>8015</v>
      </c>
      <c r="I119" s="1687" t="s">
        <v>8015</v>
      </c>
      <c r="J119" s="1688" t="s">
        <v>8577</v>
      </c>
      <c r="K119" s="1689">
        <v>2100</v>
      </c>
      <c r="L119" s="1684" t="s">
        <v>8578</v>
      </c>
      <c r="M119" s="1689">
        <v>4200</v>
      </c>
      <c r="N119" s="1689"/>
    </row>
    <row r="120" spans="1:14" ht="13.5">
      <c r="A120" s="1684" t="s">
        <v>8573</v>
      </c>
      <c r="B120" s="1684" t="s">
        <v>8574</v>
      </c>
      <c r="C120" s="1685" t="s">
        <v>8614</v>
      </c>
      <c r="D120" s="1686" t="s">
        <v>8615</v>
      </c>
      <c r="E120" s="1687" t="s">
        <v>7964</v>
      </c>
      <c r="F120" s="1684"/>
      <c r="G120" s="1687">
        <v>63</v>
      </c>
      <c r="H120" s="1687" t="s">
        <v>8015</v>
      </c>
      <c r="I120" s="1687" t="s">
        <v>8015</v>
      </c>
      <c r="J120" s="1688" t="s">
        <v>8577</v>
      </c>
      <c r="K120" s="1689">
        <v>2250</v>
      </c>
      <c r="L120" s="1684" t="s">
        <v>8578</v>
      </c>
      <c r="M120" s="1689">
        <v>4500</v>
      </c>
      <c r="N120" s="1689"/>
    </row>
    <row r="121" spans="1:14" ht="27">
      <c r="A121" s="1684" t="s">
        <v>8573</v>
      </c>
      <c r="B121" s="1684" t="s">
        <v>8574</v>
      </c>
      <c r="C121" s="1685" t="s">
        <v>8616</v>
      </c>
      <c r="D121" s="1686" t="s">
        <v>8617</v>
      </c>
      <c r="E121" s="1687" t="s">
        <v>7964</v>
      </c>
      <c r="F121" s="1687"/>
      <c r="G121" s="1687">
        <v>380</v>
      </c>
      <c r="H121" s="1687" t="s">
        <v>8015</v>
      </c>
      <c r="I121" s="1687" t="s">
        <v>8015</v>
      </c>
      <c r="J121" s="1688" t="s">
        <v>8577</v>
      </c>
      <c r="K121" s="1689">
        <v>2700</v>
      </c>
      <c r="L121" s="1684" t="s">
        <v>8578</v>
      </c>
      <c r="M121" s="1689">
        <v>5400</v>
      </c>
      <c r="N121" s="1689"/>
    </row>
    <row r="122" spans="1:14" ht="27">
      <c r="A122" s="1684" t="s">
        <v>8573</v>
      </c>
      <c r="B122" s="1684" t="s">
        <v>8574</v>
      </c>
      <c r="C122" s="1685" t="s">
        <v>8618</v>
      </c>
      <c r="D122" s="1686" t="s">
        <v>8619</v>
      </c>
      <c r="E122" s="1687" t="s">
        <v>7964</v>
      </c>
      <c r="F122" s="1684">
        <v>11250463</v>
      </c>
      <c r="G122" s="1687">
        <v>110</v>
      </c>
      <c r="H122" s="1687" t="s">
        <v>8547</v>
      </c>
      <c r="I122" s="1687" t="s">
        <v>8015</v>
      </c>
      <c r="J122" s="1688" t="s">
        <v>8577</v>
      </c>
      <c r="K122" s="1689">
        <v>3000</v>
      </c>
      <c r="L122" s="1684" t="s">
        <v>8578</v>
      </c>
      <c r="M122" s="1689">
        <v>6000</v>
      </c>
      <c r="N122" s="1689"/>
    </row>
    <row r="123" spans="1:14" ht="27">
      <c r="A123" s="1684" t="s">
        <v>8573</v>
      </c>
      <c r="B123" s="1684" t="s">
        <v>8574</v>
      </c>
      <c r="C123" s="1685" t="s">
        <v>8561</v>
      </c>
      <c r="D123" s="1686" t="s">
        <v>8620</v>
      </c>
      <c r="E123" s="1687" t="s">
        <v>7964</v>
      </c>
      <c r="F123" s="1684"/>
      <c r="G123" s="1687">
        <v>75</v>
      </c>
      <c r="H123" s="1687" t="s">
        <v>8547</v>
      </c>
      <c r="I123" s="1687" t="s">
        <v>8015</v>
      </c>
      <c r="J123" s="1688" t="s">
        <v>8577</v>
      </c>
      <c r="K123" s="1689">
        <v>2700</v>
      </c>
      <c r="L123" s="1684" t="s">
        <v>8578</v>
      </c>
      <c r="M123" s="1689">
        <v>5400</v>
      </c>
      <c r="N123" s="1689"/>
    </row>
    <row r="124" spans="1:14" ht="13.5">
      <c r="A124" s="1684" t="s">
        <v>8573</v>
      </c>
      <c r="B124" s="1684" t="s">
        <v>8574</v>
      </c>
      <c r="C124" s="1685" t="s">
        <v>8598</v>
      </c>
      <c r="D124" s="1686" t="s">
        <v>8599</v>
      </c>
      <c r="E124" s="1687" t="s">
        <v>7964</v>
      </c>
      <c r="F124" s="1684"/>
      <c r="G124" s="1687">
        <v>75</v>
      </c>
      <c r="H124" s="1687" t="s">
        <v>8547</v>
      </c>
      <c r="I124" s="1687" t="s">
        <v>8015</v>
      </c>
      <c r="J124" s="1688" t="s">
        <v>8621</v>
      </c>
      <c r="K124" s="1689">
        <v>3150</v>
      </c>
      <c r="L124" s="1684" t="s">
        <v>8578</v>
      </c>
      <c r="M124" s="1689">
        <v>6300</v>
      </c>
      <c r="N124" s="1689"/>
    </row>
    <row r="125" spans="1:14" ht="27">
      <c r="A125" s="1684" t="s">
        <v>8573</v>
      </c>
      <c r="B125" s="1684" t="s">
        <v>8574</v>
      </c>
      <c r="C125" s="1685" t="s">
        <v>8594</v>
      </c>
      <c r="D125" s="1686" t="s">
        <v>8595</v>
      </c>
      <c r="E125" s="1687" t="s">
        <v>7964</v>
      </c>
      <c r="F125" s="1684"/>
      <c r="G125" s="1687">
        <v>75</v>
      </c>
      <c r="H125" s="1687" t="s">
        <v>8547</v>
      </c>
      <c r="I125" s="1687" t="s">
        <v>8015</v>
      </c>
      <c r="J125" s="1688" t="s">
        <v>8621</v>
      </c>
      <c r="K125" s="1689">
        <v>1700</v>
      </c>
      <c r="L125" s="1684" t="s">
        <v>8578</v>
      </c>
      <c r="M125" s="1689">
        <v>3400</v>
      </c>
      <c r="N125" s="1689"/>
    </row>
    <row r="126" spans="1:14" ht="27">
      <c r="A126" s="1684" t="s">
        <v>8573</v>
      </c>
      <c r="B126" s="1684" t="s">
        <v>8574</v>
      </c>
      <c r="C126" s="1685" t="s">
        <v>8592</v>
      </c>
      <c r="D126" s="1686" t="s">
        <v>8593</v>
      </c>
      <c r="E126" s="1687" t="s">
        <v>7964</v>
      </c>
      <c r="F126" s="1684"/>
      <c r="G126" s="1687">
        <v>150</v>
      </c>
      <c r="H126" s="1687" t="s">
        <v>8547</v>
      </c>
      <c r="I126" s="1687" t="s">
        <v>8015</v>
      </c>
      <c r="J126" s="1688" t="s">
        <v>8622</v>
      </c>
      <c r="K126" s="1689">
        <v>2500</v>
      </c>
      <c r="L126" s="1684" t="s">
        <v>8578</v>
      </c>
      <c r="M126" s="1689">
        <v>7500</v>
      </c>
      <c r="N126" s="1689"/>
    </row>
    <row r="127" spans="1:14" ht="27">
      <c r="A127" s="1684" t="s">
        <v>8573</v>
      </c>
      <c r="B127" s="1684" t="s">
        <v>8574</v>
      </c>
      <c r="C127" s="1685" t="s">
        <v>8590</v>
      </c>
      <c r="D127" s="1686" t="s">
        <v>8591</v>
      </c>
      <c r="E127" s="1687" t="s">
        <v>7964</v>
      </c>
      <c r="F127" s="1684"/>
      <c r="G127" s="1687">
        <v>80</v>
      </c>
      <c r="H127" s="1687" t="s">
        <v>8547</v>
      </c>
      <c r="I127" s="1687" t="s">
        <v>8015</v>
      </c>
      <c r="J127" s="1688" t="s">
        <v>8622</v>
      </c>
      <c r="K127" s="1689">
        <v>1800</v>
      </c>
      <c r="L127" s="1684" t="s">
        <v>8578</v>
      </c>
      <c r="M127" s="1689">
        <v>5400</v>
      </c>
      <c r="N127" s="1689"/>
    </row>
    <row r="128" spans="1:14" ht="13.5">
      <c r="A128" s="1684" t="s">
        <v>8573</v>
      </c>
      <c r="B128" s="1684" t="s">
        <v>8574</v>
      </c>
      <c r="C128" s="1685" t="s">
        <v>8604</v>
      </c>
      <c r="D128" s="1686" t="s">
        <v>8605</v>
      </c>
      <c r="E128" s="1687" t="s">
        <v>7964</v>
      </c>
      <c r="F128" s="1684"/>
      <c r="G128" s="1687">
        <v>160</v>
      </c>
      <c r="H128" s="1687" t="s">
        <v>8547</v>
      </c>
      <c r="I128" s="1687" t="s">
        <v>8015</v>
      </c>
      <c r="J128" s="1688" t="s">
        <v>8622</v>
      </c>
      <c r="K128" s="1689">
        <v>2850</v>
      </c>
      <c r="L128" s="1684" t="s">
        <v>8578</v>
      </c>
      <c r="M128" s="1689">
        <v>8550</v>
      </c>
      <c r="N128" s="1689"/>
    </row>
    <row r="129" spans="1:14" ht="27">
      <c r="A129" s="1684" t="s">
        <v>8573</v>
      </c>
      <c r="B129" s="1684" t="s">
        <v>8574</v>
      </c>
      <c r="C129" s="1685" t="s">
        <v>8561</v>
      </c>
      <c r="D129" s="1686" t="s">
        <v>8620</v>
      </c>
      <c r="E129" s="1687" t="s">
        <v>7964</v>
      </c>
      <c r="F129" s="1684"/>
      <c r="G129" s="1687">
        <v>80</v>
      </c>
      <c r="H129" s="1687" t="s">
        <v>8547</v>
      </c>
      <c r="I129" s="1687" t="s">
        <v>8015</v>
      </c>
      <c r="J129" s="1688" t="s">
        <v>8622</v>
      </c>
      <c r="K129" s="1689">
        <v>1800</v>
      </c>
      <c r="L129" s="1684" t="s">
        <v>8578</v>
      </c>
      <c r="M129" s="1689">
        <v>5400</v>
      </c>
      <c r="N129" s="1689"/>
    </row>
    <row r="130" spans="1:14" ht="27">
      <c r="A130" s="1684" t="s">
        <v>8573</v>
      </c>
      <c r="B130" s="1684" t="s">
        <v>8574</v>
      </c>
      <c r="C130" s="1685" t="s">
        <v>8602</v>
      </c>
      <c r="D130" s="1686" t="s">
        <v>8603</v>
      </c>
      <c r="E130" s="1687" t="s">
        <v>7964</v>
      </c>
      <c r="F130" s="1684"/>
      <c r="G130" s="1687">
        <v>80</v>
      </c>
      <c r="H130" s="1687" t="s">
        <v>8547</v>
      </c>
      <c r="I130" s="1687" t="s">
        <v>8015</v>
      </c>
      <c r="J130" s="1688" t="s">
        <v>8622</v>
      </c>
      <c r="K130" s="1689">
        <v>2460</v>
      </c>
      <c r="L130" s="1684" t="s">
        <v>8578</v>
      </c>
      <c r="M130" s="1689">
        <v>7380</v>
      </c>
      <c r="N130" s="1689"/>
    </row>
    <row r="131" spans="1:14" ht="27">
      <c r="A131" s="1684" t="s">
        <v>8573</v>
      </c>
      <c r="B131" s="1684" t="s">
        <v>8574</v>
      </c>
      <c r="C131" s="1685" t="s">
        <v>8606</v>
      </c>
      <c r="D131" s="1686" t="s">
        <v>8607</v>
      </c>
      <c r="E131" s="1687" t="s">
        <v>7964</v>
      </c>
      <c r="F131" s="1684"/>
      <c r="G131" s="1687">
        <v>80</v>
      </c>
      <c r="H131" s="1687" t="s">
        <v>8547</v>
      </c>
      <c r="I131" s="1687" t="s">
        <v>8015</v>
      </c>
      <c r="J131" s="1688" t="s">
        <v>8622</v>
      </c>
      <c r="K131" s="1689">
        <v>1574</v>
      </c>
      <c r="L131" s="1684" t="s">
        <v>8578</v>
      </c>
      <c r="M131" s="1689">
        <v>4722</v>
      </c>
      <c r="N131" s="1689"/>
    </row>
    <row r="132" spans="1:14" ht="27">
      <c r="A132" s="1684" t="s">
        <v>8573</v>
      </c>
      <c r="B132" s="1684" t="s">
        <v>8574</v>
      </c>
      <c r="C132" s="1685" t="s">
        <v>8588</v>
      </c>
      <c r="D132" s="1686" t="s">
        <v>8623</v>
      </c>
      <c r="E132" s="1687" t="s">
        <v>7964</v>
      </c>
      <c r="F132" s="1684"/>
      <c r="G132" s="1687">
        <v>80</v>
      </c>
      <c r="H132" s="1687" t="s">
        <v>8547</v>
      </c>
      <c r="I132" s="1687" t="s">
        <v>8015</v>
      </c>
      <c r="J132" s="1688" t="s">
        <v>8622</v>
      </c>
      <c r="K132" s="1689">
        <v>1400</v>
      </c>
      <c r="L132" s="1684" t="s">
        <v>8578</v>
      </c>
      <c r="M132" s="1689">
        <v>4200</v>
      </c>
      <c r="N132" s="1689"/>
    </row>
    <row r="133" spans="1:14" ht="13.5">
      <c r="A133" s="1684" t="s">
        <v>8573</v>
      </c>
      <c r="B133" s="1684" t="s">
        <v>8574</v>
      </c>
      <c r="C133" s="1685" t="s">
        <v>8600</v>
      </c>
      <c r="D133" s="1686" t="s">
        <v>8601</v>
      </c>
      <c r="E133" s="1687" t="s">
        <v>7964</v>
      </c>
      <c r="F133" s="1684"/>
      <c r="G133" s="1687">
        <v>177</v>
      </c>
      <c r="H133" s="1687" t="s">
        <v>8547</v>
      </c>
      <c r="I133" s="1687" t="s">
        <v>8015</v>
      </c>
      <c r="J133" s="1688" t="s">
        <v>8622</v>
      </c>
      <c r="K133" s="1689">
        <v>1800</v>
      </c>
      <c r="L133" s="1684" t="s">
        <v>8578</v>
      </c>
      <c r="M133" s="1689">
        <v>5400</v>
      </c>
      <c r="N133" s="1689"/>
    </row>
    <row r="134" spans="1:14" ht="27">
      <c r="A134" s="1684" t="s">
        <v>8573</v>
      </c>
      <c r="B134" s="1684" t="s">
        <v>8574</v>
      </c>
      <c r="C134" s="1685" t="s">
        <v>8581</v>
      </c>
      <c r="D134" s="1686" t="s">
        <v>8582</v>
      </c>
      <c r="E134" s="1687" t="s">
        <v>7964</v>
      </c>
      <c r="F134" s="1684"/>
      <c r="G134" s="1687">
        <v>70</v>
      </c>
      <c r="H134" s="1687" t="s">
        <v>8015</v>
      </c>
      <c r="I134" s="1687" t="s">
        <v>8015</v>
      </c>
      <c r="J134" s="1688" t="s">
        <v>8622</v>
      </c>
      <c r="K134" s="1689">
        <v>1500</v>
      </c>
      <c r="L134" s="1684" t="s">
        <v>8578</v>
      </c>
      <c r="M134" s="1689">
        <v>4500</v>
      </c>
      <c r="N134" s="1689"/>
    </row>
    <row r="135" spans="1:14" ht="27">
      <c r="A135" s="1684" t="s">
        <v>8573</v>
      </c>
      <c r="B135" s="1684" t="s">
        <v>8574</v>
      </c>
      <c r="C135" s="1685" t="s">
        <v>8596</v>
      </c>
      <c r="D135" s="1686" t="s">
        <v>8597</v>
      </c>
      <c r="E135" s="1687" t="s">
        <v>7964</v>
      </c>
      <c r="F135" s="1684"/>
      <c r="G135" s="1687">
        <v>70</v>
      </c>
      <c r="H135" s="1687" t="s">
        <v>8015</v>
      </c>
      <c r="I135" s="1687" t="s">
        <v>8015</v>
      </c>
      <c r="J135" s="1688" t="s">
        <v>8622</v>
      </c>
      <c r="K135" s="1689">
        <v>1500</v>
      </c>
      <c r="L135" s="1684" t="s">
        <v>8578</v>
      </c>
      <c r="M135" s="1689">
        <v>4500</v>
      </c>
      <c r="N135" s="1689"/>
    </row>
    <row r="136" spans="1:14" ht="27">
      <c r="A136" s="1684" t="s">
        <v>8573</v>
      </c>
      <c r="B136" s="1684" t="s">
        <v>8574</v>
      </c>
      <c r="C136" s="1685" t="s">
        <v>8616</v>
      </c>
      <c r="D136" s="1686" t="s">
        <v>8617</v>
      </c>
      <c r="E136" s="1687" t="s">
        <v>7964</v>
      </c>
      <c r="F136" s="1684"/>
      <c r="G136" s="1687">
        <v>380</v>
      </c>
      <c r="H136" s="1687" t="s">
        <v>8015</v>
      </c>
      <c r="I136" s="1687" t="s">
        <v>8015</v>
      </c>
      <c r="J136" s="1688" t="s">
        <v>8622</v>
      </c>
      <c r="K136" s="1689">
        <v>1800</v>
      </c>
      <c r="L136" s="1684" t="s">
        <v>8578</v>
      </c>
      <c r="M136" s="1689">
        <v>5400</v>
      </c>
      <c r="N136" s="1689"/>
    </row>
    <row r="137" spans="1:14" ht="13.5">
      <c r="A137" s="1684" t="s">
        <v>8573</v>
      </c>
      <c r="B137" s="1684" t="s">
        <v>8574</v>
      </c>
      <c r="C137" s="1685" t="s">
        <v>8579</v>
      </c>
      <c r="D137" s="1686" t="s">
        <v>8580</v>
      </c>
      <c r="E137" s="1687" t="s">
        <v>7964</v>
      </c>
      <c r="F137" s="1684"/>
      <c r="G137" s="1687">
        <v>117</v>
      </c>
      <c r="H137" s="1687" t="s">
        <v>8015</v>
      </c>
      <c r="I137" s="1687" t="s">
        <v>8015</v>
      </c>
      <c r="J137" s="1688" t="s">
        <v>8622</v>
      </c>
      <c r="K137" s="1689">
        <v>1200</v>
      </c>
      <c r="L137" s="1684" t="s">
        <v>8578</v>
      </c>
      <c r="M137" s="1689">
        <v>3600</v>
      </c>
      <c r="N137" s="1689"/>
    </row>
    <row r="138" spans="1:14" ht="27">
      <c r="A138" s="1684" t="s">
        <v>8573</v>
      </c>
      <c r="B138" s="1684" t="s">
        <v>8574</v>
      </c>
      <c r="C138" s="1685" t="s">
        <v>8575</v>
      </c>
      <c r="D138" s="1686" t="s">
        <v>8576</v>
      </c>
      <c r="E138" s="1687" t="s">
        <v>7964</v>
      </c>
      <c r="F138" s="1684"/>
      <c r="G138" s="1687">
        <v>77.5</v>
      </c>
      <c r="H138" s="1687" t="s">
        <v>8015</v>
      </c>
      <c r="I138" s="1687" t="s">
        <v>8015</v>
      </c>
      <c r="J138" s="1688" t="s">
        <v>8622</v>
      </c>
      <c r="K138" s="1689">
        <v>1700</v>
      </c>
      <c r="L138" s="1684" t="s">
        <v>8578</v>
      </c>
      <c r="M138" s="1689">
        <v>5100</v>
      </c>
      <c r="N138" s="1689"/>
    </row>
    <row r="139" spans="1:14" ht="13.5">
      <c r="A139" s="1684" t="s">
        <v>8573</v>
      </c>
      <c r="B139" s="1684" t="s">
        <v>8574</v>
      </c>
      <c r="C139" s="1685" t="s">
        <v>8614</v>
      </c>
      <c r="D139" s="1686" t="s">
        <v>8615</v>
      </c>
      <c r="E139" s="1687" t="s">
        <v>7964</v>
      </c>
      <c r="F139" s="1684"/>
      <c r="G139" s="1687">
        <v>63</v>
      </c>
      <c r="H139" s="1687" t="s">
        <v>8015</v>
      </c>
      <c r="I139" s="1687" t="s">
        <v>8015</v>
      </c>
      <c r="J139" s="1688" t="s">
        <v>8622</v>
      </c>
      <c r="K139" s="1689">
        <v>1500</v>
      </c>
      <c r="L139" s="1684" t="s">
        <v>8578</v>
      </c>
      <c r="M139" s="1689">
        <v>4500</v>
      </c>
      <c r="N139" s="1689"/>
    </row>
    <row r="140" spans="1:14" ht="27">
      <c r="A140" s="1684" t="s">
        <v>8573</v>
      </c>
      <c r="B140" s="1684" t="s">
        <v>8574</v>
      </c>
      <c r="C140" s="1685" t="s">
        <v>8612</v>
      </c>
      <c r="D140" s="1686" t="s">
        <v>8613</v>
      </c>
      <c r="E140" s="1687" t="s">
        <v>7964</v>
      </c>
      <c r="F140" s="1684"/>
      <c r="G140" s="1687">
        <v>71</v>
      </c>
      <c r="H140" s="1687" t="s">
        <v>8015</v>
      </c>
      <c r="I140" s="1687" t="s">
        <v>8015</v>
      </c>
      <c r="J140" s="1688" t="s">
        <v>8622</v>
      </c>
      <c r="K140" s="1689">
        <v>1400</v>
      </c>
      <c r="L140" s="1684" t="s">
        <v>8578</v>
      </c>
      <c r="M140" s="1689">
        <v>4200</v>
      </c>
      <c r="N140" s="1689"/>
    </row>
    <row r="141" spans="1:14" ht="27">
      <c r="A141" s="1684" t="s">
        <v>8573</v>
      </c>
      <c r="B141" s="1684" t="s">
        <v>8574</v>
      </c>
      <c r="C141" s="1685" t="s">
        <v>8610</v>
      </c>
      <c r="D141" s="1686" t="s">
        <v>8611</v>
      </c>
      <c r="E141" s="1687" t="s">
        <v>7964</v>
      </c>
      <c r="F141" s="1684"/>
      <c r="G141" s="1687">
        <v>260</v>
      </c>
      <c r="H141" s="1687" t="s">
        <v>8015</v>
      </c>
      <c r="I141" s="1687" t="s">
        <v>8015</v>
      </c>
      <c r="J141" s="1688" t="s">
        <v>8622</v>
      </c>
      <c r="K141" s="1689">
        <v>2200</v>
      </c>
      <c r="L141" s="1684" t="s">
        <v>8578</v>
      </c>
      <c r="M141" s="1689">
        <v>6600</v>
      </c>
      <c r="N141" s="1689"/>
    </row>
    <row r="142" spans="1:14" ht="27">
      <c r="A142" s="1684" t="s">
        <v>8573</v>
      </c>
      <c r="B142" s="1684" t="s">
        <v>8574</v>
      </c>
      <c r="C142" s="1685" t="s">
        <v>8608</v>
      </c>
      <c r="D142" s="1686" t="s">
        <v>8609</v>
      </c>
      <c r="E142" s="1687" t="s">
        <v>7964</v>
      </c>
      <c r="F142" s="1684"/>
      <c r="G142" s="1687">
        <v>216</v>
      </c>
      <c r="H142" s="1687" t="s">
        <v>8547</v>
      </c>
      <c r="I142" s="1687" t="s">
        <v>8015</v>
      </c>
      <c r="J142" s="1688" t="s">
        <v>8622</v>
      </c>
      <c r="K142" s="1689">
        <v>2500</v>
      </c>
      <c r="L142" s="1684" t="s">
        <v>8578</v>
      </c>
      <c r="M142" s="1689">
        <v>7500</v>
      </c>
      <c r="N142" s="1689"/>
    </row>
    <row r="143" spans="1:14" ht="27">
      <c r="A143" s="1684" t="s">
        <v>8573</v>
      </c>
      <c r="B143" s="1684" t="s">
        <v>8574</v>
      </c>
      <c r="C143" s="1685" t="s">
        <v>8583</v>
      </c>
      <c r="D143" s="1686" t="s">
        <v>8584</v>
      </c>
      <c r="E143" s="1687" t="s">
        <v>7964</v>
      </c>
      <c r="F143" s="1684">
        <v>19003686</v>
      </c>
      <c r="G143" s="1687">
        <v>90</v>
      </c>
      <c r="H143" s="1687" t="s">
        <v>8015</v>
      </c>
      <c r="I143" s="1687" t="s">
        <v>8015</v>
      </c>
      <c r="J143" s="1688" t="s">
        <v>8622</v>
      </c>
      <c r="K143" s="1689">
        <v>1800</v>
      </c>
      <c r="L143" s="1684" t="s">
        <v>8578</v>
      </c>
      <c r="M143" s="1689">
        <v>5400</v>
      </c>
      <c r="N143" s="1689"/>
    </row>
    <row r="144" spans="1:14" ht="27">
      <c r="A144" s="1684" t="s">
        <v>8573</v>
      </c>
      <c r="B144" s="1684" t="s">
        <v>8574</v>
      </c>
      <c r="C144" s="1685" t="s">
        <v>8583</v>
      </c>
      <c r="D144" s="1686" t="s">
        <v>8584</v>
      </c>
      <c r="E144" s="1687" t="s">
        <v>7964</v>
      </c>
      <c r="F144" s="1684">
        <v>19003701</v>
      </c>
      <c r="G144" s="1687">
        <v>90</v>
      </c>
      <c r="H144" s="1687" t="s">
        <v>8015</v>
      </c>
      <c r="I144" s="1687" t="s">
        <v>8015</v>
      </c>
      <c r="J144" s="1688" t="s">
        <v>8622</v>
      </c>
      <c r="K144" s="1689">
        <v>1800</v>
      </c>
      <c r="L144" s="1684" t="s">
        <v>8578</v>
      </c>
      <c r="M144" s="1689">
        <v>5400</v>
      </c>
      <c r="N144" s="1689"/>
    </row>
    <row r="145" spans="1:14" ht="27">
      <c r="A145" s="1684" t="s">
        <v>8573</v>
      </c>
      <c r="B145" s="1684" t="s">
        <v>8574</v>
      </c>
      <c r="C145" s="1685" t="s">
        <v>8585</v>
      </c>
      <c r="D145" s="1686" t="s">
        <v>8586</v>
      </c>
      <c r="E145" s="1687" t="s">
        <v>7964</v>
      </c>
      <c r="F145" s="1684"/>
      <c r="G145" s="1687">
        <v>105</v>
      </c>
      <c r="H145" s="1687" t="s">
        <v>8547</v>
      </c>
      <c r="I145" s="1687" t="s">
        <v>8015</v>
      </c>
      <c r="J145" s="1688" t="s">
        <v>8622</v>
      </c>
      <c r="K145" s="1689">
        <v>2000</v>
      </c>
      <c r="L145" s="1684" t="s">
        <v>8578</v>
      </c>
      <c r="M145" s="1689">
        <v>6000</v>
      </c>
      <c r="N145" s="1689"/>
    </row>
    <row r="146" spans="1:14" ht="27">
      <c r="A146" s="1684" t="s">
        <v>8573</v>
      </c>
      <c r="B146" s="1684" t="s">
        <v>8574</v>
      </c>
      <c r="C146" s="1685" t="s">
        <v>8587</v>
      </c>
      <c r="D146" s="1686" t="s">
        <v>8586</v>
      </c>
      <c r="E146" s="1687" t="s">
        <v>7964</v>
      </c>
      <c r="F146" s="1684"/>
      <c r="G146" s="1687">
        <v>105</v>
      </c>
      <c r="H146" s="1687" t="s">
        <v>8547</v>
      </c>
      <c r="I146" s="1687" t="s">
        <v>8015</v>
      </c>
      <c r="J146" s="1688" t="s">
        <v>8622</v>
      </c>
      <c r="K146" s="1689">
        <v>1330</v>
      </c>
      <c r="L146" s="1684" t="s">
        <v>8578</v>
      </c>
      <c r="M146" s="1689">
        <v>3990</v>
      </c>
      <c r="N146" s="1689"/>
    </row>
    <row r="147" spans="1:14" ht="27">
      <c r="A147" s="1684" t="s">
        <v>8573</v>
      </c>
      <c r="B147" s="1684" t="s">
        <v>8574</v>
      </c>
      <c r="C147" s="1685" t="s">
        <v>8624</v>
      </c>
      <c r="D147" s="1686" t="s">
        <v>8625</v>
      </c>
      <c r="E147" s="1687" t="s">
        <v>7964</v>
      </c>
      <c r="F147" s="1684"/>
      <c r="G147" s="1687">
        <v>90</v>
      </c>
      <c r="H147" s="1687" t="s">
        <v>8015</v>
      </c>
      <c r="I147" s="1687" t="s">
        <v>8015</v>
      </c>
      <c r="J147" s="1688" t="s">
        <v>8626</v>
      </c>
      <c r="K147" s="1689">
        <v>1900</v>
      </c>
      <c r="L147" s="1684" t="s">
        <v>8578</v>
      </c>
      <c r="M147" s="1689">
        <v>5700</v>
      </c>
      <c r="N147" s="1690"/>
    </row>
    <row r="148" spans="1:14" ht="27">
      <c r="A148" s="1684" t="s">
        <v>8573</v>
      </c>
      <c r="B148" s="1684" t="s">
        <v>8574</v>
      </c>
      <c r="C148" s="1685" t="s">
        <v>8575</v>
      </c>
      <c r="D148" s="1686" t="s">
        <v>8576</v>
      </c>
      <c r="E148" s="1687" t="s">
        <v>7964</v>
      </c>
      <c r="F148" s="1684"/>
      <c r="G148" s="1687">
        <v>77.5</v>
      </c>
      <c r="H148" s="1687" t="s">
        <v>8015</v>
      </c>
      <c r="I148" s="1687" t="s">
        <v>8015</v>
      </c>
      <c r="J148" s="1688" t="s">
        <v>8627</v>
      </c>
      <c r="K148" s="1689">
        <v>1700</v>
      </c>
      <c r="L148" s="1684" t="s">
        <v>8578</v>
      </c>
      <c r="M148" s="1689">
        <v>10200</v>
      </c>
      <c r="N148" s="1690"/>
    </row>
    <row r="149" spans="1:14" ht="14.25">
      <c r="A149" s="1684" t="s">
        <v>8573</v>
      </c>
      <c r="B149" s="1684" t="s">
        <v>8574</v>
      </c>
      <c r="C149" s="1685" t="s">
        <v>8579</v>
      </c>
      <c r="D149" s="1686" t="s">
        <v>8580</v>
      </c>
      <c r="E149" s="1687" t="s">
        <v>7964</v>
      </c>
      <c r="F149" s="1684"/>
      <c r="G149" s="1687">
        <v>117</v>
      </c>
      <c r="H149" s="1687" t="s">
        <v>8015</v>
      </c>
      <c r="I149" s="1687" t="s">
        <v>8015</v>
      </c>
      <c r="J149" s="1688" t="s">
        <v>8627</v>
      </c>
      <c r="K149" s="1689">
        <v>1800</v>
      </c>
      <c r="L149" s="1684" t="s">
        <v>8578</v>
      </c>
      <c r="M149" s="1689">
        <v>7200</v>
      </c>
      <c r="N149" s="1690"/>
    </row>
    <row r="150" spans="1:14" ht="27">
      <c r="A150" s="1684" t="s">
        <v>8573</v>
      </c>
      <c r="B150" s="1684" t="s">
        <v>8574</v>
      </c>
      <c r="C150" s="1685" t="s">
        <v>8583</v>
      </c>
      <c r="D150" s="1686" t="s">
        <v>8584</v>
      </c>
      <c r="E150" s="1687" t="s">
        <v>7964</v>
      </c>
      <c r="F150" s="1684">
        <v>19003686</v>
      </c>
      <c r="G150" s="1687">
        <v>95</v>
      </c>
      <c r="H150" s="1687" t="s">
        <v>8015</v>
      </c>
      <c r="I150" s="1687" t="s">
        <v>8015</v>
      </c>
      <c r="J150" s="1688" t="s">
        <v>8627</v>
      </c>
      <c r="K150" s="1689">
        <v>2700</v>
      </c>
      <c r="L150" s="1684" t="s">
        <v>8578</v>
      </c>
      <c r="M150" s="1689">
        <v>10800</v>
      </c>
      <c r="N150" s="1690"/>
    </row>
    <row r="151" spans="1:14" ht="27">
      <c r="A151" s="1684" t="s">
        <v>8573</v>
      </c>
      <c r="B151" s="1684" t="s">
        <v>8574</v>
      </c>
      <c r="C151" s="1685" t="s">
        <v>8583</v>
      </c>
      <c r="D151" s="1686" t="s">
        <v>8584</v>
      </c>
      <c r="E151" s="1687" t="s">
        <v>7964</v>
      </c>
      <c r="F151" s="1684">
        <v>19003701</v>
      </c>
      <c r="G151" s="1687">
        <v>95</v>
      </c>
      <c r="H151" s="1687" t="s">
        <v>8015</v>
      </c>
      <c r="I151" s="1687" t="s">
        <v>8015</v>
      </c>
      <c r="J151" s="1688" t="s">
        <v>8627</v>
      </c>
      <c r="K151" s="1689">
        <v>2700</v>
      </c>
      <c r="L151" s="1684" t="s">
        <v>8578</v>
      </c>
      <c r="M151" s="1689">
        <v>10800</v>
      </c>
      <c r="N151" s="1690"/>
    </row>
    <row r="152" spans="1:14" ht="27">
      <c r="A152" s="1684" t="s">
        <v>8573</v>
      </c>
      <c r="B152" s="1684" t="s">
        <v>8574</v>
      </c>
      <c r="C152" s="1685" t="s">
        <v>8585</v>
      </c>
      <c r="D152" s="1686" t="s">
        <v>8586</v>
      </c>
      <c r="E152" s="1687" t="s">
        <v>7964</v>
      </c>
      <c r="F152" s="1684"/>
      <c r="G152" s="1687">
        <v>105</v>
      </c>
      <c r="H152" s="1687" t="s">
        <v>8547</v>
      </c>
      <c r="I152" s="1687" t="s">
        <v>8015</v>
      </c>
      <c r="J152" s="1688" t="s">
        <v>8627</v>
      </c>
      <c r="K152" s="1689">
        <v>3000</v>
      </c>
      <c r="L152" s="1684" t="s">
        <v>8578</v>
      </c>
      <c r="M152" s="1689">
        <v>12000</v>
      </c>
      <c r="N152" s="1690"/>
    </row>
    <row r="153" spans="1:14" ht="27">
      <c r="A153" s="1684" t="s">
        <v>8573</v>
      </c>
      <c r="B153" s="1684" t="s">
        <v>8574</v>
      </c>
      <c r="C153" s="1685" t="s">
        <v>8608</v>
      </c>
      <c r="D153" s="1686" t="s">
        <v>8609</v>
      </c>
      <c r="E153" s="1687" t="s">
        <v>7964</v>
      </c>
      <c r="F153" s="1684"/>
      <c r="G153" s="1687">
        <v>216</v>
      </c>
      <c r="H153" s="1687" t="s">
        <v>8547</v>
      </c>
      <c r="I153" s="1687" t="s">
        <v>8015</v>
      </c>
      <c r="J153" s="1688" t="s">
        <v>8627</v>
      </c>
      <c r="K153" s="1689">
        <v>2500</v>
      </c>
      <c r="L153" s="1684" t="s">
        <v>8578</v>
      </c>
      <c r="M153" s="1689">
        <v>15000</v>
      </c>
      <c r="N153" s="1690"/>
    </row>
    <row r="154" spans="1:14" ht="27">
      <c r="A154" s="1684" t="s">
        <v>8573</v>
      </c>
      <c r="B154" s="1684" t="s">
        <v>8574</v>
      </c>
      <c r="C154" s="1685" t="s">
        <v>8624</v>
      </c>
      <c r="D154" s="1686" t="s">
        <v>8628</v>
      </c>
      <c r="E154" s="1687" t="s">
        <v>7964</v>
      </c>
      <c r="F154" s="1684"/>
      <c r="G154" s="1687">
        <v>90</v>
      </c>
      <c r="H154" s="1687" t="s">
        <v>8015</v>
      </c>
      <c r="I154" s="1687" t="s">
        <v>8015</v>
      </c>
      <c r="J154" s="1688" t="s">
        <v>8627</v>
      </c>
      <c r="K154" s="1689">
        <v>1900</v>
      </c>
      <c r="L154" s="1684" t="s">
        <v>8578</v>
      </c>
      <c r="M154" s="1689">
        <v>9500</v>
      </c>
      <c r="N154" s="1690"/>
    </row>
    <row r="155" spans="1:14" ht="27">
      <c r="A155" s="1684" t="s">
        <v>8573</v>
      </c>
      <c r="B155" s="1684" t="s">
        <v>8574</v>
      </c>
      <c r="C155" s="1685" t="s">
        <v>8616</v>
      </c>
      <c r="D155" s="1686" t="s">
        <v>8617</v>
      </c>
      <c r="E155" s="1687" t="s">
        <v>7964</v>
      </c>
      <c r="F155" s="1684"/>
      <c r="G155" s="1687">
        <v>380</v>
      </c>
      <c r="H155" s="1687" t="s">
        <v>8015</v>
      </c>
      <c r="I155" s="1687" t="s">
        <v>8015</v>
      </c>
      <c r="J155" s="1688" t="s">
        <v>8627</v>
      </c>
      <c r="K155" s="1689">
        <v>1800</v>
      </c>
      <c r="L155" s="1684" t="s">
        <v>8578</v>
      </c>
      <c r="M155" s="1689">
        <v>10800</v>
      </c>
      <c r="N155" s="1690"/>
    </row>
    <row r="156" spans="1:14" ht="27">
      <c r="A156" s="1684" t="s">
        <v>8573</v>
      </c>
      <c r="B156" s="1684" t="s">
        <v>8574</v>
      </c>
      <c r="C156" s="1685" t="s">
        <v>8592</v>
      </c>
      <c r="D156" s="1686" t="s">
        <v>8593</v>
      </c>
      <c r="E156" s="1687" t="s">
        <v>7964</v>
      </c>
      <c r="F156" s="1684"/>
      <c r="G156" s="1687">
        <v>150</v>
      </c>
      <c r="H156" s="1687" t="s">
        <v>8547</v>
      </c>
      <c r="I156" s="1687" t="s">
        <v>8015</v>
      </c>
      <c r="J156" s="1688" t="s">
        <v>8627</v>
      </c>
      <c r="K156" s="1689">
        <v>2500</v>
      </c>
      <c r="L156" s="1684" t="s">
        <v>8578</v>
      </c>
      <c r="M156" s="1689">
        <v>15000</v>
      </c>
      <c r="N156" s="1690"/>
    </row>
    <row r="157" spans="1:14" ht="14.25">
      <c r="A157" s="1684" t="s">
        <v>8573</v>
      </c>
      <c r="B157" s="1684" t="s">
        <v>8574</v>
      </c>
      <c r="C157" s="1685" t="s">
        <v>8604</v>
      </c>
      <c r="D157" s="1686" t="s">
        <v>8605</v>
      </c>
      <c r="E157" s="1687" t="s">
        <v>7964</v>
      </c>
      <c r="F157" s="1684"/>
      <c r="G157" s="1687">
        <v>160</v>
      </c>
      <c r="H157" s="1687" t="s">
        <v>8547</v>
      </c>
      <c r="I157" s="1687" t="s">
        <v>8015</v>
      </c>
      <c r="J157" s="1688" t="s">
        <v>8627</v>
      </c>
      <c r="K157" s="1689">
        <v>2850</v>
      </c>
      <c r="L157" s="1684" t="s">
        <v>8578</v>
      </c>
      <c r="M157" s="1689">
        <v>17100</v>
      </c>
      <c r="N157" s="1690"/>
    </row>
    <row r="158" spans="1:14" ht="27">
      <c r="A158" s="1684" t="s">
        <v>8573</v>
      </c>
      <c r="B158" s="1684" t="s">
        <v>8574</v>
      </c>
      <c r="C158" s="1685" t="s">
        <v>8590</v>
      </c>
      <c r="D158" s="1686" t="s">
        <v>8591</v>
      </c>
      <c r="E158" s="1687" t="s">
        <v>7964</v>
      </c>
      <c r="F158" s="1684"/>
      <c r="G158" s="1687">
        <v>80</v>
      </c>
      <c r="H158" s="1687" t="s">
        <v>8547</v>
      </c>
      <c r="I158" s="1687" t="s">
        <v>8015</v>
      </c>
      <c r="J158" s="1688" t="s">
        <v>8627</v>
      </c>
      <c r="K158" s="1689">
        <v>1800</v>
      </c>
      <c r="L158" s="1684" t="s">
        <v>8578</v>
      </c>
      <c r="M158" s="1689">
        <v>10800</v>
      </c>
      <c r="N158" s="1690"/>
    </row>
    <row r="159" spans="1:14" ht="27">
      <c r="A159" s="1684" t="s">
        <v>8573</v>
      </c>
      <c r="B159" s="1684" t="s">
        <v>8574</v>
      </c>
      <c r="C159" s="1685" t="s">
        <v>8594</v>
      </c>
      <c r="D159" s="1686" t="s">
        <v>8595</v>
      </c>
      <c r="E159" s="1687" t="s">
        <v>7964</v>
      </c>
      <c r="F159" s="1684"/>
      <c r="G159" s="1687">
        <v>75</v>
      </c>
      <c r="H159" s="1687" t="s">
        <v>8547</v>
      </c>
      <c r="I159" s="1687" t="s">
        <v>8015</v>
      </c>
      <c r="J159" s="1688" t="s">
        <v>8627</v>
      </c>
      <c r="K159" s="1689">
        <v>1700</v>
      </c>
      <c r="L159" s="1684" t="s">
        <v>8578</v>
      </c>
      <c r="M159" s="1689">
        <v>11900</v>
      </c>
      <c r="N159" s="1690"/>
    </row>
    <row r="160" spans="1:14" ht="14.25">
      <c r="A160" s="1684" t="s">
        <v>8573</v>
      </c>
      <c r="B160" s="1684" t="s">
        <v>8574</v>
      </c>
      <c r="C160" s="1685" t="s">
        <v>8598</v>
      </c>
      <c r="D160" s="1686" t="s">
        <v>8599</v>
      </c>
      <c r="E160" s="1687" t="s">
        <v>7964</v>
      </c>
      <c r="F160" s="1684"/>
      <c r="G160" s="1687">
        <v>75</v>
      </c>
      <c r="H160" s="1687" t="s">
        <v>8547</v>
      </c>
      <c r="I160" s="1687" t="s">
        <v>8015</v>
      </c>
      <c r="J160" s="1688" t="s">
        <v>8627</v>
      </c>
      <c r="K160" s="1689">
        <v>2500</v>
      </c>
      <c r="L160" s="1684" t="s">
        <v>8578</v>
      </c>
      <c r="M160" s="1689">
        <v>17500</v>
      </c>
      <c r="N160" s="1690"/>
    </row>
    <row r="161" spans="1:14" ht="27">
      <c r="A161" s="1684" t="s">
        <v>8573</v>
      </c>
      <c r="B161" s="1684" t="s">
        <v>8574</v>
      </c>
      <c r="C161" s="1685" t="s">
        <v>8581</v>
      </c>
      <c r="D161" s="1686" t="s">
        <v>8582</v>
      </c>
      <c r="E161" s="1687" t="s">
        <v>7964</v>
      </c>
      <c r="F161" s="1684"/>
      <c r="G161" s="1687">
        <v>70</v>
      </c>
      <c r="H161" s="1687" t="s">
        <v>8015</v>
      </c>
      <c r="I161" s="1687" t="s">
        <v>8015</v>
      </c>
      <c r="J161" s="1688" t="s">
        <v>8627</v>
      </c>
      <c r="K161" s="1689">
        <v>1500</v>
      </c>
      <c r="L161" s="1684" t="s">
        <v>8578</v>
      </c>
      <c r="M161" s="1689">
        <v>9000</v>
      </c>
      <c r="N161" s="1690"/>
    </row>
    <row r="162" spans="1:14" ht="27">
      <c r="A162" s="1684" t="s">
        <v>8573</v>
      </c>
      <c r="B162" s="1684" t="s">
        <v>8574</v>
      </c>
      <c r="C162" s="1685" t="s">
        <v>8596</v>
      </c>
      <c r="D162" s="1686" t="s">
        <v>8597</v>
      </c>
      <c r="E162" s="1687" t="s">
        <v>7964</v>
      </c>
      <c r="F162" s="1684"/>
      <c r="G162" s="1687">
        <v>70</v>
      </c>
      <c r="H162" s="1687" t="s">
        <v>8015</v>
      </c>
      <c r="I162" s="1687" t="s">
        <v>8015</v>
      </c>
      <c r="J162" s="1688" t="s">
        <v>8627</v>
      </c>
      <c r="K162" s="1689">
        <v>1500</v>
      </c>
      <c r="L162" s="1684" t="s">
        <v>8578</v>
      </c>
      <c r="M162" s="1689">
        <v>9000</v>
      </c>
      <c r="N162" s="1690"/>
    </row>
    <row r="163" spans="1:14" ht="27">
      <c r="A163" s="1684" t="s">
        <v>8573</v>
      </c>
      <c r="B163" s="1684" t="s">
        <v>8574</v>
      </c>
      <c r="C163" s="1685" t="s">
        <v>8561</v>
      </c>
      <c r="D163" s="1686" t="s">
        <v>8620</v>
      </c>
      <c r="E163" s="1687" t="s">
        <v>7964</v>
      </c>
      <c r="F163" s="1684"/>
      <c r="G163" s="1687">
        <v>80</v>
      </c>
      <c r="H163" s="1687" t="s">
        <v>8547</v>
      </c>
      <c r="I163" s="1687" t="s">
        <v>8015</v>
      </c>
      <c r="J163" s="1688" t="s">
        <v>8627</v>
      </c>
      <c r="K163" s="1689">
        <v>1800</v>
      </c>
      <c r="L163" s="1684" t="s">
        <v>8578</v>
      </c>
      <c r="M163" s="1689">
        <v>10800</v>
      </c>
      <c r="N163" s="1690"/>
    </row>
    <row r="164" spans="1:14" ht="27">
      <c r="A164" s="1684" t="s">
        <v>8573</v>
      </c>
      <c r="B164" s="1684" t="s">
        <v>8574</v>
      </c>
      <c r="C164" s="1685" t="s">
        <v>8606</v>
      </c>
      <c r="D164" s="1686" t="s">
        <v>8607</v>
      </c>
      <c r="E164" s="1687" t="s">
        <v>7964</v>
      </c>
      <c r="F164" s="1684"/>
      <c r="G164" s="1687">
        <v>80</v>
      </c>
      <c r="H164" s="1687" t="s">
        <v>8547</v>
      </c>
      <c r="I164" s="1687" t="s">
        <v>8015</v>
      </c>
      <c r="J164" s="1688" t="s">
        <v>8627</v>
      </c>
      <c r="K164" s="1689">
        <v>1574</v>
      </c>
      <c r="L164" s="1684" t="s">
        <v>8578</v>
      </c>
      <c r="M164" s="1689">
        <v>9444</v>
      </c>
      <c r="N164" s="1690"/>
    </row>
    <row r="165" spans="1:14" ht="27">
      <c r="A165" s="1684" t="s">
        <v>8573</v>
      </c>
      <c r="B165" s="1684" t="s">
        <v>8574</v>
      </c>
      <c r="C165" s="1685" t="s">
        <v>8602</v>
      </c>
      <c r="D165" s="1686" t="s">
        <v>8603</v>
      </c>
      <c r="E165" s="1687" t="s">
        <v>7964</v>
      </c>
      <c r="F165" s="1684"/>
      <c r="G165" s="1687">
        <v>80</v>
      </c>
      <c r="H165" s="1687" t="s">
        <v>8547</v>
      </c>
      <c r="I165" s="1687" t="s">
        <v>8015</v>
      </c>
      <c r="J165" s="1688" t="s">
        <v>8627</v>
      </c>
      <c r="K165" s="1689">
        <v>2460</v>
      </c>
      <c r="L165" s="1684" t="s">
        <v>8578</v>
      </c>
      <c r="M165" s="1689">
        <v>14760</v>
      </c>
      <c r="N165" s="1690"/>
    </row>
    <row r="166" spans="1:14" ht="14.25">
      <c r="A166" s="1684" t="s">
        <v>8573</v>
      </c>
      <c r="B166" s="1684" t="s">
        <v>8574</v>
      </c>
      <c r="C166" s="1685" t="s">
        <v>8600</v>
      </c>
      <c r="D166" s="1686" t="s">
        <v>8601</v>
      </c>
      <c r="E166" s="1687" t="s">
        <v>7964</v>
      </c>
      <c r="F166" s="1684"/>
      <c r="G166" s="1687">
        <v>177</v>
      </c>
      <c r="H166" s="1687" t="s">
        <v>8547</v>
      </c>
      <c r="I166" s="1687" t="s">
        <v>8015</v>
      </c>
      <c r="J166" s="1688" t="s">
        <v>8627</v>
      </c>
      <c r="K166" s="1689">
        <v>1800</v>
      </c>
      <c r="L166" s="1684" t="s">
        <v>8578</v>
      </c>
      <c r="M166" s="1689">
        <v>10800</v>
      </c>
      <c r="N166" s="1690"/>
    </row>
    <row r="167" spans="1:14" ht="27">
      <c r="A167" s="1684" t="s">
        <v>8573</v>
      </c>
      <c r="B167" s="1684" t="s">
        <v>8574</v>
      </c>
      <c r="C167" s="1685" t="s">
        <v>8587</v>
      </c>
      <c r="D167" s="1686" t="s">
        <v>8586</v>
      </c>
      <c r="E167" s="1687" t="s">
        <v>7964</v>
      </c>
      <c r="F167" s="1684"/>
      <c r="G167" s="1687">
        <v>105</v>
      </c>
      <c r="H167" s="1687" t="s">
        <v>8547</v>
      </c>
      <c r="I167" s="1687" t="s">
        <v>8015</v>
      </c>
      <c r="J167" s="1688" t="s">
        <v>8627</v>
      </c>
      <c r="K167" s="1689">
        <v>1330</v>
      </c>
      <c r="L167" s="1684" t="s">
        <v>8578</v>
      </c>
      <c r="M167" s="1689">
        <v>7980</v>
      </c>
      <c r="N167" s="1690"/>
    </row>
    <row r="168" spans="1:14" ht="27">
      <c r="A168" s="1684" t="s">
        <v>8573</v>
      </c>
      <c r="B168" s="1684" t="s">
        <v>8574</v>
      </c>
      <c r="C168" s="1685" t="s">
        <v>8612</v>
      </c>
      <c r="D168" s="1686" t="s">
        <v>8613</v>
      </c>
      <c r="E168" s="1687" t="s">
        <v>7964</v>
      </c>
      <c r="F168" s="1684"/>
      <c r="G168" s="1687">
        <v>71</v>
      </c>
      <c r="H168" s="1687" t="s">
        <v>8015</v>
      </c>
      <c r="I168" s="1687" t="s">
        <v>8015</v>
      </c>
      <c r="J168" s="1688" t="s">
        <v>8627</v>
      </c>
      <c r="K168" s="1689">
        <v>1400</v>
      </c>
      <c r="L168" s="1684" t="s">
        <v>8578</v>
      </c>
      <c r="M168" s="1689">
        <v>8400</v>
      </c>
      <c r="N168" s="1690"/>
    </row>
    <row r="169" spans="1:14" ht="27">
      <c r="A169" s="1684" t="s">
        <v>8573</v>
      </c>
      <c r="B169" s="1684" t="s">
        <v>8574</v>
      </c>
      <c r="C169" s="1685" t="s">
        <v>8610</v>
      </c>
      <c r="D169" s="1686" t="s">
        <v>8611</v>
      </c>
      <c r="E169" s="1687" t="s">
        <v>7964</v>
      </c>
      <c r="F169" s="1684"/>
      <c r="G169" s="1687">
        <v>260</v>
      </c>
      <c r="H169" s="1687" t="s">
        <v>8015</v>
      </c>
      <c r="I169" s="1687" t="s">
        <v>8015</v>
      </c>
      <c r="J169" s="1688" t="s">
        <v>8627</v>
      </c>
      <c r="K169" s="1689">
        <v>2200</v>
      </c>
      <c r="L169" s="1684" t="s">
        <v>8578</v>
      </c>
      <c r="M169" s="1689">
        <v>13200</v>
      </c>
      <c r="N169" s="1690"/>
    </row>
    <row r="170" spans="1:14" ht="27">
      <c r="A170" s="1684" t="s">
        <v>8573</v>
      </c>
      <c r="B170" s="1684" t="s">
        <v>8574</v>
      </c>
      <c r="C170" s="1685" t="s">
        <v>8588</v>
      </c>
      <c r="D170" s="1686" t="s">
        <v>8623</v>
      </c>
      <c r="E170" s="1687" t="s">
        <v>7964</v>
      </c>
      <c r="F170" s="1684"/>
      <c r="G170" s="1687">
        <v>80</v>
      </c>
      <c r="H170" s="1687" t="s">
        <v>8547</v>
      </c>
      <c r="I170" s="1687" t="s">
        <v>8015</v>
      </c>
      <c r="J170" s="1688" t="s">
        <v>8627</v>
      </c>
      <c r="K170" s="1689">
        <v>1400</v>
      </c>
      <c r="L170" s="1684" t="s">
        <v>8578</v>
      </c>
      <c r="M170" s="1689">
        <v>8400</v>
      </c>
      <c r="N170" s="1690"/>
    </row>
    <row r="171" spans="1:14" ht="14.25">
      <c r="A171" s="1684" t="s">
        <v>8573</v>
      </c>
      <c r="B171" s="1684" t="s">
        <v>8574</v>
      </c>
      <c r="C171" s="1685" t="s">
        <v>8614</v>
      </c>
      <c r="D171" s="1686" t="s">
        <v>8615</v>
      </c>
      <c r="E171" s="1687" t="s">
        <v>7964</v>
      </c>
      <c r="F171" s="1684"/>
      <c r="G171" s="1687">
        <v>63</v>
      </c>
      <c r="H171" s="1687" t="s">
        <v>8015</v>
      </c>
      <c r="I171" s="1687" t="s">
        <v>8015</v>
      </c>
      <c r="J171" s="1688" t="s">
        <v>8627</v>
      </c>
      <c r="K171" s="1689">
        <v>1500</v>
      </c>
      <c r="L171" s="1684" t="s">
        <v>8578</v>
      </c>
      <c r="M171" s="1689">
        <v>9000</v>
      </c>
      <c r="N171" s="1690"/>
    </row>
    <row r="172" spans="1:14" ht="13.5">
      <c r="A172" s="1684" t="s">
        <v>8573</v>
      </c>
      <c r="B172" s="1684" t="s">
        <v>8574</v>
      </c>
      <c r="C172" s="1685" t="s">
        <v>8614</v>
      </c>
      <c r="D172" s="1686" t="s">
        <v>8615</v>
      </c>
      <c r="E172" s="1687" t="s">
        <v>7964</v>
      </c>
      <c r="F172" s="1684"/>
      <c r="G172" s="1687">
        <v>63</v>
      </c>
      <c r="H172" s="1687" t="s">
        <v>8015</v>
      </c>
      <c r="I172" s="1687" t="s">
        <v>8015</v>
      </c>
      <c r="J172" s="1688" t="s">
        <v>8629</v>
      </c>
      <c r="K172" s="1689">
        <v>1963</v>
      </c>
      <c r="L172" s="1684" t="s">
        <v>8578</v>
      </c>
      <c r="M172" s="1689"/>
      <c r="N172" s="1689">
        <f>+K172*5</f>
        <v>9815</v>
      </c>
    </row>
    <row r="173" spans="1:14" ht="27">
      <c r="A173" s="1684" t="s">
        <v>8573</v>
      </c>
      <c r="B173" s="1684" t="s">
        <v>8574</v>
      </c>
      <c r="C173" s="1685" t="s">
        <v>8575</v>
      </c>
      <c r="D173" s="1686" t="s">
        <v>8576</v>
      </c>
      <c r="E173" s="1687" t="s">
        <v>7964</v>
      </c>
      <c r="F173" s="1684"/>
      <c r="G173" s="1687">
        <v>77.5</v>
      </c>
      <c r="H173" s="1687" t="s">
        <v>8015</v>
      </c>
      <c r="I173" s="1687" t="s">
        <v>8015</v>
      </c>
      <c r="J173" s="1688" t="s">
        <v>8629</v>
      </c>
      <c r="K173" s="1689">
        <v>1854</v>
      </c>
      <c r="L173" s="1684" t="s">
        <v>8578</v>
      </c>
      <c r="M173" s="1689"/>
      <c r="N173" s="1689">
        <f>+K173*5</f>
        <v>9270</v>
      </c>
    </row>
    <row r="174" spans="1:14" ht="40.5">
      <c r="A174" s="1684" t="s">
        <v>8573</v>
      </c>
      <c r="B174" s="1684" t="s">
        <v>8574</v>
      </c>
      <c r="C174" s="1685" t="s">
        <v>8630</v>
      </c>
      <c r="D174" s="1686" t="s">
        <v>8631</v>
      </c>
      <c r="E174" s="1687" t="s">
        <v>7964</v>
      </c>
      <c r="F174" s="1684"/>
      <c r="G174" s="1687">
        <v>90</v>
      </c>
      <c r="H174" s="1687" t="s">
        <v>8015</v>
      </c>
      <c r="I174" s="1687" t="s">
        <v>8015</v>
      </c>
      <c r="J174" s="1688" t="s">
        <v>8629</v>
      </c>
      <c r="K174" s="1689">
        <v>1450</v>
      </c>
      <c r="L174" s="1684" t="s">
        <v>8578</v>
      </c>
      <c r="M174" s="1689"/>
      <c r="N174" s="1689">
        <v>7250</v>
      </c>
    </row>
    <row r="175" spans="1:14" ht="27">
      <c r="A175" s="1684" t="s">
        <v>8573</v>
      </c>
      <c r="B175" s="1684" t="s">
        <v>8574</v>
      </c>
      <c r="C175" s="1685" t="s">
        <v>8585</v>
      </c>
      <c r="D175" s="1686" t="s">
        <v>8586</v>
      </c>
      <c r="E175" s="1687" t="s">
        <v>7964</v>
      </c>
      <c r="F175" s="1684"/>
      <c r="G175" s="1687">
        <v>105</v>
      </c>
      <c r="H175" s="1687" t="s">
        <v>8547</v>
      </c>
      <c r="I175" s="1687" t="s">
        <v>8015</v>
      </c>
      <c r="J175" s="1688" t="s">
        <v>8629</v>
      </c>
      <c r="K175" s="1689">
        <v>2181</v>
      </c>
      <c r="L175" s="1684" t="s">
        <v>8578</v>
      </c>
      <c r="M175" s="1689"/>
      <c r="N175" s="1689">
        <f>+K175*5</f>
        <v>10905</v>
      </c>
    </row>
    <row r="176" spans="1:14" ht="27">
      <c r="A176" s="1684" t="s">
        <v>8573</v>
      </c>
      <c r="B176" s="1684" t="s">
        <v>8574</v>
      </c>
      <c r="C176" s="1685" t="s">
        <v>8602</v>
      </c>
      <c r="D176" s="1686" t="s">
        <v>8603</v>
      </c>
      <c r="E176" s="1687" t="s">
        <v>7964</v>
      </c>
      <c r="F176" s="1684"/>
      <c r="G176" s="1687">
        <v>80</v>
      </c>
      <c r="H176" s="1687" t="s">
        <v>8547</v>
      </c>
      <c r="I176" s="1687" t="s">
        <v>8015</v>
      </c>
      <c r="J176" s="1688" t="s">
        <v>8629</v>
      </c>
      <c r="K176" s="1689">
        <v>2683</v>
      </c>
      <c r="L176" s="1684" t="s">
        <v>8578</v>
      </c>
      <c r="M176" s="1689"/>
      <c r="N176" s="1689">
        <f t="shared" ref="N176:N192" si="4">+K176*5</f>
        <v>13415</v>
      </c>
    </row>
    <row r="177" spans="1:14" ht="27">
      <c r="A177" s="1684" t="s">
        <v>8573</v>
      </c>
      <c r="B177" s="1684" t="s">
        <v>8574</v>
      </c>
      <c r="C177" s="1685" t="s">
        <v>8561</v>
      </c>
      <c r="D177" s="1686" t="s">
        <v>8620</v>
      </c>
      <c r="E177" s="1687" t="s">
        <v>7964</v>
      </c>
      <c r="F177" s="1684"/>
      <c r="G177" s="1687">
        <v>80</v>
      </c>
      <c r="H177" s="1687" t="s">
        <v>8547</v>
      </c>
      <c r="I177" s="1687" t="s">
        <v>8015</v>
      </c>
      <c r="J177" s="1688" t="s">
        <v>8629</v>
      </c>
      <c r="K177" s="1689">
        <v>1963</v>
      </c>
      <c r="L177" s="1684" t="s">
        <v>8578</v>
      </c>
      <c r="M177" s="1689"/>
      <c r="N177" s="1689">
        <f t="shared" si="4"/>
        <v>9815</v>
      </c>
    </row>
    <row r="178" spans="1:14" ht="14.25">
      <c r="A178" s="1684" t="s">
        <v>8573</v>
      </c>
      <c r="B178" s="1684" t="s">
        <v>8574</v>
      </c>
      <c r="C178" s="1685" t="s">
        <v>8604</v>
      </c>
      <c r="D178" s="1686" t="s">
        <v>8605</v>
      </c>
      <c r="E178" s="1687" t="s">
        <v>7964</v>
      </c>
      <c r="F178" s="1684"/>
      <c r="G178" s="1687">
        <v>160</v>
      </c>
      <c r="H178" s="1687" t="s">
        <v>8547</v>
      </c>
      <c r="I178" s="1687" t="s">
        <v>8015</v>
      </c>
      <c r="J178" s="1688" t="s">
        <v>8629</v>
      </c>
      <c r="K178" s="1689">
        <v>3109</v>
      </c>
      <c r="L178" s="1684" t="s">
        <v>8578</v>
      </c>
      <c r="M178" s="1690"/>
      <c r="N178" s="1689">
        <f t="shared" si="4"/>
        <v>15545</v>
      </c>
    </row>
    <row r="179" spans="1:14" ht="27">
      <c r="A179" s="1684" t="s">
        <v>8573</v>
      </c>
      <c r="B179" s="1684" t="s">
        <v>8574</v>
      </c>
      <c r="C179" s="1685" t="s">
        <v>8632</v>
      </c>
      <c r="D179" s="1685">
        <v>43174402</v>
      </c>
      <c r="E179" s="1687" t="s">
        <v>7964</v>
      </c>
      <c r="F179" s="1684"/>
      <c r="G179" s="1687">
        <v>95</v>
      </c>
      <c r="H179" s="1687" t="s">
        <v>8547</v>
      </c>
      <c r="I179" s="1687" t="s">
        <v>8015</v>
      </c>
      <c r="J179" s="1688" t="s">
        <v>8629</v>
      </c>
      <c r="K179" s="1689">
        <v>2509</v>
      </c>
      <c r="L179" s="1684" t="s">
        <v>8578</v>
      </c>
      <c r="M179" s="1690"/>
      <c r="N179" s="1689">
        <f t="shared" si="4"/>
        <v>12545</v>
      </c>
    </row>
    <row r="180" spans="1:14" ht="27">
      <c r="A180" s="1684" t="s">
        <v>8573</v>
      </c>
      <c r="B180" s="1684" t="s">
        <v>8574</v>
      </c>
      <c r="C180" s="1685" t="s">
        <v>8592</v>
      </c>
      <c r="D180" s="1686" t="s">
        <v>8593</v>
      </c>
      <c r="E180" s="1687" t="s">
        <v>7964</v>
      </c>
      <c r="F180" s="1684"/>
      <c r="G180" s="1687">
        <v>150</v>
      </c>
      <c r="H180" s="1687" t="s">
        <v>8547</v>
      </c>
      <c r="I180" s="1687" t="s">
        <v>8015</v>
      </c>
      <c r="J180" s="1688" t="s">
        <v>8629</v>
      </c>
      <c r="K180" s="1689">
        <v>2727</v>
      </c>
      <c r="L180" s="1684" t="s">
        <v>8578</v>
      </c>
      <c r="M180" s="1690"/>
      <c r="N180" s="1689">
        <f t="shared" si="4"/>
        <v>13635</v>
      </c>
    </row>
    <row r="181" spans="1:14" ht="27">
      <c r="A181" s="1684" t="s">
        <v>8573</v>
      </c>
      <c r="B181" s="1684" t="s">
        <v>8574</v>
      </c>
      <c r="C181" s="1685" t="s">
        <v>8610</v>
      </c>
      <c r="D181" s="1686" t="s">
        <v>8611</v>
      </c>
      <c r="E181" s="1687" t="s">
        <v>7964</v>
      </c>
      <c r="F181" s="1684"/>
      <c r="G181" s="1687">
        <v>260</v>
      </c>
      <c r="H181" s="1687" t="s">
        <v>8015</v>
      </c>
      <c r="I181" s="1687" t="s">
        <v>8015</v>
      </c>
      <c r="J181" s="1688" t="s">
        <v>8629</v>
      </c>
      <c r="K181" s="1689">
        <v>2400</v>
      </c>
      <c r="L181" s="1684" t="s">
        <v>8578</v>
      </c>
      <c r="M181" s="1690"/>
      <c r="N181" s="1689">
        <f t="shared" si="4"/>
        <v>12000</v>
      </c>
    </row>
    <row r="182" spans="1:14" ht="27">
      <c r="A182" s="1684" t="s">
        <v>8573</v>
      </c>
      <c r="B182" s="1684" t="s">
        <v>8574</v>
      </c>
      <c r="C182" s="1685" t="s">
        <v>8633</v>
      </c>
      <c r="D182" s="1686">
        <v>16498657</v>
      </c>
      <c r="E182" s="1687" t="s">
        <v>7964</v>
      </c>
      <c r="F182" s="1684"/>
      <c r="G182" s="1687">
        <v>90</v>
      </c>
      <c r="H182" s="1687" t="s">
        <v>8015</v>
      </c>
      <c r="I182" s="1687" t="s">
        <v>8015</v>
      </c>
      <c r="J182" s="1688" t="s">
        <v>8629</v>
      </c>
      <c r="K182" s="1689">
        <v>2727</v>
      </c>
      <c r="L182" s="1684" t="s">
        <v>8578</v>
      </c>
      <c r="M182" s="1690"/>
      <c r="N182" s="1689">
        <f t="shared" si="4"/>
        <v>13635</v>
      </c>
    </row>
    <row r="183" spans="1:14" ht="27">
      <c r="A183" s="1684" t="s">
        <v>8573</v>
      </c>
      <c r="B183" s="1684" t="s">
        <v>8574</v>
      </c>
      <c r="C183" s="1685" t="s">
        <v>8583</v>
      </c>
      <c r="D183" s="1686" t="s">
        <v>8584</v>
      </c>
      <c r="E183" s="1687" t="s">
        <v>7964</v>
      </c>
      <c r="F183" s="1684">
        <v>19003686</v>
      </c>
      <c r="G183" s="1687">
        <v>95</v>
      </c>
      <c r="H183" s="1687" t="s">
        <v>8015</v>
      </c>
      <c r="I183" s="1687" t="s">
        <v>8015</v>
      </c>
      <c r="J183" s="1688" t="s">
        <v>8629</v>
      </c>
      <c r="K183" s="1689">
        <v>1963</v>
      </c>
      <c r="L183" s="1684" t="s">
        <v>8578</v>
      </c>
      <c r="M183" s="1690"/>
      <c r="N183" s="1689">
        <f t="shared" si="4"/>
        <v>9815</v>
      </c>
    </row>
    <row r="184" spans="1:14" ht="27">
      <c r="A184" s="1684" t="s">
        <v>8573</v>
      </c>
      <c r="B184" s="1684" t="s">
        <v>8574</v>
      </c>
      <c r="C184" s="1685" t="s">
        <v>8583</v>
      </c>
      <c r="D184" s="1686" t="s">
        <v>8584</v>
      </c>
      <c r="E184" s="1687" t="s">
        <v>7964</v>
      </c>
      <c r="F184" s="1684">
        <v>19003701</v>
      </c>
      <c r="G184" s="1687">
        <v>95</v>
      </c>
      <c r="H184" s="1687" t="s">
        <v>8015</v>
      </c>
      <c r="I184" s="1687" t="s">
        <v>8015</v>
      </c>
      <c r="J184" s="1688" t="s">
        <v>8629</v>
      </c>
      <c r="K184" s="1689">
        <v>1963</v>
      </c>
      <c r="L184" s="1684" t="s">
        <v>8578</v>
      </c>
      <c r="M184" s="1690"/>
      <c r="N184" s="1689">
        <f t="shared" si="4"/>
        <v>9815</v>
      </c>
    </row>
    <row r="185" spans="1:14" ht="27">
      <c r="A185" s="1684" t="s">
        <v>8573</v>
      </c>
      <c r="B185" s="1684" t="s">
        <v>8574</v>
      </c>
      <c r="C185" s="1685" t="s">
        <v>8581</v>
      </c>
      <c r="D185" s="1686" t="s">
        <v>8582</v>
      </c>
      <c r="E185" s="1687" t="s">
        <v>7964</v>
      </c>
      <c r="F185" s="1684"/>
      <c r="G185" s="1687">
        <v>70</v>
      </c>
      <c r="H185" s="1687" t="s">
        <v>8015</v>
      </c>
      <c r="I185" s="1687" t="s">
        <v>8015</v>
      </c>
      <c r="J185" s="1688" t="s">
        <v>8629</v>
      </c>
      <c r="K185" s="1689">
        <v>1636</v>
      </c>
      <c r="L185" s="1684" t="s">
        <v>8578</v>
      </c>
      <c r="M185" s="1690"/>
      <c r="N185" s="1689">
        <f t="shared" si="4"/>
        <v>8180</v>
      </c>
    </row>
    <row r="186" spans="1:14" ht="27">
      <c r="A186" s="1684" t="s">
        <v>8573</v>
      </c>
      <c r="B186" s="1684" t="s">
        <v>8574</v>
      </c>
      <c r="C186" s="1685" t="s">
        <v>8634</v>
      </c>
      <c r="D186" s="1686">
        <v>17903822</v>
      </c>
      <c r="E186" s="1687" t="s">
        <v>7964</v>
      </c>
      <c r="F186" s="1684"/>
      <c r="G186" s="1687">
        <v>80</v>
      </c>
      <c r="H186" s="1687" t="s">
        <v>8015</v>
      </c>
      <c r="I186" s="1687" t="s">
        <v>8015</v>
      </c>
      <c r="J186" s="1688" t="s">
        <v>8629</v>
      </c>
      <c r="K186" s="1689">
        <v>1636</v>
      </c>
      <c r="L186" s="1684" t="s">
        <v>8578</v>
      </c>
      <c r="M186" s="1690"/>
      <c r="N186" s="1689">
        <f t="shared" si="4"/>
        <v>8180</v>
      </c>
    </row>
    <row r="187" spans="1:14" ht="14.25">
      <c r="A187" s="1684" t="s">
        <v>8573</v>
      </c>
      <c r="B187" s="1684" t="s">
        <v>8574</v>
      </c>
      <c r="C187" s="1685" t="s">
        <v>8600</v>
      </c>
      <c r="D187" s="1686" t="s">
        <v>8601</v>
      </c>
      <c r="E187" s="1687" t="s">
        <v>7964</v>
      </c>
      <c r="F187" s="1684"/>
      <c r="G187" s="1687">
        <v>177</v>
      </c>
      <c r="H187" s="1687" t="s">
        <v>8547</v>
      </c>
      <c r="I187" s="1687" t="s">
        <v>8015</v>
      </c>
      <c r="J187" s="1688" t="s">
        <v>8629</v>
      </c>
      <c r="K187" s="1689">
        <v>1963</v>
      </c>
      <c r="L187" s="1684" t="s">
        <v>8578</v>
      </c>
      <c r="M187" s="1690"/>
      <c r="N187" s="1689">
        <f t="shared" si="4"/>
        <v>9815</v>
      </c>
    </row>
    <row r="188" spans="1:14" ht="27">
      <c r="A188" s="1684" t="s">
        <v>8573</v>
      </c>
      <c r="B188" s="1684" t="s">
        <v>8574</v>
      </c>
      <c r="C188" s="1685" t="s">
        <v>8635</v>
      </c>
      <c r="D188" s="1686">
        <v>43353574</v>
      </c>
      <c r="E188" s="1687" t="s">
        <v>7964</v>
      </c>
      <c r="F188" s="1684"/>
      <c r="G188" s="1687">
        <v>120</v>
      </c>
      <c r="H188" s="1687" t="s">
        <v>8547</v>
      </c>
      <c r="I188" s="1687" t="s">
        <v>8015</v>
      </c>
      <c r="J188" s="1688" t="s">
        <v>8629</v>
      </c>
      <c r="K188" s="1689">
        <v>2000</v>
      </c>
      <c r="L188" s="1684" t="s">
        <v>8578</v>
      </c>
      <c r="M188" s="1690"/>
      <c r="N188" s="1689">
        <f>+K188*4</f>
        <v>8000</v>
      </c>
    </row>
    <row r="189" spans="1:14" ht="27">
      <c r="A189" s="1684" t="s">
        <v>8573</v>
      </c>
      <c r="B189" s="1684" t="s">
        <v>8574</v>
      </c>
      <c r="C189" s="1685" t="s">
        <v>8588</v>
      </c>
      <c r="D189" s="1686" t="s">
        <v>8623</v>
      </c>
      <c r="E189" s="1687" t="s">
        <v>7964</v>
      </c>
      <c r="F189" s="1684"/>
      <c r="G189" s="1687">
        <v>80</v>
      </c>
      <c r="H189" s="1687" t="s">
        <v>8547</v>
      </c>
      <c r="I189" s="1687" t="s">
        <v>8015</v>
      </c>
      <c r="J189" s="1688" t="s">
        <v>8629</v>
      </c>
      <c r="K189" s="1689">
        <v>1527</v>
      </c>
      <c r="L189" s="1684" t="s">
        <v>8578</v>
      </c>
      <c r="M189" s="1690"/>
      <c r="N189" s="1689">
        <f t="shared" si="4"/>
        <v>7635</v>
      </c>
    </row>
    <row r="190" spans="1:14" ht="27">
      <c r="A190" s="1684" t="s">
        <v>8573</v>
      </c>
      <c r="B190" s="1684" t="s">
        <v>8574</v>
      </c>
      <c r="C190" s="1685" t="s">
        <v>8636</v>
      </c>
      <c r="D190" s="1686">
        <v>2895442</v>
      </c>
      <c r="E190" s="1687" t="s">
        <v>7964</v>
      </c>
      <c r="F190" s="1684"/>
      <c r="G190" s="1687">
        <v>120</v>
      </c>
      <c r="H190" s="1687" t="s">
        <v>8547</v>
      </c>
      <c r="I190" s="1687" t="s">
        <v>8015</v>
      </c>
      <c r="J190" s="1688" t="s">
        <v>8629</v>
      </c>
      <c r="K190" s="1689">
        <v>2200</v>
      </c>
      <c r="L190" s="1684" t="s">
        <v>8578</v>
      </c>
      <c r="M190" s="1690"/>
      <c r="N190" s="1689">
        <f t="shared" si="4"/>
        <v>11000</v>
      </c>
    </row>
    <row r="191" spans="1:14" ht="27">
      <c r="A191" s="1684" t="s">
        <v>8573</v>
      </c>
      <c r="B191" s="1684" t="s">
        <v>8574</v>
      </c>
      <c r="C191" s="1685" t="s">
        <v>8624</v>
      </c>
      <c r="D191" s="1686" t="s">
        <v>8637</v>
      </c>
      <c r="E191" s="1687" t="s">
        <v>7964</v>
      </c>
      <c r="F191" s="1684"/>
      <c r="G191" s="1687">
        <v>90</v>
      </c>
      <c r="H191" s="1687" t="s">
        <v>8015</v>
      </c>
      <c r="I191" s="1687" t="s">
        <v>8015</v>
      </c>
      <c r="J191" s="1688" t="s">
        <v>8629</v>
      </c>
      <c r="K191" s="1689">
        <v>2530</v>
      </c>
      <c r="L191" s="1684" t="s">
        <v>8578</v>
      </c>
      <c r="M191" s="1690"/>
      <c r="N191" s="1689">
        <f t="shared" si="4"/>
        <v>12650</v>
      </c>
    </row>
    <row r="192" spans="1:14" ht="27">
      <c r="A192" s="1684" t="s">
        <v>8573</v>
      </c>
      <c r="B192" s="1684" t="s">
        <v>8574</v>
      </c>
      <c r="C192" s="1685" t="s">
        <v>8583</v>
      </c>
      <c r="D192" s="1686" t="s">
        <v>8584</v>
      </c>
      <c r="E192" s="1687" t="s">
        <v>7964</v>
      </c>
      <c r="F192" s="1684"/>
      <c r="G192" s="1687">
        <v>95</v>
      </c>
      <c r="H192" s="1687" t="s">
        <v>8015</v>
      </c>
      <c r="I192" s="1687" t="s">
        <v>8015</v>
      </c>
      <c r="J192" s="1688" t="s">
        <v>8629</v>
      </c>
      <c r="K192" s="1689">
        <v>1963</v>
      </c>
      <c r="L192" s="1684" t="s">
        <v>8578</v>
      </c>
      <c r="M192" s="1690"/>
      <c r="N192" s="1689">
        <f t="shared" si="4"/>
        <v>9815</v>
      </c>
    </row>
    <row r="193" spans="1:14" ht="13.5">
      <c r="A193" s="2079" t="s">
        <v>0</v>
      </c>
      <c r="B193" s="2079"/>
      <c r="C193" s="2079"/>
      <c r="D193" s="2079"/>
      <c r="E193" s="2079"/>
      <c r="F193" s="2079"/>
      <c r="G193" s="2079"/>
      <c r="H193" s="2079"/>
      <c r="I193" s="2079"/>
      <c r="J193" s="2079"/>
      <c r="K193" s="2079"/>
      <c r="L193" s="2079"/>
      <c r="M193" s="1908">
        <f>SUM(M100:M192)</f>
        <v>535816</v>
      </c>
      <c r="N193" s="1908">
        <f>SUM(N172:N192)</f>
        <v>222735</v>
      </c>
    </row>
    <row r="194" spans="1:14" ht="13.5">
      <c r="A194" s="1909" t="s">
        <v>8638</v>
      </c>
      <c r="B194" s="1706"/>
      <c r="C194" s="1706"/>
      <c r="D194" s="1706"/>
      <c r="E194" s="1725"/>
      <c r="F194" s="1706"/>
      <c r="G194" s="1709"/>
      <c r="H194" s="1709"/>
      <c r="I194" s="1706"/>
      <c r="J194" s="1706"/>
      <c r="K194" s="1706"/>
      <c r="L194" s="1706"/>
      <c r="M194" s="1713"/>
      <c r="N194" s="1713"/>
    </row>
    <row r="195" spans="1:14" ht="67.5">
      <c r="A195" s="1691" t="s">
        <v>8573</v>
      </c>
      <c r="B195" s="1691" t="s">
        <v>8574</v>
      </c>
      <c r="C195" s="1882" t="s">
        <v>8639</v>
      </c>
      <c r="D195" s="1692" t="s">
        <v>8640</v>
      </c>
      <c r="E195" s="1691" t="s">
        <v>8560</v>
      </c>
      <c r="F195" s="1691" t="s">
        <v>8641</v>
      </c>
      <c r="G195" s="1691" t="s">
        <v>8642</v>
      </c>
      <c r="H195" s="1693">
        <v>1</v>
      </c>
      <c r="I195" s="1694" t="s">
        <v>7852</v>
      </c>
      <c r="J195" s="1883" t="s">
        <v>8643</v>
      </c>
      <c r="K195" s="1695">
        <v>1200</v>
      </c>
      <c r="L195" s="1691" t="s">
        <v>8644</v>
      </c>
      <c r="M195" s="1696">
        <v>47808</v>
      </c>
      <c r="N195" s="1696">
        <v>37314</v>
      </c>
    </row>
    <row r="196" spans="1:14" ht="13.5">
      <c r="A196" s="1909" t="s">
        <v>8645</v>
      </c>
      <c r="B196" s="1706"/>
      <c r="C196" s="1706"/>
      <c r="D196" s="1706"/>
      <c r="E196" s="1725"/>
      <c r="F196" s="1706"/>
      <c r="G196" s="1709"/>
      <c r="H196" s="1709"/>
      <c r="I196" s="1706"/>
      <c r="J196" s="1706"/>
      <c r="K196" s="1706"/>
      <c r="L196" s="1706"/>
      <c r="M196" s="1708"/>
      <c r="N196" s="1708"/>
    </row>
    <row r="197" spans="1:14" ht="40.5">
      <c r="A197" s="1691" t="s">
        <v>8573</v>
      </c>
      <c r="B197" s="1691" t="s">
        <v>8574</v>
      </c>
      <c r="C197" s="1728" t="s">
        <v>8646</v>
      </c>
      <c r="D197" s="1692" t="s">
        <v>8647</v>
      </c>
      <c r="E197" s="1697" t="s">
        <v>7964</v>
      </c>
      <c r="F197" s="1697"/>
      <c r="G197" s="1698" t="s">
        <v>8648</v>
      </c>
      <c r="H197" s="1697">
        <v>1</v>
      </c>
      <c r="I197" s="1699" t="s">
        <v>8649</v>
      </c>
      <c r="J197" s="1700" t="s">
        <v>8650</v>
      </c>
      <c r="K197" s="1695">
        <v>539.70000000000005</v>
      </c>
      <c r="L197" s="1701" t="s">
        <v>8651</v>
      </c>
      <c r="M197" s="1696">
        <v>21566.41</v>
      </c>
      <c r="N197" s="1696">
        <v>16782.38</v>
      </c>
    </row>
    <row r="198" spans="1:14" ht="13.5">
      <c r="A198" s="1909" t="s">
        <v>8652</v>
      </c>
      <c r="B198" s="1706"/>
      <c r="C198" s="1706"/>
      <c r="D198" s="1706"/>
      <c r="E198" s="1725"/>
      <c r="F198" s="1706"/>
      <c r="G198" s="1709"/>
      <c r="H198" s="1709"/>
      <c r="I198" s="1706"/>
      <c r="J198" s="1706"/>
      <c r="K198" s="1706"/>
      <c r="L198" s="1706"/>
      <c r="M198" s="1708"/>
      <c r="N198" s="1708"/>
    </row>
    <row r="199" spans="1:14" ht="135">
      <c r="A199" s="1691" t="s">
        <v>8573</v>
      </c>
      <c r="B199" s="1691" t="s">
        <v>8574</v>
      </c>
      <c r="C199" s="1882" t="s">
        <v>8653</v>
      </c>
      <c r="D199" s="1692"/>
      <c r="E199" s="1697" t="s">
        <v>8654</v>
      </c>
      <c r="F199" s="1697"/>
      <c r="G199" s="1702" t="s">
        <v>8655</v>
      </c>
      <c r="H199" s="1697">
        <v>1</v>
      </c>
      <c r="I199" s="1699"/>
      <c r="J199" s="1702" t="s">
        <v>8656</v>
      </c>
      <c r="K199" s="1703" t="s">
        <v>8657</v>
      </c>
      <c r="L199" s="1700" t="s">
        <v>1656</v>
      </c>
      <c r="M199" s="1704">
        <f>(1855*12)*3.79558787720671</f>
        <v>84489.786146621365</v>
      </c>
      <c r="N199" s="1704">
        <f>(1955*9)*3.91603299714665</f>
        <v>68902.600584795306</v>
      </c>
    </row>
    <row r="200" spans="1:14" ht="67.5">
      <c r="A200" s="1691" t="s">
        <v>8573</v>
      </c>
      <c r="B200" s="1691" t="s">
        <v>8574</v>
      </c>
      <c r="C200" s="1882" t="s">
        <v>8658</v>
      </c>
      <c r="D200" s="1692"/>
      <c r="E200" s="1697" t="s">
        <v>8659</v>
      </c>
      <c r="F200" s="1692" t="s">
        <v>8660</v>
      </c>
      <c r="G200" s="1698" t="s">
        <v>8661</v>
      </c>
      <c r="H200" s="1697">
        <v>1</v>
      </c>
      <c r="I200" s="1699"/>
      <c r="J200" s="1702" t="s">
        <v>8656</v>
      </c>
      <c r="K200" s="1703" t="s">
        <v>8662</v>
      </c>
      <c r="L200" s="1700" t="s">
        <v>1656</v>
      </c>
      <c r="M200" s="1704">
        <f>(1978*12)*3.79558787720671</f>
        <v>90092.073853378475</v>
      </c>
      <c r="N200" s="1704">
        <f>(1978*9)*3.91603299714665</f>
        <v>69713.219415204672</v>
      </c>
    </row>
    <row r="201" spans="1:14" ht="13.5">
      <c r="A201" s="1909" t="s">
        <v>8663</v>
      </c>
      <c r="B201" s="1706"/>
      <c r="C201" s="1706"/>
      <c r="D201" s="1706"/>
      <c r="E201" s="1706"/>
      <c r="F201" s="1706"/>
      <c r="G201" s="1709"/>
      <c r="H201" s="1709"/>
      <c r="I201" s="1706"/>
      <c r="J201" s="1706"/>
      <c r="K201" s="1706"/>
      <c r="L201" s="1706"/>
      <c r="M201" s="1708"/>
      <c r="N201" s="1708"/>
    </row>
    <row r="202" spans="1:14" ht="67.5">
      <c r="A202" s="1691" t="s">
        <v>8573</v>
      </c>
      <c r="B202" s="1691" t="s">
        <v>8574</v>
      </c>
      <c r="C202" s="1702" t="s">
        <v>8664</v>
      </c>
      <c r="D202" s="1702" t="s">
        <v>8665</v>
      </c>
      <c r="E202" s="1705" t="s">
        <v>8666</v>
      </c>
      <c r="F202" s="1705" t="s">
        <v>8667</v>
      </c>
      <c r="G202" s="1705" t="s">
        <v>8668</v>
      </c>
      <c r="H202" s="1697">
        <v>1</v>
      </c>
      <c r="I202" s="1705" t="s">
        <v>8669</v>
      </c>
      <c r="J202" s="1705" t="s">
        <v>8670</v>
      </c>
      <c r="K202" s="1705" t="s">
        <v>8671</v>
      </c>
      <c r="L202" s="1705" t="s">
        <v>8672</v>
      </c>
      <c r="M202" s="1704">
        <f>400*12*3.62628923611111</f>
        <v>17406.188333333328</v>
      </c>
      <c r="N202" s="1696">
        <f>400*9*3.455</f>
        <v>12438</v>
      </c>
    </row>
    <row r="203" spans="1:14" ht="40.5">
      <c r="A203" s="1691" t="s">
        <v>8573</v>
      </c>
      <c r="B203" s="1691" t="s">
        <v>8574</v>
      </c>
      <c r="C203" s="1702" t="s">
        <v>8673</v>
      </c>
      <c r="D203" s="1702" t="s">
        <v>8674</v>
      </c>
      <c r="E203" s="1705" t="s">
        <v>8666</v>
      </c>
      <c r="F203" s="1691" t="s">
        <v>8675</v>
      </c>
      <c r="G203" s="1705" t="s">
        <v>8676</v>
      </c>
      <c r="H203" s="1697">
        <v>2</v>
      </c>
      <c r="I203" s="1705" t="s">
        <v>8677</v>
      </c>
      <c r="J203" s="1705" t="s">
        <v>8678</v>
      </c>
      <c r="K203" s="1705" t="s">
        <v>8679</v>
      </c>
      <c r="L203" s="1701" t="s">
        <v>8680</v>
      </c>
      <c r="M203" s="1704">
        <f>2000*12*3.62628923611111</f>
        <v>87030.941666666637</v>
      </c>
      <c r="N203" s="1696">
        <f>2000*9*3.455</f>
        <v>62190</v>
      </c>
    </row>
    <row r="204" spans="1:14" ht="13.5">
      <c r="A204" s="1883"/>
      <c r="B204" s="1882"/>
      <c r="C204" s="1882"/>
      <c r="D204" s="1692"/>
      <c r="E204" s="1697"/>
      <c r="F204" s="1692"/>
      <c r="G204" s="1698"/>
      <c r="H204" s="1697"/>
      <c r="I204" s="1699"/>
      <c r="J204" s="1702"/>
      <c r="K204" s="1703"/>
      <c r="L204" s="1700"/>
      <c r="M204" s="1704"/>
      <c r="N204" s="1696"/>
    </row>
    <row r="205" spans="1:14" ht="13.5">
      <c r="A205" s="1909" t="s">
        <v>8681</v>
      </c>
      <c r="B205" s="1706"/>
      <c r="C205" s="1706"/>
      <c r="D205" s="1706"/>
      <c r="E205" s="1706"/>
      <c r="F205" s="1706"/>
      <c r="G205" s="1709"/>
      <c r="H205" s="1709"/>
      <c r="I205" s="1706"/>
      <c r="J205" s="1706"/>
      <c r="K205" s="1706"/>
      <c r="L205" s="1706"/>
      <c r="M205" s="1708"/>
      <c r="N205" s="1708"/>
    </row>
    <row r="206" spans="1:14" ht="40.5">
      <c r="A206" s="1691" t="s">
        <v>8573</v>
      </c>
      <c r="B206" s="1691" t="s">
        <v>8574</v>
      </c>
      <c r="C206" s="1702" t="s">
        <v>8682</v>
      </c>
      <c r="D206" s="1706"/>
      <c r="E206" s="1705" t="s">
        <v>7974</v>
      </c>
      <c r="F206" s="1691"/>
      <c r="G206" s="1705">
        <v>250</v>
      </c>
      <c r="H206" s="1697">
        <v>2</v>
      </c>
      <c r="I206" s="1706"/>
      <c r="J206" s="1705" t="s">
        <v>7881</v>
      </c>
      <c r="K206" s="1707">
        <v>3750</v>
      </c>
      <c r="L206" s="1705" t="s">
        <v>8683</v>
      </c>
      <c r="M206" s="1708">
        <f>3750*12*3.735</f>
        <v>168075</v>
      </c>
      <c r="N206" s="1708">
        <f>3750*9*3.82232277777778</f>
        <v>129003.39375000008</v>
      </c>
    </row>
    <row r="207" spans="1:14" ht="40.5">
      <c r="A207" s="1691" t="s">
        <v>8573</v>
      </c>
      <c r="B207" s="1691" t="s">
        <v>8574</v>
      </c>
      <c r="C207" s="1702" t="s">
        <v>8684</v>
      </c>
      <c r="D207" s="1706"/>
      <c r="E207" s="1705" t="s">
        <v>7974</v>
      </c>
      <c r="F207" s="1684"/>
      <c r="G207" s="1705">
        <v>14</v>
      </c>
      <c r="H207" s="1709"/>
      <c r="I207" s="1706"/>
      <c r="J207" s="1705" t="s">
        <v>7881</v>
      </c>
      <c r="K207" s="1707">
        <v>250</v>
      </c>
      <c r="L207" s="1705" t="s">
        <v>8683</v>
      </c>
      <c r="M207" s="1708">
        <f>250*12*3.735</f>
        <v>11205</v>
      </c>
      <c r="N207" s="1708">
        <f>250*9*3.82232277777778</f>
        <v>8600.2262500000052</v>
      </c>
    </row>
    <row r="208" spans="1:14" ht="13.5">
      <c r="A208" s="1883"/>
      <c r="B208" s="1882"/>
      <c r="C208" s="1882"/>
      <c r="D208" s="1692"/>
      <c r="E208" s="1697"/>
      <c r="F208" s="1692"/>
      <c r="G208" s="1698"/>
      <c r="H208" s="1697"/>
      <c r="I208" s="1699"/>
      <c r="J208" s="1702"/>
      <c r="K208" s="1703"/>
      <c r="L208" s="1700"/>
      <c r="M208" s="1732"/>
      <c r="N208" s="1910"/>
    </row>
    <row r="209" spans="1:14" ht="13.5">
      <c r="A209" s="1909" t="s">
        <v>8685</v>
      </c>
      <c r="B209" s="1706"/>
      <c r="C209" s="1706"/>
      <c r="D209" s="1706"/>
      <c r="E209" s="1706"/>
      <c r="F209" s="1706"/>
      <c r="G209" s="1709"/>
      <c r="H209" s="1709"/>
      <c r="I209" s="1706"/>
      <c r="J209" s="1706"/>
      <c r="K209" s="1706"/>
      <c r="L209" s="1706"/>
      <c r="M209" s="1713"/>
      <c r="N209" s="1713"/>
    </row>
    <row r="210" spans="1:14" ht="40.5">
      <c r="A210" s="1691" t="s">
        <v>8573</v>
      </c>
      <c r="B210" s="1691" t="s">
        <v>8574</v>
      </c>
      <c r="C210" s="1710" t="s">
        <v>8686</v>
      </c>
      <c r="D210" s="1710">
        <v>70840</v>
      </c>
      <c r="E210" s="1711" t="s">
        <v>7974</v>
      </c>
      <c r="F210" s="1710" t="s">
        <v>8687</v>
      </c>
      <c r="G210" s="1711" t="s">
        <v>8688</v>
      </c>
      <c r="H210" s="1711" t="s">
        <v>8015</v>
      </c>
      <c r="I210" s="1711" t="s">
        <v>8689</v>
      </c>
      <c r="J210" s="1712" t="s">
        <v>8690</v>
      </c>
      <c r="K210" s="1710" t="s">
        <v>8691</v>
      </c>
      <c r="L210" s="1710" t="s">
        <v>8692</v>
      </c>
      <c r="M210" s="1732">
        <v>139550.35999999999</v>
      </c>
      <c r="N210" s="1713">
        <v>130360.05</v>
      </c>
    </row>
    <row r="211" spans="1:14" ht="13.5">
      <c r="A211" s="1883"/>
      <c r="B211" s="1882"/>
      <c r="C211" s="1882"/>
      <c r="D211" s="1692"/>
      <c r="E211" s="1697"/>
      <c r="F211" s="1692"/>
      <c r="G211" s="1698"/>
      <c r="H211" s="1697"/>
      <c r="I211" s="1699"/>
      <c r="J211" s="1702"/>
      <c r="K211" s="1703"/>
      <c r="L211" s="1700"/>
      <c r="M211" s="1732"/>
      <c r="N211" s="1910"/>
    </row>
    <row r="212" spans="1:14" ht="13.5">
      <c r="A212" s="1909" t="s">
        <v>8693</v>
      </c>
      <c r="B212" s="1706"/>
      <c r="C212" s="1706"/>
      <c r="D212" s="1706"/>
      <c r="E212" s="1706"/>
      <c r="F212" s="1706"/>
      <c r="G212" s="1709"/>
      <c r="H212" s="1709"/>
      <c r="I212" s="1706"/>
      <c r="J212" s="1706"/>
      <c r="K212" s="1706"/>
      <c r="L212" s="1706"/>
      <c r="M212" s="1713"/>
      <c r="N212" s="1713"/>
    </row>
    <row r="213" spans="1:14" ht="40.5">
      <c r="A213" s="1691" t="s">
        <v>8573</v>
      </c>
      <c r="B213" s="1691" t="s">
        <v>8574</v>
      </c>
      <c r="C213" s="1714" t="s">
        <v>8694</v>
      </c>
      <c r="D213" s="1714" t="s">
        <v>8695</v>
      </c>
      <c r="E213" s="1714" t="s">
        <v>8696</v>
      </c>
      <c r="F213" s="1714"/>
      <c r="G213" s="1714" t="s">
        <v>8697</v>
      </c>
      <c r="H213" s="1714" t="s">
        <v>8698</v>
      </c>
      <c r="I213" s="1714" t="s">
        <v>8699</v>
      </c>
      <c r="J213" s="1714" t="s">
        <v>8700</v>
      </c>
      <c r="K213" s="1715">
        <v>2500</v>
      </c>
      <c r="L213" s="1714" t="s">
        <v>8701</v>
      </c>
      <c r="M213" s="1708">
        <f>2500*4*5.87655317917456</f>
        <v>58765.531791745598</v>
      </c>
      <c r="N213" s="1708">
        <f>2500*4*4.93473480094901</f>
        <v>49347.348009490102</v>
      </c>
    </row>
    <row r="214" spans="1:14" ht="40.5">
      <c r="A214" s="1691" t="s">
        <v>8573</v>
      </c>
      <c r="B214" s="1691" t="s">
        <v>8574</v>
      </c>
      <c r="C214" s="1714" t="s">
        <v>8702</v>
      </c>
      <c r="D214" s="1714" t="s">
        <v>8703</v>
      </c>
      <c r="E214" s="1714" t="s">
        <v>8696</v>
      </c>
      <c r="F214" s="1714"/>
      <c r="G214" s="1714" t="s">
        <v>8704</v>
      </c>
      <c r="H214" s="1714" t="s">
        <v>8698</v>
      </c>
      <c r="I214" s="1714" t="s">
        <v>8705</v>
      </c>
      <c r="J214" s="1714" t="s">
        <v>8706</v>
      </c>
      <c r="K214" s="1715">
        <v>2598.33</v>
      </c>
      <c r="L214" s="1716" t="s">
        <v>8701</v>
      </c>
      <c r="M214" s="1704">
        <f>2598.33*4*5.87655317917456</f>
        <v>61076.897688178535</v>
      </c>
      <c r="N214" s="1704">
        <f>2598.33*4*4.93473480094901</f>
        <v>51288.277901399364</v>
      </c>
    </row>
    <row r="215" spans="1:14" ht="40.5">
      <c r="A215" s="1691" t="s">
        <v>8573</v>
      </c>
      <c r="B215" s="1691" t="s">
        <v>8574</v>
      </c>
      <c r="C215" s="1714" t="s">
        <v>8707</v>
      </c>
      <c r="D215" s="1714" t="s">
        <v>8708</v>
      </c>
      <c r="E215" s="1714" t="s">
        <v>8696</v>
      </c>
      <c r="F215" s="1714"/>
      <c r="G215" s="1714" t="s">
        <v>8709</v>
      </c>
      <c r="H215" s="1714" t="s">
        <v>8698</v>
      </c>
      <c r="I215" s="1714"/>
      <c r="J215" s="1714" t="s">
        <v>8710</v>
      </c>
      <c r="K215" s="1715">
        <v>2400</v>
      </c>
      <c r="L215" s="1716" t="s">
        <v>8701</v>
      </c>
      <c r="M215" s="1704">
        <f>2400*4*5.87655317917456</f>
        <v>56414.910520075777</v>
      </c>
      <c r="N215" s="1704">
        <f>2400*4*4.93473480094901</f>
        <v>47373.454089110499</v>
      </c>
    </row>
    <row r="216" spans="1:14" ht="13.5">
      <c r="A216" s="1909" t="s">
        <v>8711</v>
      </c>
      <c r="B216" s="1706"/>
      <c r="C216" s="1706"/>
      <c r="D216" s="1706"/>
      <c r="E216" s="1706"/>
      <c r="F216" s="1706"/>
      <c r="G216" s="1709"/>
      <c r="H216" s="1709"/>
      <c r="I216" s="1706"/>
      <c r="J216" s="1706"/>
      <c r="K216" s="1706"/>
      <c r="L216" s="1706"/>
      <c r="M216" s="1713"/>
      <c r="N216" s="1713"/>
    </row>
    <row r="217" spans="1:14" ht="40.5">
      <c r="A217" s="1691" t="s">
        <v>8573</v>
      </c>
      <c r="B217" s="1691" t="s">
        <v>8574</v>
      </c>
      <c r="C217" s="1717" t="s">
        <v>8712</v>
      </c>
      <c r="D217" s="1698"/>
      <c r="E217" s="1717" t="s">
        <v>8713</v>
      </c>
      <c r="F217" s="1698"/>
      <c r="G217" s="1698" t="s">
        <v>8714</v>
      </c>
      <c r="H217" s="1698" t="s">
        <v>8015</v>
      </c>
      <c r="I217" s="1698"/>
      <c r="J217" s="1718">
        <v>44220</v>
      </c>
      <c r="K217" s="1715">
        <v>4350</v>
      </c>
      <c r="L217" s="1710" t="s">
        <v>8715</v>
      </c>
      <c r="M217" s="1732">
        <f>4350*12*3.06858927289148</f>
        <v>160180.36004493525</v>
      </c>
      <c r="N217" s="1732">
        <f>4350*6*3.52038502523261</f>
        <v>91882.049158571113</v>
      </c>
    </row>
    <row r="218" spans="1:14" ht="40.5">
      <c r="A218" s="1691" t="s">
        <v>8573</v>
      </c>
      <c r="B218" s="1691" t="s">
        <v>8574</v>
      </c>
      <c r="C218" s="1911" t="s">
        <v>8716</v>
      </c>
      <c r="D218" s="1725"/>
      <c r="E218" s="1701" t="s">
        <v>8713</v>
      </c>
      <c r="F218" s="1725"/>
      <c r="G218" s="1725" t="s">
        <v>8717</v>
      </c>
      <c r="H218" s="1725" t="s">
        <v>8015</v>
      </c>
      <c r="I218" s="1725"/>
      <c r="J218" s="1718">
        <v>43664</v>
      </c>
      <c r="K218" s="1715">
        <v>4250</v>
      </c>
      <c r="L218" s="1710" t="s">
        <v>8718</v>
      </c>
      <c r="M218" s="1732">
        <f>4250*12*3.06858927289148</f>
        <v>156498.05291746548</v>
      </c>
      <c r="N218" s="1732">
        <f>4250*6*3.52038502523261</f>
        <v>89769.818143431548</v>
      </c>
    </row>
    <row r="219" spans="1:14" ht="40.5">
      <c r="A219" s="1691" t="s">
        <v>8573</v>
      </c>
      <c r="B219" s="1691" t="s">
        <v>8574</v>
      </c>
      <c r="C219" s="1911" t="s">
        <v>8719</v>
      </c>
      <c r="D219" s="1719"/>
      <c r="E219" s="1701" t="s">
        <v>8713</v>
      </c>
      <c r="F219" s="1725"/>
      <c r="G219" s="1725" t="s">
        <v>8717</v>
      </c>
      <c r="H219" s="1725" t="s">
        <v>8015</v>
      </c>
      <c r="I219" s="1725"/>
      <c r="J219" s="1720">
        <v>43841</v>
      </c>
      <c r="K219" s="1715">
        <v>4450</v>
      </c>
      <c r="L219" s="1710" t="s">
        <v>8720</v>
      </c>
      <c r="M219" s="1732">
        <f>4450*12*3.06858927289148</f>
        <v>163862.66717240502</v>
      </c>
      <c r="N219" s="1732">
        <f>4450*6*3.52038502523261</f>
        <v>93994.280173710678</v>
      </c>
    </row>
    <row r="220" spans="1:14" ht="40.5">
      <c r="A220" s="1691" t="s">
        <v>8573</v>
      </c>
      <c r="B220" s="1691" t="s">
        <v>8574</v>
      </c>
      <c r="C220" s="1912" t="s">
        <v>8721</v>
      </c>
      <c r="D220" s="1725"/>
      <c r="E220" s="1701" t="s">
        <v>8713</v>
      </c>
      <c r="F220" s="1725"/>
      <c r="G220" s="1725" t="s">
        <v>8722</v>
      </c>
      <c r="H220" s="1725" t="s">
        <v>8547</v>
      </c>
      <c r="I220" s="1725"/>
      <c r="J220" s="1721">
        <v>43911</v>
      </c>
      <c r="K220" s="1715">
        <v>3100</v>
      </c>
      <c r="L220" s="1710" t="s">
        <v>8723</v>
      </c>
      <c r="M220" s="1732">
        <f>3100*12*3.06858927289148</f>
        <v>114151.52095156306</v>
      </c>
      <c r="N220" s="1732">
        <f>3100*6*3.52038502523261</f>
        <v>65479.161469326544</v>
      </c>
    </row>
    <row r="221" spans="1:14" ht="40.5">
      <c r="A221" s="1691" t="s">
        <v>8573</v>
      </c>
      <c r="B221" s="1691" t="s">
        <v>8574</v>
      </c>
      <c r="C221" s="1701" t="s">
        <v>8724</v>
      </c>
      <c r="D221" s="1725"/>
      <c r="E221" s="1701" t="s">
        <v>8713</v>
      </c>
      <c r="F221" s="1725"/>
      <c r="G221" s="1725" t="s">
        <v>8725</v>
      </c>
      <c r="H221" s="1724" t="s">
        <v>8547</v>
      </c>
      <c r="I221" s="1725"/>
      <c r="J221" s="1718">
        <v>43658</v>
      </c>
      <c r="K221" s="1715">
        <v>2795</v>
      </c>
      <c r="L221" s="1722" t="s">
        <v>8720</v>
      </c>
      <c r="M221" s="1732">
        <f>2795*12*3.06858927289148</f>
        <v>102920.48421278024</v>
      </c>
      <c r="N221" s="1732">
        <f>2795*6*3.52038502523261</f>
        <v>59036.856873150871</v>
      </c>
    </row>
    <row r="222" spans="1:14" ht="40.5">
      <c r="A222" s="1691" t="s">
        <v>8573</v>
      </c>
      <c r="B222" s="1691" t="s">
        <v>8574</v>
      </c>
      <c r="C222" s="1723" t="s">
        <v>8726</v>
      </c>
      <c r="D222" s="1724"/>
      <c r="E222" s="1701" t="s">
        <v>8713</v>
      </c>
      <c r="F222" s="1724"/>
      <c r="G222" s="1725" t="s">
        <v>8725</v>
      </c>
      <c r="H222" s="1724" t="s">
        <v>8015</v>
      </c>
      <c r="I222" s="1724"/>
      <c r="J222" s="1720">
        <v>43910</v>
      </c>
      <c r="K222" s="1715">
        <v>3000</v>
      </c>
      <c r="L222" s="1722" t="s">
        <v>8727</v>
      </c>
      <c r="M222" s="1732">
        <f>3000*12*3.06858927289148</f>
        <v>110469.21382409327</v>
      </c>
      <c r="N222" s="1732">
        <f>3000*6*3.52038502523261</f>
        <v>63366.930454186979</v>
      </c>
    </row>
    <row r="223" spans="1:14" ht="40.5">
      <c r="A223" s="1691" t="s">
        <v>8573</v>
      </c>
      <c r="B223" s="1691" t="s">
        <v>8574</v>
      </c>
      <c r="C223" s="1701" t="s">
        <v>8728</v>
      </c>
      <c r="D223" s="1724"/>
      <c r="E223" s="1701" t="s">
        <v>8713</v>
      </c>
      <c r="F223" s="1724"/>
      <c r="G223" s="1725" t="s">
        <v>8725</v>
      </c>
      <c r="H223" s="1724" t="s">
        <v>8547</v>
      </c>
      <c r="I223" s="1724"/>
      <c r="J223" s="1718">
        <v>43901</v>
      </c>
      <c r="K223" s="1715">
        <v>2995</v>
      </c>
      <c r="L223" s="1722" t="s">
        <v>8720</v>
      </c>
      <c r="M223" s="1732">
        <f>2995*12*3.06858927289148</f>
        <v>110285.09846771978</v>
      </c>
      <c r="N223" s="1732">
        <f>2995*6*3.52038502523261</f>
        <v>63261.318903430001</v>
      </c>
    </row>
    <row r="224" spans="1:14" ht="40.5">
      <c r="A224" s="1883" t="s">
        <v>8729</v>
      </c>
      <c r="B224" s="1691" t="s">
        <v>8574</v>
      </c>
      <c r="C224" s="2080" t="s">
        <v>8730</v>
      </c>
      <c r="D224" s="1724"/>
      <c r="E224" s="2081" t="s">
        <v>8713</v>
      </c>
      <c r="F224" s="2080"/>
      <c r="G224" s="2082" t="s">
        <v>8725</v>
      </c>
      <c r="H224" s="2080" t="s">
        <v>8547</v>
      </c>
      <c r="I224" s="2080"/>
      <c r="J224" s="1718">
        <v>43474</v>
      </c>
      <c r="K224" s="1715">
        <v>2266</v>
      </c>
      <c r="L224" s="1722" t="s">
        <v>8727</v>
      </c>
      <c r="M224" s="1732">
        <f>2266*12*3.06858927289148</f>
        <v>83441.079508465118</v>
      </c>
      <c r="N224" s="1732">
        <f>2266*6*3.52038502523261</f>
        <v>47863.154803062564</v>
      </c>
    </row>
    <row r="225" spans="1:14" ht="40.5">
      <c r="A225" s="1691" t="s">
        <v>8573</v>
      </c>
      <c r="B225" s="1691" t="s">
        <v>8574</v>
      </c>
      <c r="C225" s="2080"/>
      <c r="D225" s="1724"/>
      <c r="E225" s="2081"/>
      <c r="F225" s="2080"/>
      <c r="G225" s="2082"/>
      <c r="H225" s="2080"/>
      <c r="I225" s="2080"/>
      <c r="J225" s="1721">
        <v>43839</v>
      </c>
      <c r="K225" s="1715">
        <v>2344</v>
      </c>
      <c r="L225" s="1722" t="s">
        <v>8727</v>
      </c>
      <c r="M225" s="1732">
        <f>2344*12*3.06858927289148</f>
        <v>86313.279067891548</v>
      </c>
      <c r="N225" s="1732">
        <f>2344*6*3.52038502523261</f>
        <v>49510.694994871425</v>
      </c>
    </row>
    <row r="226" spans="1:14" ht="40.5">
      <c r="A226" s="1691" t="s">
        <v>8573</v>
      </c>
      <c r="B226" s="1691" t="s">
        <v>8574</v>
      </c>
      <c r="C226" s="1701" t="s">
        <v>8731</v>
      </c>
      <c r="D226" s="1726"/>
      <c r="E226" s="1726" t="s">
        <v>8713</v>
      </c>
      <c r="F226" s="1726"/>
      <c r="G226" s="1697" t="s">
        <v>8732</v>
      </c>
      <c r="H226" s="1697"/>
      <c r="I226" s="1726"/>
      <c r="J226" s="1718">
        <v>43923</v>
      </c>
      <c r="K226" s="1727">
        <v>0</v>
      </c>
      <c r="L226" s="1722" t="s">
        <v>8733</v>
      </c>
      <c r="M226" s="1732">
        <f>1400*1*3.06858927289148</f>
        <v>4296.0249820480722</v>
      </c>
      <c r="N226" s="1732">
        <f>1400*1*3.52038502523261</f>
        <v>4928.5390353256535</v>
      </c>
    </row>
    <row r="227" spans="1:14" ht="40.5">
      <c r="A227" s="1691" t="s">
        <v>8573</v>
      </c>
      <c r="B227" s="1691" t="s">
        <v>8574</v>
      </c>
      <c r="C227" s="1701" t="s">
        <v>8734</v>
      </c>
      <c r="D227" s="1726"/>
      <c r="E227" s="1726" t="s">
        <v>8713</v>
      </c>
      <c r="F227" s="1726"/>
      <c r="G227" s="1697" t="s">
        <v>8732</v>
      </c>
      <c r="H227" s="1697"/>
      <c r="I227" s="1726"/>
      <c r="J227" s="1718">
        <v>44046</v>
      </c>
      <c r="K227" s="1727">
        <v>0</v>
      </c>
      <c r="L227" s="1722" t="s">
        <v>8735</v>
      </c>
      <c r="M227" s="1732">
        <f>275.1*1*3.06858927289148</f>
        <v>844.16890897244616</v>
      </c>
      <c r="N227" s="1732">
        <f>275.1*1*3.52038502523261</f>
        <v>968.45792044149107</v>
      </c>
    </row>
    <row r="228" spans="1:14" ht="40.5">
      <c r="A228" s="1691" t="s">
        <v>8573</v>
      </c>
      <c r="B228" s="1691" t="s">
        <v>8574</v>
      </c>
      <c r="C228" s="1701" t="s">
        <v>8734</v>
      </c>
      <c r="D228" s="1726"/>
      <c r="E228" s="1726" t="s">
        <v>8713</v>
      </c>
      <c r="F228" s="1726"/>
      <c r="G228" s="1697" t="s">
        <v>8732</v>
      </c>
      <c r="H228" s="1697"/>
      <c r="I228" s="1726"/>
      <c r="J228" s="1718">
        <v>44046</v>
      </c>
      <c r="K228" s="1727">
        <v>0</v>
      </c>
      <c r="L228" s="1722" t="s">
        <v>8735</v>
      </c>
      <c r="M228" s="1732">
        <f>411.6*1*3.06858927289148</f>
        <v>1263.0313447221331</v>
      </c>
      <c r="N228" s="1732">
        <f>411.6*1*3.52038502523261</f>
        <v>1448.9904763857423</v>
      </c>
    </row>
    <row r="229" spans="1:14" ht="40.5">
      <c r="A229" s="1691" t="s">
        <v>8573</v>
      </c>
      <c r="B229" s="1691" t="s">
        <v>8574</v>
      </c>
      <c r="C229" s="1701" t="s">
        <v>8734</v>
      </c>
      <c r="D229" s="1726"/>
      <c r="E229" s="1726" t="s">
        <v>8713</v>
      </c>
      <c r="F229" s="1726"/>
      <c r="G229" s="1697" t="s">
        <v>8732</v>
      </c>
      <c r="H229" s="1697"/>
      <c r="I229" s="1726"/>
      <c r="J229" s="1718">
        <v>43888</v>
      </c>
      <c r="K229" s="1727">
        <v>0</v>
      </c>
      <c r="L229" s="1722" t="s">
        <v>8736</v>
      </c>
      <c r="M229" s="1732">
        <f>524*1*3.06858927289148</f>
        <v>1607.9407789951354</v>
      </c>
      <c r="N229" s="1732">
        <f>524*1*3.52038502523261</f>
        <v>1844.6817532218877</v>
      </c>
    </row>
    <row r="230" spans="1:14" ht="40.5">
      <c r="A230" s="1691" t="s">
        <v>8573</v>
      </c>
      <c r="B230" s="1691" t="s">
        <v>8574</v>
      </c>
      <c r="C230" s="1701" t="s">
        <v>8734</v>
      </c>
      <c r="D230" s="1726"/>
      <c r="E230" s="1726" t="s">
        <v>8713</v>
      </c>
      <c r="F230" s="1726"/>
      <c r="G230" s="1697" t="s">
        <v>8732</v>
      </c>
      <c r="H230" s="1697"/>
      <c r="I230" s="1726"/>
      <c r="J230" s="1718">
        <v>44074</v>
      </c>
      <c r="K230" s="1727">
        <v>0</v>
      </c>
      <c r="L230" s="1722" t="s">
        <v>8737</v>
      </c>
      <c r="M230" s="1732">
        <f>550.2*1*3.06858927289148</f>
        <v>1688.3378179448923</v>
      </c>
      <c r="N230" s="1732">
        <f>550.2*1*3.52038502523261</f>
        <v>1936.9158408829821</v>
      </c>
    </row>
    <row r="231" spans="1:14" ht="13.5">
      <c r="A231" s="1909" t="s">
        <v>8738</v>
      </c>
      <c r="B231" s="1706"/>
      <c r="C231" s="1706"/>
      <c r="D231" s="1706"/>
      <c r="E231" s="1706"/>
      <c r="F231" s="1706"/>
      <c r="G231" s="1709"/>
      <c r="H231" s="1709"/>
      <c r="I231" s="1706"/>
      <c r="J231" s="1706"/>
      <c r="K231" s="1706"/>
      <c r="L231" s="1706"/>
      <c r="M231" s="1713"/>
      <c r="N231" s="1713"/>
    </row>
    <row r="232" spans="1:14" ht="54">
      <c r="A232" s="1691" t="s">
        <v>8573</v>
      </c>
      <c r="B232" s="1691" t="s">
        <v>8574</v>
      </c>
      <c r="C232" s="1701" t="s">
        <v>8739</v>
      </c>
      <c r="D232" s="1728">
        <v>43287849</v>
      </c>
      <c r="E232" s="1726" t="s">
        <v>7974</v>
      </c>
      <c r="F232" s="1726" t="s">
        <v>8649</v>
      </c>
      <c r="G232" s="1726" t="s">
        <v>8740</v>
      </c>
      <c r="H232" s="1726" t="s">
        <v>8741</v>
      </c>
      <c r="I232" s="1726" t="s">
        <v>8649</v>
      </c>
      <c r="J232" s="1729" t="s">
        <v>8742</v>
      </c>
      <c r="K232" s="1715">
        <v>1787.64</v>
      </c>
      <c r="L232" s="1726" t="s">
        <v>8743</v>
      </c>
      <c r="M232" s="1730">
        <f>1787.64*12*3.81644551688732</f>
        <v>81869.167965701388</v>
      </c>
      <c r="N232" s="1730">
        <f>1787.64*9*4.19358591380202</f>
        <v>67469.5973065414</v>
      </c>
    </row>
    <row r="233" spans="1:14" ht="67.5">
      <c r="A233" s="1691" t="s">
        <v>8573</v>
      </c>
      <c r="B233" s="1691" t="s">
        <v>8574</v>
      </c>
      <c r="C233" s="1701" t="s">
        <v>8744</v>
      </c>
      <c r="D233" s="1726" t="s">
        <v>8745</v>
      </c>
      <c r="E233" s="1726" t="s">
        <v>8746</v>
      </c>
      <c r="F233" s="1726" t="s">
        <v>8747</v>
      </c>
      <c r="G233" s="1726" t="s">
        <v>8748</v>
      </c>
      <c r="H233" s="1726" t="s">
        <v>8741</v>
      </c>
      <c r="I233" s="1726" t="s">
        <v>8749</v>
      </c>
      <c r="J233" s="1726" t="s">
        <v>8750</v>
      </c>
      <c r="K233" s="1715">
        <v>3224.8</v>
      </c>
      <c r="L233" s="1726" t="s">
        <v>8751</v>
      </c>
      <c r="M233" s="1730">
        <f>3224.8*12*3.81644551688732</f>
        <v>147687.28203429878</v>
      </c>
      <c r="N233" s="1730">
        <f>3224.8*9*4.19358591380202</f>
        <v>121711.28269345881</v>
      </c>
    </row>
    <row r="234" spans="1:14" ht="67.5">
      <c r="A234" s="1691" t="s">
        <v>8573</v>
      </c>
      <c r="B234" s="1691" t="s">
        <v>8574</v>
      </c>
      <c r="C234" s="1701" t="s">
        <v>8752</v>
      </c>
      <c r="D234" s="1701" t="s">
        <v>8753</v>
      </c>
      <c r="E234" s="1726" t="s">
        <v>7993</v>
      </c>
      <c r="F234" s="1701" t="s">
        <v>8754</v>
      </c>
      <c r="G234" s="1726" t="s">
        <v>8755</v>
      </c>
      <c r="H234" s="1726" t="s">
        <v>8649</v>
      </c>
      <c r="I234" s="1726" t="s">
        <v>8649</v>
      </c>
      <c r="J234" s="1726" t="s">
        <v>8649</v>
      </c>
      <c r="K234" s="1726" t="s">
        <v>8649</v>
      </c>
      <c r="L234" s="1726" t="s">
        <v>8649</v>
      </c>
      <c r="M234" s="1730" t="s">
        <v>8649</v>
      </c>
      <c r="N234" s="1730" t="s">
        <v>8649</v>
      </c>
    </row>
    <row r="235" spans="1:14" ht="13.5">
      <c r="A235" s="1909" t="s">
        <v>8756</v>
      </c>
      <c r="B235" s="1706"/>
      <c r="C235" s="1706"/>
      <c r="D235" s="1706"/>
      <c r="E235" s="1725"/>
      <c r="F235" s="1706"/>
      <c r="G235" s="1709"/>
      <c r="H235" s="1709"/>
      <c r="I235" s="1706"/>
      <c r="J235" s="1706"/>
      <c r="K235" s="1706"/>
      <c r="L235" s="1706"/>
      <c r="M235" s="1713"/>
      <c r="N235" s="1713"/>
    </row>
    <row r="236" spans="1:14" ht="40.5">
      <c r="A236" s="1691" t="s">
        <v>8573</v>
      </c>
      <c r="B236" s="1691" t="s">
        <v>8574</v>
      </c>
      <c r="C236" s="1882" t="s">
        <v>8757</v>
      </c>
      <c r="D236" s="1698" t="s">
        <v>8758</v>
      </c>
      <c r="E236" s="1697" t="s">
        <v>8759</v>
      </c>
      <c r="F236" s="1697" t="s">
        <v>8758</v>
      </c>
      <c r="G236" s="1731" t="s">
        <v>8760</v>
      </c>
      <c r="H236" s="1697">
        <v>1</v>
      </c>
      <c r="I236" s="1699" t="s">
        <v>8758</v>
      </c>
      <c r="J236" s="1705" t="s">
        <v>8761</v>
      </c>
      <c r="K236" s="1703" t="s">
        <v>8762</v>
      </c>
      <c r="L236" s="1700" t="s">
        <v>8763</v>
      </c>
      <c r="M236" s="1732">
        <f>3656.95*12*2.48249949679064</f>
        <v>108940.51841746236</v>
      </c>
      <c r="N236" s="1732">
        <f>3656.95*9*2.31811777335451</f>
        <v>76295.16712141897</v>
      </c>
    </row>
    <row r="237" spans="1:14" ht="40.5">
      <c r="A237" s="1691" t="s">
        <v>8573</v>
      </c>
      <c r="B237" s="1691" t="s">
        <v>8574</v>
      </c>
      <c r="C237" s="1882" t="s">
        <v>8764</v>
      </c>
      <c r="D237" s="1698" t="s">
        <v>8758</v>
      </c>
      <c r="E237" s="1697" t="s">
        <v>8765</v>
      </c>
      <c r="F237" s="1698" t="s">
        <v>8758</v>
      </c>
      <c r="G237" s="1698" t="s">
        <v>8766</v>
      </c>
      <c r="H237" s="1697">
        <v>1</v>
      </c>
      <c r="I237" s="1699" t="s">
        <v>8758</v>
      </c>
      <c r="J237" s="1733">
        <v>43997</v>
      </c>
      <c r="K237" s="1703" t="s">
        <v>8767</v>
      </c>
      <c r="L237" s="1700" t="s">
        <v>8763</v>
      </c>
      <c r="M237" s="1732">
        <f>3050*12*2.48249949679064</f>
        <v>90859.481582537424</v>
      </c>
      <c r="N237" s="1732">
        <f>3050*9*2.31811777335451</f>
        <v>63632.332878581306</v>
      </c>
    </row>
    <row r="238" spans="1:14" ht="13.5">
      <c r="A238" s="1909" t="s">
        <v>8768</v>
      </c>
      <c r="B238" s="1706"/>
      <c r="C238" s="1706"/>
      <c r="D238" s="1706"/>
      <c r="E238" s="1725"/>
      <c r="F238" s="1706"/>
      <c r="G238" s="1709"/>
      <c r="H238" s="1709"/>
      <c r="I238" s="1706"/>
      <c r="J238" s="1706"/>
      <c r="K238" s="1706"/>
      <c r="L238" s="1706"/>
      <c r="M238" s="1713"/>
      <c r="N238" s="1713"/>
    </row>
    <row r="239" spans="1:14" ht="132.75">
      <c r="A239" s="1691" t="s">
        <v>8573</v>
      </c>
      <c r="B239" s="1691" t="s">
        <v>8574</v>
      </c>
      <c r="C239" s="1698" t="s">
        <v>8769</v>
      </c>
      <c r="D239" s="1698" t="s">
        <v>8770</v>
      </c>
      <c r="E239" s="1698" t="s">
        <v>8771</v>
      </c>
      <c r="F239" s="1697" t="s">
        <v>8015</v>
      </c>
      <c r="G239" s="1697">
        <v>25</v>
      </c>
      <c r="H239" s="1697" t="s">
        <v>8015</v>
      </c>
      <c r="I239" s="1697"/>
      <c r="J239" s="1734" t="s">
        <v>8772</v>
      </c>
      <c r="K239" s="1697" t="s">
        <v>8773</v>
      </c>
      <c r="L239" s="1735" t="s">
        <v>8774</v>
      </c>
      <c r="M239" s="1732">
        <f>37985*3.32006964694036</f>
        <v>126112.84553902959</v>
      </c>
      <c r="N239" s="1732">
        <f>37985*3.4825730558644</f>
        <v>132285.53752700923</v>
      </c>
    </row>
    <row r="240" spans="1:14" ht="132.75">
      <c r="A240" s="1691" t="s">
        <v>8573</v>
      </c>
      <c r="B240" s="1691" t="s">
        <v>8574</v>
      </c>
      <c r="C240" s="1698" t="s">
        <v>8775</v>
      </c>
      <c r="D240" s="1698" t="s">
        <v>8015</v>
      </c>
      <c r="E240" s="1698" t="s">
        <v>8776</v>
      </c>
      <c r="F240" s="1697" t="s">
        <v>8015</v>
      </c>
      <c r="G240" s="1697">
        <v>209</v>
      </c>
      <c r="H240" s="1697" t="s">
        <v>8547</v>
      </c>
      <c r="I240" s="1697"/>
      <c r="J240" s="1734" t="s">
        <v>8777</v>
      </c>
      <c r="K240" s="1697" t="s">
        <v>8778</v>
      </c>
      <c r="L240" s="1735" t="s">
        <v>8779</v>
      </c>
      <c r="M240" s="1732">
        <f>57353*3.32006964694036</f>
        <v>190415.95446097048</v>
      </c>
      <c r="N240" s="1732">
        <f>57353*3.4825730558644</f>
        <v>199736.01247299093</v>
      </c>
    </row>
    <row r="241" spans="1:14" ht="13.5">
      <c r="A241" s="1909" t="s">
        <v>8780</v>
      </c>
      <c r="B241" s="1706"/>
      <c r="C241" s="1706"/>
      <c r="D241" s="1706"/>
      <c r="E241" s="1725"/>
      <c r="F241" s="1706"/>
      <c r="G241" s="1709"/>
      <c r="H241" s="1709"/>
      <c r="I241" s="1706"/>
      <c r="J241" s="1706"/>
      <c r="K241" s="1706"/>
      <c r="L241" s="1706"/>
      <c r="M241" s="1713"/>
      <c r="N241" s="1713"/>
    </row>
    <row r="242" spans="1:14" ht="40.5">
      <c r="A242" s="1691" t="s">
        <v>8573</v>
      </c>
      <c r="B242" s="1691" t="s">
        <v>8574</v>
      </c>
      <c r="C242" s="1726" t="s">
        <v>8781</v>
      </c>
      <c r="D242" s="1726" t="s">
        <v>8782</v>
      </c>
      <c r="E242" s="1697" t="s">
        <v>7993</v>
      </c>
      <c r="F242" s="1698" t="s">
        <v>8783</v>
      </c>
      <c r="G242" s="1697">
        <v>250</v>
      </c>
      <c r="H242" s="1697">
        <v>1</v>
      </c>
      <c r="I242" s="1736" t="s">
        <v>1592</v>
      </c>
      <c r="J242" s="1697" t="s">
        <v>8678</v>
      </c>
      <c r="K242" s="1737">
        <f>1804+96</f>
        <v>1900</v>
      </c>
      <c r="L242" s="1726" t="s">
        <v>8784</v>
      </c>
      <c r="M242" s="1730">
        <f>+(K242*12)*3.23485590277778</f>
        <v>73754.714583333393</v>
      </c>
      <c r="N242" s="1730">
        <f>+(1900*9)*3.35628518518519</f>
        <v>57392.476666666749</v>
      </c>
    </row>
    <row r="243" spans="1:14" ht="40.5">
      <c r="A243" s="1691" t="s">
        <v>8573</v>
      </c>
      <c r="B243" s="1691" t="s">
        <v>8574</v>
      </c>
      <c r="C243" s="1882" t="s">
        <v>8785</v>
      </c>
      <c r="D243" s="1726" t="s">
        <v>8786</v>
      </c>
      <c r="E243" s="1697" t="s">
        <v>7993</v>
      </c>
      <c r="F243" s="1698" t="s">
        <v>8787</v>
      </c>
      <c r="G243" s="1697">
        <v>21</v>
      </c>
      <c r="H243" s="1697">
        <v>1</v>
      </c>
      <c r="I243" s="1736" t="s">
        <v>1592</v>
      </c>
      <c r="J243" s="1697" t="s">
        <v>8678</v>
      </c>
      <c r="K243" s="1737">
        <v>500</v>
      </c>
      <c r="L243" s="1726" t="s">
        <v>8784</v>
      </c>
      <c r="M243" s="1730">
        <f>+(K243*12)*3.23485590277778</f>
        <v>19409.135416666682</v>
      </c>
      <c r="N243" s="1730">
        <f>+(500*9)*3.35628518518519</f>
        <v>15103.283333333355</v>
      </c>
    </row>
    <row r="244" spans="1:14" ht="13.5">
      <c r="A244" s="1909" t="s">
        <v>8788</v>
      </c>
      <c r="B244" s="1706"/>
      <c r="C244" s="1706"/>
      <c r="D244" s="1706"/>
      <c r="E244" s="1725"/>
      <c r="F244" s="1706"/>
      <c r="G244" s="1709"/>
      <c r="H244" s="1709"/>
      <c r="I244" s="1706"/>
      <c r="J244" s="1706"/>
      <c r="K244" s="1706"/>
      <c r="L244" s="1706"/>
      <c r="M244" s="1713"/>
      <c r="N244" s="1713"/>
    </row>
    <row r="245" spans="1:14" ht="108">
      <c r="A245" s="1691" t="s">
        <v>8573</v>
      </c>
      <c r="B245" s="1691" t="s">
        <v>8574</v>
      </c>
      <c r="C245" s="1882" t="s">
        <v>8789</v>
      </c>
      <c r="D245" s="1738" t="s">
        <v>8790</v>
      </c>
      <c r="E245" s="1739" t="s">
        <v>7993</v>
      </c>
      <c r="F245" s="1740" t="s">
        <v>8649</v>
      </c>
      <c r="G245" s="1741" t="s">
        <v>8791</v>
      </c>
      <c r="H245" s="1740" t="s">
        <v>3625</v>
      </c>
      <c r="I245" s="1740" t="s">
        <v>8649</v>
      </c>
      <c r="J245" s="1738" t="s">
        <v>8792</v>
      </c>
      <c r="K245" s="1742" t="s">
        <v>8793</v>
      </c>
      <c r="L245" s="1743" t="s">
        <v>8794</v>
      </c>
      <c r="M245" s="1744">
        <f>21448.64*1*3.43674595798195</f>
        <v>73713.52682420997</v>
      </c>
      <c r="N245" s="1744">
        <f>21448.64*0.75*3.85225479311572</f>
        <v>61969.219684360163</v>
      </c>
    </row>
    <row r="246" spans="1:14" ht="108">
      <c r="A246" s="1691" t="s">
        <v>8573</v>
      </c>
      <c r="B246" s="1691" t="s">
        <v>8574</v>
      </c>
      <c r="C246" s="1882" t="s">
        <v>8795</v>
      </c>
      <c r="D246" s="1738" t="s">
        <v>8796</v>
      </c>
      <c r="E246" s="1739" t="s">
        <v>7993</v>
      </c>
      <c r="F246" s="1740" t="s">
        <v>8649</v>
      </c>
      <c r="G246" s="1741" t="s">
        <v>8797</v>
      </c>
      <c r="H246" s="1740" t="s">
        <v>3625</v>
      </c>
      <c r="I246" s="1740" t="s">
        <v>8649</v>
      </c>
      <c r="J246" s="1738" t="s">
        <v>8798</v>
      </c>
      <c r="K246" s="1742" t="s">
        <v>8799</v>
      </c>
      <c r="L246" s="1743" t="s">
        <v>8794</v>
      </c>
      <c r="M246" s="1744">
        <f>29991.63*1*3.43674595798195</f>
        <v>103073.61317579019</v>
      </c>
      <c r="N246" s="1744">
        <f>29991.63*0.75*3.85225479311572</f>
        <v>86651.550315639921</v>
      </c>
    </row>
    <row r="247" spans="1:14" ht="13.5">
      <c r="A247" s="1684"/>
      <c r="B247" s="1684"/>
      <c r="C247" s="1684"/>
      <c r="D247" s="1684"/>
      <c r="E247" s="1684"/>
      <c r="F247" s="1684"/>
      <c r="G247" s="1913"/>
      <c r="H247" s="1913"/>
      <c r="I247" s="1684"/>
      <c r="J247" s="1684"/>
      <c r="K247" s="1684"/>
      <c r="L247" s="1684"/>
      <c r="M247" s="1713"/>
      <c r="N247" s="1713"/>
    </row>
    <row r="248" spans="1:14" ht="13.5">
      <c r="A248" s="1909" t="s">
        <v>8800</v>
      </c>
      <c r="B248" s="1706"/>
      <c r="C248" s="1706"/>
      <c r="D248" s="1706"/>
      <c r="E248" s="1706"/>
      <c r="F248" s="1706"/>
      <c r="G248" s="1709"/>
      <c r="H248" s="1709"/>
      <c r="I248" s="1706"/>
      <c r="J248" s="1706"/>
      <c r="K248" s="1706"/>
      <c r="L248" s="1706"/>
      <c r="M248" s="1713"/>
      <c r="N248" s="1713"/>
    </row>
    <row r="249" spans="1:14" ht="54">
      <c r="A249" s="1691" t="s">
        <v>8573</v>
      </c>
      <c r="B249" s="1691" t="s">
        <v>8574</v>
      </c>
      <c r="C249" s="1710" t="s">
        <v>8801</v>
      </c>
      <c r="D249" s="1710" t="s">
        <v>8802</v>
      </c>
      <c r="E249" s="1711" t="s">
        <v>7993</v>
      </c>
      <c r="F249" s="1745" t="s">
        <v>8649</v>
      </c>
      <c r="G249" s="1711" t="s">
        <v>8803</v>
      </c>
      <c r="H249" s="1711">
        <v>1</v>
      </c>
      <c r="I249" s="1711" t="s">
        <v>8689</v>
      </c>
      <c r="J249" s="1712" t="s">
        <v>8804</v>
      </c>
      <c r="K249" s="1715">
        <v>2400</v>
      </c>
      <c r="L249" s="1710" t="s">
        <v>8805</v>
      </c>
      <c r="M249" s="1746">
        <v>95415.98</v>
      </c>
      <c r="N249" s="1746">
        <v>138818.99</v>
      </c>
    </row>
    <row r="250" spans="1:14" ht="13.5">
      <c r="A250" s="1684"/>
      <c r="B250" s="1684"/>
      <c r="C250" s="1914"/>
      <c r="D250" s="1684"/>
      <c r="E250" s="1684"/>
      <c r="F250" s="1684"/>
      <c r="G250" s="1913"/>
      <c r="H250" s="1913"/>
      <c r="I250" s="1684"/>
      <c r="J250" s="1684"/>
      <c r="K250" s="1684"/>
      <c r="L250" s="1684"/>
      <c r="M250" s="1713"/>
      <c r="N250" s="1713"/>
    </row>
    <row r="251" spans="1:14" ht="13.5">
      <c r="A251" s="1909" t="s">
        <v>8806</v>
      </c>
      <c r="B251" s="1706"/>
      <c r="C251" s="1915"/>
      <c r="D251" s="1706"/>
      <c r="E251" s="1706"/>
      <c r="F251" s="1706"/>
      <c r="G251" s="1709"/>
      <c r="H251" s="1709"/>
      <c r="I251" s="1706"/>
      <c r="J251" s="1706"/>
      <c r="K251" s="1706"/>
      <c r="L251" s="1706"/>
      <c r="M251" s="1713"/>
      <c r="N251" s="1713"/>
    </row>
    <row r="252" spans="1:14" ht="40.5">
      <c r="A252" s="1691" t="s">
        <v>8573</v>
      </c>
      <c r="B252" s="1691" t="s">
        <v>8574</v>
      </c>
      <c r="C252" s="1710" t="s">
        <v>8807</v>
      </c>
      <c r="D252" s="1710"/>
      <c r="E252" s="1711" t="s">
        <v>8808</v>
      </c>
      <c r="F252" s="1745" t="s">
        <v>8809</v>
      </c>
      <c r="G252" s="1711" t="s">
        <v>8810</v>
      </c>
      <c r="H252" s="1711" t="s">
        <v>8811</v>
      </c>
      <c r="I252" s="1711"/>
      <c r="J252" s="1712" t="s">
        <v>8812</v>
      </c>
      <c r="K252" s="1747" t="s">
        <v>8813</v>
      </c>
      <c r="L252" s="1710" t="s">
        <v>8814</v>
      </c>
      <c r="M252" s="1746">
        <f>4156.3*12*3.35328362793942</f>
        <v>167247.03291365533</v>
      </c>
      <c r="N252" s="1746">
        <f>4156.3*9*3.39990637893588</f>
        <v>127179.2779449408</v>
      </c>
    </row>
    <row r="253" spans="1:14" ht="40.5">
      <c r="A253" s="1691" t="s">
        <v>8573</v>
      </c>
      <c r="B253" s="1691" t="s">
        <v>8574</v>
      </c>
      <c r="C253" s="1710" t="s">
        <v>8815</v>
      </c>
      <c r="D253" s="1710"/>
      <c r="E253" s="1711" t="s">
        <v>8808</v>
      </c>
      <c r="F253" s="1745" t="s">
        <v>8816</v>
      </c>
      <c r="G253" s="1711" t="s">
        <v>8817</v>
      </c>
      <c r="H253" s="1711" t="s">
        <v>8818</v>
      </c>
      <c r="I253" s="1711"/>
      <c r="J253" s="1712" t="s">
        <v>8819</v>
      </c>
      <c r="K253" s="1747" t="s">
        <v>8820</v>
      </c>
      <c r="L253" s="1710" t="s">
        <v>8821</v>
      </c>
      <c r="M253" s="1746">
        <f>3059.55*12*3.35328362793942</f>
        <v>123114.46708634464</v>
      </c>
      <c r="N253" s="1746">
        <f>3059.55*9*3.39990637893588</f>
        <v>93619.652055059443</v>
      </c>
    </row>
    <row r="254" spans="1:14" ht="13.5">
      <c r="A254" s="1684"/>
      <c r="B254" s="1684"/>
      <c r="C254" s="1684"/>
      <c r="D254" s="1684"/>
      <c r="E254" s="1684"/>
      <c r="F254" s="1684"/>
      <c r="G254" s="1913"/>
      <c r="H254" s="1913"/>
      <c r="I254" s="1684"/>
      <c r="J254" s="1684"/>
      <c r="K254" s="1684"/>
      <c r="L254" s="1684"/>
      <c r="M254" s="1713"/>
      <c r="N254" s="1713"/>
    </row>
    <row r="255" spans="1:14" ht="13.5">
      <c r="A255" s="1909" t="s">
        <v>8822</v>
      </c>
      <c r="B255" s="1706"/>
      <c r="C255" s="1706"/>
      <c r="D255" s="1706"/>
      <c r="E255" s="1706"/>
      <c r="F255" s="1706"/>
      <c r="G255" s="1709"/>
      <c r="H255" s="1709"/>
      <c r="I255" s="1706"/>
      <c r="J255" s="1706"/>
      <c r="K255" s="1706"/>
      <c r="L255" s="1706"/>
      <c r="M255" s="1713"/>
      <c r="N255" s="1713"/>
    </row>
    <row r="256" spans="1:14" ht="67.5">
      <c r="A256" s="1691" t="s">
        <v>8573</v>
      </c>
      <c r="B256" s="1691" t="s">
        <v>8574</v>
      </c>
      <c r="C256" s="1710" t="s">
        <v>8823</v>
      </c>
      <c r="D256" s="1710" t="s">
        <v>8824</v>
      </c>
      <c r="E256" s="1711" t="s">
        <v>8825</v>
      </c>
      <c r="F256" s="1745" t="s">
        <v>8826</v>
      </c>
      <c r="G256" s="1748"/>
      <c r="H256" s="1711" t="s">
        <v>8649</v>
      </c>
      <c r="I256" s="1711" t="s">
        <v>8547</v>
      </c>
      <c r="J256" s="1712" t="s">
        <v>8827</v>
      </c>
      <c r="K256" s="1747" t="s">
        <v>8828</v>
      </c>
      <c r="L256" s="1710" t="s">
        <v>1656</v>
      </c>
      <c r="M256" s="1746">
        <v>102544.06</v>
      </c>
      <c r="N256" s="1746">
        <v>82632.850000000006</v>
      </c>
    </row>
    <row r="257" spans="1:14" ht="13.5">
      <c r="A257" s="1684"/>
      <c r="B257" s="1684"/>
      <c r="C257" s="1684"/>
      <c r="D257" s="1684"/>
      <c r="E257" s="1684"/>
      <c r="F257" s="1684"/>
      <c r="G257" s="1913"/>
      <c r="H257" s="1913"/>
      <c r="I257" s="1684"/>
      <c r="J257" s="1684"/>
      <c r="K257" s="1684"/>
      <c r="L257" s="1684"/>
      <c r="M257" s="1713"/>
      <c r="N257" s="1713"/>
    </row>
    <row r="258" spans="1:14" ht="13.5">
      <c r="A258" s="1909" t="s">
        <v>8829</v>
      </c>
      <c r="B258" s="1706"/>
      <c r="C258" s="1706"/>
      <c r="D258" s="1706"/>
      <c r="E258" s="1706"/>
      <c r="F258" s="1706"/>
      <c r="G258" s="1709"/>
      <c r="H258" s="1709"/>
      <c r="I258" s="1706"/>
      <c r="J258" s="1706"/>
      <c r="K258" s="1706"/>
      <c r="L258" s="1706"/>
      <c r="M258" s="1713"/>
      <c r="N258" s="1713"/>
    </row>
    <row r="259" spans="1:14" ht="54">
      <c r="A259" s="1691" t="s">
        <v>8573</v>
      </c>
      <c r="B259" s="1691" t="s">
        <v>8574</v>
      </c>
      <c r="C259" s="1710" t="s">
        <v>8830</v>
      </c>
      <c r="D259" s="1710" t="s">
        <v>8831</v>
      </c>
      <c r="E259" s="1711" t="s">
        <v>7974</v>
      </c>
      <c r="F259" s="1745" t="s">
        <v>8649</v>
      </c>
      <c r="G259" s="1711" t="s">
        <v>8832</v>
      </c>
      <c r="H259" s="1711" t="s">
        <v>8547</v>
      </c>
      <c r="I259" s="1711" t="s">
        <v>8689</v>
      </c>
      <c r="J259" s="1712">
        <v>43831</v>
      </c>
      <c r="K259" s="1710" t="s">
        <v>8833</v>
      </c>
      <c r="L259" s="1710" t="s">
        <v>8834</v>
      </c>
      <c r="M259" s="1746">
        <v>78589.86</v>
      </c>
      <c r="N259" s="1746">
        <v>60635.25</v>
      </c>
    </row>
    <row r="260" spans="1:14" ht="13.5">
      <c r="A260" s="1684"/>
      <c r="B260" s="1684"/>
      <c r="C260" s="1684"/>
      <c r="D260" s="1684"/>
      <c r="E260" s="1684"/>
      <c r="F260" s="1684"/>
      <c r="G260" s="1913"/>
      <c r="H260" s="1913"/>
      <c r="I260" s="1684"/>
      <c r="J260" s="1684"/>
      <c r="K260" s="1684"/>
      <c r="L260" s="1684"/>
      <c r="M260" s="1713"/>
      <c r="N260" s="1713"/>
    </row>
    <row r="261" spans="1:14" ht="13.5">
      <c r="A261" s="1909" t="s">
        <v>8835</v>
      </c>
      <c r="B261" s="1706"/>
      <c r="C261" s="1706"/>
      <c r="D261" s="1706"/>
      <c r="E261" s="1706"/>
      <c r="F261" s="1706"/>
      <c r="G261" s="1709"/>
      <c r="H261" s="1709"/>
      <c r="I261" s="1706"/>
      <c r="J261" s="1706"/>
      <c r="K261" s="1706"/>
      <c r="L261" s="1706"/>
      <c r="M261" s="1713"/>
      <c r="N261" s="1713"/>
    </row>
    <row r="262" spans="1:14" ht="40.5">
      <c r="A262" s="1691" t="s">
        <v>8573</v>
      </c>
      <c r="B262" s="1691" t="s">
        <v>8574</v>
      </c>
      <c r="C262" s="1710" t="s">
        <v>8836</v>
      </c>
      <c r="D262" s="1710" t="s">
        <v>8837</v>
      </c>
      <c r="E262" s="1711" t="s">
        <v>7993</v>
      </c>
      <c r="F262" s="1710" t="s">
        <v>8838</v>
      </c>
      <c r="G262" s="1711" t="s">
        <v>8832</v>
      </c>
      <c r="H262" s="1711" t="s">
        <v>8838</v>
      </c>
      <c r="I262" s="1711" t="s">
        <v>8838</v>
      </c>
      <c r="J262" s="1712">
        <v>43800</v>
      </c>
      <c r="K262" s="1710" t="s">
        <v>8839</v>
      </c>
      <c r="L262" s="1710" t="s">
        <v>8805</v>
      </c>
      <c r="M262" s="1746">
        <v>121088.32000000001</v>
      </c>
      <c r="N262" s="1746">
        <v>122360.93000000001</v>
      </c>
    </row>
    <row r="263" spans="1:14" ht="13.5">
      <c r="A263" s="1684"/>
      <c r="B263" s="1684"/>
      <c r="C263" s="1684"/>
      <c r="D263" s="1684"/>
      <c r="E263" s="1684"/>
      <c r="F263" s="1684"/>
      <c r="G263" s="1913"/>
      <c r="H263" s="1913"/>
      <c r="I263" s="1684"/>
      <c r="J263" s="1684"/>
      <c r="K263" s="1684"/>
      <c r="L263" s="1684"/>
      <c r="M263" s="1916"/>
      <c r="N263" s="1916"/>
    </row>
    <row r="264" spans="1:14" ht="12.75">
      <c r="A264" s="2077" t="s">
        <v>8840</v>
      </c>
      <c r="B264" s="2077"/>
      <c r="C264" s="2077"/>
      <c r="D264" s="2077"/>
      <c r="E264" s="2077"/>
      <c r="F264" s="2077"/>
      <c r="G264" s="2077"/>
      <c r="H264" s="2077"/>
      <c r="I264" s="2077"/>
      <c r="J264" s="2077"/>
      <c r="K264" s="2077"/>
      <c r="L264" s="2077"/>
      <c r="M264" s="1749">
        <f>SUM(M195:M262)</f>
        <v>3645138.3200000008</v>
      </c>
      <c r="N264" s="1749">
        <f>SUM(N195:N262)</f>
        <v>2826098.2100000004</v>
      </c>
    </row>
    <row r="265" spans="1:14" ht="12.75">
      <c r="A265" s="2078" t="s">
        <v>8841</v>
      </c>
      <c r="B265" s="2078"/>
      <c r="C265" s="2078"/>
      <c r="D265" s="2078"/>
      <c r="E265" s="2078"/>
      <c r="F265" s="2078"/>
      <c r="G265" s="2078"/>
      <c r="H265" s="2078"/>
      <c r="I265" s="2078"/>
      <c r="J265" s="2078"/>
      <c r="K265" s="2078"/>
      <c r="L265" s="2078"/>
      <c r="M265" s="1750">
        <f>+M71+M83+M90+M189+M264</f>
        <v>3689742.3200000008</v>
      </c>
      <c r="N265" s="1750">
        <f>+N71+N83+N90+N189+N264</f>
        <v>2835833.2100000004</v>
      </c>
    </row>
    <row r="266" spans="1:14" s="312" customFormat="1">
      <c r="A266" s="2062" t="s">
        <v>8842</v>
      </c>
      <c r="B266" s="2062"/>
      <c r="C266" s="2062"/>
      <c r="D266" s="2062"/>
      <c r="E266" s="2062"/>
      <c r="F266" s="2062"/>
      <c r="G266" s="2062"/>
      <c r="H266" s="2062"/>
      <c r="I266" s="2062"/>
      <c r="J266" s="2062"/>
      <c r="K266" s="2062"/>
      <c r="L266" s="2062"/>
      <c r="M266" s="2062"/>
      <c r="N266" s="2062"/>
    </row>
    <row r="267" spans="1:14">
      <c r="A267" s="1886"/>
      <c r="B267" s="1886"/>
      <c r="C267" s="1886"/>
      <c r="D267" s="447"/>
      <c r="E267" s="1886"/>
      <c r="F267" s="1886"/>
      <c r="G267" s="1886"/>
      <c r="H267" s="1886"/>
      <c r="I267" s="1886"/>
      <c r="J267" s="1887"/>
      <c r="K267" s="1888"/>
      <c r="L267" s="447"/>
      <c r="M267" s="1888"/>
      <c r="N267" s="1888"/>
    </row>
    <row r="268" spans="1:14">
      <c r="A268" s="1886"/>
      <c r="B268" s="1886"/>
      <c r="C268" s="1886"/>
      <c r="D268" s="447"/>
      <c r="E268" s="1886"/>
      <c r="F268" s="1886"/>
      <c r="G268" s="1886"/>
      <c r="H268" s="1886"/>
      <c r="I268" s="1886"/>
      <c r="J268" s="1887"/>
      <c r="K268" s="1888"/>
      <c r="L268" s="447"/>
      <c r="M268" s="1888"/>
      <c r="N268" s="1888"/>
    </row>
    <row r="269" spans="1:14">
      <c r="A269" s="1886"/>
      <c r="B269" s="1886"/>
      <c r="C269" s="1886"/>
      <c r="D269" s="447"/>
      <c r="E269" s="1886"/>
      <c r="F269" s="1886"/>
      <c r="G269" s="1886"/>
      <c r="H269" s="1886"/>
      <c r="I269" s="1886"/>
      <c r="J269" s="1887"/>
      <c r="K269" s="1888"/>
      <c r="L269" s="447"/>
      <c r="M269" s="1888"/>
      <c r="N269" s="1888"/>
    </row>
    <row r="270" spans="1:14">
      <c r="A270" s="1886"/>
      <c r="B270" s="1886"/>
      <c r="C270" s="1886"/>
      <c r="D270" s="447"/>
      <c r="E270" s="1886"/>
      <c r="F270" s="1886"/>
      <c r="G270" s="1886"/>
      <c r="H270" s="1886"/>
      <c r="I270" s="1886"/>
      <c r="J270" s="1887"/>
      <c r="K270" s="1888"/>
      <c r="L270" s="447"/>
      <c r="M270" s="1888"/>
      <c r="N270" s="1888"/>
    </row>
    <row r="271" spans="1:14">
      <c r="A271" s="1886"/>
      <c r="B271" s="1886"/>
      <c r="C271" s="1886"/>
      <c r="D271" s="447"/>
      <c r="E271" s="1886"/>
      <c r="F271" s="1886"/>
      <c r="G271" s="1886"/>
      <c r="H271" s="1886"/>
      <c r="I271" s="1886"/>
      <c r="J271" s="1887"/>
      <c r="K271" s="1888"/>
      <c r="L271" s="447"/>
      <c r="M271" s="1888"/>
      <c r="N271" s="1888"/>
    </row>
    <row r="272" spans="1:14">
      <c r="A272" s="1886"/>
      <c r="B272" s="1886"/>
      <c r="C272" s="1886"/>
      <c r="D272" s="447"/>
      <c r="E272" s="1886"/>
      <c r="F272" s="1886"/>
      <c r="G272" s="1886"/>
      <c r="H272" s="1886"/>
      <c r="I272" s="1886"/>
      <c r="J272" s="1887"/>
      <c r="K272" s="1888"/>
      <c r="L272" s="447"/>
      <c r="M272" s="1888"/>
      <c r="N272" s="1888"/>
    </row>
    <row r="273" spans="1:14">
      <c r="A273" s="1886"/>
      <c r="B273" s="1886"/>
      <c r="C273" s="1886"/>
      <c r="D273" s="447"/>
      <c r="E273" s="1886"/>
      <c r="F273" s="1886"/>
      <c r="G273" s="1886"/>
      <c r="H273" s="1886"/>
      <c r="I273" s="1886"/>
      <c r="J273" s="1887"/>
      <c r="K273" s="1888"/>
      <c r="L273" s="447"/>
      <c r="M273" s="1888"/>
      <c r="N273" s="1888"/>
    </row>
    <row r="274" spans="1:14">
      <c r="A274" s="1886"/>
      <c r="B274" s="1886"/>
      <c r="C274" s="1886"/>
      <c r="D274" s="447"/>
      <c r="E274" s="1886"/>
      <c r="F274" s="1886"/>
      <c r="G274" s="1886"/>
      <c r="H274" s="1886"/>
      <c r="I274" s="1886"/>
      <c r="J274" s="1887"/>
      <c r="K274" s="1888"/>
      <c r="L274" s="447"/>
      <c r="M274" s="1888"/>
      <c r="N274" s="1888"/>
    </row>
    <row r="275" spans="1:14">
      <c r="A275" s="1886"/>
      <c r="B275" s="1886"/>
      <c r="C275" s="1886"/>
      <c r="D275" s="447"/>
      <c r="E275" s="1886"/>
      <c r="F275" s="1886"/>
      <c r="G275" s="1886"/>
      <c r="H275" s="1886"/>
      <c r="I275" s="1886"/>
      <c r="J275" s="1887"/>
      <c r="K275" s="1888"/>
      <c r="L275" s="447"/>
      <c r="M275" s="1888"/>
      <c r="N275" s="1888"/>
    </row>
    <row r="276" spans="1:14">
      <c r="A276" s="1886"/>
      <c r="B276" s="1886"/>
      <c r="C276" s="1886"/>
      <c r="D276" s="447"/>
      <c r="E276" s="1886"/>
      <c r="F276" s="1886"/>
      <c r="G276" s="1886"/>
      <c r="H276" s="1886"/>
      <c r="I276" s="1886"/>
      <c r="J276" s="1887"/>
      <c r="K276" s="1888"/>
      <c r="L276" s="447"/>
      <c r="M276" s="1888"/>
      <c r="N276" s="1888"/>
    </row>
    <row r="277" spans="1:14">
      <c r="A277" s="2062" t="s">
        <v>9077</v>
      </c>
      <c r="B277" s="2062"/>
      <c r="C277" s="2062"/>
      <c r="D277" s="2062"/>
      <c r="E277" s="2062"/>
      <c r="F277" s="2062"/>
      <c r="G277" s="2062"/>
      <c r="H277" s="2062"/>
      <c r="I277" s="2062"/>
      <c r="J277" s="2062"/>
      <c r="K277" s="2062"/>
      <c r="L277" s="2062"/>
      <c r="M277" s="2062"/>
      <c r="N277" s="2062"/>
    </row>
    <row r="278" spans="1:14">
      <c r="A278" s="1886"/>
      <c r="B278" s="1886"/>
      <c r="C278" s="1886"/>
      <c r="D278" s="447"/>
      <c r="E278" s="1886"/>
      <c r="F278" s="1886"/>
      <c r="G278" s="1886"/>
      <c r="H278" s="1886"/>
      <c r="I278" s="1886"/>
      <c r="J278" s="1887"/>
      <c r="K278" s="1888"/>
      <c r="L278" s="447"/>
      <c r="M278" s="1888"/>
      <c r="N278" s="1888"/>
    </row>
    <row r="279" spans="1:14">
      <c r="A279" s="1886"/>
      <c r="B279" s="1886"/>
      <c r="C279" s="1886"/>
      <c r="D279" s="447"/>
      <c r="E279" s="1886"/>
      <c r="F279" s="1886"/>
      <c r="G279" s="1886"/>
      <c r="H279" s="1886"/>
      <c r="I279" s="1886"/>
      <c r="J279" s="1887"/>
      <c r="K279" s="1888"/>
      <c r="L279" s="447"/>
      <c r="M279" s="1888"/>
      <c r="N279" s="1888"/>
    </row>
    <row r="280" spans="1:14">
      <c r="A280" s="1886"/>
      <c r="B280" s="1886"/>
      <c r="C280" s="1886"/>
      <c r="D280" s="447"/>
      <c r="E280" s="1886"/>
      <c r="F280" s="1886"/>
      <c r="G280" s="1886"/>
      <c r="H280" s="1886"/>
      <c r="I280" s="1886"/>
      <c r="J280" s="1887"/>
      <c r="K280" s="1888"/>
      <c r="L280" s="447"/>
      <c r="M280" s="1888"/>
      <c r="N280" s="1888"/>
    </row>
    <row r="281" spans="1:14">
      <c r="A281" s="1886"/>
      <c r="B281" s="1886"/>
      <c r="C281" s="1886"/>
      <c r="D281" s="447"/>
      <c r="E281" s="1886"/>
      <c r="F281" s="1886"/>
      <c r="G281" s="1886"/>
      <c r="H281" s="1886"/>
      <c r="I281" s="1886"/>
      <c r="J281" s="1887"/>
      <c r="K281" s="1888"/>
      <c r="L281" s="447"/>
      <c r="M281" s="1888"/>
      <c r="N281" s="1888"/>
    </row>
    <row r="282" spans="1:14">
      <c r="A282" s="2062" t="s">
        <v>9079</v>
      </c>
      <c r="B282" s="2062"/>
      <c r="C282" s="2062"/>
      <c r="D282" s="2062"/>
      <c r="E282" s="2062"/>
      <c r="F282" s="2062"/>
      <c r="G282" s="2062"/>
      <c r="H282" s="2062"/>
      <c r="I282" s="2062"/>
      <c r="J282" s="2062"/>
      <c r="K282" s="2062"/>
      <c r="L282" s="2062"/>
      <c r="M282" s="2062"/>
      <c r="N282" s="2062"/>
    </row>
    <row r="283" spans="1:14">
      <c r="A283" s="1886"/>
      <c r="B283" s="1886"/>
      <c r="C283" s="1886"/>
      <c r="D283" s="447"/>
      <c r="E283" s="1886"/>
      <c r="F283" s="1886"/>
      <c r="G283" s="1886"/>
      <c r="H283" s="1886"/>
      <c r="I283" s="1886"/>
      <c r="J283" s="1887"/>
      <c r="K283" s="1888"/>
      <c r="L283" s="447"/>
      <c r="M283" s="1888"/>
      <c r="N283" s="1888"/>
    </row>
    <row r="284" spans="1:14">
      <c r="A284" s="1886"/>
      <c r="B284" s="1886"/>
      <c r="C284" s="1886"/>
      <c r="D284" s="447"/>
      <c r="E284" s="1886"/>
      <c r="F284" s="1886"/>
      <c r="G284" s="1886"/>
      <c r="H284" s="1886"/>
      <c r="I284" s="1886"/>
      <c r="J284" s="1887"/>
      <c r="K284" s="1888"/>
      <c r="L284" s="447"/>
      <c r="M284" s="1888"/>
      <c r="N284" s="1888"/>
    </row>
    <row r="285" spans="1:14">
      <c r="A285" s="1886"/>
      <c r="B285" s="1886"/>
      <c r="C285" s="1886"/>
      <c r="D285" s="447"/>
      <c r="E285" s="1886"/>
      <c r="F285" s="1886"/>
      <c r="G285" s="1886"/>
      <c r="H285" s="1886"/>
      <c r="I285" s="1886"/>
      <c r="J285" s="1887"/>
      <c r="K285" s="1888"/>
      <c r="L285" s="447"/>
      <c r="M285" s="1888"/>
      <c r="N285" s="1888"/>
    </row>
    <row r="286" spans="1:14">
      <c r="A286" s="1886"/>
      <c r="B286" s="1886"/>
      <c r="C286" s="1886"/>
      <c r="D286" s="447"/>
      <c r="E286" s="1886"/>
      <c r="F286" s="1886"/>
      <c r="G286" s="1886"/>
      <c r="H286" s="1886"/>
      <c r="I286" s="1886"/>
      <c r="J286" s="1887"/>
      <c r="K286" s="1888"/>
      <c r="L286" s="447"/>
      <c r="M286" s="1888"/>
      <c r="N286" s="1888"/>
    </row>
    <row r="287" spans="1:14">
      <c r="A287" s="2062" t="s">
        <v>9081</v>
      </c>
      <c r="B287" s="2062"/>
      <c r="C287" s="2062"/>
      <c r="D287" s="2062"/>
      <c r="E287" s="2062"/>
      <c r="F287" s="2062"/>
      <c r="G287" s="2062"/>
      <c r="H287" s="2062"/>
      <c r="I287" s="2062"/>
      <c r="J287" s="2062"/>
      <c r="K287" s="2062"/>
      <c r="L287" s="2062"/>
      <c r="M287" s="2062"/>
      <c r="N287" s="2062"/>
    </row>
    <row r="288" spans="1:14">
      <c r="A288" s="1886"/>
      <c r="B288" s="1886"/>
      <c r="C288" s="1886"/>
      <c r="D288" s="447"/>
      <c r="E288" s="1886"/>
      <c r="F288" s="1886"/>
      <c r="G288" s="1886"/>
      <c r="H288" s="1886"/>
      <c r="I288" s="1886"/>
      <c r="J288" s="1887"/>
      <c r="K288" s="1888"/>
      <c r="L288" s="447"/>
      <c r="M288" s="1888"/>
      <c r="N288" s="1888"/>
    </row>
    <row r="289" spans="1:14">
      <c r="A289" s="1886"/>
      <c r="B289" s="1886"/>
      <c r="C289" s="1886"/>
      <c r="D289" s="447"/>
      <c r="E289" s="1886"/>
      <c r="F289" s="1886"/>
      <c r="G289" s="1886"/>
      <c r="H289" s="1886"/>
      <c r="I289" s="1886"/>
      <c r="J289" s="1887"/>
      <c r="K289" s="1888"/>
      <c r="L289" s="447"/>
      <c r="M289" s="1888"/>
      <c r="N289" s="1888"/>
    </row>
    <row r="290" spans="1:14">
      <c r="A290" s="1886"/>
      <c r="B290" s="1886"/>
      <c r="C290" s="1886"/>
      <c r="D290" s="447"/>
      <c r="E290" s="1886"/>
      <c r="F290" s="1886"/>
      <c r="G290" s="1886"/>
      <c r="H290" s="1886"/>
      <c r="I290" s="1886"/>
      <c r="J290" s="1887"/>
      <c r="K290" s="1888"/>
      <c r="L290" s="447"/>
      <c r="M290" s="1888"/>
      <c r="N290" s="1888"/>
    </row>
    <row r="291" spans="1:14">
      <c r="A291" s="1886"/>
      <c r="B291" s="1886"/>
      <c r="C291" s="1886"/>
      <c r="D291" s="447"/>
      <c r="E291" s="1886"/>
      <c r="F291" s="1886"/>
      <c r="G291" s="1886"/>
      <c r="H291" s="1886"/>
      <c r="I291" s="1886"/>
      <c r="J291" s="1887"/>
      <c r="K291" s="1888"/>
      <c r="L291" s="447"/>
      <c r="M291" s="1888"/>
      <c r="N291" s="1888"/>
    </row>
    <row r="292" spans="1:14">
      <c r="A292" s="2084" t="s">
        <v>9088</v>
      </c>
      <c r="B292" s="2084"/>
      <c r="C292" s="2084"/>
      <c r="D292" s="2084"/>
      <c r="E292" s="2084"/>
      <c r="F292" s="2084"/>
      <c r="G292" s="2084"/>
      <c r="H292" s="2084"/>
      <c r="I292" s="2084"/>
      <c r="J292" s="2084"/>
      <c r="K292" s="2084"/>
      <c r="L292" s="2084"/>
      <c r="M292" s="2084"/>
      <c r="N292" s="2084"/>
    </row>
    <row r="293" spans="1:14" ht="60">
      <c r="A293" s="1886" t="s">
        <v>9087</v>
      </c>
      <c r="B293" s="1886" t="s">
        <v>362</v>
      </c>
      <c r="C293" s="1917" t="s">
        <v>9268</v>
      </c>
      <c r="D293" s="1918">
        <v>22499866</v>
      </c>
      <c r="E293" s="1919" t="s">
        <v>7964</v>
      </c>
      <c r="F293" s="1918">
        <v>12990398</v>
      </c>
      <c r="G293" s="1920">
        <v>106.54</v>
      </c>
      <c r="H293" s="1921"/>
      <c r="I293" s="1921"/>
      <c r="J293" s="447" t="s">
        <v>9269</v>
      </c>
      <c r="K293" s="1922">
        <v>3300</v>
      </c>
      <c r="L293" s="1919" t="s">
        <v>1656</v>
      </c>
      <c r="M293" s="1923">
        <v>39600</v>
      </c>
      <c r="N293" s="1923">
        <v>19800</v>
      </c>
    </row>
    <row r="294" spans="1:14" ht="60">
      <c r="A294" s="1886" t="s">
        <v>9087</v>
      </c>
      <c r="B294" s="1886" t="s">
        <v>362</v>
      </c>
      <c r="C294" s="1917" t="s">
        <v>9270</v>
      </c>
      <c r="D294" s="1918" t="s">
        <v>9271</v>
      </c>
      <c r="E294" s="1919" t="s">
        <v>7964</v>
      </c>
      <c r="F294" s="1918">
        <v>13008926</v>
      </c>
      <c r="G294" s="1924">
        <v>181.5</v>
      </c>
      <c r="H294" s="1921"/>
      <c r="I294" s="1921"/>
      <c r="J294" s="447" t="s">
        <v>9272</v>
      </c>
      <c r="K294" s="1922">
        <v>2000</v>
      </c>
      <c r="L294" s="1919" t="s">
        <v>1656</v>
      </c>
      <c r="M294" s="1923">
        <v>24000</v>
      </c>
      <c r="N294" s="1923">
        <v>12000</v>
      </c>
    </row>
    <row r="295" spans="1:14" ht="60">
      <c r="A295" s="1886" t="s">
        <v>9087</v>
      </c>
      <c r="B295" s="1886" t="s">
        <v>362</v>
      </c>
      <c r="C295" s="1917" t="s">
        <v>9273</v>
      </c>
      <c r="D295" s="1918" t="s">
        <v>9274</v>
      </c>
      <c r="E295" s="1919" t="s">
        <v>7964</v>
      </c>
      <c r="F295" s="1918">
        <v>12206005</v>
      </c>
      <c r="G295" s="1924">
        <v>6000</v>
      </c>
      <c r="H295" s="1921"/>
      <c r="I295" s="1921"/>
      <c r="J295" s="447" t="s">
        <v>9275</v>
      </c>
      <c r="K295" s="1922">
        <v>136800</v>
      </c>
      <c r="L295" s="1919" t="s">
        <v>1656</v>
      </c>
      <c r="M295" s="1923">
        <v>1641600</v>
      </c>
      <c r="N295" s="1923">
        <v>820800</v>
      </c>
    </row>
    <row r="296" spans="1:14" ht="60">
      <c r="A296" s="1886" t="s">
        <v>9087</v>
      </c>
      <c r="B296" s="1886" t="s">
        <v>362</v>
      </c>
      <c r="C296" s="1917" t="s">
        <v>9276</v>
      </c>
      <c r="D296" s="1918" t="s">
        <v>9277</v>
      </c>
      <c r="E296" s="1919" t="s">
        <v>7964</v>
      </c>
      <c r="F296" s="1918" t="s">
        <v>9278</v>
      </c>
      <c r="G296" s="1924">
        <v>160</v>
      </c>
      <c r="H296" s="1921"/>
      <c r="I296" s="1921"/>
      <c r="J296" s="447" t="s">
        <v>9279</v>
      </c>
      <c r="K296" s="1922">
        <v>4500</v>
      </c>
      <c r="L296" s="1919" t="s">
        <v>1656</v>
      </c>
      <c r="M296" s="1923">
        <v>54000</v>
      </c>
      <c r="N296" s="1923">
        <v>27000</v>
      </c>
    </row>
    <row r="297" spans="1:14" ht="60">
      <c r="A297" s="1886" t="s">
        <v>9087</v>
      </c>
      <c r="B297" s="1886" t="s">
        <v>362</v>
      </c>
      <c r="C297" s="1917" t="s">
        <v>9280</v>
      </c>
      <c r="D297" s="1918" t="s">
        <v>9281</v>
      </c>
      <c r="E297" s="1919" t="s">
        <v>7964</v>
      </c>
      <c r="F297" s="1918" t="s">
        <v>9282</v>
      </c>
      <c r="G297" s="1924">
        <v>240</v>
      </c>
      <c r="H297" s="1921"/>
      <c r="I297" s="1921"/>
      <c r="J297" s="447" t="s">
        <v>9283</v>
      </c>
      <c r="K297" s="1922">
        <v>3000</v>
      </c>
      <c r="L297" s="1919" t="s">
        <v>1656</v>
      </c>
      <c r="M297" s="1923">
        <v>36000</v>
      </c>
      <c r="N297" s="1923">
        <v>18000</v>
      </c>
    </row>
    <row r="298" spans="1:14" ht="60">
      <c r="A298" s="1886" t="s">
        <v>9087</v>
      </c>
      <c r="B298" s="1886" t="s">
        <v>362</v>
      </c>
      <c r="C298" s="1917" t="s">
        <v>9284</v>
      </c>
      <c r="D298" s="1918" t="s">
        <v>9285</v>
      </c>
      <c r="E298" s="1919" t="s">
        <v>7964</v>
      </c>
      <c r="F298" s="1918" t="s">
        <v>9286</v>
      </c>
      <c r="G298" s="1924">
        <v>1273</v>
      </c>
      <c r="H298" s="1921"/>
      <c r="I298" s="1921"/>
      <c r="J298" s="447" t="s">
        <v>9287</v>
      </c>
      <c r="K298" s="1922">
        <v>6500</v>
      </c>
      <c r="L298" s="1919" t="s">
        <v>1656</v>
      </c>
      <c r="M298" s="1923">
        <v>78000</v>
      </c>
      <c r="N298" s="1923">
        <v>39000</v>
      </c>
    </row>
    <row r="299" spans="1:14" ht="60">
      <c r="A299" s="1886" t="s">
        <v>9087</v>
      </c>
      <c r="B299" s="1886" t="s">
        <v>362</v>
      </c>
      <c r="C299" s="1917" t="s">
        <v>9288</v>
      </c>
      <c r="D299" s="1918" t="s">
        <v>9289</v>
      </c>
      <c r="E299" s="1919" t="s">
        <v>7964</v>
      </c>
      <c r="F299" s="1918" t="s">
        <v>9290</v>
      </c>
      <c r="G299" s="1924">
        <v>1540.1</v>
      </c>
      <c r="H299" s="1921"/>
      <c r="I299" s="1921"/>
      <c r="J299" s="1925" t="s">
        <v>9291</v>
      </c>
      <c r="K299" s="1922">
        <v>20000</v>
      </c>
      <c r="L299" s="1919" t="s">
        <v>1656</v>
      </c>
      <c r="M299" s="1923">
        <v>240000</v>
      </c>
      <c r="N299" s="1923">
        <v>120000</v>
      </c>
    </row>
    <row r="300" spans="1:14" ht="60">
      <c r="A300" s="1886" t="s">
        <v>9087</v>
      </c>
      <c r="B300" s="1886" t="s">
        <v>362</v>
      </c>
      <c r="C300" s="1917" t="s">
        <v>9292</v>
      </c>
      <c r="D300" s="1918" t="s">
        <v>9293</v>
      </c>
      <c r="E300" s="1919" t="s">
        <v>7964</v>
      </c>
      <c r="F300" s="1918" t="s">
        <v>9294</v>
      </c>
      <c r="G300" s="1924">
        <v>2500</v>
      </c>
      <c r="H300" s="1921"/>
      <c r="I300" s="1921"/>
      <c r="J300" s="447" t="s">
        <v>9295</v>
      </c>
      <c r="K300" s="1922">
        <v>16500</v>
      </c>
      <c r="L300" s="1919" t="s">
        <v>1656</v>
      </c>
      <c r="M300" s="1923">
        <v>264000</v>
      </c>
      <c r="N300" s="1923">
        <v>99000</v>
      </c>
    </row>
    <row r="301" spans="1:14" ht="60">
      <c r="A301" s="1886" t="s">
        <v>9087</v>
      </c>
      <c r="B301" s="1886" t="s">
        <v>362</v>
      </c>
      <c r="C301" s="1917" t="s">
        <v>9296</v>
      </c>
      <c r="D301" s="1918">
        <v>28311206</v>
      </c>
      <c r="E301" s="1919" t="s">
        <v>7964</v>
      </c>
      <c r="F301" s="1918" t="s">
        <v>9297</v>
      </c>
      <c r="G301" s="1926">
        <v>238.36</v>
      </c>
      <c r="H301" s="1921"/>
      <c r="I301" s="1921"/>
      <c r="J301" s="447" t="s">
        <v>9298</v>
      </c>
      <c r="K301" s="1922">
        <v>2400</v>
      </c>
      <c r="L301" s="1919" t="s">
        <v>1656</v>
      </c>
      <c r="M301" s="1923">
        <v>28800</v>
      </c>
      <c r="N301" s="1923">
        <v>14400</v>
      </c>
    </row>
    <row r="302" spans="1:14" ht="60">
      <c r="A302" s="1886" t="s">
        <v>9087</v>
      </c>
      <c r="B302" s="1886" t="s">
        <v>362</v>
      </c>
      <c r="C302" s="1917" t="s">
        <v>9299</v>
      </c>
      <c r="D302" s="1918" t="s">
        <v>9300</v>
      </c>
      <c r="E302" s="1919" t="s">
        <v>7964</v>
      </c>
      <c r="F302" s="1918" t="s">
        <v>9301</v>
      </c>
      <c r="G302" s="1924">
        <v>248.81</v>
      </c>
      <c r="H302" s="1921"/>
      <c r="I302" s="1921"/>
      <c r="J302" s="447" t="s">
        <v>9302</v>
      </c>
      <c r="K302" s="1922">
        <v>4000</v>
      </c>
      <c r="L302" s="1919" t="s">
        <v>1656</v>
      </c>
      <c r="M302" s="1923">
        <v>48000</v>
      </c>
      <c r="N302" s="1923">
        <v>24000</v>
      </c>
    </row>
    <row r="303" spans="1:14" ht="60">
      <c r="A303" s="1886" t="s">
        <v>9087</v>
      </c>
      <c r="B303" s="1886" t="s">
        <v>362</v>
      </c>
      <c r="C303" s="1917" t="s">
        <v>9303</v>
      </c>
      <c r="D303" s="1918" t="s">
        <v>9304</v>
      </c>
      <c r="E303" s="1919" t="s">
        <v>7964</v>
      </c>
      <c r="F303" s="1918" t="s">
        <v>9305</v>
      </c>
      <c r="G303" s="1924">
        <v>198.45</v>
      </c>
      <c r="H303" s="1921"/>
      <c r="I303" s="1921"/>
      <c r="J303" s="447" t="s">
        <v>9306</v>
      </c>
      <c r="K303" s="1922">
        <v>5200</v>
      </c>
      <c r="L303" s="1919" t="s">
        <v>1656</v>
      </c>
      <c r="M303" s="1923">
        <v>62400</v>
      </c>
      <c r="N303" s="1923">
        <v>31200</v>
      </c>
    </row>
    <row r="304" spans="1:14" ht="60">
      <c r="A304" s="1886" t="s">
        <v>9087</v>
      </c>
      <c r="B304" s="1886" t="s">
        <v>362</v>
      </c>
      <c r="C304" s="1917" t="s">
        <v>9307</v>
      </c>
      <c r="D304" s="1918" t="s">
        <v>9308</v>
      </c>
      <c r="E304" s="1919" t="s">
        <v>7964</v>
      </c>
      <c r="F304" s="1918" t="s">
        <v>9309</v>
      </c>
      <c r="G304" s="1924">
        <v>178</v>
      </c>
      <c r="H304" s="1921"/>
      <c r="I304" s="1921"/>
      <c r="J304" s="1927" t="s">
        <v>9310</v>
      </c>
      <c r="K304" s="1922">
        <v>3000</v>
      </c>
      <c r="L304" s="1919" t="s">
        <v>1656</v>
      </c>
      <c r="M304" s="1923">
        <v>36000</v>
      </c>
      <c r="N304" s="1923">
        <v>18000</v>
      </c>
    </row>
    <row r="305" spans="1:14" ht="60">
      <c r="A305" s="1886" t="s">
        <v>9087</v>
      </c>
      <c r="B305" s="1886" t="s">
        <v>362</v>
      </c>
      <c r="C305" s="1917" t="s">
        <v>9311</v>
      </c>
      <c r="D305" s="1918" t="s">
        <v>9312</v>
      </c>
      <c r="E305" s="1919" t="s">
        <v>7964</v>
      </c>
      <c r="F305" s="1918" t="s">
        <v>9313</v>
      </c>
      <c r="G305" s="1924">
        <v>120</v>
      </c>
      <c r="H305" s="1921"/>
      <c r="I305" s="1921"/>
      <c r="J305" s="447" t="s">
        <v>9314</v>
      </c>
      <c r="K305" s="1922">
        <v>1800</v>
      </c>
      <c r="L305" s="1919" t="s">
        <v>1656</v>
      </c>
      <c r="M305" s="1923">
        <v>21600</v>
      </c>
      <c r="N305" s="1923">
        <v>10800</v>
      </c>
    </row>
    <row r="306" spans="1:14" ht="60">
      <c r="A306" s="1886" t="s">
        <v>9087</v>
      </c>
      <c r="B306" s="1886" t="s">
        <v>362</v>
      </c>
      <c r="C306" s="1917" t="s">
        <v>9315</v>
      </c>
      <c r="D306" s="1918" t="s">
        <v>9316</v>
      </c>
      <c r="E306" s="1919" t="s">
        <v>7964</v>
      </c>
      <c r="F306" s="1918" t="s">
        <v>9317</v>
      </c>
      <c r="G306" s="1924">
        <v>884</v>
      </c>
      <c r="H306" s="1921"/>
      <c r="I306" s="1921"/>
      <c r="J306" s="447" t="s">
        <v>9318</v>
      </c>
      <c r="K306" s="1922">
        <v>6500</v>
      </c>
      <c r="L306" s="1919" t="s">
        <v>1656</v>
      </c>
      <c r="M306" s="1923">
        <v>78000</v>
      </c>
      <c r="N306" s="1923">
        <v>39000</v>
      </c>
    </row>
    <row r="307" spans="1:14" ht="60">
      <c r="A307" s="1886" t="s">
        <v>9087</v>
      </c>
      <c r="B307" s="1886" t="s">
        <v>362</v>
      </c>
      <c r="C307" s="1917" t="s">
        <v>9319</v>
      </c>
      <c r="D307" s="1918" t="s">
        <v>9320</v>
      </c>
      <c r="E307" s="1919" t="s">
        <v>7964</v>
      </c>
      <c r="F307" s="1918" t="s">
        <v>9321</v>
      </c>
      <c r="G307" s="1924">
        <v>240</v>
      </c>
      <c r="H307" s="1921"/>
      <c r="I307" s="1921"/>
      <c r="J307" s="447" t="s">
        <v>9322</v>
      </c>
      <c r="K307" s="1922">
        <v>2000</v>
      </c>
      <c r="L307" s="1919" t="s">
        <v>1656</v>
      </c>
      <c r="M307" s="1923">
        <v>24000</v>
      </c>
      <c r="N307" s="1923">
        <v>12000</v>
      </c>
    </row>
    <row r="308" spans="1:14" ht="60">
      <c r="A308" s="1886" t="s">
        <v>9087</v>
      </c>
      <c r="B308" s="1886" t="s">
        <v>362</v>
      </c>
      <c r="C308" s="1917" t="s">
        <v>9323</v>
      </c>
      <c r="D308" s="1918" t="s">
        <v>9324</v>
      </c>
      <c r="E308" s="1919" t="s">
        <v>7964</v>
      </c>
      <c r="F308" s="1918" t="s">
        <v>9325</v>
      </c>
      <c r="G308" s="1924">
        <v>70</v>
      </c>
      <c r="H308" s="1921"/>
      <c r="I308" s="1921"/>
      <c r="J308" s="447" t="s">
        <v>9326</v>
      </c>
      <c r="K308" s="1922">
        <v>2000</v>
      </c>
      <c r="L308" s="1919" t="s">
        <v>1656</v>
      </c>
      <c r="M308" s="1923">
        <v>24000</v>
      </c>
      <c r="N308" s="1923">
        <v>12000</v>
      </c>
    </row>
    <row r="309" spans="1:14" ht="60">
      <c r="A309" s="1886" t="s">
        <v>9087</v>
      </c>
      <c r="B309" s="1886" t="s">
        <v>362</v>
      </c>
      <c r="C309" s="1917" t="s">
        <v>9327</v>
      </c>
      <c r="D309" s="1918">
        <v>31042379</v>
      </c>
      <c r="E309" s="1919" t="s">
        <v>7964</v>
      </c>
      <c r="F309" s="1918" t="s">
        <v>9328</v>
      </c>
      <c r="G309" s="1924">
        <v>120</v>
      </c>
      <c r="H309" s="1921"/>
      <c r="I309" s="1921"/>
      <c r="J309" s="447" t="s">
        <v>9329</v>
      </c>
      <c r="K309" s="1922">
        <v>1700</v>
      </c>
      <c r="L309" s="1919" t="s">
        <v>1656</v>
      </c>
      <c r="M309" s="1923">
        <v>20400</v>
      </c>
      <c r="N309" s="1923">
        <v>10200</v>
      </c>
    </row>
    <row r="310" spans="1:14" ht="60">
      <c r="A310" s="1886" t="s">
        <v>9087</v>
      </c>
      <c r="B310" s="1886" t="s">
        <v>362</v>
      </c>
      <c r="C310" s="1917" t="s">
        <v>9330</v>
      </c>
      <c r="D310" s="1918" t="s">
        <v>9331</v>
      </c>
      <c r="E310" s="1919" t="s">
        <v>7964</v>
      </c>
      <c r="F310" s="1918" t="s">
        <v>9332</v>
      </c>
      <c r="G310" s="1924">
        <v>220</v>
      </c>
      <c r="H310" s="1921"/>
      <c r="I310" s="1921"/>
      <c r="J310" s="447" t="s">
        <v>9333</v>
      </c>
      <c r="K310" s="1922">
        <v>2500</v>
      </c>
      <c r="L310" s="1919" t="s">
        <v>1656</v>
      </c>
      <c r="M310" s="1923">
        <v>30000</v>
      </c>
      <c r="N310" s="1923">
        <v>15000</v>
      </c>
    </row>
    <row r="311" spans="1:14" ht="60">
      <c r="A311" s="1886" t="s">
        <v>9087</v>
      </c>
      <c r="B311" s="1886" t="s">
        <v>362</v>
      </c>
      <c r="C311" s="1917" t="s">
        <v>9334</v>
      </c>
      <c r="D311" s="1918">
        <v>20510805560</v>
      </c>
      <c r="E311" s="1919" t="s">
        <v>7964</v>
      </c>
      <c r="F311" s="1918">
        <v>11750052</v>
      </c>
      <c r="G311" s="1924">
        <v>428.5</v>
      </c>
      <c r="H311" s="1921"/>
      <c r="I311" s="1921"/>
      <c r="J311" s="447" t="s">
        <v>9335</v>
      </c>
      <c r="K311" s="1922">
        <v>168351</v>
      </c>
      <c r="L311" s="1919" t="s">
        <v>1656</v>
      </c>
      <c r="M311" s="1923">
        <v>2020212</v>
      </c>
      <c r="N311" s="1923">
        <v>1010106</v>
      </c>
    </row>
    <row r="312" spans="1:14">
      <c r="A312" s="1928"/>
      <c r="B312" s="1928"/>
      <c r="C312" s="1921"/>
      <c r="D312" s="1921"/>
      <c r="E312" s="1921"/>
      <c r="F312" s="1921"/>
      <c r="G312" s="1921"/>
      <c r="H312" s="1921"/>
      <c r="I312" s="1921"/>
      <c r="J312" s="1921"/>
      <c r="K312" s="1929">
        <f>SUM(K293:K311)</f>
        <v>392051</v>
      </c>
      <c r="L312" s="1921"/>
      <c r="M312" s="1929">
        <f t="shared" ref="M312:N312" si="5">SUM(M293:M311)</f>
        <v>4770612</v>
      </c>
      <c r="N312" s="1929">
        <f t="shared" si="5"/>
        <v>2352306</v>
      </c>
    </row>
    <row r="313" spans="1:14">
      <c r="A313" s="2084" t="s">
        <v>9336</v>
      </c>
      <c r="B313" s="2084"/>
      <c r="C313" s="2084"/>
      <c r="D313" s="2084"/>
      <c r="E313" s="2084"/>
      <c r="F313" s="2084"/>
      <c r="G313" s="2084"/>
      <c r="H313" s="2084"/>
      <c r="I313" s="2084"/>
      <c r="J313" s="2084"/>
      <c r="K313" s="2084"/>
      <c r="L313" s="2084"/>
      <c r="M313" s="2084"/>
      <c r="N313" s="2084"/>
    </row>
    <row r="314" spans="1:14" ht="144">
      <c r="A314" s="1930" t="s">
        <v>5504</v>
      </c>
      <c r="B314" s="1930" t="s">
        <v>9389</v>
      </c>
      <c r="C314" s="1931" t="s">
        <v>9390</v>
      </c>
      <c r="D314" s="1931" t="s">
        <v>9391</v>
      </c>
      <c r="E314" s="1932" t="s">
        <v>7461</v>
      </c>
      <c r="F314" s="1932" t="s">
        <v>9391</v>
      </c>
      <c r="G314" s="1932" t="s">
        <v>9392</v>
      </c>
      <c r="H314" s="1932">
        <v>2</v>
      </c>
      <c r="I314" s="1933" t="s">
        <v>9393</v>
      </c>
      <c r="J314" s="1934">
        <v>45181</v>
      </c>
      <c r="K314" s="1935">
        <v>45000</v>
      </c>
      <c r="L314" s="1932" t="s">
        <v>1656</v>
      </c>
      <c r="M314" s="1936">
        <v>594000</v>
      </c>
      <c r="N314" s="1937">
        <v>297000</v>
      </c>
    </row>
    <row r="315" spans="1:14">
      <c r="A315" s="1921"/>
      <c r="B315" s="1921"/>
      <c r="C315" s="1921"/>
      <c r="D315" s="1921"/>
      <c r="E315" s="1921"/>
      <c r="F315" s="1921"/>
      <c r="G315" s="1921"/>
      <c r="H315" s="1921"/>
      <c r="I315" s="1921"/>
      <c r="J315" s="1921"/>
      <c r="K315" s="1921"/>
      <c r="L315" s="1921"/>
      <c r="M315" s="1921"/>
      <c r="N315" s="1921"/>
    </row>
    <row r="316" spans="1:14">
      <c r="A316" s="1886"/>
      <c r="B316" s="1886"/>
      <c r="C316" s="1886"/>
      <c r="D316" s="447"/>
      <c r="E316" s="1886"/>
      <c r="F316" s="1886"/>
      <c r="G316" s="1886"/>
      <c r="H316" s="1886"/>
      <c r="I316" s="1886"/>
      <c r="J316" s="1887"/>
      <c r="K316" s="1888"/>
      <c r="L316" s="447"/>
      <c r="M316" s="1888"/>
      <c r="N316" s="1888"/>
    </row>
    <row r="317" spans="1:14">
      <c r="A317" s="2084" t="s">
        <v>9394</v>
      </c>
      <c r="B317" s="2084"/>
      <c r="C317" s="2084"/>
      <c r="D317" s="2084"/>
      <c r="E317" s="2084"/>
      <c r="F317" s="2084"/>
      <c r="G317" s="2084"/>
      <c r="H317" s="2084"/>
      <c r="I317" s="2084"/>
      <c r="J317" s="2084"/>
      <c r="K317" s="2084"/>
      <c r="L317" s="2084"/>
      <c r="M317" s="2084"/>
      <c r="N317" s="2084"/>
    </row>
    <row r="318" spans="1:14">
      <c r="A318" s="1886"/>
      <c r="B318" s="1886"/>
      <c r="C318" s="1886"/>
      <c r="D318" s="447"/>
      <c r="E318" s="1886"/>
      <c r="F318" s="1886"/>
      <c r="G318" s="1886"/>
      <c r="H318" s="1886"/>
      <c r="I318" s="1886"/>
      <c r="J318" s="1887"/>
      <c r="K318" s="1888"/>
      <c r="L318" s="447"/>
      <c r="M318" s="1888"/>
      <c r="N318" s="1888"/>
    </row>
    <row r="319" spans="1:14">
      <c r="A319" s="1886"/>
      <c r="B319" s="1886"/>
      <c r="C319" s="1886"/>
      <c r="D319" s="447"/>
      <c r="E319" s="1886"/>
      <c r="F319" s="1886"/>
      <c r="G319" s="1886"/>
      <c r="H319" s="1886"/>
      <c r="I319" s="1886"/>
      <c r="J319" s="1887"/>
      <c r="K319" s="1888"/>
      <c r="L319" s="447"/>
      <c r="M319" s="1888"/>
      <c r="N319" s="1888"/>
    </row>
    <row r="320" spans="1:14">
      <c r="A320" s="1886"/>
      <c r="B320" s="1886"/>
      <c r="C320" s="1886"/>
      <c r="D320" s="447"/>
      <c r="E320" s="1886"/>
      <c r="F320" s="1886"/>
      <c r="G320" s="1886"/>
      <c r="H320" s="1886"/>
      <c r="I320" s="1886"/>
      <c r="J320" s="1887"/>
      <c r="K320" s="1888"/>
      <c r="L320" s="447"/>
      <c r="M320" s="1888"/>
      <c r="N320" s="1888"/>
    </row>
    <row r="321" spans="1:14">
      <c r="A321" s="1886"/>
      <c r="B321" s="1886"/>
      <c r="C321" s="1886"/>
      <c r="D321" s="447"/>
      <c r="E321" s="1886"/>
      <c r="F321" s="1886"/>
      <c r="G321" s="1886"/>
      <c r="H321" s="1886"/>
      <c r="I321" s="1886"/>
      <c r="J321" s="1887"/>
      <c r="K321" s="1888"/>
      <c r="L321" s="447"/>
      <c r="M321" s="1888"/>
      <c r="N321" s="1888"/>
    </row>
    <row r="322" spans="1:14">
      <c r="A322" s="2084" t="s">
        <v>9486</v>
      </c>
      <c r="B322" s="2084"/>
      <c r="C322" s="2084"/>
      <c r="D322" s="2084"/>
      <c r="E322" s="2084"/>
      <c r="F322" s="2084"/>
      <c r="G322" s="2084"/>
      <c r="H322" s="2084"/>
      <c r="I322" s="2084"/>
      <c r="J322" s="2084"/>
      <c r="K322" s="2084"/>
      <c r="L322" s="2084"/>
      <c r="M322" s="2084"/>
      <c r="N322" s="2084"/>
    </row>
    <row r="323" spans="1:14">
      <c r="A323" s="1886"/>
      <c r="B323" s="1886"/>
      <c r="C323" s="1886"/>
      <c r="D323" s="447"/>
      <c r="E323" s="1886"/>
      <c r="F323" s="1886"/>
      <c r="G323" s="1886"/>
      <c r="H323" s="1886"/>
      <c r="I323" s="1886"/>
      <c r="J323" s="1887"/>
      <c r="K323" s="1888"/>
      <c r="L323" s="447"/>
      <c r="M323" s="1888"/>
      <c r="N323" s="1888"/>
    </row>
    <row r="324" spans="1:14">
      <c r="A324" s="1886"/>
      <c r="B324" s="1886"/>
      <c r="C324" s="1886"/>
      <c r="D324" s="447"/>
      <c r="E324" s="1886"/>
      <c r="F324" s="1886"/>
      <c r="G324" s="1886"/>
      <c r="H324" s="1886"/>
      <c r="I324" s="1886"/>
      <c r="J324" s="1887"/>
      <c r="K324" s="1888"/>
      <c r="L324" s="447"/>
      <c r="M324" s="1888"/>
      <c r="N324" s="1888"/>
    </row>
    <row r="325" spans="1:14">
      <c r="A325" s="1886"/>
      <c r="B325" s="1886"/>
      <c r="C325" s="1886"/>
      <c r="D325" s="447"/>
      <c r="E325" s="1886"/>
      <c r="F325" s="1886"/>
      <c r="G325" s="1886"/>
      <c r="H325" s="1886"/>
      <c r="I325" s="1886"/>
      <c r="J325" s="1887"/>
      <c r="K325" s="1888"/>
      <c r="L325" s="447"/>
      <c r="M325" s="1888"/>
      <c r="N325" s="1888"/>
    </row>
    <row r="326" spans="1:14">
      <c r="A326" s="1886"/>
      <c r="B326" s="1886"/>
      <c r="C326" s="1886"/>
      <c r="D326" s="447"/>
      <c r="E326" s="1886"/>
      <c r="F326" s="1886"/>
      <c r="G326" s="1886"/>
      <c r="H326" s="1886"/>
      <c r="I326" s="1886"/>
      <c r="J326" s="1887"/>
      <c r="K326" s="1888"/>
      <c r="L326" s="447"/>
      <c r="M326" s="1888"/>
      <c r="N326" s="1888"/>
    </row>
    <row r="327" spans="1:14">
      <c r="A327" s="265" t="s">
        <v>490</v>
      </c>
    </row>
  </sheetData>
  <mergeCells count="31">
    <mergeCell ref="A322:N322"/>
    <mergeCell ref="A282:N282"/>
    <mergeCell ref="A287:N287"/>
    <mergeCell ref="A292:N292"/>
    <mergeCell ref="A313:N313"/>
    <mergeCell ref="A317:N317"/>
    <mergeCell ref="A7:N7"/>
    <mergeCell ref="A6:N6"/>
    <mergeCell ref="A10:N10"/>
    <mergeCell ref="M4:M5"/>
    <mergeCell ref="N4:N5"/>
    <mergeCell ref="C4:D4"/>
    <mergeCell ref="A4:B4"/>
    <mergeCell ref="J4:L4"/>
    <mergeCell ref="E4:I4"/>
    <mergeCell ref="A15:N15"/>
    <mergeCell ref="A78:N78"/>
    <mergeCell ref="A88:L88"/>
    <mergeCell ref="A96:L96"/>
    <mergeCell ref="A99:L99"/>
    <mergeCell ref="A264:L264"/>
    <mergeCell ref="A265:L265"/>
    <mergeCell ref="A266:N266"/>
    <mergeCell ref="A277:N277"/>
    <mergeCell ref="A193:L193"/>
    <mergeCell ref="C224:C225"/>
    <mergeCell ref="E224:E225"/>
    <mergeCell ref="F224:F225"/>
    <mergeCell ref="G224:G225"/>
    <mergeCell ref="H224:H225"/>
    <mergeCell ref="I224:I225"/>
  </mergeCells>
  <dataValidations count="1">
    <dataValidation type="decimal" allowBlank="1" showInputMessage="1" showErrorMessage="1" error="INGRESAR SOLO NÚMEROS POSITIVOS" sqref="G293:G300 G302:G308 G310" xr:uid="{00000000-0002-0000-4300-000000000000}">
      <formula1>0</formula1>
      <formula2>100000</formula2>
    </dataValidation>
  </dataValidations>
  <printOptions horizontalCentered="1"/>
  <pageMargins left="0.19685039370078741" right="0.19685039370078741" top="0.78740157480314965" bottom="0.78740157480314965" header="0.19685039370078741" footer="0.19685039370078741"/>
  <pageSetup paperSize="9" scale="81" fitToHeight="100" orientation="landscape" r:id="rId1"/>
  <headerFooter alignWithMargins="0">
    <oddHeader>&amp;C&amp;"Arial,Negrita"&amp;18FORMATOS DEL PROYECTO DE PRESUPUESTO 2021</oddHeader>
    <oddFooter>&amp;L&amp;"Arial,Negrita"&amp;8PROYECTO DE PRESUPUESTO PARA EL AÑO FISCAL 2021
INFORMACIÓN PARA LA COMISIÓN DE PRESUPUESTO Y CUENTA GENERAL DE LA REPÚBLICA DEL CONGRESO DE LA REPÚBLICA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rgb="FF002060"/>
  </sheetPr>
  <dimension ref="A1:N58"/>
  <sheetViews>
    <sheetView view="pageBreakPreview" zoomScaleNormal="100" zoomScaleSheetLayoutView="100" workbookViewId="0">
      <selection activeCell="B8" sqref="B8"/>
    </sheetView>
  </sheetViews>
  <sheetFormatPr baseColWidth="10" defaultColWidth="11.28515625" defaultRowHeight="11.25"/>
  <cols>
    <col min="1" max="1" width="39.5703125" style="83" customWidth="1"/>
    <col min="2" max="3" width="5.7109375" style="83" customWidth="1"/>
    <col min="4" max="4" width="8.7109375" style="112" customWidth="1"/>
    <col min="5" max="5" width="5.7109375" style="112" customWidth="1"/>
    <col min="6" max="7" width="5.7109375" style="83" customWidth="1"/>
    <col min="8" max="8" width="8.7109375" style="83" customWidth="1"/>
    <col min="9" max="10" width="5.7109375" style="83" customWidth="1"/>
    <col min="11" max="11" width="8.7109375" style="83" customWidth="1"/>
    <col min="12" max="13" width="5.7109375" style="83" customWidth="1"/>
    <col min="14" max="14" width="8.7109375" style="83" customWidth="1"/>
    <col min="15" max="16384" width="11.28515625" style="83"/>
  </cols>
  <sheetData>
    <row r="1" spans="1:14" s="79" customFormat="1">
      <c r="A1" s="147" t="s">
        <v>448</v>
      </c>
      <c r="B1" s="148"/>
      <c r="C1" s="148"/>
      <c r="D1" s="148"/>
      <c r="E1" s="148"/>
      <c r="F1" s="148"/>
      <c r="G1" s="148"/>
      <c r="H1" s="148"/>
      <c r="I1" s="148"/>
      <c r="J1" s="148"/>
      <c r="K1" s="148"/>
      <c r="L1" s="148"/>
      <c r="M1" s="148"/>
      <c r="N1" s="148"/>
    </row>
    <row r="2" spans="1:14" s="82" customFormat="1" ht="12" thickBot="1">
      <c r="A2" s="77" t="s">
        <v>382</v>
      </c>
      <c r="B2" s="77"/>
      <c r="C2" s="77"/>
      <c r="D2" s="77"/>
      <c r="E2" s="77"/>
      <c r="F2" s="77"/>
      <c r="G2" s="77"/>
      <c r="H2" s="77"/>
      <c r="I2" s="77"/>
      <c r="J2" s="77"/>
      <c r="K2" s="77"/>
      <c r="L2" s="77"/>
      <c r="M2" s="77"/>
      <c r="N2" s="77"/>
    </row>
    <row r="3" spans="1:14" s="84" customFormat="1" ht="12" thickBot="1">
      <c r="A3" s="1969" t="s">
        <v>195</v>
      </c>
      <c r="B3" s="1967" t="s">
        <v>228</v>
      </c>
      <c r="C3" s="1968"/>
      <c r="D3" s="1968"/>
      <c r="E3" s="1968"/>
      <c r="F3" s="1964" t="s">
        <v>229</v>
      </c>
      <c r="G3" s="1965"/>
      <c r="H3" s="1966"/>
      <c r="I3" s="1964" t="s">
        <v>227</v>
      </c>
      <c r="J3" s="1965"/>
      <c r="K3" s="1965"/>
      <c r="L3" s="1965"/>
      <c r="M3" s="1965"/>
      <c r="N3" s="1966"/>
    </row>
    <row r="4" spans="1:14" s="97" customFormat="1" ht="48" thickBot="1">
      <c r="A4" s="1970"/>
      <c r="B4" s="149">
        <v>2018</v>
      </c>
      <c r="C4" s="150">
        <v>2019</v>
      </c>
      <c r="D4" s="150" t="s">
        <v>308</v>
      </c>
      <c r="E4" s="152" t="s">
        <v>306</v>
      </c>
      <c r="F4" s="149">
        <v>2018</v>
      </c>
      <c r="G4" s="150">
        <v>2019</v>
      </c>
      <c r="H4" s="152" t="s">
        <v>308</v>
      </c>
      <c r="I4" s="149">
        <v>2018</v>
      </c>
      <c r="J4" s="150" t="s">
        <v>295</v>
      </c>
      <c r="K4" s="152" t="s">
        <v>308</v>
      </c>
      <c r="L4" s="151" t="s">
        <v>309</v>
      </c>
      <c r="M4" s="151" t="s">
        <v>306</v>
      </c>
      <c r="N4" s="152" t="s">
        <v>307</v>
      </c>
    </row>
    <row r="5" spans="1:14" ht="5.0999999999999996" customHeight="1">
      <c r="A5" s="223"/>
      <c r="B5" s="153"/>
      <c r="C5" s="154"/>
      <c r="D5" s="154"/>
      <c r="E5" s="155"/>
      <c r="F5" s="153"/>
      <c r="G5" s="154"/>
      <c r="H5" s="156"/>
      <c r="I5" s="153"/>
      <c r="J5" s="154"/>
      <c r="K5" s="156"/>
      <c r="L5" s="155"/>
      <c r="M5" s="155"/>
      <c r="N5" s="156"/>
    </row>
    <row r="6" spans="1:14">
      <c r="A6" s="224" t="s">
        <v>226</v>
      </c>
      <c r="B6" s="157"/>
      <c r="C6" s="158"/>
      <c r="D6" s="158"/>
      <c r="E6" s="159"/>
      <c r="F6" s="157"/>
      <c r="G6" s="158"/>
      <c r="H6" s="160"/>
      <c r="I6" s="157"/>
      <c r="J6" s="158"/>
      <c r="K6" s="160"/>
      <c r="L6" s="159"/>
      <c r="M6" s="159"/>
      <c r="N6" s="160"/>
    </row>
    <row r="7" spans="1:14" s="364" customFormat="1" ht="9">
      <c r="A7" s="359" t="s">
        <v>196</v>
      </c>
      <c r="B7" s="360"/>
      <c r="C7" s="361"/>
      <c r="D7" s="361"/>
      <c r="E7" s="362"/>
      <c r="F7" s="360"/>
      <c r="G7" s="361"/>
      <c r="H7" s="363"/>
      <c r="I7" s="360"/>
      <c r="J7" s="361"/>
      <c r="K7" s="363"/>
      <c r="L7" s="362"/>
      <c r="M7" s="362"/>
      <c r="N7" s="363"/>
    </row>
    <row r="8" spans="1:14" s="84" customFormat="1" ht="5.0999999999999996" customHeight="1">
      <c r="A8" s="225"/>
      <c r="B8" s="161"/>
      <c r="C8" s="162"/>
      <c r="D8" s="162"/>
      <c r="E8" s="163"/>
      <c r="F8" s="161"/>
      <c r="G8" s="162"/>
      <c r="H8" s="164"/>
      <c r="I8" s="161"/>
      <c r="J8" s="162"/>
      <c r="K8" s="164"/>
      <c r="L8" s="163"/>
      <c r="M8" s="163"/>
      <c r="N8" s="164"/>
    </row>
    <row r="9" spans="1:14">
      <c r="A9" s="224" t="s">
        <v>201</v>
      </c>
      <c r="B9" s="161"/>
      <c r="C9" s="162"/>
      <c r="D9" s="162"/>
      <c r="E9" s="163"/>
      <c r="F9" s="161"/>
      <c r="G9" s="162"/>
      <c r="H9" s="164"/>
      <c r="I9" s="161"/>
      <c r="J9" s="162"/>
      <c r="K9" s="164"/>
      <c r="L9" s="163"/>
      <c r="M9" s="163"/>
      <c r="N9" s="164"/>
    </row>
    <row r="10" spans="1:14" s="364" customFormat="1" ht="9">
      <c r="A10" s="365" t="s">
        <v>197</v>
      </c>
      <c r="B10" s="360"/>
      <c r="C10" s="361"/>
      <c r="D10" s="361"/>
      <c r="E10" s="362"/>
      <c r="F10" s="360"/>
      <c r="G10" s="361"/>
      <c r="H10" s="363"/>
      <c r="I10" s="360"/>
      <c r="J10" s="361"/>
      <c r="K10" s="363"/>
      <c r="L10" s="362"/>
      <c r="M10" s="362"/>
      <c r="N10" s="363"/>
    </row>
    <row r="11" spans="1:14" s="364" customFormat="1" ht="9">
      <c r="A11" s="365" t="s">
        <v>198</v>
      </c>
      <c r="B11" s="360"/>
      <c r="C11" s="361"/>
      <c r="D11" s="361"/>
      <c r="E11" s="362"/>
      <c r="F11" s="360"/>
      <c r="G11" s="361"/>
      <c r="H11" s="363"/>
      <c r="I11" s="360"/>
      <c r="J11" s="361"/>
      <c r="K11" s="363"/>
      <c r="L11" s="362"/>
      <c r="M11" s="362"/>
      <c r="N11" s="363"/>
    </row>
    <row r="12" spans="1:14" s="364" customFormat="1" ht="9">
      <c r="A12" s="365" t="s">
        <v>199</v>
      </c>
      <c r="B12" s="360"/>
      <c r="C12" s="361"/>
      <c r="D12" s="361"/>
      <c r="E12" s="362"/>
      <c r="F12" s="360"/>
      <c r="G12" s="361"/>
      <c r="H12" s="363"/>
      <c r="I12" s="360"/>
      <c r="J12" s="361"/>
      <c r="K12" s="363"/>
      <c r="L12" s="362"/>
      <c r="M12" s="362"/>
      <c r="N12" s="363"/>
    </row>
    <row r="13" spans="1:14" s="364" customFormat="1" ht="9">
      <c r="A13" s="365" t="s">
        <v>200</v>
      </c>
      <c r="B13" s="360"/>
      <c r="C13" s="361"/>
      <c r="D13" s="361"/>
      <c r="E13" s="362"/>
      <c r="F13" s="360"/>
      <c r="G13" s="361"/>
      <c r="H13" s="363"/>
      <c r="I13" s="360"/>
      <c r="J13" s="361"/>
      <c r="K13" s="363"/>
      <c r="L13" s="362"/>
      <c r="M13" s="362"/>
      <c r="N13" s="363"/>
    </row>
    <row r="14" spans="1:14" ht="5.0999999999999996" customHeight="1">
      <c r="A14" s="226"/>
      <c r="B14" s="157"/>
      <c r="C14" s="158"/>
      <c r="D14" s="158"/>
      <c r="E14" s="159"/>
      <c r="F14" s="157"/>
      <c r="G14" s="158"/>
      <c r="H14" s="160"/>
      <c r="I14" s="157"/>
      <c r="J14" s="158"/>
      <c r="K14" s="160"/>
      <c r="L14" s="159"/>
      <c r="M14" s="159"/>
      <c r="N14" s="160"/>
    </row>
    <row r="15" spans="1:14">
      <c r="A15" s="224" t="s">
        <v>220</v>
      </c>
      <c r="B15" s="161"/>
      <c r="C15" s="162"/>
      <c r="D15" s="162"/>
      <c r="E15" s="163"/>
      <c r="F15" s="161"/>
      <c r="G15" s="162"/>
      <c r="H15" s="164"/>
      <c r="I15" s="161"/>
      <c r="J15" s="162"/>
      <c r="K15" s="164"/>
      <c r="L15" s="163"/>
      <c r="M15" s="163"/>
      <c r="N15" s="164"/>
    </row>
    <row r="16" spans="1:14" s="364" customFormat="1" ht="9">
      <c r="A16" s="365" t="s">
        <v>202</v>
      </c>
      <c r="B16" s="360"/>
      <c r="C16" s="361"/>
      <c r="D16" s="361"/>
      <c r="E16" s="362"/>
      <c r="F16" s="360"/>
      <c r="G16" s="361"/>
      <c r="H16" s="363"/>
      <c r="I16" s="360"/>
      <c r="J16" s="361"/>
      <c r="K16" s="363"/>
      <c r="L16" s="362"/>
      <c r="M16" s="362"/>
      <c r="N16" s="363"/>
    </row>
    <row r="17" spans="1:14" s="364" customFormat="1" ht="9">
      <c r="A17" s="365" t="s">
        <v>203</v>
      </c>
      <c r="B17" s="360"/>
      <c r="C17" s="361"/>
      <c r="D17" s="361"/>
      <c r="E17" s="362"/>
      <c r="F17" s="360"/>
      <c r="G17" s="361"/>
      <c r="H17" s="363"/>
      <c r="I17" s="360"/>
      <c r="J17" s="361"/>
      <c r="K17" s="363"/>
      <c r="L17" s="362"/>
      <c r="M17" s="362"/>
      <c r="N17" s="363"/>
    </row>
    <row r="18" spans="1:14" s="364" customFormat="1" ht="9">
      <c r="A18" s="365" t="s">
        <v>204</v>
      </c>
      <c r="B18" s="360"/>
      <c r="C18" s="361"/>
      <c r="D18" s="361"/>
      <c r="E18" s="362"/>
      <c r="F18" s="360"/>
      <c r="G18" s="361"/>
      <c r="H18" s="363"/>
      <c r="I18" s="360"/>
      <c r="J18" s="361"/>
      <c r="K18" s="363"/>
      <c r="L18" s="362"/>
      <c r="M18" s="362"/>
      <c r="N18" s="363"/>
    </row>
    <row r="19" spans="1:14" s="364" customFormat="1" ht="9">
      <c r="A19" s="365" t="s">
        <v>205</v>
      </c>
      <c r="B19" s="360"/>
      <c r="C19" s="361"/>
      <c r="D19" s="361"/>
      <c r="E19" s="362"/>
      <c r="F19" s="360"/>
      <c r="G19" s="361"/>
      <c r="H19" s="363"/>
      <c r="I19" s="360"/>
      <c r="J19" s="361"/>
      <c r="K19" s="363"/>
      <c r="L19" s="362"/>
      <c r="M19" s="362"/>
      <c r="N19" s="363"/>
    </row>
    <row r="20" spans="1:14" s="364" customFormat="1" ht="9">
      <c r="A20" s="365" t="s">
        <v>206</v>
      </c>
      <c r="B20" s="360"/>
      <c r="C20" s="361"/>
      <c r="D20" s="361"/>
      <c r="E20" s="362"/>
      <c r="F20" s="360"/>
      <c r="G20" s="361"/>
      <c r="H20" s="363"/>
      <c r="I20" s="360"/>
      <c r="J20" s="361"/>
      <c r="K20" s="363"/>
      <c r="L20" s="362"/>
      <c r="M20" s="362"/>
      <c r="N20" s="363"/>
    </row>
    <row r="21" spans="1:14" ht="5.0999999999999996" customHeight="1">
      <c r="A21" s="227"/>
      <c r="B21" s="161"/>
      <c r="C21" s="162"/>
      <c r="D21" s="162"/>
      <c r="E21" s="163"/>
      <c r="F21" s="161"/>
      <c r="G21" s="162"/>
      <c r="H21" s="164"/>
      <c r="I21" s="161"/>
      <c r="J21" s="162"/>
      <c r="K21" s="164"/>
      <c r="L21" s="163"/>
      <c r="M21" s="163"/>
      <c r="N21" s="164"/>
    </row>
    <row r="22" spans="1:14">
      <c r="A22" s="228" t="s">
        <v>221</v>
      </c>
      <c r="B22" s="161"/>
      <c r="C22" s="162"/>
      <c r="D22" s="162"/>
      <c r="E22" s="163"/>
      <c r="F22" s="161"/>
      <c r="G22" s="162"/>
      <c r="H22" s="164"/>
      <c r="I22" s="161"/>
      <c r="J22" s="162"/>
      <c r="K22" s="164"/>
      <c r="L22" s="163"/>
      <c r="M22" s="163"/>
      <c r="N22" s="164"/>
    </row>
    <row r="23" spans="1:14" s="364" customFormat="1" ht="9">
      <c r="A23" s="365" t="s">
        <v>207</v>
      </c>
      <c r="B23" s="360"/>
      <c r="C23" s="361"/>
      <c r="D23" s="361"/>
      <c r="E23" s="362"/>
      <c r="F23" s="360"/>
      <c r="G23" s="361"/>
      <c r="H23" s="363"/>
      <c r="I23" s="360"/>
      <c r="J23" s="361"/>
      <c r="K23" s="363"/>
      <c r="L23" s="362"/>
      <c r="M23" s="362"/>
      <c r="N23" s="363"/>
    </row>
    <row r="24" spans="1:14" s="364" customFormat="1" ht="9">
      <c r="A24" s="365" t="s">
        <v>208</v>
      </c>
      <c r="B24" s="360"/>
      <c r="C24" s="361"/>
      <c r="D24" s="361"/>
      <c r="E24" s="362"/>
      <c r="F24" s="360"/>
      <c r="G24" s="361"/>
      <c r="H24" s="363"/>
      <c r="I24" s="360"/>
      <c r="J24" s="361"/>
      <c r="K24" s="363"/>
      <c r="L24" s="362"/>
      <c r="M24" s="362"/>
      <c r="N24" s="363"/>
    </row>
    <row r="25" spans="1:14" s="364" customFormat="1" ht="9">
      <c r="A25" s="365" t="s">
        <v>209</v>
      </c>
      <c r="B25" s="360"/>
      <c r="C25" s="361"/>
      <c r="D25" s="361"/>
      <c r="E25" s="362"/>
      <c r="F25" s="360"/>
      <c r="G25" s="361"/>
      <c r="H25" s="363"/>
      <c r="I25" s="360"/>
      <c r="J25" s="361"/>
      <c r="K25" s="363"/>
      <c r="L25" s="362"/>
      <c r="M25" s="362"/>
      <c r="N25" s="363"/>
    </row>
    <row r="26" spans="1:14" ht="5.0999999999999996" customHeight="1">
      <c r="A26" s="226"/>
      <c r="B26" s="161"/>
      <c r="C26" s="162"/>
      <c r="D26" s="162"/>
      <c r="E26" s="163"/>
      <c r="F26" s="161"/>
      <c r="G26" s="162"/>
      <c r="H26" s="164"/>
      <c r="I26" s="161"/>
      <c r="J26" s="162"/>
      <c r="K26" s="164"/>
      <c r="L26" s="163"/>
      <c r="M26" s="163"/>
      <c r="N26" s="164"/>
    </row>
    <row r="27" spans="1:14">
      <c r="A27" s="228" t="s">
        <v>222</v>
      </c>
      <c r="B27" s="161"/>
      <c r="C27" s="162"/>
      <c r="D27" s="162"/>
      <c r="E27" s="163"/>
      <c r="F27" s="161"/>
      <c r="G27" s="162"/>
      <c r="H27" s="164"/>
      <c r="I27" s="161"/>
      <c r="J27" s="162"/>
      <c r="K27" s="164"/>
      <c r="L27" s="163"/>
      <c r="M27" s="163"/>
      <c r="N27" s="164"/>
    </row>
    <row r="28" spans="1:14" s="364" customFormat="1" ht="9">
      <c r="A28" s="365" t="s">
        <v>210</v>
      </c>
      <c r="B28" s="360"/>
      <c r="C28" s="361"/>
      <c r="D28" s="361"/>
      <c r="E28" s="362"/>
      <c r="F28" s="360"/>
      <c r="G28" s="361"/>
      <c r="H28" s="363"/>
      <c r="I28" s="360"/>
      <c r="J28" s="361"/>
      <c r="K28" s="363"/>
      <c r="L28" s="362"/>
      <c r="M28" s="362"/>
      <c r="N28" s="363"/>
    </row>
    <row r="29" spans="1:14" s="364" customFormat="1" ht="9">
      <c r="A29" s="365" t="s">
        <v>208</v>
      </c>
      <c r="B29" s="360"/>
      <c r="C29" s="361"/>
      <c r="D29" s="361"/>
      <c r="E29" s="362"/>
      <c r="F29" s="360"/>
      <c r="G29" s="361"/>
      <c r="H29" s="363"/>
      <c r="I29" s="360"/>
      <c r="J29" s="361"/>
      <c r="K29" s="363"/>
      <c r="L29" s="362"/>
      <c r="M29" s="362"/>
      <c r="N29" s="363"/>
    </row>
    <row r="30" spans="1:14" ht="5.0999999999999996" customHeight="1">
      <c r="A30" s="226"/>
      <c r="B30" s="161"/>
      <c r="C30" s="162"/>
      <c r="D30" s="162"/>
      <c r="E30" s="163"/>
      <c r="F30" s="161"/>
      <c r="G30" s="162"/>
      <c r="H30" s="164"/>
      <c r="I30" s="161"/>
      <c r="J30" s="162"/>
      <c r="K30" s="164"/>
      <c r="L30" s="163"/>
      <c r="M30" s="163"/>
      <c r="N30" s="164"/>
    </row>
    <row r="31" spans="1:14">
      <c r="A31" s="228" t="s">
        <v>223</v>
      </c>
      <c r="B31" s="161"/>
      <c r="C31" s="162"/>
      <c r="D31" s="162"/>
      <c r="E31" s="163"/>
      <c r="F31" s="161"/>
      <c r="G31" s="162"/>
      <c r="H31" s="164"/>
      <c r="I31" s="161"/>
      <c r="J31" s="162"/>
      <c r="K31" s="164"/>
      <c r="L31" s="163"/>
      <c r="M31" s="163"/>
      <c r="N31" s="164"/>
    </row>
    <row r="32" spans="1:14" s="364" customFormat="1" ht="9">
      <c r="A32" s="365" t="s">
        <v>211</v>
      </c>
      <c r="B32" s="360"/>
      <c r="C32" s="361"/>
      <c r="D32" s="361"/>
      <c r="E32" s="362"/>
      <c r="F32" s="360"/>
      <c r="G32" s="361"/>
      <c r="H32" s="363"/>
      <c r="I32" s="360"/>
      <c r="J32" s="361"/>
      <c r="K32" s="363"/>
      <c r="L32" s="362"/>
      <c r="M32" s="362"/>
      <c r="N32" s="363"/>
    </row>
    <row r="33" spans="1:14" s="364" customFormat="1" ht="9">
      <c r="A33" s="365" t="s">
        <v>209</v>
      </c>
      <c r="B33" s="360"/>
      <c r="C33" s="361"/>
      <c r="D33" s="361"/>
      <c r="E33" s="362"/>
      <c r="F33" s="360"/>
      <c r="G33" s="361"/>
      <c r="H33" s="363"/>
      <c r="I33" s="360"/>
      <c r="J33" s="361"/>
      <c r="K33" s="363"/>
      <c r="L33" s="362"/>
      <c r="M33" s="362"/>
      <c r="N33" s="363"/>
    </row>
    <row r="34" spans="1:14" s="364" customFormat="1" ht="9">
      <c r="A34" s="365" t="s">
        <v>212</v>
      </c>
      <c r="B34" s="360"/>
      <c r="C34" s="361"/>
      <c r="D34" s="361"/>
      <c r="E34" s="362"/>
      <c r="F34" s="360"/>
      <c r="G34" s="361"/>
      <c r="H34" s="363"/>
      <c r="I34" s="360"/>
      <c r="J34" s="361"/>
      <c r="K34" s="363"/>
      <c r="L34" s="362"/>
      <c r="M34" s="362"/>
      <c r="N34" s="363"/>
    </row>
    <row r="35" spans="1:14" s="364" customFormat="1" ht="9">
      <c r="A35" s="365" t="s">
        <v>213</v>
      </c>
      <c r="B35" s="360"/>
      <c r="C35" s="361"/>
      <c r="D35" s="361"/>
      <c r="E35" s="362"/>
      <c r="F35" s="360"/>
      <c r="G35" s="361"/>
      <c r="H35" s="363"/>
      <c r="I35" s="360"/>
      <c r="J35" s="361"/>
      <c r="K35" s="363"/>
      <c r="L35" s="362"/>
      <c r="M35" s="362"/>
      <c r="N35" s="363"/>
    </row>
    <row r="36" spans="1:14" ht="5.0999999999999996" customHeight="1">
      <c r="A36" s="226"/>
      <c r="B36" s="161"/>
      <c r="C36" s="162"/>
      <c r="D36" s="162"/>
      <c r="E36" s="163"/>
      <c r="F36" s="161"/>
      <c r="G36" s="162"/>
      <c r="H36" s="164"/>
      <c r="I36" s="161"/>
      <c r="J36" s="162"/>
      <c r="K36" s="164"/>
      <c r="L36" s="163"/>
      <c r="M36" s="163"/>
      <c r="N36" s="164"/>
    </row>
    <row r="37" spans="1:14">
      <c r="A37" s="228" t="s">
        <v>224</v>
      </c>
      <c r="B37" s="161"/>
      <c r="C37" s="162"/>
      <c r="D37" s="162"/>
      <c r="E37" s="163"/>
      <c r="F37" s="161"/>
      <c r="G37" s="162"/>
      <c r="H37" s="164"/>
      <c r="I37" s="161"/>
      <c r="J37" s="162"/>
      <c r="K37" s="164"/>
      <c r="L37" s="163"/>
      <c r="M37" s="163"/>
      <c r="N37" s="164"/>
    </row>
    <row r="38" spans="1:14" s="364" customFormat="1" ht="9">
      <c r="A38" s="365" t="s">
        <v>214</v>
      </c>
      <c r="B38" s="360"/>
      <c r="C38" s="361"/>
      <c r="D38" s="361"/>
      <c r="E38" s="362"/>
      <c r="F38" s="360"/>
      <c r="G38" s="361"/>
      <c r="H38" s="363"/>
      <c r="I38" s="360"/>
      <c r="J38" s="361"/>
      <c r="K38" s="363"/>
      <c r="L38" s="362"/>
      <c r="M38" s="362"/>
      <c r="N38" s="363"/>
    </row>
    <row r="39" spans="1:14" s="364" customFormat="1" ht="9">
      <c r="A39" s="365" t="s">
        <v>215</v>
      </c>
      <c r="B39" s="360"/>
      <c r="C39" s="361"/>
      <c r="D39" s="361"/>
      <c r="E39" s="362"/>
      <c r="F39" s="360"/>
      <c r="G39" s="361"/>
      <c r="H39" s="363"/>
      <c r="I39" s="360"/>
      <c r="J39" s="361"/>
      <c r="K39" s="363"/>
      <c r="L39" s="362"/>
      <c r="M39" s="362"/>
      <c r="N39" s="363"/>
    </row>
    <row r="40" spans="1:14" s="364" customFormat="1" ht="9">
      <c r="A40" s="365" t="s">
        <v>216</v>
      </c>
      <c r="B40" s="360"/>
      <c r="C40" s="361"/>
      <c r="D40" s="361"/>
      <c r="E40" s="362"/>
      <c r="F40" s="360"/>
      <c r="G40" s="361"/>
      <c r="H40" s="363"/>
      <c r="I40" s="360"/>
      <c r="J40" s="361"/>
      <c r="K40" s="363"/>
      <c r="L40" s="362"/>
      <c r="M40" s="362"/>
      <c r="N40" s="363"/>
    </row>
    <row r="41" spans="1:14" s="364" customFormat="1" ht="9">
      <c r="A41" s="365" t="s">
        <v>217</v>
      </c>
      <c r="B41" s="360"/>
      <c r="C41" s="361"/>
      <c r="D41" s="361"/>
      <c r="E41" s="362"/>
      <c r="F41" s="360"/>
      <c r="G41" s="361"/>
      <c r="H41" s="363"/>
      <c r="I41" s="360"/>
      <c r="J41" s="361"/>
      <c r="K41" s="363"/>
      <c r="L41" s="362"/>
      <c r="M41" s="362"/>
      <c r="N41" s="363"/>
    </row>
    <row r="42" spans="1:14" ht="5.0999999999999996" customHeight="1">
      <c r="A42" s="226"/>
      <c r="B42" s="161"/>
      <c r="C42" s="162"/>
      <c r="D42" s="162"/>
      <c r="E42" s="163"/>
      <c r="F42" s="161"/>
      <c r="G42" s="162"/>
      <c r="H42" s="164"/>
      <c r="I42" s="161"/>
      <c r="J42" s="738"/>
      <c r="K42" s="164"/>
      <c r="L42" s="163"/>
      <c r="M42" s="163"/>
      <c r="N42" s="164"/>
    </row>
    <row r="43" spans="1:14">
      <c r="A43" s="228" t="s">
        <v>225</v>
      </c>
      <c r="B43" s="161"/>
      <c r="C43" s="162"/>
      <c r="D43" s="162"/>
      <c r="E43" s="163"/>
      <c r="F43" s="161"/>
      <c r="G43" s="162"/>
      <c r="H43" s="164"/>
      <c r="I43" s="161"/>
      <c r="J43" s="162"/>
      <c r="K43" s="164"/>
      <c r="L43" s="163"/>
      <c r="M43" s="163"/>
      <c r="N43" s="164"/>
    </row>
    <row r="44" spans="1:14" s="364" customFormat="1" ht="9">
      <c r="A44" s="365" t="s">
        <v>218</v>
      </c>
      <c r="B44" s="360"/>
      <c r="C44" s="361"/>
      <c r="D44" s="361"/>
      <c r="E44" s="362"/>
      <c r="F44" s="360"/>
      <c r="G44" s="361"/>
      <c r="H44" s="363"/>
      <c r="I44" s="360"/>
      <c r="J44" s="361"/>
      <c r="K44" s="363"/>
      <c r="L44" s="362"/>
      <c r="M44" s="362"/>
      <c r="N44" s="363"/>
    </row>
    <row r="45" spans="1:14" s="366" customFormat="1" ht="9">
      <c r="A45" s="365" t="s">
        <v>219</v>
      </c>
      <c r="B45" s="360"/>
      <c r="C45" s="361"/>
      <c r="D45" s="361"/>
      <c r="E45" s="362"/>
      <c r="F45" s="360"/>
      <c r="G45" s="361"/>
      <c r="H45" s="363"/>
      <c r="I45" s="360"/>
      <c r="J45" s="361"/>
      <c r="K45" s="363"/>
      <c r="L45" s="362"/>
      <c r="M45" s="362"/>
      <c r="N45" s="363"/>
    </row>
    <row r="46" spans="1:14" ht="5.0999999999999996" customHeight="1" thickBot="1">
      <c r="A46" s="229"/>
      <c r="B46" s="161"/>
      <c r="C46" s="162"/>
      <c r="D46" s="162"/>
      <c r="E46" s="163"/>
      <c r="F46" s="161"/>
      <c r="G46" s="162"/>
      <c r="H46" s="164"/>
      <c r="I46" s="161"/>
      <c r="J46" s="162"/>
      <c r="K46" s="164"/>
      <c r="L46" s="163"/>
      <c r="M46" s="163"/>
      <c r="N46" s="164"/>
    </row>
    <row r="47" spans="1:14" s="82" customFormat="1" ht="5.0999999999999996" customHeight="1">
      <c r="A47" s="165"/>
      <c r="B47" s="177"/>
      <c r="C47" s="178"/>
      <c r="D47" s="184"/>
      <c r="E47" s="181"/>
      <c r="F47" s="177"/>
      <c r="G47" s="180"/>
      <c r="H47" s="181"/>
      <c r="I47" s="177"/>
      <c r="J47" s="178"/>
      <c r="K47" s="179"/>
      <c r="L47" s="180"/>
      <c r="M47" s="180"/>
      <c r="N47" s="181"/>
    </row>
    <row r="48" spans="1:14" s="82" customFormat="1" ht="12" thickBot="1">
      <c r="A48" s="166" t="s">
        <v>0</v>
      </c>
      <c r="B48" s="167"/>
      <c r="C48" s="168"/>
      <c r="D48" s="183"/>
      <c r="E48" s="170"/>
      <c r="F48" s="167"/>
      <c r="G48" s="169"/>
      <c r="H48" s="170"/>
      <c r="I48" s="167"/>
      <c r="J48" s="168"/>
      <c r="K48" s="176"/>
      <c r="L48" s="169"/>
      <c r="M48" s="169"/>
      <c r="N48" s="170"/>
    </row>
    <row r="49" spans="1:14" s="82" customFormat="1" ht="12.75" thickTop="1" thickBot="1">
      <c r="A49" s="171" t="s">
        <v>20</v>
      </c>
      <c r="B49" s="172"/>
      <c r="C49" s="173"/>
      <c r="D49" s="185"/>
      <c r="E49" s="175"/>
      <c r="F49" s="172"/>
      <c r="G49" s="174"/>
      <c r="H49" s="175"/>
      <c r="I49" s="172"/>
      <c r="J49" s="173"/>
      <c r="K49" s="182"/>
      <c r="L49" s="174"/>
      <c r="M49" s="174"/>
      <c r="N49" s="175"/>
    </row>
    <row r="50" spans="1:14" s="364" customFormat="1" ht="9">
      <c r="A50" s="367" t="s">
        <v>449</v>
      </c>
      <c r="B50" s="367"/>
      <c r="C50" s="367"/>
      <c r="D50" s="367"/>
      <c r="E50" s="367"/>
      <c r="F50" s="367"/>
      <c r="G50" s="367"/>
      <c r="H50" s="367"/>
      <c r="I50" s="367"/>
      <c r="J50" s="367"/>
      <c r="K50" s="367"/>
      <c r="L50" s="367"/>
      <c r="M50" s="367"/>
      <c r="N50" s="367"/>
    </row>
    <row r="51" spans="1:14" s="364" customFormat="1" ht="9">
      <c r="A51" s="367" t="s">
        <v>450</v>
      </c>
      <c r="B51" s="367"/>
      <c r="C51" s="367"/>
      <c r="D51" s="367"/>
      <c r="E51" s="367"/>
      <c r="F51" s="367"/>
      <c r="G51" s="367"/>
      <c r="H51" s="367"/>
      <c r="I51" s="367"/>
      <c r="J51" s="367"/>
      <c r="K51" s="367"/>
      <c r="L51" s="367"/>
      <c r="M51" s="367"/>
      <c r="N51" s="367"/>
    </row>
    <row r="58" spans="1:14" ht="15">
      <c r="D58" s="356"/>
    </row>
  </sheetData>
  <mergeCells count="4">
    <mergeCell ref="I3:N3"/>
    <mergeCell ref="B3:E3"/>
    <mergeCell ref="F3:H3"/>
    <mergeCell ref="A3:A4"/>
  </mergeCells>
  <printOptions horizontalCentered="1"/>
  <pageMargins left="0.19685039370078741" right="0.19685039370078741" top="0.78740157480314965" bottom="0.78740157480314965" header="0.19685039370078741" footer="0.19685039370078741"/>
  <pageSetup paperSize="9" orientation="landscape" r:id="rId1"/>
  <headerFooter alignWithMargins="0">
    <oddHeader>&amp;C&amp;"Arial,Negrita"&amp;18FORMATOS DEL PROYECTO DE PRESUPUESTO 2021</oddHeader>
    <oddFooter>&amp;L&amp;"Arial,Negrita"&amp;8PROYECTO DE PRESUPUESTO PARA EL AÑO FISCAL 2021
INFORMACIÓN PARA LA COMISIÓN DE PRESUPUESTO Y CUENTA GENERAL DE LA REPÚBLICA DEL CONGRESO DE LA REPÚBLICA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rgb="FF002060"/>
  </sheetPr>
  <dimension ref="A1:V105"/>
  <sheetViews>
    <sheetView view="pageBreakPreview" zoomScaleNormal="100" zoomScaleSheetLayoutView="100" workbookViewId="0">
      <pane xSplit="1" ySplit="4" topLeftCell="B5" activePane="bottomRight" state="frozen"/>
      <selection activeCell="B8" sqref="B8"/>
      <selection pane="topRight" activeCell="B8" sqref="B8"/>
      <selection pane="bottomLeft" activeCell="B8" sqref="B8"/>
      <selection pane="bottomRight" activeCell="B8" sqref="B8"/>
    </sheetView>
  </sheetViews>
  <sheetFormatPr baseColWidth="10" defaultColWidth="11.28515625" defaultRowHeight="11.25"/>
  <cols>
    <col min="1" max="1" width="13.7109375" style="83" customWidth="1"/>
    <col min="2" max="2" width="2.28515625" style="83" customWidth="1"/>
    <col min="3" max="5" width="10.85546875" style="83" bestFit="1" customWidth="1"/>
    <col min="6" max="6" width="9.5703125" style="83" bestFit="1" customWidth="1"/>
    <col min="7" max="7" width="8.7109375" style="83" bestFit="1" customWidth="1"/>
    <col min="8" max="8" width="10.85546875" style="83" bestFit="1" customWidth="1"/>
    <col min="9" max="9" width="9.5703125" style="83" bestFit="1" customWidth="1"/>
    <col min="10" max="10" width="2.28515625" style="83" customWidth="1"/>
    <col min="11" max="11" width="9.5703125" style="83" bestFit="1" customWidth="1"/>
    <col min="12" max="12" width="2.28515625" style="83" customWidth="1"/>
    <col min="13" max="15" width="9.5703125" style="83" bestFit="1" customWidth="1"/>
    <col min="16" max="16" width="10.85546875" style="83" bestFit="1" customWidth="1"/>
    <col min="17" max="17" width="6" style="83" bestFit="1" customWidth="1"/>
    <col min="18" max="16384" width="11.28515625" style="83"/>
  </cols>
  <sheetData>
    <row r="1" spans="1:22" s="82" customFormat="1">
      <c r="A1" s="80" t="s">
        <v>451</v>
      </c>
      <c r="B1" s="357"/>
      <c r="C1" s="357"/>
      <c r="D1" s="357"/>
      <c r="E1" s="357"/>
      <c r="F1" s="358"/>
      <c r="G1" s="358"/>
      <c r="H1" s="358"/>
      <c r="I1" s="358"/>
      <c r="J1" s="358"/>
      <c r="K1" s="358"/>
      <c r="L1" s="358"/>
      <c r="M1" s="358"/>
      <c r="N1" s="358"/>
      <c r="O1" s="358"/>
      <c r="P1" s="358"/>
      <c r="Q1" s="358"/>
    </row>
    <row r="2" spans="1:22" s="82" customFormat="1" ht="12" thickBot="1">
      <c r="A2" s="81" t="s">
        <v>382</v>
      </c>
      <c r="B2" s="81"/>
      <c r="C2" s="81"/>
      <c r="D2" s="81"/>
      <c r="E2" s="81"/>
      <c r="F2" s="81"/>
      <c r="G2" s="81"/>
      <c r="H2" s="81"/>
      <c r="I2" s="81"/>
      <c r="J2" s="81"/>
      <c r="K2" s="81"/>
      <c r="L2" s="81"/>
      <c r="M2" s="81"/>
      <c r="N2" s="81"/>
      <c r="O2" s="81"/>
      <c r="P2" s="81"/>
      <c r="Q2" s="81"/>
      <c r="R2" s="81"/>
      <c r="S2" s="81"/>
      <c r="T2" s="81"/>
      <c r="U2" s="81"/>
      <c r="V2" s="81"/>
    </row>
    <row r="3" spans="1:22" ht="12" thickBot="1">
      <c r="A3" s="1975" t="s">
        <v>1</v>
      </c>
      <c r="B3" s="1973" t="s">
        <v>452</v>
      </c>
      <c r="C3" s="1974"/>
      <c r="D3" s="1974"/>
      <c r="E3" s="1974"/>
      <c r="F3" s="1974"/>
      <c r="G3" s="1974"/>
      <c r="H3" s="1972"/>
      <c r="I3" s="1971" t="s">
        <v>453</v>
      </c>
      <c r="J3" s="1974"/>
      <c r="K3" s="1974"/>
      <c r="L3" s="1974"/>
      <c r="M3" s="1972"/>
      <c r="N3" s="1971" t="s">
        <v>454</v>
      </c>
      <c r="O3" s="1972"/>
      <c r="P3" s="1971" t="s">
        <v>0</v>
      </c>
      <c r="Q3" s="1972"/>
    </row>
    <row r="4" spans="1:22" s="98" customFormat="1" ht="62.25" customHeight="1" thickBot="1">
      <c r="A4" s="1976"/>
      <c r="B4" s="117" t="s">
        <v>246</v>
      </c>
      <c r="C4" s="118" t="s">
        <v>247</v>
      </c>
      <c r="D4" s="117" t="s">
        <v>248</v>
      </c>
      <c r="E4" s="117" t="s">
        <v>249</v>
      </c>
      <c r="F4" s="117" t="s">
        <v>250</v>
      </c>
      <c r="G4" s="116" t="s">
        <v>251</v>
      </c>
      <c r="H4" s="116" t="s">
        <v>252</v>
      </c>
      <c r="I4" s="117" t="s">
        <v>253</v>
      </c>
      <c r="J4" s="116" t="s">
        <v>251</v>
      </c>
      <c r="K4" s="116" t="s">
        <v>254</v>
      </c>
      <c r="L4" s="116" t="s">
        <v>255</v>
      </c>
      <c r="M4" s="116" t="s">
        <v>256</v>
      </c>
      <c r="N4" s="116" t="s">
        <v>257</v>
      </c>
      <c r="O4" s="118" t="s">
        <v>258</v>
      </c>
      <c r="P4" s="117" t="s">
        <v>19</v>
      </c>
      <c r="Q4" s="116" t="s">
        <v>21</v>
      </c>
    </row>
    <row r="5" spans="1:22" ht="13.5" customHeight="1">
      <c r="A5" s="99"/>
      <c r="B5" s="91"/>
      <c r="C5" s="92"/>
      <c r="D5" s="91"/>
      <c r="E5" s="93"/>
      <c r="F5" s="93"/>
      <c r="G5" s="93"/>
      <c r="H5" s="93"/>
      <c r="I5" s="93"/>
      <c r="J5" s="93"/>
      <c r="K5" s="93"/>
      <c r="L5" s="93"/>
      <c r="M5" s="93"/>
      <c r="N5" s="93"/>
      <c r="O5" s="93"/>
      <c r="P5" s="92"/>
      <c r="Q5" s="232"/>
    </row>
    <row r="6" spans="1:22" ht="22.5">
      <c r="A6" s="377" t="s">
        <v>32</v>
      </c>
      <c r="B6" s="378"/>
      <c r="C6" s="379">
        <v>3824182768</v>
      </c>
      <c r="D6" s="378">
        <v>1308713336</v>
      </c>
      <c r="E6" s="380">
        <v>1290813287</v>
      </c>
      <c r="F6" s="380">
        <v>164006300</v>
      </c>
      <c r="G6" s="380">
        <v>15817990</v>
      </c>
      <c r="H6" s="380">
        <f>SUM(B6:G6)</f>
        <v>6603533681</v>
      </c>
      <c r="I6" s="380"/>
      <c r="J6" s="380"/>
      <c r="K6" s="380">
        <v>11801202</v>
      </c>
      <c r="L6" s="380"/>
      <c r="M6" s="380">
        <f>SUM(I6:L6)</f>
        <v>11801202</v>
      </c>
      <c r="N6" s="380"/>
      <c r="O6" s="380">
        <f>SUM(N6)</f>
        <v>0</v>
      </c>
      <c r="P6" s="379">
        <f>SUM(O6,M6,H6)</f>
        <v>6615334883</v>
      </c>
      <c r="Q6" s="381">
        <f>IFERROR(P6/$P$19, "")</f>
        <v>0.89065245182132191</v>
      </c>
    </row>
    <row r="7" spans="1:22">
      <c r="A7" s="234"/>
      <c r="B7" s="91"/>
      <c r="C7" s="92"/>
      <c r="D7" s="91"/>
      <c r="E7" s="93"/>
      <c r="F7" s="93"/>
      <c r="G7" s="93"/>
      <c r="H7" s="93"/>
      <c r="I7" s="93"/>
      <c r="J7" s="93"/>
      <c r="K7" s="93"/>
      <c r="L7" s="93"/>
      <c r="M7" s="93"/>
      <c r="N7" s="93"/>
      <c r="O7" s="93"/>
      <c r="P7" s="92"/>
      <c r="Q7" s="232"/>
    </row>
    <row r="8" spans="1:22" ht="33.75">
      <c r="A8" s="377" t="s">
        <v>33</v>
      </c>
      <c r="B8" s="378"/>
      <c r="C8" s="379">
        <v>800005</v>
      </c>
      <c r="D8" s="378">
        <v>2000</v>
      </c>
      <c r="E8" s="380">
        <v>260124241</v>
      </c>
      <c r="F8" s="380">
        <v>241316</v>
      </c>
      <c r="G8" s="380">
        <v>7569136</v>
      </c>
      <c r="H8" s="380">
        <f>SUM(B8:G8)</f>
        <v>268736698</v>
      </c>
      <c r="I8" s="380"/>
      <c r="J8" s="380"/>
      <c r="K8" s="380"/>
      <c r="L8" s="380"/>
      <c r="M8" s="380">
        <f>SUM(I8:L8)</f>
        <v>0</v>
      </c>
      <c r="N8" s="380">
        <v>2082720</v>
      </c>
      <c r="O8" s="380">
        <f>SUM(N8)</f>
        <v>2082720</v>
      </c>
      <c r="P8" s="379">
        <f>SUM(O8,M8,H8)</f>
        <v>270819418</v>
      </c>
      <c r="Q8" s="381">
        <f>IFERROR(P8/$P$19, "")</f>
        <v>3.6461642971752098E-2</v>
      </c>
    </row>
    <row r="9" spans="1:22">
      <c r="A9" s="234"/>
      <c r="B9" s="91"/>
      <c r="C9" s="92"/>
      <c r="D9" s="91"/>
      <c r="E9" s="93"/>
      <c r="F9" s="93"/>
      <c r="G9" s="93"/>
      <c r="H9" s="93"/>
      <c r="I9" s="93"/>
      <c r="J9" s="93"/>
      <c r="K9" s="93"/>
      <c r="L9" s="93"/>
      <c r="M9" s="93"/>
      <c r="N9" s="93"/>
      <c r="O9" s="93"/>
      <c r="P9" s="92"/>
      <c r="Q9" s="232"/>
    </row>
    <row r="10" spans="1:22" ht="45">
      <c r="A10" s="377" t="s">
        <v>383</v>
      </c>
      <c r="B10" s="378"/>
      <c r="C10" s="379"/>
      <c r="D10" s="378"/>
      <c r="E10" s="380"/>
      <c r="F10" s="380"/>
      <c r="G10" s="380"/>
      <c r="H10" s="380">
        <f>SUM(B10:G10)</f>
        <v>0</v>
      </c>
      <c r="I10" s="380">
        <v>100000000</v>
      </c>
      <c r="J10" s="380"/>
      <c r="K10" s="380">
        <v>113824977</v>
      </c>
      <c r="L10" s="380"/>
      <c r="M10" s="380">
        <f>SUM(I10:L10)</f>
        <v>213824977</v>
      </c>
      <c r="N10" s="380"/>
      <c r="O10" s="380">
        <f>SUM(N10)</f>
        <v>0</v>
      </c>
      <c r="P10" s="379">
        <f>SUM(O10,M10,H10)</f>
        <v>213824977</v>
      </c>
      <c r="Q10" s="381">
        <f>IFERROR(P10/$P$19, "")</f>
        <v>2.878822363401248E-2</v>
      </c>
    </row>
    <row r="11" spans="1:22">
      <c r="A11" s="235"/>
      <c r="B11" s="91"/>
      <c r="C11" s="94"/>
      <c r="D11" s="95"/>
      <c r="E11" s="100"/>
      <c r="F11" s="100"/>
      <c r="G11" s="93"/>
      <c r="H11" s="93"/>
      <c r="I11" s="93"/>
      <c r="J11" s="93"/>
      <c r="K11" s="93"/>
      <c r="L11" s="93"/>
      <c r="M11" s="93"/>
      <c r="N11" s="93"/>
      <c r="O11" s="93"/>
      <c r="P11" s="92"/>
      <c r="Q11" s="232"/>
    </row>
    <row r="12" spans="1:22" ht="22.5">
      <c r="A12" s="377" t="s">
        <v>34</v>
      </c>
      <c r="B12" s="378"/>
      <c r="C12" s="379">
        <v>10841248</v>
      </c>
      <c r="D12" s="378"/>
      <c r="E12" s="380">
        <v>17674207</v>
      </c>
      <c r="F12" s="380"/>
      <c r="G12" s="380"/>
      <c r="H12" s="380">
        <f>SUM(B12:G12)</f>
        <v>28515455</v>
      </c>
      <c r="I12" s="380"/>
      <c r="J12" s="380"/>
      <c r="K12" s="380">
        <v>3706806</v>
      </c>
      <c r="L12" s="380"/>
      <c r="M12" s="380">
        <f>SUM(I12:L12)</f>
        <v>3706806</v>
      </c>
      <c r="N12" s="380"/>
      <c r="O12" s="380">
        <f>SUM(N12)</f>
        <v>0</v>
      </c>
      <c r="P12" s="379">
        <f>SUM(O12,M12,H12)</f>
        <v>32222261</v>
      </c>
      <c r="Q12" s="381">
        <f>IFERROR(P12/$P$19, "")</f>
        <v>4.3382287171321362E-3</v>
      </c>
    </row>
    <row r="13" spans="1:22">
      <c r="A13" s="234"/>
      <c r="B13" s="91"/>
      <c r="C13" s="92"/>
      <c r="D13" s="91"/>
      <c r="E13" s="93"/>
      <c r="F13" s="93"/>
      <c r="G13" s="93"/>
      <c r="H13" s="93"/>
      <c r="I13" s="93"/>
      <c r="J13" s="93"/>
      <c r="K13" s="93"/>
      <c r="L13" s="93"/>
      <c r="M13" s="93"/>
      <c r="N13" s="93"/>
      <c r="O13" s="93"/>
      <c r="P13" s="92"/>
      <c r="Q13" s="232"/>
    </row>
    <row r="14" spans="1:22" ht="22.5">
      <c r="A14" s="377" t="s">
        <v>35</v>
      </c>
      <c r="B14" s="378"/>
      <c r="C14" s="379"/>
      <c r="D14" s="378"/>
      <c r="E14" s="380"/>
      <c r="F14" s="380"/>
      <c r="G14" s="380"/>
      <c r="H14" s="380"/>
      <c r="I14" s="380"/>
      <c r="J14" s="380"/>
      <c r="K14" s="380"/>
      <c r="L14" s="380"/>
      <c r="M14" s="380"/>
      <c r="N14" s="380"/>
      <c r="O14" s="380"/>
      <c r="P14" s="379"/>
      <c r="Q14" s="381">
        <f>IFERROR(P14/$P$19, "")</f>
        <v>0</v>
      </c>
    </row>
    <row r="15" spans="1:22" ht="33.75">
      <c r="A15" s="234" t="s">
        <v>36</v>
      </c>
      <c r="B15" s="91"/>
      <c r="C15" s="92"/>
      <c r="D15" s="91"/>
      <c r="E15" s="93"/>
      <c r="F15" s="93"/>
      <c r="G15" s="93"/>
      <c r="H15" s="93">
        <f>SUM(B15:G15)</f>
        <v>0</v>
      </c>
      <c r="I15" s="93"/>
      <c r="J15" s="93"/>
      <c r="K15" s="93">
        <v>92547031</v>
      </c>
      <c r="L15" s="93"/>
      <c r="M15" s="93">
        <f>SUM(I15:L15)</f>
        <v>92547031</v>
      </c>
      <c r="N15" s="93">
        <v>202766921</v>
      </c>
      <c r="O15" s="93">
        <f>SUM(N15)</f>
        <v>202766921</v>
      </c>
      <c r="P15" s="92">
        <f>SUM(O15,M15,H15)</f>
        <v>295313952</v>
      </c>
      <c r="Q15" s="232">
        <f>IFERROR(P15/$P$19, "")</f>
        <v>3.9759452855781328E-2</v>
      </c>
    </row>
    <row r="16" spans="1:22" ht="22.5">
      <c r="A16" s="234" t="s">
        <v>37</v>
      </c>
      <c r="B16" s="91"/>
      <c r="C16" s="92"/>
      <c r="D16" s="91"/>
      <c r="E16" s="93"/>
      <c r="F16" s="93"/>
      <c r="G16" s="93"/>
      <c r="H16" s="93"/>
      <c r="I16" s="93"/>
      <c r="J16" s="93"/>
      <c r="K16" s="93"/>
      <c r="L16" s="93"/>
      <c r="M16" s="93"/>
      <c r="N16" s="93"/>
      <c r="O16" s="93"/>
      <c r="P16" s="92"/>
      <c r="Q16" s="232">
        <f>IFERROR(P16/$P$19, "")</f>
        <v>0</v>
      </c>
    </row>
    <row r="17" spans="1:17" ht="22.5">
      <c r="A17" s="234" t="s">
        <v>80</v>
      </c>
      <c r="B17" s="91"/>
      <c r="C17" s="92"/>
      <c r="D17" s="91"/>
      <c r="E17" s="93"/>
      <c r="F17" s="93"/>
      <c r="G17" s="93"/>
      <c r="H17" s="93"/>
      <c r="I17" s="93"/>
      <c r="J17" s="93"/>
      <c r="K17" s="93"/>
      <c r="L17" s="93"/>
      <c r="M17" s="93"/>
      <c r="N17" s="93"/>
      <c r="O17" s="93"/>
      <c r="P17" s="92"/>
      <c r="Q17" s="232">
        <f>IFERROR(P17/$P$19, "")</f>
        <v>0</v>
      </c>
    </row>
    <row r="18" spans="1:17" ht="12" thickBot="1">
      <c r="A18" s="96"/>
      <c r="B18" s="230"/>
      <c r="C18" s="92"/>
      <c r="D18" s="91"/>
      <c r="E18" s="93"/>
      <c r="F18" s="93"/>
      <c r="G18" s="93"/>
      <c r="H18" s="93"/>
      <c r="I18" s="93"/>
      <c r="J18" s="93"/>
      <c r="K18" s="93"/>
      <c r="L18" s="93"/>
      <c r="M18" s="93"/>
      <c r="N18" s="93"/>
      <c r="O18" s="93"/>
      <c r="P18" s="92"/>
      <c r="Q18" s="232"/>
    </row>
    <row r="19" spans="1:17" ht="12" thickBot="1">
      <c r="A19" s="102" t="s">
        <v>0</v>
      </c>
      <c r="B19" s="231">
        <f>SUM(B5:B18)</f>
        <v>0</v>
      </c>
      <c r="C19" s="231">
        <f t="shared" ref="C19:P19" si="0">SUM(C5:C18)</f>
        <v>3835824021</v>
      </c>
      <c r="D19" s="231">
        <f t="shared" si="0"/>
        <v>1308715336</v>
      </c>
      <c r="E19" s="231">
        <f t="shared" si="0"/>
        <v>1568611735</v>
      </c>
      <c r="F19" s="231">
        <f t="shared" si="0"/>
        <v>164247616</v>
      </c>
      <c r="G19" s="231">
        <f t="shared" si="0"/>
        <v>23387126</v>
      </c>
      <c r="H19" s="231">
        <f t="shared" si="0"/>
        <v>6900785834</v>
      </c>
      <c r="I19" s="231">
        <f t="shared" si="0"/>
        <v>100000000</v>
      </c>
      <c r="J19" s="231">
        <f t="shared" si="0"/>
        <v>0</v>
      </c>
      <c r="K19" s="231">
        <f t="shared" si="0"/>
        <v>221880016</v>
      </c>
      <c r="L19" s="231">
        <f t="shared" si="0"/>
        <v>0</v>
      </c>
      <c r="M19" s="231">
        <f t="shared" si="0"/>
        <v>321880016</v>
      </c>
      <c r="N19" s="231">
        <f t="shared" si="0"/>
        <v>204849641</v>
      </c>
      <c r="O19" s="231">
        <f t="shared" si="0"/>
        <v>204849641</v>
      </c>
      <c r="P19" s="231">
        <f t="shared" si="0"/>
        <v>7427515491</v>
      </c>
      <c r="Q19" s="233">
        <f>IFERROR(P19/$P$19, "")</f>
        <v>1</v>
      </c>
    </row>
    <row r="20" spans="1:17" ht="12" thickBot="1">
      <c r="A20" s="87"/>
      <c r="B20" s="101"/>
      <c r="C20" s="101"/>
      <c r="D20" s="101"/>
      <c r="E20" s="101"/>
      <c r="F20" s="101"/>
      <c r="G20" s="101"/>
      <c r="H20" s="101"/>
      <c r="I20" s="101"/>
      <c r="J20" s="101"/>
      <c r="K20" s="101"/>
      <c r="L20" s="101"/>
      <c r="M20" s="101"/>
      <c r="N20" s="101"/>
      <c r="O20" s="101"/>
      <c r="P20" s="101"/>
      <c r="Q20" s="101"/>
    </row>
    <row r="21" spans="1:17" s="112" customFormat="1" ht="13.5" customHeight="1" thickBot="1">
      <c r="A21" s="1977" t="s">
        <v>384</v>
      </c>
      <c r="B21" s="1978"/>
      <c r="C21" s="1978"/>
      <c r="D21" s="1978"/>
      <c r="E21" s="1978"/>
      <c r="F21" s="1978"/>
      <c r="G21" s="1978"/>
      <c r="H21" s="1978"/>
      <c r="I21" s="1978"/>
      <c r="J21" s="1978"/>
      <c r="K21" s="1978"/>
      <c r="L21" s="1978"/>
      <c r="M21" s="1978"/>
      <c r="N21" s="1978"/>
      <c r="O21" s="1978"/>
      <c r="P21" s="1978"/>
      <c r="Q21" s="1979"/>
    </row>
    <row r="22" spans="1:17">
      <c r="A22" s="99"/>
      <c r="B22" s="91"/>
      <c r="C22" s="92"/>
      <c r="D22" s="91"/>
      <c r="E22" s="93"/>
      <c r="F22" s="93"/>
      <c r="G22" s="93"/>
      <c r="H22" s="93"/>
      <c r="I22" s="93"/>
      <c r="J22" s="93"/>
      <c r="K22" s="93"/>
      <c r="L22" s="93"/>
      <c r="M22" s="93"/>
      <c r="N22" s="93"/>
      <c r="O22" s="93"/>
      <c r="P22" s="92"/>
      <c r="Q22" s="232"/>
    </row>
    <row r="23" spans="1:17" ht="22.5">
      <c r="A23" s="377" t="s">
        <v>32</v>
      </c>
      <c r="B23" s="378"/>
      <c r="C23" s="379">
        <v>3822152344</v>
      </c>
      <c r="D23" s="378">
        <v>1293007049</v>
      </c>
      <c r="E23" s="380">
        <v>1225992498</v>
      </c>
      <c r="F23" s="380">
        <v>6300</v>
      </c>
      <c r="G23" s="380">
        <v>15777034</v>
      </c>
      <c r="H23" s="380">
        <f>SUM(B23:G23)</f>
        <v>6356935225</v>
      </c>
      <c r="I23" s="380"/>
      <c r="J23" s="380"/>
      <c r="K23" s="380">
        <v>11801202</v>
      </c>
      <c r="L23" s="380"/>
      <c r="M23" s="380">
        <f>SUM(I23:L23)</f>
        <v>11801202</v>
      </c>
      <c r="N23" s="380"/>
      <c r="O23" s="380">
        <f>SUM(N23)</f>
        <v>0</v>
      </c>
      <c r="P23" s="379">
        <f>SUM(O23,M23,H23)</f>
        <v>6368736427</v>
      </c>
      <c r="Q23" s="381">
        <f>IFERROR(P23/$P$36, "")</f>
        <v>0.90304518606565087</v>
      </c>
    </row>
    <row r="24" spans="1:17">
      <c r="A24" s="234"/>
      <c r="B24" s="91"/>
      <c r="C24" s="92"/>
      <c r="D24" s="91"/>
      <c r="E24" s="93"/>
      <c r="F24" s="93"/>
      <c r="G24" s="93"/>
      <c r="H24" s="93"/>
      <c r="I24" s="93"/>
      <c r="J24" s="93"/>
      <c r="K24" s="93"/>
      <c r="L24" s="93"/>
      <c r="M24" s="93"/>
      <c r="N24" s="93"/>
      <c r="O24" s="93"/>
      <c r="P24" s="92"/>
      <c r="Q24" s="232"/>
    </row>
    <row r="25" spans="1:17" ht="33.75">
      <c r="A25" s="377" t="s">
        <v>33</v>
      </c>
      <c r="B25" s="378"/>
      <c r="C25" s="379">
        <v>800005</v>
      </c>
      <c r="D25" s="378">
        <v>2000</v>
      </c>
      <c r="E25" s="380">
        <v>256471371</v>
      </c>
      <c r="F25" s="380">
        <v>230555</v>
      </c>
      <c r="G25" s="380">
        <v>7500333</v>
      </c>
      <c r="H25" s="380">
        <f>SUM(B25:G25)</f>
        <v>265004264</v>
      </c>
      <c r="I25" s="380"/>
      <c r="J25" s="380"/>
      <c r="K25" s="380"/>
      <c r="L25" s="380"/>
      <c r="M25" s="380">
        <f>SUM(I25:L25)</f>
        <v>0</v>
      </c>
      <c r="N25" s="380">
        <v>2082720</v>
      </c>
      <c r="O25" s="380">
        <f>SUM(N25)</f>
        <v>2082720</v>
      </c>
      <c r="P25" s="379">
        <f>SUM(O25,M25,H25)</f>
        <v>267086984</v>
      </c>
      <c r="Q25" s="381">
        <f>IFERROR(P25/$P$36, "")</f>
        <v>3.7871188096193061E-2</v>
      </c>
    </row>
    <row r="26" spans="1:17">
      <c r="A26" s="234"/>
      <c r="B26" s="91"/>
      <c r="C26" s="92"/>
      <c r="D26" s="91"/>
      <c r="E26" s="93"/>
      <c r="F26" s="93"/>
      <c r="G26" s="93"/>
      <c r="H26" s="93"/>
      <c r="I26" s="93"/>
      <c r="J26" s="93"/>
      <c r="K26" s="93"/>
      <c r="L26" s="93"/>
      <c r="M26" s="93"/>
      <c r="N26" s="93"/>
      <c r="O26" s="93"/>
      <c r="P26" s="92"/>
      <c r="Q26" s="232"/>
    </row>
    <row r="27" spans="1:17" ht="45">
      <c r="A27" s="377" t="s">
        <v>383</v>
      </c>
      <c r="B27" s="378"/>
      <c r="C27" s="379"/>
      <c r="D27" s="378"/>
      <c r="E27" s="380"/>
      <c r="F27" s="380"/>
      <c r="G27" s="380"/>
      <c r="H27" s="380">
        <f>SUM(B27:G27)</f>
        <v>0</v>
      </c>
      <c r="I27" s="380"/>
      <c r="J27" s="380"/>
      <c r="K27" s="380">
        <v>93151729</v>
      </c>
      <c r="L27" s="380"/>
      <c r="M27" s="380">
        <f>SUM(I27:L27)</f>
        <v>93151729</v>
      </c>
      <c r="N27" s="380"/>
      <c r="O27" s="380">
        <f>SUM(N27)</f>
        <v>0</v>
      </c>
      <c r="P27" s="379">
        <f>SUM(O27,M27,H27)</f>
        <v>93151729</v>
      </c>
      <c r="Q27" s="381">
        <f>IFERROR(P27/$P$36, "")</f>
        <v>1.3208306139113847E-2</v>
      </c>
    </row>
    <row r="28" spans="1:17">
      <c r="A28" s="235"/>
      <c r="B28" s="91"/>
      <c r="C28" s="94"/>
      <c r="D28" s="95"/>
      <c r="E28" s="100"/>
      <c r="F28" s="100"/>
      <c r="G28" s="93"/>
      <c r="H28" s="93"/>
      <c r="I28" s="93"/>
      <c r="J28" s="93"/>
      <c r="K28" s="93"/>
      <c r="L28" s="93"/>
      <c r="M28" s="93"/>
      <c r="N28" s="93"/>
      <c r="O28" s="93"/>
      <c r="P28" s="92"/>
      <c r="Q28" s="232"/>
    </row>
    <row r="29" spans="1:17" ht="22.5">
      <c r="A29" s="377" t="s">
        <v>34</v>
      </c>
      <c r="B29" s="378"/>
      <c r="C29" s="379">
        <v>10841248</v>
      </c>
      <c r="D29" s="378"/>
      <c r="E29" s="380">
        <v>17381013</v>
      </c>
      <c r="F29" s="380"/>
      <c r="G29" s="380"/>
      <c r="H29" s="380">
        <f>SUM(B29:G29)</f>
        <v>28222261</v>
      </c>
      <c r="I29" s="380"/>
      <c r="J29" s="380"/>
      <c r="K29" s="380"/>
      <c r="L29" s="380"/>
      <c r="M29" s="380">
        <f>SUM(I29:L29)</f>
        <v>0</v>
      </c>
      <c r="N29" s="380"/>
      <c r="O29" s="380">
        <f>SUM(N29)</f>
        <v>0</v>
      </c>
      <c r="P29" s="379">
        <f>SUM(O29,M29,H29)</f>
        <v>28222261</v>
      </c>
      <c r="Q29" s="381">
        <f>IFERROR(P29/$P$36, "")</f>
        <v>4.0017320905119573E-3</v>
      </c>
    </row>
    <row r="30" spans="1:17">
      <c r="A30" s="234"/>
      <c r="B30" s="91"/>
      <c r="C30" s="92"/>
      <c r="D30" s="91"/>
      <c r="E30" s="93"/>
      <c r="F30" s="93"/>
      <c r="G30" s="93"/>
      <c r="H30" s="93"/>
      <c r="I30" s="93"/>
      <c r="J30" s="93"/>
      <c r="K30" s="93"/>
      <c r="L30" s="93"/>
      <c r="M30" s="93"/>
      <c r="N30" s="93"/>
      <c r="O30" s="93"/>
      <c r="P30" s="92"/>
      <c r="Q30" s="232"/>
    </row>
    <row r="31" spans="1:17" ht="22.5">
      <c r="A31" s="377" t="s">
        <v>35</v>
      </c>
      <c r="B31" s="378"/>
      <c r="C31" s="379"/>
      <c r="D31" s="378"/>
      <c r="E31" s="380"/>
      <c r="F31" s="380"/>
      <c r="G31" s="380"/>
      <c r="H31" s="380"/>
      <c r="I31" s="380"/>
      <c r="J31" s="380"/>
      <c r="K31" s="380"/>
      <c r="L31" s="380"/>
      <c r="M31" s="380"/>
      <c r="N31" s="380"/>
      <c r="O31" s="380"/>
      <c r="P31" s="379"/>
      <c r="Q31" s="381">
        <f>IFERROR(P31/$P$36, "")</f>
        <v>0</v>
      </c>
    </row>
    <row r="32" spans="1:17" ht="33.75">
      <c r="A32" s="234" t="s">
        <v>36</v>
      </c>
      <c r="B32" s="91"/>
      <c r="C32" s="92"/>
      <c r="D32" s="91"/>
      <c r="E32" s="93"/>
      <c r="F32" s="93"/>
      <c r="G32" s="93"/>
      <c r="H32" s="93">
        <f>SUM(B32:G32)</f>
        <v>0</v>
      </c>
      <c r="I32" s="93"/>
      <c r="J32" s="93"/>
      <c r="K32" s="93">
        <v>92547031</v>
      </c>
      <c r="L32" s="93"/>
      <c r="M32" s="93">
        <f>SUM(I32:L32)</f>
        <v>92547031</v>
      </c>
      <c r="N32" s="93">
        <v>202766921</v>
      </c>
      <c r="O32" s="93">
        <f>SUM(N32)</f>
        <v>202766921</v>
      </c>
      <c r="P32" s="92">
        <f>SUM(O32,M32,H32)</f>
        <v>295313952</v>
      </c>
      <c r="Q32" s="232">
        <f t="shared" ref="Q32:Q34" si="1">IFERROR(P32/$P$36, "")</f>
        <v>4.1873587608530292E-2</v>
      </c>
    </row>
    <row r="33" spans="1:17" ht="22.5">
      <c r="A33" s="234" t="s">
        <v>37</v>
      </c>
      <c r="B33" s="91"/>
      <c r="C33" s="92"/>
      <c r="D33" s="91"/>
      <c r="E33" s="93"/>
      <c r="F33" s="93"/>
      <c r="G33" s="93"/>
      <c r="H33" s="93"/>
      <c r="I33" s="93"/>
      <c r="J33" s="93"/>
      <c r="K33" s="93"/>
      <c r="L33" s="93"/>
      <c r="M33" s="93"/>
      <c r="N33" s="93"/>
      <c r="O33" s="93"/>
      <c r="P33" s="92"/>
      <c r="Q33" s="232">
        <f t="shared" si="1"/>
        <v>0</v>
      </c>
    </row>
    <row r="34" spans="1:17" ht="22.5">
      <c r="A34" s="234" t="s">
        <v>80</v>
      </c>
      <c r="B34" s="91"/>
      <c r="C34" s="92"/>
      <c r="D34" s="91"/>
      <c r="E34" s="93"/>
      <c r="F34" s="93"/>
      <c r="G34" s="93"/>
      <c r="H34" s="93"/>
      <c r="I34" s="93"/>
      <c r="J34" s="93"/>
      <c r="K34" s="93"/>
      <c r="L34" s="93"/>
      <c r="M34" s="93"/>
      <c r="N34" s="93"/>
      <c r="O34" s="93"/>
      <c r="P34" s="92"/>
      <c r="Q34" s="232">
        <f t="shared" si="1"/>
        <v>0</v>
      </c>
    </row>
    <row r="35" spans="1:17" ht="12" thickBot="1">
      <c r="A35" s="96"/>
      <c r="B35" s="230"/>
      <c r="C35" s="92"/>
      <c r="D35" s="91"/>
      <c r="E35" s="93"/>
      <c r="F35" s="93"/>
      <c r="G35" s="93"/>
      <c r="H35" s="93"/>
      <c r="I35" s="93"/>
      <c r="J35" s="93"/>
      <c r="K35" s="93"/>
      <c r="L35" s="93"/>
      <c r="M35" s="93"/>
      <c r="N35" s="93"/>
      <c r="O35" s="93"/>
      <c r="P35" s="92"/>
      <c r="Q35" s="232"/>
    </row>
    <row r="36" spans="1:17" ht="12" thickBot="1">
      <c r="A36" s="102" t="s">
        <v>0</v>
      </c>
      <c r="B36" s="231">
        <f>SUM(B22:B35)</f>
        <v>0</v>
      </c>
      <c r="C36" s="231">
        <f t="shared" ref="C36" si="2">SUM(C22:C35)</f>
        <v>3833793597</v>
      </c>
      <c r="D36" s="231">
        <f t="shared" ref="D36" si="3">SUM(D22:D35)</f>
        <v>1293009049</v>
      </c>
      <c r="E36" s="231">
        <f t="shared" ref="E36" si="4">SUM(E22:E35)</f>
        <v>1499844882</v>
      </c>
      <c r="F36" s="231">
        <f t="shared" ref="F36" si="5">SUM(F22:F35)</f>
        <v>236855</v>
      </c>
      <c r="G36" s="231">
        <f t="shared" ref="G36" si="6">SUM(G22:G35)</f>
        <v>23277367</v>
      </c>
      <c r="H36" s="231">
        <f t="shared" ref="H36" si="7">SUM(H22:H35)</f>
        <v>6650161750</v>
      </c>
      <c r="I36" s="231">
        <f t="shared" ref="I36" si="8">SUM(I22:I35)</f>
        <v>0</v>
      </c>
      <c r="J36" s="231">
        <f t="shared" ref="J36" si="9">SUM(J22:J35)</f>
        <v>0</v>
      </c>
      <c r="K36" s="231">
        <f t="shared" ref="K36" si="10">SUM(K22:K35)</f>
        <v>197499962</v>
      </c>
      <c r="L36" s="231">
        <f t="shared" ref="L36" si="11">SUM(L22:L35)</f>
        <v>0</v>
      </c>
      <c r="M36" s="231">
        <f t="shared" ref="M36" si="12">SUM(M22:M35)</f>
        <v>197499962</v>
      </c>
      <c r="N36" s="231">
        <f t="shared" ref="N36" si="13">SUM(N22:N35)</f>
        <v>204849641</v>
      </c>
      <c r="O36" s="231">
        <f t="shared" ref="O36" si="14">SUM(O22:O35)</f>
        <v>204849641</v>
      </c>
      <c r="P36" s="231">
        <f t="shared" ref="P36" si="15">SUM(P22:P35)</f>
        <v>7052511353</v>
      </c>
      <c r="Q36" s="233">
        <f>IFERROR(P36/$P$36, "")</f>
        <v>1</v>
      </c>
    </row>
    <row r="37" spans="1:17" ht="12" thickBot="1">
      <c r="A37" s="87"/>
      <c r="B37" s="101"/>
      <c r="C37" s="101"/>
      <c r="D37" s="101"/>
      <c r="E37" s="101"/>
      <c r="F37" s="101"/>
      <c r="G37" s="101"/>
      <c r="H37" s="101"/>
      <c r="I37" s="101"/>
      <c r="J37" s="101"/>
      <c r="K37" s="101"/>
      <c r="L37" s="101"/>
      <c r="M37" s="101"/>
      <c r="N37" s="101"/>
      <c r="O37" s="101"/>
      <c r="P37" s="101"/>
      <c r="Q37" s="101"/>
    </row>
    <row r="38" spans="1:17" s="112" customFormat="1" ht="13.5" customHeight="1" thickBot="1">
      <c r="A38" s="1977" t="s">
        <v>385</v>
      </c>
      <c r="B38" s="1978"/>
      <c r="C38" s="1978"/>
      <c r="D38" s="1978"/>
      <c r="E38" s="1978"/>
      <c r="F38" s="1978"/>
      <c r="G38" s="1978"/>
      <c r="H38" s="1978"/>
      <c r="I38" s="1978"/>
      <c r="J38" s="1978"/>
      <c r="K38" s="1978"/>
      <c r="L38" s="1978"/>
      <c r="M38" s="1978"/>
      <c r="N38" s="1978"/>
      <c r="O38" s="1978"/>
      <c r="P38" s="1978"/>
      <c r="Q38" s="1979"/>
    </row>
    <row r="39" spans="1:17">
      <c r="A39" s="99"/>
      <c r="B39" s="91"/>
      <c r="C39" s="92"/>
      <c r="D39" s="91"/>
      <c r="E39" s="93"/>
      <c r="F39" s="93"/>
      <c r="G39" s="93"/>
      <c r="H39" s="93"/>
      <c r="I39" s="93"/>
      <c r="J39" s="93"/>
      <c r="K39" s="93"/>
      <c r="L39" s="93"/>
      <c r="M39" s="93"/>
      <c r="N39" s="93"/>
      <c r="O39" s="93"/>
      <c r="P39" s="92"/>
      <c r="Q39" s="232"/>
    </row>
    <row r="40" spans="1:17" ht="22.5">
      <c r="A40" s="377" t="s">
        <v>32</v>
      </c>
      <c r="B40" s="378"/>
      <c r="C40" s="379">
        <v>2030424</v>
      </c>
      <c r="D40" s="378">
        <v>15706287</v>
      </c>
      <c r="E40" s="380">
        <v>49377212</v>
      </c>
      <c r="F40" s="380">
        <v>164000000</v>
      </c>
      <c r="G40" s="380"/>
      <c r="H40" s="380">
        <f>SUM(B40:G40)</f>
        <v>231113923</v>
      </c>
      <c r="I40" s="380"/>
      <c r="J40" s="380"/>
      <c r="K40" s="380"/>
      <c r="L40" s="380"/>
      <c r="M40" s="380">
        <f>SUM(I40:L40)</f>
        <v>0</v>
      </c>
      <c r="N40" s="380"/>
      <c r="O40" s="380">
        <f>SUM(N40)</f>
        <v>0</v>
      </c>
      <c r="P40" s="379">
        <f>SUM(O40,M40,H40)</f>
        <v>231113923</v>
      </c>
      <c r="Q40" s="381">
        <f>IFERROR(P40/$P$53, "")</f>
        <v>0.64664608978661309</v>
      </c>
    </row>
    <row r="41" spans="1:17">
      <c r="A41" s="234"/>
      <c r="B41" s="91"/>
      <c r="C41" s="92"/>
      <c r="D41" s="91"/>
      <c r="E41" s="93"/>
      <c r="F41" s="93"/>
      <c r="G41" s="93"/>
      <c r="H41" s="93"/>
      <c r="I41" s="93"/>
      <c r="J41" s="93"/>
      <c r="K41" s="93"/>
      <c r="L41" s="93"/>
      <c r="M41" s="93"/>
      <c r="N41" s="93"/>
      <c r="O41" s="93"/>
      <c r="P41" s="92"/>
      <c r="Q41" s="232"/>
    </row>
    <row r="42" spans="1:17" ht="33.75">
      <c r="A42" s="377" t="s">
        <v>33</v>
      </c>
      <c r="B42" s="378"/>
      <c r="C42" s="379"/>
      <c r="D42" s="378"/>
      <c r="E42" s="380">
        <v>1560613</v>
      </c>
      <c r="F42" s="380"/>
      <c r="G42" s="380">
        <v>56253</v>
      </c>
      <c r="H42" s="380">
        <f>SUM(B42:G42)</f>
        <v>1616866</v>
      </c>
      <c r="I42" s="380"/>
      <c r="J42" s="737"/>
      <c r="K42" s="380"/>
      <c r="L42" s="380"/>
      <c r="M42" s="380">
        <f>SUM(I42:L42)</f>
        <v>0</v>
      </c>
      <c r="N42" s="380"/>
      <c r="O42" s="380">
        <f>SUM(N42)</f>
        <v>0</v>
      </c>
      <c r="P42" s="379">
        <f>SUM(O42,M42,H42)</f>
        <v>1616866</v>
      </c>
      <c r="Q42" s="381">
        <f>IFERROR(P42/$P$53, "")</f>
        <v>4.5239164436186828E-3</v>
      </c>
    </row>
    <row r="43" spans="1:17">
      <c r="A43" s="234"/>
      <c r="B43" s="91"/>
      <c r="C43" s="92"/>
      <c r="D43" s="91"/>
      <c r="E43" s="93"/>
      <c r="F43" s="93"/>
      <c r="G43" s="93"/>
      <c r="H43" s="93"/>
      <c r="I43" s="93"/>
      <c r="J43" s="93"/>
      <c r="K43" s="93"/>
      <c r="L43" s="93"/>
      <c r="M43" s="93"/>
      <c r="N43" s="93"/>
      <c r="O43" s="93"/>
      <c r="P43" s="92"/>
      <c r="Q43" s="232"/>
    </row>
    <row r="44" spans="1:17" ht="45">
      <c r="A44" s="377" t="s">
        <v>383</v>
      </c>
      <c r="B44" s="378"/>
      <c r="C44" s="379"/>
      <c r="D44" s="378"/>
      <c r="E44" s="380"/>
      <c r="F44" s="380"/>
      <c r="G44" s="380"/>
      <c r="H44" s="380">
        <f>SUM(B44:G44)</f>
        <v>0</v>
      </c>
      <c r="I44" s="380">
        <v>100000000</v>
      </c>
      <c r="J44" s="380"/>
      <c r="K44" s="380">
        <v>20673248</v>
      </c>
      <c r="L44" s="380"/>
      <c r="M44" s="380">
        <f>SUM(I44:L44)</f>
        <v>120673248</v>
      </c>
      <c r="N44" s="380"/>
      <c r="O44" s="380">
        <f>SUM(N44)</f>
        <v>0</v>
      </c>
      <c r="P44" s="379">
        <f>SUM(O44,M44,H44)</f>
        <v>120673248</v>
      </c>
      <c r="Q44" s="381">
        <f>IFERROR(P44/$P$53, "")</f>
        <v>0.33763817838464988</v>
      </c>
    </row>
    <row r="45" spans="1:17">
      <c r="A45" s="235"/>
      <c r="B45" s="91"/>
      <c r="C45" s="94"/>
      <c r="D45" s="95"/>
      <c r="E45" s="100"/>
      <c r="F45" s="100"/>
      <c r="G45" s="93"/>
      <c r="H45" s="93"/>
      <c r="I45" s="93"/>
      <c r="J45" s="93"/>
      <c r="K45" s="93"/>
      <c r="L45" s="93"/>
      <c r="M45" s="93"/>
      <c r="N45" s="93"/>
      <c r="O45" s="93"/>
      <c r="P45" s="92"/>
      <c r="Q45" s="232"/>
    </row>
    <row r="46" spans="1:17" ht="22.5">
      <c r="A46" s="377" t="s">
        <v>34</v>
      </c>
      <c r="B46" s="378"/>
      <c r="C46" s="379"/>
      <c r="D46" s="378"/>
      <c r="E46" s="380">
        <v>293194</v>
      </c>
      <c r="F46" s="380"/>
      <c r="G46" s="380"/>
      <c r="H46" s="380">
        <f>SUM(B46:G46)</f>
        <v>293194</v>
      </c>
      <c r="I46" s="380"/>
      <c r="J46" s="380"/>
      <c r="K46" s="380">
        <v>3706806</v>
      </c>
      <c r="L46" s="380"/>
      <c r="M46" s="380">
        <f>SUM(I46:L46)</f>
        <v>3706806</v>
      </c>
      <c r="N46" s="380"/>
      <c r="O46" s="380">
        <f>SUM(N46)</f>
        <v>0</v>
      </c>
      <c r="P46" s="379">
        <f>SUM(O46,M46,H46)</f>
        <v>4000000</v>
      </c>
      <c r="Q46" s="381">
        <f>IFERROR(P46/$P$53, "")</f>
        <v>1.1191815385118327E-2</v>
      </c>
    </row>
    <row r="47" spans="1:17">
      <c r="A47" s="234"/>
      <c r="B47" s="91"/>
      <c r="C47" s="92"/>
      <c r="D47" s="91"/>
      <c r="E47" s="93"/>
      <c r="F47" s="93"/>
      <c r="G47" s="93"/>
      <c r="H47" s="93"/>
      <c r="I47" s="93"/>
      <c r="J47" s="93"/>
      <c r="K47" s="93"/>
      <c r="L47" s="93"/>
      <c r="M47" s="93"/>
      <c r="N47" s="93"/>
      <c r="O47" s="93"/>
      <c r="P47" s="92"/>
      <c r="Q47" s="232"/>
    </row>
    <row r="48" spans="1:17" ht="22.5">
      <c r="A48" s="377" t="s">
        <v>35</v>
      </c>
      <c r="B48" s="378"/>
      <c r="C48" s="379"/>
      <c r="D48" s="378"/>
      <c r="E48" s="380"/>
      <c r="F48" s="380"/>
      <c r="G48" s="380"/>
      <c r="H48" s="380"/>
      <c r="I48" s="380"/>
      <c r="J48" s="380"/>
      <c r="K48" s="380"/>
      <c r="L48" s="380"/>
      <c r="M48" s="380"/>
      <c r="N48" s="380"/>
      <c r="O48" s="380"/>
      <c r="P48" s="379"/>
      <c r="Q48" s="381">
        <f t="shared" ref="Q48:Q51" si="16">IFERROR(P48/$P$53, "")</f>
        <v>0</v>
      </c>
    </row>
    <row r="49" spans="1:17" ht="33.75">
      <c r="A49" s="234" t="s">
        <v>36</v>
      </c>
      <c r="B49" s="91"/>
      <c r="C49" s="92"/>
      <c r="D49" s="91"/>
      <c r="E49" s="93"/>
      <c r="F49" s="93"/>
      <c r="G49" s="93"/>
      <c r="H49" s="93">
        <f>SUM(B49:G49)</f>
        <v>0</v>
      </c>
      <c r="I49" s="93"/>
      <c r="J49" s="93"/>
      <c r="K49" s="93"/>
      <c r="L49" s="93"/>
      <c r="M49" s="93">
        <f>SUM(I49:L49)</f>
        <v>0</v>
      </c>
      <c r="N49" s="93"/>
      <c r="O49" s="93">
        <f>SUM(N49)</f>
        <v>0</v>
      </c>
      <c r="P49" s="92">
        <f>SUM(O49,M49,H49)</f>
        <v>0</v>
      </c>
      <c r="Q49" s="232">
        <f t="shared" si="16"/>
        <v>0</v>
      </c>
    </row>
    <row r="50" spans="1:17" ht="22.5">
      <c r="A50" s="234" t="s">
        <v>37</v>
      </c>
      <c r="B50" s="91"/>
      <c r="C50" s="92"/>
      <c r="D50" s="91"/>
      <c r="E50" s="93"/>
      <c r="F50" s="93"/>
      <c r="G50" s="93"/>
      <c r="H50" s="93"/>
      <c r="I50" s="93"/>
      <c r="J50" s="93"/>
      <c r="K50" s="93"/>
      <c r="L50" s="93"/>
      <c r="M50" s="93"/>
      <c r="N50" s="93"/>
      <c r="O50" s="93"/>
      <c r="P50" s="92"/>
      <c r="Q50" s="232">
        <f t="shared" si="16"/>
        <v>0</v>
      </c>
    </row>
    <row r="51" spans="1:17" ht="22.5">
      <c r="A51" s="234" t="s">
        <v>80</v>
      </c>
      <c r="B51" s="91"/>
      <c r="C51" s="92"/>
      <c r="D51" s="91"/>
      <c r="E51" s="93"/>
      <c r="F51" s="93"/>
      <c r="G51" s="93"/>
      <c r="H51" s="93"/>
      <c r="I51" s="93"/>
      <c r="J51" s="93"/>
      <c r="K51" s="93"/>
      <c r="L51" s="93"/>
      <c r="M51" s="93"/>
      <c r="N51" s="93"/>
      <c r="O51" s="93"/>
      <c r="P51" s="92"/>
      <c r="Q51" s="232">
        <f t="shared" si="16"/>
        <v>0</v>
      </c>
    </row>
    <row r="52" spans="1:17" ht="12" thickBot="1">
      <c r="A52" s="96"/>
      <c r="B52" s="230"/>
      <c r="C52" s="92"/>
      <c r="D52" s="91"/>
      <c r="E52" s="93"/>
      <c r="F52" s="93"/>
      <c r="G52" s="93"/>
      <c r="H52" s="93"/>
      <c r="I52" s="93"/>
      <c r="J52" s="93"/>
      <c r="K52" s="93"/>
      <c r="L52" s="93"/>
      <c r="M52" s="93"/>
      <c r="N52" s="93"/>
      <c r="O52" s="93"/>
      <c r="P52" s="92"/>
      <c r="Q52" s="232"/>
    </row>
    <row r="53" spans="1:17" ht="12" thickBot="1">
      <c r="A53" s="102" t="s">
        <v>0</v>
      </c>
      <c r="B53" s="231">
        <f>SUM(B39:B52)</f>
        <v>0</v>
      </c>
      <c r="C53" s="231">
        <f t="shared" ref="C53" si="17">SUM(C39:C52)</f>
        <v>2030424</v>
      </c>
      <c r="D53" s="231">
        <f t="shared" ref="D53" si="18">SUM(D39:D52)</f>
        <v>15706287</v>
      </c>
      <c r="E53" s="231">
        <f t="shared" ref="E53" si="19">SUM(E39:E52)</f>
        <v>51231019</v>
      </c>
      <c r="F53" s="231">
        <f t="shared" ref="F53" si="20">SUM(F39:F52)</f>
        <v>164000000</v>
      </c>
      <c r="G53" s="231">
        <f t="shared" ref="G53" si="21">SUM(G39:G52)</f>
        <v>56253</v>
      </c>
      <c r="H53" s="231">
        <f t="shared" ref="H53" si="22">SUM(H39:H52)</f>
        <v>233023983</v>
      </c>
      <c r="I53" s="231">
        <f t="shared" ref="I53" si="23">SUM(I39:I52)</f>
        <v>100000000</v>
      </c>
      <c r="J53" s="231">
        <f t="shared" ref="J53" si="24">SUM(J39:J52)</f>
        <v>0</v>
      </c>
      <c r="K53" s="231">
        <f t="shared" ref="K53" si="25">SUM(K39:K52)</f>
        <v>24380054</v>
      </c>
      <c r="L53" s="231">
        <f t="shared" ref="L53" si="26">SUM(L39:L52)</f>
        <v>0</v>
      </c>
      <c r="M53" s="231">
        <f t="shared" ref="M53" si="27">SUM(M39:M52)</f>
        <v>124380054</v>
      </c>
      <c r="N53" s="231">
        <f t="shared" ref="N53" si="28">SUM(N39:N52)</f>
        <v>0</v>
      </c>
      <c r="O53" s="231">
        <f t="shared" ref="O53" si="29">SUM(O39:O52)</f>
        <v>0</v>
      </c>
      <c r="P53" s="231">
        <f t="shared" ref="P53" si="30">SUM(P39:P52)</f>
        <v>357404037</v>
      </c>
      <c r="Q53" s="233">
        <f>IFERROR(P53/$P$53, "")</f>
        <v>1</v>
      </c>
    </row>
    <row r="54" spans="1:17" ht="12" thickBot="1">
      <c r="A54" s="87"/>
      <c r="B54" s="101"/>
      <c r="C54" s="101"/>
      <c r="D54" s="101"/>
      <c r="E54" s="101"/>
      <c r="F54" s="101"/>
      <c r="G54" s="101"/>
      <c r="H54" s="101"/>
      <c r="I54" s="101"/>
      <c r="J54" s="101"/>
      <c r="K54" s="101"/>
      <c r="L54" s="101"/>
      <c r="M54" s="101"/>
      <c r="N54" s="101"/>
      <c r="O54" s="101"/>
      <c r="P54" s="101"/>
      <c r="Q54" s="101"/>
    </row>
    <row r="55" spans="1:17" s="112" customFormat="1" ht="13.5" customHeight="1" thickBot="1">
      <c r="A55" s="1977" t="s">
        <v>386</v>
      </c>
      <c r="B55" s="1978"/>
      <c r="C55" s="1978"/>
      <c r="D55" s="1978"/>
      <c r="E55" s="1978"/>
      <c r="F55" s="1978"/>
      <c r="G55" s="1978"/>
      <c r="H55" s="1978"/>
      <c r="I55" s="1978"/>
      <c r="J55" s="1978"/>
      <c r="K55" s="1978"/>
      <c r="L55" s="1978"/>
      <c r="M55" s="1978"/>
      <c r="N55" s="1978"/>
      <c r="O55" s="1978"/>
      <c r="P55" s="1978"/>
      <c r="Q55" s="1979"/>
    </row>
    <row r="56" spans="1:17">
      <c r="A56" s="99"/>
      <c r="B56" s="91"/>
      <c r="C56" s="92"/>
      <c r="D56" s="91"/>
      <c r="E56" s="93"/>
      <c r="F56" s="93"/>
      <c r="G56" s="93"/>
      <c r="H56" s="93"/>
      <c r="I56" s="93"/>
      <c r="J56" s="93"/>
      <c r="K56" s="93"/>
      <c r="L56" s="93"/>
      <c r="M56" s="93"/>
      <c r="N56" s="93"/>
      <c r="O56" s="93"/>
      <c r="P56" s="92"/>
      <c r="Q56" s="232"/>
    </row>
    <row r="57" spans="1:17" ht="22.5">
      <c r="A57" s="377" t="s">
        <v>32</v>
      </c>
      <c r="B57" s="378"/>
      <c r="C57" s="379"/>
      <c r="D57" s="378"/>
      <c r="E57" s="380">
        <v>8633577</v>
      </c>
      <c r="F57" s="380"/>
      <c r="G57" s="380">
        <v>20000</v>
      </c>
      <c r="H57" s="380">
        <f>SUM(B57:G57)</f>
        <v>8653577</v>
      </c>
      <c r="I57" s="380"/>
      <c r="J57" s="380"/>
      <c r="K57" s="380"/>
      <c r="L57" s="380"/>
      <c r="M57" s="380">
        <f>SUM(I57:L57)</f>
        <v>0</v>
      </c>
      <c r="N57" s="380"/>
      <c r="O57" s="380">
        <f>SUM(N57)</f>
        <v>0</v>
      </c>
      <c r="P57" s="379">
        <f>SUM(O57,M57,H57)</f>
        <v>8653577</v>
      </c>
      <c r="Q57" s="381">
        <f>IFERROR(P57/$P$70, "")</f>
        <v>1</v>
      </c>
    </row>
    <row r="58" spans="1:17">
      <c r="A58" s="234"/>
      <c r="B58" s="91"/>
      <c r="C58" s="92"/>
      <c r="D58" s="91"/>
      <c r="E58" s="93"/>
      <c r="F58" s="93"/>
      <c r="G58" s="93"/>
      <c r="H58" s="93"/>
      <c r="I58" s="93"/>
      <c r="J58" s="93"/>
      <c r="K58" s="93"/>
      <c r="L58" s="93"/>
      <c r="M58" s="93"/>
      <c r="N58" s="93"/>
      <c r="O58" s="93"/>
      <c r="P58" s="92"/>
      <c r="Q58" s="232"/>
    </row>
    <row r="59" spans="1:17" ht="33.75">
      <c r="A59" s="377" t="s">
        <v>33</v>
      </c>
      <c r="B59" s="378"/>
      <c r="C59" s="379"/>
      <c r="D59" s="378"/>
      <c r="E59" s="380"/>
      <c r="F59" s="380"/>
      <c r="G59" s="380"/>
      <c r="H59" s="380">
        <f>SUM(B59:G59)</f>
        <v>0</v>
      </c>
      <c r="I59" s="380"/>
      <c r="J59" s="380"/>
      <c r="K59" s="380"/>
      <c r="L59" s="380"/>
      <c r="M59" s="380">
        <f>SUM(I59:L59)</f>
        <v>0</v>
      </c>
      <c r="N59" s="380"/>
      <c r="O59" s="380">
        <f>SUM(N59)</f>
        <v>0</v>
      </c>
      <c r="P59" s="379">
        <f>SUM(O59,M59,H59)</f>
        <v>0</v>
      </c>
      <c r="Q59" s="381">
        <f>IFERROR(P59/$P$70, "")</f>
        <v>0</v>
      </c>
    </row>
    <row r="60" spans="1:17">
      <c r="A60" s="234"/>
      <c r="B60" s="91"/>
      <c r="C60" s="92"/>
      <c r="D60" s="91"/>
      <c r="E60" s="93"/>
      <c r="F60" s="93"/>
      <c r="G60" s="93"/>
      <c r="H60" s="93"/>
      <c r="I60" s="93"/>
      <c r="J60" s="93"/>
      <c r="K60" s="93"/>
      <c r="L60" s="93"/>
      <c r="M60" s="93"/>
      <c r="N60" s="93"/>
      <c r="O60" s="93"/>
      <c r="P60" s="92"/>
      <c r="Q60" s="232"/>
    </row>
    <row r="61" spans="1:17" ht="45">
      <c r="A61" s="377" t="s">
        <v>383</v>
      </c>
      <c r="B61" s="378"/>
      <c r="C61" s="379"/>
      <c r="D61" s="378"/>
      <c r="E61" s="380"/>
      <c r="F61" s="380"/>
      <c r="G61" s="380"/>
      <c r="H61" s="380">
        <f>SUM(B61:G61)</f>
        <v>0</v>
      </c>
      <c r="I61" s="380"/>
      <c r="J61" s="380"/>
      <c r="K61" s="380"/>
      <c r="L61" s="380"/>
      <c r="M61" s="380">
        <f>SUM(I61:L61)</f>
        <v>0</v>
      </c>
      <c r="N61" s="380"/>
      <c r="O61" s="380">
        <f>SUM(N61)</f>
        <v>0</v>
      </c>
      <c r="P61" s="379">
        <f>SUM(O61,M61,H61)</f>
        <v>0</v>
      </c>
      <c r="Q61" s="381">
        <f>IFERROR(P61/$P$70, "")</f>
        <v>0</v>
      </c>
    </row>
    <row r="62" spans="1:17">
      <c r="A62" s="235"/>
      <c r="B62" s="91"/>
      <c r="C62" s="94"/>
      <c r="D62" s="95"/>
      <c r="E62" s="100"/>
      <c r="F62" s="100"/>
      <c r="G62" s="93"/>
      <c r="H62" s="93"/>
      <c r="I62" s="93"/>
      <c r="J62" s="93"/>
      <c r="K62" s="93"/>
      <c r="L62" s="93"/>
      <c r="M62" s="93"/>
      <c r="N62" s="93"/>
      <c r="O62" s="93"/>
      <c r="P62" s="92"/>
      <c r="Q62" s="232"/>
    </row>
    <row r="63" spans="1:17" ht="22.5">
      <c r="A63" s="377" t="s">
        <v>34</v>
      </c>
      <c r="B63" s="378"/>
      <c r="C63" s="379"/>
      <c r="D63" s="378"/>
      <c r="E63" s="380"/>
      <c r="F63" s="380"/>
      <c r="G63" s="380"/>
      <c r="H63" s="380">
        <f>SUM(B63:G63)</f>
        <v>0</v>
      </c>
      <c r="I63" s="380"/>
      <c r="J63" s="380"/>
      <c r="K63" s="380"/>
      <c r="L63" s="380"/>
      <c r="M63" s="380">
        <f>SUM(I63:L63)</f>
        <v>0</v>
      </c>
      <c r="N63" s="380"/>
      <c r="O63" s="380">
        <f>SUM(N63)</f>
        <v>0</v>
      </c>
      <c r="P63" s="379">
        <f>SUM(O63,M63,H63)</f>
        <v>0</v>
      </c>
      <c r="Q63" s="381">
        <f>IFERROR(P63/$P$70, "")</f>
        <v>0</v>
      </c>
    </row>
    <row r="64" spans="1:17">
      <c r="A64" s="234"/>
      <c r="B64" s="91"/>
      <c r="C64" s="92"/>
      <c r="D64" s="91"/>
      <c r="E64" s="93"/>
      <c r="F64" s="93"/>
      <c r="G64" s="93"/>
      <c r="H64" s="93"/>
      <c r="I64" s="93"/>
      <c r="J64" s="93"/>
      <c r="K64" s="93"/>
      <c r="L64" s="93"/>
      <c r="M64" s="93"/>
      <c r="N64" s="93"/>
      <c r="O64" s="93"/>
      <c r="P64" s="92"/>
      <c r="Q64" s="232"/>
    </row>
    <row r="65" spans="1:17" ht="22.5">
      <c r="A65" s="377" t="s">
        <v>35</v>
      </c>
      <c r="B65" s="378"/>
      <c r="C65" s="379"/>
      <c r="D65" s="378"/>
      <c r="E65" s="380"/>
      <c r="F65" s="380"/>
      <c r="G65" s="380"/>
      <c r="H65" s="380"/>
      <c r="I65" s="380"/>
      <c r="J65" s="380"/>
      <c r="K65" s="380"/>
      <c r="L65" s="380"/>
      <c r="M65" s="380"/>
      <c r="N65" s="380"/>
      <c r="O65" s="380"/>
      <c r="P65" s="379"/>
      <c r="Q65" s="381">
        <f>IFERROR(P65/$P$70, "")</f>
        <v>0</v>
      </c>
    </row>
    <row r="66" spans="1:17" ht="33.75">
      <c r="A66" s="234" t="s">
        <v>36</v>
      </c>
      <c r="B66" s="91"/>
      <c r="C66" s="92"/>
      <c r="D66" s="91"/>
      <c r="E66" s="93"/>
      <c r="F66" s="93"/>
      <c r="G66" s="93"/>
      <c r="H66" s="93">
        <f>SUM(B66:G66)</f>
        <v>0</v>
      </c>
      <c r="I66" s="93"/>
      <c r="J66" s="93"/>
      <c r="K66" s="93"/>
      <c r="L66" s="93"/>
      <c r="M66" s="93">
        <f>SUM(I66:L66)</f>
        <v>0</v>
      </c>
      <c r="N66" s="93"/>
      <c r="O66" s="93">
        <f>SUM(N66)</f>
        <v>0</v>
      </c>
      <c r="P66" s="92">
        <f>SUM(O66,M66,H66)</f>
        <v>0</v>
      </c>
      <c r="Q66" s="232">
        <f t="shared" ref="Q66:Q68" si="31">IFERROR(P66/$P$70, "")</f>
        <v>0</v>
      </c>
    </row>
    <row r="67" spans="1:17" ht="22.5">
      <c r="A67" s="234" t="s">
        <v>37</v>
      </c>
      <c r="B67" s="91"/>
      <c r="C67" s="92"/>
      <c r="D67" s="91"/>
      <c r="E67" s="93"/>
      <c r="F67" s="93"/>
      <c r="G67" s="93"/>
      <c r="H67" s="93"/>
      <c r="I67" s="93"/>
      <c r="J67" s="93"/>
      <c r="K67" s="93"/>
      <c r="L67" s="93"/>
      <c r="M67" s="93"/>
      <c r="N67" s="93"/>
      <c r="O67" s="93"/>
      <c r="P67" s="92"/>
      <c r="Q67" s="232">
        <f t="shared" si="31"/>
        <v>0</v>
      </c>
    </row>
    <row r="68" spans="1:17" ht="22.5">
      <c r="A68" s="234" t="s">
        <v>80</v>
      </c>
      <c r="B68" s="91"/>
      <c r="C68" s="92"/>
      <c r="D68" s="91"/>
      <c r="E68" s="93"/>
      <c r="F68" s="93"/>
      <c r="G68" s="93"/>
      <c r="H68" s="93"/>
      <c r="I68" s="93"/>
      <c r="J68" s="93"/>
      <c r="K68" s="93"/>
      <c r="L68" s="93"/>
      <c r="M68" s="93"/>
      <c r="N68" s="93"/>
      <c r="O68" s="93"/>
      <c r="P68" s="92"/>
      <c r="Q68" s="232">
        <f t="shared" si="31"/>
        <v>0</v>
      </c>
    </row>
    <row r="69" spans="1:17" ht="12" thickBot="1">
      <c r="A69" s="96"/>
      <c r="B69" s="230"/>
      <c r="C69" s="92"/>
      <c r="D69" s="91"/>
      <c r="E69" s="93"/>
      <c r="F69" s="93"/>
      <c r="G69" s="93"/>
      <c r="H69" s="93"/>
      <c r="I69" s="93"/>
      <c r="J69" s="93"/>
      <c r="K69" s="93"/>
      <c r="L69" s="93"/>
      <c r="M69" s="93"/>
      <c r="N69" s="93"/>
      <c r="O69" s="93"/>
      <c r="P69" s="92"/>
      <c r="Q69" s="232"/>
    </row>
    <row r="70" spans="1:17" ht="12" thickBot="1">
      <c r="A70" s="102" t="s">
        <v>0</v>
      </c>
      <c r="B70" s="231">
        <f>SUM(B56:B69)</f>
        <v>0</v>
      </c>
      <c r="C70" s="231">
        <f t="shared" ref="C70" si="32">SUM(C56:C69)</f>
        <v>0</v>
      </c>
      <c r="D70" s="231">
        <f t="shared" ref="D70" si="33">SUM(D56:D69)</f>
        <v>0</v>
      </c>
      <c r="E70" s="231">
        <f t="shared" ref="E70" si="34">SUM(E56:E69)</f>
        <v>8633577</v>
      </c>
      <c r="F70" s="231">
        <f t="shared" ref="F70" si="35">SUM(F56:F69)</f>
        <v>0</v>
      </c>
      <c r="G70" s="231">
        <f t="shared" ref="G70" si="36">SUM(G56:G69)</f>
        <v>20000</v>
      </c>
      <c r="H70" s="231">
        <f t="shared" ref="H70" si="37">SUM(H56:H69)</f>
        <v>8653577</v>
      </c>
      <c r="I70" s="231">
        <f t="shared" ref="I70" si="38">SUM(I56:I69)</f>
        <v>0</v>
      </c>
      <c r="J70" s="231">
        <f t="shared" ref="J70" si="39">SUM(J56:J69)</f>
        <v>0</v>
      </c>
      <c r="K70" s="231">
        <f t="shared" ref="K70" si="40">SUM(K56:K69)</f>
        <v>0</v>
      </c>
      <c r="L70" s="231">
        <f t="shared" ref="L70" si="41">SUM(L56:L69)</f>
        <v>0</v>
      </c>
      <c r="M70" s="231">
        <f t="shared" ref="M70" si="42">SUM(M56:M69)</f>
        <v>0</v>
      </c>
      <c r="N70" s="231">
        <f t="shared" ref="N70" si="43">SUM(N56:N69)</f>
        <v>0</v>
      </c>
      <c r="O70" s="231">
        <f t="shared" ref="O70" si="44">SUM(O56:O69)</f>
        <v>0</v>
      </c>
      <c r="P70" s="231">
        <f t="shared" ref="P70" si="45">SUM(P56:P69)</f>
        <v>8653577</v>
      </c>
      <c r="Q70" s="233">
        <f>IFERROR(P70/$P$70, "")</f>
        <v>1</v>
      </c>
    </row>
    <row r="71" spans="1:17" ht="12" thickBot="1">
      <c r="A71" s="87"/>
      <c r="B71" s="101"/>
      <c r="C71" s="101"/>
      <c r="D71" s="101"/>
      <c r="E71" s="101"/>
      <c r="F71" s="101"/>
      <c r="G71" s="101"/>
      <c r="H71" s="101"/>
      <c r="I71" s="101"/>
      <c r="J71" s="101"/>
      <c r="K71" s="101"/>
      <c r="L71" s="101"/>
      <c r="M71" s="101"/>
      <c r="N71" s="101"/>
      <c r="O71" s="101"/>
      <c r="P71" s="101"/>
      <c r="Q71" s="101"/>
    </row>
    <row r="72" spans="1:17" s="112" customFormat="1" ht="13.5" customHeight="1" thickBot="1">
      <c r="A72" s="1977" t="s">
        <v>387</v>
      </c>
      <c r="B72" s="1978"/>
      <c r="C72" s="1978"/>
      <c r="D72" s="1978"/>
      <c r="E72" s="1978"/>
      <c r="F72" s="1978"/>
      <c r="G72" s="1978"/>
      <c r="H72" s="1978"/>
      <c r="I72" s="1978"/>
      <c r="J72" s="1978"/>
      <c r="K72" s="1978"/>
      <c r="L72" s="1978"/>
      <c r="M72" s="1978"/>
      <c r="N72" s="1978"/>
      <c r="O72" s="1978"/>
      <c r="P72" s="1978"/>
      <c r="Q72" s="1979"/>
    </row>
    <row r="73" spans="1:17">
      <c r="A73" s="99"/>
      <c r="B73" s="91"/>
      <c r="C73" s="92"/>
      <c r="D73" s="91"/>
      <c r="E73" s="93"/>
      <c r="F73" s="93"/>
      <c r="G73" s="93"/>
      <c r="H73" s="93"/>
      <c r="I73" s="93"/>
      <c r="J73" s="93"/>
      <c r="K73" s="93"/>
      <c r="L73" s="93"/>
      <c r="M73" s="93"/>
      <c r="N73" s="93"/>
      <c r="O73" s="93"/>
      <c r="P73" s="92"/>
      <c r="Q73" s="232"/>
    </row>
    <row r="74" spans="1:17" ht="22.5">
      <c r="A74" s="377" t="s">
        <v>32</v>
      </c>
      <c r="B74" s="378"/>
      <c r="C74" s="379"/>
      <c r="D74" s="378"/>
      <c r="E74" s="380">
        <v>1310519</v>
      </c>
      <c r="F74" s="380"/>
      <c r="G74" s="380"/>
      <c r="H74" s="380">
        <f>SUM(B74:G74)</f>
        <v>1310519</v>
      </c>
      <c r="I74" s="380"/>
      <c r="J74" s="380"/>
      <c r="K74" s="380"/>
      <c r="L74" s="380"/>
      <c r="M74" s="380">
        <f>SUM(I74:L74)</f>
        <v>0</v>
      </c>
      <c r="N74" s="380"/>
      <c r="O74" s="380">
        <f>SUM(N74)</f>
        <v>0</v>
      </c>
      <c r="P74" s="379">
        <f>SUM(O74,M74,H74)</f>
        <v>1310519</v>
      </c>
      <c r="Q74" s="381">
        <f>IFERROR(P74/$P$87, "")</f>
        <v>0.38279679758098129</v>
      </c>
    </row>
    <row r="75" spans="1:17">
      <c r="A75" s="234"/>
      <c r="B75" s="91"/>
      <c r="C75" s="92"/>
      <c r="D75" s="91"/>
      <c r="E75" s="93"/>
      <c r="F75" s="93"/>
      <c r="G75" s="93"/>
      <c r="H75" s="93"/>
      <c r="I75" s="93"/>
      <c r="J75" s="93"/>
      <c r="K75" s="93"/>
      <c r="L75" s="93"/>
      <c r="M75" s="93"/>
      <c r="N75" s="93"/>
      <c r="O75" s="93"/>
      <c r="P75" s="92"/>
      <c r="Q75" s="232"/>
    </row>
    <row r="76" spans="1:17" ht="33.75">
      <c r="A76" s="377" t="s">
        <v>33</v>
      </c>
      <c r="B76" s="378"/>
      <c r="C76" s="379"/>
      <c r="D76" s="378"/>
      <c r="E76" s="380">
        <v>2092257</v>
      </c>
      <c r="F76" s="380">
        <v>10761</v>
      </c>
      <c r="G76" s="380">
        <v>10000</v>
      </c>
      <c r="H76" s="380">
        <f>SUM(B76:G76)</f>
        <v>2113018</v>
      </c>
      <c r="I76" s="380"/>
      <c r="J76" s="380"/>
      <c r="K76" s="380"/>
      <c r="L76" s="380"/>
      <c r="M76" s="380">
        <f>SUM(I76:L76)</f>
        <v>0</v>
      </c>
      <c r="N76" s="380"/>
      <c r="O76" s="380">
        <f>SUM(N76)</f>
        <v>0</v>
      </c>
      <c r="P76" s="379">
        <f>SUM(O76,M76,H76)</f>
        <v>2113018</v>
      </c>
      <c r="Q76" s="381">
        <f>IFERROR(P76/$P$87, "")</f>
        <v>0.61720320241901871</v>
      </c>
    </row>
    <row r="77" spans="1:17">
      <c r="A77" s="234"/>
      <c r="B77" s="91"/>
      <c r="C77" s="92"/>
      <c r="D77" s="91"/>
      <c r="E77" s="93"/>
      <c r="F77" s="93"/>
      <c r="G77" s="93"/>
      <c r="H77" s="93"/>
      <c r="I77" s="93"/>
      <c r="J77" s="93"/>
      <c r="K77" s="93"/>
      <c r="L77" s="93"/>
      <c r="M77" s="93"/>
      <c r="N77" s="93"/>
      <c r="O77" s="93"/>
      <c r="P77" s="92"/>
      <c r="Q77" s="232"/>
    </row>
    <row r="78" spans="1:17" ht="45">
      <c r="A78" s="377" t="s">
        <v>383</v>
      </c>
      <c r="B78" s="378"/>
      <c r="C78" s="379"/>
      <c r="D78" s="378"/>
      <c r="E78" s="380"/>
      <c r="F78" s="380"/>
      <c r="G78" s="380"/>
      <c r="H78" s="380">
        <f>SUM(B78:G78)</f>
        <v>0</v>
      </c>
      <c r="I78" s="380"/>
      <c r="J78" s="380"/>
      <c r="K78" s="380"/>
      <c r="L78" s="380"/>
      <c r="M78" s="380">
        <f>SUM(I78:L78)</f>
        <v>0</v>
      </c>
      <c r="N78" s="380"/>
      <c r="O78" s="380">
        <f>SUM(N78)</f>
        <v>0</v>
      </c>
      <c r="P78" s="379">
        <f>SUM(O78,M78,H78)</f>
        <v>0</v>
      </c>
      <c r="Q78" s="381">
        <f>IFERROR(P78/$P$87, "")</f>
        <v>0</v>
      </c>
    </row>
    <row r="79" spans="1:17">
      <c r="A79" s="235"/>
      <c r="B79" s="91"/>
      <c r="C79" s="94"/>
      <c r="D79" s="95"/>
      <c r="E79" s="100"/>
      <c r="F79" s="100"/>
      <c r="G79" s="93"/>
      <c r="H79" s="93"/>
      <c r="I79" s="93"/>
      <c r="J79" s="93"/>
      <c r="K79" s="93"/>
      <c r="L79" s="93"/>
      <c r="M79" s="93"/>
      <c r="N79" s="93"/>
      <c r="O79" s="93"/>
      <c r="P79" s="92"/>
      <c r="Q79" s="232"/>
    </row>
    <row r="80" spans="1:17" ht="22.5">
      <c r="A80" s="377" t="s">
        <v>34</v>
      </c>
      <c r="B80" s="378"/>
      <c r="C80" s="379"/>
      <c r="D80" s="378"/>
      <c r="E80" s="380"/>
      <c r="F80" s="380"/>
      <c r="G80" s="380"/>
      <c r="H80" s="380">
        <f>SUM(B80:G80)</f>
        <v>0</v>
      </c>
      <c r="I80" s="380"/>
      <c r="J80" s="380"/>
      <c r="K80" s="380"/>
      <c r="L80" s="380"/>
      <c r="M80" s="380">
        <f>SUM(I80:L80)</f>
        <v>0</v>
      </c>
      <c r="N80" s="380"/>
      <c r="O80" s="380">
        <f>SUM(N80)</f>
        <v>0</v>
      </c>
      <c r="P80" s="379">
        <f>SUM(O80,M80,H80)</f>
        <v>0</v>
      </c>
      <c r="Q80" s="381">
        <f>IFERROR(P80/$P$87, "")</f>
        <v>0</v>
      </c>
    </row>
    <row r="81" spans="1:17">
      <c r="A81" s="234"/>
      <c r="B81" s="91"/>
      <c r="C81" s="92"/>
      <c r="D81" s="91"/>
      <c r="E81" s="93"/>
      <c r="F81" s="93"/>
      <c r="G81" s="93"/>
      <c r="H81" s="93"/>
      <c r="I81" s="93"/>
      <c r="J81" s="93"/>
      <c r="K81" s="93"/>
      <c r="L81" s="93"/>
      <c r="M81" s="93"/>
      <c r="N81" s="93"/>
      <c r="O81" s="93"/>
      <c r="P81" s="92"/>
      <c r="Q81" s="232"/>
    </row>
    <row r="82" spans="1:17" ht="22.5">
      <c r="A82" s="377" t="s">
        <v>35</v>
      </c>
      <c r="B82" s="378"/>
      <c r="C82" s="379"/>
      <c r="D82" s="378"/>
      <c r="E82" s="380"/>
      <c r="F82" s="380"/>
      <c r="G82" s="380"/>
      <c r="H82" s="380"/>
      <c r="I82" s="380"/>
      <c r="J82" s="380"/>
      <c r="K82" s="380"/>
      <c r="L82" s="380"/>
      <c r="M82" s="380"/>
      <c r="N82" s="380"/>
      <c r="O82" s="380"/>
      <c r="P82" s="379"/>
      <c r="Q82" s="381">
        <f>IFERROR(P82/$P$87, "")</f>
        <v>0</v>
      </c>
    </row>
    <row r="83" spans="1:17" ht="33.75">
      <c r="A83" s="234" t="s">
        <v>36</v>
      </c>
      <c r="B83" s="91"/>
      <c r="C83" s="92"/>
      <c r="D83" s="91"/>
      <c r="E83" s="93"/>
      <c r="F83" s="93"/>
      <c r="G83" s="93"/>
      <c r="H83" s="93">
        <f>SUM(B83:G83)</f>
        <v>0</v>
      </c>
      <c r="I83" s="93"/>
      <c r="J83" s="93"/>
      <c r="K83" s="93"/>
      <c r="L83" s="93"/>
      <c r="M83" s="93">
        <f>SUM(I83:L83)</f>
        <v>0</v>
      </c>
      <c r="N83" s="93"/>
      <c r="O83" s="93">
        <f>SUM(N83)</f>
        <v>0</v>
      </c>
      <c r="P83" s="92">
        <f>SUM(O83,M83,H83)</f>
        <v>0</v>
      </c>
      <c r="Q83" s="232">
        <f t="shared" ref="Q83:Q85" si="46">IFERROR(P83/$P$87, "")</f>
        <v>0</v>
      </c>
    </row>
    <row r="84" spans="1:17" ht="22.5">
      <c r="A84" s="234" t="s">
        <v>37</v>
      </c>
      <c r="B84" s="91"/>
      <c r="C84" s="92"/>
      <c r="D84" s="91"/>
      <c r="E84" s="93"/>
      <c r="F84" s="93"/>
      <c r="G84" s="93"/>
      <c r="H84" s="93"/>
      <c r="I84" s="93"/>
      <c r="J84" s="93"/>
      <c r="K84" s="93"/>
      <c r="L84" s="93"/>
      <c r="M84" s="93"/>
      <c r="N84" s="93"/>
      <c r="O84" s="93"/>
      <c r="P84" s="92"/>
      <c r="Q84" s="232">
        <f t="shared" si="46"/>
        <v>0</v>
      </c>
    </row>
    <row r="85" spans="1:17" ht="22.5">
      <c r="A85" s="234" t="s">
        <v>80</v>
      </c>
      <c r="B85" s="91"/>
      <c r="C85" s="92"/>
      <c r="D85" s="91"/>
      <c r="E85" s="93"/>
      <c r="F85" s="93"/>
      <c r="G85" s="93"/>
      <c r="H85" s="93"/>
      <c r="I85" s="93"/>
      <c r="J85" s="93"/>
      <c r="K85" s="93"/>
      <c r="L85" s="93"/>
      <c r="M85" s="93"/>
      <c r="N85" s="93"/>
      <c r="O85" s="93"/>
      <c r="P85" s="92"/>
      <c r="Q85" s="232">
        <f t="shared" si="46"/>
        <v>0</v>
      </c>
    </row>
    <row r="86" spans="1:17" ht="12" thickBot="1">
      <c r="A86" s="96"/>
      <c r="B86" s="230"/>
      <c r="C86" s="92"/>
      <c r="D86" s="91"/>
      <c r="E86" s="93"/>
      <c r="F86" s="93"/>
      <c r="G86" s="93"/>
      <c r="H86" s="93"/>
      <c r="I86" s="93"/>
      <c r="J86" s="93"/>
      <c r="K86" s="93"/>
      <c r="L86" s="93"/>
      <c r="M86" s="93"/>
      <c r="N86" s="93"/>
      <c r="O86" s="93"/>
      <c r="P86" s="92"/>
      <c r="Q86" s="232"/>
    </row>
    <row r="87" spans="1:17" ht="12" thickBot="1">
      <c r="A87" s="102" t="s">
        <v>0</v>
      </c>
      <c r="B87" s="231">
        <f>SUM(B73:B86)</f>
        <v>0</v>
      </c>
      <c r="C87" s="231">
        <f t="shared" ref="C87" si="47">SUM(C73:C86)</f>
        <v>0</v>
      </c>
      <c r="D87" s="231">
        <f t="shared" ref="D87" si="48">SUM(D73:D86)</f>
        <v>0</v>
      </c>
      <c r="E87" s="231">
        <f t="shared" ref="E87" si="49">SUM(E73:E86)</f>
        <v>3402776</v>
      </c>
      <c r="F87" s="231">
        <f t="shared" ref="F87" si="50">SUM(F73:F86)</f>
        <v>10761</v>
      </c>
      <c r="G87" s="231">
        <f t="shared" ref="G87" si="51">SUM(G73:G86)</f>
        <v>10000</v>
      </c>
      <c r="H87" s="231">
        <f t="shared" ref="H87" si="52">SUM(H73:H86)</f>
        <v>3423537</v>
      </c>
      <c r="I87" s="231">
        <f t="shared" ref="I87" si="53">SUM(I73:I86)</f>
        <v>0</v>
      </c>
      <c r="J87" s="231">
        <f t="shared" ref="J87" si="54">SUM(J73:J86)</f>
        <v>0</v>
      </c>
      <c r="K87" s="231">
        <f t="shared" ref="K87" si="55">SUM(K73:K86)</f>
        <v>0</v>
      </c>
      <c r="L87" s="231">
        <f t="shared" ref="L87" si="56">SUM(L73:L86)</f>
        <v>0</v>
      </c>
      <c r="M87" s="231">
        <f t="shared" ref="M87" si="57">SUM(M73:M86)</f>
        <v>0</v>
      </c>
      <c r="N87" s="231">
        <f t="shared" ref="N87" si="58">SUM(N73:N86)</f>
        <v>0</v>
      </c>
      <c r="O87" s="231">
        <f t="shared" ref="O87" si="59">SUM(O73:O86)</f>
        <v>0</v>
      </c>
      <c r="P87" s="231">
        <f t="shared" ref="P87" si="60">SUM(P73:P86)</f>
        <v>3423537</v>
      </c>
      <c r="Q87" s="233">
        <f>IFERROR(P87/$P$87, "")</f>
        <v>1</v>
      </c>
    </row>
    <row r="88" spans="1:17" ht="12" thickBot="1">
      <c r="A88" s="87"/>
      <c r="B88" s="101"/>
      <c r="C88" s="101"/>
      <c r="D88" s="101"/>
      <c r="E88" s="101"/>
      <c r="F88" s="101"/>
      <c r="G88" s="101"/>
      <c r="H88" s="101"/>
      <c r="I88" s="101"/>
      <c r="J88" s="101"/>
      <c r="K88" s="101"/>
      <c r="L88" s="101"/>
      <c r="M88" s="101"/>
      <c r="N88" s="101"/>
      <c r="O88" s="101"/>
      <c r="P88" s="101"/>
      <c r="Q88" s="101"/>
    </row>
    <row r="89" spans="1:17" s="112" customFormat="1" ht="13.5" customHeight="1" thickBot="1">
      <c r="A89" s="1977" t="s">
        <v>388</v>
      </c>
      <c r="B89" s="1978"/>
      <c r="C89" s="1978"/>
      <c r="D89" s="1978"/>
      <c r="E89" s="1978"/>
      <c r="F89" s="1978"/>
      <c r="G89" s="1978"/>
      <c r="H89" s="1978"/>
      <c r="I89" s="1978"/>
      <c r="J89" s="1978"/>
      <c r="K89" s="1978"/>
      <c r="L89" s="1978"/>
      <c r="M89" s="1978"/>
      <c r="N89" s="1978"/>
      <c r="O89" s="1978"/>
      <c r="P89" s="1978"/>
      <c r="Q89" s="1979"/>
    </row>
    <row r="90" spans="1:17">
      <c r="A90" s="99"/>
      <c r="B90" s="91"/>
      <c r="C90" s="92"/>
      <c r="D90" s="91"/>
      <c r="E90" s="93"/>
      <c r="F90" s="93"/>
      <c r="G90" s="93"/>
      <c r="H90" s="93"/>
      <c r="I90" s="93"/>
      <c r="J90" s="93"/>
      <c r="K90" s="93"/>
      <c r="L90" s="93"/>
      <c r="M90" s="93"/>
      <c r="N90" s="93"/>
      <c r="O90" s="93"/>
      <c r="P90" s="92"/>
      <c r="Q90" s="232"/>
    </row>
    <row r="91" spans="1:17" ht="22.5">
      <c r="A91" s="377" t="s">
        <v>32</v>
      </c>
      <c r="B91" s="378"/>
      <c r="C91" s="379"/>
      <c r="D91" s="378"/>
      <c r="E91" s="380">
        <v>5499481</v>
      </c>
      <c r="F91" s="380"/>
      <c r="G91" s="380">
        <v>20956</v>
      </c>
      <c r="H91" s="380">
        <f>SUM(B91:G91)</f>
        <v>5520437</v>
      </c>
      <c r="I91" s="380"/>
      <c r="J91" s="380"/>
      <c r="K91" s="380"/>
      <c r="L91" s="380"/>
      <c r="M91" s="380">
        <f>SUM(I91:L91)</f>
        <v>0</v>
      </c>
      <c r="N91" s="380"/>
      <c r="O91" s="380">
        <f>SUM(N91)</f>
        <v>0</v>
      </c>
      <c r="P91" s="379">
        <f>SUM(O91,M91,H91)</f>
        <v>5520437</v>
      </c>
      <c r="Q91" s="381">
        <f>IFERROR(P91/$P$104, "")</f>
        <v>0.99953829331845245</v>
      </c>
    </row>
    <row r="92" spans="1:17">
      <c r="A92" s="234"/>
      <c r="B92" s="91"/>
      <c r="C92" s="92"/>
      <c r="D92" s="91"/>
      <c r="E92" s="93"/>
      <c r="F92" s="93"/>
      <c r="G92" s="93"/>
      <c r="H92" s="93"/>
      <c r="I92" s="93"/>
      <c r="J92" s="93"/>
      <c r="K92" s="93"/>
      <c r="L92" s="93"/>
      <c r="M92" s="93"/>
      <c r="N92" s="93"/>
      <c r="O92" s="93"/>
      <c r="P92" s="92"/>
      <c r="Q92" s="232"/>
    </row>
    <row r="93" spans="1:17" ht="33.75">
      <c r="A93" s="377" t="s">
        <v>33</v>
      </c>
      <c r="B93" s="378"/>
      <c r="C93" s="379"/>
      <c r="D93" s="378"/>
      <c r="E93" s="380"/>
      <c r="F93" s="380"/>
      <c r="G93" s="380">
        <v>2550</v>
      </c>
      <c r="H93" s="380">
        <f>SUM(B93:G93)</f>
        <v>2550</v>
      </c>
      <c r="I93" s="380"/>
      <c r="J93" s="380"/>
      <c r="K93" s="380"/>
      <c r="L93" s="380"/>
      <c r="M93" s="380">
        <f>SUM(I93:L93)</f>
        <v>0</v>
      </c>
      <c r="N93" s="380"/>
      <c r="O93" s="380">
        <f>SUM(N93)</f>
        <v>0</v>
      </c>
      <c r="P93" s="379">
        <f>SUM(O93,M93,H93)</f>
        <v>2550</v>
      </c>
      <c r="Q93" s="381">
        <f>IFERROR(P93/$P$104, "")</f>
        <v>4.6170668154750321E-4</v>
      </c>
    </row>
    <row r="94" spans="1:17">
      <c r="A94" s="234"/>
      <c r="B94" s="91"/>
      <c r="C94" s="92"/>
      <c r="D94" s="91"/>
      <c r="E94" s="93"/>
      <c r="F94" s="93"/>
      <c r="G94" s="93"/>
      <c r="H94" s="93"/>
      <c r="I94" s="93"/>
      <c r="J94" s="93"/>
      <c r="K94" s="93"/>
      <c r="L94" s="93"/>
      <c r="M94" s="93"/>
      <c r="N94" s="93"/>
      <c r="O94" s="93"/>
      <c r="P94" s="92"/>
      <c r="Q94" s="232"/>
    </row>
    <row r="95" spans="1:17" ht="45">
      <c r="A95" s="377" t="s">
        <v>383</v>
      </c>
      <c r="B95" s="378"/>
      <c r="C95" s="379"/>
      <c r="D95" s="378"/>
      <c r="E95" s="380"/>
      <c r="F95" s="380"/>
      <c r="G95" s="380"/>
      <c r="H95" s="380">
        <f>SUM(B95:G95)</f>
        <v>0</v>
      </c>
      <c r="I95" s="380"/>
      <c r="J95" s="380"/>
      <c r="K95" s="380"/>
      <c r="L95" s="380"/>
      <c r="M95" s="380">
        <f>SUM(I95:L95)</f>
        <v>0</v>
      </c>
      <c r="N95" s="380"/>
      <c r="O95" s="380">
        <f>SUM(N95)</f>
        <v>0</v>
      </c>
      <c r="P95" s="379">
        <f>SUM(O95,M95,H95)</f>
        <v>0</v>
      </c>
      <c r="Q95" s="381">
        <f>IFERROR(P95/$P$104, "")</f>
        <v>0</v>
      </c>
    </row>
    <row r="96" spans="1:17">
      <c r="A96" s="235"/>
      <c r="B96" s="91"/>
      <c r="C96" s="94"/>
      <c r="D96" s="95"/>
      <c r="E96" s="100"/>
      <c r="F96" s="100"/>
      <c r="G96" s="93"/>
      <c r="H96" s="93"/>
      <c r="I96" s="93"/>
      <c r="J96" s="93"/>
      <c r="K96" s="93"/>
      <c r="L96" s="93"/>
      <c r="M96" s="93"/>
      <c r="N96" s="93"/>
      <c r="O96" s="93"/>
      <c r="P96" s="92"/>
      <c r="Q96" s="232"/>
    </row>
    <row r="97" spans="1:17" ht="22.5">
      <c r="A97" s="377" t="s">
        <v>34</v>
      </c>
      <c r="B97" s="378"/>
      <c r="C97" s="379"/>
      <c r="D97" s="378"/>
      <c r="E97" s="380"/>
      <c r="F97" s="380"/>
      <c r="G97" s="380"/>
      <c r="H97" s="380">
        <f>SUM(B97:G97)</f>
        <v>0</v>
      </c>
      <c r="I97" s="380"/>
      <c r="J97" s="380"/>
      <c r="K97" s="380"/>
      <c r="L97" s="380"/>
      <c r="M97" s="380">
        <f>SUM(I97:L97)</f>
        <v>0</v>
      </c>
      <c r="N97" s="380"/>
      <c r="O97" s="380">
        <f>SUM(N97)</f>
        <v>0</v>
      </c>
      <c r="P97" s="379">
        <f>SUM(O97,M97,H97)</f>
        <v>0</v>
      </c>
      <c r="Q97" s="381">
        <f>IFERROR(P97/$P$104, "")</f>
        <v>0</v>
      </c>
    </row>
    <row r="98" spans="1:17">
      <c r="A98" s="234"/>
      <c r="B98" s="91"/>
      <c r="C98" s="92"/>
      <c r="D98" s="91"/>
      <c r="E98" s="93"/>
      <c r="F98" s="93"/>
      <c r="G98" s="93"/>
      <c r="H98" s="93"/>
      <c r="I98" s="93"/>
      <c r="J98" s="93"/>
      <c r="K98" s="93"/>
      <c r="L98" s="93"/>
      <c r="M98" s="93"/>
      <c r="N98" s="93"/>
      <c r="O98" s="93"/>
      <c r="P98" s="92"/>
      <c r="Q98" s="232"/>
    </row>
    <row r="99" spans="1:17" ht="22.5">
      <c r="A99" s="377" t="s">
        <v>35</v>
      </c>
      <c r="B99" s="378"/>
      <c r="C99" s="379"/>
      <c r="D99" s="378"/>
      <c r="E99" s="380"/>
      <c r="F99" s="380"/>
      <c r="G99" s="380"/>
      <c r="H99" s="380"/>
      <c r="I99" s="380"/>
      <c r="J99" s="380"/>
      <c r="K99" s="380"/>
      <c r="L99" s="380"/>
      <c r="M99" s="380"/>
      <c r="N99" s="380"/>
      <c r="O99" s="380"/>
      <c r="P99" s="379"/>
      <c r="Q99" s="381">
        <f>IFERROR(P99/$P$104, "")</f>
        <v>0</v>
      </c>
    </row>
    <row r="100" spans="1:17" ht="33.75">
      <c r="A100" s="234" t="s">
        <v>36</v>
      </c>
      <c r="B100" s="91"/>
      <c r="C100" s="92"/>
      <c r="D100" s="91"/>
      <c r="E100" s="93"/>
      <c r="F100" s="93"/>
      <c r="G100" s="93"/>
      <c r="H100" s="93">
        <f>SUM(B100:G100)</f>
        <v>0</v>
      </c>
      <c r="I100" s="93"/>
      <c r="J100" s="93"/>
      <c r="K100" s="93"/>
      <c r="L100" s="93"/>
      <c r="M100" s="93">
        <f>SUM(I100:L100)</f>
        <v>0</v>
      </c>
      <c r="N100" s="93"/>
      <c r="O100" s="93">
        <f>SUM(N100)</f>
        <v>0</v>
      </c>
      <c r="P100" s="92">
        <f>SUM(O100,M100,H100)</f>
        <v>0</v>
      </c>
      <c r="Q100" s="232">
        <f t="shared" ref="Q100:Q102" si="61">IFERROR(P100/$P$104, "")</f>
        <v>0</v>
      </c>
    </row>
    <row r="101" spans="1:17" ht="22.5">
      <c r="A101" s="234" t="s">
        <v>37</v>
      </c>
      <c r="B101" s="91"/>
      <c r="C101" s="92"/>
      <c r="D101" s="91"/>
      <c r="E101" s="93"/>
      <c r="F101" s="93"/>
      <c r="G101" s="93"/>
      <c r="H101" s="93"/>
      <c r="I101" s="93"/>
      <c r="J101" s="93"/>
      <c r="K101" s="93"/>
      <c r="L101" s="93"/>
      <c r="M101" s="93"/>
      <c r="N101" s="93"/>
      <c r="O101" s="93"/>
      <c r="P101" s="92"/>
      <c r="Q101" s="232">
        <f t="shared" si="61"/>
        <v>0</v>
      </c>
    </row>
    <row r="102" spans="1:17" ht="22.5">
      <c r="A102" s="234" t="s">
        <v>80</v>
      </c>
      <c r="B102" s="91"/>
      <c r="C102" s="92"/>
      <c r="D102" s="91"/>
      <c r="E102" s="93"/>
      <c r="F102" s="93"/>
      <c r="G102" s="93"/>
      <c r="H102" s="93"/>
      <c r="I102" s="93"/>
      <c r="J102" s="93"/>
      <c r="K102" s="93"/>
      <c r="L102" s="93"/>
      <c r="M102" s="93"/>
      <c r="N102" s="93"/>
      <c r="O102" s="93"/>
      <c r="P102" s="92"/>
      <c r="Q102" s="232">
        <f t="shared" si="61"/>
        <v>0</v>
      </c>
    </row>
    <row r="103" spans="1:17" ht="12" thickBot="1">
      <c r="A103" s="96"/>
      <c r="B103" s="230"/>
      <c r="C103" s="92"/>
      <c r="D103" s="91"/>
      <c r="E103" s="93"/>
      <c r="F103" s="93"/>
      <c r="G103" s="93"/>
      <c r="H103" s="93"/>
      <c r="I103" s="93"/>
      <c r="J103" s="93"/>
      <c r="K103" s="93"/>
      <c r="L103" s="93"/>
      <c r="M103" s="93"/>
      <c r="N103" s="93"/>
      <c r="O103" s="93"/>
      <c r="P103" s="92"/>
      <c r="Q103" s="232"/>
    </row>
    <row r="104" spans="1:17" ht="12" thickBot="1">
      <c r="A104" s="102" t="s">
        <v>0</v>
      </c>
      <c r="B104" s="231">
        <f>SUM(B90:B103)</f>
        <v>0</v>
      </c>
      <c r="C104" s="231">
        <f t="shared" ref="C104" si="62">SUM(C90:C103)</f>
        <v>0</v>
      </c>
      <c r="D104" s="231">
        <f t="shared" ref="D104" si="63">SUM(D90:D103)</f>
        <v>0</v>
      </c>
      <c r="E104" s="231">
        <f t="shared" ref="E104" si="64">SUM(E90:E103)</f>
        <v>5499481</v>
      </c>
      <c r="F104" s="231">
        <f t="shared" ref="F104" si="65">SUM(F90:F103)</f>
        <v>0</v>
      </c>
      <c r="G104" s="231">
        <f t="shared" ref="G104" si="66">SUM(G90:G103)</f>
        <v>23506</v>
      </c>
      <c r="H104" s="231">
        <f t="shared" ref="H104" si="67">SUM(H90:H103)</f>
        <v>5522987</v>
      </c>
      <c r="I104" s="231">
        <f t="shared" ref="I104" si="68">SUM(I90:I103)</f>
        <v>0</v>
      </c>
      <c r="J104" s="231">
        <f t="shared" ref="J104" si="69">SUM(J90:J103)</f>
        <v>0</v>
      </c>
      <c r="K104" s="231">
        <f t="shared" ref="K104" si="70">SUM(K90:K103)</f>
        <v>0</v>
      </c>
      <c r="L104" s="231">
        <f t="shared" ref="L104" si="71">SUM(L90:L103)</f>
        <v>0</v>
      </c>
      <c r="M104" s="231">
        <f t="shared" ref="M104" si="72">SUM(M90:M103)</f>
        <v>0</v>
      </c>
      <c r="N104" s="231">
        <f t="shared" ref="N104" si="73">SUM(N90:N103)</f>
        <v>0</v>
      </c>
      <c r="O104" s="231">
        <f t="shared" ref="O104" si="74">SUM(O90:O103)</f>
        <v>0</v>
      </c>
      <c r="P104" s="231">
        <f t="shared" ref="P104" si="75">SUM(P90:P103)</f>
        <v>5522987</v>
      </c>
      <c r="Q104" s="233">
        <f>IFERROR(P104/$P$104, "")</f>
        <v>1</v>
      </c>
    </row>
    <row r="105" spans="1:17">
      <c r="A105" s="87"/>
      <c r="B105" s="101"/>
      <c r="C105" s="101"/>
      <c r="D105" s="101"/>
      <c r="E105" s="101"/>
      <c r="F105" s="101"/>
      <c r="G105" s="101"/>
      <c r="H105" s="101"/>
      <c r="I105" s="101"/>
      <c r="J105" s="101"/>
      <c r="K105" s="101"/>
      <c r="L105" s="101"/>
      <c r="M105" s="101"/>
      <c r="N105" s="101"/>
      <c r="O105" s="101"/>
      <c r="P105" s="101"/>
      <c r="Q105" s="101"/>
    </row>
  </sheetData>
  <mergeCells count="10">
    <mergeCell ref="A89:Q89"/>
    <mergeCell ref="A21:Q21"/>
    <mergeCell ref="A38:Q38"/>
    <mergeCell ref="A55:Q55"/>
    <mergeCell ref="A72:Q72"/>
    <mergeCell ref="P3:Q3"/>
    <mergeCell ref="B3:H3"/>
    <mergeCell ref="I3:M3"/>
    <mergeCell ref="A3:A4"/>
    <mergeCell ref="N3:O3"/>
  </mergeCells>
  <phoneticPr fontId="0" type="noConversion"/>
  <printOptions horizontalCentered="1"/>
  <pageMargins left="0.19685039370078741" right="0.19685039370078741" top="0.78740157480314965" bottom="0.78740157480314965" header="0.19685039370078741" footer="0.19685039370078741"/>
  <pageSetup paperSize="9" orientation="landscape" r:id="rId1"/>
  <headerFooter alignWithMargins="0">
    <oddHeader>&amp;C&amp;"Arial,Negrita"&amp;18FORMATOS DEL PROYECTO DE PRESUPUESTO 2021</oddHeader>
    <oddFooter>&amp;L&amp;"Arial,Negrita"&amp;8PROYECTO DE PRESUPUESTO PARA EL AÑO FISCAL 2021
INFORMACIÓN PARA LA COMISIÓN DE PRESUPUESTO Y CUENTA GENERAL DE LA REPÚBLICA DEL CONGRESO DE LA REPÚBLICA</oddFooter>
  </headerFooter>
  <rowBreaks count="5" manualBreakCount="5">
    <brk id="20" max="16" man="1"/>
    <brk id="37" max="16" man="1"/>
    <brk id="54" max="16" man="1"/>
    <brk id="71" max="16" man="1"/>
    <brk id="88" max="1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6">
    <tabColor rgb="FF002060"/>
  </sheetPr>
  <dimension ref="A1:V144"/>
  <sheetViews>
    <sheetView view="pageBreakPreview" zoomScaleNormal="100" zoomScaleSheetLayoutView="100" zoomScalePageLayoutView="90" workbookViewId="0">
      <pane xSplit="2" ySplit="4" topLeftCell="D23" activePane="bottomRight" state="frozen"/>
      <selection activeCell="B8" sqref="B8"/>
      <selection pane="topRight" activeCell="B8" sqref="B8"/>
      <selection pane="bottomLeft" activeCell="B8" sqref="B8"/>
      <selection pane="bottomRight" activeCell="B8" sqref="B8"/>
    </sheetView>
  </sheetViews>
  <sheetFormatPr baseColWidth="10" defaultRowHeight="12"/>
  <cols>
    <col min="1" max="1" width="16.28515625" style="58" customWidth="1"/>
    <col min="2" max="2" width="5.28515625" style="58" customWidth="1"/>
    <col min="3" max="3" width="5.42578125" style="58" hidden="1" customWidth="1"/>
    <col min="4" max="6" width="12.28515625" style="58" bestFit="1" customWidth="1"/>
    <col min="7" max="7" width="10.85546875" style="58" bestFit="1" customWidth="1"/>
    <col min="8" max="8" width="9.85546875" style="58" bestFit="1" customWidth="1"/>
    <col min="9" max="9" width="12.28515625" style="58" bestFit="1" customWidth="1"/>
    <col min="10" max="10" width="10.85546875" style="58" bestFit="1" customWidth="1"/>
    <col min="11" max="11" width="10.85546875" style="58" hidden="1" customWidth="1"/>
    <col min="12" max="12" width="10.85546875" style="58" bestFit="1" customWidth="1"/>
    <col min="13" max="13" width="10" style="58" hidden="1" customWidth="1"/>
    <col min="14" max="16" width="10.85546875" style="58" bestFit="1" customWidth="1"/>
    <col min="17" max="17" width="12.28515625" style="58" bestFit="1" customWidth="1"/>
    <col min="18" max="18" width="7" style="58" bestFit="1" customWidth="1"/>
    <col min="19" max="16384" width="11.42578125" style="58"/>
  </cols>
  <sheetData>
    <row r="1" spans="1:22" s="4" customFormat="1">
      <c r="A1" s="76" t="s">
        <v>455</v>
      </c>
      <c r="B1" s="5"/>
      <c r="C1" s="5"/>
      <c r="D1" s="5"/>
      <c r="E1" s="5"/>
      <c r="F1" s="5"/>
      <c r="G1" s="5"/>
      <c r="H1" s="5"/>
      <c r="I1" s="5"/>
      <c r="J1" s="5"/>
      <c r="K1" s="5"/>
      <c r="L1" s="5"/>
      <c r="M1" s="5"/>
      <c r="N1" s="5"/>
      <c r="O1" s="5"/>
      <c r="P1" s="5"/>
      <c r="Q1" s="5"/>
      <c r="R1" s="5"/>
    </row>
    <row r="2" spans="1:22" s="4" customFormat="1" ht="12.75" thickBot="1">
      <c r="A2" s="77" t="s">
        <v>382</v>
      </c>
      <c r="B2" s="69"/>
      <c r="C2" s="69"/>
      <c r="D2" s="69"/>
      <c r="E2" s="69"/>
      <c r="F2" s="69"/>
      <c r="G2" s="69"/>
      <c r="H2" s="69"/>
      <c r="I2" s="69"/>
      <c r="J2" s="69"/>
      <c r="K2" s="69"/>
      <c r="L2" s="69"/>
      <c r="M2" s="69"/>
      <c r="N2" s="69"/>
      <c r="O2" s="69"/>
      <c r="P2" s="69"/>
      <c r="Q2" s="69"/>
      <c r="R2" s="69"/>
      <c r="S2" s="69"/>
      <c r="T2" s="69"/>
      <c r="U2" s="69"/>
      <c r="V2" s="69"/>
    </row>
    <row r="3" spans="1:22" ht="12" customHeight="1">
      <c r="A3" s="1985" t="s">
        <v>116</v>
      </c>
      <c r="B3" s="1992" t="s">
        <v>117</v>
      </c>
      <c r="C3" s="1987" t="s">
        <v>22</v>
      </c>
      <c r="D3" s="1988"/>
      <c r="E3" s="1988"/>
      <c r="F3" s="1988"/>
      <c r="G3" s="1988"/>
      <c r="H3" s="1988"/>
      <c r="I3" s="1989"/>
      <c r="J3" s="1990" t="s">
        <v>99</v>
      </c>
      <c r="K3" s="1983"/>
      <c r="L3" s="1983"/>
      <c r="M3" s="1983"/>
      <c r="N3" s="1984"/>
      <c r="O3" s="1991" t="s">
        <v>89</v>
      </c>
      <c r="P3" s="1983"/>
      <c r="Q3" s="1983" t="s">
        <v>0</v>
      </c>
      <c r="R3" s="1984"/>
    </row>
    <row r="4" spans="1:22" ht="62.25" customHeight="1" thickBot="1">
      <c r="A4" s="1986"/>
      <c r="B4" s="1993"/>
      <c r="C4" s="119" t="s">
        <v>231</v>
      </c>
      <c r="D4" s="382" t="s">
        <v>232</v>
      </c>
      <c r="E4" s="382" t="s">
        <v>233</v>
      </c>
      <c r="F4" s="382" t="s">
        <v>234</v>
      </c>
      <c r="G4" s="382" t="s">
        <v>235</v>
      </c>
      <c r="H4" s="382" t="s">
        <v>236</v>
      </c>
      <c r="I4" s="383" t="s">
        <v>96</v>
      </c>
      <c r="J4" s="384" t="s">
        <v>235</v>
      </c>
      <c r="K4" s="382" t="s">
        <v>236</v>
      </c>
      <c r="L4" s="382" t="s">
        <v>237</v>
      </c>
      <c r="M4" s="382" t="s">
        <v>238</v>
      </c>
      <c r="N4" s="383" t="s">
        <v>97</v>
      </c>
      <c r="O4" s="385" t="s">
        <v>239</v>
      </c>
      <c r="P4" s="382" t="s">
        <v>98</v>
      </c>
      <c r="Q4" s="386" t="s">
        <v>30</v>
      </c>
      <c r="R4" s="387" t="s">
        <v>88</v>
      </c>
    </row>
    <row r="5" spans="1:22" s="68" customFormat="1" ht="13.5" customHeight="1" thickBot="1">
      <c r="A5" s="1980" t="s">
        <v>418</v>
      </c>
      <c r="B5" s="1981"/>
      <c r="C5" s="1981"/>
      <c r="D5" s="1981"/>
      <c r="E5" s="1981"/>
      <c r="F5" s="1981"/>
      <c r="G5" s="1981"/>
      <c r="H5" s="1981"/>
      <c r="I5" s="1981"/>
      <c r="J5" s="1981"/>
      <c r="K5" s="1981"/>
      <c r="L5" s="1981"/>
      <c r="M5" s="1981"/>
      <c r="N5" s="1981"/>
      <c r="O5" s="1981"/>
      <c r="P5" s="1981"/>
      <c r="Q5" s="1981"/>
      <c r="R5" s="1982"/>
    </row>
    <row r="6" spans="1:22" ht="12.75" customHeight="1">
      <c r="A6" s="1996" t="s">
        <v>389</v>
      </c>
      <c r="B6" s="215">
        <v>2019</v>
      </c>
      <c r="C6" s="236"/>
      <c r="D6" s="237"/>
      <c r="E6" s="237"/>
      <c r="F6" s="237">
        <v>1346658</v>
      </c>
      <c r="G6" s="237"/>
      <c r="H6" s="237"/>
      <c r="I6" s="238">
        <f>SUM(C6:H6)</f>
        <v>1346658</v>
      </c>
      <c r="J6" s="236"/>
      <c r="K6" s="237"/>
      <c r="L6" s="237"/>
      <c r="M6" s="237"/>
      <c r="N6" s="238">
        <f>SUM(J6:M6)</f>
        <v>0</v>
      </c>
      <c r="O6" s="239"/>
      <c r="P6" s="237">
        <f>SUM(O6)</f>
        <v>0</v>
      </c>
      <c r="Q6" s="237">
        <f>SUM(P6,N6,I6)</f>
        <v>1346658</v>
      </c>
      <c r="R6" s="240">
        <f>IFERROR(Q6/(+Q8+Q7+Q6)," ")</f>
        <v>0.28675146473093988</v>
      </c>
    </row>
    <row r="7" spans="1:22" ht="12.75">
      <c r="A7" s="1997"/>
      <c r="B7" s="215">
        <v>2020</v>
      </c>
      <c r="C7" s="241"/>
      <c r="D7" s="242"/>
      <c r="E7" s="242"/>
      <c r="F7" s="242">
        <v>1708005</v>
      </c>
      <c r="G7" s="242"/>
      <c r="H7" s="242"/>
      <c r="I7" s="243">
        <f>SUM(C7:H7)</f>
        <v>1708005</v>
      </c>
      <c r="J7" s="241"/>
      <c r="K7" s="242"/>
      <c r="L7" s="242"/>
      <c r="M7" s="242"/>
      <c r="N7" s="243">
        <f>SUM(J7:M7)</f>
        <v>0</v>
      </c>
      <c r="O7" s="244"/>
      <c r="P7" s="242">
        <f>SUM(O7)</f>
        <v>0</v>
      </c>
      <c r="Q7" s="242">
        <f>SUM(P7,N7,I7)</f>
        <v>1708005</v>
      </c>
      <c r="R7" s="245">
        <f>IFERROR(Q7/(+Q8+Q7+Q6)," ")</f>
        <v>0.36369511451145647</v>
      </c>
    </row>
    <row r="8" spans="1:22" ht="12.75">
      <c r="A8" s="1997"/>
      <c r="B8" s="215">
        <v>2021</v>
      </c>
      <c r="C8" s="241"/>
      <c r="D8" s="242"/>
      <c r="E8" s="242"/>
      <c r="F8" s="242">
        <v>1641592</v>
      </c>
      <c r="G8" s="242"/>
      <c r="H8" s="242"/>
      <c r="I8" s="243">
        <f>SUM(C8:H8)</f>
        <v>1641592</v>
      </c>
      <c r="J8" s="241"/>
      <c r="K8" s="242"/>
      <c r="L8" s="242"/>
      <c r="M8" s="242"/>
      <c r="N8" s="243">
        <f>SUM(J8:M8)</f>
        <v>0</v>
      </c>
      <c r="O8" s="244"/>
      <c r="P8" s="242">
        <f>SUM(O8)</f>
        <v>0</v>
      </c>
      <c r="Q8" s="242">
        <f>SUM(P8,N8,I8)</f>
        <v>1641592</v>
      </c>
      <c r="R8" s="245">
        <f>IFERROR(Q8/(+Q8+Q7+Q6)," ")</f>
        <v>0.34955342075760365</v>
      </c>
    </row>
    <row r="9" spans="1:22" ht="13.5" customHeight="1" thickBot="1">
      <c r="A9" s="1994" t="s">
        <v>397</v>
      </c>
      <c r="B9" s="1995"/>
      <c r="C9" s="246" t="str">
        <f t="shared" ref="C9:Q9" si="0">IFERROR(((C8-C7)/C7)," ")</f>
        <v xml:space="preserve"> </v>
      </c>
      <c r="D9" s="247" t="str">
        <f t="shared" si="0"/>
        <v xml:space="preserve"> </v>
      </c>
      <c r="E9" s="247" t="str">
        <f t="shared" si="0"/>
        <v xml:space="preserve"> </v>
      </c>
      <c r="F9" s="247">
        <f t="shared" si="0"/>
        <v>-3.8883375634146268E-2</v>
      </c>
      <c r="G9" s="247" t="str">
        <f t="shared" si="0"/>
        <v xml:space="preserve"> </v>
      </c>
      <c r="H9" s="247" t="str">
        <f t="shared" si="0"/>
        <v xml:space="preserve"> </v>
      </c>
      <c r="I9" s="248">
        <f t="shared" si="0"/>
        <v>-3.8883375634146268E-2</v>
      </c>
      <c r="J9" s="246" t="str">
        <f t="shared" si="0"/>
        <v xml:space="preserve"> </v>
      </c>
      <c r="K9" s="247" t="str">
        <f t="shared" si="0"/>
        <v xml:space="preserve"> </v>
      </c>
      <c r="L9" s="247" t="str">
        <f t="shared" si="0"/>
        <v xml:space="preserve"> </v>
      </c>
      <c r="M9" s="247" t="str">
        <f t="shared" si="0"/>
        <v xml:space="preserve"> </v>
      </c>
      <c r="N9" s="248" t="str">
        <f t="shared" si="0"/>
        <v xml:space="preserve"> </v>
      </c>
      <c r="O9" s="249" t="str">
        <f t="shared" si="0"/>
        <v xml:space="preserve"> </v>
      </c>
      <c r="P9" s="247" t="str">
        <f t="shared" si="0"/>
        <v xml:space="preserve"> </v>
      </c>
      <c r="Q9" s="247">
        <f t="shared" si="0"/>
        <v>-3.8883375634146268E-2</v>
      </c>
      <c r="R9" s="250">
        <f>IFERROR(((R8-R7)/R7)," ")</f>
        <v>-3.8883375634146324E-2</v>
      </c>
    </row>
    <row r="10" spans="1:22" ht="12.75" customHeight="1">
      <c r="A10" s="1996" t="s">
        <v>390</v>
      </c>
      <c r="B10" s="215">
        <v>2019</v>
      </c>
      <c r="C10" s="236"/>
      <c r="D10" s="237">
        <v>3331925699</v>
      </c>
      <c r="E10" s="237"/>
      <c r="F10" s="242">
        <v>1513869181</v>
      </c>
      <c r="G10" s="237">
        <v>520572</v>
      </c>
      <c r="H10" s="237">
        <v>25086277</v>
      </c>
      <c r="I10" s="238">
        <f>SUM(C10:H10)</f>
        <v>4871401729</v>
      </c>
      <c r="J10" s="236"/>
      <c r="K10" s="237"/>
      <c r="L10" s="237">
        <v>326689833</v>
      </c>
      <c r="M10" s="237"/>
      <c r="N10" s="238">
        <f>SUM(J10:M10)</f>
        <v>326689833</v>
      </c>
      <c r="O10" s="239"/>
      <c r="P10" s="237">
        <f>SUM(O10)</f>
        <v>0</v>
      </c>
      <c r="Q10" s="237">
        <f>SUM(P10,N10,I10)</f>
        <v>5198091562</v>
      </c>
      <c r="R10" s="240">
        <f>IFERROR(Q10/(+Q12+Q11+Q10)," ")</f>
        <v>0.3388313093234932</v>
      </c>
    </row>
    <row r="11" spans="1:22" ht="12.75">
      <c r="A11" s="1997"/>
      <c r="B11" s="215">
        <v>2020</v>
      </c>
      <c r="C11" s="241"/>
      <c r="D11" s="242">
        <v>3379530067</v>
      </c>
      <c r="E11" s="242">
        <v>1810000</v>
      </c>
      <c r="F11" s="242">
        <v>1485409927</v>
      </c>
      <c r="G11" s="242">
        <v>534587</v>
      </c>
      <c r="H11" s="242">
        <v>25086277</v>
      </c>
      <c r="I11" s="243">
        <f>SUM(C11:H11)</f>
        <v>4892370858</v>
      </c>
      <c r="J11" s="241"/>
      <c r="K11" s="242"/>
      <c r="L11" s="242">
        <v>340218423</v>
      </c>
      <c r="M11" s="242"/>
      <c r="N11" s="243">
        <f>SUM(J11:M11)</f>
        <v>340218423</v>
      </c>
      <c r="O11" s="244"/>
      <c r="P11" s="242">
        <f>SUM(O11)</f>
        <v>0</v>
      </c>
      <c r="Q11" s="242">
        <f>SUM(P11,N11,I11)</f>
        <v>5232589281</v>
      </c>
      <c r="R11" s="245">
        <f>IFERROR(Q11/(+Q12+Q11+Q10)," ")</f>
        <v>0.34108000139788724</v>
      </c>
    </row>
    <row r="12" spans="1:22" ht="12.75">
      <c r="A12" s="1997"/>
      <c r="B12" s="215">
        <v>2021</v>
      </c>
      <c r="C12" s="241"/>
      <c r="D12" s="242">
        <v>3352824814</v>
      </c>
      <c r="E12" s="242">
        <v>1817744</v>
      </c>
      <c r="F12" s="242">
        <v>1348913429</v>
      </c>
      <c r="G12" s="242">
        <v>247616</v>
      </c>
      <c r="H12" s="242">
        <v>23310873</v>
      </c>
      <c r="I12" s="243">
        <f>SUM(C12:H12)</f>
        <v>4727114476</v>
      </c>
      <c r="J12" s="241"/>
      <c r="K12" s="242"/>
      <c r="L12" s="242">
        <v>183442102</v>
      </c>
      <c r="M12" s="242"/>
      <c r="N12" s="243">
        <f>SUM(J12:M12)</f>
        <v>183442102</v>
      </c>
      <c r="O12" s="244"/>
      <c r="P12" s="242">
        <f>SUM(O12)</f>
        <v>0</v>
      </c>
      <c r="Q12" s="242">
        <f>SUM(P12,N12,I12)</f>
        <v>4910556578</v>
      </c>
      <c r="R12" s="245">
        <f>IFERROR(Q12/(+Q12+Q11+Q10)," ")</f>
        <v>0.32008868927861955</v>
      </c>
    </row>
    <row r="13" spans="1:22" ht="12.75" thickBot="1">
      <c r="A13" s="1994" t="s">
        <v>397</v>
      </c>
      <c r="B13" s="1995"/>
      <c r="C13" s="246" t="str">
        <f t="shared" ref="C13:E13" si="1">IFERROR(((C12-C11)/C11)," ")</f>
        <v xml:space="preserve"> </v>
      </c>
      <c r="D13" s="247">
        <f t="shared" si="1"/>
        <v>-7.9020610767064972E-3</v>
      </c>
      <c r="E13" s="247">
        <f t="shared" si="1"/>
        <v>4.2784530386740334E-3</v>
      </c>
      <c r="F13" s="247">
        <f>IFERROR(((F12-F11)/F11)," ")</f>
        <v>-9.1891467479064445E-2</v>
      </c>
      <c r="G13" s="247">
        <f t="shared" ref="G13:R13" si="2">IFERROR(((G12-G11)/G11)," ")</f>
        <v>-0.53680878884073124</v>
      </c>
      <c r="H13" s="247">
        <f t="shared" si="2"/>
        <v>-7.0771920440805144E-2</v>
      </c>
      <c r="I13" s="248">
        <f t="shared" si="2"/>
        <v>-3.3778384099760736E-2</v>
      </c>
      <c r="J13" s="246" t="str">
        <f t="shared" si="2"/>
        <v xml:space="preserve"> </v>
      </c>
      <c r="K13" s="247" t="str">
        <f t="shared" si="2"/>
        <v xml:space="preserve"> </v>
      </c>
      <c r="L13" s="247">
        <f t="shared" si="2"/>
        <v>-0.46081079213044263</v>
      </c>
      <c r="M13" s="247" t="str">
        <f t="shared" si="2"/>
        <v xml:space="preserve"> </v>
      </c>
      <c r="N13" s="248">
        <f t="shared" si="2"/>
        <v>-0.46081079213044263</v>
      </c>
      <c r="O13" s="249" t="str">
        <f t="shared" si="2"/>
        <v xml:space="preserve"> </v>
      </c>
      <c r="P13" s="247" t="str">
        <f t="shared" si="2"/>
        <v xml:space="preserve"> </v>
      </c>
      <c r="Q13" s="247">
        <f t="shared" si="2"/>
        <v>-6.1543661408574445E-2</v>
      </c>
      <c r="R13" s="250">
        <f t="shared" si="2"/>
        <v>-6.1543661408574507E-2</v>
      </c>
    </row>
    <row r="14" spans="1:22" ht="12.75" customHeight="1">
      <c r="A14" s="1996" t="s">
        <v>391</v>
      </c>
      <c r="B14" s="215">
        <v>2019</v>
      </c>
      <c r="C14" s="236"/>
      <c r="D14" s="237">
        <v>2218689</v>
      </c>
      <c r="E14" s="237">
        <v>15000000</v>
      </c>
      <c r="F14" s="242">
        <v>64637538</v>
      </c>
      <c r="G14" s="237">
        <v>100000000</v>
      </c>
      <c r="H14" s="237">
        <v>136253</v>
      </c>
      <c r="I14" s="238">
        <f>SUM(C14:H14)</f>
        <v>181992480</v>
      </c>
      <c r="J14" s="236">
        <v>193000000</v>
      </c>
      <c r="K14" s="237"/>
      <c r="L14" s="237">
        <v>22456750</v>
      </c>
      <c r="M14" s="237"/>
      <c r="N14" s="238">
        <f>SUM(J14:M14)</f>
        <v>215456750</v>
      </c>
      <c r="O14" s="239"/>
      <c r="P14" s="237">
        <f>SUM(O14)</f>
        <v>0</v>
      </c>
      <c r="Q14" s="237">
        <f>SUM(P14,N14,I14)</f>
        <v>397449230</v>
      </c>
      <c r="R14" s="240">
        <f>IFERROR(Q14/(+Q16+Q15+Q14)," ")</f>
        <v>0.31871938695159419</v>
      </c>
    </row>
    <row r="15" spans="1:22" ht="12.75">
      <c r="A15" s="1997"/>
      <c r="B15" s="215">
        <v>2020</v>
      </c>
      <c r="C15" s="241"/>
      <c r="D15" s="242">
        <v>2098521</v>
      </c>
      <c r="E15" s="242">
        <v>15220872</v>
      </c>
      <c r="F15" s="242">
        <v>62372804</v>
      </c>
      <c r="G15" s="242">
        <v>214043613</v>
      </c>
      <c r="H15" s="242">
        <v>76253</v>
      </c>
      <c r="I15" s="243">
        <f>SUM(C15:H15)</f>
        <v>293812063</v>
      </c>
      <c r="J15" s="241">
        <v>100000000</v>
      </c>
      <c r="K15" s="242"/>
      <c r="L15" s="242">
        <v>68733449</v>
      </c>
      <c r="M15" s="242"/>
      <c r="N15" s="243">
        <f>SUM(J15:M15)</f>
        <v>168733449</v>
      </c>
      <c r="O15" s="244"/>
      <c r="P15" s="242">
        <f>SUM(O15)</f>
        <v>0</v>
      </c>
      <c r="Q15" s="242">
        <f>SUM(P15,N15,I15)</f>
        <v>462545512</v>
      </c>
      <c r="R15" s="245">
        <f>IFERROR(Q15/(+Q16+Q15+Q14)," ")</f>
        <v>0.37092088974949394</v>
      </c>
    </row>
    <row r="16" spans="1:22" ht="12.75">
      <c r="A16" s="1997"/>
      <c r="B16" s="215">
        <v>2021</v>
      </c>
      <c r="C16" s="241"/>
      <c r="D16" s="242">
        <v>2030424</v>
      </c>
      <c r="E16" s="242">
        <v>15204847</v>
      </c>
      <c r="F16" s="242">
        <v>67275130</v>
      </c>
      <c r="G16" s="242">
        <v>164000000</v>
      </c>
      <c r="H16" s="242">
        <v>76253</v>
      </c>
      <c r="I16" s="243">
        <f>SUM(C16:H16)</f>
        <v>248586654</v>
      </c>
      <c r="J16" s="241">
        <v>100000000</v>
      </c>
      <c r="K16" s="242"/>
      <c r="L16" s="242">
        <v>38437914</v>
      </c>
      <c r="M16" s="242"/>
      <c r="N16" s="243">
        <f>SUM(J16:M16)</f>
        <v>138437914</v>
      </c>
      <c r="O16" s="244"/>
      <c r="P16" s="242">
        <f>SUM(O16)</f>
        <v>0</v>
      </c>
      <c r="Q16" s="242">
        <f>SUM(P16,N16,I16)</f>
        <v>387024568</v>
      </c>
      <c r="R16" s="245">
        <f>IFERROR(Q16/(+Q16+Q15+Q14)," ")</f>
        <v>0.31035972329891187</v>
      </c>
    </row>
    <row r="17" spans="1:18" ht="12.75" thickBot="1">
      <c r="A17" s="1994" t="s">
        <v>397</v>
      </c>
      <c r="B17" s="1995"/>
      <c r="C17" s="251" t="str">
        <f t="shared" ref="C17:E17" si="3">IFERROR(((C16-C15)/C15)," ")</f>
        <v xml:space="preserve"> </v>
      </c>
      <c r="D17" s="252">
        <f t="shared" si="3"/>
        <v>-3.2449996926406738E-2</v>
      </c>
      <c r="E17" s="252">
        <f t="shared" si="3"/>
        <v>-1.0528306131212457E-3</v>
      </c>
      <c r="F17" s="252">
        <f>IFERROR(((F16-F15)/F15)," ")</f>
        <v>7.8597171934101276E-2</v>
      </c>
      <c r="G17" s="252">
        <f>IFERROR(((G16-G15)/G15)," ")</f>
        <v>-0.23380101045108037</v>
      </c>
      <c r="H17" s="252">
        <f t="shared" ref="H17:R17" si="4">IFERROR(((H16-H15)/H15)," ")</f>
        <v>0</v>
      </c>
      <c r="I17" s="252">
        <f t="shared" si="4"/>
        <v>-0.15392631785850128</v>
      </c>
      <c r="J17" s="252">
        <f t="shared" si="4"/>
        <v>0</v>
      </c>
      <c r="K17" s="252" t="str">
        <f t="shared" si="4"/>
        <v xml:space="preserve"> </v>
      </c>
      <c r="L17" s="252">
        <f t="shared" si="4"/>
        <v>-0.44076843866804938</v>
      </c>
      <c r="M17" s="252" t="str">
        <f t="shared" si="4"/>
        <v xml:space="preserve"> </v>
      </c>
      <c r="N17" s="252">
        <f t="shared" si="4"/>
        <v>-0.17954670623724406</v>
      </c>
      <c r="O17" s="252" t="str">
        <f t="shared" si="4"/>
        <v xml:space="preserve"> </v>
      </c>
      <c r="P17" s="252" t="str">
        <f t="shared" si="4"/>
        <v xml:space="preserve"> </v>
      </c>
      <c r="Q17" s="252">
        <f t="shared" si="4"/>
        <v>-0.16327246085137673</v>
      </c>
      <c r="R17" s="253">
        <f t="shared" si="4"/>
        <v>-0.16327246085137673</v>
      </c>
    </row>
    <row r="18" spans="1:18" ht="12.75">
      <c r="A18" s="1996" t="s">
        <v>392</v>
      </c>
      <c r="B18" s="215">
        <v>2019</v>
      </c>
      <c r="C18" s="236"/>
      <c r="D18" s="237"/>
      <c r="E18" s="237"/>
      <c r="F18" s="237">
        <v>7000000</v>
      </c>
      <c r="G18" s="237"/>
      <c r="H18" s="237"/>
      <c r="I18" s="238">
        <f>SUM(C18:H18)</f>
        <v>7000000</v>
      </c>
      <c r="J18" s="236"/>
      <c r="K18" s="237"/>
      <c r="L18" s="237"/>
      <c r="M18" s="237"/>
      <c r="N18" s="238">
        <f>SUM(J18:M18)</f>
        <v>0</v>
      </c>
      <c r="O18" s="239"/>
      <c r="P18" s="237">
        <f>SUM(O18)</f>
        <v>0</v>
      </c>
      <c r="Q18" s="237">
        <f>SUM(P18,N18,I18)</f>
        <v>7000000</v>
      </c>
      <c r="R18" s="240">
        <f>IFERROR(Q18/(+Q20+Q19+Q18)," ")</f>
        <v>0.2773480863497117</v>
      </c>
    </row>
    <row r="19" spans="1:18" ht="12.75">
      <c r="A19" s="1997"/>
      <c r="B19" s="215">
        <v>2020</v>
      </c>
      <c r="C19" s="241"/>
      <c r="D19" s="242"/>
      <c r="E19" s="242"/>
      <c r="F19" s="242">
        <v>12454318</v>
      </c>
      <c r="G19" s="242"/>
      <c r="H19" s="242"/>
      <c r="I19" s="243">
        <f>SUM(C19:H19)</f>
        <v>12454318</v>
      </c>
      <c r="J19" s="241"/>
      <c r="K19" s="242"/>
      <c r="L19" s="242"/>
      <c r="M19" s="242"/>
      <c r="N19" s="243">
        <f>SUM(J19:M19)</f>
        <v>0</v>
      </c>
      <c r="O19" s="244"/>
      <c r="P19" s="242">
        <f>SUM(O19)</f>
        <v>0</v>
      </c>
      <c r="Q19" s="242">
        <f>SUM(P19,N19,I19)</f>
        <v>12454318</v>
      </c>
      <c r="R19" s="245">
        <f>IFERROR(Q19/(+Q20+Q19+Q18)," ")</f>
        <v>0.49345446629868123</v>
      </c>
    </row>
    <row r="20" spans="1:18" ht="12.75">
      <c r="A20" s="1997"/>
      <c r="B20" s="215">
        <v>2021</v>
      </c>
      <c r="C20" s="241"/>
      <c r="D20" s="242"/>
      <c r="E20" s="242"/>
      <c r="F20" s="242">
        <v>5784724</v>
      </c>
      <c r="G20" s="242"/>
      <c r="H20" s="242"/>
      <c r="I20" s="243">
        <f>SUM(C20:H20)</f>
        <v>5784724</v>
      </c>
      <c r="J20" s="241"/>
      <c r="K20" s="242"/>
      <c r="L20" s="242"/>
      <c r="M20" s="242"/>
      <c r="N20" s="243">
        <f>SUM(J20:M20)</f>
        <v>0</v>
      </c>
      <c r="O20" s="244"/>
      <c r="P20" s="242">
        <f>SUM(O20)</f>
        <v>0</v>
      </c>
      <c r="Q20" s="242">
        <f>SUM(P20,N20,I20)</f>
        <v>5784724</v>
      </c>
      <c r="R20" s="245">
        <f>IFERROR(Q20/(+Q20+Q19+Q18)," ")</f>
        <v>0.22919744735160708</v>
      </c>
    </row>
    <row r="21" spans="1:18" ht="12.75" thickBot="1">
      <c r="A21" s="1994" t="s">
        <v>397</v>
      </c>
      <c r="B21" s="1995"/>
      <c r="C21" s="246" t="str">
        <f t="shared" ref="C21:R21" si="5">IFERROR(((C20-C19)/C19)," ")</f>
        <v xml:space="preserve"> </v>
      </c>
      <c r="D21" s="247" t="str">
        <f t="shared" si="5"/>
        <v xml:space="preserve"> </v>
      </c>
      <c r="E21" s="247" t="str">
        <f t="shared" si="5"/>
        <v xml:space="preserve"> </v>
      </c>
      <c r="F21" s="247">
        <f t="shared" si="5"/>
        <v>-0.53552462688041202</v>
      </c>
      <c r="G21" s="247" t="str">
        <f t="shared" si="5"/>
        <v xml:space="preserve"> </v>
      </c>
      <c r="H21" s="247" t="str">
        <f t="shared" si="5"/>
        <v xml:space="preserve"> </v>
      </c>
      <c r="I21" s="247">
        <f t="shared" si="5"/>
        <v>-0.53552462688041202</v>
      </c>
      <c r="J21" s="247" t="str">
        <f t="shared" si="5"/>
        <v xml:space="preserve"> </v>
      </c>
      <c r="K21" s="247" t="str">
        <f t="shared" si="5"/>
        <v xml:space="preserve"> </v>
      </c>
      <c r="L21" s="247" t="str">
        <f t="shared" si="5"/>
        <v xml:space="preserve"> </v>
      </c>
      <c r="M21" s="247" t="str">
        <f t="shared" si="5"/>
        <v xml:space="preserve"> </v>
      </c>
      <c r="N21" s="247" t="str">
        <f t="shared" si="5"/>
        <v xml:space="preserve"> </v>
      </c>
      <c r="O21" s="247" t="str">
        <f t="shared" si="5"/>
        <v xml:space="preserve"> </v>
      </c>
      <c r="P21" s="247" t="str">
        <f t="shared" si="5"/>
        <v xml:space="preserve"> </v>
      </c>
      <c r="Q21" s="247">
        <f t="shared" si="5"/>
        <v>-0.53552462688041202</v>
      </c>
      <c r="R21" s="250">
        <f t="shared" si="5"/>
        <v>-0.53552462688041214</v>
      </c>
    </row>
    <row r="22" spans="1:18" ht="12.75">
      <c r="A22" s="1996" t="s">
        <v>393</v>
      </c>
      <c r="B22" s="215">
        <v>2019</v>
      </c>
      <c r="C22" s="236"/>
      <c r="D22" s="237">
        <v>261902690</v>
      </c>
      <c r="E22" s="237"/>
      <c r="F22" s="242">
        <v>50010105</v>
      </c>
      <c r="G22" s="237"/>
      <c r="H22" s="237"/>
      <c r="I22" s="238">
        <f>SUM(C22:H22)</f>
        <v>311912795</v>
      </c>
      <c r="J22" s="236"/>
      <c r="K22" s="237"/>
      <c r="L22" s="237">
        <v>1793838</v>
      </c>
      <c r="M22" s="237"/>
      <c r="N22" s="238">
        <f>SUM(J22:M22)</f>
        <v>1793838</v>
      </c>
      <c r="O22" s="239"/>
      <c r="P22" s="237">
        <f>SUM(O22)</f>
        <v>0</v>
      </c>
      <c r="Q22" s="237">
        <f>SUM(P22,N22,I22)</f>
        <v>313706633</v>
      </c>
      <c r="R22" s="240">
        <f>IFERROR(Q22/(+Q24+Q23+Q22)," ")</f>
        <v>0.31313064858602624</v>
      </c>
    </row>
    <row r="23" spans="1:18" ht="12.75">
      <c r="A23" s="1997"/>
      <c r="B23" s="215">
        <v>2020</v>
      </c>
      <c r="C23" s="241"/>
      <c r="D23" s="242">
        <v>273324651</v>
      </c>
      <c r="E23" s="242"/>
      <c r="F23" s="242">
        <v>55993202</v>
      </c>
      <c r="G23" s="242"/>
      <c r="H23" s="242"/>
      <c r="I23" s="243">
        <f>SUM(C23:H23)</f>
        <v>329317853</v>
      </c>
      <c r="J23" s="241"/>
      <c r="K23" s="242"/>
      <c r="L23" s="242">
        <v>4470433</v>
      </c>
      <c r="M23" s="242"/>
      <c r="N23" s="243">
        <f>SUM(J23:M23)</f>
        <v>4470433</v>
      </c>
      <c r="O23" s="244"/>
      <c r="P23" s="242">
        <f>SUM(O23)</f>
        <v>0</v>
      </c>
      <c r="Q23" s="242">
        <f>SUM(P23,N23,I23)</f>
        <v>333788286</v>
      </c>
      <c r="R23" s="245">
        <f>IFERROR(Q23/(+Q24+Q23+Q22)," ")</f>
        <v>0.33317543045255921</v>
      </c>
    </row>
    <row r="24" spans="1:18" ht="12.75">
      <c r="A24" s="1997"/>
      <c r="B24" s="215">
        <v>2021</v>
      </c>
      <c r="C24" s="241"/>
      <c r="D24" s="242">
        <v>295820979</v>
      </c>
      <c r="E24" s="242"/>
      <c r="F24" s="242">
        <v>58523540</v>
      </c>
      <c r="G24" s="242"/>
      <c r="H24" s="242"/>
      <c r="I24" s="243">
        <f>SUM(C24:H24)</f>
        <v>354344519</v>
      </c>
      <c r="J24" s="241"/>
      <c r="K24" s="242"/>
      <c r="L24" s="242"/>
      <c r="M24" s="242"/>
      <c r="N24" s="243">
        <f>SUM(J24:M24)</f>
        <v>0</v>
      </c>
      <c r="O24" s="244"/>
      <c r="P24" s="242">
        <f>SUM(O24)</f>
        <v>0</v>
      </c>
      <c r="Q24" s="242">
        <f>SUM(P24,N24,I24)</f>
        <v>354344519</v>
      </c>
      <c r="R24" s="245">
        <f>IFERROR(Q24/(+Q24+Q23+Q22)," ")</f>
        <v>0.35369392096141455</v>
      </c>
    </row>
    <row r="25" spans="1:18" ht="12.75" thickBot="1">
      <c r="A25" s="1994" t="s">
        <v>397</v>
      </c>
      <c r="B25" s="1995"/>
      <c r="C25" s="246" t="str">
        <f t="shared" ref="C25:R25" si="6">IFERROR(((C24-C23)/C23)," ")</f>
        <v xml:space="preserve"> </v>
      </c>
      <c r="D25" s="247">
        <f t="shared" si="6"/>
        <v>8.2306253452419112E-2</v>
      </c>
      <c r="E25" s="247" t="str">
        <f t="shared" si="6"/>
        <v xml:space="preserve"> </v>
      </c>
      <c r="F25" s="247">
        <f>IFERROR(((F24-F23)/F23)," ")</f>
        <v>4.5190092897348502E-2</v>
      </c>
      <c r="G25" s="247" t="str">
        <f t="shared" si="6"/>
        <v xml:space="preserve"> </v>
      </c>
      <c r="H25" s="247" t="str">
        <f t="shared" si="6"/>
        <v xml:space="preserve"> </v>
      </c>
      <c r="I25" s="248">
        <f t="shared" si="6"/>
        <v>7.5995472981539205E-2</v>
      </c>
      <c r="J25" s="246" t="str">
        <f t="shared" si="6"/>
        <v xml:space="preserve"> </v>
      </c>
      <c r="K25" s="247" t="str">
        <f t="shared" si="6"/>
        <v xml:space="preserve"> </v>
      </c>
      <c r="L25" s="247">
        <f t="shared" si="6"/>
        <v>-1</v>
      </c>
      <c r="M25" s="247" t="str">
        <f t="shared" si="6"/>
        <v xml:space="preserve"> </v>
      </c>
      <c r="N25" s="248">
        <f t="shared" si="6"/>
        <v>-1</v>
      </c>
      <c r="O25" s="249" t="str">
        <f t="shared" si="6"/>
        <v xml:space="preserve"> </v>
      </c>
      <c r="P25" s="247" t="str">
        <f t="shared" si="6"/>
        <v xml:space="preserve"> </v>
      </c>
      <c r="Q25" s="247">
        <f t="shared" si="6"/>
        <v>6.1584644704997228E-2</v>
      </c>
      <c r="R25" s="250">
        <f t="shared" si="6"/>
        <v>6.1584644704997152E-2</v>
      </c>
    </row>
    <row r="26" spans="1:18" ht="12.75">
      <c r="A26" s="1996" t="s">
        <v>394</v>
      </c>
      <c r="B26" s="215">
        <v>2019</v>
      </c>
      <c r="C26" s="236"/>
      <c r="D26" s="237">
        <v>111213952</v>
      </c>
      <c r="E26" s="237"/>
      <c r="F26" s="237">
        <v>110870719</v>
      </c>
      <c r="G26" s="237"/>
      <c r="H26" s="237"/>
      <c r="I26" s="238">
        <f>SUM(C26:H26)</f>
        <v>222084671</v>
      </c>
      <c r="J26" s="236"/>
      <c r="K26" s="237"/>
      <c r="L26" s="237">
        <v>4032428</v>
      </c>
      <c r="M26" s="237"/>
      <c r="N26" s="238">
        <f>SUM(J26:M26)</f>
        <v>4032428</v>
      </c>
      <c r="O26" s="239"/>
      <c r="P26" s="237">
        <f>SUM(O26)</f>
        <v>0</v>
      </c>
      <c r="Q26" s="237">
        <f>SUM(P26,N26,I26)</f>
        <v>226117099</v>
      </c>
      <c r="R26" s="240">
        <f>IFERROR(Q26/(+Q28+Q27+Q26)," ")</f>
        <v>0.39130934169727577</v>
      </c>
    </row>
    <row r="27" spans="1:18" ht="12.75">
      <c r="A27" s="1997"/>
      <c r="B27" s="215">
        <v>2020</v>
      </c>
      <c r="C27" s="241"/>
      <c r="D27" s="242">
        <v>75998049</v>
      </c>
      <c r="E27" s="242"/>
      <c r="F27" s="242">
        <v>120337615</v>
      </c>
      <c r="G27" s="242"/>
      <c r="H27" s="242"/>
      <c r="I27" s="243">
        <f>SUM(C27:H27)</f>
        <v>196335664</v>
      </c>
      <c r="J27" s="241"/>
      <c r="K27" s="242"/>
      <c r="L27" s="242">
        <v>865549</v>
      </c>
      <c r="M27" s="242"/>
      <c r="N27" s="243">
        <f>SUM(J27:M27)</f>
        <v>865549</v>
      </c>
      <c r="O27" s="244"/>
      <c r="P27" s="242">
        <f>SUM(O27)</f>
        <v>0</v>
      </c>
      <c r="Q27" s="242">
        <f>SUM(P27,N27,I27)</f>
        <v>197201213</v>
      </c>
      <c r="R27" s="245">
        <f>IFERROR(Q27/(+Q28+Q27+Q26)," ")</f>
        <v>0.3412686487762443</v>
      </c>
    </row>
    <row r="28" spans="1:18" ht="12.75">
      <c r="A28" s="1997"/>
      <c r="B28" s="215">
        <v>2021</v>
      </c>
      <c r="C28" s="241"/>
      <c r="D28" s="242">
        <v>68055802</v>
      </c>
      <c r="E28" s="242"/>
      <c r="F28" s="242">
        <v>86473320</v>
      </c>
      <c r="G28" s="242"/>
      <c r="H28" s="242"/>
      <c r="I28" s="243">
        <f>SUM(C28:H28)</f>
        <v>154529122</v>
      </c>
      <c r="J28" s="241"/>
      <c r="K28" s="242"/>
      <c r="L28" s="242"/>
      <c r="M28" s="242"/>
      <c r="N28" s="243">
        <f>SUM(J28:M28)</f>
        <v>0</v>
      </c>
      <c r="O28" s="244"/>
      <c r="P28" s="242">
        <f>SUM(O28)</f>
        <v>0</v>
      </c>
      <c r="Q28" s="242">
        <f>SUM(P28,N28,I28)</f>
        <v>154529122</v>
      </c>
      <c r="R28" s="245">
        <f>IFERROR(Q28/(+Q28+Q27+Q26)," ")</f>
        <v>0.26742200952647999</v>
      </c>
    </row>
    <row r="29" spans="1:18" ht="12.75" thickBot="1">
      <c r="A29" s="1994" t="s">
        <v>397</v>
      </c>
      <c r="B29" s="1995"/>
      <c r="C29" s="251" t="str">
        <f t="shared" ref="C29:R29" si="7">IFERROR(((C28-C27)/C27)," ")</f>
        <v xml:space="preserve"> </v>
      </c>
      <c r="D29" s="252">
        <f t="shared" si="7"/>
        <v>-0.10450593277730064</v>
      </c>
      <c r="E29" s="252" t="str">
        <f t="shared" si="7"/>
        <v xml:space="preserve"> </v>
      </c>
      <c r="F29" s="252">
        <f>IFERROR(((F28-F27)/F27)," ")</f>
        <v>-0.28141072099525988</v>
      </c>
      <c r="G29" s="252" t="str">
        <f>IFERROR(((G28-G27)/G27)," ")</f>
        <v xml:space="preserve"> </v>
      </c>
      <c r="H29" s="252" t="str">
        <f t="shared" si="7"/>
        <v xml:space="preserve"> </v>
      </c>
      <c r="I29" s="252">
        <f t="shared" si="7"/>
        <v>-0.21293401895643371</v>
      </c>
      <c r="J29" s="252" t="str">
        <f t="shared" si="7"/>
        <v xml:space="preserve"> </v>
      </c>
      <c r="K29" s="252" t="str">
        <f t="shared" si="7"/>
        <v xml:space="preserve"> </v>
      </c>
      <c r="L29" s="252">
        <f t="shared" si="7"/>
        <v>-1</v>
      </c>
      <c r="M29" s="252" t="str">
        <f t="shared" si="7"/>
        <v xml:space="preserve"> </v>
      </c>
      <c r="N29" s="252">
        <f t="shared" si="7"/>
        <v>-1</v>
      </c>
      <c r="O29" s="252" t="str">
        <f t="shared" si="7"/>
        <v xml:space="preserve"> </v>
      </c>
      <c r="P29" s="252" t="str">
        <f t="shared" si="7"/>
        <v xml:space="preserve"> </v>
      </c>
      <c r="Q29" s="252">
        <f t="shared" si="7"/>
        <v>-0.21638858276191233</v>
      </c>
      <c r="R29" s="253">
        <f t="shared" si="7"/>
        <v>-0.21638858276191228</v>
      </c>
    </row>
    <row r="30" spans="1:18" ht="12.75" customHeight="1">
      <c r="A30" s="1996" t="s">
        <v>395</v>
      </c>
      <c r="B30" s="215">
        <v>2019</v>
      </c>
      <c r="C30" s="236"/>
      <c r="D30" s="237">
        <v>60413182</v>
      </c>
      <c r="E30" s="237">
        <v>1430485407</v>
      </c>
      <c r="F30" s="242"/>
      <c r="G30" s="237"/>
      <c r="H30" s="237"/>
      <c r="I30" s="238">
        <f>SUM(C30:H30)</f>
        <v>1490898589</v>
      </c>
      <c r="J30" s="236"/>
      <c r="K30" s="237"/>
      <c r="L30" s="237"/>
      <c r="M30" s="237"/>
      <c r="N30" s="238">
        <f>SUM(J30:M30)</f>
        <v>0</v>
      </c>
      <c r="O30" s="239"/>
      <c r="P30" s="237">
        <f>SUM(O30)</f>
        <v>0</v>
      </c>
      <c r="Q30" s="237">
        <f>SUM(P30,N30,I30)</f>
        <v>1490898589</v>
      </c>
      <c r="R30" s="240">
        <f>IFERROR(Q30/(+Q32+Q31+Q30)," ")</f>
        <v>0.34620013945648653</v>
      </c>
    </row>
    <row r="31" spans="1:18" ht="12.75">
      <c r="A31" s="1997"/>
      <c r="B31" s="215">
        <v>2020</v>
      </c>
      <c r="C31" s="241"/>
      <c r="D31" s="242">
        <v>60413182</v>
      </c>
      <c r="E31" s="242">
        <v>1346367920</v>
      </c>
      <c r="F31" s="242"/>
      <c r="G31" s="242"/>
      <c r="H31" s="242"/>
      <c r="I31" s="243">
        <f>SUM(C31:H31)</f>
        <v>1406781102</v>
      </c>
      <c r="J31" s="241"/>
      <c r="K31" s="242"/>
      <c r="L31" s="242"/>
      <c r="M31" s="242"/>
      <c r="N31" s="243">
        <f>SUM(J31:M31)</f>
        <v>0</v>
      </c>
      <c r="O31" s="244"/>
      <c r="P31" s="242">
        <f>SUM(O31)</f>
        <v>0</v>
      </c>
      <c r="Q31" s="242">
        <f>SUM(P31,N31,I31)</f>
        <v>1406781102</v>
      </c>
      <c r="R31" s="245">
        <f>IFERROR(Q31/(+Q32+Q31+Q30)," ")</f>
        <v>0.3266672980244868</v>
      </c>
    </row>
    <row r="32" spans="1:18" ht="12.75">
      <c r="A32" s="1997"/>
      <c r="B32" s="215">
        <v>2021</v>
      </c>
      <c r="C32" s="241"/>
      <c r="D32" s="242">
        <v>117092002</v>
      </c>
      <c r="E32" s="242">
        <v>1291692745</v>
      </c>
      <c r="F32" s="242"/>
      <c r="G32" s="242"/>
      <c r="H32" s="242"/>
      <c r="I32" s="243">
        <f>SUM(C32:H32)</f>
        <v>1408784747</v>
      </c>
      <c r="J32" s="241"/>
      <c r="K32" s="242"/>
      <c r="L32" s="242"/>
      <c r="M32" s="242"/>
      <c r="N32" s="243">
        <f>SUM(J32:M32)</f>
        <v>0</v>
      </c>
      <c r="O32" s="244"/>
      <c r="P32" s="242">
        <f>SUM(O32)</f>
        <v>0</v>
      </c>
      <c r="Q32" s="242">
        <f>SUM(P32,N32,I32)</f>
        <v>1408784747</v>
      </c>
      <c r="R32" s="245">
        <f>IFERROR(Q32/(+Q32+Q31+Q30)," ")</f>
        <v>0.32713256251902667</v>
      </c>
    </row>
    <row r="33" spans="1:18" ht="12.75" thickBot="1">
      <c r="A33" s="1994" t="s">
        <v>397</v>
      </c>
      <c r="B33" s="1995"/>
      <c r="C33" s="246" t="str">
        <f t="shared" ref="C33:R33" si="8">IFERROR(((C32-C31)/C31)," ")</f>
        <v xml:space="preserve"> </v>
      </c>
      <c r="D33" s="247">
        <f t="shared" si="8"/>
        <v>0.93818630510142642</v>
      </c>
      <c r="E33" s="247">
        <f t="shared" si="8"/>
        <v>-4.0609386325841754E-2</v>
      </c>
      <c r="F33" s="247" t="str">
        <f t="shared" si="8"/>
        <v xml:space="preserve"> </v>
      </c>
      <c r="G33" s="247" t="str">
        <f t="shared" si="8"/>
        <v xml:space="preserve"> </v>
      </c>
      <c r="H33" s="247" t="str">
        <f t="shared" si="8"/>
        <v xml:space="preserve"> </v>
      </c>
      <c r="I33" s="247">
        <f t="shared" si="8"/>
        <v>1.4242763121792349E-3</v>
      </c>
      <c r="J33" s="247" t="str">
        <f t="shared" si="8"/>
        <v xml:space="preserve"> </v>
      </c>
      <c r="K33" s="247" t="str">
        <f t="shared" si="8"/>
        <v xml:space="preserve"> </v>
      </c>
      <c r="L33" s="247" t="str">
        <f t="shared" si="8"/>
        <v xml:space="preserve"> </v>
      </c>
      <c r="M33" s="247" t="str">
        <f t="shared" si="8"/>
        <v xml:space="preserve"> </v>
      </c>
      <c r="N33" s="247" t="str">
        <f t="shared" si="8"/>
        <v xml:space="preserve"> </v>
      </c>
      <c r="O33" s="247" t="str">
        <f t="shared" si="8"/>
        <v xml:space="preserve"> </v>
      </c>
      <c r="P33" s="247" t="str">
        <f t="shared" si="8"/>
        <v xml:space="preserve"> </v>
      </c>
      <c r="Q33" s="247">
        <f t="shared" si="8"/>
        <v>1.4242763121792349E-3</v>
      </c>
      <c r="R33" s="250">
        <f t="shared" si="8"/>
        <v>1.4242763121792446E-3</v>
      </c>
    </row>
    <row r="34" spans="1:18" ht="12.75" customHeight="1">
      <c r="A34" s="1996" t="s">
        <v>396</v>
      </c>
      <c r="B34" s="215">
        <v>2019</v>
      </c>
      <c r="C34" s="236"/>
      <c r="D34" s="237"/>
      <c r="E34" s="237"/>
      <c r="F34" s="237"/>
      <c r="G34" s="237"/>
      <c r="H34" s="237"/>
      <c r="I34" s="238">
        <f>SUM(C34:H34)</f>
        <v>0</v>
      </c>
      <c r="J34" s="236"/>
      <c r="K34" s="237"/>
      <c r="L34" s="237"/>
      <c r="M34" s="237"/>
      <c r="N34" s="238">
        <f>SUM(J34:M34)</f>
        <v>0</v>
      </c>
      <c r="O34" s="239">
        <v>226953000</v>
      </c>
      <c r="P34" s="237">
        <f>SUM(O34)</f>
        <v>226953000</v>
      </c>
      <c r="Q34" s="237">
        <f>SUM(P34,N34,I34)</f>
        <v>226953000</v>
      </c>
      <c r="R34" s="240">
        <f>IFERROR(Q34/(+Q36+Q35+Q34)," ")</f>
        <v>0.34451773294188764</v>
      </c>
    </row>
    <row r="35" spans="1:18" ht="12.75">
      <c r="A35" s="1997"/>
      <c r="B35" s="215">
        <v>2020</v>
      </c>
      <c r="C35" s="241"/>
      <c r="D35" s="242"/>
      <c r="E35" s="242"/>
      <c r="F35" s="242"/>
      <c r="G35" s="242"/>
      <c r="H35" s="242"/>
      <c r="I35" s="243">
        <f>SUM(C35:H35)</f>
        <v>0</v>
      </c>
      <c r="J35" s="241"/>
      <c r="K35" s="242"/>
      <c r="L35" s="242"/>
      <c r="M35" s="242"/>
      <c r="N35" s="243">
        <f>SUM(J35:M35)</f>
        <v>0</v>
      </c>
      <c r="O35" s="244">
        <v>226953000</v>
      </c>
      <c r="P35" s="242">
        <f>SUM(O35)</f>
        <v>226953000</v>
      </c>
      <c r="Q35" s="242">
        <f>SUM(P35,N35,I35)</f>
        <v>226953000</v>
      </c>
      <c r="R35" s="245">
        <f>IFERROR(Q35/(+Q36+Q35+Q34)," ")</f>
        <v>0.34451773294188764</v>
      </c>
    </row>
    <row r="36" spans="1:18" ht="12.75">
      <c r="A36" s="1997"/>
      <c r="B36" s="215">
        <v>2021</v>
      </c>
      <c r="C36" s="241"/>
      <c r="D36" s="242"/>
      <c r="E36" s="242"/>
      <c r="F36" s="242"/>
      <c r="G36" s="242"/>
      <c r="H36" s="242"/>
      <c r="I36" s="243">
        <f>SUM(C36:H36)</f>
        <v>0</v>
      </c>
      <c r="J36" s="241"/>
      <c r="K36" s="242"/>
      <c r="L36" s="242"/>
      <c r="M36" s="242"/>
      <c r="N36" s="243">
        <f>SUM(J36:M36)</f>
        <v>0</v>
      </c>
      <c r="O36" s="244">
        <v>204849641</v>
      </c>
      <c r="P36" s="242">
        <f>SUM(O36)</f>
        <v>204849641</v>
      </c>
      <c r="Q36" s="242">
        <f>SUM(P36,N36,I36)</f>
        <v>204849641</v>
      </c>
      <c r="R36" s="245">
        <f>IFERROR(Q36/(+Q36+Q35+Q34)," ")</f>
        <v>0.31096453411622477</v>
      </c>
    </row>
    <row r="37" spans="1:18" ht="12.75" thickBot="1">
      <c r="A37" s="1994" t="s">
        <v>397</v>
      </c>
      <c r="B37" s="1995"/>
      <c r="C37" s="246" t="str">
        <f t="shared" ref="C37:R37" si="9">IFERROR(((C36-C35)/C35)," ")</f>
        <v xml:space="preserve"> </v>
      </c>
      <c r="D37" s="247" t="str">
        <f t="shared" si="9"/>
        <v xml:space="preserve"> </v>
      </c>
      <c r="E37" s="247" t="str">
        <f t="shared" si="9"/>
        <v xml:space="preserve"> </v>
      </c>
      <c r="F37" s="247" t="str">
        <f t="shared" si="9"/>
        <v xml:space="preserve"> </v>
      </c>
      <c r="G37" s="247" t="str">
        <f t="shared" si="9"/>
        <v xml:space="preserve"> </v>
      </c>
      <c r="H37" s="247" t="str">
        <f t="shared" si="9"/>
        <v xml:space="preserve"> </v>
      </c>
      <c r="I37" s="248" t="str">
        <f t="shared" si="9"/>
        <v xml:space="preserve"> </v>
      </c>
      <c r="J37" s="246" t="str">
        <f t="shared" si="9"/>
        <v xml:space="preserve"> </v>
      </c>
      <c r="K37" s="247" t="str">
        <f t="shared" si="9"/>
        <v xml:space="preserve"> </v>
      </c>
      <c r="L37" s="247" t="str">
        <f t="shared" si="9"/>
        <v xml:space="preserve"> </v>
      </c>
      <c r="M37" s="247" t="str">
        <f t="shared" si="9"/>
        <v xml:space="preserve"> </v>
      </c>
      <c r="N37" s="248" t="str">
        <f t="shared" si="9"/>
        <v xml:space="preserve"> </v>
      </c>
      <c r="O37" s="249">
        <f t="shared" si="9"/>
        <v>-9.7391790370693496E-2</v>
      </c>
      <c r="P37" s="247">
        <f t="shared" si="9"/>
        <v>-9.7391790370693496E-2</v>
      </c>
      <c r="Q37" s="247">
        <f t="shared" si="9"/>
        <v>-9.7391790370693496E-2</v>
      </c>
      <c r="R37" s="250">
        <f t="shared" si="9"/>
        <v>-9.7391790370693468E-2</v>
      </c>
    </row>
    <row r="38" spans="1:18" s="68" customFormat="1" ht="12.75">
      <c r="A38" s="1998" t="s">
        <v>0</v>
      </c>
      <c r="B38" s="215">
        <v>2019</v>
      </c>
      <c r="C38" s="254">
        <f t="shared" ref="C38" si="10">SUM(C6,C10,C14,C18,C22,C26,C30,C34)</f>
        <v>0</v>
      </c>
      <c r="D38" s="255">
        <f t="shared" ref="D38" si="11">SUM(D6,D10,D14,D18,D22,D26,D30,D34)</f>
        <v>3767674212</v>
      </c>
      <c r="E38" s="255">
        <f t="shared" ref="E38:H38" si="12">SUM(E6,E10,E14,E18,E22,E26,E30,E34)</f>
        <v>1445485407</v>
      </c>
      <c r="F38" s="255">
        <f t="shared" si="12"/>
        <v>1747734201</v>
      </c>
      <c r="G38" s="255">
        <f t="shared" si="12"/>
        <v>100520572</v>
      </c>
      <c r="H38" s="255">
        <f t="shared" si="12"/>
        <v>25222530</v>
      </c>
      <c r="I38" s="256">
        <f>SUM(C38:H38)</f>
        <v>7086636922</v>
      </c>
      <c r="J38" s="255">
        <f t="shared" ref="J38:M38" si="13">SUM(J6,J10,J14,J18,J22,J26,J30,J34)</f>
        <v>193000000</v>
      </c>
      <c r="K38" s="255">
        <f t="shared" si="13"/>
        <v>0</v>
      </c>
      <c r="L38" s="255">
        <f t="shared" si="13"/>
        <v>354972849</v>
      </c>
      <c r="M38" s="255">
        <f t="shared" si="13"/>
        <v>0</v>
      </c>
      <c r="N38" s="256">
        <f>SUM(J38:M38)</f>
        <v>547972849</v>
      </c>
      <c r="O38" s="255">
        <f t="shared" ref="O38:P38" si="14">SUM(O6,O10,O14,O18,O22,O26,O30,O34)</f>
        <v>226953000</v>
      </c>
      <c r="P38" s="242">
        <f t="shared" si="14"/>
        <v>226953000</v>
      </c>
      <c r="Q38" s="255">
        <f>SUM(P38,N38,I38)</f>
        <v>7861562771</v>
      </c>
      <c r="R38" s="240">
        <f>IFERROR(Q38/(+Q40+Q39+Q38)," ")</f>
        <v>0.3394003012346235</v>
      </c>
    </row>
    <row r="39" spans="1:18" s="68" customFormat="1" ht="12.75">
      <c r="A39" s="1999"/>
      <c r="B39" s="215">
        <v>2020</v>
      </c>
      <c r="C39" s="241">
        <f t="shared" ref="C39:H39" si="15">SUM(C7,C11,C15,C19,C23,C27,C31,C35)</f>
        <v>0</v>
      </c>
      <c r="D39" s="255">
        <f t="shared" si="15"/>
        <v>3791364470</v>
      </c>
      <c r="E39" s="255">
        <f t="shared" si="15"/>
        <v>1363398792</v>
      </c>
      <c r="F39" s="255">
        <f t="shared" si="15"/>
        <v>1738275871</v>
      </c>
      <c r="G39" s="255">
        <f t="shared" si="15"/>
        <v>214578200</v>
      </c>
      <c r="H39" s="255">
        <f t="shared" si="15"/>
        <v>25162530</v>
      </c>
      <c r="I39" s="243">
        <f>SUM(C39:H39)</f>
        <v>7132779863</v>
      </c>
      <c r="J39" s="255">
        <f t="shared" ref="J39:M39" si="16">SUM(J7,J11,J15,J19,J23,J27,J31,J35)</f>
        <v>100000000</v>
      </c>
      <c r="K39" s="255">
        <f t="shared" si="16"/>
        <v>0</v>
      </c>
      <c r="L39" s="255">
        <f t="shared" si="16"/>
        <v>414287854</v>
      </c>
      <c r="M39" s="255">
        <f t="shared" si="16"/>
        <v>0</v>
      </c>
      <c r="N39" s="243">
        <f>SUM(J39:M39)</f>
        <v>514287854</v>
      </c>
      <c r="O39" s="255">
        <f t="shared" ref="O39:P39" si="17">SUM(O7,O11,O15,O19,O23,O27,O31,O35)</f>
        <v>226953000</v>
      </c>
      <c r="P39" s="257">
        <f t="shared" si="17"/>
        <v>226953000</v>
      </c>
      <c r="Q39" s="242">
        <f>SUM(P39,N39,I39)</f>
        <v>7874020717</v>
      </c>
      <c r="R39" s="245">
        <f>IFERROR(Q39/(+Q40+Q39+Q38)," ")</f>
        <v>0.3399381371265866</v>
      </c>
    </row>
    <row r="40" spans="1:18" s="68" customFormat="1" ht="12.75">
      <c r="A40" s="2000"/>
      <c r="B40" s="215">
        <v>2021</v>
      </c>
      <c r="C40" s="241">
        <f t="shared" ref="C40:H40" si="18">SUM(C8,C12,C16,C20,C24,C28,C32,C36)</f>
        <v>0</v>
      </c>
      <c r="D40" s="255">
        <f t="shared" si="18"/>
        <v>3835824021</v>
      </c>
      <c r="E40" s="255">
        <f t="shared" si="18"/>
        <v>1308715336</v>
      </c>
      <c r="F40" s="255">
        <f t="shared" si="18"/>
        <v>1568611735</v>
      </c>
      <c r="G40" s="255">
        <f t="shared" si="18"/>
        <v>164247616</v>
      </c>
      <c r="H40" s="255">
        <f t="shared" si="18"/>
        <v>23387126</v>
      </c>
      <c r="I40" s="243">
        <f>SUM(C40:H40)</f>
        <v>6900785834</v>
      </c>
      <c r="J40" s="255">
        <f t="shared" ref="J40:M40" si="19">SUM(J8,J12,J16,J20,J24,J28,J32,J36)</f>
        <v>100000000</v>
      </c>
      <c r="K40" s="255">
        <f t="shared" si="19"/>
        <v>0</v>
      </c>
      <c r="L40" s="255">
        <f t="shared" si="19"/>
        <v>221880016</v>
      </c>
      <c r="M40" s="255">
        <f t="shared" si="19"/>
        <v>0</v>
      </c>
      <c r="N40" s="243">
        <f>SUM(J40:M40)</f>
        <v>321880016</v>
      </c>
      <c r="O40" s="255">
        <f t="shared" ref="O40:P40" si="20">SUM(O8,O12,O16,O20,O24,O28,O32,O36)</f>
        <v>204849641</v>
      </c>
      <c r="P40" s="257">
        <f t="shared" si="20"/>
        <v>204849641</v>
      </c>
      <c r="Q40" s="242">
        <f>SUM(P40,N40,I40)</f>
        <v>7427515491</v>
      </c>
      <c r="R40" s="245">
        <f>IFERROR(Q40/(+Q40+Q39+Q38)," ")</f>
        <v>0.32066156163878989</v>
      </c>
    </row>
    <row r="41" spans="1:18" s="68" customFormat="1" ht="12.75" thickBot="1">
      <c r="A41" s="1994" t="s">
        <v>397</v>
      </c>
      <c r="B41" s="1995"/>
      <c r="C41" s="251" t="str">
        <f t="shared" ref="C41:F41" si="21">IFERROR(((C40-C39)/C39)," ")</f>
        <v xml:space="preserve"> </v>
      </c>
      <c r="D41" s="252">
        <f t="shared" si="21"/>
        <v>1.1726530475188001E-2</v>
      </c>
      <c r="E41" s="252">
        <f t="shared" si="21"/>
        <v>-4.0108188683212503E-2</v>
      </c>
      <c r="F41" s="252">
        <f t="shared" si="21"/>
        <v>-9.7604838697090787E-2</v>
      </c>
      <c r="G41" s="252">
        <f>IFERROR(((G40-G39)/G39)," ")</f>
        <v>-0.23455590549272945</v>
      </c>
      <c r="H41" s="252">
        <f t="shared" ref="H41:P41" si="22">IFERROR(((H40-H39)/H39)," ")</f>
        <v>-7.055745189374836E-2</v>
      </c>
      <c r="I41" s="252">
        <f t="shared" si="22"/>
        <v>-3.2525051025817701E-2</v>
      </c>
      <c r="J41" s="252">
        <f t="shared" si="22"/>
        <v>0</v>
      </c>
      <c r="K41" s="252" t="str">
        <f t="shared" si="22"/>
        <v xml:space="preserve"> </v>
      </c>
      <c r="L41" s="252">
        <f t="shared" si="22"/>
        <v>-0.46443031371129695</v>
      </c>
      <c r="M41" s="252" t="str">
        <f t="shared" si="22"/>
        <v xml:space="preserve"> </v>
      </c>
      <c r="N41" s="252">
        <f t="shared" si="22"/>
        <v>-0.37412479509967195</v>
      </c>
      <c r="O41" s="252">
        <f t="shared" si="22"/>
        <v>-9.7391790370693496E-2</v>
      </c>
      <c r="P41" s="252">
        <f t="shared" si="22"/>
        <v>-9.7391790370693496E-2</v>
      </c>
      <c r="Q41" s="252">
        <f>IFERROR(((Q40-Q39)/Q39)," ")</f>
        <v>-5.6706127917087623E-2</v>
      </c>
      <c r="R41" s="253">
        <f t="shared" ref="R41" si="23">IFERROR(((R40-R39)/R39)," ")</f>
        <v>-5.6706127917087672E-2</v>
      </c>
    </row>
    <row r="42" spans="1:18" s="68" customFormat="1" ht="5.0999999999999996" customHeight="1" thickBot="1">
      <c r="J42" s="265"/>
    </row>
    <row r="43" spans="1:18" s="68" customFormat="1" ht="13.5" customHeight="1" thickBot="1">
      <c r="A43" s="1980" t="s">
        <v>369</v>
      </c>
      <c r="B43" s="1981"/>
      <c r="C43" s="1981"/>
      <c r="D43" s="1981"/>
      <c r="E43" s="1981"/>
      <c r="F43" s="1981"/>
      <c r="G43" s="1981"/>
      <c r="H43" s="1981"/>
      <c r="I43" s="1981"/>
      <c r="J43" s="1981"/>
      <c r="K43" s="1981"/>
      <c r="L43" s="1981"/>
      <c r="M43" s="1981"/>
      <c r="N43" s="1981"/>
      <c r="O43" s="1981"/>
      <c r="P43" s="1981"/>
      <c r="Q43" s="1981"/>
      <c r="R43" s="1982"/>
    </row>
    <row r="44" spans="1:18" ht="12.75" customHeight="1">
      <c r="A44" s="1997" t="s">
        <v>389</v>
      </c>
      <c r="B44" s="215">
        <v>2019</v>
      </c>
      <c r="C44" s="254"/>
      <c r="D44" s="255"/>
      <c r="E44" s="255"/>
      <c r="F44" s="255">
        <v>1346658</v>
      </c>
      <c r="G44" s="255"/>
      <c r="H44" s="255"/>
      <c r="I44" s="256">
        <f>SUM(C44:H44)</f>
        <v>1346658</v>
      </c>
      <c r="J44" s="254"/>
      <c r="K44" s="255"/>
      <c r="L44" s="255"/>
      <c r="M44" s="255"/>
      <c r="N44" s="256">
        <f>SUM(J44:M44)</f>
        <v>0</v>
      </c>
      <c r="O44" s="258"/>
      <c r="P44" s="255">
        <f>SUM(O44)</f>
        <v>0</v>
      </c>
      <c r="Q44" s="255">
        <f>SUM(P44,N44,I44)</f>
        <v>1346658</v>
      </c>
      <c r="R44" s="259">
        <f>IFERROR(Q44/(+Q46+Q45+Q44)," ")</f>
        <v>0.28675146473093988</v>
      </c>
    </row>
    <row r="45" spans="1:18" ht="12.75">
      <c r="A45" s="1997"/>
      <c r="B45" s="215">
        <v>2020</v>
      </c>
      <c r="C45" s="241"/>
      <c r="D45" s="242"/>
      <c r="E45" s="242"/>
      <c r="F45" s="242">
        <v>1708005</v>
      </c>
      <c r="G45" s="242"/>
      <c r="H45" s="242"/>
      <c r="I45" s="243">
        <f>SUM(C45:H45)</f>
        <v>1708005</v>
      </c>
      <c r="J45" s="241"/>
      <c r="K45" s="242"/>
      <c r="L45" s="242"/>
      <c r="M45" s="242"/>
      <c r="N45" s="243">
        <f>SUM(J45:M45)</f>
        <v>0</v>
      </c>
      <c r="O45" s="244"/>
      <c r="P45" s="242">
        <f>SUM(O45)</f>
        <v>0</v>
      </c>
      <c r="Q45" s="242">
        <f>SUM(P45,N45,I45)</f>
        <v>1708005</v>
      </c>
      <c r="R45" s="245">
        <f>IFERROR(Q45/(+Q46+Q45+Q44)," ")</f>
        <v>0.36369511451145647</v>
      </c>
    </row>
    <row r="46" spans="1:18" ht="12.75">
      <c r="A46" s="1997"/>
      <c r="B46" s="215">
        <v>2021</v>
      </c>
      <c r="C46" s="241"/>
      <c r="D46" s="242"/>
      <c r="E46" s="242"/>
      <c r="F46" s="242">
        <v>1641592</v>
      </c>
      <c r="G46" s="242"/>
      <c r="H46" s="242"/>
      <c r="I46" s="243">
        <f>SUM(C46:H46)</f>
        <v>1641592</v>
      </c>
      <c r="J46" s="241"/>
      <c r="K46" s="242"/>
      <c r="L46" s="242"/>
      <c r="M46" s="242"/>
      <c r="N46" s="243">
        <f>SUM(J46:M46)</f>
        <v>0</v>
      </c>
      <c r="O46" s="244"/>
      <c r="P46" s="242">
        <f>SUM(O46)</f>
        <v>0</v>
      </c>
      <c r="Q46" s="242">
        <f>SUM(P46,N46,I46)</f>
        <v>1641592</v>
      </c>
      <c r="R46" s="245">
        <f>IFERROR(Q46/(+Q46+Q45+Q44)," ")</f>
        <v>0.34955342075760365</v>
      </c>
    </row>
    <row r="47" spans="1:18" ht="12.75" thickBot="1">
      <c r="A47" s="1994" t="s">
        <v>397</v>
      </c>
      <c r="B47" s="1995"/>
      <c r="C47" s="246" t="str">
        <f t="shared" ref="C47:Q47" si="24">IFERROR(((C46-C45)/C45)," ")</f>
        <v xml:space="preserve"> </v>
      </c>
      <c r="D47" s="247" t="str">
        <f t="shared" si="24"/>
        <v xml:space="preserve"> </v>
      </c>
      <c r="E47" s="247" t="str">
        <f t="shared" si="24"/>
        <v xml:space="preserve"> </v>
      </c>
      <c r="F47" s="247">
        <f t="shared" si="24"/>
        <v>-3.8883375634146268E-2</v>
      </c>
      <c r="G47" s="247" t="str">
        <f t="shared" si="24"/>
        <v xml:space="preserve"> </v>
      </c>
      <c r="H47" s="247" t="str">
        <f t="shared" si="24"/>
        <v xml:space="preserve"> </v>
      </c>
      <c r="I47" s="248">
        <f t="shared" si="24"/>
        <v>-3.8883375634146268E-2</v>
      </c>
      <c r="J47" s="246" t="str">
        <f t="shared" si="24"/>
        <v xml:space="preserve"> </v>
      </c>
      <c r="K47" s="247" t="str">
        <f t="shared" si="24"/>
        <v xml:space="preserve"> </v>
      </c>
      <c r="L47" s="247" t="str">
        <f t="shared" si="24"/>
        <v xml:space="preserve"> </v>
      </c>
      <c r="M47" s="247" t="str">
        <f t="shared" si="24"/>
        <v xml:space="preserve"> </v>
      </c>
      <c r="N47" s="248" t="str">
        <f t="shared" si="24"/>
        <v xml:space="preserve"> </v>
      </c>
      <c r="O47" s="249" t="str">
        <f t="shared" si="24"/>
        <v xml:space="preserve"> </v>
      </c>
      <c r="P47" s="247" t="str">
        <f t="shared" si="24"/>
        <v xml:space="preserve"> </v>
      </c>
      <c r="Q47" s="247">
        <f t="shared" si="24"/>
        <v>-3.8883375634146268E-2</v>
      </c>
      <c r="R47" s="250">
        <f>IFERROR(((R46-R45)/R45)," ")</f>
        <v>-3.8883375634146324E-2</v>
      </c>
    </row>
    <row r="48" spans="1:18" ht="12.75">
      <c r="A48" s="1996" t="s">
        <v>390</v>
      </c>
      <c r="B48" s="215">
        <v>2019</v>
      </c>
      <c r="C48" s="236"/>
      <c r="D48" s="237">
        <v>3320944338</v>
      </c>
      <c r="E48" s="237"/>
      <c r="F48" s="242">
        <v>1287191202</v>
      </c>
      <c r="G48" s="237">
        <v>188622</v>
      </c>
      <c r="H48" s="237">
        <v>23323277</v>
      </c>
      <c r="I48" s="238">
        <f>SUM(C48:H48)</f>
        <v>4631647439</v>
      </c>
      <c r="J48" s="236"/>
      <c r="K48" s="237"/>
      <c r="L48" s="237">
        <v>273119298</v>
      </c>
      <c r="M48" s="237"/>
      <c r="N48" s="238">
        <f>SUM(J48:M48)</f>
        <v>273119298</v>
      </c>
      <c r="O48" s="239"/>
      <c r="P48" s="237">
        <f>SUM(O48)</f>
        <v>0</v>
      </c>
      <c r="Q48" s="237">
        <f>SUM(P48,N48,I48)</f>
        <v>4904766737</v>
      </c>
      <c r="R48" s="240">
        <f>IFERROR(Q48/(+Q50+Q49+Q48)," ")</f>
        <v>0.34871273143169706</v>
      </c>
    </row>
    <row r="49" spans="1:18" ht="12.75">
      <c r="A49" s="1997"/>
      <c r="B49" s="215">
        <v>2020</v>
      </c>
      <c r="C49" s="241"/>
      <c r="D49" s="242">
        <v>3368688819</v>
      </c>
      <c r="E49" s="242">
        <v>1810000</v>
      </c>
      <c r="F49" s="242">
        <v>1105786299</v>
      </c>
      <c r="G49" s="242">
        <v>9000</v>
      </c>
      <c r="H49" s="242">
        <v>16573394</v>
      </c>
      <c r="I49" s="243">
        <f>SUM(C49:H49)</f>
        <v>4492867512</v>
      </c>
      <c r="J49" s="241"/>
      <c r="K49" s="242"/>
      <c r="L49" s="242">
        <v>182512205</v>
      </c>
      <c r="M49" s="242"/>
      <c r="N49" s="243">
        <f>SUM(J49:M49)</f>
        <v>182512205</v>
      </c>
      <c r="O49" s="244"/>
      <c r="P49" s="242">
        <f>SUM(O49)</f>
        <v>0</v>
      </c>
      <c r="Q49" s="242">
        <f>SUM(P49,N49,I49)</f>
        <v>4675379717</v>
      </c>
      <c r="R49" s="245">
        <f>IFERROR(Q49/(+Q50+Q49+Q48)," ")</f>
        <v>0.3324040711857863</v>
      </c>
    </row>
    <row r="50" spans="1:18" ht="12.75">
      <c r="A50" s="1997"/>
      <c r="B50" s="215">
        <v>2021</v>
      </c>
      <c r="C50" s="241"/>
      <c r="D50" s="242">
        <v>3341983566</v>
      </c>
      <c r="E50" s="242">
        <v>1815744</v>
      </c>
      <c r="F50" s="242">
        <v>1113799088</v>
      </c>
      <c r="G50" s="242">
        <v>6300</v>
      </c>
      <c r="H50" s="242">
        <v>15797990</v>
      </c>
      <c r="I50" s="243">
        <f>SUM(C50:H50)</f>
        <v>4473402688</v>
      </c>
      <c r="J50" s="241"/>
      <c r="K50" s="242"/>
      <c r="L50" s="242">
        <v>11801202</v>
      </c>
      <c r="M50" s="242"/>
      <c r="N50" s="243">
        <f>SUM(J50:M50)</f>
        <v>11801202</v>
      </c>
      <c r="O50" s="244"/>
      <c r="P50" s="242">
        <f>SUM(O50)</f>
        <v>0</v>
      </c>
      <c r="Q50" s="242">
        <f>SUM(P50,N50,I50)</f>
        <v>4485203890</v>
      </c>
      <c r="R50" s="245">
        <f>IFERROR(Q50/(+Q50+Q49+Q48)," ")</f>
        <v>0.31888319738251664</v>
      </c>
    </row>
    <row r="51" spans="1:18" ht="12.75" thickBot="1">
      <c r="A51" s="1994" t="s">
        <v>397</v>
      </c>
      <c r="B51" s="1995"/>
      <c r="C51" s="246" t="str">
        <f t="shared" ref="C51:E51" si="25">IFERROR(((C50-C49)/C49)," ")</f>
        <v xml:space="preserve"> </v>
      </c>
      <c r="D51" s="247">
        <f t="shared" si="25"/>
        <v>-7.9274918031542879E-3</v>
      </c>
      <c r="E51" s="247">
        <f t="shared" si="25"/>
        <v>3.1734806629834253E-3</v>
      </c>
      <c r="F51" s="247">
        <f>IFERROR(((F50-F49)/F49)," ")</f>
        <v>7.2462364629099097E-3</v>
      </c>
      <c r="G51" s="247">
        <f t="shared" ref="G51:R51" si="26">IFERROR(((G50-G49)/G49)," ")</f>
        <v>-0.3</v>
      </c>
      <c r="H51" s="247">
        <f t="shared" si="26"/>
        <v>-4.6786071700220241E-2</v>
      </c>
      <c r="I51" s="248">
        <f t="shared" si="26"/>
        <v>-4.3323832603590915E-3</v>
      </c>
      <c r="J51" s="246" t="str">
        <f t="shared" si="26"/>
        <v xml:space="preserve"> </v>
      </c>
      <c r="K51" s="247" t="str">
        <f t="shared" si="26"/>
        <v xml:space="preserve"> </v>
      </c>
      <c r="L51" s="247">
        <f t="shared" si="26"/>
        <v>-0.93534020368665205</v>
      </c>
      <c r="M51" s="247" t="str">
        <f t="shared" si="26"/>
        <v xml:space="preserve"> </v>
      </c>
      <c r="N51" s="248">
        <f t="shared" si="26"/>
        <v>-0.93534020368665205</v>
      </c>
      <c r="O51" s="249" t="str">
        <f t="shared" si="26"/>
        <v xml:space="preserve"> </v>
      </c>
      <c r="P51" s="247" t="str">
        <f t="shared" si="26"/>
        <v xml:space="preserve"> </v>
      </c>
      <c r="Q51" s="247">
        <f t="shared" si="26"/>
        <v>-4.0676017459824215E-2</v>
      </c>
      <c r="R51" s="250">
        <f t="shared" si="26"/>
        <v>-4.0676017459824118E-2</v>
      </c>
    </row>
    <row r="52" spans="1:18" ht="12.75">
      <c r="A52" s="1996" t="s">
        <v>391</v>
      </c>
      <c r="B52" s="215">
        <v>2019</v>
      </c>
      <c r="C52" s="236"/>
      <c r="D52" s="237">
        <v>2218689</v>
      </c>
      <c r="E52" s="237">
        <v>15000000</v>
      </c>
      <c r="F52" s="242">
        <v>61654733</v>
      </c>
      <c r="G52" s="237">
        <v>100000000</v>
      </c>
      <c r="H52" s="237">
        <v>136253</v>
      </c>
      <c r="I52" s="238">
        <f>SUM(C52:H52)</f>
        <v>179009675</v>
      </c>
      <c r="J52" s="236"/>
      <c r="K52" s="237"/>
      <c r="L52" s="237">
        <v>22456750</v>
      </c>
      <c r="M52" s="237"/>
      <c r="N52" s="238">
        <f>SUM(J52:M52)</f>
        <v>22456750</v>
      </c>
      <c r="O52" s="239"/>
      <c r="P52" s="237">
        <f>SUM(O52)</f>
        <v>0</v>
      </c>
      <c r="Q52" s="237">
        <f>SUM(P52,N52,I52)</f>
        <v>201466425</v>
      </c>
      <c r="R52" s="240">
        <f>IFERROR(Q52/(+Q54+Q53+Q52)," ")</f>
        <v>0.2594373080312391</v>
      </c>
    </row>
    <row r="53" spans="1:18" ht="12.75">
      <c r="A53" s="1997"/>
      <c r="B53" s="215">
        <v>2020</v>
      </c>
      <c r="C53" s="241"/>
      <c r="D53" s="242">
        <v>2098521</v>
      </c>
      <c r="E53" s="242">
        <v>15220872</v>
      </c>
      <c r="F53" s="242">
        <v>59917388</v>
      </c>
      <c r="G53" s="242">
        <v>214043613</v>
      </c>
      <c r="H53" s="242">
        <v>20000</v>
      </c>
      <c r="I53" s="243">
        <f>SUM(C53:H53)</f>
        <v>291300394</v>
      </c>
      <c r="J53" s="241"/>
      <c r="K53" s="242"/>
      <c r="L53" s="242">
        <v>37108065</v>
      </c>
      <c r="M53" s="242"/>
      <c r="N53" s="243">
        <f>SUM(J53:M53)</f>
        <v>37108065</v>
      </c>
      <c r="O53" s="244"/>
      <c r="P53" s="242">
        <f>SUM(O53)</f>
        <v>0</v>
      </c>
      <c r="Q53" s="242">
        <f>SUM(P53,N53,I53)</f>
        <v>328408459</v>
      </c>
      <c r="R53" s="245">
        <f>IFERROR(Q53/(+Q54+Q53+Q52)," ")</f>
        <v>0.4229062313367975</v>
      </c>
    </row>
    <row r="54" spans="1:18" ht="12.75">
      <c r="A54" s="1997"/>
      <c r="B54" s="215">
        <v>2021</v>
      </c>
      <c r="C54" s="241"/>
      <c r="D54" s="242">
        <v>2030424</v>
      </c>
      <c r="E54" s="242">
        <v>15204847</v>
      </c>
      <c r="F54" s="242">
        <v>65421323</v>
      </c>
      <c r="G54" s="242">
        <v>164000000</v>
      </c>
      <c r="H54" s="242">
        <v>20000</v>
      </c>
      <c r="I54" s="243">
        <f>SUM(C54:H54)</f>
        <v>246676594</v>
      </c>
      <c r="J54" s="241"/>
      <c r="K54" s="242"/>
      <c r="L54" s="242"/>
      <c r="M54" s="242"/>
      <c r="N54" s="243">
        <f>SUM(J54:M54)</f>
        <v>0</v>
      </c>
      <c r="O54" s="244"/>
      <c r="P54" s="242">
        <f>SUM(O54)</f>
        <v>0</v>
      </c>
      <c r="Q54" s="242">
        <f>SUM(P54,N54,I54)</f>
        <v>246676594</v>
      </c>
      <c r="R54" s="245">
        <f>IFERROR(Q54/(+Q54+Q53+Q52)," ")</f>
        <v>0.3176564606319634</v>
      </c>
    </row>
    <row r="55" spans="1:18" ht="12.75" thickBot="1">
      <c r="A55" s="1994" t="s">
        <v>397</v>
      </c>
      <c r="B55" s="1995"/>
      <c r="C55" s="251" t="str">
        <f t="shared" ref="C55:E55" si="27">IFERROR(((C54-C53)/C53)," ")</f>
        <v xml:space="preserve"> </v>
      </c>
      <c r="D55" s="252">
        <f t="shared" si="27"/>
        <v>-3.2449996926406738E-2</v>
      </c>
      <c r="E55" s="252">
        <f t="shared" si="27"/>
        <v>-1.0528306131212457E-3</v>
      </c>
      <c r="F55" s="252">
        <f>IFERROR(((F54-F53)/F53)," ")</f>
        <v>9.1858727219551031E-2</v>
      </c>
      <c r="G55" s="252">
        <f>IFERROR(((G54-G53)/G53)," ")</f>
        <v>-0.23380101045108037</v>
      </c>
      <c r="H55" s="252">
        <f t="shared" ref="H55:R55" si="28">IFERROR(((H54-H53)/H53)," ")</f>
        <v>0</v>
      </c>
      <c r="I55" s="252">
        <f t="shared" si="28"/>
        <v>-0.15318825830355726</v>
      </c>
      <c r="J55" s="252" t="str">
        <f t="shared" si="28"/>
        <v xml:space="preserve"> </v>
      </c>
      <c r="K55" s="252" t="str">
        <f t="shared" si="28"/>
        <v xml:space="preserve"> </v>
      </c>
      <c r="L55" s="252">
        <f t="shared" si="28"/>
        <v>-1</v>
      </c>
      <c r="M55" s="252" t="str">
        <f t="shared" si="28"/>
        <v xml:space="preserve"> </v>
      </c>
      <c r="N55" s="252">
        <f t="shared" si="28"/>
        <v>-1</v>
      </c>
      <c r="O55" s="252" t="str">
        <f t="shared" si="28"/>
        <v xml:space="preserve"> </v>
      </c>
      <c r="P55" s="252" t="str">
        <f t="shared" si="28"/>
        <v xml:space="preserve"> </v>
      </c>
      <c r="Q55" s="252">
        <f t="shared" si="28"/>
        <v>-0.24887259374765375</v>
      </c>
      <c r="R55" s="253">
        <f t="shared" si="28"/>
        <v>-0.2488725937476538</v>
      </c>
    </row>
    <row r="56" spans="1:18" ht="12.75">
      <c r="A56" s="1996" t="s">
        <v>392</v>
      </c>
      <c r="B56" s="215">
        <v>2019</v>
      </c>
      <c r="C56" s="236"/>
      <c r="D56" s="237"/>
      <c r="E56" s="237"/>
      <c r="F56" s="237">
        <v>7000000</v>
      </c>
      <c r="G56" s="237"/>
      <c r="H56" s="237"/>
      <c r="I56" s="238">
        <f>SUM(C56:H56)</f>
        <v>7000000</v>
      </c>
      <c r="J56" s="236"/>
      <c r="K56" s="237"/>
      <c r="L56" s="237"/>
      <c r="M56" s="237"/>
      <c r="N56" s="238">
        <f>SUM(J56:M56)</f>
        <v>0</v>
      </c>
      <c r="O56" s="239"/>
      <c r="P56" s="237">
        <f>SUM(O56)</f>
        <v>0</v>
      </c>
      <c r="Q56" s="237">
        <f>SUM(P56,N56,I56)</f>
        <v>7000000</v>
      </c>
      <c r="R56" s="240">
        <f>IFERROR(Q56/(+Q58+Q57+Q56)," ")</f>
        <v>0.2773480863497117</v>
      </c>
    </row>
    <row r="57" spans="1:18" ht="12.75">
      <c r="A57" s="1997"/>
      <c r="B57" s="215">
        <v>2020</v>
      </c>
      <c r="C57" s="241"/>
      <c r="D57" s="242"/>
      <c r="E57" s="242"/>
      <c r="F57" s="242">
        <v>12454318</v>
      </c>
      <c r="G57" s="242"/>
      <c r="H57" s="242"/>
      <c r="I57" s="243">
        <f>SUM(C57:H57)</f>
        <v>12454318</v>
      </c>
      <c r="J57" s="241"/>
      <c r="K57" s="242"/>
      <c r="L57" s="242"/>
      <c r="M57" s="242"/>
      <c r="N57" s="243">
        <f>SUM(J57:M57)</f>
        <v>0</v>
      </c>
      <c r="O57" s="244"/>
      <c r="P57" s="242">
        <f>SUM(O57)</f>
        <v>0</v>
      </c>
      <c r="Q57" s="242">
        <f>SUM(P57,N57,I57)</f>
        <v>12454318</v>
      </c>
      <c r="R57" s="245">
        <f>IFERROR(Q57/(+Q58+Q57+Q56)," ")</f>
        <v>0.49345446629868123</v>
      </c>
    </row>
    <row r="58" spans="1:18" ht="12.75">
      <c r="A58" s="1997"/>
      <c r="B58" s="215">
        <v>2021</v>
      </c>
      <c r="C58" s="241"/>
      <c r="D58" s="242"/>
      <c r="E58" s="242"/>
      <c r="F58" s="242">
        <v>5784724</v>
      </c>
      <c r="G58" s="242"/>
      <c r="H58" s="242"/>
      <c r="I58" s="243">
        <f>SUM(C58:H58)</f>
        <v>5784724</v>
      </c>
      <c r="J58" s="241"/>
      <c r="K58" s="242"/>
      <c r="L58" s="242"/>
      <c r="M58" s="242"/>
      <c r="N58" s="243">
        <f>SUM(J58:M58)</f>
        <v>0</v>
      </c>
      <c r="O58" s="244"/>
      <c r="P58" s="242">
        <f>SUM(O58)</f>
        <v>0</v>
      </c>
      <c r="Q58" s="242">
        <f>SUM(P58,N58,I58)</f>
        <v>5784724</v>
      </c>
      <c r="R58" s="245">
        <f>IFERROR(Q58/(+Q58+Q57+Q56)," ")</f>
        <v>0.22919744735160708</v>
      </c>
    </row>
    <row r="59" spans="1:18" ht="12.75" thickBot="1">
      <c r="A59" s="1994" t="s">
        <v>397</v>
      </c>
      <c r="B59" s="1995"/>
      <c r="C59" s="246" t="str">
        <f t="shared" ref="C59:R59" si="29">IFERROR(((C58-C57)/C57)," ")</f>
        <v xml:space="preserve"> </v>
      </c>
      <c r="D59" s="247" t="str">
        <f t="shared" si="29"/>
        <v xml:space="preserve"> </v>
      </c>
      <c r="E59" s="247" t="str">
        <f t="shared" si="29"/>
        <v xml:space="preserve"> </v>
      </c>
      <c r="F59" s="247">
        <f t="shared" si="29"/>
        <v>-0.53552462688041202</v>
      </c>
      <c r="G59" s="247" t="str">
        <f t="shared" si="29"/>
        <v xml:space="preserve"> </v>
      </c>
      <c r="H59" s="247" t="str">
        <f t="shared" si="29"/>
        <v xml:space="preserve"> </v>
      </c>
      <c r="I59" s="247">
        <f t="shared" si="29"/>
        <v>-0.53552462688041202</v>
      </c>
      <c r="J59" s="247" t="str">
        <f t="shared" si="29"/>
        <v xml:space="preserve"> </v>
      </c>
      <c r="K59" s="247" t="str">
        <f t="shared" si="29"/>
        <v xml:space="preserve"> </v>
      </c>
      <c r="L59" s="247" t="str">
        <f t="shared" si="29"/>
        <v xml:space="preserve"> </v>
      </c>
      <c r="M59" s="247" t="str">
        <f t="shared" si="29"/>
        <v xml:space="preserve"> </v>
      </c>
      <c r="N59" s="247" t="str">
        <f t="shared" si="29"/>
        <v xml:space="preserve"> </v>
      </c>
      <c r="O59" s="247" t="str">
        <f t="shared" si="29"/>
        <v xml:space="preserve"> </v>
      </c>
      <c r="P59" s="247" t="str">
        <f t="shared" si="29"/>
        <v xml:space="preserve"> </v>
      </c>
      <c r="Q59" s="247">
        <f t="shared" si="29"/>
        <v>-0.53552462688041202</v>
      </c>
      <c r="R59" s="250">
        <f t="shared" si="29"/>
        <v>-0.53552462688041214</v>
      </c>
    </row>
    <row r="60" spans="1:18" ht="12.75">
      <c r="A60" s="1996" t="s">
        <v>393</v>
      </c>
      <c r="B60" s="215">
        <v>2019</v>
      </c>
      <c r="C60" s="236"/>
      <c r="D60" s="237">
        <v>261902690</v>
      </c>
      <c r="E60" s="237"/>
      <c r="F60" s="242">
        <v>41486462</v>
      </c>
      <c r="G60" s="237"/>
      <c r="H60" s="237"/>
      <c r="I60" s="238">
        <f>SUM(C60:H60)</f>
        <v>303389152</v>
      </c>
      <c r="J60" s="236"/>
      <c r="K60" s="237"/>
      <c r="L60" s="237"/>
      <c r="M60" s="237"/>
      <c r="N60" s="238">
        <f>SUM(J60:M60)</f>
        <v>0</v>
      </c>
      <c r="O60" s="239"/>
      <c r="P60" s="237">
        <f>SUM(O60)</f>
        <v>0</v>
      </c>
      <c r="Q60" s="237">
        <f>SUM(P60,N60,I60)</f>
        <v>303389152</v>
      </c>
      <c r="R60" s="240">
        <f>IFERROR(Q60/(+Q62+Q61+Q60)," ")</f>
        <v>0.31763989400118031</v>
      </c>
    </row>
    <row r="61" spans="1:18" ht="12.75">
      <c r="A61" s="1997"/>
      <c r="B61" s="215">
        <v>2020</v>
      </c>
      <c r="C61" s="241"/>
      <c r="D61" s="242">
        <v>273324651</v>
      </c>
      <c r="E61" s="242"/>
      <c r="F61" s="242">
        <v>36893132</v>
      </c>
      <c r="G61" s="242"/>
      <c r="H61" s="242"/>
      <c r="I61" s="243">
        <f>SUM(C61:H61)</f>
        <v>310217783</v>
      </c>
      <c r="J61" s="241"/>
      <c r="K61" s="242"/>
      <c r="L61" s="242"/>
      <c r="M61" s="242"/>
      <c r="N61" s="243">
        <f>SUM(J61:M61)</f>
        <v>0</v>
      </c>
      <c r="O61" s="244"/>
      <c r="P61" s="242">
        <f>SUM(O61)</f>
        <v>0</v>
      </c>
      <c r="Q61" s="242">
        <f>SUM(P61,N61,I61)</f>
        <v>310217783</v>
      </c>
      <c r="R61" s="245">
        <f>IFERROR(Q61/(+Q62+Q61+Q60)," ")</f>
        <v>0.32478927825804776</v>
      </c>
    </row>
    <row r="62" spans="1:18" ht="12.75">
      <c r="A62" s="1997"/>
      <c r="B62" s="215">
        <v>2021</v>
      </c>
      <c r="C62" s="241"/>
      <c r="D62" s="242">
        <v>295820979</v>
      </c>
      <c r="E62" s="242"/>
      <c r="F62" s="242">
        <v>45707627</v>
      </c>
      <c r="G62" s="242"/>
      <c r="H62" s="242"/>
      <c r="I62" s="243">
        <f>SUM(C62:H62)</f>
        <v>341528606</v>
      </c>
      <c r="J62" s="241"/>
      <c r="K62" s="242"/>
      <c r="L62" s="242"/>
      <c r="M62" s="242"/>
      <c r="N62" s="243">
        <f>SUM(J62:M62)</f>
        <v>0</v>
      </c>
      <c r="O62" s="244"/>
      <c r="P62" s="242">
        <f>SUM(O62)</f>
        <v>0</v>
      </c>
      <c r="Q62" s="242">
        <f>SUM(P62,N62,I62)</f>
        <v>341528606</v>
      </c>
      <c r="R62" s="245">
        <f>IFERROR(Q62/(+Q62+Q61+Q60)," ")</f>
        <v>0.35757082774077192</v>
      </c>
    </row>
    <row r="63" spans="1:18" ht="12.75" thickBot="1">
      <c r="A63" s="1994" t="s">
        <v>397</v>
      </c>
      <c r="B63" s="1995"/>
      <c r="C63" s="246" t="str">
        <f t="shared" ref="C63:E63" si="30">IFERROR(((C62-C61)/C61)," ")</f>
        <v xml:space="preserve"> </v>
      </c>
      <c r="D63" s="247">
        <f t="shared" si="30"/>
        <v>8.2306253452419112E-2</v>
      </c>
      <c r="E63" s="247" t="str">
        <f t="shared" si="30"/>
        <v xml:space="preserve"> </v>
      </c>
      <c r="F63" s="247">
        <f>IFERROR(((F62-F61)/F61)," ")</f>
        <v>0.23891967209506637</v>
      </c>
      <c r="G63" s="247" t="str">
        <f t="shared" ref="G63:R63" si="31">IFERROR(((G62-G61)/G61)," ")</f>
        <v xml:space="preserve"> </v>
      </c>
      <c r="H63" s="247" t="str">
        <f t="shared" si="31"/>
        <v xml:space="preserve"> </v>
      </c>
      <c r="I63" s="248">
        <f t="shared" si="31"/>
        <v>0.10093174768127332</v>
      </c>
      <c r="J63" s="246" t="str">
        <f t="shared" si="31"/>
        <v xml:space="preserve"> </v>
      </c>
      <c r="K63" s="247" t="str">
        <f t="shared" si="31"/>
        <v xml:space="preserve"> </v>
      </c>
      <c r="L63" s="247" t="str">
        <f t="shared" si="31"/>
        <v xml:space="preserve"> </v>
      </c>
      <c r="M63" s="247" t="str">
        <f t="shared" si="31"/>
        <v xml:space="preserve"> </v>
      </c>
      <c r="N63" s="248" t="str">
        <f t="shared" si="31"/>
        <v xml:space="preserve"> </v>
      </c>
      <c r="O63" s="249" t="str">
        <f t="shared" si="31"/>
        <v xml:space="preserve"> </v>
      </c>
      <c r="P63" s="247" t="str">
        <f t="shared" si="31"/>
        <v xml:space="preserve"> </v>
      </c>
      <c r="Q63" s="247">
        <f t="shared" si="31"/>
        <v>0.10093174768127332</v>
      </c>
      <c r="R63" s="250">
        <f t="shared" si="31"/>
        <v>0.10093174768127336</v>
      </c>
    </row>
    <row r="64" spans="1:18" ht="12.75">
      <c r="A64" s="1996" t="s">
        <v>394</v>
      </c>
      <c r="B64" s="215">
        <v>2019</v>
      </c>
      <c r="C64" s="236"/>
      <c r="D64" s="237">
        <v>110554066</v>
      </c>
      <c r="E64" s="237"/>
      <c r="F64" s="237">
        <v>83482263</v>
      </c>
      <c r="G64" s="237"/>
      <c r="H64" s="237"/>
      <c r="I64" s="238">
        <f>SUM(C64:H64)</f>
        <v>194036329</v>
      </c>
      <c r="J64" s="236"/>
      <c r="K64" s="237"/>
      <c r="L64" s="237">
        <v>3150586</v>
      </c>
      <c r="M64" s="237"/>
      <c r="N64" s="238">
        <f>SUM(J64:M64)</f>
        <v>3150586</v>
      </c>
      <c r="O64" s="239"/>
      <c r="P64" s="237">
        <f>SUM(O64)</f>
        <v>0</v>
      </c>
      <c r="Q64" s="237">
        <f>SUM(P64,N64,I64)</f>
        <v>197186915</v>
      </c>
      <c r="R64" s="240">
        <f>IFERROR(Q64/(+Q66+Q65+Q64)," ")</f>
        <v>0.41055008296556023</v>
      </c>
    </row>
    <row r="65" spans="1:18" ht="12.75">
      <c r="A65" s="1997"/>
      <c r="B65" s="215">
        <v>2020</v>
      </c>
      <c r="C65" s="241"/>
      <c r="D65" s="242">
        <v>75198044</v>
      </c>
      <c r="E65" s="242"/>
      <c r="F65" s="242">
        <v>82049605</v>
      </c>
      <c r="G65" s="242"/>
      <c r="H65" s="242"/>
      <c r="I65" s="243">
        <f>SUM(C65:H65)</f>
        <v>157247649</v>
      </c>
      <c r="J65" s="241"/>
      <c r="K65" s="242"/>
      <c r="L65" s="242">
        <v>150000</v>
      </c>
      <c r="M65" s="242"/>
      <c r="N65" s="243">
        <f>SUM(J65:M65)</f>
        <v>150000</v>
      </c>
      <c r="O65" s="244"/>
      <c r="P65" s="242">
        <f>SUM(O65)</f>
        <v>0</v>
      </c>
      <c r="Q65" s="242">
        <f>SUM(P65,N65,I65)</f>
        <v>157397649</v>
      </c>
      <c r="R65" s="245">
        <f>IFERROR(Q65/(+Q66+Q65+Q64)," ")</f>
        <v>0.32770743360701254</v>
      </c>
    </row>
    <row r="66" spans="1:18" ht="12.75">
      <c r="A66" s="1997"/>
      <c r="B66" s="215">
        <v>2021</v>
      </c>
      <c r="C66" s="241"/>
      <c r="D66" s="242">
        <v>67255797</v>
      </c>
      <c r="E66" s="242"/>
      <c r="F66" s="242">
        <v>58458933</v>
      </c>
      <c r="G66" s="242"/>
      <c r="H66" s="242"/>
      <c r="I66" s="243">
        <f>SUM(C66:H66)</f>
        <v>125714730</v>
      </c>
      <c r="J66" s="241"/>
      <c r="K66" s="242"/>
      <c r="L66" s="242"/>
      <c r="M66" s="242"/>
      <c r="N66" s="243">
        <f>SUM(J66:M66)</f>
        <v>0</v>
      </c>
      <c r="O66" s="244"/>
      <c r="P66" s="242">
        <f>SUM(O66)</f>
        <v>0</v>
      </c>
      <c r="Q66" s="242">
        <f>SUM(P66,N66,I66)</f>
        <v>125714730</v>
      </c>
      <c r="R66" s="245">
        <f>IFERROR(Q66/(+Q66+Q65+Q64)," ")</f>
        <v>0.26174248342742723</v>
      </c>
    </row>
    <row r="67" spans="1:18" ht="12.75" thickBot="1">
      <c r="A67" s="1994" t="s">
        <v>397</v>
      </c>
      <c r="B67" s="1995"/>
      <c r="C67" s="251" t="str">
        <f t="shared" ref="C67:E67" si="32">IFERROR(((C66-C65)/C65)," ")</f>
        <v xml:space="preserve"> </v>
      </c>
      <c r="D67" s="252">
        <f t="shared" si="32"/>
        <v>-0.10561773388680162</v>
      </c>
      <c r="E67" s="252" t="str">
        <f t="shared" si="32"/>
        <v xml:space="preserve"> </v>
      </c>
      <c r="F67" s="252">
        <f>IFERROR(((F66-F65)/F65)," ")</f>
        <v>-0.28751719158184857</v>
      </c>
      <c r="G67" s="252" t="str">
        <f>IFERROR(((G66-G65)/G65)," ")</f>
        <v xml:space="preserve"> </v>
      </c>
      <c r="H67" s="252" t="str">
        <f t="shared" ref="H67:R67" si="33">IFERROR(((H66-H65)/H65)," ")</f>
        <v xml:space="preserve"> </v>
      </c>
      <c r="I67" s="252">
        <f t="shared" si="33"/>
        <v>-0.20053030490777005</v>
      </c>
      <c r="J67" s="252" t="str">
        <f t="shared" si="33"/>
        <v xml:space="preserve"> </v>
      </c>
      <c r="K67" s="252" t="str">
        <f t="shared" si="33"/>
        <v xml:space="preserve"> </v>
      </c>
      <c r="L67" s="252">
        <f t="shared" si="33"/>
        <v>-1</v>
      </c>
      <c r="M67" s="252" t="str">
        <f t="shared" si="33"/>
        <v xml:space="preserve"> </v>
      </c>
      <c r="N67" s="252">
        <f t="shared" si="33"/>
        <v>-1</v>
      </c>
      <c r="O67" s="252" t="str">
        <f t="shared" si="33"/>
        <v xml:space="preserve"> </v>
      </c>
      <c r="P67" s="252" t="str">
        <f t="shared" si="33"/>
        <v xml:space="preserve"> </v>
      </c>
      <c r="Q67" s="252">
        <f t="shared" si="33"/>
        <v>-0.20129219973291979</v>
      </c>
      <c r="R67" s="253">
        <f t="shared" si="33"/>
        <v>-0.20129219973291976</v>
      </c>
    </row>
    <row r="68" spans="1:18" ht="12.75">
      <c r="A68" s="1996" t="s">
        <v>395</v>
      </c>
      <c r="B68" s="215">
        <v>2019</v>
      </c>
      <c r="C68" s="236"/>
      <c r="D68" s="237">
        <v>60413182</v>
      </c>
      <c r="E68" s="237">
        <v>1430485407</v>
      </c>
      <c r="F68" s="242"/>
      <c r="G68" s="237"/>
      <c r="H68" s="237"/>
      <c r="I68" s="238">
        <f>SUM(C68:H68)</f>
        <v>1490898589</v>
      </c>
      <c r="J68" s="236"/>
      <c r="K68" s="237"/>
      <c r="L68" s="237"/>
      <c r="M68" s="237"/>
      <c r="N68" s="238">
        <f>SUM(J68:M68)</f>
        <v>0</v>
      </c>
      <c r="O68" s="239"/>
      <c r="P68" s="237">
        <f>SUM(O68)</f>
        <v>0</v>
      </c>
      <c r="Q68" s="237">
        <f>SUM(P68,N68,I68)</f>
        <v>1490898589</v>
      </c>
      <c r="R68" s="240">
        <f>IFERROR(Q68/(+Q70+Q69+Q68)," ")</f>
        <v>0.34620013945648653</v>
      </c>
    </row>
    <row r="69" spans="1:18" ht="12.75">
      <c r="A69" s="1997"/>
      <c r="B69" s="215">
        <v>2020</v>
      </c>
      <c r="C69" s="241"/>
      <c r="D69" s="242">
        <v>60413182</v>
      </c>
      <c r="E69" s="242">
        <v>1346367920</v>
      </c>
      <c r="F69" s="242"/>
      <c r="G69" s="242"/>
      <c r="H69" s="242"/>
      <c r="I69" s="243">
        <f>SUM(C69:H69)</f>
        <v>1406781102</v>
      </c>
      <c r="J69" s="241"/>
      <c r="K69" s="242"/>
      <c r="L69" s="242"/>
      <c r="M69" s="242"/>
      <c r="N69" s="243">
        <f>SUM(J69:M69)</f>
        <v>0</v>
      </c>
      <c r="O69" s="244"/>
      <c r="P69" s="242">
        <f>SUM(O69)</f>
        <v>0</v>
      </c>
      <c r="Q69" s="242">
        <f>SUM(P69,N69,I69)</f>
        <v>1406781102</v>
      </c>
      <c r="R69" s="245">
        <f>IFERROR(Q69/(+Q70+Q69+Q68)," ")</f>
        <v>0.3266672980244868</v>
      </c>
    </row>
    <row r="70" spans="1:18" ht="12.75">
      <c r="A70" s="1997"/>
      <c r="B70" s="215">
        <v>2021</v>
      </c>
      <c r="C70" s="241"/>
      <c r="D70" s="242">
        <v>117092002</v>
      </c>
      <c r="E70" s="242">
        <v>1291692745</v>
      </c>
      <c r="F70" s="242"/>
      <c r="G70" s="242"/>
      <c r="H70" s="242"/>
      <c r="I70" s="243">
        <f>SUM(C70:H70)</f>
        <v>1408784747</v>
      </c>
      <c r="J70" s="241"/>
      <c r="K70" s="242"/>
      <c r="L70" s="242"/>
      <c r="M70" s="242"/>
      <c r="N70" s="243">
        <f>SUM(J70:M70)</f>
        <v>0</v>
      </c>
      <c r="O70" s="244"/>
      <c r="P70" s="242">
        <f>SUM(O70)</f>
        <v>0</v>
      </c>
      <c r="Q70" s="242">
        <f>SUM(P70,N70,I70)</f>
        <v>1408784747</v>
      </c>
      <c r="R70" s="245">
        <f>IFERROR(Q70/(+Q70+Q69+Q68)," ")</f>
        <v>0.32713256251902667</v>
      </c>
    </row>
    <row r="71" spans="1:18" ht="12.75" thickBot="1">
      <c r="A71" s="1994" t="s">
        <v>397</v>
      </c>
      <c r="B71" s="1995"/>
      <c r="C71" s="246" t="str">
        <f t="shared" ref="C71:R71" si="34">IFERROR(((C70-C69)/C69)," ")</f>
        <v xml:space="preserve"> </v>
      </c>
      <c r="D71" s="247">
        <f t="shared" si="34"/>
        <v>0.93818630510142642</v>
      </c>
      <c r="E71" s="247">
        <f t="shared" si="34"/>
        <v>-4.0609386325841754E-2</v>
      </c>
      <c r="F71" s="247" t="str">
        <f t="shared" si="34"/>
        <v xml:space="preserve"> </v>
      </c>
      <c r="G71" s="247" t="str">
        <f t="shared" si="34"/>
        <v xml:space="preserve"> </v>
      </c>
      <c r="H71" s="247" t="str">
        <f t="shared" si="34"/>
        <v xml:space="preserve"> </v>
      </c>
      <c r="I71" s="247">
        <f t="shared" si="34"/>
        <v>1.4242763121792349E-3</v>
      </c>
      <c r="J71" s="247" t="str">
        <f t="shared" si="34"/>
        <v xml:space="preserve"> </v>
      </c>
      <c r="K71" s="247" t="str">
        <f t="shared" si="34"/>
        <v xml:space="preserve"> </v>
      </c>
      <c r="L71" s="247" t="str">
        <f t="shared" si="34"/>
        <v xml:space="preserve"> </v>
      </c>
      <c r="M71" s="247" t="str">
        <f t="shared" si="34"/>
        <v xml:space="preserve"> </v>
      </c>
      <c r="N71" s="247" t="str">
        <f t="shared" si="34"/>
        <v xml:space="preserve"> </v>
      </c>
      <c r="O71" s="247" t="str">
        <f t="shared" si="34"/>
        <v xml:space="preserve"> </v>
      </c>
      <c r="P71" s="247" t="str">
        <f t="shared" si="34"/>
        <v xml:space="preserve"> </v>
      </c>
      <c r="Q71" s="247">
        <f t="shared" si="34"/>
        <v>1.4242763121792349E-3</v>
      </c>
      <c r="R71" s="250">
        <f t="shared" si="34"/>
        <v>1.4242763121792446E-3</v>
      </c>
    </row>
    <row r="72" spans="1:18" ht="12.75">
      <c r="A72" s="1998" t="s">
        <v>0</v>
      </c>
      <c r="B72" s="215">
        <v>2019</v>
      </c>
      <c r="C72" s="254">
        <f>SUM(C44,C48,C52,C56,C60,C64,C68)</f>
        <v>0</v>
      </c>
      <c r="D72" s="255">
        <f t="shared" ref="D72:H72" si="35">SUM(D44,D48,D52,D56,D60,D64,D68)</f>
        <v>3756032965</v>
      </c>
      <c r="E72" s="255">
        <f t="shared" si="35"/>
        <v>1445485407</v>
      </c>
      <c r="F72" s="255">
        <f t="shared" si="35"/>
        <v>1482161318</v>
      </c>
      <c r="G72" s="255">
        <f t="shared" si="35"/>
        <v>100188622</v>
      </c>
      <c r="H72" s="255">
        <f t="shared" si="35"/>
        <v>23459530</v>
      </c>
      <c r="I72" s="256">
        <f>SUM(C72:H72)</f>
        <v>6807327842</v>
      </c>
      <c r="J72" s="255">
        <f t="shared" ref="J72:K72" si="36">SUM(J44,J48,J52,J56,J60,J64,J68)</f>
        <v>0</v>
      </c>
      <c r="K72" s="255">
        <f t="shared" si="36"/>
        <v>0</v>
      </c>
      <c r="L72" s="255">
        <f t="shared" ref="L72" si="37">SUM(L44,L48,L52,L56,L60,L64,L68)</f>
        <v>298726634</v>
      </c>
      <c r="M72" s="255">
        <f t="shared" ref="M72:M74" si="38">SUM(M44,M48,M52,M56,M60,M64,M68)</f>
        <v>0</v>
      </c>
      <c r="N72" s="256">
        <f>SUM(J72:M72)</f>
        <v>298726634</v>
      </c>
      <c r="O72" s="255">
        <f t="shared" ref="O72:P72" si="39">SUM(O44,O48,O52,O56,O60,O64,O68)</f>
        <v>0</v>
      </c>
      <c r="P72" s="242">
        <f t="shared" si="39"/>
        <v>0</v>
      </c>
      <c r="Q72" s="255">
        <f>SUM(P72,N72,I72)</f>
        <v>7106054476</v>
      </c>
      <c r="R72" s="240">
        <f>IFERROR(Q72/(+Q74+Q73+Q72)," ")</f>
        <v>0.34472423343677733</v>
      </c>
    </row>
    <row r="73" spans="1:18" ht="12.75">
      <c r="A73" s="1999"/>
      <c r="B73" s="215">
        <v>2020</v>
      </c>
      <c r="C73" s="241">
        <f t="shared" ref="C73:H73" si="40">SUM(C45,C49,C53,C57,C61,C65,C69)</f>
        <v>0</v>
      </c>
      <c r="D73" s="255">
        <f t="shared" si="40"/>
        <v>3779723217</v>
      </c>
      <c r="E73" s="255">
        <f t="shared" si="40"/>
        <v>1363398792</v>
      </c>
      <c r="F73" s="255">
        <f t="shared" si="40"/>
        <v>1298808747</v>
      </c>
      <c r="G73" s="255">
        <f t="shared" si="40"/>
        <v>214052613</v>
      </c>
      <c r="H73" s="255">
        <f t="shared" si="40"/>
        <v>16593394</v>
      </c>
      <c r="I73" s="243">
        <f>SUM(C73:H73)</f>
        <v>6672576763</v>
      </c>
      <c r="J73" s="255">
        <f t="shared" ref="J73:K73" si="41">SUM(J45,J49,J53,J57,J61,J65,J69)</f>
        <v>0</v>
      </c>
      <c r="K73" s="255">
        <f t="shared" si="41"/>
        <v>0</v>
      </c>
      <c r="L73" s="255">
        <f t="shared" ref="L73" si="42">SUM(L45,L49,L53,L57,L61,L65,L69)</f>
        <v>219770270</v>
      </c>
      <c r="M73" s="255">
        <f t="shared" si="38"/>
        <v>0</v>
      </c>
      <c r="N73" s="243">
        <f>SUM(J73:M73)</f>
        <v>219770270</v>
      </c>
      <c r="O73" s="255">
        <f t="shared" ref="O73:P73" si="43">SUM(O45,O49,O53,O57,O61,O65,O69)</f>
        <v>0</v>
      </c>
      <c r="P73" s="257">
        <f t="shared" si="43"/>
        <v>0</v>
      </c>
      <c r="Q73" s="242">
        <f>SUM(P73,N73,I73)</f>
        <v>6892347033</v>
      </c>
      <c r="R73" s="245">
        <f>IFERROR(Q73/(+Q74+Q73+Q72)," ")</f>
        <v>0.3343569987474399</v>
      </c>
    </row>
    <row r="74" spans="1:18" ht="12.75">
      <c r="A74" s="2000"/>
      <c r="B74" s="215">
        <v>2021</v>
      </c>
      <c r="C74" s="241">
        <f t="shared" ref="C74:H74" si="44">SUM(C46,C50,C54,C58,C62,C66,C70)</f>
        <v>0</v>
      </c>
      <c r="D74" s="255">
        <f t="shared" si="44"/>
        <v>3824182768</v>
      </c>
      <c r="E74" s="255">
        <f t="shared" si="44"/>
        <v>1308713336</v>
      </c>
      <c r="F74" s="255">
        <f t="shared" si="44"/>
        <v>1290813287</v>
      </c>
      <c r="G74" s="255">
        <f t="shared" si="44"/>
        <v>164006300</v>
      </c>
      <c r="H74" s="255">
        <f t="shared" si="44"/>
        <v>15817990</v>
      </c>
      <c r="I74" s="243">
        <f>SUM(C74:H74)</f>
        <v>6603533681</v>
      </c>
      <c r="J74" s="255">
        <f t="shared" ref="J74:K74" si="45">SUM(J46,J50,J54,J58,J62,J66,J70)</f>
        <v>0</v>
      </c>
      <c r="K74" s="255">
        <f t="shared" si="45"/>
        <v>0</v>
      </c>
      <c r="L74" s="255">
        <f t="shared" ref="L74" si="46">SUM(L46,L50,L54,L58,L62,L66,L70)</f>
        <v>11801202</v>
      </c>
      <c r="M74" s="255">
        <f t="shared" si="38"/>
        <v>0</v>
      </c>
      <c r="N74" s="243">
        <f>SUM(J74:M74)</f>
        <v>11801202</v>
      </c>
      <c r="O74" s="255">
        <f t="shared" ref="O74:P74" si="47">SUM(O46,O50,O54,O58,O62,O66,O70)</f>
        <v>0</v>
      </c>
      <c r="P74" s="257">
        <f t="shared" si="47"/>
        <v>0</v>
      </c>
      <c r="Q74" s="242">
        <f>SUM(P74,N74,I74)</f>
        <v>6615334883</v>
      </c>
      <c r="R74" s="245">
        <f>IFERROR(Q74/(+Q74+Q73+Q72)," ")</f>
        <v>0.32091876781578277</v>
      </c>
    </row>
    <row r="75" spans="1:18" ht="12.75" thickBot="1">
      <c r="A75" s="1994" t="s">
        <v>397</v>
      </c>
      <c r="B75" s="1995"/>
      <c r="C75" s="251" t="str">
        <f t="shared" ref="C75:F75" si="48">IFERROR(((C74-C73)/C73)," ")</f>
        <v xml:space="preserve"> </v>
      </c>
      <c r="D75" s="252">
        <f t="shared" si="48"/>
        <v>1.1762647275344131E-2</v>
      </c>
      <c r="E75" s="252">
        <f t="shared" si="48"/>
        <v>-4.0109655605445188E-2</v>
      </c>
      <c r="F75" s="252">
        <f t="shared" si="48"/>
        <v>-6.1559948825937495E-3</v>
      </c>
      <c r="G75" s="252">
        <f>IFERROR(((G74-G73)/G73)," ")</f>
        <v>-0.23380379383642469</v>
      </c>
      <c r="H75" s="252">
        <f t="shared" ref="H75:P75" si="49">IFERROR(((H74-H73)/H73)," ")</f>
        <v>-4.6729680498154867E-2</v>
      </c>
      <c r="I75" s="252">
        <f t="shared" si="49"/>
        <v>-1.0347289278536247E-2</v>
      </c>
      <c r="J75" s="252" t="str">
        <f t="shared" si="49"/>
        <v xml:space="preserve"> </v>
      </c>
      <c r="K75" s="252" t="str">
        <f t="shared" si="49"/>
        <v xml:space="preserve"> </v>
      </c>
      <c r="L75" s="252">
        <f t="shared" si="49"/>
        <v>-0.94630209991551628</v>
      </c>
      <c r="M75" s="252" t="str">
        <f t="shared" si="49"/>
        <v xml:space="preserve"> </v>
      </c>
      <c r="N75" s="252">
        <f t="shared" si="49"/>
        <v>-0.94630209991551628</v>
      </c>
      <c r="O75" s="252" t="str">
        <f t="shared" si="49"/>
        <v xml:space="preserve"> </v>
      </c>
      <c r="P75" s="252" t="str">
        <f t="shared" si="49"/>
        <v xml:space="preserve"> </v>
      </c>
      <c r="Q75" s="252">
        <f>IFERROR(((Q74-Q73)/Q73)," ")</f>
        <v>-4.0191265569433497E-2</v>
      </c>
      <c r="R75" s="253">
        <f t="shared" ref="R75" si="50">IFERROR(((R74-R73)/R73)," ")</f>
        <v>-4.0191265569433601E-2</v>
      </c>
    </row>
    <row r="76" spans="1:18" ht="5.0999999999999996" customHeight="1" thickBot="1">
      <c r="A76" s="68"/>
      <c r="B76" s="68"/>
      <c r="C76" s="68"/>
      <c r="D76" s="68"/>
      <c r="E76" s="68"/>
      <c r="F76" s="68"/>
      <c r="G76" s="68"/>
      <c r="H76" s="68"/>
      <c r="I76" s="68"/>
      <c r="J76" s="68"/>
      <c r="K76" s="68"/>
      <c r="L76" s="68"/>
      <c r="M76" s="68"/>
      <c r="N76" s="68"/>
      <c r="O76" s="68"/>
      <c r="P76" s="68"/>
      <c r="Q76" s="68"/>
      <c r="R76" s="68"/>
    </row>
    <row r="77" spans="1:18" s="68" customFormat="1" ht="13.5" customHeight="1" thickBot="1">
      <c r="A77" s="1980" t="s">
        <v>370</v>
      </c>
      <c r="B77" s="1981"/>
      <c r="C77" s="1981"/>
      <c r="D77" s="1981"/>
      <c r="E77" s="1981"/>
      <c r="F77" s="1981"/>
      <c r="G77" s="1981"/>
      <c r="H77" s="1981"/>
      <c r="I77" s="1981"/>
      <c r="J77" s="1981"/>
      <c r="K77" s="1981"/>
      <c r="L77" s="1981"/>
      <c r="M77" s="1981"/>
      <c r="N77" s="1981"/>
      <c r="O77" s="1981"/>
      <c r="P77" s="1981"/>
      <c r="Q77" s="1981"/>
      <c r="R77" s="1982"/>
    </row>
    <row r="78" spans="1:18" ht="12.75">
      <c r="A78" s="1996" t="s">
        <v>390</v>
      </c>
      <c r="B78" s="215">
        <v>2019</v>
      </c>
      <c r="C78" s="236"/>
      <c r="D78" s="237">
        <v>140114</v>
      </c>
      <c r="E78" s="237"/>
      <c r="F78" s="242">
        <v>214166210</v>
      </c>
      <c r="G78" s="237">
        <v>331950</v>
      </c>
      <c r="H78" s="237">
        <v>1763000</v>
      </c>
      <c r="I78" s="238">
        <f>SUM(C78:H78)</f>
        <v>216401274</v>
      </c>
      <c r="J78" s="236"/>
      <c r="K78" s="237"/>
      <c r="L78" s="237">
        <v>39686008</v>
      </c>
      <c r="M78" s="237"/>
      <c r="N78" s="238">
        <f>SUM(J78:M78)</f>
        <v>39686008</v>
      </c>
      <c r="O78" s="239"/>
      <c r="P78" s="237">
        <f>SUM(O78)</f>
        <v>0</v>
      </c>
      <c r="Q78" s="237">
        <f>SUM(P78,N78,I78)</f>
        <v>256087282</v>
      </c>
      <c r="R78" s="240">
        <f>IFERROR(Q78/(+Q80+Q79+Q78)," ")</f>
        <v>0.28847160258513671</v>
      </c>
    </row>
    <row r="79" spans="1:18" ht="12.75">
      <c r="A79" s="1997"/>
      <c r="B79" s="215">
        <v>2020</v>
      </c>
      <c r="C79" s="241"/>
      <c r="D79" s="242"/>
      <c r="E79" s="242"/>
      <c r="F79" s="242">
        <v>356731013</v>
      </c>
      <c r="G79" s="242">
        <v>525587</v>
      </c>
      <c r="H79" s="242">
        <v>8512883</v>
      </c>
      <c r="I79" s="243">
        <f>SUM(C79:H79)</f>
        <v>365769483</v>
      </c>
      <c r="J79" s="241"/>
      <c r="K79" s="242"/>
      <c r="L79" s="242">
        <v>40391980</v>
      </c>
      <c r="M79" s="242"/>
      <c r="N79" s="243">
        <f>SUM(J79:M79)</f>
        <v>40391980</v>
      </c>
      <c r="O79" s="244"/>
      <c r="P79" s="242">
        <f>SUM(O79)</f>
        <v>0</v>
      </c>
      <c r="Q79" s="242">
        <f>SUM(P79,N79,I79)</f>
        <v>406161463</v>
      </c>
      <c r="R79" s="245">
        <f>IFERROR(Q79/(+Q80+Q79+Q78)," ")</f>
        <v>0.45752388492269486</v>
      </c>
    </row>
    <row r="80" spans="1:18" ht="12.75">
      <c r="A80" s="1997"/>
      <c r="B80" s="215">
        <v>2021</v>
      </c>
      <c r="C80" s="241"/>
      <c r="D80" s="242"/>
      <c r="E80" s="242">
        <v>2000</v>
      </c>
      <c r="F80" s="242">
        <v>217733328</v>
      </c>
      <c r="G80" s="242">
        <v>241316</v>
      </c>
      <c r="H80" s="242">
        <v>7512883</v>
      </c>
      <c r="I80" s="243">
        <f>SUM(C80:H80)</f>
        <v>225489527</v>
      </c>
      <c r="J80" s="241"/>
      <c r="K80" s="242"/>
      <c r="L80" s="242"/>
      <c r="M80" s="242"/>
      <c r="N80" s="243">
        <f>SUM(J80:M80)</f>
        <v>0</v>
      </c>
      <c r="O80" s="244"/>
      <c r="P80" s="242">
        <f>SUM(O80)</f>
        <v>0</v>
      </c>
      <c r="Q80" s="242">
        <f>SUM(P80,N80,I80)</f>
        <v>225489527</v>
      </c>
      <c r="R80" s="245">
        <f>IFERROR(Q80/(+Q80+Q79+Q78)," ")</f>
        <v>0.25400451249216843</v>
      </c>
    </row>
    <row r="81" spans="1:18" ht="12.75" thickBot="1">
      <c r="A81" s="1994" t="s">
        <v>397</v>
      </c>
      <c r="B81" s="1995"/>
      <c r="C81" s="246" t="str">
        <f t="shared" ref="C81:E81" si="51">IFERROR(((C80-C79)/C79)," ")</f>
        <v xml:space="preserve"> </v>
      </c>
      <c r="D81" s="247" t="str">
        <f t="shared" si="51"/>
        <v xml:space="preserve"> </v>
      </c>
      <c r="E81" s="247" t="str">
        <f t="shared" si="51"/>
        <v xml:space="preserve"> </v>
      </c>
      <c r="F81" s="247">
        <f>IFERROR(((F80-F79)/F79)," ")</f>
        <v>-0.38964283994001947</v>
      </c>
      <c r="G81" s="247">
        <f t="shared" ref="G81:R81" si="52">IFERROR(((G80-G79)/G79)," ")</f>
        <v>-0.54086383415114914</v>
      </c>
      <c r="H81" s="247">
        <f t="shared" si="52"/>
        <v>-0.11746901725302697</v>
      </c>
      <c r="I81" s="248">
        <f t="shared" si="52"/>
        <v>-0.38352011996583107</v>
      </c>
      <c r="J81" s="246" t="str">
        <f t="shared" si="52"/>
        <v xml:space="preserve"> </v>
      </c>
      <c r="K81" s="247" t="str">
        <f t="shared" si="52"/>
        <v xml:space="preserve"> </v>
      </c>
      <c r="L81" s="247">
        <f t="shared" si="52"/>
        <v>-1</v>
      </c>
      <c r="M81" s="247" t="str">
        <f t="shared" si="52"/>
        <v xml:space="preserve"> </v>
      </c>
      <c r="N81" s="248">
        <f t="shared" si="52"/>
        <v>-1</v>
      </c>
      <c r="O81" s="249" t="str">
        <f t="shared" si="52"/>
        <v xml:space="preserve"> </v>
      </c>
      <c r="P81" s="247" t="str">
        <f t="shared" si="52"/>
        <v xml:space="preserve"> </v>
      </c>
      <c r="Q81" s="247">
        <f t="shared" si="52"/>
        <v>-0.44482786393745088</v>
      </c>
      <c r="R81" s="250">
        <f t="shared" si="52"/>
        <v>-0.44482786393745083</v>
      </c>
    </row>
    <row r="82" spans="1:18" ht="12.75">
      <c r="A82" s="1996" t="s">
        <v>391</v>
      </c>
      <c r="B82" s="215">
        <v>2019</v>
      </c>
      <c r="C82" s="236"/>
      <c r="D82" s="237"/>
      <c r="E82" s="237"/>
      <c r="F82" s="242">
        <v>2982805</v>
      </c>
      <c r="G82" s="237"/>
      <c r="H82" s="237"/>
      <c r="I82" s="238">
        <f>SUM(C82:H82)</f>
        <v>2982805</v>
      </c>
      <c r="J82" s="236"/>
      <c r="K82" s="237"/>
      <c r="L82" s="237"/>
      <c r="M82" s="237"/>
      <c r="N82" s="238">
        <f>SUM(J82:M82)</f>
        <v>0</v>
      </c>
      <c r="O82" s="239"/>
      <c r="P82" s="237">
        <f>SUM(O82)</f>
        <v>0</v>
      </c>
      <c r="Q82" s="237">
        <f>SUM(P82,N82,I82)</f>
        <v>2982805</v>
      </c>
      <c r="R82" s="240">
        <f>IFERROR(Q82/(+Q84+Q83+Q82)," ")</f>
        <v>0.41944345228887947</v>
      </c>
    </row>
    <row r="83" spans="1:18" ht="12.75">
      <c r="A83" s="1997"/>
      <c r="B83" s="215">
        <v>2020</v>
      </c>
      <c r="C83" s="241"/>
      <c r="D83" s="242"/>
      <c r="E83" s="242"/>
      <c r="F83" s="242">
        <v>2455416</v>
      </c>
      <c r="G83" s="242"/>
      <c r="H83" s="242">
        <v>56253</v>
      </c>
      <c r="I83" s="243">
        <f>SUM(C83:H83)</f>
        <v>2511669</v>
      </c>
      <c r="J83" s="241"/>
      <c r="K83" s="242"/>
      <c r="L83" s="242"/>
      <c r="M83" s="242"/>
      <c r="N83" s="243">
        <f>SUM(J83:M83)</f>
        <v>0</v>
      </c>
      <c r="O83" s="244"/>
      <c r="P83" s="242">
        <f>SUM(O83)</f>
        <v>0</v>
      </c>
      <c r="Q83" s="242">
        <f>SUM(P83,N83,I83)</f>
        <v>2511669</v>
      </c>
      <c r="R83" s="245">
        <f>IFERROR(Q83/(+Q84+Q83+Q82)," ")</f>
        <v>0.35319208475477193</v>
      </c>
    </row>
    <row r="84" spans="1:18" ht="12.75">
      <c r="A84" s="1997"/>
      <c r="B84" s="215">
        <v>2021</v>
      </c>
      <c r="C84" s="241"/>
      <c r="D84" s="242"/>
      <c r="E84" s="242"/>
      <c r="F84" s="242">
        <v>1560613</v>
      </c>
      <c r="G84" s="242"/>
      <c r="H84" s="242">
        <v>56253</v>
      </c>
      <c r="I84" s="243">
        <f>SUM(C84:H84)</f>
        <v>1616866</v>
      </c>
      <c r="J84" s="241"/>
      <c r="K84" s="242"/>
      <c r="L84" s="242"/>
      <c r="M84" s="242"/>
      <c r="N84" s="243">
        <f>SUM(J84:M84)</f>
        <v>0</v>
      </c>
      <c r="O84" s="244"/>
      <c r="P84" s="242">
        <f>SUM(O84)</f>
        <v>0</v>
      </c>
      <c r="Q84" s="242">
        <f>SUM(P84,N84,I84)</f>
        <v>1616866</v>
      </c>
      <c r="R84" s="245">
        <f>IFERROR(Q84/(+Q84+Q83+Q82)," ")</f>
        <v>0.2273644629563486</v>
      </c>
    </row>
    <row r="85" spans="1:18" ht="12.75" thickBot="1">
      <c r="A85" s="1994" t="s">
        <v>397</v>
      </c>
      <c r="B85" s="1995"/>
      <c r="C85" s="251" t="str">
        <f t="shared" ref="C85:E85" si="53">IFERROR(((C84-C83)/C83)," ")</f>
        <v xml:space="preserve"> </v>
      </c>
      <c r="D85" s="252" t="str">
        <f t="shared" si="53"/>
        <v xml:space="preserve"> </v>
      </c>
      <c r="E85" s="252" t="str">
        <f t="shared" si="53"/>
        <v xml:space="preserve"> </v>
      </c>
      <c r="F85" s="252">
        <f>IFERROR(((F84-F83)/F83)," ")</f>
        <v>-0.36442012270018603</v>
      </c>
      <c r="G85" s="252" t="str">
        <f>IFERROR(((G84-G83)/G83)," ")</f>
        <v xml:space="preserve"> </v>
      </c>
      <c r="H85" s="252">
        <f t="shared" ref="H85:R85" si="54">IFERROR(((H84-H83)/H83)," ")</f>
        <v>0</v>
      </c>
      <c r="I85" s="252">
        <f t="shared" si="54"/>
        <v>-0.35625832862530848</v>
      </c>
      <c r="J85" s="252" t="str">
        <f t="shared" si="54"/>
        <v xml:space="preserve"> </v>
      </c>
      <c r="K85" s="252" t="str">
        <f t="shared" si="54"/>
        <v xml:space="preserve"> </v>
      </c>
      <c r="L85" s="252" t="str">
        <f t="shared" si="54"/>
        <v xml:space="preserve"> </v>
      </c>
      <c r="M85" s="252" t="str">
        <f t="shared" si="54"/>
        <v xml:space="preserve"> </v>
      </c>
      <c r="N85" s="252" t="str">
        <f t="shared" si="54"/>
        <v xml:space="preserve"> </v>
      </c>
      <c r="O85" s="252" t="str">
        <f t="shared" si="54"/>
        <v xml:space="preserve"> </v>
      </c>
      <c r="P85" s="252" t="str">
        <f t="shared" si="54"/>
        <v xml:space="preserve"> </v>
      </c>
      <c r="Q85" s="252">
        <f t="shared" si="54"/>
        <v>-0.35625832862530848</v>
      </c>
      <c r="R85" s="253">
        <f t="shared" si="54"/>
        <v>-0.35625832862530843</v>
      </c>
    </row>
    <row r="86" spans="1:18" s="68" customFormat="1" ht="12.75">
      <c r="A86" s="1996" t="s">
        <v>393</v>
      </c>
      <c r="B86" s="215">
        <v>2019</v>
      </c>
      <c r="C86" s="236"/>
      <c r="D86" s="237"/>
      <c r="E86" s="237"/>
      <c r="F86" s="242">
        <v>8523643</v>
      </c>
      <c r="G86" s="237"/>
      <c r="H86" s="237"/>
      <c r="I86" s="238">
        <f>SUM(C86:H86)</f>
        <v>8523643</v>
      </c>
      <c r="J86" s="236"/>
      <c r="K86" s="237"/>
      <c r="L86" s="237">
        <v>1793838</v>
      </c>
      <c r="M86" s="237"/>
      <c r="N86" s="238">
        <f>SUM(J86:M86)</f>
        <v>1793838</v>
      </c>
      <c r="O86" s="239"/>
      <c r="P86" s="237">
        <f>SUM(O86)</f>
        <v>0</v>
      </c>
      <c r="Q86" s="237">
        <f>SUM(P86,N86,I86)</f>
        <v>10317481</v>
      </c>
      <c r="R86" s="240">
        <f>IFERROR(Q86/(+Q88+Q87+Q86)," ")</f>
        <v>0.22091263604833661</v>
      </c>
    </row>
    <row r="87" spans="1:18" s="68" customFormat="1" ht="12.75">
      <c r="A87" s="1997"/>
      <c r="B87" s="215">
        <v>2020</v>
      </c>
      <c r="C87" s="241"/>
      <c r="D87" s="242"/>
      <c r="E87" s="242"/>
      <c r="F87" s="242">
        <v>19100070</v>
      </c>
      <c r="G87" s="242"/>
      <c r="H87" s="242"/>
      <c r="I87" s="243">
        <f>SUM(C87:H87)</f>
        <v>19100070</v>
      </c>
      <c r="J87" s="241"/>
      <c r="K87" s="242"/>
      <c r="L87" s="242">
        <v>4470433</v>
      </c>
      <c r="M87" s="242"/>
      <c r="N87" s="243">
        <f>SUM(J87:M87)</f>
        <v>4470433</v>
      </c>
      <c r="O87" s="244"/>
      <c r="P87" s="242">
        <f>SUM(O87)</f>
        <v>0</v>
      </c>
      <c r="Q87" s="242">
        <f>SUM(P87,N87,I87)</f>
        <v>23570503</v>
      </c>
      <c r="R87" s="245">
        <f>IFERROR(Q87/(+Q88+Q87+Q86)," ")</f>
        <v>0.50467957738087676</v>
      </c>
    </row>
    <row r="88" spans="1:18" s="68" customFormat="1" ht="12.75">
      <c r="A88" s="1997"/>
      <c r="B88" s="215">
        <v>2021</v>
      </c>
      <c r="C88" s="241"/>
      <c r="D88" s="242"/>
      <c r="E88" s="242"/>
      <c r="F88" s="242">
        <v>12815913</v>
      </c>
      <c r="G88" s="242"/>
      <c r="H88" s="242"/>
      <c r="I88" s="243">
        <f>SUM(C88:H88)</f>
        <v>12815913</v>
      </c>
      <c r="J88" s="241"/>
      <c r="K88" s="242"/>
      <c r="L88" s="242"/>
      <c r="M88" s="242"/>
      <c r="N88" s="243">
        <f>SUM(J88:M88)</f>
        <v>0</v>
      </c>
      <c r="O88" s="244"/>
      <c r="P88" s="242">
        <f>SUM(O88)</f>
        <v>0</v>
      </c>
      <c r="Q88" s="242">
        <f>SUM(P88,N88,I88)</f>
        <v>12815913</v>
      </c>
      <c r="R88" s="245">
        <f>IFERROR(Q88/(+Q88+Q87+Q86)," ")</f>
        <v>0.27440778657078657</v>
      </c>
    </row>
    <row r="89" spans="1:18" s="68" customFormat="1" ht="12.75" thickBot="1">
      <c r="A89" s="1994" t="s">
        <v>397</v>
      </c>
      <c r="B89" s="1995"/>
      <c r="C89" s="246" t="str">
        <f t="shared" ref="C89:E89" si="55">IFERROR(((C88-C87)/C87)," ")</f>
        <v xml:space="preserve"> </v>
      </c>
      <c r="D89" s="247" t="str">
        <f t="shared" si="55"/>
        <v xml:space="preserve"> </v>
      </c>
      <c r="E89" s="247" t="str">
        <f t="shared" si="55"/>
        <v xml:space="preserve"> </v>
      </c>
      <c r="F89" s="247">
        <f>IFERROR(((F88-F87)/F87)," ")</f>
        <v>-0.32901224969332571</v>
      </c>
      <c r="G89" s="247" t="str">
        <f t="shared" ref="G89:R89" si="56">IFERROR(((G88-G87)/G87)," ")</f>
        <v xml:space="preserve"> </v>
      </c>
      <c r="H89" s="247" t="str">
        <f t="shared" si="56"/>
        <v xml:space="preserve"> </v>
      </c>
      <c r="I89" s="248">
        <f t="shared" si="56"/>
        <v>-0.32901224969332571</v>
      </c>
      <c r="J89" s="246" t="str">
        <f t="shared" si="56"/>
        <v xml:space="preserve"> </v>
      </c>
      <c r="K89" s="247" t="str">
        <f t="shared" si="56"/>
        <v xml:space="preserve"> </v>
      </c>
      <c r="L89" s="247">
        <f t="shared" si="56"/>
        <v>-1</v>
      </c>
      <c r="M89" s="247" t="str">
        <f t="shared" si="56"/>
        <v xml:space="preserve"> </v>
      </c>
      <c r="N89" s="248">
        <f t="shared" si="56"/>
        <v>-1</v>
      </c>
      <c r="O89" s="249" t="str">
        <f t="shared" si="56"/>
        <v xml:space="preserve"> </v>
      </c>
      <c r="P89" s="247" t="str">
        <f t="shared" si="56"/>
        <v xml:space="preserve"> </v>
      </c>
      <c r="Q89" s="247">
        <f t="shared" si="56"/>
        <v>-0.45627324966293675</v>
      </c>
      <c r="R89" s="250">
        <f t="shared" si="56"/>
        <v>-0.45627324966293675</v>
      </c>
    </row>
    <row r="90" spans="1:18" s="68" customFormat="1" ht="12.75">
      <c r="A90" s="1996" t="s">
        <v>394</v>
      </c>
      <c r="B90" s="215">
        <v>2019</v>
      </c>
      <c r="C90" s="236"/>
      <c r="D90" s="237">
        <v>659886</v>
      </c>
      <c r="E90" s="237"/>
      <c r="F90" s="237">
        <v>27388456</v>
      </c>
      <c r="G90" s="237"/>
      <c r="H90" s="237"/>
      <c r="I90" s="238">
        <f>SUM(C90:H90)</f>
        <v>28048342</v>
      </c>
      <c r="J90" s="236"/>
      <c r="K90" s="237"/>
      <c r="L90" s="237">
        <v>881842</v>
      </c>
      <c r="M90" s="237"/>
      <c r="N90" s="238">
        <f>SUM(J90:M90)</f>
        <v>881842</v>
      </c>
      <c r="O90" s="239"/>
      <c r="P90" s="237">
        <f>SUM(O90)</f>
        <v>0</v>
      </c>
      <c r="Q90" s="237">
        <f>SUM(P90,N90,I90)</f>
        <v>28930184</v>
      </c>
      <c r="R90" s="240">
        <f>IFERROR(Q90/(+Q92+Q91+Q90)," ")</f>
        <v>0.29657340467998672</v>
      </c>
    </row>
    <row r="91" spans="1:18" s="68" customFormat="1" ht="12.75">
      <c r="A91" s="1997"/>
      <c r="B91" s="215">
        <v>2020</v>
      </c>
      <c r="C91" s="241"/>
      <c r="D91" s="242">
        <v>800005</v>
      </c>
      <c r="E91" s="242"/>
      <c r="F91" s="242">
        <v>38288010</v>
      </c>
      <c r="G91" s="242"/>
      <c r="H91" s="242"/>
      <c r="I91" s="243">
        <f>SUM(C91:H91)</f>
        <v>39088015</v>
      </c>
      <c r="J91" s="241"/>
      <c r="K91" s="242"/>
      <c r="L91" s="242">
        <v>715549</v>
      </c>
      <c r="M91" s="242"/>
      <c r="N91" s="243">
        <f>SUM(J91:M91)</f>
        <v>715549</v>
      </c>
      <c r="O91" s="244"/>
      <c r="P91" s="242">
        <f>SUM(O91)</f>
        <v>0</v>
      </c>
      <c r="Q91" s="242">
        <f>SUM(P91,N91,I91)</f>
        <v>39803564</v>
      </c>
      <c r="R91" s="245">
        <f>IFERROR(Q91/(+Q92+Q91+Q90)," ")</f>
        <v>0.40804021481086161</v>
      </c>
    </row>
    <row r="92" spans="1:18" s="68" customFormat="1" ht="12.75">
      <c r="A92" s="1997"/>
      <c r="B92" s="215">
        <v>2021</v>
      </c>
      <c r="C92" s="241"/>
      <c r="D92" s="242">
        <v>800005</v>
      </c>
      <c r="E92" s="242"/>
      <c r="F92" s="242">
        <v>28014387</v>
      </c>
      <c r="G92" s="242"/>
      <c r="H92" s="242"/>
      <c r="I92" s="243">
        <f>SUM(C92:H92)</f>
        <v>28814392</v>
      </c>
      <c r="J92" s="241"/>
      <c r="K92" s="242"/>
      <c r="L92" s="242"/>
      <c r="M92" s="242"/>
      <c r="N92" s="243">
        <f>SUM(J92:M92)</f>
        <v>0</v>
      </c>
      <c r="O92" s="244"/>
      <c r="P92" s="242">
        <f>SUM(O92)</f>
        <v>0</v>
      </c>
      <c r="Q92" s="242">
        <f>SUM(P92,N92,I92)</f>
        <v>28814392</v>
      </c>
      <c r="R92" s="245">
        <f>IFERROR(Q92/(+Q92+Q91+Q90)," ")</f>
        <v>0.29538638050915167</v>
      </c>
    </row>
    <row r="93" spans="1:18" s="68" customFormat="1" ht="12.75" thickBot="1">
      <c r="A93" s="1994" t="s">
        <v>397</v>
      </c>
      <c r="B93" s="1995"/>
      <c r="C93" s="251" t="str">
        <f t="shared" ref="C93:E93" si="57">IFERROR(((C92-C91)/C91)," ")</f>
        <v xml:space="preserve"> </v>
      </c>
      <c r="D93" s="252">
        <f t="shared" si="57"/>
        <v>0</v>
      </c>
      <c r="E93" s="252" t="str">
        <f t="shared" si="57"/>
        <v xml:space="preserve"> </v>
      </c>
      <c r="F93" s="252">
        <f>IFERROR(((F92-F91)/F91)," ")</f>
        <v>-0.26832480977726447</v>
      </c>
      <c r="G93" s="252" t="str">
        <f>IFERROR(((G92-G91)/G91)," ")</f>
        <v xml:space="preserve"> </v>
      </c>
      <c r="H93" s="252" t="str">
        <f t="shared" ref="H93:R93" si="58">IFERROR(((H92-H91)/H91)," ")</f>
        <v xml:space="preserve"> </v>
      </c>
      <c r="I93" s="252">
        <f t="shared" si="58"/>
        <v>-0.26283307044371529</v>
      </c>
      <c r="J93" s="252" t="str">
        <f t="shared" si="58"/>
        <v xml:space="preserve"> </v>
      </c>
      <c r="K93" s="252" t="str">
        <f t="shared" si="58"/>
        <v xml:space="preserve"> </v>
      </c>
      <c r="L93" s="252">
        <f t="shared" si="58"/>
        <v>-1</v>
      </c>
      <c r="M93" s="252" t="str">
        <f t="shared" si="58"/>
        <v xml:space="preserve"> </v>
      </c>
      <c r="N93" s="252">
        <f t="shared" si="58"/>
        <v>-1</v>
      </c>
      <c r="O93" s="252" t="str">
        <f t="shared" si="58"/>
        <v xml:space="preserve"> </v>
      </c>
      <c r="P93" s="252" t="str">
        <f t="shared" si="58"/>
        <v xml:space="preserve"> </v>
      </c>
      <c r="Q93" s="252">
        <f t="shared" si="58"/>
        <v>-0.27608512644747091</v>
      </c>
      <c r="R93" s="253">
        <f t="shared" si="58"/>
        <v>-0.27608512644747096</v>
      </c>
    </row>
    <row r="94" spans="1:18" s="68" customFormat="1" ht="12.75">
      <c r="A94" s="1996" t="s">
        <v>396</v>
      </c>
      <c r="B94" s="215">
        <v>2019</v>
      </c>
      <c r="C94" s="236"/>
      <c r="D94" s="237"/>
      <c r="E94" s="237"/>
      <c r="F94" s="237"/>
      <c r="G94" s="237"/>
      <c r="H94" s="237"/>
      <c r="I94" s="238">
        <f>SUM(C94:H94)</f>
        <v>0</v>
      </c>
      <c r="J94" s="236"/>
      <c r="K94" s="237"/>
      <c r="L94" s="237"/>
      <c r="M94" s="237"/>
      <c r="N94" s="238">
        <f>SUM(J94:M94)</f>
        <v>0</v>
      </c>
      <c r="O94" s="239">
        <v>3889000</v>
      </c>
      <c r="P94" s="237">
        <f t="shared" ref="P94:P96" si="59">SUM(O94)</f>
        <v>3889000</v>
      </c>
      <c r="Q94" s="237">
        <f>SUM(P94,N94,I94)</f>
        <v>3889000</v>
      </c>
      <c r="R94" s="240">
        <f>IFERROR(Q94/(+Q96+Q95+Q94)," ")</f>
        <v>0.3943931071970404</v>
      </c>
    </row>
    <row r="95" spans="1:18" s="68" customFormat="1" ht="12.75">
      <c r="A95" s="1997"/>
      <c r="B95" s="215">
        <v>2020</v>
      </c>
      <c r="C95" s="241"/>
      <c r="D95" s="242"/>
      <c r="E95" s="242"/>
      <c r="F95" s="242"/>
      <c r="G95" s="242"/>
      <c r="H95" s="242"/>
      <c r="I95" s="243">
        <f>SUM(C95:H95)</f>
        <v>0</v>
      </c>
      <c r="J95" s="241"/>
      <c r="K95" s="242"/>
      <c r="L95" s="242"/>
      <c r="M95" s="242"/>
      <c r="N95" s="243">
        <f>SUM(J95:M95)</f>
        <v>0</v>
      </c>
      <c r="O95" s="244">
        <v>3889000</v>
      </c>
      <c r="P95" s="242">
        <f t="shared" si="59"/>
        <v>3889000</v>
      </c>
      <c r="Q95" s="242">
        <f>SUM(P95,N95,I95)</f>
        <v>3889000</v>
      </c>
      <c r="R95" s="245">
        <f>IFERROR(Q95/(+Q96+Q95+Q94)," ")</f>
        <v>0.3943931071970404</v>
      </c>
    </row>
    <row r="96" spans="1:18" s="68" customFormat="1" ht="12.75">
      <c r="A96" s="1997"/>
      <c r="B96" s="215">
        <v>2021</v>
      </c>
      <c r="C96" s="241"/>
      <c r="D96" s="242"/>
      <c r="E96" s="242"/>
      <c r="F96" s="242"/>
      <c r="G96" s="242"/>
      <c r="H96" s="242"/>
      <c r="I96" s="243">
        <f>SUM(C96:H96)</f>
        <v>0</v>
      </c>
      <c r="J96" s="241"/>
      <c r="K96" s="242"/>
      <c r="L96" s="242"/>
      <c r="M96" s="242"/>
      <c r="N96" s="243">
        <f>SUM(J96:M96)</f>
        <v>0</v>
      </c>
      <c r="O96" s="244">
        <v>2082720</v>
      </c>
      <c r="P96" s="242">
        <f t="shared" si="59"/>
        <v>2082720</v>
      </c>
      <c r="Q96" s="242">
        <f>SUM(P96,N96,I96)</f>
        <v>2082720</v>
      </c>
      <c r="R96" s="245">
        <f>IFERROR(Q96/(+Q96+Q95+Q94)," ")</f>
        <v>0.21121378560591925</v>
      </c>
    </row>
    <row r="97" spans="1:18" ht="12.75" thickBot="1">
      <c r="A97" s="1994" t="s">
        <v>397</v>
      </c>
      <c r="B97" s="1995"/>
      <c r="C97" s="246" t="str">
        <f t="shared" ref="C97:R97" si="60">IFERROR(((C96-C95)/C95)," ")</f>
        <v xml:space="preserve"> </v>
      </c>
      <c r="D97" s="247" t="str">
        <f t="shared" si="60"/>
        <v xml:space="preserve"> </v>
      </c>
      <c r="E97" s="247" t="str">
        <f t="shared" si="60"/>
        <v xml:space="preserve"> </v>
      </c>
      <c r="F97" s="247" t="str">
        <f t="shared" si="60"/>
        <v xml:space="preserve"> </v>
      </c>
      <c r="G97" s="247" t="str">
        <f t="shared" si="60"/>
        <v xml:space="preserve"> </v>
      </c>
      <c r="H97" s="247" t="str">
        <f t="shared" si="60"/>
        <v xml:space="preserve"> </v>
      </c>
      <c r="I97" s="248" t="str">
        <f t="shared" si="60"/>
        <v xml:space="preserve"> </v>
      </c>
      <c r="J97" s="246" t="str">
        <f t="shared" si="60"/>
        <v xml:space="preserve"> </v>
      </c>
      <c r="K97" s="247" t="str">
        <f t="shared" si="60"/>
        <v xml:space="preserve"> </v>
      </c>
      <c r="L97" s="247" t="str">
        <f t="shared" si="60"/>
        <v xml:space="preserve"> </v>
      </c>
      <c r="M97" s="247" t="str">
        <f t="shared" si="60"/>
        <v xml:space="preserve"> </v>
      </c>
      <c r="N97" s="248" t="str">
        <f t="shared" si="60"/>
        <v xml:space="preserve"> </v>
      </c>
      <c r="O97" s="249">
        <f t="shared" si="60"/>
        <v>-0.46445872975057856</v>
      </c>
      <c r="P97" s="247">
        <f t="shared" si="60"/>
        <v>-0.46445872975057856</v>
      </c>
      <c r="Q97" s="247">
        <f t="shared" si="60"/>
        <v>-0.46445872975057856</v>
      </c>
      <c r="R97" s="250">
        <f t="shared" si="60"/>
        <v>-0.46445872975057856</v>
      </c>
    </row>
    <row r="98" spans="1:18" ht="12.75">
      <c r="A98" s="1998" t="s">
        <v>0</v>
      </c>
      <c r="B98" s="215">
        <v>2019</v>
      </c>
      <c r="C98" s="254">
        <f t="shared" ref="C98:H100" si="61">SUM(C78,C82,C86,C90,C94)</f>
        <v>0</v>
      </c>
      <c r="D98" s="255">
        <f t="shared" si="61"/>
        <v>800000</v>
      </c>
      <c r="E98" s="255">
        <f t="shared" si="61"/>
        <v>0</v>
      </c>
      <c r="F98" s="255">
        <f t="shared" si="61"/>
        <v>253061114</v>
      </c>
      <c r="G98" s="255">
        <f t="shared" si="61"/>
        <v>331950</v>
      </c>
      <c r="H98" s="255">
        <f t="shared" si="61"/>
        <v>1763000</v>
      </c>
      <c r="I98" s="256">
        <f>SUM(C98:H98)</f>
        <v>255956064</v>
      </c>
      <c r="J98" s="255">
        <f t="shared" ref="J98:M100" si="62">SUM(J78,J82,J86,J90,J94)</f>
        <v>0</v>
      </c>
      <c r="K98" s="255">
        <f t="shared" si="62"/>
        <v>0</v>
      </c>
      <c r="L98" s="255">
        <f t="shared" si="62"/>
        <v>42361688</v>
      </c>
      <c r="M98" s="255">
        <f t="shared" si="62"/>
        <v>0</v>
      </c>
      <c r="N98" s="256">
        <f>SUM(J98:M98)</f>
        <v>42361688</v>
      </c>
      <c r="O98" s="255">
        <f>SUM(O78,O82,O86,O90,O94)</f>
        <v>3889000</v>
      </c>
      <c r="P98" s="242">
        <f t="shared" ref="P98:P100" si="63">SUM(O98)</f>
        <v>3889000</v>
      </c>
      <c r="Q98" s="255">
        <f>SUM(P98,N98,I98)</f>
        <v>302206752</v>
      </c>
      <c r="R98" s="240">
        <f>IFERROR(Q98/(+Q100+Q99+Q98)," ")</f>
        <v>0.28810066112104732</v>
      </c>
    </row>
    <row r="99" spans="1:18" ht="12.75">
      <c r="A99" s="1999"/>
      <c r="B99" s="215">
        <v>2020</v>
      </c>
      <c r="C99" s="241">
        <f t="shared" si="61"/>
        <v>0</v>
      </c>
      <c r="D99" s="255">
        <f t="shared" si="61"/>
        <v>800005</v>
      </c>
      <c r="E99" s="255">
        <f t="shared" si="61"/>
        <v>0</v>
      </c>
      <c r="F99" s="255">
        <f t="shared" si="61"/>
        <v>416574509</v>
      </c>
      <c r="G99" s="255">
        <f t="shared" si="61"/>
        <v>525587</v>
      </c>
      <c r="H99" s="255">
        <f t="shared" si="61"/>
        <v>8569136</v>
      </c>
      <c r="I99" s="243">
        <f>SUM(C99:H99)</f>
        <v>426469237</v>
      </c>
      <c r="J99" s="255">
        <f t="shared" si="62"/>
        <v>0</v>
      </c>
      <c r="K99" s="255">
        <f t="shared" si="62"/>
        <v>0</v>
      </c>
      <c r="L99" s="255">
        <f t="shared" si="62"/>
        <v>45577962</v>
      </c>
      <c r="M99" s="255">
        <f t="shared" si="62"/>
        <v>0</v>
      </c>
      <c r="N99" s="243">
        <f>SUM(J99:M99)</f>
        <v>45577962</v>
      </c>
      <c r="O99" s="255">
        <f>SUM(O79,O83,O87,O91,O95)</f>
        <v>3889000</v>
      </c>
      <c r="P99" s="242">
        <f t="shared" si="63"/>
        <v>3889000</v>
      </c>
      <c r="Q99" s="242">
        <f>SUM(P99,N99,I99)</f>
        <v>475936199</v>
      </c>
      <c r="R99" s="245">
        <f>IFERROR(Q99/(+Q100+Q99+Q98)," ")</f>
        <v>0.45372094659002965</v>
      </c>
    </row>
    <row r="100" spans="1:18" ht="12.75">
      <c r="A100" s="2000"/>
      <c r="B100" s="215">
        <v>2021</v>
      </c>
      <c r="C100" s="241">
        <f t="shared" si="61"/>
        <v>0</v>
      </c>
      <c r="D100" s="255">
        <f t="shared" si="61"/>
        <v>800005</v>
      </c>
      <c r="E100" s="255">
        <f t="shared" si="61"/>
        <v>2000</v>
      </c>
      <c r="F100" s="255">
        <f t="shared" si="61"/>
        <v>260124241</v>
      </c>
      <c r="G100" s="255">
        <f t="shared" si="61"/>
        <v>241316</v>
      </c>
      <c r="H100" s="255">
        <f t="shared" si="61"/>
        <v>7569136</v>
      </c>
      <c r="I100" s="243">
        <f>SUM(C100:H100)</f>
        <v>268736698</v>
      </c>
      <c r="J100" s="255">
        <f t="shared" si="62"/>
        <v>0</v>
      </c>
      <c r="K100" s="255">
        <f t="shared" si="62"/>
        <v>0</v>
      </c>
      <c r="L100" s="255">
        <f t="shared" si="62"/>
        <v>0</v>
      </c>
      <c r="M100" s="255">
        <f t="shared" si="62"/>
        <v>0</v>
      </c>
      <c r="N100" s="243">
        <f>SUM(J100:M100)</f>
        <v>0</v>
      </c>
      <c r="O100" s="255">
        <f>SUM(O80,O84,O88,O92,O96)</f>
        <v>2082720</v>
      </c>
      <c r="P100" s="242">
        <f t="shared" si="63"/>
        <v>2082720</v>
      </c>
      <c r="Q100" s="242">
        <f>SUM(P100,N100,I100)</f>
        <v>270819418</v>
      </c>
      <c r="R100" s="245">
        <f>IFERROR(Q100/(+Q100+Q99+Q98)," ")</f>
        <v>0.25817839228892298</v>
      </c>
    </row>
    <row r="101" spans="1:18" ht="12.75" thickBot="1">
      <c r="A101" s="1994" t="s">
        <v>397</v>
      </c>
      <c r="B101" s="1995"/>
      <c r="C101" s="251" t="str">
        <f t="shared" ref="C101:F101" si="64">IFERROR(((C100-C99)/C99)," ")</f>
        <v xml:space="preserve"> </v>
      </c>
      <c r="D101" s="252">
        <f t="shared" si="64"/>
        <v>0</v>
      </c>
      <c r="E101" s="252" t="str">
        <f t="shared" si="64"/>
        <v xml:space="preserve"> </v>
      </c>
      <c r="F101" s="252">
        <f t="shared" si="64"/>
        <v>-0.3755637097804273</v>
      </c>
      <c r="G101" s="252">
        <f>IFERROR(((G100-G99)/G99)," ")</f>
        <v>-0.54086383415114914</v>
      </c>
      <c r="H101" s="252">
        <f t="shared" ref="H101:P101" si="65">IFERROR(((H100-H99)/H99)," ")</f>
        <v>-0.11669787945949277</v>
      </c>
      <c r="I101" s="252">
        <f t="shared" si="65"/>
        <v>-0.36985678054898014</v>
      </c>
      <c r="J101" s="252" t="str">
        <f t="shared" si="65"/>
        <v xml:space="preserve"> </v>
      </c>
      <c r="K101" s="252" t="str">
        <f t="shared" si="65"/>
        <v xml:space="preserve"> </v>
      </c>
      <c r="L101" s="252">
        <f t="shared" si="65"/>
        <v>-1</v>
      </c>
      <c r="M101" s="252" t="str">
        <f t="shared" si="65"/>
        <v xml:space="preserve"> </v>
      </c>
      <c r="N101" s="252">
        <f t="shared" si="65"/>
        <v>-1</v>
      </c>
      <c r="O101" s="252">
        <f t="shared" si="65"/>
        <v>-0.46445872975057856</v>
      </c>
      <c r="P101" s="252">
        <f t="shared" si="65"/>
        <v>-0.46445872975057856</v>
      </c>
      <c r="Q101" s="252">
        <f>IFERROR(((Q100-Q99)/Q99)," ")</f>
        <v>-0.43097537323484825</v>
      </c>
      <c r="R101" s="253">
        <f t="shared" ref="R101" si="66">IFERROR(((R100-R99)/R99)," ")</f>
        <v>-0.43097537323484825</v>
      </c>
    </row>
    <row r="102" spans="1:18" ht="5.0999999999999996" customHeight="1" thickBot="1">
      <c r="A102" s="68"/>
      <c r="B102" s="68"/>
      <c r="C102" s="68"/>
      <c r="D102" s="68"/>
      <c r="E102" s="68"/>
      <c r="F102" s="68"/>
      <c r="G102" s="68"/>
      <c r="H102" s="68"/>
      <c r="I102" s="68"/>
      <c r="J102" s="68"/>
      <c r="K102" s="68"/>
      <c r="L102" s="68"/>
      <c r="M102" s="68"/>
      <c r="N102" s="68"/>
      <c r="O102" s="68"/>
      <c r="P102" s="68"/>
      <c r="Q102" s="68"/>
      <c r="R102" s="68"/>
    </row>
    <row r="103" spans="1:18" s="68" customFormat="1" ht="13.5" customHeight="1" thickBot="1">
      <c r="A103" s="1980" t="s">
        <v>374</v>
      </c>
      <c r="B103" s="1981"/>
      <c r="C103" s="1981"/>
      <c r="D103" s="1981"/>
      <c r="E103" s="1981"/>
      <c r="F103" s="1981"/>
      <c r="G103" s="1981"/>
      <c r="H103" s="1981"/>
      <c r="I103" s="1981"/>
      <c r="J103" s="1981"/>
      <c r="K103" s="1981"/>
      <c r="L103" s="1981"/>
      <c r="M103" s="1981"/>
      <c r="N103" s="1981"/>
      <c r="O103" s="1981"/>
      <c r="P103" s="1981"/>
      <c r="Q103" s="1981"/>
      <c r="R103" s="1982"/>
    </row>
    <row r="104" spans="1:18" ht="12.75">
      <c r="A104" s="1996" t="s">
        <v>390</v>
      </c>
      <c r="B104" s="215">
        <v>2019</v>
      </c>
      <c r="C104" s="236"/>
      <c r="D104" s="237"/>
      <c r="E104" s="237"/>
      <c r="F104" s="242"/>
      <c r="G104" s="237"/>
      <c r="H104" s="237"/>
      <c r="I104" s="238">
        <f>SUM(C104:H104)</f>
        <v>0</v>
      </c>
      <c r="J104" s="236"/>
      <c r="K104" s="237"/>
      <c r="L104" s="237">
        <v>7300000</v>
      </c>
      <c r="M104" s="237"/>
      <c r="N104" s="238">
        <f>SUM(J104:M104)</f>
        <v>7300000</v>
      </c>
      <c r="O104" s="239"/>
      <c r="P104" s="237">
        <f>SUM(O104)</f>
        <v>0</v>
      </c>
      <c r="Q104" s="237">
        <f>SUM(P104,N104,I104)</f>
        <v>7300000</v>
      </c>
      <c r="R104" s="240">
        <f>IFERROR(Q104/(+Q106+Q105+Q104)," ")</f>
        <v>6.0601981732952184E-2</v>
      </c>
    </row>
    <row r="105" spans="1:18" ht="12.75">
      <c r="A105" s="1997"/>
      <c r="B105" s="215">
        <v>2020</v>
      </c>
      <c r="C105" s="241"/>
      <c r="D105" s="242"/>
      <c r="E105" s="242"/>
      <c r="F105" s="242"/>
      <c r="G105" s="242"/>
      <c r="H105" s="242"/>
      <c r="I105" s="243">
        <f>SUM(C105:H105)</f>
        <v>0</v>
      </c>
      <c r="J105" s="241"/>
      <c r="K105" s="242"/>
      <c r="L105" s="242">
        <v>34064238</v>
      </c>
      <c r="M105" s="242"/>
      <c r="N105" s="243">
        <f>SUM(J105:M105)</f>
        <v>34064238</v>
      </c>
      <c r="O105" s="244"/>
      <c r="P105" s="242">
        <f>SUM(O105)</f>
        <v>0</v>
      </c>
      <c r="Q105" s="242">
        <f>SUM(P105,N105,I105)</f>
        <v>34064238</v>
      </c>
      <c r="R105" s="245">
        <f>IFERROR(Q105/(+Q106+Q105+Q104)," ")</f>
        <v>0.28278908616752546</v>
      </c>
    </row>
    <row r="106" spans="1:18" ht="12.75">
      <c r="A106" s="1997"/>
      <c r="B106" s="215">
        <v>2021</v>
      </c>
      <c r="C106" s="241"/>
      <c r="D106" s="242"/>
      <c r="E106" s="242"/>
      <c r="F106" s="242"/>
      <c r="G106" s="242"/>
      <c r="H106" s="242"/>
      <c r="I106" s="243">
        <f>SUM(C106:H106)</f>
        <v>0</v>
      </c>
      <c r="J106" s="241"/>
      <c r="K106" s="242"/>
      <c r="L106" s="242">
        <v>79093869</v>
      </c>
      <c r="M106" s="242"/>
      <c r="N106" s="243">
        <f>SUM(J106:M106)</f>
        <v>79093869</v>
      </c>
      <c r="O106" s="244"/>
      <c r="P106" s="242">
        <f>SUM(O106)</f>
        <v>0</v>
      </c>
      <c r="Q106" s="242">
        <f>SUM(P106,N106,I106)</f>
        <v>79093869</v>
      </c>
      <c r="R106" s="245">
        <f>IFERROR(Q106/(+Q106+Q105+Q104)," ")</f>
        <v>0.65660893209952231</v>
      </c>
    </row>
    <row r="107" spans="1:18" ht="12.75" thickBot="1">
      <c r="A107" s="1994" t="s">
        <v>397</v>
      </c>
      <c r="B107" s="1995"/>
      <c r="C107" s="246" t="str">
        <f t="shared" ref="C107:E107" si="67">IFERROR(((C106-C105)/C105)," ")</f>
        <v xml:space="preserve"> </v>
      </c>
      <c r="D107" s="247" t="str">
        <f t="shared" si="67"/>
        <v xml:space="preserve"> </v>
      </c>
      <c r="E107" s="247" t="str">
        <f t="shared" si="67"/>
        <v xml:space="preserve"> </v>
      </c>
      <c r="F107" s="247" t="str">
        <f>IFERROR(((F106-F105)/F105)," ")</f>
        <v xml:space="preserve"> </v>
      </c>
      <c r="G107" s="247" t="str">
        <f t="shared" ref="G107:R107" si="68">IFERROR(((G106-G105)/G105)," ")</f>
        <v xml:space="preserve"> </v>
      </c>
      <c r="H107" s="247" t="str">
        <f t="shared" si="68"/>
        <v xml:space="preserve"> </v>
      </c>
      <c r="I107" s="248" t="str">
        <f t="shared" si="68"/>
        <v xml:space="preserve"> </v>
      </c>
      <c r="J107" s="246" t="str">
        <f t="shared" si="68"/>
        <v xml:space="preserve"> </v>
      </c>
      <c r="K107" s="247" t="str">
        <f t="shared" si="68"/>
        <v xml:space="preserve"> </v>
      </c>
      <c r="L107" s="247">
        <f t="shared" si="68"/>
        <v>1.3219033697451268</v>
      </c>
      <c r="M107" s="247" t="str">
        <f t="shared" si="68"/>
        <v xml:space="preserve"> </v>
      </c>
      <c r="N107" s="248">
        <f t="shared" si="68"/>
        <v>1.3219033697451268</v>
      </c>
      <c r="O107" s="249" t="str">
        <f t="shared" si="68"/>
        <v xml:space="preserve"> </v>
      </c>
      <c r="P107" s="247" t="str">
        <f t="shared" si="68"/>
        <v xml:space="preserve"> </v>
      </c>
      <c r="Q107" s="247">
        <f t="shared" si="68"/>
        <v>1.3219033697451268</v>
      </c>
      <c r="R107" s="250">
        <f t="shared" si="68"/>
        <v>1.3219033697451266</v>
      </c>
    </row>
    <row r="108" spans="1:18" ht="12.75">
      <c r="A108" s="1996" t="s">
        <v>391</v>
      </c>
      <c r="B108" s="215">
        <v>2019</v>
      </c>
      <c r="C108" s="236"/>
      <c r="D108" s="237"/>
      <c r="E108" s="237"/>
      <c r="F108" s="242"/>
      <c r="G108" s="237"/>
      <c r="H108" s="237"/>
      <c r="I108" s="238">
        <f>SUM(C108:H108)</f>
        <v>0</v>
      </c>
      <c r="J108" s="236">
        <v>193000000</v>
      </c>
      <c r="K108" s="237"/>
      <c r="L108" s="237"/>
      <c r="M108" s="237"/>
      <c r="N108" s="238">
        <f>SUM(J108:M108)</f>
        <v>193000000</v>
      </c>
      <c r="O108" s="239"/>
      <c r="P108" s="237">
        <f>SUM(O108)</f>
        <v>0</v>
      </c>
      <c r="Q108" s="237">
        <f>SUM(P108,N108,I108)</f>
        <v>193000000</v>
      </c>
      <c r="R108" s="240">
        <f>IFERROR(Q108/(+Q110+Q109+Q108)," ")</f>
        <v>0.4910941475826972</v>
      </c>
    </row>
    <row r="109" spans="1:18" ht="12.75">
      <c r="A109" s="1997"/>
      <c r="B109" s="215">
        <v>2020</v>
      </c>
      <c r="C109" s="241"/>
      <c r="D109" s="242"/>
      <c r="E109" s="242"/>
      <c r="F109" s="242"/>
      <c r="G109" s="242"/>
      <c r="H109" s="242"/>
      <c r="I109" s="243">
        <f>SUM(C109:H109)</f>
        <v>0</v>
      </c>
      <c r="J109" s="241">
        <v>100000000</v>
      </c>
      <c r="K109" s="242"/>
      <c r="L109" s="242"/>
      <c r="M109" s="242"/>
      <c r="N109" s="243">
        <f>SUM(J109:M109)</f>
        <v>100000000</v>
      </c>
      <c r="O109" s="244"/>
      <c r="P109" s="242">
        <f>SUM(O109)</f>
        <v>0</v>
      </c>
      <c r="Q109" s="242">
        <f>SUM(P109,N109,I109)</f>
        <v>100000000</v>
      </c>
      <c r="R109" s="245">
        <f>IFERROR(Q109/(+Q110+Q109+Q108)," ")</f>
        <v>0.2544529262086514</v>
      </c>
    </row>
    <row r="110" spans="1:18" ht="12.75">
      <c r="A110" s="1997"/>
      <c r="B110" s="215">
        <v>2021</v>
      </c>
      <c r="C110" s="241"/>
      <c r="D110" s="242"/>
      <c r="E110" s="242"/>
      <c r="F110" s="242"/>
      <c r="G110" s="242"/>
      <c r="H110" s="242"/>
      <c r="I110" s="243">
        <f>SUM(C110:H110)</f>
        <v>0</v>
      </c>
      <c r="J110" s="241">
        <v>100000000</v>
      </c>
      <c r="K110" s="242"/>
      <c r="L110" s="242"/>
      <c r="M110" s="242"/>
      <c r="N110" s="243">
        <f>SUM(J110:M110)</f>
        <v>100000000</v>
      </c>
      <c r="O110" s="244"/>
      <c r="P110" s="242">
        <f>SUM(O110)</f>
        <v>0</v>
      </c>
      <c r="Q110" s="242">
        <f>SUM(P110,N110,I110)</f>
        <v>100000000</v>
      </c>
      <c r="R110" s="245">
        <f>IFERROR(Q110/(+Q110+Q109+Q108)," ")</f>
        <v>0.2544529262086514</v>
      </c>
    </row>
    <row r="111" spans="1:18" ht="12.75" thickBot="1">
      <c r="A111" s="1994" t="s">
        <v>397</v>
      </c>
      <c r="B111" s="1995"/>
      <c r="C111" s="251" t="str">
        <f t="shared" ref="C111:E111" si="69">IFERROR(((C110-C109)/C109)," ")</f>
        <v xml:space="preserve"> </v>
      </c>
      <c r="D111" s="252" t="str">
        <f t="shared" si="69"/>
        <v xml:space="preserve"> </v>
      </c>
      <c r="E111" s="252" t="str">
        <f t="shared" si="69"/>
        <v xml:space="preserve"> </v>
      </c>
      <c r="F111" s="252" t="str">
        <f>IFERROR(((F110-F109)/F109)," ")</f>
        <v xml:space="preserve"> </v>
      </c>
      <c r="G111" s="252" t="str">
        <f>IFERROR(((G110-G109)/G109)," ")</f>
        <v xml:space="preserve"> </v>
      </c>
      <c r="H111" s="252" t="str">
        <f t="shared" ref="H111:R111" si="70">IFERROR(((H110-H109)/H109)," ")</f>
        <v xml:space="preserve"> </v>
      </c>
      <c r="I111" s="252" t="str">
        <f t="shared" si="70"/>
        <v xml:space="preserve"> </v>
      </c>
      <c r="J111" s="252">
        <f t="shared" si="70"/>
        <v>0</v>
      </c>
      <c r="K111" s="252" t="str">
        <f t="shared" si="70"/>
        <v xml:space="preserve"> </v>
      </c>
      <c r="L111" s="252" t="str">
        <f t="shared" si="70"/>
        <v xml:space="preserve"> </v>
      </c>
      <c r="M111" s="252" t="str">
        <f t="shared" si="70"/>
        <v xml:space="preserve"> </v>
      </c>
      <c r="N111" s="252">
        <f t="shared" si="70"/>
        <v>0</v>
      </c>
      <c r="O111" s="252" t="str">
        <f t="shared" si="70"/>
        <v xml:space="preserve"> </v>
      </c>
      <c r="P111" s="252" t="str">
        <f t="shared" si="70"/>
        <v xml:space="preserve"> </v>
      </c>
      <c r="Q111" s="252">
        <f t="shared" si="70"/>
        <v>0</v>
      </c>
      <c r="R111" s="253">
        <f t="shared" si="70"/>
        <v>0</v>
      </c>
    </row>
    <row r="112" spans="1:18" ht="12.75">
      <c r="A112" s="1998" t="s">
        <v>0</v>
      </c>
      <c r="B112" s="215">
        <v>2019</v>
      </c>
      <c r="C112" s="254">
        <f>SUM(C104,C108)</f>
        <v>0</v>
      </c>
      <c r="D112" s="255">
        <f t="shared" ref="D112:H112" si="71">SUM(D104,D108)</f>
        <v>0</v>
      </c>
      <c r="E112" s="255">
        <f t="shared" si="71"/>
        <v>0</v>
      </c>
      <c r="F112" s="255">
        <f t="shared" si="71"/>
        <v>0</v>
      </c>
      <c r="G112" s="255">
        <f t="shared" si="71"/>
        <v>0</v>
      </c>
      <c r="H112" s="255">
        <f t="shared" si="71"/>
        <v>0</v>
      </c>
      <c r="I112" s="256">
        <f>SUM(C112:H112)</f>
        <v>0</v>
      </c>
      <c r="J112" s="255">
        <f t="shared" ref="J112:M112" si="72">SUM(J104,J108)</f>
        <v>193000000</v>
      </c>
      <c r="K112" s="255">
        <f t="shared" si="72"/>
        <v>0</v>
      </c>
      <c r="L112" s="255">
        <f t="shared" si="72"/>
        <v>7300000</v>
      </c>
      <c r="M112" s="255">
        <f t="shared" si="72"/>
        <v>0</v>
      </c>
      <c r="N112" s="256">
        <f>SUM(J112:M112)</f>
        <v>200300000</v>
      </c>
      <c r="O112" s="255">
        <v>0</v>
      </c>
      <c r="P112" s="242">
        <f t="shared" ref="P112:P114" si="73">SUM(O112)</f>
        <v>0</v>
      </c>
      <c r="Q112" s="255">
        <f>SUM(P112,N112,I112)</f>
        <v>200300000</v>
      </c>
      <c r="R112" s="240">
        <f>IFERROR(Q112/(+Q114+Q113+Q112)," ")</f>
        <v>0.39009998531389434</v>
      </c>
    </row>
    <row r="113" spans="1:18" ht="12.75">
      <c r="A113" s="1999"/>
      <c r="B113" s="215">
        <v>2020</v>
      </c>
      <c r="C113" s="241">
        <f t="shared" ref="C113:H113" si="74">SUM(C105,C109)</f>
        <v>0</v>
      </c>
      <c r="D113" s="255">
        <f t="shared" si="74"/>
        <v>0</v>
      </c>
      <c r="E113" s="255">
        <f t="shared" si="74"/>
        <v>0</v>
      </c>
      <c r="F113" s="255">
        <f t="shared" si="74"/>
        <v>0</v>
      </c>
      <c r="G113" s="255">
        <f t="shared" si="74"/>
        <v>0</v>
      </c>
      <c r="H113" s="255">
        <f t="shared" si="74"/>
        <v>0</v>
      </c>
      <c r="I113" s="243">
        <f>SUM(C113:H113)</f>
        <v>0</v>
      </c>
      <c r="J113" s="255">
        <f t="shared" ref="J113:M113" si="75">SUM(J105,J109)</f>
        <v>100000000</v>
      </c>
      <c r="K113" s="255">
        <f t="shared" si="75"/>
        <v>0</v>
      </c>
      <c r="L113" s="255">
        <f t="shared" si="75"/>
        <v>34064238</v>
      </c>
      <c r="M113" s="255">
        <f t="shared" si="75"/>
        <v>0</v>
      </c>
      <c r="N113" s="243">
        <f>SUM(J113:M113)</f>
        <v>134064238</v>
      </c>
      <c r="O113" s="255">
        <v>0</v>
      </c>
      <c r="P113" s="257">
        <f t="shared" si="73"/>
        <v>0</v>
      </c>
      <c r="Q113" s="242">
        <f>SUM(P113,N113,I113)</f>
        <v>134064238</v>
      </c>
      <c r="R113" s="245">
        <f>IFERROR(Q113/(+Q114+Q113+Q112)," ")</f>
        <v>0.26110063542146</v>
      </c>
    </row>
    <row r="114" spans="1:18" ht="12.75">
      <c r="A114" s="2000"/>
      <c r="B114" s="215">
        <v>2021</v>
      </c>
      <c r="C114" s="241">
        <f t="shared" ref="C114:H114" si="76">SUM(C106,C110)</f>
        <v>0</v>
      </c>
      <c r="D114" s="255">
        <f t="shared" si="76"/>
        <v>0</v>
      </c>
      <c r="E114" s="255">
        <f t="shared" si="76"/>
        <v>0</v>
      </c>
      <c r="F114" s="255">
        <f t="shared" si="76"/>
        <v>0</v>
      </c>
      <c r="G114" s="255">
        <f t="shared" si="76"/>
        <v>0</v>
      </c>
      <c r="H114" s="255">
        <f t="shared" si="76"/>
        <v>0</v>
      </c>
      <c r="I114" s="243">
        <f>SUM(C114:H114)</f>
        <v>0</v>
      </c>
      <c r="J114" s="255">
        <f t="shared" ref="J114:M114" si="77">SUM(J106,J110)</f>
        <v>100000000</v>
      </c>
      <c r="K114" s="255">
        <f t="shared" si="77"/>
        <v>0</v>
      </c>
      <c r="L114" s="255">
        <f t="shared" si="77"/>
        <v>79093869</v>
      </c>
      <c r="M114" s="255">
        <f t="shared" si="77"/>
        <v>0</v>
      </c>
      <c r="N114" s="243">
        <f>SUM(J114:M114)</f>
        <v>179093869</v>
      </c>
      <c r="O114" s="255">
        <v>0</v>
      </c>
      <c r="P114" s="257">
        <f t="shared" si="73"/>
        <v>0</v>
      </c>
      <c r="Q114" s="242">
        <f>SUM(P114,N114,I114)</f>
        <v>179093869</v>
      </c>
      <c r="R114" s="245">
        <f>IFERROR(Q114/(+Q114+Q113+Q112)," ")</f>
        <v>0.34879937926464566</v>
      </c>
    </row>
    <row r="115" spans="1:18" ht="12.75" thickBot="1">
      <c r="A115" s="1994" t="s">
        <v>397</v>
      </c>
      <c r="B115" s="1995"/>
      <c r="C115" s="251" t="str">
        <f t="shared" ref="C115:F115" si="78">IFERROR(((C114-C113)/C113)," ")</f>
        <v xml:space="preserve"> </v>
      </c>
      <c r="D115" s="252" t="str">
        <f t="shared" si="78"/>
        <v xml:space="preserve"> </v>
      </c>
      <c r="E115" s="252" t="str">
        <f t="shared" si="78"/>
        <v xml:space="preserve"> </v>
      </c>
      <c r="F115" s="252" t="str">
        <f t="shared" si="78"/>
        <v xml:space="preserve"> </v>
      </c>
      <c r="G115" s="252" t="str">
        <f>IFERROR(((G114-G113)/G113)," ")</f>
        <v xml:space="preserve"> </v>
      </c>
      <c r="H115" s="252" t="str">
        <f t="shared" ref="H115:P115" si="79">IFERROR(((H114-H113)/H113)," ")</f>
        <v xml:space="preserve"> </v>
      </c>
      <c r="I115" s="252" t="str">
        <f t="shared" si="79"/>
        <v xml:space="preserve"> </v>
      </c>
      <c r="J115" s="252">
        <f t="shared" si="79"/>
        <v>0</v>
      </c>
      <c r="K115" s="252" t="str">
        <f t="shared" si="79"/>
        <v xml:space="preserve"> </v>
      </c>
      <c r="L115" s="252">
        <f t="shared" si="79"/>
        <v>1.3219033697451268</v>
      </c>
      <c r="M115" s="252" t="str">
        <f t="shared" si="79"/>
        <v xml:space="preserve"> </v>
      </c>
      <c r="N115" s="252">
        <f t="shared" si="79"/>
        <v>0.33588100504476071</v>
      </c>
      <c r="O115" s="252" t="str">
        <f t="shared" si="79"/>
        <v xml:space="preserve"> </v>
      </c>
      <c r="P115" s="252" t="str">
        <f t="shared" si="79"/>
        <v xml:space="preserve"> </v>
      </c>
      <c r="Q115" s="252">
        <f>IFERROR(((Q114-Q113)/Q113)," ")</f>
        <v>0.33588100504476071</v>
      </c>
      <c r="R115" s="253">
        <f t="shared" ref="R115" si="80">IFERROR(((R114-R113)/R113)," ")</f>
        <v>0.33588100504476082</v>
      </c>
    </row>
    <row r="116" spans="1:18" ht="5.0999999999999996" customHeight="1" thickBot="1">
      <c r="A116" s="68"/>
      <c r="B116" s="68"/>
      <c r="C116" s="68"/>
      <c r="D116" s="68"/>
      <c r="E116" s="68"/>
      <c r="F116" s="68"/>
      <c r="G116" s="68"/>
      <c r="H116" s="68"/>
      <c r="I116" s="68"/>
      <c r="J116" s="68"/>
      <c r="K116" s="68"/>
      <c r="L116" s="68"/>
      <c r="M116" s="68"/>
      <c r="N116" s="68"/>
      <c r="O116" s="68"/>
      <c r="P116" s="68"/>
      <c r="Q116" s="68"/>
      <c r="R116" s="68"/>
    </row>
    <row r="117" spans="1:18" s="68" customFormat="1" ht="13.5" customHeight="1" thickBot="1">
      <c r="A117" s="1980" t="s">
        <v>373</v>
      </c>
      <c r="B117" s="1981"/>
      <c r="C117" s="1981"/>
      <c r="D117" s="1981"/>
      <c r="E117" s="1981"/>
      <c r="F117" s="1981"/>
      <c r="G117" s="1981"/>
      <c r="H117" s="1981"/>
      <c r="I117" s="1981"/>
      <c r="J117" s="1981"/>
      <c r="K117" s="1981"/>
      <c r="L117" s="1981"/>
      <c r="M117" s="1981"/>
      <c r="N117" s="1981"/>
      <c r="O117" s="1981"/>
      <c r="P117" s="1981"/>
      <c r="Q117" s="1981"/>
      <c r="R117" s="1982"/>
    </row>
    <row r="118" spans="1:18" ht="12.75">
      <c r="A118" s="1996" t="s">
        <v>390</v>
      </c>
      <c r="B118" s="215">
        <v>2019</v>
      </c>
      <c r="C118" s="236"/>
      <c r="D118" s="237">
        <v>10841247</v>
      </c>
      <c r="E118" s="237"/>
      <c r="F118" s="242">
        <v>12511769</v>
      </c>
      <c r="G118" s="237"/>
      <c r="H118" s="237"/>
      <c r="I118" s="238">
        <f>SUM(C118:H118)</f>
        <v>23353016</v>
      </c>
      <c r="J118" s="236"/>
      <c r="K118" s="237"/>
      <c r="L118" s="237">
        <v>5940</v>
      </c>
      <c r="M118" s="237"/>
      <c r="N118" s="238">
        <f>SUM(J118:M118)</f>
        <v>5940</v>
      </c>
      <c r="O118" s="239"/>
      <c r="P118" s="237">
        <f>SUM(O118)</f>
        <v>0</v>
      </c>
      <c r="Q118" s="237">
        <f>SUM(P118,N118,I118)</f>
        <v>23358956</v>
      </c>
      <c r="R118" s="240">
        <f>IFERROR(Q118/(+Q120+Q119+Q118)," ")</f>
        <v>0.27379633237172141</v>
      </c>
    </row>
    <row r="119" spans="1:18" ht="12.75">
      <c r="A119" s="1997"/>
      <c r="B119" s="215">
        <v>2020</v>
      </c>
      <c r="C119" s="241"/>
      <c r="D119" s="242">
        <v>10841248</v>
      </c>
      <c r="E119" s="242"/>
      <c r="F119" s="242">
        <v>22892615</v>
      </c>
      <c r="G119" s="242"/>
      <c r="H119" s="242"/>
      <c r="I119" s="243">
        <f>SUM(C119:H119)</f>
        <v>33733863</v>
      </c>
      <c r="J119" s="241"/>
      <c r="K119" s="242"/>
      <c r="L119" s="242"/>
      <c r="M119" s="242"/>
      <c r="N119" s="243">
        <f>SUM(J119:M119)</f>
        <v>0</v>
      </c>
      <c r="O119" s="244"/>
      <c r="P119" s="242">
        <f>SUM(O119)</f>
        <v>0</v>
      </c>
      <c r="Q119" s="242">
        <f>SUM(P119,N119,I119)</f>
        <v>33733863</v>
      </c>
      <c r="R119" s="245">
        <f>IFERROR(Q119/(+Q120+Q119+Q118)," ")</f>
        <v>0.39540328626545274</v>
      </c>
    </row>
    <row r="120" spans="1:18" ht="12.75">
      <c r="A120" s="1997"/>
      <c r="B120" s="215">
        <v>2021</v>
      </c>
      <c r="C120" s="241"/>
      <c r="D120" s="242">
        <v>10841248</v>
      </c>
      <c r="E120" s="242"/>
      <c r="F120" s="242">
        <v>17381013</v>
      </c>
      <c r="G120" s="242"/>
      <c r="H120" s="242"/>
      <c r="I120" s="243">
        <f>SUM(C120:H120)</f>
        <v>28222261</v>
      </c>
      <c r="J120" s="241"/>
      <c r="K120" s="242"/>
      <c r="L120" s="242"/>
      <c r="M120" s="242"/>
      <c r="N120" s="243">
        <f>SUM(J120:M120)</f>
        <v>0</v>
      </c>
      <c r="O120" s="244"/>
      <c r="P120" s="242">
        <f>SUM(O120)</f>
        <v>0</v>
      </c>
      <c r="Q120" s="242">
        <f>SUM(P120,N120,I120)</f>
        <v>28222261</v>
      </c>
      <c r="R120" s="245">
        <f>IFERROR(Q120/(+Q120+Q119+Q118)," ")</f>
        <v>0.33080038136282591</v>
      </c>
    </row>
    <row r="121" spans="1:18" ht="12.75" thickBot="1">
      <c r="A121" s="1994" t="s">
        <v>397</v>
      </c>
      <c r="B121" s="1995"/>
      <c r="C121" s="246" t="str">
        <f t="shared" ref="C121:E121" si="81">IFERROR(((C120-C119)/C119)," ")</f>
        <v xml:space="preserve"> </v>
      </c>
      <c r="D121" s="247">
        <f t="shared" si="81"/>
        <v>0</v>
      </c>
      <c r="E121" s="247" t="str">
        <f t="shared" si="81"/>
        <v xml:space="preserve"> </v>
      </c>
      <c r="F121" s="247">
        <f>IFERROR(((F120-F119)/F119)," ")</f>
        <v>-0.24075895217737248</v>
      </c>
      <c r="G121" s="247" t="str">
        <f t="shared" ref="G121:R121" si="82">IFERROR(((G120-G119)/G119)," ")</f>
        <v xml:space="preserve"> </v>
      </c>
      <c r="H121" s="247" t="str">
        <f t="shared" si="82"/>
        <v xml:space="preserve"> </v>
      </c>
      <c r="I121" s="248">
        <f t="shared" si="82"/>
        <v>-0.16338484566680075</v>
      </c>
      <c r="J121" s="246" t="str">
        <f t="shared" si="82"/>
        <v xml:space="preserve"> </v>
      </c>
      <c r="K121" s="247" t="str">
        <f t="shared" si="82"/>
        <v xml:space="preserve"> </v>
      </c>
      <c r="L121" s="247" t="str">
        <f t="shared" si="82"/>
        <v xml:space="preserve"> </v>
      </c>
      <c r="M121" s="247" t="str">
        <f t="shared" si="82"/>
        <v xml:space="preserve"> </v>
      </c>
      <c r="N121" s="248" t="str">
        <f t="shared" si="82"/>
        <v xml:space="preserve"> </v>
      </c>
      <c r="O121" s="249" t="str">
        <f t="shared" si="82"/>
        <v xml:space="preserve"> </v>
      </c>
      <c r="P121" s="247" t="str">
        <f t="shared" si="82"/>
        <v xml:space="preserve"> </v>
      </c>
      <c r="Q121" s="247">
        <f t="shared" si="82"/>
        <v>-0.16338484566680075</v>
      </c>
      <c r="R121" s="250">
        <f t="shared" si="82"/>
        <v>-0.16338484566680073</v>
      </c>
    </row>
    <row r="122" spans="1:18" s="68" customFormat="1" ht="12.75">
      <c r="A122" s="1996" t="s">
        <v>391</v>
      </c>
      <c r="B122" s="215">
        <v>2019</v>
      </c>
      <c r="C122" s="236"/>
      <c r="D122" s="237"/>
      <c r="E122" s="237"/>
      <c r="F122" s="242"/>
      <c r="G122" s="237"/>
      <c r="H122" s="237"/>
      <c r="I122" s="238">
        <f>SUM(C122:H122)</f>
        <v>0</v>
      </c>
      <c r="J122" s="236"/>
      <c r="K122" s="237"/>
      <c r="L122" s="237"/>
      <c r="M122" s="237"/>
      <c r="N122" s="238">
        <f>SUM(J122:M122)</f>
        <v>0</v>
      </c>
      <c r="O122" s="239"/>
      <c r="P122" s="237">
        <f>SUM(O122)</f>
        <v>0</v>
      </c>
      <c r="Q122" s="237">
        <f>SUM(P122,N122,I122)</f>
        <v>0</v>
      </c>
      <c r="R122" s="240">
        <f>IFERROR(Q122/(+Q124+Q123+Q122)," ")</f>
        <v>0</v>
      </c>
    </row>
    <row r="123" spans="1:18" s="68" customFormat="1" ht="12.75">
      <c r="A123" s="1997"/>
      <c r="B123" s="215">
        <v>2020</v>
      </c>
      <c r="C123" s="241"/>
      <c r="D123" s="242"/>
      <c r="E123" s="242"/>
      <c r="F123" s="242"/>
      <c r="G123" s="242"/>
      <c r="H123" s="242"/>
      <c r="I123" s="243">
        <f>SUM(C123:H123)</f>
        <v>0</v>
      </c>
      <c r="J123" s="241"/>
      <c r="K123" s="242"/>
      <c r="L123" s="242"/>
      <c r="M123" s="242"/>
      <c r="N123" s="243">
        <f>SUM(J123:M123)</f>
        <v>0</v>
      </c>
      <c r="O123" s="244"/>
      <c r="P123" s="242">
        <f>SUM(O123)</f>
        <v>0</v>
      </c>
      <c r="Q123" s="242">
        <f>SUM(P123,N123,I123)</f>
        <v>0</v>
      </c>
      <c r="R123" s="245">
        <f>IFERROR(Q123/(+Q124+Q123+Q122)," ")</f>
        <v>0</v>
      </c>
    </row>
    <row r="124" spans="1:18" s="68" customFormat="1" ht="12.75">
      <c r="A124" s="1997"/>
      <c r="B124" s="215">
        <v>2021</v>
      </c>
      <c r="C124" s="241"/>
      <c r="D124" s="242"/>
      <c r="E124" s="242"/>
      <c r="F124" s="242">
        <v>293194</v>
      </c>
      <c r="G124" s="242"/>
      <c r="H124" s="242"/>
      <c r="I124" s="243">
        <f>SUM(C124:H124)</f>
        <v>293194</v>
      </c>
      <c r="J124" s="241"/>
      <c r="K124" s="242"/>
      <c r="L124" s="242">
        <v>3706806</v>
      </c>
      <c r="M124" s="242"/>
      <c r="N124" s="243">
        <f>SUM(J124:M124)</f>
        <v>3706806</v>
      </c>
      <c r="O124" s="244"/>
      <c r="P124" s="242">
        <f>SUM(O124)</f>
        <v>0</v>
      </c>
      <c r="Q124" s="242">
        <f>SUM(P124,N124,I124)</f>
        <v>4000000</v>
      </c>
      <c r="R124" s="245">
        <f>IFERROR(Q124/(+Q124+Q123+Q122)," ")</f>
        <v>1</v>
      </c>
    </row>
    <row r="125" spans="1:18" s="68" customFormat="1" ht="12.75" thickBot="1">
      <c r="A125" s="1994" t="s">
        <v>397</v>
      </c>
      <c r="B125" s="1995"/>
      <c r="C125" s="251" t="str">
        <f t="shared" ref="C125:E125" si="83">IFERROR(((C124-C123)/C123)," ")</f>
        <v xml:space="preserve"> </v>
      </c>
      <c r="D125" s="252" t="str">
        <f t="shared" si="83"/>
        <v xml:space="preserve"> </v>
      </c>
      <c r="E125" s="252" t="str">
        <f t="shared" si="83"/>
        <v xml:space="preserve"> </v>
      </c>
      <c r="F125" s="252" t="str">
        <f>IFERROR(((F124-F123)/F123)," ")</f>
        <v xml:space="preserve"> </v>
      </c>
      <c r="G125" s="252" t="str">
        <f>IFERROR(((G124-G123)/G123)," ")</f>
        <v xml:space="preserve"> </v>
      </c>
      <c r="H125" s="252" t="str">
        <f t="shared" ref="H125:R125" si="84">IFERROR(((H124-H123)/H123)," ")</f>
        <v xml:space="preserve"> </v>
      </c>
      <c r="I125" s="252" t="str">
        <f t="shared" si="84"/>
        <v xml:space="preserve"> </v>
      </c>
      <c r="J125" s="252" t="str">
        <f t="shared" si="84"/>
        <v xml:space="preserve"> </v>
      </c>
      <c r="K125" s="252" t="str">
        <f t="shared" si="84"/>
        <v xml:space="preserve"> </v>
      </c>
      <c r="L125" s="252" t="str">
        <f t="shared" si="84"/>
        <v xml:space="preserve"> </v>
      </c>
      <c r="M125" s="252" t="str">
        <f t="shared" si="84"/>
        <v xml:space="preserve"> </v>
      </c>
      <c r="N125" s="252" t="str">
        <f t="shared" si="84"/>
        <v xml:space="preserve"> </v>
      </c>
      <c r="O125" s="252" t="str">
        <f t="shared" si="84"/>
        <v xml:space="preserve"> </v>
      </c>
      <c r="P125" s="252" t="str">
        <f t="shared" si="84"/>
        <v xml:space="preserve"> </v>
      </c>
      <c r="Q125" s="252" t="str">
        <f t="shared" si="84"/>
        <v xml:space="preserve"> </v>
      </c>
      <c r="R125" s="253" t="str">
        <f t="shared" si="84"/>
        <v xml:space="preserve"> </v>
      </c>
    </row>
    <row r="126" spans="1:18" s="68" customFormat="1" ht="12.75">
      <c r="A126" s="1998" t="s">
        <v>0</v>
      </c>
      <c r="B126" s="215">
        <v>2019</v>
      </c>
      <c r="C126" s="254">
        <f>SUM(C118,C122)</f>
        <v>0</v>
      </c>
      <c r="D126" s="255">
        <f t="shared" ref="D126:H126" si="85">SUM(D118,D122)</f>
        <v>10841247</v>
      </c>
      <c r="E126" s="255">
        <f t="shared" si="85"/>
        <v>0</v>
      </c>
      <c r="F126" s="255">
        <f t="shared" si="85"/>
        <v>12511769</v>
      </c>
      <c r="G126" s="255">
        <f t="shared" si="85"/>
        <v>0</v>
      </c>
      <c r="H126" s="255">
        <f t="shared" si="85"/>
        <v>0</v>
      </c>
      <c r="I126" s="256">
        <f>SUM(C126:H126)</f>
        <v>23353016</v>
      </c>
      <c r="J126" s="255">
        <f t="shared" ref="J126:M126" si="86">SUM(J118,J122)</f>
        <v>0</v>
      </c>
      <c r="K126" s="255">
        <f t="shared" si="86"/>
        <v>0</v>
      </c>
      <c r="L126" s="255">
        <f t="shared" si="86"/>
        <v>5940</v>
      </c>
      <c r="M126" s="255">
        <f t="shared" si="86"/>
        <v>0</v>
      </c>
      <c r="N126" s="256">
        <f>SUM(J126:M126)</f>
        <v>5940</v>
      </c>
      <c r="O126" s="255">
        <v>0</v>
      </c>
      <c r="P126" s="242">
        <f t="shared" ref="P126:P128" si="87">SUM(O126)</f>
        <v>0</v>
      </c>
      <c r="Q126" s="255">
        <f>SUM(P126,N126,I126)</f>
        <v>23358956</v>
      </c>
      <c r="R126" s="240">
        <f>IFERROR(Q126/(+Q128+Q127+Q126)," ")</f>
        <v>0.26153428961828168</v>
      </c>
    </row>
    <row r="127" spans="1:18" s="68" customFormat="1" ht="12.75">
      <c r="A127" s="1999"/>
      <c r="B127" s="215">
        <v>2020</v>
      </c>
      <c r="C127" s="241">
        <f t="shared" ref="C127:H127" si="88">SUM(C119,C123)</f>
        <v>0</v>
      </c>
      <c r="D127" s="255">
        <f t="shared" si="88"/>
        <v>10841248</v>
      </c>
      <c r="E127" s="255">
        <f t="shared" si="88"/>
        <v>0</v>
      </c>
      <c r="F127" s="255">
        <f t="shared" si="88"/>
        <v>22892615</v>
      </c>
      <c r="G127" s="255">
        <f t="shared" si="88"/>
        <v>0</v>
      </c>
      <c r="H127" s="255">
        <f t="shared" si="88"/>
        <v>0</v>
      </c>
      <c r="I127" s="243">
        <f>SUM(C127:H127)</f>
        <v>33733863</v>
      </c>
      <c r="J127" s="255">
        <f t="shared" ref="J127:M127" si="89">SUM(J119,J123)</f>
        <v>0</v>
      </c>
      <c r="K127" s="255">
        <f t="shared" si="89"/>
        <v>0</v>
      </c>
      <c r="L127" s="255">
        <f t="shared" si="89"/>
        <v>0</v>
      </c>
      <c r="M127" s="255">
        <f t="shared" si="89"/>
        <v>0</v>
      </c>
      <c r="N127" s="243">
        <f>SUM(J127:M127)</f>
        <v>0</v>
      </c>
      <c r="O127" s="255">
        <v>0</v>
      </c>
      <c r="P127" s="257">
        <f t="shared" si="87"/>
        <v>0</v>
      </c>
      <c r="Q127" s="242">
        <f>SUM(P127,N127,I127)</f>
        <v>33733863</v>
      </c>
      <c r="R127" s="245">
        <f>IFERROR(Q127/(+Q128+Q127+Q126)," ")</f>
        <v>0.37769504321106806</v>
      </c>
    </row>
    <row r="128" spans="1:18" s="68" customFormat="1" ht="12.75">
      <c r="A128" s="2000"/>
      <c r="B128" s="215">
        <v>2021</v>
      </c>
      <c r="C128" s="241">
        <f t="shared" ref="C128:H128" si="90">SUM(C120,C124)</f>
        <v>0</v>
      </c>
      <c r="D128" s="255">
        <f t="shared" si="90"/>
        <v>10841248</v>
      </c>
      <c r="E128" s="255">
        <f t="shared" si="90"/>
        <v>0</v>
      </c>
      <c r="F128" s="255">
        <f t="shared" si="90"/>
        <v>17674207</v>
      </c>
      <c r="G128" s="255">
        <f t="shared" si="90"/>
        <v>0</v>
      </c>
      <c r="H128" s="255">
        <f t="shared" si="90"/>
        <v>0</v>
      </c>
      <c r="I128" s="243">
        <f>SUM(C128:H128)</f>
        <v>28515455</v>
      </c>
      <c r="J128" s="255">
        <f t="shared" ref="J128:M128" si="91">SUM(J120,J124)</f>
        <v>0</v>
      </c>
      <c r="K128" s="255">
        <f t="shared" si="91"/>
        <v>0</v>
      </c>
      <c r="L128" s="255">
        <f t="shared" si="91"/>
        <v>3706806</v>
      </c>
      <c r="M128" s="255">
        <f t="shared" si="91"/>
        <v>0</v>
      </c>
      <c r="N128" s="243">
        <f>SUM(J128:M128)</f>
        <v>3706806</v>
      </c>
      <c r="O128" s="255">
        <v>0</v>
      </c>
      <c r="P128" s="257">
        <f t="shared" si="87"/>
        <v>0</v>
      </c>
      <c r="Q128" s="242">
        <f>SUM(P128,N128,I128)</f>
        <v>32222261</v>
      </c>
      <c r="R128" s="245">
        <f>IFERROR(Q128/(+Q128+Q127+Q126)," ")</f>
        <v>0.36077066717065026</v>
      </c>
    </row>
    <row r="129" spans="1:18" s="68" customFormat="1" ht="12.75" thickBot="1">
      <c r="A129" s="1994" t="s">
        <v>397</v>
      </c>
      <c r="B129" s="1995"/>
      <c r="C129" s="251" t="str">
        <f t="shared" ref="C129:F129" si="92">IFERROR(((C128-C127)/C127)," ")</f>
        <v xml:space="preserve"> </v>
      </c>
      <c r="D129" s="252">
        <f t="shared" si="92"/>
        <v>0</v>
      </c>
      <c r="E129" s="252" t="str">
        <f t="shared" si="92"/>
        <v xml:space="preserve"> </v>
      </c>
      <c r="F129" s="252">
        <f t="shared" si="92"/>
        <v>-0.2279515905020025</v>
      </c>
      <c r="G129" s="252" t="str">
        <f>IFERROR(((G128-G127)/G127)," ")</f>
        <v xml:space="preserve"> </v>
      </c>
      <c r="H129" s="252" t="str">
        <f t="shared" ref="H129:P129" si="93">IFERROR(((H128-H127)/H127)," ")</f>
        <v xml:space="preserve"> </v>
      </c>
      <c r="I129" s="252">
        <f t="shared" si="93"/>
        <v>-0.15469346039616039</v>
      </c>
      <c r="J129" s="252" t="str">
        <f t="shared" si="93"/>
        <v xml:space="preserve"> </v>
      </c>
      <c r="K129" s="252" t="str">
        <f t="shared" si="93"/>
        <v xml:space="preserve"> </v>
      </c>
      <c r="L129" s="252" t="str">
        <f t="shared" si="93"/>
        <v xml:space="preserve"> </v>
      </c>
      <c r="M129" s="252" t="str">
        <f t="shared" si="93"/>
        <v xml:space="preserve"> </v>
      </c>
      <c r="N129" s="252" t="str">
        <f t="shared" si="93"/>
        <v xml:space="preserve"> </v>
      </c>
      <c r="O129" s="252" t="str">
        <f t="shared" si="93"/>
        <v xml:space="preserve"> </v>
      </c>
      <c r="P129" s="252" t="str">
        <f t="shared" si="93"/>
        <v xml:space="preserve"> </v>
      </c>
      <c r="Q129" s="252">
        <f>IFERROR(((Q128-Q127)/Q127)," ")</f>
        <v>-4.4809632386305712E-2</v>
      </c>
      <c r="R129" s="253">
        <f t="shared" ref="R129" si="94">IFERROR(((R128-R127)/R127)," ")</f>
        <v>-4.4809632386305684E-2</v>
      </c>
    </row>
    <row r="130" spans="1:18" ht="5.0999999999999996" customHeight="1" thickBot="1">
      <c r="A130" s="68"/>
      <c r="B130" s="68"/>
      <c r="C130" s="68"/>
      <c r="D130" s="68"/>
      <c r="E130" s="68"/>
      <c r="F130" s="68"/>
      <c r="G130" s="68"/>
      <c r="H130" s="68"/>
      <c r="I130" s="68"/>
      <c r="J130" s="68"/>
      <c r="K130" s="68"/>
      <c r="L130" s="68"/>
      <c r="M130" s="68"/>
      <c r="N130" s="68"/>
      <c r="O130" s="68"/>
      <c r="P130" s="68"/>
      <c r="Q130" s="68"/>
      <c r="R130" s="68"/>
    </row>
    <row r="131" spans="1:18" s="68" customFormat="1" ht="13.5" customHeight="1" thickBot="1">
      <c r="A131" s="1980" t="s">
        <v>371</v>
      </c>
      <c r="B131" s="1981"/>
      <c r="C131" s="1981"/>
      <c r="D131" s="1981"/>
      <c r="E131" s="1981"/>
      <c r="F131" s="1981"/>
      <c r="G131" s="1981"/>
      <c r="H131" s="1981"/>
      <c r="I131" s="1981"/>
      <c r="J131" s="1981"/>
      <c r="K131" s="1981"/>
      <c r="L131" s="1981"/>
      <c r="M131" s="1981"/>
      <c r="N131" s="1981"/>
      <c r="O131" s="1981"/>
      <c r="P131" s="1981"/>
      <c r="Q131" s="1981"/>
      <c r="R131" s="1982"/>
    </row>
    <row r="132" spans="1:18" ht="12.75">
      <c r="A132" s="1996" t="s">
        <v>390</v>
      </c>
      <c r="B132" s="215">
        <v>2019</v>
      </c>
      <c r="C132" s="236"/>
      <c r="D132" s="237"/>
      <c r="E132" s="237"/>
      <c r="F132" s="242"/>
      <c r="G132" s="237"/>
      <c r="H132" s="237"/>
      <c r="I132" s="238">
        <f>SUM(C132:H132)</f>
        <v>0</v>
      </c>
      <c r="J132" s="236"/>
      <c r="K132" s="237"/>
      <c r="L132" s="237">
        <v>6578587</v>
      </c>
      <c r="M132" s="237"/>
      <c r="N132" s="238">
        <f>SUM(J132:M132)</f>
        <v>6578587</v>
      </c>
      <c r="O132" s="239"/>
      <c r="P132" s="237">
        <f>SUM(O132)</f>
        <v>0</v>
      </c>
      <c r="Q132" s="237">
        <f>SUM(P132,N132,I132)</f>
        <v>6578587</v>
      </c>
      <c r="R132" s="240">
        <f>IFERROR(Q132/(+Q134+Q133+Q132)," ")</f>
        <v>3.6071636505708785E-2</v>
      </c>
    </row>
    <row r="133" spans="1:18" ht="12.75">
      <c r="A133" s="1997"/>
      <c r="B133" s="215">
        <v>2020</v>
      </c>
      <c r="C133" s="241"/>
      <c r="D133" s="242"/>
      <c r="E133" s="242"/>
      <c r="F133" s="242"/>
      <c r="G133" s="242"/>
      <c r="H133" s="242"/>
      <c r="I133" s="243">
        <f>SUM(C133:H133)</f>
        <v>0</v>
      </c>
      <c r="J133" s="241"/>
      <c r="K133" s="242"/>
      <c r="L133" s="242">
        <v>83250000</v>
      </c>
      <c r="M133" s="242"/>
      <c r="N133" s="243">
        <f>SUM(J133:M133)</f>
        <v>83250000</v>
      </c>
      <c r="O133" s="244"/>
      <c r="P133" s="242">
        <f>SUM(O133)</f>
        <v>0</v>
      </c>
      <c r="Q133" s="242">
        <f>SUM(P133,N133,I133)</f>
        <v>83250000</v>
      </c>
      <c r="R133" s="245">
        <f>IFERROR(Q133/(+Q134+Q133+Q132)," ")</f>
        <v>0.45647549224480216</v>
      </c>
    </row>
    <row r="134" spans="1:18" ht="12.75">
      <c r="A134" s="1997"/>
      <c r="B134" s="215">
        <v>2021</v>
      </c>
      <c r="C134" s="241"/>
      <c r="D134" s="242"/>
      <c r="E134" s="242"/>
      <c r="F134" s="242"/>
      <c r="G134" s="242"/>
      <c r="H134" s="242"/>
      <c r="I134" s="243">
        <f>SUM(C134:H134)</f>
        <v>0</v>
      </c>
      <c r="J134" s="241"/>
      <c r="K134" s="242"/>
      <c r="L134" s="242">
        <v>92547031</v>
      </c>
      <c r="M134" s="242"/>
      <c r="N134" s="243">
        <f>SUM(J134:M134)</f>
        <v>92547031</v>
      </c>
      <c r="O134" s="244"/>
      <c r="P134" s="242">
        <f>SUM(O134)</f>
        <v>0</v>
      </c>
      <c r="Q134" s="242">
        <f>SUM(P134,N134,I134)</f>
        <v>92547031</v>
      </c>
      <c r="R134" s="245">
        <f>IFERROR(Q134/(+Q134+Q133+Q132)," ")</f>
        <v>0.50745287124948901</v>
      </c>
    </row>
    <row r="135" spans="1:18" ht="12.75" thickBot="1">
      <c r="A135" s="1994" t="s">
        <v>397</v>
      </c>
      <c r="B135" s="1995"/>
      <c r="C135" s="246" t="str">
        <f t="shared" ref="C135:E135" si="95">IFERROR(((C134-C133)/C133)," ")</f>
        <v xml:space="preserve"> </v>
      </c>
      <c r="D135" s="247" t="str">
        <f t="shared" si="95"/>
        <v xml:space="preserve"> </v>
      </c>
      <c r="E135" s="247" t="str">
        <f t="shared" si="95"/>
        <v xml:space="preserve"> </v>
      </c>
      <c r="F135" s="247" t="str">
        <f>IFERROR(((F134-F133)/F133)," ")</f>
        <v xml:space="preserve"> </v>
      </c>
      <c r="G135" s="247" t="str">
        <f t="shared" ref="G135:R135" si="96">IFERROR(((G134-G133)/G133)," ")</f>
        <v xml:space="preserve"> </v>
      </c>
      <c r="H135" s="247" t="str">
        <f t="shared" si="96"/>
        <v xml:space="preserve"> </v>
      </c>
      <c r="I135" s="248" t="str">
        <f t="shared" si="96"/>
        <v xml:space="preserve"> </v>
      </c>
      <c r="J135" s="246" t="str">
        <f t="shared" si="96"/>
        <v xml:space="preserve"> </v>
      </c>
      <c r="K135" s="247" t="str">
        <f t="shared" si="96"/>
        <v xml:space="preserve"> </v>
      </c>
      <c r="L135" s="247">
        <f t="shared" si="96"/>
        <v>0.11167604804804805</v>
      </c>
      <c r="M135" s="247" t="str">
        <f t="shared" si="96"/>
        <v xml:space="preserve"> </v>
      </c>
      <c r="N135" s="248">
        <f t="shared" si="96"/>
        <v>0.11167604804804805</v>
      </c>
      <c r="O135" s="249" t="str">
        <f t="shared" si="96"/>
        <v xml:space="preserve"> </v>
      </c>
      <c r="P135" s="247" t="str">
        <f t="shared" si="96"/>
        <v xml:space="preserve"> </v>
      </c>
      <c r="Q135" s="247">
        <f t="shared" si="96"/>
        <v>0.11167604804804805</v>
      </c>
      <c r="R135" s="250">
        <f t="shared" si="96"/>
        <v>0.11167604804804791</v>
      </c>
    </row>
    <row r="136" spans="1:18" ht="12.75">
      <c r="A136" s="1996" t="s">
        <v>396</v>
      </c>
      <c r="B136" s="215">
        <v>2019</v>
      </c>
      <c r="C136" s="236"/>
      <c r="D136" s="237"/>
      <c r="E136" s="237"/>
      <c r="F136" s="237"/>
      <c r="G136" s="237"/>
      <c r="H136" s="237"/>
      <c r="I136" s="238">
        <f>SUM(C136:H136)</f>
        <v>0</v>
      </c>
      <c r="J136" s="236"/>
      <c r="K136" s="237"/>
      <c r="L136" s="237"/>
      <c r="M136" s="237"/>
      <c r="N136" s="238">
        <f>SUM(J136:M136)</f>
        <v>0</v>
      </c>
      <c r="O136" s="239">
        <v>223064000</v>
      </c>
      <c r="P136" s="237">
        <f t="shared" ref="P136:P138" si="97">SUM(O136)</f>
        <v>223064000</v>
      </c>
      <c r="Q136" s="237">
        <f>SUM(P136,N136,I136)</f>
        <v>223064000</v>
      </c>
      <c r="R136" s="240">
        <f>IFERROR(Q136/(+Q138+Q137+Q136)," ")</f>
        <v>0.34375981808617051</v>
      </c>
    </row>
    <row r="137" spans="1:18" ht="12.75">
      <c r="A137" s="1997"/>
      <c r="B137" s="215">
        <v>2020</v>
      </c>
      <c r="C137" s="241"/>
      <c r="D137" s="242"/>
      <c r="E137" s="242"/>
      <c r="F137" s="242"/>
      <c r="G137" s="242"/>
      <c r="H137" s="242"/>
      <c r="I137" s="243">
        <f>SUM(C137:H137)</f>
        <v>0</v>
      </c>
      <c r="J137" s="241"/>
      <c r="K137" s="242"/>
      <c r="L137" s="242"/>
      <c r="M137" s="242"/>
      <c r="N137" s="243">
        <f>SUM(J137:M137)</f>
        <v>0</v>
      </c>
      <c r="O137" s="244">
        <v>223064000</v>
      </c>
      <c r="P137" s="242">
        <f t="shared" si="97"/>
        <v>223064000</v>
      </c>
      <c r="Q137" s="242">
        <f>SUM(P137,N137,I137)</f>
        <v>223064000</v>
      </c>
      <c r="R137" s="245">
        <f>IFERROR(Q137/(+Q138+Q137+Q136)," ")</f>
        <v>0.34375981808617051</v>
      </c>
    </row>
    <row r="138" spans="1:18" ht="12.75">
      <c r="A138" s="1997"/>
      <c r="B138" s="215">
        <v>2021</v>
      </c>
      <c r="C138" s="241"/>
      <c r="D138" s="242"/>
      <c r="E138" s="242"/>
      <c r="F138" s="242"/>
      <c r="G138" s="242"/>
      <c r="H138" s="242"/>
      <c r="I138" s="243">
        <f>SUM(C138:H138)</f>
        <v>0</v>
      </c>
      <c r="J138" s="241"/>
      <c r="K138" s="242"/>
      <c r="L138" s="242"/>
      <c r="M138" s="242"/>
      <c r="N138" s="243">
        <f>SUM(J138:M138)</f>
        <v>0</v>
      </c>
      <c r="O138" s="244">
        <v>202766921</v>
      </c>
      <c r="P138" s="242">
        <f t="shared" si="97"/>
        <v>202766921</v>
      </c>
      <c r="Q138" s="242">
        <f>SUM(P138,N138,I138)</f>
        <v>202766921</v>
      </c>
      <c r="R138" s="245">
        <f>IFERROR(Q138/(+Q138+Q137+Q136)," ")</f>
        <v>0.31248036382765892</v>
      </c>
    </row>
    <row r="139" spans="1:18" ht="12.75" thickBot="1">
      <c r="A139" s="1994" t="s">
        <v>397</v>
      </c>
      <c r="B139" s="1995"/>
      <c r="C139" s="246" t="str">
        <f t="shared" ref="C139:R139" si="98">IFERROR(((C138-C137)/C137)," ")</f>
        <v xml:space="preserve"> </v>
      </c>
      <c r="D139" s="247" t="str">
        <f t="shared" si="98"/>
        <v xml:space="preserve"> </v>
      </c>
      <c r="E139" s="247" t="str">
        <f t="shared" si="98"/>
        <v xml:space="preserve"> </v>
      </c>
      <c r="F139" s="247" t="str">
        <f t="shared" si="98"/>
        <v xml:space="preserve"> </v>
      </c>
      <c r="G139" s="247" t="str">
        <f t="shared" si="98"/>
        <v xml:space="preserve"> </v>
      </c>
      <c r="H139" s="247" t="str">
        <f t="shared" si="98"/>
        <v xml:space="preserve"> </v>
      </c>
      <c r="I139" s="248" t="str">
        <f t="shared" si="98"/>
        <v xml:space="preserve"> </v>
      </c>
      <c r="J139" s="246" t="str">
        <f t="shared" si="98"/>
        <v xml:space="preserve"> </v>
      </c>
      <c r="K139" s="247" t="str">
        <f t="shared" si="98"/>
        <v xml:space="preserve"> </v>
      </c>
      <c r="L139" s="247" t="str">
        <f t="shared" si="98"/>
        <v xml:space="preserve"> </v>
      </c>
      <c r="M139" s="247" t="str">
        <f t="shared" si="98"/>
        <v xml:space="preserve"> </v>
      </c>
      <c r="N139" s="248" t="str">
        <f t="shared" si="98"/>
        <v xml:space="preserve"> </v>
      </c>
      <c r="O139" s="249">
        <f t="shared" si="98"/>
        <v>-9.0992177133020116E-2</v>
      </c>
      <c r="P139" s="247">
        <f t="shared" si="98"/>
        <v>-9.0992177133020116E-2</v>
      </c>
      <c r="Q139" s="247">
        <f t="shared" si="98"/>
        <v>-9.0992177133020116E-2</v>
      </c>
      <c r="R139" s="250">
        <f t="shared" si="98"/>
        <v>-9.0992177133020075E-2</v>
      </c>
    </row>
    <row r="140" spans="1:18" ht="12.75">
      <c r="A140" s="1998" t="s">
        <v>0</v>
      </c>
      <c r="B140" s="215">
        <v>2019</v>
      </c>
      <c r="C140" s="254">
        <f>SUM(C132,C136)</f>
        <v>0</v>
      </c>
      <c r="D140" s="255">
        <f t="shared" ref="D140:H140" si="99">SUM(D132,D136)</f>
        <v>0</v>
      </c>
      <c r="E140" s="255">
        <f t="shared" si="99"/>
        <v>0</v>
      </c>
      <c r="F140" s="255">
        <f t="shared" si="99"/>
        <v>0</v>
      </c>
      <c r="G140" s="255">
        <f t="shared" si="99"/>
        <v>0</v>
      </c>
      <c r="H140" s="255">
        <f t="shared" si="99"/>
        <v>0</v>
      </c>
      <c r="I140" s="256">
        <f>SUM(C140:H140)</f>
        <v>0</v>
      </c>
      <c r="J140" s="255">
        <f t="shared" ref="J140:M140" si="100">SUM(J132,J136)</f>
        <v>0</v>
      </c>
      <c r="K140" s="255">
        <f t="shared" si="100"/>
        <v>0</v>
      </c>
      <c r="L140" s="255">
        <f t="shared" si="100"/>
        <v>6578587</v>
      </c>
      <c r="M140" s="255">
        <f t="shared" si="100"/>
        <v>0</v>
      </c>
      <c r="N140" s="256">
        <f>SUM(J140:M140)</f>
        <v>6578587</v>
      </c>
      <c r="O140" s="255">
        <f t="shared" ref="O140:O142" si="101">SUM(O132,O136)</f>
        <v>223064000</v>
      </c>
      <c r="P140" s="242">
        <f t="shared" ref="P140:P142" si="102">SUM(O140)</f>
        <v>223064000</v>
      </c>
      <c r="Q140" s="255">
        <f>SUM(P140,N140,I140)</f>
        <v>229642587</v>
      </c>
      <c r="R140" s="240">
        <f>IFERROR(Q140/(+Q142+Q141+Q140)," ")</f>
        <v>0.27625493293224962</v>
      </c>
    </row>
    <row r="141" spans="1:18" ht="12.75">
      <c r="A141" s="1999"/>
      <c r="B141" s="215">
        <v>2020</v>
      </c>
      <c r="C141" s="241">
        <f t="shared" ref="C141:H141" si="103">SUM(C133,C137)</f>
        <v>0</v>
      </c>
      <c r="D141" s="255">
        <f t="shared" si="103"/>
        <v>0</v>
      </c>
      <c r="E141" s="255">
        <f t="shared" si="103"/>
        <v>0</v>
      </c>
      <c r="F141" s="255">
        <f t="shared" si="103"/>
        <v>0</v>
      </c>
      <c r="G141" s="255">
        <f t="shared" si="103"/>
        <v>0</v>
      </c>
      <c r="H141" s="255">
        <f t="shared" si="103"/>
        <v>0</v>
      </c>
      <c r="I141" s="243">
        <f>SUM(C141:H141)</f>
        <v>0</v>
      </c>
      <c r="J141" s="255">
        <f t="shared" ref="J141:M141" si="104">SUM(J133,J137)</f>
        <v>0</v>
      </c>
      <c r="K141" s="255">
        <f t="shared" si="104"/>
        <v>0</v>
      </c>
      <c r="L141" s="255">
        <f t="shared" si="104"/>
        <v>83250000</v>
      </c>
      <c r="M141" s="255">
        <f t="shared" si="104"/>
        <v>0</v>
      </c>
      <c r="N141" s="243">
        <f>SUM(J141:M141)</f>
        <v>83250000</v>
      </c>
      <c r="O141" s="255">
        <f t="shared" si="101"/>
        <v>223064000</v>
      </c>
      <c r="P141" s="257">
        <f t="shared" si="102"/>
        <v>223064000</v>
      </c>
      <c r="Q141" s="242">
        <f>SUM(P141,N141,I141)</f>
        <v>306314000</v>
      </c>
      <c r="R141" s="245">
        <f>IFERROR(Q141/(+Q142+Q141+Q140)," ")</f>
        <v>0.36848894027748047</v>
      </c>
    </row>
    <row r="142" spans="1:18" ht="12.75">
      <c r="A142" s="2000"/>
      <c r="B142" s="215">
        <v>2021</v>
      </c>
      <c r="C142" s="241">
        <f t="shared" ref="C142:H142" si="105">SUM(C134,C138)</f>
        <v>0</v>
      </c>
      <c r="D142" s="255">
        <f t="shared" si="105"/>
        <v>0</v>
      </c>
      <c r="E142" s="255">
        <f t="shared" si="105"/>
        <v>0</v>
      </c>
      <c r="F142" s="255">
        <f t="shared" si="105"/>
        <v>0</v>
      </c>
      <c r="G142" s="255">
        <f t="shared" si="105"/>
        <v>0</v>
      </c>
      <c r="H142" s="255">
        <f t="shared" si="105"/>
        <v>0</v>
      </c>
      <c r="I142" s="243">
        <f>SUM(C142:H142)</f>
        <v>0</v>
      </c>
      <c r="J142" s="255">
        <f t="shared" ref="J142:M142" si="106">SUM(J134,J138)</f>
        <v>0</v>
      </c>
      <c r="K142" s="255">
        <f t="shared" si="106"/>
        <v>0</v>
      </c>
      <c r="L142" s="255">
        <f t="shared" si="106"/>
        <v>92547031</v>
      </c>
      <c r="M142" s="255">
        <f t="shared" si="106"/>
        <v>0</v>
      </c>
      <c r="N142" s="243">
        <f>SUM(J142:M142)</f>
        <v>92547031</v>
      </c>
      <c r="O142" s="255">
        <f t="shared" si="101"/>
        <v>202766921</v>
      </c>
      <c r="P142" s="257">
        <f t="shared" si="102"/>
        <v>202766921</v>
      </c>
      <c r="Q142" s="242">
        <f>SUM(P142,N142,I142)</f>
        <v>295313952</v>
      </c>
      <c r="R142" s="245">
        <f>IFERROR(Q142/(+Q142+Q141+Q140)," ")</f>
        <v>0.35525612679026991</v>
      </c>
    </row>
    <row r="143" spans="1:18" ht="12.75" thickBot="1">
      <c r="A143" s="1994" t="s">
        <v>397</v>
      </c>
      <c r="B143" s="1995"/>
      <c r="C143" s="251" t="str">
        <f t="shared" ref="C143:F143" si="107">IFERROR(((C142-C141)/C141)," ")</f>
        <v xml:space="preserve"> </v>
      </c>
      <c r="D143" s="252" t="str">
        <f t="shared" si="107"/>
        <v xml:space="preserve"> </v>
      </c>
      <c r="E143" s="252" t="str">
        <f t="shared" si="107"/>
        <v xml:space="preserve"> </v>
      </c>
      <c r="F143" s="252" t="str">
        <f t="shared" si="107"/>
        <v xml:space="preserve"> </v>
      </c>
      <c r="G143" s="252" t="str">
        <f>IFERROR(((G142-G141)/G141)," ")</f>
        <v xml:space="preserve"> </v>
      </c>
      <c r="H143" s="252" t="str">
        <f t="shared" ref="H143:P143" si="108">IFERROR(((H142-H141)/H141)," ")</f>
        <v xml:space="preserve"> </v>
      </c>
      <c r="I143" s="252" t="str">
        <f t="shared" si="108"/>
        <v xml:space="preserve"> </v>
      </c>
      <c r="J143" s="252" t="str">
        <f t="shared" si="108"/>
        <v xml:space="preserve"> </v>
      </c>
      <c r="K143" s="252" t="str">
        <f t="shared" si="108"/>
        <v xml:space="preserve"> </v>
      </c>
      <c r="L143" s="252">
        <f t="shared" si="108"/>
        <v>0.11167604804804805</v>
      </c>
      <c r="M143" s="252" t="str">
        <f t="shared" si="108"/>
        <v xml:space="preserve"> </v>
      </c>
      <c r="N143" s="252">
        <f t="shared" si="108"/>
        <v>0.11167604804804805</v>
      </c>
      <c r="O143" s="252">
        <f t="shared" si="108"/>
        <v>-9.0992177133020116E-2</v>
      </c>
      <c r="P143" s="252">
        <f t="shared" si="108"/>
        <v>-9.0992177133020116E-2</v>
      </c>
      <c r="Q143" s="252">
        <f>IFERROR(((Q142-Q141)/Q141)," ")</f>
        <v>-3.591101941145361E-2</v>
      </c>
      <c r="R143" s="253">
        <f t="shared" ref="R143" si="109">IFERROR(((R142-R141)/R141)," ")</f>
        <v>-3.5911019411453582E-2</v>
      </c>
    </row>
    <row r="144" spans="1:18" ht="5.0999999999999996" customHeight="1"/>
  </sheetData>
  <mergeCells count="76">
    <mergeCell ref="A136:A138"/>
    <mergeCell ref="A139:B139"/>
    <mergeCell ref="A140:A142"/>
    <mergeCell ref="A143:B143"/>
    <mergeCell ref="A135:B135"/>
    <mergeCell ref="A132:A134"/>
    <mergeCell ref="A131:R131"/>
    <mergeCell ref="A118:A120"/>
    <mergeCell ref="A121:B121"/>
    <mergeCell ref="A122:A124"/>
    <mergeCell ref="A125:B125"/>
    <mergeCell ref="A126:A128"/>
    <mergeCell ref="A129:B129"/>
    <mergeCell ref="A112:A114"/>
    <mergeCell ref="A115:B115"/>
    <mergeCell ref="A117:R117"/>
    <mergeCell ref="A108:A110"/>
    <mergeCell ref="A111:B111"/>
    <mergeCell ref="A101:B101"/>
    <mergeCell ref="A104:A106"/>
    <mergeCell ref="A107:B107"/>
    <mergeCell ref="A103:R103"/>
    <mergeCell ref="A94:A96"/>
    <mergeCell ref="A97:B97"/>
    <mergeCell ref="A98:A100"/>
    <mergeCell ref="A89:B89"/>
    <mergeCell ref="A90:A92"/>
    <mergeCell ref="A93:B93"/>
    <mergeCell ref="A67:B67"/>
    <mergeCell ref="A68:A70"/>
    <mergeCell ref="A71:B71"/>
    <mergeCell ref="A72:A74"/>
    <mergeCell ref="A75:B75"/>
    <mergeCell ref="A77:R77"/>
    <mergeCell ref="A78:A80"/>
    <mergeCell ref="A81:B81"/>
    <mergeCell ref="A82:A84"/>
    <mergeCell ref="A85:B85"/>
    <mergeCell ref="A86:A88"/>
    <mergeCell ref="A47:B47"/>
    <mergeCell ref="A48:A50"/>
    <mergeCell ref="A51:B51"/>
    <mergeCell ref="A52:A54"/>
    <mergeCell ref="A55:B55"/>
    <mergeCell ref="A56:A58"/>
    <mergeCell ref="A59:B59"/>
    <mergeCell ref="A60:A62"/>
    <mergeCell ref="A63:B63"/>
    <mergeCell ref="A64:A66"/>
    <mergeCell ref="A26:A28"/>
    <mergeCell ref="A29:B29"/>
    <mergeCell ref="A30:A32"/>
    <mergeCell ref="A33:B33"/>
    <mergeCell ref="A34:A36"/>
    <mergeCell ref="A37:B37"/>
    <mergeCell ref="A38:A40"/>
    <mergeCell ref="A41:B41"/>
    <mergeCell ref="A44:A46"/>
    <mergeCell ref="A43:R43"/>
    <mergeCell ref="A6:A8"/>
    <mergeCell ref="A9:B9"/>
    <mergeCell ref="A10:A12"/>
    <mergeCell ref="A13:B13"/>
    <mergeCell ref="A14:A16"/>
    <mergeCell ref="A17:B17"/>
    <mergeCell ref="A18:A20"/>
    <mergeCell ref="A21:B21"/>
    <mergeCell ref="A22:A24"/>
    <mergeCell ref="A25:B25"/>
    <mergeCell ref="A5:R5"/>
    <mergeCell ref="Q3:R3"/>
    <mergeCell ref="A3:A4"/>
    <mergeCell ref="C3:I3"/>
    <mergeCell ref="J3:N3"/>
    <mergeCell ref="O3:P3"/>
    <mergeCell ref="B3:B4"/>
  </mergeCells>
  <phoneticPr fontId="0" type="noConversion"/>
  <printOptions horizontalCentered="1"/>
  <pageMargins left="0.19685039370078741" right="0.19685039370078741" top="0.78740157480314965" bottom="0.78740157480314965" header="0.19685039370078741" footer="0.19685039370078741"/>
  <pageSetup paperSize="9" scale="81" orientation="landscape" r:id="rId1"/>
  <headerFooter alignWithMargins="0">
    <oddHeader>&amp;C&amp;"Arial,Negrita"&amp;18FORMATOS DEL PROYECTO DE PRESUPUESTO 2021</oddHeader>
    <oddFooter>&amp;L&amp;"Arial,Negrita"&amp;8PROYECTO DE PRESUPUESTO PARA EL AÑO FISCAL 2021
INFORMACIÓN PARA LA COMISIÓN DE PRESUPUESTO Y CUENTA GENERAL DE LA REPÚBLICA DEL CONGRESO DE LA REPÚBLICA</oddFooter>
  </headerFooter>
  <rowBreaks count="3" manualBreakCount="3">
    <brk id="42" max="17" man="1"/>
    <brk id="76" max="17" man="1"/>
    <brk id="102" max="1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68</vt:i4>
      </vt:variant>
      <vt:variant>
        <vt:lpstr>Rangos con nombre</vt:lpstr>
      </vt:variant>
      <vt:variant>
        <vt:i4>69</vt:i4>
      </vt:variant>
    </vt:vector>
  </HeadingPairs>
  <TitlesOfParts>
    <vt:vector size="137" baseType="lpstr">
      <vt:lpstr>Índice</vt:lpstr>
      <vt:lpstr>F-01</vt:lpstr>
      <vt:lpstr>F-02</vt:lpstr>
      <vt:lpstr>F-03</vt:lpstr>
      <vt:lpstr>F-04</vt:lpstr>
      <vt:lpstr>F-05</vt:lpstr>
      <vt:lpstr>F-06</vt:lpstr>
      <vt:lpstr>F-07</vt:lpstr>
      <vt:lpstr>F-08</vt:lpstr>
      <vt:lpstr>F-09 S26</vt:lpstr>
      <vt:lpstr>F-09 P026</vt:lpstr>
      <vt:lpstr>F-09 OGA</vt:lpstr>
      <vt:lpstr>F-09 CCFFAA</vt:lpstr>
      <vt:lpstr>F-09 EP</vt:lpstr>
      <vt:lpstr>F-09 MGP</vt:lpstr>
      <vt:lpstr>F-09 FAP</vt:lpstr>
      <vt:lpstr>F-09 CONIDA</vt:lpstr>
      <vt:lpstr>F-09 ENAMM</vt:lpstr>
      <vt:lpstr>F-09 OPREFA</vt:lpstr>
      <vt:lpstr>F-09 ACFFAA</vt:lpstr>
      <vt:lpstr>F-09 IGN</vt:lpstr>
      <vt:lpstr>F-09 CENEPRED</vt:lpstr>
      <vt:lpstr>F-09 INDECI</vt:lpstr>
      <vt:lpstr>F-10 S26</vt:lpstr>
      <vt:lpstr>F-10 P026</vt:lpstr>
      <vt:lpstr>F-10 OGA</vt:lpstr>
      <vt:lpstr>F-10 CCFFAA</vt:lpstr>
      <vt:lpstr>F-10 EP</vt:lpstr>
      <vt:lpstr>F-10 MGP</vt:lpstr>
      <vt:lpstr>F-10 FAP</vt:lpstr>
      <vt:lpstr>F-10 CONIDA</vt:lpstr>
      <vt:lpstr>F-10 ENAMM</vt:lpstr>
      <vt:lpstr>F-10 OPREFA</vt:lpstr>
      <vt:lpstr>F-10 ACFFAA</vt:lpstr>
      <vt:lpstr>F-10 IGN</vt:lpstr>
      <vt:lpstr>F-10 CENEPRED</vt:lpstr>
      <vt:lpstr>F-10 INDECI</vt:lpstr>
      <vt:lpstr>F-11 P026</vt:lpstr>
      <vt:lpstr>F-11 OGA</vt:lpstr>
      <vt:lpstr>F-11 CCFFAA</vt:lpstr>
      <vt:lpstr>F-11 EP</vt:lpstr>
      <vt:lpstr>F-11 MGP</vt:lpstr>
      <vt:lpstr>F-11 FAP</vt:lpstr>
      <vt:lpstr>F-11 CONIDA</vt:lpstr>
      <vt:lpstr>F-11 ENAMM</vt:lpstr>
      <vt:lpstr>F-11 OPREFA</vt:lpstr>
      <vt:lpstr>F-11 ACFFAA</vt:lpstr>
      <vt:lpstr>F-11 IGN</vt:lpstr>
      <vt:lpstr>F-11 CENEPRED</vt:lpstr>
      <vt:lpstr>F-11 INDECI</vt:lpstr>
      <vt:lpstr>F-12</vt:lpstr>
      <vt:lpstr>F-13</vt:lpstr>
      <vt:lpstr>F-14</vt:lpstr>
      <vt:lpstr>F-15</vt:lpstr>
      <vt:lpstr>F-16</vt:lpstr>
      <vt:lpstr>F-17 OGA</vt:lpstr>
      <vt:lpstr>F-17 CCFFAA</vt:lpstr>
      <vt:lpstr>F-17 EP</vt:lpstr>
      <vt:lpstr>F-17 MGP</vt:lpstr>
      <vt:lpstr>F-17 FAP</vt:lpstr>
      <vt:lpstr>F-17 CONIDA</vt:lpstr>
      <vt:lpstr>F-17 ENAMM</vt:lpstr>
      <vt:lpstr>F-17 OPREFA</vt:lpstr>
      <vt:lpstr>F-17 ACFFAA</vt:lpstr>
      <vt:lpstr>F-17 IGN</vt:lpstr>
      <vt:lpstr>F-17 CENEPRED</vt:lpstr>
      <vt:lpstr>F-17 INDECI</vt:lpstr>
      <vt:lpstr>F-18</vt:lpstr>
      <vt:lpstr>'F-01'!Área_de_impresión</vt:lpstr>
      <vt:lpstr>'F-02'!Área_de_impresión</vt:lpstr>
      <vt:lpstr>'F-03'!Área_de_impresión</vt:lpstr>
      <vt:lpstr>'F-05'!Área_de_impresión</vt:lpstr>
      <vt:lpstr>'F-06'!Área_de_impresión</vt:lpstr>
      <vt:lpstr>'F-07'!Área_de_impresión</vt:lpstr>
      <vt:lpstr>'F-08'!Área_de_impresión</vt:lpstr>
      <vt:lpstr>'F-09 ACFFAA'!Área_de_impresión</vt:lpstr>
      <vt:lpstr>'F-09 CCFFAA'!Área_de_impresión</vt:lpstr>
      <vt:lpstr>'F-09 CENEPRED'!Área_de_impresión</vt:lpstr>
      <vt:lpstr>'F-09 CONIDA'!Área_de_impresión</vt:lpstr>
      <vt:lpstr>'F-09 ENAMM'!Área_de_impresión</vt:lpstr>
      <vt:lpstr>'F-09 EP'!Área_de_impresión</vt:lpstr>
      <vt:lpstr>'F-09 FAP'!Área_de_impresión</vt:lpstr>
      <vt:lpstr>'F-09 IGN'!Área_de_impresión</vt:lpstr>
      <vt:lpstr>'F-09 INDECI'!Área_de_impresión</vt:lpstr>
      <vt:lpstr>'F-09 MGP'!Área_de_impresión</vt:lpstr>
      <vt:lpstr>'F-09 OGA'!Área_de_impresión</vt:lpstr>
      <vt:lpstr>'F-09 OPREFA'!Área_de_impresión</vt:lpstr>
      <vt:lpstr>'F-09 P026'!Área_de_impresión</vt:lpstr>
      <vt:lpstr>'F-09 S26'!Área_de_impresión</vt:lpstr>
      <vt:lpstr>'F-11 ACFFAA'!Área_de_impresión</vt:lpstr>
      <vt:lpstr>'F-11 CCFFAA'!Área_de_impresión</vt:lpstr>
      <vt:lpstr>'F-11 CENEPRED'!Área_de_impresión</vt:lpstr>
      <vt:lpstr>'F-11 FAP'!Área_de_impresión</vt:lpstr>
      <vt:lpstr>'F-11 MGP'!Área_de_impresión</vt:lpstr>
      <vt:lpstr>'F-11 OPREFA'!Área_de_impresión</vt:lpstr>
      <vt:lpstr>'F-12'!Área_de_impresión</vt:lpstr>
      <vt:lpstr>'F-13'!Área_de_impresión</vt:lpstr>
      <vt:lpstr>'F-14'!Área_de_impresión</vt:lpstr>
      <vt:lpstr>'F-15'!Área_de_impresión</vt:lpstr>
      <vt:lpstr>'F-16'!Área_de_impresión</vt:lpstr>
      <vt:lpstr>'F-18'!Área_de_impresión</vt:lpstr>
      <vt:lpstr>Índice!Área_de_impresión</vt:lpstr>
      <vt:lpstr>'F-01'!Títulos_a_imprimir</vt:lpstr>
      <vt:lpstr>'F-04'!Títulos_a_imprimir</vt:lpstr>
      <vt:lpstr>'F-07'!Títulos_a_imprimir</vt:lpstr>
      <vt:lpstr>'F-08'!Títulos_a_imprimir</vt:lpstr>
      <vt:lpstr>'F-09 CCFFAA'!Títulos_a_imprimir</vt:lpstr>
      <vt:lpstr>'F-09 CONIDA'!Títulos_a_imprimir</vt:lpstr>
      <vt:lpstr>'F-09 EP'!Títulos_a_imprimir</vt:lpstr>
      <vt:lpstr>'F-09 FAP'!Títulos_a_imprimir</vt:lpstr>
      <vt:lpstr>'F-09 MGP'!Títulos_a_imprimir</vt:lpstr>
      <vt:lpstr>'F-09 OGA'!Títulos_a_imprimir</vt:lpstr>
      <vt:lpstr>'F-09 OPREFA'!Títulos_a_imprimir</vt:lpstr>
      <vt:lpstr>'F-09 P026'!Títulos_a_imprimir</vt:lpstr>
      <vt:lpstr>'F-09 S26'!Títulos_a_imprimir</vt:lpstr>
      <vt:lpstr>'F-11 EP'!Títulos_a_imprimir</vt:lpstr>
      <vt:lpstr>'F-11 FAP'!Títulos_a_imprimir</vt:lpstr>
      <vt:lpstr>'F-11 MGP'!Títulos_a_imprimir</vt:lpstr>
      <vt:lpstr>'F-12'!Títulos_a_imprimir</vt:lpstr>
      <vt:lpstr>'F-13'!Títulos_a_imprimir</vt:lpstr>
      <vt:lpstr>'F-14'!Títulos_a_imprimir</vt:lpstr>
      <vt:lpstr>'F-15'!Títulos_a_imprimir</vt:lpstr>
      <vt:lpstr>'F-16'!Títulos_a_imprimir</vt:lpstr>
      <vt:lpstr>'F-17 ACFFAA'!Títulos_a_imprimir</vt:lpstr>
      <vt:lpstr>'F-17 CCFFAA'!Títulos_a_imprimir</vt:lpstr>
      <vt:lpstr>'F-17 CENEPRED'!Títulos_a_imprimir</vt:lpstr>
      <vt:lpstr>'F-17 CONIDA'!Títulos_a_imprimir</vt:lpstr>
      <vt:lpstr>'F-17 ENAMM'!Títulos_a_imprimir</vt:lpstr>
      <vt:lpstr>'F-17 EP'!Títulos_a_imprimir</vt:lpstr>
      <vt:lpstr>'F-17 FAP'!Títulos_a_imprimir</vt:lpstr>
      <vt:lpstr>'F-17 IGN'!Títulos_a_imprimir</vt:lpstr>
      <vt:lpstr>'F-17 INDECI'!Títulos_a_imprimir</vt:lpstr>
      <vt:lpstr>'F-17 MGP'!Títulos_a_imprimir</vt:lpstr>
      <vt:lpstr>'F-17 OGA'!Títulos_a_imprimir</vt:lpstr>
      <vt:lpstr>'F-17 OPREFA'!Títulos_a_imprimir</vt:lpstr>
      <vt:lpstr>'F-18'!Títulos_a_imprimir</vt:lpstr>
      <vt:lpstr>Índice!Títulos_a_imprimir</vt:lpstr>
    </vt:vector>
  </TitlesOfParts>
  <Company>Congreso de la República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Directiva Formulaicón de Presupuesto (V 2008)</dc:title>
  <dc:creator>Asesoria de Presupuesto</dc:creator>
  <cp:lastModifiedBy>pined</cp:lastModifiedBy>
  <cp:lastPrinted>2020-10-10T00:31:58Z</cp:lastPrinted>
  <dcterms:created xsi:type="dcterms:W3CDTF">1998-08-20T20:27:58Z</dcterms:created>
  <dcterms:modified xsi:type="dcterms:W3CDTF">2020-10-12T22:25:31Z</dcterms:modified>
</cp:coreProperties>
</file>